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net_open" vbProcedure="false">In!$E$137</definedName>
    <definedName function="false" hidden="false" name="ai_net_open_hi" vbProcedure="false">In!$F$137</definedName>
    <definedName function="false" hidden="false" name="ai_net_open_lo" vbProcedure="false">In!$D$137</definedName>
    <definedName function="false" hidden="false" name="ai_runrate" vbProcedure="false">In!$E$194</definedName>
    <definedName function="false" hidden="false" name="al_fro" vbProcedure="false">In!$E$79</definedName>
    <definedName function="false" hidden="false" name="al_fro_hi" vbProcedure="false">In!$F$79</definedName>
    <definedName function="false" hidden="false" name="al_fro_lo" vbProcedure="false">In!$D$79</definedName>
    <definedName function="false" hidden="false" name="al_ind" vbProcedure="false">In!$E$78</definedName>
    <definedName function="false" hidden="false" name="al_ind_hi" vbProcedure="false">In!$F$78</definedName>
    <definedName function="false" hidden="false" name="al_ind_lo" vbProcedure="false">In!$D$78</definedName>
    <definedName function="false" hidden="false" name="al_lic" vbProcedure="false">In!$E$77</definedName>
    <definedName function="false" hidden="false" name="al_lic_hi" vbProcedure="false">In!$F$77</definedName>
    <definedName function="false" hidden="false" name="al_lic_lo" vbProcedure="false">In!$D$77</definedName>
    <definedName function="false" hidden="false" name="al_m365" vbProcedure="false">In!$E$76</definedName>
    <definedName function="false" hidden="false" name="al_m365_hi" vbProcedure="false">In!$F$76</definedName>
    <definedName function="false" hidden="false" name="al_m365_lo" vbProcedure="false">In!$D$76</definedName>
    <definedName function="false" hidden="false" name="al_srch" vbProcedure="false">In!$E$80</definedName>
    <definedName function="false" hidden="false" name="al_srch_hi" vbProcedure="false">In!$F$80</definedName>
    <definedName function="false" hidden="false" name="al_srch_lo" vbProcedure="false">In!$D$80</definedName>
    <definedName function="false" hidden="false" name="a_g3_27" vbProcedure="false">In!$E$119</definedName>
    <definedName function="false" hidden="false" name="a_g3_28" vbProcedure="false">In!$E$120</definedName>
    <definedName function="false" hidden="false" name="a_g3_29" vbProcedure="false">In!$E$121</definedName>
    <definedName function="false" hidden="false" name="base_fy" vbProcedure="false">In!$E$49</definedName>
    <definedName function="false" hidden="false" name="bb_g" vbProcedure="false">In!$E$28</definedName>
    <definedName function="false" hidden="false" name="bb_g_hi" vbProcedure="false">In!$F$28</definedName>
    <definedName function="false" hidden="false" name="bb_g_lo" vbProcedure="false">In!$D$28</definedName>
    <definedName function="false" hidden="false" name="bb_target" vbProcedure="false">In!$E$27</definedName>
    <definedName function="false" hidden="false" name="beta" vbProcedure="false">In!$E$39</definedName>
    <definedName function="false" hidden="false" name="beta_gf" vbProcedure="false">In!$E$37</definedName>
    <definedName function="false" hidden="false" name="beta_hi" vbProcedure="false">In!$F$39</definedName>
    <definedName function="false" hidden="false" name="beta_lo" vbProcedure="false">In!$D$39</definedName>
    <definedName function="false" hidden="false" name="beta_sa" vbProcedure="false">In!$E$36</definedName>
    <definedName function="false" hidden="false" name="blume_w" vbProcedure="false">In!$E$38</definedName>
    <definedName function="false" hidden="false" name="capex_floor27" vbProcedure="false">In!$E$138</definedName>
    <definedName function="false" hidden="false" name="cap_epoch" vbProcedure="false">In!$E$113</definedName>
    <definedName function="false" hidden="false" name="cash_open" vbProcedure="false">In!$E$10</definedName>
    <definedName function="false" hidden="false" name="chip_f" vbProcedure="false">In!$E$135</definedName>
    <definedName function="false" hidden="false" name="chip_f_hi" vbProcedure="false">In!$F$135</definedName>
    <definedName function="false" hidden="false" name="chip_f_lo" vbProcedure="false">In!$D$135</definedName>
    <definedName function="false" hidden="false" name="cons_cx27" vbProcedure="false">In!$E$181</definedName>
    <definedName function="false" hidden="false" name="cons_cx28" vbProcedure="false">In!$E$183</definedName>
    <definedName function="false" hidden="false" name="cons_cx29" vbProcedure="false">In!$E$185</definedName>
    <definedName function="false" hidden="false" name="cons_ebit27" vbProcedure="false">In!$E$180</definedName>
    <definedName function="false" hidden="false" name="cons_ebit28" vbProcedure="false">In!$E$182</definedName>
    <definedName function="false" hidden="false" name="cons_ebit29" vbProcedure="false">In!$E$184</definedName>
    <definedName function="false" hidden="false" name="cons_eps27" vbProcedure="false">In!$E$177</definedName>
    <definedName function="false" hidden="false" name="cons_eps27_hi" vbProcedure="false">In!$F$177</definedName>
    <definedName function="false" hidden="false" name="cons_eps27_lo" vbProcedure="false">In!$D$177</definedName>
    <definedName function="false" hidden="false" name="cons_eps28" vbProcedure="false">In!$E$186</definedName>
    <definedName function="false" hidden="false" name="cons_eps29" vbProcedure="false">In!$E$187</definedName>
    <definedName function="false" hidden="false" name="cons_rev27" vbProcedure="false">In!$E$176</definedName>
    <definedName function="false" hidden="false" name="cons_rev27_hi" vbProcedure="false">In!$F$176</definedName>
    <definedName function="false" hidden="false" name="cons_rev27_lo" vbProcedure="false">In!$D$176</definedName>
    <definedName function="false" hidden="false" name="cons_rev28" vbProcedure="false">In!$E$178</definedName>
    <definedName function="false" hidden="false" name="cons_rev29" vbProcedure="false">In!$E$179</definedName>
    <definedName function="false" hidden="false" name="cons_tp" vbProcedure="false">In!$E$175</definedName>
    <definedName function="false" hidden="false" name="cons_tp_hi" vbProcedure="false">In!$F$175</definedName>
    <definedName function="false" hidden="false" name="cons_tp_lo" vbProcedure="false">In!$D$175</definedName>
    <definedName function="false" hidden="false" name="cop_add_A" vbProcedure="false">In!$E$144</definedName>
    <definedName function="false" hidden="false" name="cop_add_B" vbProcedure="false">In!$E$145</definedName>
    <definedName function="false" hidden="false" name="cop_add_C" vbProcedure="false">In!$E$146</definedName>
    <definedName function="false" hidden="false" name="cop_px" vbProcedure="false">In!$E$143</definedName>
    <definedName function="false" hidden="false" name="cop_px_hi" vbProcedure="false">In!$F$143</definedName>
    <definedName function="false" hidden="false" name="cop_px_lo" vbProcedure="false">In!$D$143</definedName>
    <definedName function="false" hidden="false" name="cop_s24" vbProcedure="false">In!$E$140</definedName>
    <definedName function="false" hidden="false" name="cop_s25" vbProcedure="false">In!$E$141</definedName>
    <definedName function="false" hidden="false" name="cop_s26" vbProcedure="false">In!$E$142</definedName>
    <definedName function="false" hidden="false" name="cop_tail" vbProcedure="false">In!$E$147</definedName>
    <definedName function="false" hidden="false" name="cxit_open" vbProcedure="false">In!$E$122</definedName>
    <definedName function="false" hidden="false" name="cx_azo" vbProcedure="false">In!$E$168</definedName>
    <definedName function="false" hidden="false" name="cx_dev" vbProcedure="false">In!$E$173</definedName>
    <definedName function="false" hidden="false" name="cx_ind" vbProcedure="false">In!$E$171</definedName>
    <definedName function="false" hidden="false" name="cx_lic" vbProcedure="false">In!$E$170</definedName>
    <definedName function="false" hidden="false" name="cx_m365" vbProcedure="false">In!$E$169</definedName>
    <definedName function="false" hidden="false" name="cx_srch" vbProcedure="false">In!$E$172</definedName>
    <definedName function="false" hidden="false" name="days_yr" vbProcedure="false">In!$E$53</definedName>
    <definedName function="false" hidden="false" name="debt_face" vbProcedure="false">In!$E$11</definedName>
    <definedName function="false" hidden="false" name="debt_mat_27" vbProcedure="false">In!$E$12</definedName>
    <definedName function="false" hidden="false" name="debt_mat_28" vbProcedure="false">In!$E$13</definedName>
    <definedName function="false" hidden="false" name="debt_mat_29" vbProcedure="false">In!$E$14</definedName>
    <definedName function="false" hidden="false" name="debt_mat_30" vbProcedure="false">In!$E$15</definedName>
    <definedName function="false" hidden="false" name="debt_mat_31" vbProcedure="false">In!$E$16</definedName>
    <definedName function="false" hidden="false" name="debt_mat_32" vbProcedure="false">In!$E$17</definedName>
    <definedName function="false" hidden="false" name="dil_gap" vbProcedure="false">In!$E$8</definedName>
    <definedName function="false" hidden="false" name="dm_seg" vbProcedure="false">In!$E$161</definedName>
    <definedName function="false" hidden="false" name="dm_seg_hi" vbProcedure="false">In!$F$161</definedName>
    <definedName function="false" hidden="false" name="dm_seg_lo" vbProcedure="false">In!$D$161</definedName>
    <definedName function="false" hidden="false" name="dps_27" vbProcedure="false">In!$E$32</definedName>
    <definedName function="false" hidden="false" name="dps_g" vbProcedure="false">In!$E$33</definedName>
    <definedName function="false" hidden="false" name="dps_g_hi" vbProcedure="false">In!$F$33</definedName>
    <definedName function="false" hidden="false" name="dps_g_lo" vbProcedure="false">In!$D$33</definedName>
    <definedName function="false" hidden="false" name="dps_q0" vbProcedure="false">In!$E$30</definedName>
    <definedName function="false" hidden="false" name="dps_q1" vbProcedure="false">In!$E$31</definedName>
    <definedName function="false" hidden="false" name="erp" vbProcedure="false">In!$E$40</definedName>
    <definedName function="false" hidden="false" name="erp_hi" vbProcedure="false">In!$F$40</definedName>
    <definedName function="false" hidden="false" name="erp_lo" vbProcedure="false">In!$D$40</definedName>
    <definedName function="false" hidden="false" name="ext_sh" vbProcedure="false">In!$E$114</definedName>
    <definedName function="false" hidden="false" name="ext_sh_hi" vbProcedure="false">In!$F$114</definedName>
    <definedName function="false" hidden="false" name="ext_sh_lo" vbProcedure="false">In!$D$114</definedName>
    <definedName function="false" hidden="false" name="fac_rent" vbProcedure="false">In!$E$99</definedName>
    <definedName function="false" hidden="false" name="fac_wacc" vbProcedure="false">In!$E$98</definedName>
    <definedName function="false" hidden="false" name="fl_liab" vbProcedure="false">In!$E$18</definedName>
    <definedName function="false" hidden="false" name="fl_pay_27" vbProcedure="false">In!$E$20</definedName>
    <definedName function="false" hidden="false" name="fl_pay_28" vbProcedure="false">In!$E$21</definedName>
    <definedName function="false" hidden="false" name="fl_pay_29" vbProcedure="false">In!$E$22</definedName>
    <definedName function="false" hidden="false" name="fl_pay_30" vbProcedure="false">In!$E$23</definedName>
    <definedName function="false" hidden="false" name="fl_pay_31" vbProcedure="false">In!$E$24</definedName>
    <definedName function="false" hidden="false" name="fl_pay_32" vbProcedure="false">In!$E$25</definedName>
    <definedName function="false" hidden="false" name="fl_rate" vbProcedure="false">In!$E$19</definedName>
    <definedName function="false" hidden="false" name="fy28_end" vbProcedure="false">In!$E$59</definedName>
    <definedName function="false" hidden="false" name="glt_azo" vbProcedure="false">In!$E$152</definedName>
    <definedName function="false" hidden="false" name="glt_azo_hi" vbProcedure="false">In!$F$152</definedName>
    <definedName function="false" hidden="false" name="glt_azo_lo" vbProcedure="false">In!$D$152</definedName>
    <definedName function="false" hidden="false" name="glt_fro" vbProcedure="false">In!$E$156</definedName>
    <definedName function="false" hidden="false" name="glt_fro_hi" vbProcedure="false">In!$F$156</definedName>
    <definedName function="false" hidden="false" name="glt_fro_lo" vbProcedure="false">In!$D$156</definedName>
    <definedName function="false" hidden="false" name="glt_ind" vbProcedure="false">In!$E$155</definedName>
    <definedName function="false" hidden="false" name="glt_ind_hi" vbProcedure="false">In!$F$155</definedName>
    <definedName function="false" hidden="false" name="glt_ind_lo" vbProcedure="false">In!$D$155</definedName>
    <definedName function="false" hidden="false" name="glt_lic" vbProcedure="false">In!$E$154</definedName>
    <definedName function="false" hidden="false" name="glt_lic_hi" vbProcedure="false">In!$F$154</definedName>
    <definedName function="false" hidden="false" name="glt_lic_lo" vbProcedure="false">In!$D$154</definedName>
    <definedName function="false" hidden="false" name="glt_m365b" vbProcedure="false">In!$E$153</definedName>
    <definedName function="false" hidden="false" name="glt_m365b_hi" vbProcedure="false">In!$F$153</definedName>
    <definedName function="false" hidden="false" name="glt_m365b_lo" vbProcedure="false">In!$D$153</definedName>
    <definedName function="false" hidden="false" name="glt_srch" vbProcedure="false">In!$E$157</definedName>
    <definedName function="false" hidden="false" name="glt_srch_hi" vbProcedure="false">In!$F$157</definedName>
    <definedName function="false" hidden="false" name="glt_srch_lo" vbProcedure="false">In!$D$157</definedName>
    <definedName function="false" hidden="false" name="glt_win" vbProcedure="false">In!$E$159</definedName>
    <definedName function="false" hidden="false" name="glt_win_hi" vbProcedure="false">In!$F$159</definedName>
    <definedName function="false" hidden="false" name="glt_win_lo" vbProcedure="false">In!$D$159</definedName>
    <definedName function="false" hidden="false" name="glt_xbox" vbProcedure="false">In!$E$158</definedName>
    <definedName function="false" hidden="false" name="glt_xbox_hi" vbProcedure="false">In!$F$158</definedName>
    <definedName function="false" hidden="false" name="glt_xbox_lo" vbProcedure="false">In!$D$158</definedName>
    <definedName function="false" hidden="false" name="g_fy27_opm" vbProcedure="false">In!$E$193</definedName>
    <definedName function="false" hidden="false" name="g_q1_ai" vbProcedure="false">In!$E$189</definedName>
    <definedName function="false" hidden="false" name="g_q1_ai_hi" vbProcedure="false">In!$F$189</definedName>
    <definedName function="false" hidden="false" name="g_q1_ai_lo" vbProcedure="false">In!$D$189</definedName>
    <definedName function="false" hidden="false" name="g_q1_az" vbProcedure="false">In!$E$191</definedName>
    <definedName function="false" hidden="false" name="g_q1_az_hi" vbProcedure="false">In!$F$191</definedName>
    <definedName function="false" hidden="false" name="g_q1_az_lo" vbProcedure="false">In!$D$191</definedName>
    <definedName function="false" hidden="false" name="g_q1_cx" vbProcedure="false">In!$E$192</definedName>
    <definedName function="false" hidden="false" name="g_q1_dc" vbProcedure="false">In!$E$190</definedName>
    <definedName function="false" hidden="false" name="g_q1_dc_hi" vbProcedure="false">In!$F$190</definedName>
    <definedName function="false" hidden="false" name="g_q1_dc_lo" vbProcedure="false">In!$D$190</definedName>
    <definedName function="false" hidden="false" name="g_q1_rev" vbProcedure="false">In!$E$188</definedName>
    <definedName function="false" hidden="false" name="g_q1_rev_hi" vbProcedure="false">In!$F$188</definedName>
    <definedName function="false" hidden="false" name="g_q1_rev_lo" vbProcedure="false">In!$D$188</definedName>
    <definedName function="false" hidden="false" name="g_tv" vbProcedure="false">In!$E$47</definedName>
    <definedName function="false" hidden="false" name="g_tv_hi" vbProcedure="false">In!$F$47</definedName>
    <definedName function="false" hidden="false" name="g_tv_lo" vbProcedure="false">In!$D$47</definedName>
    <definedName function="false" hidden="false" name="internal_ai_reading" vbProcedure="false">In!$E$148</definedName>
    <definedName function="false" hidden="false" name="internal_ai_reading_lo" vbProcedure="false">In!$D$148</definedName>
    <definedName function="false" hidden="false" name="kd" vbProcedure="false">In!$E$43</definedName>
    <definedName function="false" hidden="false" name="kd_aaa" vbProcedure="false">In!$E$41</definedName>
    <definedName function="false" hidden="false" name="kd_spread" vbProcedure="false">In!$E$42</definedName>
    <definedName function="false" hidden="false" name="kd_spread_hi" vbProcedure="false">In!$F$42</definedName>
    <definedName function="false" hidden="false" name="kd_spread_lo" vbProcedure="false">In!$D$42</definedName>
    <definedName function="false" hidden="false" name="ke" vbProcedure="false">In!$E$45</definedName>
    <definedName function="false" hidden="false" name="k_A" vbProcedure="false">In!$E$132</definedName>
    <definedName function="false" hidden="false" name="k_B" vbProcedure="false">In!$E$133</definedName>
    <definedName function="false" hidden="false" name="k_C" vbProcedure="false">In!$E$134</definedName>
    <definedName function="false" hidden="false" name="k_long" vbProcedure="false">In!$E$125</definedName>
    <definedName function="false" hidden="false" name="k_long_lo" vbProcedure="false">In!$E$127</definedName>
    <definedName function="false" hidden="false" name="k_ramp" vbProcedure="false">In!$E$111</definedName>
    <definedName function="false" hidden="false" name="k_spot" vbProcedure="false">In!$E$128</definedName>
    <definedName function="false" hidden="false" name="life_fac" vbProcedure="false">In!$E$97</definedName>
    <definedName function="false" hidden="false" name="life_it" vbProcedure="false">In!$E$96</definedName>
    <definedName function="false" hidden="false" name="life_it_hi" vbProcedure="false">In!$F$96</definedName>
    <definedName function="false" hidden="false" name="life_it_lo" vbProcedure="false">In!$D$96</definedName>
    <definedName function="false" hidden="false" name="life_nonai" vbProcedure="false">In!$E$167</definedName>
    <definedName function="false" hidden="false" name="life_nonai_hi" vbProcedure="false">In!$F$167</definedName>
    <definedName function="false" hidden="false" name="life_nonai_lo" vbProcedure="false">In!$D$167</definedName>
    <definedName function="false" hidden="false" name="liq_disc" vbProcedure="false">In!$E$67</definedName>
    <definedName function="false" hidden="false" name="liq_disc_hi" vbProcedure="false">In!$F$67</definedName>
    <definedName function="false" hidden="false" name="liq_disc_lo" vbProcedure="false">In!$D$67</definedName>
    <definedName function="false" hidden="false" name="ls_A" vbProcedure="false">In!$E$129</definedName>
    <definedName function="false" hidden="false" name="ls_B" vbProcedure="false">In!$E$130</definedName>
    <definedName function="false" hidden="false" name="ls_C" vbProcedure="false">In!$E$131</definedName>
    <definedName function="false" hidden="false" name="mid_yr" vbProcedure="false">In!$E$50</definedName>
    <definedName function="false" hidden="false" name="min_cash" vbProcedure="false">In!$E$26</definedName>
    <definedName function="false" hidden="false" name="min_cash_hi" vbProcedure="false">In!$F$26</definedName>
    <definedName function="false" hidden="false" name="min_cash_lo" vbProcedure="false">In!$D$26</definedName>
    <definedName function="false" hidden="false" name="mix_g2" vbProcedure="false">In!$E$117</definedName>
    <definedName function="false" hidden="false" name="mix_g3" vbProcedure="false">In!$E$118</definedName>
    <definedName function="false" hidden="false" name="mix_h" vbProcedure="false">In!$E$116</definedName>
    <definedName function="false" hidden="false" name="mw_ext_24" vbProcedure="false">In!$E$101</definedName>
    <definedName function="false" hidden="false" name="mw_ext_25" vbProcedure="false">In!$E$102</definedName>
    <definedName function="false" hidden="false" name="mw_ext_26" vbProcedure="false">In!$E$103</definedName>
    <definedName function="false" hidden="false" name="mw_ext_26_hi" vbProcedure="false">In!$F$103</definedName>
    <definedName function="false" hidden="false" name="mw_ext_26_lo" vbProcedure="false">In!$D$103</definedName>
    <definedName function="false" hidden="false" name="m_ads" vbProcedure="false">In!$E$72</definedName>
    <definedName function="false" hidden="false" name="m_ai" vbProcedure="false">In!$E$69</definedName>
    <definedName function="false" hidden="false" name="m_ai_hi" vbProcedure="false">In!$F$69</definedName>
    <definedName function="false" hidden="false" name="m_ai_lo" vbProcedure="false">In!$D$69</definedName>
    <definedName function="false" hidden="false" name="m_cloud" vbProcedure="false">In!$E$70</definedName>
    <definedName function="false" hidden="false" name="m_game" vbProcedure="false">In!$E$73</definedName>
    <definedName function="false" hidden="false" name="m_own" vbProcedure="false">In!$E$75</definedName>
    <definedName function="false" hidden="false" name="m_pc" vbProcedure="false">In!$E$74</definedName>
    <definedName function="false" hidden="false" name="m_sw" vbProcedure="false">In!$E$71</definedName>
    <definedName function="false" hidden="false" name="n_conv" vbProcedure="false">In!$E$151</definedName>
    <definedName function="false" hidden="false" name="oai_stake" vbProcedure="false">In!$E$65</definedName>
    <definedName function="false" hidden="false" name="oai_stake_hi" vbProcedure="false">In!$F$65</definedName>
    <definedName function="false" hidden="false" name="oai_v" vbProcedure="false">In!$E$68</definedName>
    <definedName function="false" hidden="false" name="oai_val" vbProcedure="false">In!$E$66</definedName>
    <definedName function="false" hidden="false" name="oie_f" vbProcedure="false">In!$E$162</definedName>
    <definedName function="false" hidden="false" name="oie_f_hi" vbProcedure="false">In!$F$162</definedName>
    <definedName function="false" hidden="false" name="oie_f_lo" vbProcedure="false">In!$D$162</definedName>
    <definedName function="false" hidden="false" name="old_dcf" vbProcedure="false">In!$E$197</definedName>
    <definedName function="false" hidden="false" name="old_ev" vbProcedure="false">In!$E$198</definedName>
    <definedName function="false" hidden="false" name="old_tp" vbProcedure="false">In!$E$196</definedName>
    <definedName function="false" hidden="false" name="old_tp_hi" vbProcedure="false">In!$F$196</definedName>
    <definedName function="false" hidden="false" name="old_tp_lo" vbProcedure="false">In!$D$196</definedName>
    <definedName function="false" hidden="false" name="old_w" vbProcedure="false">In!$E$199</definedName>
    <definedName function="false" hidden="false" name="pace" vbProcedure="false">In!$E$108</definedName>
    <definedName function="false" hidden="false" name="pace_epoch" vbProcedure="false">In!$E$112</definedName>
    <definedName function="false" hidden="false" name="pace_y0" vbProcedure="false">In!$E$109</definedName>
    <definedName function="false" hidden="false" name="pace_y1" vbProcedure="false">In!$E$110</definedName>
    <definedName function="false" hidden="false" name="px" vbProcedure="false">In!$E$5</definedName>
    <definedName function="false" hidden="false" name="p_long" vbProcedure="false">In!$E$123</definedName>
    <definedName function="false" hidden="false" name="p_long_lo" vbProcedure="false">In!$E$126</definedName>
    <definedName function="false" hidden="false" name="p_spot" vbProcedure="false">In!$E$124</definedName>
    <definedName function="false" hidden="false" name="p_spot_hi" vbProcedure="false">In!$F$124</definedName>
    <definedName function="false" hidden="false" name="q_per_yr" vbProcedure="false">In!$E$56</definedName>
    <definedName function="false" hidden="false" name="rent_ext_24" vbProcedure="false">In!$E$104</definedName>
    <definedName function="false" hidden="false" name="rent_ext_25" vbProcedure="false">In!$E$105</definedName>
    <definedName function="false" hidden="false" name="rent_ext_26" vbProcedure="false">In!$E$106</definedName>
    <definedName function="false" hidden="false" name="rent_ext_f" vbProcedure="false">In!$E$107</definedName>
    <definedName function="false" hidden="false" name="rent_mw" vbProcedure="false">In!$E$136</definedName>
    <definedName function="false" hidden="false" name="rf" vbProcedure="false">In!$E$35</definedName>
    <definedName function="false" hidden="false" name="roll_d1" vbProcedure="false">In!$E$51</definedName>
    <definedName function="false" hidden="false" name="roll_d2" vbProcedure="false">In!$E$52</definedName>
    <definedName function="false" hidden="false" name="roll_div_q" vbProcedure="false">In!$E$55</definedName>
    <definedName function="false" hidden="false" name="ronic_prem" vbProcedure="false">In!$E$48</definedName>
    <definedName function="false" hidden="false" name="ronic_prem_hi" vbProcedure="false">In!$F$48</definedName>
    <definedName function="false" hidden="false" name="ronic_prem_lo" vbProcedure="false">In!$D$48</definedName>
    <definedName function="false" hidden="false" name="sbc_r" vbProcedure="false">In!$E$164</definedName>
    <definedName function="false" hidden="false" name="self_build" vbProcedure="false">In!$E$115</definedName>
    <definedName function="false" hidden="false" name="self_build_hi" vbProcedure="false">In!$F$115</definedName>
    <definedName function="false" hidden="false" name="self_build_lo" vbProcedure="false">In!$D$115</definedName>
    <definedName function="false" hidden="false" name="shadow_base" vbProcedure="false">In!$E$149</definedName>
    <definedName function="false" hidden="false" name="shadow_base_lo" vbProcedure="false">In!$D$149</definedName>
    <definedName function="false" hidden="false" name="sh_basic26" vbProcedure="false">In!$E$7</definedName>
    <definedName function="false" hidden="false" name="sh_dil26" vbProcedure="false">In!$E$6</definedName>
    <definedName function="false" hidden="false" name="sh_iss" vbProcedure="false">In!$E$29</definedName>
    <definedName function="false" hidden="false" name="sh_iss_hi" vbProcedure="false">In!$F$29</definedName>
    <definedName function="false" hidden="false" name="sh_iss_lo" vbProcedure="false">In!$D$29</definedName>
    <definedName function="false" hidden="false" name="sh_out26" vbProcedure="false">In!$E$9</definedName>
    <definedName function="false" hidden="false" name="stub_d0" vbProcedure="false">In!$E$57</definedName>
    <definedName function="false" hidden="false" name="tax_f" vbProcedure="false">In!$E$163</definedName>
    <definedName function="false" hidden="false" name="tax_f_hi" vbProcedure="false">In!$F$163</definedName>
    <definedName function="false" hidden="false" name="tax_f_lo" vbProcedure="false">In!$D$163</definedName>
    <definedName function="false" hidden="false" name="tax_w" vbProcedure="false">In!$E$44</definedName>
    <definedName function="false" hidden="false" name="tk_cxfac" vbProcedure="false">In!$E$94</definedName>
    <definedName function="false" hidden="false" name="tk_cxit_gb200" vbProcedure="false">In!$E$87</definedName>
    <definedName function="false" hidden="false" name="tk_cxit_gb300" vbProcedure="false">In!$E$88</definedName>
    <definedName function="false" hidden="false" name="tk_cxit_h100" vbProcedure="false">In!$E$86</definedName>
    <definedName function="false" hidden="false" name="tk_cxit_vr200" vbProcedure="false">In!$E$89</definedName>
    <definedName function="false" hidden="false" name="tk_gpuhr_h100" vbProcedure="false">In!$E$95</definedName>
    <definedName function="false" hidden="false" name="tk_hold_gb200" vbProcedure="false">In!$E$83</definedName>
    <definedName function="false" hidden="false" name="tk_hold_gb300" vbProcedure="false">In!$E$84</definedName>
    <definedName function="false" hidden="false" name="tk_hold_h100" vbProcedure="false">In!$E$82</definedName>
    <definedName function="false" hidden="false" name="tk_hold_vr200" vbProcedure="false">In!$E$85</definedName>
    <definedName function="false" hidden="false" name="tk_opex_gb200" vbProcedure="false">In!$E$91</definedName>
    <definedName function="false" hidden="false" name="tk_opex_gb300" vbProcedure="false">In!$E$92</definedName>
    <definedName function="false" hidden="false" name="tk_opex_h100" vbProcedure="false">In!$E$90</definedName>
    <definedName function="false" hidden="false" name="tk_opex_vr200" vbProcedure="false">In!$E$93</definedName>
    <definedName function="false" hidden="false" name="t_roll" vbProcedure="false">In!$E$54</definedName>
    <definedName function="false" hidden="false" name="t_stub" vbProcedure="false">In!$E$58</definedName>
    <definedName function="false" hidden="false" name="wacc" vbProcedure="false">In!$E$46</definedName>
    <definedName function="false" hidden="false" name="wc27" vbProcedure="false">In!$E$165</definedName>
    <definedName function="false" hidden="false" name="wc_f" vbProcedure="false">In!$E$166</definedName>
    <definedName function="false" hidden="false" name="w_A" vbProcedure="false">In!$E$62</definedName>
    <definedName function="false" hidden="false" name="w_B" vbProcedure="false">In!$E$63</definedName>
    <definedName function="false" hidden="false" name="w_C" vbProcedure="false">In!$E$64</definedName>
    <definedName function="false" hidden="false" name="w_dcf" vbProcedure="false">In!$E$61</definedName>
    <definedName function="false" hidden="false" name="w_dcf_hi" vbProcedure="false">In!$F$61</definedName>
    <definedName function="false" hidden="false" name="w_dcf_lo" vbProcedure="false">In!$D$61</definedName>
    <definedName function="false" hidden="false" name="w_ntm28" vbProcedure="false">In!$E$60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<sst xmlns="http://schemas.openxmlformats.org/spreadsheetml/2006/main" count="43494" uniqueCount="1731">
  <si>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 — </t>
    </r>
    <r>
      <rPr>
        <sz val="11"/>
        <color theme="1"/>
        <rFont val="Noto Sans CJK SC"/>
        <family val="2"/>
      </rPr>
      <t xml:space="preserve">命題＋官方營收分部 → 損益表（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；資料截至 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未納入）</t>
    </r>
  </si>
  <si>
    <r>
      <rPr>
        <sz val="11"/>
        <color theme="1"/>
        <rFont val="Noto Sans CJK SC"/>
        <family val="2"/>
      </rPr>
      <t xml:space="preserve">工作表：</t>
    </r>
    <r>
      <rPr>
        <sz val="11"/>
        <color theme="1"/>
        <rFont val="Calibri"/>
        <family val="2"/>
        <charset val="1"/>
      </rPr>
      <t xml:space="preserve">README → In → Q → Thesis → Seg → PL → CF → Val → Recon → Sens → Sources</t>
    </r>
    <r>
      <rPr>
        <sz val="11"/>
        <color theme="1"/>
        <rFont val="Noto Sans CJK SC"/>
        <family val="2"/>
      </rPr>
      <t xml:space="preserve">。金額十億美元；財年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</si>
  <si>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能否同時在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（算力）與 </t>
    </r>
    <r>
      <rPr>
        <sz val="11"/>
        <color theme="1"/>
        <rFont val="Calibri"/>
        <family val="2"/>
        <charset val="1"/>
      </rPr>
      <t xml:space="preserve">Microsoft 365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應用）變現，撐住翻倍的資本支出。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</si>
  <si>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增量營業利益能否覆蓋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資本支出的資金成本（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），且自由現金流不需停止回購。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</si>
  <si>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</si>
  <si>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</si>
  <si>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</si>
  <si>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</si>
  <si>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</si>
  <si>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r>
      <rPr>
        <b val="true"/>
        <sz val="11"/>
        <rFont val="Noto Sans CJK SC"/>
        <family val="2"/>
      </rPr>
      <t xml:space="preserve">基準值（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</si>
  <si>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</si>
  <si>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mw_ext_26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rent_ext_f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</si>
  <si>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、自有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（含自用）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</si>
  <si>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越多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營收↑、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資本支出與折舊↑</t>
    </r>
  </si>
  <si>
    <r>
      <rPr>
        <sz val="11"/>
        <color theme="1"/>
        <rFont val="Calibri"/>
        <family val="2"/>
        <charset val="1"/>
      </rPr>
      <t xml:space="preserve">tk_hold_*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p_long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ls_*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</si>
  <si>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</si>
  <si>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越高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EBITDA↑</t>
    </r>
    <r>
      <rPr>
        <sz val="11"/>
        <color theme="1"/>
        <rFont val="Noto Sans CJK SC"/>
        <family val="2"/>
      </rPr>
      <t xml:space="preserve">（三情境主要差異）</t>
    </r>
  </si>
  <si>
    <r>
      <rPr>
        <sz val="11"/>
        <color theme="1"/>
        <rFont val="Calibri"/>
        <family val="2"/>
        <charset val="1"/>
      </rPr>
      <t xml:space="preserve">tk_cxit_*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tk_cxfac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self_build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capex_floor27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life_it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</si>
  <si>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</si>
  <si>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資本支出 → 折舊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營業利益↓；→ 自由現金流↓</t>
    </r>
  </si>
  <si>
    <t xml:space="preserve">Seg</t>
  </si>
  <si>
    <r>
      <rPr>
        <sz val="11"/>
        <color theme="1"/>
        <rFont val="Calibri"/>
        <family val="2"/>
        <charset val="1"/>
      </rPr>
      <t xml:space="preserve">cop_s26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cop_add_*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cop_px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</si>
  <si>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子列）</t>
    </r>
  </si>
  <si>
    <r>
      <rPr>
        <sz val="11"/>
        <color theme="1"/>
        <rFont val="Noto Sans CJK SC"/>
        <family val="2"/>
      </rPr>
      <t xml:space="preserve">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→ </t>
    </r>
    <r>
      <rPr>
        <sz val="11"/>
        <color theme="1"/>
        <rFont val="Calibri"/>
        <family val="2"/>
        <charset val="1"/>
      </rPr>
      <t xml:space="preserve">M365 cloud↑</t>
    </r>
  </si>
  <si>
    <r>
      <rPr>
        <sz val="11"/>
        <color theme="1"/>
        <rFont val="Calibri"/>
        <family val="2"/>
        <charset val="1"/>
      </rPr>
      <t xml:space="preserve">glt_*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n_conv</t>
    </r>
  </si>
  <si>
    <t xml:space="preserve">非命題產品線營收</t>
  </si>
  <si>
    <t xml:space="preserve">近一年年增收斂到長期值</t>
  </si>
  <si>
    <t xml:space="preserve">PL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</si>
  <si>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校準）、</t>
    </r>
    <r>
      <rPr>
        <sz val="11"/>
        <color theme="1"/>
        <rFont val="Calibri"/>
        <family val="2"/>
        <charset val="1"/>
      </rPr>
      <t xml:space="preserve">dm_seg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</si>
  <si>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核心利益率、分部營業利益</t>
    </r>
  </si>
  <si>
    <r>
      <rPr>
        <sz val="11"/>
        <color theme="1"/>
        <rFont val="Noto Sans CJK SC"/>
        <family val="2"/>
      </rPr>
      <t xml:space="preserve">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− AI </t>
    </r>
    <r>
      <rPr>
        <sz val="11"/>
        <color theme="1"/>
        <rFont val="Noto Sans CJK SC"/>
        <family val="2"/>
      </rPr>
      <t xml:space="preserve">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</si>
  <si>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tax_f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oie_f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</si>
  <si>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</si>
  <si>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持有成本（扣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）進評價口徑營業利益</t>
    </r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</si>
  <si>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</si>
  <si>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fl_pay_*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bb_target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dps_*</t>
    </r>
  </si>
  <si>
    <t xml:space="preserve">自由現金流、回購、舉債、股數</t>
  </si>
  <si>
    <t xml:space="preserve">自由現金流扣股利 → 回購（不足先減）→ 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</si>
  <si>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</si>
  <si>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w_*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</si>
  <si>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）、加權目標價</t>
    </r>
  </si>
  <si>
    <r>
      <rPr>
        <sz val="11"/>
        <color theme="1"/>
        <rFont val="Calibri"/>
        <family val="2"/>
        <charset val="1"/>
      </rPr>
      <t xml:space="preserve">WACC↑ → DCF↓</t>
    </r>
    <r>
      <rPr>
        <sz val="11"/>
        <color theme="1"/>
        <rFont val="Noto Sans CJK SC"/>
        <family val="2"/>
      </rPr>
      <t xml:space="preserve">；倍數↑ → </t>
    </r>
    <r>
      <rPr>
        <sz val="11"/>
        <color theme="1"/>
        <rFont val="Calibri"/>
        <family val="2"/>
        <charset val="1"/>
      </rPr>
      <t xml:space="preserve">SOTP↑</t>
    </r>
  </si>
  <si>
    <t xml:space="preserve">結果摘要（三情境）</t>
  </si>
  <si>
    <t xml:space="preserve">項目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</si>
  <si>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</si>
  <si>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</si>
  <si>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</si>
  <si>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</si>
  <si>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</si>
  <si>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</si>
  <si>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</si>
  <si>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（財報口徑）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</si>
  <si>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（財報口徑，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</si>
  <si>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（評價口徑，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</si>
  <si>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（財報現金）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</si>
  <si>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</si>
  <si>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</si>
  <si>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</si>
  <si>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的差異：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架構（對外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收入＋其餘業務成長率線、融資瀑布）；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改為官方兩分部、八條產品線，命題只驅動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兩條子列，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資本支出經折舊進分部營業利益；評價改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。拆解見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節。</t>
    </r>
  </si>
  <si>
    <r>
      <rPr>
        <sz val="11"/>
        <color theme="1"/>
        <rFont val="Noto Sans CJK SC"/>
        <family val="2"/>
      </rPr>
      <t xml:space="preserve">已知限制：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營收與座席歷史、產品線利潤公司皆未揭露（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，給區間）；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）未納入，將以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滾入；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</si>
  <si>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建置：</t>
    </r>
    <r>
      <rPr>
        <sz val="11"/>
        <color theme="1"/>
        <rFont val="Calibri"/>
        <family val="2"/>
        <charset val="1"/>
      </rPr>
      <t xml:space="preserve">python3 microsoft/build_microsoft.py raw.xlsx → soffice --headless --calc --convert-to xlsx → microsoft/dist/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python3 tools/company_html/build_company_html.py microsoft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</si>
  <si>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，獨立核對後）：收支關卡範圍公式誤加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（改為首年起五年並加核對列）；自用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扣股票薪酬、減融資租賃負債、扣期間股利；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腿改用模組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、負債含融資租賃；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新增速度收斂；汰換時更新在役世代。修正二（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，第二次核對後；</t>
    </r>
    <r>
      <rPr>
        <sz val="11"/>
        <color theme="1"/>
        <rFont val="Calibri"/>
        <family val="2"/>
        <charset val="1"/>
      </rPr>
      <t xml:space="preserve">Andy 2026-10-27 15:03 </t>
    </r>
    <r>
      <rPr>
        <sz val="11"/>
        <color theme="1"/>
        <rFont val="Noto Sans CJK SC"/>
        <family val="2"/>
      </rPr>
      <t xml:space="preserve">決定讀法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為主值）：影子效益只計評價日後新增的自用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、只扣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模組改以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起現金流折到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年底（避免與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年底淨現金重複）並扣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第一季股利、改用稀釋股數；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補足到指引下限的資本支出改列其他資本支出（不增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FY2032 MW </t>
    </r>
    <r>
      <rPr>
        <sz val="11"/>
        <color theme="1"/>
        <rFont val="Noto Sans CJK SC"/>
        <family val="2"/>
      </rPr>
      <t xml:space="preserve">增量＝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前一年在役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；加 </t>
    </r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Noto Sans CJK SC"/>
        <family val="2"/>
      </rPr>
      <t xml:space="preserve">敏感度。修正三（第三次核對後）：影子效益基準改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補加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年底到目標價時點的非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補足差額的折舊由營業利益扣除。前後對照見報告第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節。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</si>
  <si>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輸入（藍字＝輸入、黑字＝由其他輸入推得）。基準欄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；金額十億美元（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</si>
  <si>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PR #105</t>
    </r>
    <r>
      <rPr>
        <sz val="11"/>
        <color theme="1"/>
        <rFont val="Noto Sans CJK SC"/>
        <family val="2"/>
      </rPr>
      <t xml:space="preserve">）已核准的參數與證據，原出處見來源欄；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一手數字取自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起的事實總帳）</t>
    </r>
  </si>
  <si>
    <t xml:space="preserve">鍵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</si>
  <si>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</si>
  <si>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</si>
  <si>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</si>
  <si>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</si>
  <si>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</si>
  <si>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</si>
  <si>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</si>
  <si>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股價、股數與資本結構（評價日 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年底；目標價時點＝今日 </t>
    </r>
    <r>
      <rPr>
        <b val="true"/>
        <sz val="11"/>
        <rFont val="Cambria"/>
        <family val="0"/>
        <charset val="1"/>
      </rPr>
      <t xml:space="preserve">2026-10-27 </t>
    </r>
    <r>
      <rPr>
        <b val="true"/>
        <sz val="11"/>
        <rFont val="Noto Sans CJK SC"/>
        <family val="2"/>
      </rPr>
      <t xml:space="preserve">後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</si>
  <si>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</si>
  <si>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</si>
  <si>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</si>
  <si>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</si>
  <si>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https://stockanalysis.com/stocks/msft/statistics/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+8.09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+1.54%</t>
    </r>
    <r>
      <rPr>
        <sz val="11"/>
        <color theme="1"/>
        <rFont val="Noto Sans CJK SC"/>
        <family val="2"/>
      </rPr>
      <t xml:space="preserve">；擷取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</si>
  <si>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524.51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漲 </t>
    </r>
    <r>
      <rPr>
        <sz val="11"/>
        <color theme="1"/>
        <rFont val="Calibri"/>
        <family val="2"/>
        <charset val="1"/>
      </rPr>
      <t xml:space="preserve">8.09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，兩來源一致</t>
    </r>
  </si>
  <si>
    <t xml:space="preserve">sh_dil26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</si>
  <si>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稀釋加權股數</t>
    </r>
  </si>
  <si>
    <t xml:space="preserve">十億股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</si>
  <si>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</si>
  <si>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）的分母</t>
    </r>
  </si>
  <si>
    <t xml:space="preserve">sh_basic26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</si>
  <si>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</si>
  <si>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is.sharesBasicW.fy2026</t>
    </r>
  </si>
  <si>
    <t xml:space="preserve">—</t>
  </si>
  <si>
    <t xml:space="preserve">dil_gap</t>
  </si>
  <si>
    <t xml:space="preserve">稀釋與基本股數差</t>
  </si>
  <si>
    <t xml:space="preserve">Derived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</si>
  <si>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 − 基本</t>
    </r>
  </si>
  <si>
    <t xml:space="preserve">預測期稀釋股數＝期間平均流通股數＋此差額</t>
  </si>
  <si>
    <t xml:space="preserve">sh_out26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</si>
  <si>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</si>
  <si>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sh.out.fy2026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）</t>
    </r>
  </si>
  <si>
    <t xml:space="preserve">cash_open</t>
  </si>
  <si>
    <r>
      <rPr>
        <sz val="11"/>
        <color theme="1"/>
        <rFont val="Noto Sans CJK SC"/>
        <family val="2"/>
      </rPr>
      <t xml:space="preserve">現金與短期投資（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</si>
  <si>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</si>
  <si>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bs.cashSti.fy2026</t>
    </r>
  </si>
  <si>
    <t xml:space="preserve">debt_face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</si>
  <si>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</si>
  <si>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debt.face.fy2026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</si>
  <si>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帳面值 </t>
    </r>
    <r>
      <rPr>
        <sz val="11"/>
        <color theme="1"/>
        <rFont val="Calibri"/>
        <family val="2"/>
        <charset val="1"/>
      </rPr>
      <t xml:space="preserve">40.294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與淨現金用面額</t>
    </r>
  </si>
  <si>
    <t xml:space="preserve">debt_mat_27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</si>
  <si>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</si>
  <si>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debt.maturity.fy2027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</si>
  <si>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</si>
  <si>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</si>
  <si>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debt.maturity.fy2028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</si>
  <si>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</si>
  <si>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</si>
  <si>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debt.maturity.fy2029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</si>
  <si>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</si>
  <si>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</si>
  <si>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debt.maturity.fy2030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</si>
  <si>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</si>
  <si>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</si>
  <si>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debt.maturity.fy2031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</si>
  <si>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</si>
  <si>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</t>
    </r>
  </si>
  <si>
    <t xml:space="preserve">Assumed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</si>
  <si>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｜到期表只列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以後合計 </t>
    </r>
    <r>
      <rPr>
        <sz val="11"/>
        <color theme="1"/>
        <rFont val="Calibri"/>
        <family val="2"/>
        <charset val="1"/>
      </rPr>
      <t xml:space="preserve">34.385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</si>
  <si>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t xml:space="preserve">fl_liab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</si>
  <si>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，在帳）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</si>
  <si>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lease.finLiab.fy2026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</si>
  <si>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在帳融資租賃的資產已在過去的資本支出（公司口徑）內，其本金在預測期照付（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</si>
  <si>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t xml:space="preserve">fl_rate</t>
  </si>
  <si>
    <t xml:space="preserve">融資租賃加權利率</t>
  </si>
  <si>
    <t xml:space="preserve">%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</si>
  <si>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lease.wtdRate.fin</t>
    </r>
  </si>
  <si>
    <t xml:space="preserve">fl_pay_27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</si>
  <si>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</si>
  <si>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lease.maturity.fin.fy2027</t>
    </r>
  </si>
  <si>
    <t xml:space="preserve">fl_pay_28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</si>
  <si>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</si>
  <si>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lease.maturity.fin.fy2028</t>
    </r>
  </si>
  <si>
    <t xml:space="preserve">fl_pay_29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</si>
  <si>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</si>
  <si>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lease.maturity.fin.fy2029</t>
    </r>
  </si>
  <si>
    <t xml:space="preserve">fl_pay_30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</si>
  <si>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</si>
  <si>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lease.maturity.fin.fy2030</t>
    </r>
  </si>
  <si>
    <t xml:space="preserve">fl_pay_31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</si>
  <si>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</si>
  <si>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lease.maturity.fin.fy2031</t>
    </r>
  </si>
  <si>
    <t xml:space="preserve">fl_pay_32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</si>
  <si>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</si>
  <si>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（之後合計 </t>
    </r>
    <r>
      <rPr>
        <sz val="11"/>
        <color theme="1"/>
        <rFont val="Calibri"/>
        <family val="2"/>
        <charset val="1"/>
      </rPr>
      <t xml:space="preserve">55.490 </t>
    </r>
    <r>
      <rPr>
        <sz val="11"/>
        <color theme="1"/>
        <rFont val="Noto Sans CJK SC"/>
        <family val="2"/>
      </rPr>
      <t xml:space="preserve">分多年）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</si>
  <si>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</si>
  <si>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</si>
  <si>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defaults.minCash 50</t>
    </r>
    <r>
      <rPr>
        <sz val="11"/>
        <color theme="1"/>
        <rFont val="Noto Sans CJK SC"/>
        <family val="2"/>
      </rPr>
      <t xml:space="preserve">）</t>
    </r>
  </si>
  <si>
    <t xml:space="preserve">低於此水準先停回購、再舉債</t>
  </si>
  <si>
    <t xml:space="preserve">bb_target</t>
  </si>
  <si>
    <t xml:space="preserve">回購目標（每年）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</si>
  <si>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cf.buyback.fy2026</t>
    </r>
    <r>
      <rPr>
        <sz val="11"/>
        <color theme="1"/>
        <rFont val="Noto Sans CJK SC"/>
        <family val="2"/>
      </rPr>
      <t xml:space="preserve">（含員工扣稅買回 </t>
    </r>
    <r>
      <rPr>
        <sz val="11"/>
        <color theme="1"/>
        <rFont val="Calibri"/>
        <family val="2"/>
        <charset val="1"/>
      </rPr>
      <t xml:space="preserve">5.6</t>
    </r>
    <r>
      <rPr>
        <sz val="11"/>
        <color theme="1"/>
        <rFont val="Noto Sans CJK SC"/>
        <family val="2"/>
      </rPr>
      <t xml:space="preserve">）</t>
    </r>
  </si>
  <si>
    <t xml:space="preserve">現金不足時先減回購</t>
  </si>
  <si>
    <t xml:space="preserve">bb_g</t>
  </si>
  <si>
    <t xml:space="preserve">回購價格年增（以現價起算）</t>
  </si>
  <si>
    <t xml:space="preserve">無：約等於股東權益成本扣股利率</t>
  </si>
  <si>
    <t xml:space="preserve">只影響股數</t>
  </si>
  <si>
    <t xml:space="preserve">sh_iss</t>
  </si>
  <si>
    <t xml:space="preserve">員工股票發行（每年）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</si>
  <si>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回購約 </t>
    </r>
    <r>
      <rPr>
        <sz val="11"/>
        <color theme="1"/>
        <rFont val="Calibri"/>
        <family val="2"/>
        <charset val="1"/>
      </rPr>
      <t xml:space="preserve">0.048 </t>
    </r>
    <r>
      <rPr>
        <sz val="11"/>
        <color theme="1"/>
        <rFont val="Noto Sans CJK SC"/>
        <family val="2"/>
      </rPr>
      <t xml:space="preserve">十億股（計畫 </t>
    </r>
    <r>
      <rPr>
        <sz val="11"/>
        <color theme="1"/>
        <rFont val="Calibri"/>
        <family val="2"/>
        <charset val="1"/>
      </rPr>
      <t xml:space="preserve">0.036</t>
    </r>
    <r>
      <rPr>
        <sz val="11"/>
        <color theme="1"/>
        <rFont val="Noto Sans CJK SC"/>
        <family val="2"/>
      </rPr>
      <t xml:space="preserve">＋扣稅買回 </t>
    </r>
    <r>
      <rPr>
        <sz val="11"/>
        <color theme="1"/>
        <rFont val="Calibri"/>
        <family val="2"/>
        <charset val="1"/>
      </rPr>
      <t xml:space="preserve">5.6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470 </t>
    </r>
    <r>
      <rPr>
        <sz val="11"/>
        <color theme="1"/>
        <rFont val="Noto Sans CJK SC"/>
        <family val="2"/>
      </rPr>
      <t xml:space="preserve">美元），基本加權股數 </t>
    </r>
    <r>
      <rPr>
        <sz val="11"/>
        <color theme="1"/>
        <rFont val="Calibri"/>
        <family val="2"/>
        <charset val="1"/>
      </rPr>
      <t xml:space="preserve">7.433 → 7.429 </t>
    </r>
    <r>
      <rPr>
        <sz val="11"/>
        <color theme="1"/>
        <rFont val="Noto Sans CJK SC"/>
        <family val="2"/>
      </rPr>
      <t xml:space="preserve">幾乎不變 → 發行約 </t>
    </r>
    <r>
      <rPr>
        <sz val="11"/>
        <color theme="1"/>
        <rFont val="Calibri"/>
        <family val="2"/>
        <charset val="1"/>
      </rPr>
      <t xml:space="preserve">0.045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</si>
  <si>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</si>
  <si>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dps_q0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</si>
  <si>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第一季付，舊額）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</si>
  <si>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sh.dps.fy2026</t>
    </r>
    <r>
      <rPr>
        <sz val="11"/>
        <color theme="1"/>
        <rFont val="Noto Sans CJK SC"/>
        <family val="2"/>
      </rPr>
      <t xml:space="preserve">（每季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）</t>
    </r>
  </si>
  <si>
    <t xml:space="preserve">dps_q1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</si>
  <si>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2026-09-15 </t>
    </r>
    <r>
      <rPr>
        <sz val="11"/>
        <color theme="1"/>
        <rFont val="Noto Sans CJK SC"/>
        <family val="2"/>
      </rPr>
      <t xml:space="preserve">宣告，新額）</t>
    </r>
  </si>
  <si>
    <t xml:space="preserve">Interested-party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</si>
  <si>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sh.dpsQ.fy27q1</t>
    </r>
  </si>
  <si>
    <t xml:space="preserve">dps_27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</si>
  <si>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每股股利（付現）</t>
    </r>
  </si>
  <si>
    <t xml:space="preserve">第一季付舊額、其後三季付新額</t>
  </si>
  <si>
    <t xml:space="preserve">dps_g</t>
  </si>
  <si>
    <r>
      <rPr>
        <sz val="11"/>
        <color theme="1"/>
        <rFont val="Noto Sans CJK SC"/>
        <family val="2"/>
      </rPr>
      <t xml:space="preserve">每股股利年增（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</si>
  <si>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defaults.dividend.growth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宣告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</si>
  <si>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折現率與評價參數（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CAPM </t>
    </r>
    <r>
      <rPr>
        <b val="true"/>
        <sz val="11"/>
        <rFont val="Noto Sans CJK SC"/>
        <family val="2"/>
      </rPr>
      <t xml:space="preserve">輸入；權重為 </t>
    </r>
    <r>
      <rPr>
        <b val="true"/>
        <sz val="11"/>
        <rFont val="Cambria"/>
        <family val="0"/>
        <charset val="1"/>
      </rPr>
      <t xml:space="preserve">[</t>
    </r>
    <r>
      <rPr>
        <b val="true"/>
        <sz val="11"/>
        <rFont val="Noto Sans CJK SC"/>
        <family val="2"/>
      </rPr>
      <t xml:space="preserve">判斷</t>
    </r>
    <r>
      <rPr>
        <b val="true"/>
        <sz val="11"/>
        <rFont val="Cambria"/>
        <family val="0"/>
        <charset val="1"/>
      </rPr>
      <t xml:space="preserve">] </t>
    </r>
    <r>
      <rPr>
        <b val="true"/>
        <sz val="11"/>
        <rFont val="Noto Sans CJK SC"/>
        <family val="2"/>
      </rPr>
      <t xml:space="preserve">預設，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</si>
  <si>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</si>
  <si>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</si>
  <si>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U.S. Treasury 10 </t>
    </r>
    <r>
      <rPr>
        <sz val="11"/>
        <color theme="1"/>
        <rFont val="Noto Sans CJK SC"/>
        <family val="2"/>
      </rPr>
      <t xml:space="preserve">年期殖利率 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5.00%</t>
    </r>
    <r>
      <rPr>
        <sz val="11"/>
        <color theme="1"/>
        <rFont val="Noto Sans CJK SC"/>
        <family val="2"/>
      </rPr>
      <t xml:space="preserve">（修正一：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端統一 </t>
    </r>
    <r>
      <rPr>
        <sz val="11"/>
        <color theme="1"/>
        <rFont val="Calibri"/>
        <family val="2"/>
        <charset val="1"/>
      </rPr>
      <t xml:space="preserve">MAG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個股模型的同一輸入，與 </t>
    </r>
    <r>
      <rPr>
        <sz val="11"/>
        <color theme="1"/>
        <rFont val="Calibri"/>
        <family val="2"/>
        <charset val="1"/>
      </rPr>
      <t xml:space="preserve">Amazon v0.3 </t>
    </r>
    <r>
      <rPr>
        <sz val="11"/>
        <color theme="1"/>
        <rFont val="Noto Sans CJK SC"/>
        <family val="2"/>
      </rPr>
      <t xml:space="preserve">相同）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</si>
  <si>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val.ust10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5.28%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初版）</t>
    </r>
  </si>
  <si>
    <t xml:space="preserve">beta_sa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</si>
  <si>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年月資料；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同值，推測同源，算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個）</t>
    </r>
  </si>
  <si>
    <t xml:space="preserve">x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</si>
  <si>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val.beta.sa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</si>
  <si>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：獨立來源</t>
    </r>
  </si>
  <si>
    <t xml:space="preserve">beta_gf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</si>
  <si>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</si>
  <si>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val.beta.gurufocus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</si>
  <si>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blume_w</t>
  </si>
  <si>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調整：原始 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權重（其餘向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收斂）</t>
    </r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</si>
  <si>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0.67 × </t>
    </r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0.33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</si>
  <si>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</si>
  <si>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（兩個獨立來源 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調整後的中位數）</t>
    </r>
  </si>
  <si>
    <r>
      <rPr>
        <sz val="11"/>
        <color theme="1"/>
        <rFont val="Calibri"/>
        <family val="2"/>
        <charset val="1"/>
      </rPr>
      <t xml:space="preserve">Blume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1.10 → 1.067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1.1741 → 1.117</t>
    </r>
    <r>
      <rPr>
        <sz val="11"/>
        <color theme="1"/>
        <rFont val="Noto Sans CJK SC"/>
        <family val="2"/>
      </rPr>
      <t xml:space="preserve">；中位數 </t>
    </r>
    <r>
      <rPr>
        <sz val="11"/>
        <color theme="1"/>
        <rFont val="Calibri"/>
        <family val="2"/>
        <charset val="1"/>
      </rPr>
      <t xml:space="preserve">1.092</t>
    </r>
    <r>
      <rPr>
        <sz val="11"/>
        <color theme="1"/>
        <rFont val="Noto Sans CJK SC"/>
        <family val="2"/>
      </rPr>
      <t xml:space="preserve">（修正一；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初版用原始平均 </t>
    </r>
    <r>
      <rPr>
        <sz val="11"/>
        <color theme="1"/>
        <rFont val="Calibri"/>
        <family val="2"/>
        <charset val="1"/>
      </rPr>
      <t xml:space="preserve">1.137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</si>
  <si>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＝獨立核對建議區間下緣；高＝原始 </t>
    </r>
    <r>
      <rPr>
        <sz val="11"/>
        <color theme="1"/>
        <rFont val="Calibri"/>
        <family val="2"/>
        <charset val="1"/>
      </rPr>
      <t xml:space="preserve">GuruFocus</t>
    </r>
  </si>
  <si>
    <t xml:space="preserve">erp</t>
  </si>
  <si>
    <t xml:space="preserve">股權風險溢酬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</si>
  <si>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5.10</t>
    </r>
    <r>
      <rPr>
        <sz val="11"/>
        <color theme="1"/>
        <rFont val="Noto Sans CJK SC"/>
        <family val="2"/>
      </rPr>
      <t xml:space="preserve">（判斷，列敏感度）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</si>
  <si>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</si>
  <si>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t xml:space="preserve">kd_aaa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</si>
  <si>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Moody's Aaa </t>
    </r>
    <r>
      <rPr>
        <sz val="11"/>
        <color theme="1"/>
        <rFont val="Noto Sans CJK SC"/>
        <family val="2"/>
      </rPr>
      <t xml:space="preserve">公司債殖利率（長天期）</t>
    </r>
  </si>
  <si>
    <t xml:space="preserve">Analogy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</si>
  <si>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val.kd.aaa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FRED DAAA 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</si>
  <si>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指數為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年以上長債，修正一改用約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</t>
    </r>
  </si>
  <si>
    <t xml:space="preserve">kd_spread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</si>
  <si>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公司債對美債利差</t>
    </r>
  </si>
  <si>
    <t xml:space="preserve">pt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</si>
  <si>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個別債券殖利率找不到；</t>
    </r>
    <r>
      <rPr>
        <sz val="11"/>
        <color theme="1"/>
        <rFont val="Calibri"/>
        <family val="2"/>
        <charset val="1"/>
      </rPr>
      <t xml:space="preserve">AAA 10 </t>
    </r>
    <r>
      <rPr>
        <sz val="11"/>
        <color theme="1"/>
        <rFont val="Noto Sans CJK SC"/>
        <family val="2"/>
      </rPr>
      <t xml:space="preserve">年期利差歷史約 </t>
    </r>
    <r>
      <rPr>
        <sz val="11"/>
        <color theme="1"/>
        <rFont val="Calibri"/>
        <family val="2"/>
        <charset val="1"/>
      </rPr>
      <t xml:space="preserve">0.3–0.9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</si>
  <si>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＋利差（修正一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</si>
  <si>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</si>
  <si>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年期公司債）</t>
    </r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</si>
  <si>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年美債）＋利差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</si>
  <si>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</si>
  <si>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</si>
  <si>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</si>
  <si>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ke</t>
  </si>
  <si>
    <r>
      <rPr>
        <sz val="11"/>
        <color theme="1"/>
        <rFont val="Noto Sans CJK SC"/>
        <family val="2"/>
      </rPr>
      <t xml:space="preserve">股東權益成本（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</si>
  <si>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β × ERP</t>
    </r>
  </si>
  <si>
    <t xml:space="preserve">wacc</t>
  </si>
  <si>
    <t xml:space="preserve">WACC</t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</si>
  <si>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ke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＝債務面額＋在帳融資租賃負債（修正一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</si>
  <si>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10.90%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10.90%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</si>
  <si>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</si>
  <si>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</si>
  <si>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g 3%</t>
    </r>
  </si>
  <si>
    <t xml:space="preserve">Sens ±1pt</t>
  </si>
  <si>
    <t xml:space="preserve">ronic_prem</t>
  </si>
  <si>
    <r>
      <rPr>
        <sz val="11"/>
        <color theme="1"/>
        <rFont val="Noto Sans CJK SC"/>
        <family val="2"/>
      </rPr>
      <t xml:space="preserve">永續期新投資報酬 − </t>
    </r>
    <r>
      <rPr>
        <sz val="11"/>
        <color theme="1"/>
        <rFont val="Calibri"/>
        <family val="2"/>
        <charset val="1"/>
      </rPr>
      <t xml:space="preserve">WACC</t>
    </r>
  </si>
  <si>
    <t xml:space="preserve">無：永續期新投資只賺資金成本（成長不創造價值）</t>
  </si>
  <si>
    <r>
      <rPr>
        <sz val="11"/>
        <color theme="1"/>
        <rFont val="Noto Sans CJK SC"/>
        <family val="2"/>
      </rPr>
      <t xml:space="preserve">永續期自由現金流＝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新投資報酬）；替代口徑（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</si>
  <si>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base_fy</t>
  </si>
  <si>
    <t xml:space="preserve">評價日所屬會計年度（最新已申報年度）</t>
  </si>
  <si>
    <t xml:space="preserve">年</t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</si>
  <si>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</si>
  <si>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公式中的年數以「年度列 − </t>
    </r>
    <r>
      <rPr>
        <sz val="11"/>
        <color theme="1"/>
        <rFont val="Calibri"/>
        <family val="2"/>
        <charset val="1"/>
      </rPr>
      <t xml:space="preserve">base_fy</t>
    </r>
    <r>
      <rPr>
        <sz val="11"/>
        <color theme="1"/>
        <rFont val="Noto Sans CJK SC"/>
        <family val="2"/>
      </rPr>
      <t xml:space="preserve">」計算（修正一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：不寫死）</t>
    </r>
  </si>
  <si>
    <t xml:space="preserve">mid_yr</t>
  </si>
  <si>
    <t xml:space="preserve">期中折現：年中偏移</t>
  </si>
  <si>
    <t xml:space="preserve">現金流平均發生在年中</t>
  </si>
  <si>
    <t xml:space="preserve">roll_d1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</si>
  <si>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</si>
  <si>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日期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</si>
  <si>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</t>
    </r>
  </si>
  <si>
    <t xml:space="preserve">roll_d2</t>
  </si>
  <si>
    <r>
      <rPr>
        <sz val="11"/>
        <color theme="1"/>
        <rFont val="Noto Sans CJK SC"/>
        <family val="2"/>
      </rPr>
      <t xml:space="preserve">目標價時點（今日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</si>
  <si>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工作單：目標價約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</si>
  <si>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days_yr</t>
  </si>
  <si>
    <t xml:space="preserve">每年天數</t>
  </si>
  <si>
    <t xml:space="preserve">天</t>
  </si>
  <si>
    <t xml:space="preserve">t_roll</t>
  </si>
  <si>
    <t xml:space="preserve">評價日 → 目標價時點（年）</t>
  </si>
  <si>
    <t xml:space="preserve">2026-06-30 → 2027-10-27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</si>
  <si>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推到目標價時點（已決定事項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沿用），並扣除期間股利（修正一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</si>
  <si>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roll_div_q</t>
  </si>
  <si>
    <r>
      <rPr>
        <sz val="11"/>
        <color theme="1"/>
        <rFont val="Noto Sans CJK SC"/>
        <family val="2"/>
      </rPr>
      <t xml:space="preserve">評價日到目標價時點之間、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已付的股利季數</t>
    </r>
  </si>
  <si>
    <t xml:space="preserve">季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</si>
  <si>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第一季股利約 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支付，早於 </t>
    </r>
    <r>
      <rPr>
        <sz val="11"/>
        <color theme="1"/>
        <rFont val="Calibri"/>
        <family val="2"/>
        <charset val="1"/>
      </rPr>
      <t xml:space="preserve">2027-10-27</t>
    </r>
  </si>
  <si>
    <t xml:space="preserve">q_per_yr</t>
  </si>
  <si>
    <t xml:space="preserve">每年季數</t>
  </si>
  <si>
    <t xml:space="preserve">stub_d0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</si>
  <si>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淨現金日（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2027-06-30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</si>
  <si>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</t>
    </r>
  </si>
  <si>
    <t xml:space="preserve">t_stub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</si>
  <si>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淨現金日 → 目標價時點（年）</t>
    </r>
  </si>
  <si>
    <t xml:space="preserve">2027-06-30 → 2027-10-27</t>
  </si>
  <si>
    <r>
      <rPr>
        <sz val="11"/>
        <color theme="1"/>
        <rFont val="Noto Sans CJK SC"/>
        <family val="2"/>
      </rPr>
      <t xml:space="preserve">修正三：此期間的非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自由現金流既不在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年底淨現金、也不在目標價時點 </t>
    </r>
    <r>
      <rPr>
        <sz val="11"/>
        <color theme="1"/>
        <rFont val="Calibri"/>
        <family val="2"/>
        <charset val="1"/>
      </rPr>
      <t xml:space="preserve">NTM EBITDA </t>
    </r>
    <r>
      <rPr>
        <sz val="11"/>
        <color theme="1"/>
        <rFont val="Noto Sans CJK SC"/>
        <family val="2"/>
      </rPr>
      <t xml:space="preserve">倍數內，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補加</t>
    </r>
  </si>
  <si>
    <t xml:space="preserve">fy28_end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</si>
  <si>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</si>
  <si>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</t>
    </r>
  </si>
  <si>
    <t xml:space="preserve">w_ntm28</t>
  </si>
  <si>
    <r>
      <rPr>
        <sz val="11"/>
        <color theme="1"/>
        <rFont val="Noto Sans CJK SC"/>
        <family val="2"/>
      </rPr>
      <t xml:space="preserve">目標價時點的未來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個月中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的比重</t>
    </r>
  </si>
  <si>
    <r>
      <rPr>
        <sz val="11"/>
        <color theme="1"/>
        <rFont val="Calibri"/>
        <family val="2"/>
        <charset val="1"/>
      </rPr>
      <t xml:space="preserve">2027-10-27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0.32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</si>
  <si>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NTM EBITDA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</si>
  <si>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</si>
  <si>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</si>
  <si>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</si>
  <si>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</si>
  <si>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</si>
  <si>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</si>
  <si>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</si>
  <si>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</si>
  <si>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</si>
  <si>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</si>
  <si>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</si>
  <si>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oai_stake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</si>
  <si>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持股比例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</si>
  <si>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oai.stake.fy2026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FY2026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approximate 25%</t>
    </r>
    <r>
      <rPr>
        <sz val="11"/>
        <color theme="1"/>
        <rFont val="Noto Sans CJK SC"/>
        <family val="2"/>
      </rPr>
      <t xml:space="preserve">，經查核，最新）</t>
    </r>
  </si>
  <si>
    <r>
      <rPr>
        <sz val="11"/>
        <color theme="1"/>
        <rFont val="Calibri"/>
        <family val="2"/>
        <charset val="1"/>
      </rPr>
      <t xml:space="preserve">oai.stake.recap</t>
    </r>
    <r>
      <rPr>
        <sz val="11"/>
        <color theme="1"/>
        <rFont val="Noto Sans CJK SC"/>
        <family val="2"/>
      </rPr>
      <t xml:space="preserve">：重組時（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FY26Q1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稱其後因其他籌資稀釋降到約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。修正一維持最新查核值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27% </t>
    </r>
    <r>
      <rPr>
        <sz val="11"/>
        <color theme="1"/>
        <rFont val="Noto Sans CJK SC"/>
        <family val="2"/>
      </rPr>
      <t xml:space="preserve">列判斷替代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</si>
  <si>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</si>
  <si>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最近一輪投後估值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</si>
  <si>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oai.valuation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結案，募資 </t>
    </r>
    <r>
      <rPr>
        <sz val="11"/>
        <color theme="1"/>
        <rFont val="Calibri"/>
        <family val="2"/>
        <charset val="1"/>
      </rPr>
      <t xml:space="preserve">122</t>
    </r>
    <r>
      <rPr>
        <sz val="11"/>
        <color theme="1"/>
        <rFont val="Noto Sans CJK SC"/>
        <family val="2"/>
      </rPr>
      <t xml:space="preserve">）</t>
    </r>
  </si>
  <si>
    <t xml:space="preserve">新創自報估值</t>
  </si>
  <si>
    <t xml:space="preserve">liq_disc</t>
  </si>
  <si>
    <t xml:space="preserve">未上市持股流動性折價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</si>
  <si>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20%</t>
    </r>
  </si>
  <si>
    <t xml:space="preserve">oai_v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</si>
  <si>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持股價值（扣折價）</t>
    </r>
  </si>
  <si>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折價）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</si>
  <si>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持股比例未揭露 → 不估值（資料缺口）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</si>
  <si>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</si>
  <si>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</si>
  <si>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valuation.evEbitda 6×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</si>
  <si>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基礎設施租賃同業（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不具意義、</t>
    </r>
    <r>
      <rPr>
        <sz val="11"/>
        <color theme="1"/>
        <rFont val="Calibri"/>
        <family val="2"/>
        <charset val="1"/>
      </rPr>
      <t xml:space="preserve">ORCL NTM 9.5×</t>
    </r>
    <r>
      <rPr>
        <sz val="11"/>
        <color theme="1"/>
        <rFont val="Noto Sans CJK SC"/>
        <family val="2"/>
      </rPr>
      <t xml:space="preserve">）口徑不一，沿用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</si>
  <si>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m_cloud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</si>
  <si>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雲端倍數（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</si>
  <si>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microsoft/data/peers_cloud_20261008.json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</si>
  <si>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收盤</t>
    </r>
  </si>
  <si>
    <t xml:space="preserve">m_sw</t>
  </si>
  <si>
    <r>
      <rPr>
        <sz val="11"/>
        <color theme="1"/>
        <rFont val="Noto Sans CJK SC"/>
        <family val="2"/>
      </rPr>
      <t xml:space="preserve">企業軟體倍數（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、授權、產業、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</si>
  <si>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val.peer.sw.*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 9.54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 15.02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 10.80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ADBE 6.60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 20.65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</si>
  <si>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</si>
  <si>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m_ads</t>
  </si>
  <si>
    <r>
      <rPr>
        <sz val="11"/>
        <color theme="1"/>
        <rFont val="Noto Sans CJK SC"/>
        <family val="2"/>
      </rPr>
      <t xml:space="preserve">數位廣告倍數（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</si>
  <si>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microsoft/data/peers_ads_20261009.json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）</t>
    </r>
  </si>
  <si>
    <t xml:space="preserve">m_game</t>
  </si>
  <si>
    <r>
      <rPr>
        <sz val="11"/>
        <color theme="1"/>
        <rFont val="Noto Sans CJK SC"/>
        <family val="2"/>
      </rPr>
      <t xml:space="preserve">遊戲倍數（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</si>
  <si>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val.peer.game.*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TTWO 50.9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NTDOY 12.63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NTES 8.23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找不到）</t>
    </r>
  </si>
  <si>
    <t xml:space="preserve">2026-10-08</t>
  </si>
  <si>
    <t xml:space="preserve">m_pc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</si>
  <si>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／裝置倍數（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</si>
  <si>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val.peer.pc.*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HPQ 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 22.1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 14.47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</si>
  <si>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m_own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</si>
  <si>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</si>
  <si>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val.msft.ownNtm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</si>
  <si>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只用於判斷預設替代（非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各線改用自身倍數）</t>
    </r>
  </si>
  <si>
    <t xml:space="preserve">al_m365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</si>
  <si>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</si>
  <si>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alloc.oiMargin</t>
    </r>
    <r>
      <rPr>
        <sz val="11"/>
        <color theme="1"/>
        <rFont val="Noto Sans CJK SC"/>
        <family val="2"/>
      </rPr>
      <t xml:space="preserve">（公司不揭露產品線利潤）；沿用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</si>
  <si>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 </t>
    </r>
    <r>
      <rPr>
        <sz val="11"/>
        <color theme="1"/>
        <rFont val="Calibri"/>
        <family val="2"/>
        <charset val="1"/>
      </rPr>
      <t xml:space="preserve">PBP </t>
    </r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FY2026 59.9% </t>
    </r>
    <r>
      <rPr>
        <sz val="11"/>
        <color theme="1"/>
        <rFont val="Noto Sans CJK SC"/>
        <family val="2"/>
      </rPr>
      <t xml:space="preserve">類比；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</si>
  <si>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al_lic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</si>
  <si>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</si>
  <si>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地端授權毛利高、銷售費用低；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</si>
  <si>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al_ind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</si>
  <si>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</si>
  <si>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Dynamics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</si>
  <si>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al_fro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</si>
  <si>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</si>
  <si>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含支援服務；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</si>
  <si>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al_srch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</si>
  <si>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</si>
  <si>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</si>
  <si>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r>
      <rPr>
        <b val="true"/>
        <sz val="11"/>
        <rFont val="Cambria"/>
        <family val="0"/>
        <charset val="1"/>
      </rPr>
      <t xml:space="preserve">C. Tokenomics v21.4 </t>
    </r>
    <r>
      <rPr>
        <b val="true"/>
        <sz val="11"/>
        <rFont val="Noto Sans CJK SC"/>
        <family val="2"/>
      </rPr>
      <t xml:space="preserve">快照（</t>
    </r>
    <r>
      <rPr>
        <b val="true"/>
        <sz val="11"/>
        <rFont val="Cambria"/>
        <family val="0"/>
        <charset val="1"/>
      </rPr>
      <t xml:space="preserve">microsoft/data/tokenomics_snapshot_v21.4.json</t>
    </r>
    <r>
      <rPr>
        <b val="true"/>
        <sz val="11"/>
        <rFont val="Noto Sans CJK SC"/>
        <family val="2"/>
      </rPr>
      <t xml:space="preserve">；基準成本欄；每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關鍵電力；沿用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，本版不升級）</t>
    </r>
  </si>
  <si>
    <t xml:space="preserve">tk_hold_h100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</si>
  <si>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</si>
  <si>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</si>
  <si>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</si>
  <si>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基準成本欄</t>
  </si>
  <si>
    <t xml:space="preserve">tk_hold_gb200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</si>
  <si>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</si>
  <si>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tk_hold_gb300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</si>
  <si>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</si>
  <si>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tk_hold_vr200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</si>
  <si>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</si>
  <si>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tk_cxit_h100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</si>
  <si>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</si>
  <si>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</si>
  <si>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tk_cxit_gb200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</si>
  <si>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</si>
  <si>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tk_cxit_gb300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</si>
  <si>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</si>
  <si>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tk_cxit_vr200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</si>
  <si>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</si>
  <si>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tk_opex_h100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</si>
  <si>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</si>
  <si>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電力、維護、人員、稅保</t>
  </si>
  <si>
    <t xml:space="preserve">tk_opex_gb200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</si>
  <si>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</si>
  <si>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tk_opex_gb300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</si>
  <si>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</si>
  <si>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tk_opex_vr200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</si>
  <si>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</si>
  <si>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tk_cxfac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</si>
  <si>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</si>
  <si>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各世代相同</t>
  </si>
  <si>
    <t xml:space="preserve">tk_gpuhr_h100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</si>
  <si>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小時打平價）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</si>
  <si>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</si>
  <si>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</si>
  <si>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</si>
  <si>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折舊年限（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</si>
  <si>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伺服器與網路設備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pl.usefulLife.servers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</si>
  <si>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±1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</si>
  <si>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</si>
  <si>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</si>
  <si>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IF_CapexFacility ÷ IF_DeprFac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</si>
  <si>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起建物 </t>
    </r>
    <r>
      <rPr>
        <sz val="11"/>
        <color theme="1"/>
        <rFont val="Calibri"/>
        <family val="2"/>
        <charset val="1"/>
      </rPr>
      <t xml:space="preserve">15 → 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guid.usefulLife</t>
    </r>
    <r>
      <rPr>
        <sz val="11"/>
        <color theme="1"/>
        <rFont val="Noto Sans CJK SC"/>
        <family val="2"/>
      </rPr>
      <t xml:space="preserve">）</t>
    </r>
  </si>
  <si>
    <t xml:space="preserve">fac_wacc</t>
  </si>
  <si>
    <r>
      <rPr>
        <sz val="11"/>
        <color theme="1"/>
        <rFont val="Noto Sans CJK SC"/>
        <family val="2"/>
      </rPr>
      <t xml:space="preserve">機房租金年金折現率（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經濟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</si>
  <si>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tokenomics.holdEconWacc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Inputs!E28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</si>
  <si>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同一折現率</t>
    </r>
  </si>
  <si>
    <t xml:space="preserve">fac_rent</t>
  </si>
  <si>
    <r>
      <rPr>
        <sz val="11"/>
        <color theme="1"/>
        <rFont val="Noto Sans CJK SC"/>
        <family val="2"/>
      </rPr>
      <t xml:space="preserve">租用機房每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年租金（資本回收年金）</t>
    </r>
  </si>
  <si>
    <r>
      <rPr>
        <sz val="11"/>
        <color theme="1"/>
        <rFont val="Calibri"/>
        <family val="2"/>
        <charset val="1"/>
      </rPr>
      <t xml:space="preserve">IF_CapexFacility × </t>
    </r>
    <r>
      <rPr>
        <sz val="11"/>
        <color theme="1"/>
        <rFont val="Noto Sans CJK SC"/>
        <family val="2"/>
      </rPr>
      <t xml:space="preserve">年金因子（</t>
    </r>
    <r>
      <rPr>
        <sz val="11"/>
        <color theme="1"/>
        <rFont val="Calibri"/>
        <family val="2"/>
        <charset val="1"/>
      </rPr>
      <t xml:space="preserve">fac_wacc</t>
    </r>
    <r>
      <rPr>
        <sz val="11"/>
        <color theme="1"/>
        <rFont val="Noto Sans CJK SC"/>
        <family val="2"/>
      </rPr>
      <t xml:space="preserve">、機房年限）</t>
    </r>
  </si>
  <si>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：租用機房的租金計入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</si>
  <si>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；不以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營收、</t>
    </r>
    <r>
      <rPr>
        <b val="true"/>
        <sz val="11"/>
        <rFont val="Cambria"/>
        <family val="0"/>
        <charset val="1"/>
      </rPr>
      <t xml:space="preserve">RPO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run-rate </t>
    </r>
    <r>
      <rPr>
        <b val="true"/>
        <sz val="11"/>
        <rFont val="Noto Sans CJK SC"/>
        <family val="2"/>
      </rPr>
      <t xml:space="preserve">反推）</t>
    </r>
  </si>
  <si>
    <t xml:space="preserve">mw_ext_24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</si>
  <si>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年底，含租用）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</si>
  <si>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</si>
  <si>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v0.2.2 defaults.mwYearEnd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</si>
  <si>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</t>
    </r>
  </si>
  <si>
    <t xml:space="preserve">mw_ext_25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</si>
  <si>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年底，含租用）</t>
    </r>
  </si>
  <si>
    <t xml:space="preserve">mw_ext_26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</si>
  <si>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年底，含租用）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</si>
  <si>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）｜三法交叉：自有在役 </t>
    </r>
    <r>
      <rPr>
        <sz val="11"/>
        <color theme="1"/>
        <rFont val="Calibri"/>
        <family val="2"/>
        <charset val="1"/>
      </rPr>
      <t xml:space="preserve">AI 4,500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1,100 ×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split.extMW</t>
    </r>
    <r>
      <rPr>
        <sz val="11"/>
        <color theme="1"/>
        <rFont val="Noto Sans CJK SC"/>
        <family val="2"/>
      </rPr>
      <t xml:space="preserve">）</t>
    </r>
  </si>
  <si>
    <t xml:space="preserve">rent_ext_24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</si>
  <si>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</si>
  <si>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CoreWeave 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62%–67%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nc.crwv.*</t>
    </r>
    <r>
      <rPr>
        <sz val="11"/>
        <color theme="1"/>
        <rFont val="Noto Sans CJK SC"/>
        <family val="2"/>
      </rPr>
      <t xml:space="preserve">）推估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</si>
  <si>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</si>
  <si>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t xml:space="preserve">rent_ext_25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</si>
  <si>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</si>
  <si>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t xml:space="preserve">rent_ext_26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</si>
  <si>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</si>
  <si>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capexModel.rentedExt</t>
    </r>
    <r>
      <rPr>
        <sz val="11"/>
        <color theme="1"/>
        <rFont val="Noto Sans CJK SC"/>
        <family val="2"/>
      </rPr>
      <t xml:space="preserve">：期初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1,100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</si>
  <si>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rent_ext_f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</si>
  <si>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</si>
  <si>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rentedExt.path</t>
    </r>
    <r>
      <rPr>
        <sz val="11"/>
        <color theme="1"/>
        <rFont val="Noto Sans CJK SC"/>
        <family val="2"/>
      </rPr>
      <t xml:space="preserve">：加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205.5</t>
    </r>
    <r>
      <rPr>
        <sz val="11"/>
        <color theme="1"/>
        <rFont val="Noto Sans CJK SC"/>
        <family val="2"/>
      </rPr>
      <t xml:space="preserve">；到期以相同條件續約）</t>
    </r>
  </si>
  <si>
    <t xml:space="preserve">pace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</si>
  <si>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每年新增（三情境相同）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</si>
  <si>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</si>
  <si>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204.2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</si>
  <si>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工作單：情境差異集中在命題的變現驅動；替代（保守＝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</si>
  <si>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pace_y0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</si>
  <si>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新增速度開始收斂的年度（此年後逐年線性收斂）</t>
    </r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</si>
  <si>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之後逐年收斂，終值不得落在建置高峰</t>
    </r>
  </si>
  <si>
    <t xml:space="preserve">pace_y1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</si>
  <si>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新增速度收斂完成的年度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</si>
  <si>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只剩與永續成長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一致的增量（＝</t>
    </r>
    <r>
      <rPr>
        <sz val="11"/>
        <color theme="1"/>
        <rFont val="Calibri"/>
        <family val="2"/>
        <charset val="1"/>
      </rPr>
      <t xml:space="preserve">g_tv × FY2029 </t>
    </r>
    <r>
      <rPr>
        <sz val="11"/>
        <color theme="1"/>
        <rFont val="Noto Sans CJK SC"/>
        <family val="2"/>
      </rPr>
      <t xml:space="preserve">年底在役對外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</si>
  <si>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汰換另計</t>
  </si>
  <si>
    <t xml:space="preserve">k_ramp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</si>
  <si>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由基準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移到情境值的年數</t>
    </r>
  </si>
  <si>
    <t xml:space="preserve">無：合約重新定價需時</t>
  </si>
  <si>
    <t xml:space="preserve">pace_epoch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</si>
  <si>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可辨識站點速度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</si>
  <si>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scenarios.mwPath.pace.low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Fairwater Wisconsin 369 → 2,263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</si>
  <si>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cap_epoch</t>
    </r>
  </si>
  <si>
    <t xml:space="preserve">cap_epoch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</si>
  <si>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可辨識站點上限</t>
    </r>
  </si>
  <si>
    <t xml:space="preserve">ext_sh</t>
  </si>
  <si>
    <r>
      <rPr>
        <sz val="11"/>
        <color theme="1"/>
        <rFont val="Noto Sans CJK SC"/>
        <family val="2"/>
      </rPr>
      <t xml:space="preserve">對外比例（對外 </t>
    </r>
    <r>
      <rPr>
        <sz val="11"/>
        <color theme="1"/>
        <rFont val="Calibri"/>
        <family val="2"/>
        <charset val="1"/>
      </rPr>
      <t xml:space="preserve">AI MW ÷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</si>
  <si>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：公司無揭露，最大不確定）</t>
    </r>
  </si>
  <si>
    <r>
      <rPr>
        <sz val="11"/>
        <color theme="1"/>
        <rFont val="Calibri"/>
        <family val="2"/>
        <charset val="1"/>
      </rPr>
      <t xml:space="preserve">Sens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</si>
  <si>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t xml:space="preserve">self_build</t>
  </si>
  <si>
    <t xml:space="preserve">機房自建比例（自建＋融資租賃）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</si>
  <si>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capexModel.selfBuild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</si>
  <si>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其餘為營業租賃：不計資本支出，計租金（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</si>
  <si>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t xml:space="preserve">mix_h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</si>
  <si>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</si>
  <si>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mw.genMix.open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Hopper 15–30%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35–55%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20–40%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</si>
  <si>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以前各年同此占比</t>
    </r>
  </si>
  <si>
    <t xml:space="preserve">mix_g2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</si>
  <si>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</si>
  <si>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mix_g3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</si>
  <si>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</si>
  <si>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t xml:space="preserve">a_g3_27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</si>
  <si>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</si>
  <si>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chips.mixAdds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Maia 10%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</si>
  <si>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只登錄不切換）</t>
    </r>
  </si>
  <si>
    <t xml:space="preserve">a_g3_28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</si>
  <si>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FY2028</t>
    </r>
  </si>
  <si>
    <t xml:space="preserve">a_g3_29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</si>
  <si>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起同）</t>
    </r>
  </si>
  <si>
    <t xml:space="preserve">cxit_open</t>
  </si>
  <si>
    <r>
      <rPr>
        <sz val="11"/>
        <color theme="1"/>
        <rFont val="Noto Sans CJK SC"/>
        <family val="2"/>
      </rPr>
      <t xml:space="preserve">期初世代加權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</si>
  <si>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期初占比 </t>
    </r>
    <r>
      <rPr>
        <sz val="11"/>
        <color theme="1"/>
        <rFont val="Calibri"/>
        <family val="2"/>
        <charset val="1"/>
      </rPr>
      <t xml:space="preserve">× IF_CapexIT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</si>
  <si>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資本支出估計與折舊用</t>
    </r>
  </si>
  <si>
    <t xml:space="preserve">p_long</t>
  </si>
  <si>
    <r>
      <rPr>
        <sz val="11"/>
        <color theme="1"/>
        <rFont val="Noto Sans CJK SC"/>
        <family val="2"/>
      </rPr>
      <t xml:space="preserve">長約證據價格：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</si>
  <si>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lc.iren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TCV 9,700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</si>
  <si>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付給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的買價，代理長約賣價</t>
    </r>
  </si>
  <si>
    <t xml:space="preserve">p_spot</t>
  </si>
  <si>
    <r>
      <rPr>
        <sz val="11"/>
        <color theme="1"/>
        <rFont val="Noto Sans CJK SC"/>
        <family val="2"/>
      </rPr>
      <t xml:space="preserve">現貨證據價格：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</si>
  <si>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spot.h100.index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</si>
  <si>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Azure H100 </t>
    </r>
    <r>
      <rPr>
        <sz val="11"/>
        <color theme="1"/>
        <rFont val="Noto Sans CJK SC"/>
        <family val="2"/>
      </rPr>
      <t xml:space="preserve">隨需牌價 </t>
    </r>
    <r>
      <rPr>
        <sz val="11"/>
        <color theme="1"/>
        <rFont val="Calibri"/>
        <family val="2"/>
        <charset val="1"/>
      </rPr>
      <t xml:space="preserve">12.29</t>
    </r>
    <r>
      <rPr>
        <sz val="11"/>
        <color theme="1"/>
        <rFont val="Noto Sans CJK SC"/>
        <family val="2"/>
      </rPr>
      <t xml:space="preserve">（只作上限）</t>
    </r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</si>
  <si>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</si>
  <si>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</si>
  <si>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同世代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 </t>
    </r>
    <r>
      <rPr>
        <sz val="11"/>
        <color theme="1"/>
        <rFont val="Noto Sans CJK SC"/>
        <family val="2"/>
      </rPr>
      <t xml:space="preserve">規格）</t>
    </r>
  </si>
  <si>
    <t xml:space="preserve">v0.2.2 0.891</t>
  </si>
  <si>
    <t xml:space="preserve">p_long_lo</t>
  </si>
  <si>
    <r>
      <rPr>
        <sz val="11"/>
        <color theme="1"/>
        <rFont val="Noto Sans CJK SC"/>
        <family val="2"/>
      </rPr>
      <t xml:space="preserve">長約低端價格（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判斷倍數 </t>
    </r>
    <r>
      <rPr>
        <sz val="11"/>
        <color theme="1"/>
        <rFont val="Calibri"/>
        <family val="2"/>
        <charset val="1"/>
      </rPr>
      <t xml:space="preserve">0.45 × 12.762 </t>
    </r>
    <r>
      <rPr>
        <sz val="11"/>
        <color theme="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</si>
  <si>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long.low</t>
    </r>
    <r>
      <rPr>
        <sz val="11"/>
        <color theme="1"/>
        <rFont val="Noto Sans CJK SC"/>
        <family val="2"/>
      </rPr>
      <t xml:space="preserve">：非觀察價格）</t>
    </r>
  </si>
  <si>
    <t xml:space="preserve">只用於判斷預設替代</t>
  </si>
  <si>
    <t xml:space="preserve">k_long_lo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</si>
  <si>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長約低端</t>
    </r>
  </si>
  <si>
    <r>
      <rPr>
        <sz val="11"/>
        <color theme="1"/>
        <rFont val="Noto Sans CJK SC"/>
        <family val="2"/>
      </rPr>
      <t xml:space="preserve">長約低端價格 </t>
    </r>
    <r>
      <rPr>
        <sz val="11"/>
        <color theme="1"/>
        <rFont val="Calibri"/>
        <family val="2"/>
        <charset val="1"/>
      </rPr>
      <t xml:space="preserve">÷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</si>
  <si>
    <t xml:space="preserve">v0.2.2 0.470</t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</si>
  <si>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</si>
  <si>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</si>
  <si>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</si>
  <si>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v0.2.2 1.828</t>
  </si>
  <si>
    <t xml:space="preserve">ls_A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</si>
  <si>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</si>
  <si>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＋現貨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高端口徑）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</si>
  <si>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的價格軸差異是本版主要情境軸</t>
    </r>
  </si>
  <si>
    <t xml:space="preserve">ls_B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</si>
  <si>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</si>
  <si>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longShare 70%</t>
    </r>
  </si>
  <si>
    <t xml:space="preserve">ls_C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</si>
  <si>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</si>
  <si>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全長約（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低端口徑）</t>
    </r>
  </si>
  <si>
    <t xml:space="preserve">k_A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</si>
  <si>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</si>
  <si>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長約占比）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</si>
  <si>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 1.172</t>
    </r>
  </si>
  <si>
    <t xml:space="preserve">k_B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</si>
  <si>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</si>
  <si>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k_C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</si>
  <si>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</si>
  <si>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chip_f</t>
  </si>
  <si>
    <r>
      <rPr>
        <sz val="11"/>
        <color theme="1"/>
        <rFont val="Noto Sans CJK SC"/>
        <family val="2"/>
      </rPr>
      <t xml:space="preserve">自研晶片係數（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計）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</si>
  <si>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持有成本比 </t>
    </r>
    <r>
      <rPr>
        <sz val="11"/>
        <color theme="1"/>
        <rFont val="Calibri"/>
        <family val="2"/>
        <charset val="1"/>
      </rPr>
      <t xml:space="preserve">0.4–0.6 </t>
    </r>
    <r>
      <rPr>
        <sz val="11"/>
        <color theme="1"/>
        <rFont val="Noto Sans CJK SC"/>
        <family val="2"/>
      </rPr>
      <t xml:space="preserve">只登錄）</t>
    </r>
  </si>
  <si>
    <t xml:space="preserve">rent_mw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</si>
  <si>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年租金（全額）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</si>
  <si>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）（已揭露合約全額年租金 </t>
    </r>
    <r>
      <rPr>
        <sz val="11"/>
        <color theme="1"/>
        <rFont val="Calibri"/>
        <family val="2"/>
        <charset val="1"/>
      </rPr>
      <t xml:space="preserve">13.96 ÷ 1,571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</si>
  <si>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不另計營運成本</t>
    </r>
  </si>
  <si>
    <t xml:space="preserve">ai_net_open</t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</si>
  <si>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毛額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</si>
  <si>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capexModel.aiNetShare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</si>
  <si>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的期初投入資本</t>
    </r>
  </si>
  <si>
    <t xml:space="preserve">capex_floor27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</si>
  <si>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資本支出下限（公司口徑，含融資租賃）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</si>
  <si>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capex.fy27.derived</t>
    </r>
    <r>
      <rPr>
        <sz val="11"/>
        <color theme="1"/>
        <rFont val="Noto Sans CJK SC"/>
        <family val="2"/>
      </rPr>
      <t xml:space="preserve">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175 −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31.9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41.0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102.1</t>
    </r>
    <r>
      <rPr>
        <sz val="11"/>
        <color theme="1"/>
        <rFont val="Noto Sans CJK SC"/>
        <family val="2"/>
      </rPr>
      <t xml:space="preserve">，下半年＝上半年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</si>
  <si>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&gt;50 </t>
    </r>
    <r>
      <rPr>
        <sz val="11"/>
        <color theme="1"/>
        <rFont val="Noto Sans CJK SC"/>
        <family val="2"/>
      </rPr>
      <t xml:space="preserve">吻合；共識 </t>
    </r>
    <r>
      <rPr>
        <sz val="11"/>
        <color theme="1"/>
        <rFont val="Calibri"/>
        <family val="2"/>
        <charset val="1"/>
      </rPr>
      <t xml:space="preserve">192.8</t>
    </r>
    <r>
      <rPr>
        <sz val="11"/>
        <color theme="1"/>
        <rFont val="Noto Sans CJK SC"/>
        <family val="2"/>
      </rPr>
      <t xml:space="preserve">（推定現金口徑）</t>
    </r>
  </si>
  <si>
    <r>
      <rPr>
        <b val="true"/>
        <sz val="11"/>
        <rFont val="Cambria"/>
        <family val="0"/>
        <charset val="1"/>
      </rPr>
      <t xml:space="preserve">E. Microsoft 365 cloud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（命題子列：付費座席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每座席月費）</t>
    </r>
  </si>
  <si>
    <t xml:space="preserve">cop_s24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</si>
  <si>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</si>
  <si>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t xml:space="preserve">百萬席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</si>
  <si>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Copilot 2023-11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年底座席未揭露</t>
    </r>
  </si>
  <si>
    <t xml:space="preserve">cop_s25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</si>
  <si>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</si>
  <si>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年底座席未揭露（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</si>
  <si>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cop_s26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</si>
  <si>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</si>
  <si>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call.copilotSeats.fy26q4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百萬席；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</si>
  <si>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cop_px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</si>
  <si>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每座席月費（實收）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</si>
  <si>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／月</t>
    </r>
  </si>
  <si>
    <r>
      <rPr>
        <sz val="11"/>
        <color theme="1"/>
        <rFont val="Noto Sans CJK SC"/>
        <family val="2"/>
      </rPr>
      <t xml:space="preserve">無：牌價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美元／月，大客戶折扣未揭露</t>
    </r>
  </si>
  <si>
    <r>
      <rPr>
        <sz val="11"/>
        <color theme="1"/>
        <rFont val="Calibri"/>
        <family val="2"/>
        <charset val="1"/>
      </rPr>
      <t xml:space="preserve">Sens 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</si>
  <si>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t xml:space="preserve">cop_add_A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</si>
  <si>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</si>
  <si>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淨增約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5 → 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起點）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</si>
  <si>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</si>
  <si>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t xml:space="preserve">cop_add_B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</si>
  <si>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</si>
  <si>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cop_add_C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</si>
  <si>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</si>
  <si>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cop_tail</t>
  </si>
  <si>
    <r>
      <rPr>
        <sz val="11"/>
        <color theme="1"/>
        <rFont val="Calibri"/>
        <family val="2"/>
        <charset val="1"/>
      </rPr>
      <t xml:space="preserve">Copilot FY2030 </t>
    </r>
    <r>
      <rPr>
        <sz val="11"/>
        <color theme="1"/>
        <rFont val="Noto Sans CJK SC"/>
        <family val="2"/>
      </rPr>
      <t xml:space="preserve">起淨增相對前期的比例</t>
    </r>
  </si>
  <si>
    <t xml:space="preserve">無：滲透率上升後放緩</t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</si>
  <si>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</si>
  <si>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</si>
  <si>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t xml:space="preserve">代碼</t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</si>
  <si>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2026-10-27 15:03 </t>
    </r>
    <r>
      <rPr>
        <sz val="11"/>
        <color theme="1"/>
        <rFont val="Noto Sans CJK SC"/>
        <family val="2"/>
      </rPr>
      <t xml:space="preserve">決定讀法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為主值、讀法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為敏感度</t>
    </r>
  </si>
  <si>
    <r>
      <rPr>
        <sz val="11"/>
        <color theme="1"/>
        <rFont val="Noto Sans CJK SC"/>
        <family val="2"/>
      </rPr>
      <t xml:space="preserve">影子效益＝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評價日後新增的自用在役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核心利益率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：扣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已計的部分，避免重複</t>
    </r>
  </si>
  <si>
    <t xml:space="preserve">shadow_base</t>
  </si>
  <si>
    <r>
      <rPr>
        <sz val="11"/>
        <color theme="1"/>
        <rFont val="Noto Sans CJK SC"/>
        <family val="2"/>
      </rPr>
      <t xml:space="preserve">影子效益的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平均，主值；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</si>
  <si>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修正三：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核心利益率反映的是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），不是年底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；下半年新增的約 </t>
    </r>
    <r>
      <rPr>
        <sz val="11"/>
        <color theme="1"/>
        <rFont val="Calibri"/>
        <family val="2"/>
        <charset val="1"/>
      </rPr>
      <t xml:space="preserve">490 MW </t>
    </r>
    <r>
      <rPr>
        <sz val="11"/>
        <color theme="1"/>
        <rFont val="Noto Sans CJK SC"/>
        <family val="2"/>
      </rPr>
      <t xml:space="preserve">尚未反映在利益率內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</si>
  <si>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判斷預設表：年底基準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</si>
  <si>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產品線成長路徑：近一年年增（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8-K </t>
    </r>
    <r>
      <rPr>
        <b val="true"/>
        <sz val="11"/>
        <rFont val="Noto Sans CJK SC"/>
        <family val="2"/>
      </rPr>
      <t xml:space="preserve">重編口徑）線性收斂到長期值（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到達）</t>
    </r>
  </si>
  <si>
    <t xml:space="preserve">n_conv</t>
  </si>
  <si>
    <t xml:space="preserve">收斂年數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</si>
  <si>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 DCF </t>
    </r>
    <r>
      <rPr>
        <sz val="11"/>
        <color theme="1"/>
        <rFont val="Noto Sans CJK SC"/>
        <family val="2"/>
      </rPr>
      <t xml:space="preserve">明確期（到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）一致</t>
    </r>
  </si>
  <si>
    <t xml:space="preserve">glt_azo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</si>
  <si>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</si>
  <si>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azureNonAi 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</si>
  <si>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三情境相同（非命題業務）；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用低／高</t>
    </r>
  </si>
  <si>
    <t xml:space="preserve">glt_m365b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</si>
  <si>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</si>
  <si>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M365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Copilot 10%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後取 </t>
    </r>
    <r>
      <rPr>
        <sz val="11"/>
        <color theme="1"/>
        <rFont val="Calibri"/>
        <family val="2"/>
        <charset val="1"/>
      </rPr>
      <t xml:space="preserve">7%</t>
    </r>
  </si>
  <si>
    <t xml:space="preserve">glt_lic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</si>
  <si>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Productivity and server licensing</t>
    </r>
  </si>
  <si>
    <t xml:space="preserve">glt_ind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</si>
  <si>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Industry solutions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</si>
  <si>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indFrontier 7%</t>
    </r>
    <r>
      <rPr>
        <sz val="11"/>
        <color theme="1"/>
        <rFont val="Noto Sans CJK SC"/>
        <family val="2"/>
      </rPr>
      <t xml:space="preserve">）</t>
    </r>
  </si>
  <si>
    <t xml:space="preserve">glt_fro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</si>
  <si>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Frontier and support services</t>
    </r>
  </si>
  <si>
    <t xml:space="preserve">glt_srch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</si>
  <si>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</si>
  <si>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glt_xbox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</si>
  <si>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</si>
  <si>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devGaming 2%</t>
    </r>
    <r>
      <rPr>
        <sz val="11"/>
        <color theme="1"/>
        <rFont val="Noto Sans CJK SC"/>
        <family val="2"/>
      </rPr>
      <t xml:space="preserve">）</t>
    </r>
  </si>
  <si>
    <t xml:space="preserve">glt_win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</si>
  <si>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</si>
  <si>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損益、現金與非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</t>
    </r>
  </si>
  <si>
    <t xml:space="preserve">dm_seg</t>
  </si>
  <si>
    <r>
      <rPr>
        <sz val="11"/>
        <color theme="1"/>
        <rFont val="Noto Sans CJK SC"/>
        <family val="2"/>
      </rPr>
      <t xml:space="preserve">分部核心利益率調整（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</si>
  <si>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</si>
  <si>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加在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</t>
    </r>
  </si>
  <si>
    <t xml:space="preserve">oie_f</t>
  </si>
  <si>
    <t xml:space="preserve">業外收支（不含持股評價損益；每年）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</si>
  <si>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guid.fy27q1.oie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（每季）</t>
    </r>
  </si>
  <si>
    <r>
      <rPr>
        <sz val="11"/>
        <color theme="1"/>
        <rFont val="Noto Sans CJK SC"/>
        <family val="2"/>
      </rPr>
      <t xml:space="preserve">持股評價損益（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權益法、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</si>
  <si>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tax_f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</si>
  <si>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</si>
  <si>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</si>
  <si>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FY2026 19.4%</t>
  </si>
  <si>
    <t xml:space="preserve">sbc_r</t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</si>
  <si>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</si>
  <si>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</si>
  <si>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wc27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</si>
  <si>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營運資金變動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</si>
  <si>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cf.wc.total.fy2026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</si>
  <si>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起見 </t>
    </r>
    <r>
      <rPr>
        <sz val="11"/>
        <color theme="1"/>
        <rFont val="Calibri"/>
        <family val="2"/>
        <charset val="1"/>
      </rPr>
      <t xml:space="preserve">wc_f</t>
    </r>
  </si>
  <si>
    <t xml:space="preserve">wc_f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</si>
  <si>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起營運資金變動（每年）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</si>
  <si>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wcPctOfRevGrowth 0</t>
    </r>
    <r>
      <rPr>
        <sz val="11"/>
        <color theme="1"/>
        <rFont val="Noto Sans CJK SC"/>
        <family val="2"/>
      </rPr>
      <t xml:space="preserve">）</t>
    </r>
  </si>
  <si>
    <t xml:space="preserve">life_nonai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</si>
  <si>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資產折舊年限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</si>
  <si>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</si>
  <si>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當期非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</si>
  <si>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cx_azo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</si>
  <si>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</si>
  <si>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legacyBiz.lines.cx</t>
    </r>
    <r>
      <rPr>
        <sz val="11"/>
        <color theme="1"/>
        <rFont val="Noto Sans CJK SC"/>
        <family val="2"/>
      </rPr>
      <t xml:space="preserve">）</t>
    </r>
  </si>
  <si>
    <t xml:space="preserve">公司不揭露分部資本支出</t>
  </si>
  <si>
    <t xml:space="preserve">cx_m365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</si>
  <si>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Microsoft 365 cloud</t>
    </r>
  </si>
  <si>
    <t xml:space="preserve">cx_lic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</si>
  <si>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營收：授權</t>
    </r>
  </si>
  <si>
    <t xml:space="preserve">cx_ind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</si>
  <si>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Industry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Frontier</t>
    </r>
  </si>
  <si>
    <t xml:space="preserve">cx_srch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</si>
  <si>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</si>
  <si>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cx_dev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</si>
  <si>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</si>
  <si>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</si>
  <si>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</si>
  <si>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</si>
  <si>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頁面；中位數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Buy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</si>
  <si>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587.63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</si>
  <si>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</si>
  <si>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</si>
  <si>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</si>
  <si>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MarketScreener 391.271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</si>
  <si>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</si>
  <si>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</si>
  <si>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</si>
  <si>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MarketScreener GAAP 19.72</t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</si>
  <si>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</si>
  <si>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</si>
  <si>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microsoft/data/consensus_msft_20261008.json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</si>
  <si>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cons_rev29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</si>
  <si>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</si>
  <si>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cons_ebit27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</si>
  <si>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</si>
  <si>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營業利益口徑</t>
    </r>
  </si>
  <si>
    <t xml:space="preserve">cons_cx27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</si>
  <si>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</si>
  <si>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microsoft/data/consensus_msft_20261008.json</t>
  </si>
  <si>
    <t xml:space="preserve">模型為公司口徑（含融資租賃）</t>
  </si>
  <si>
    <t xml:space="preserve">cons_ebit28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</si>
  <si>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</si>
  <si>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</si>
  <si>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</si>
  <si>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cons_ebit29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</si>
  <si>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</si>
  <si>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</si>
  <si>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</si>
  <si>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</si>
  <si>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</si>
  <si>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</si>
  <si>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</si>
  <si>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g_q1_rev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</si>
  <si>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</si>
  <si>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）</t>
    </r>
  </si>
  <si>
    <t xml:space="preserve">g_q1_ai</t>
  </si>
  <si>
    <r>
      <rPr>
        <sz val="11"/>
        <color theme="1"/>
        <rFont val="Calibri"/>
        <family val="2"/>
        <charset val="1"/>
      </rPr>
      <t xml:space="preserve">FY27Q1 Agents and Infra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</si>
  <si>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guid.fy27q1.rev.ai</t>
    </r>
  </si>
  <si>
    <t xml:space="preserve">g_q1_dc</t>
  </si>
  <si>
    <r>
      <rPr>
        <sz val="11"/>
        <color theme="1"/>
        <rFont val="Calibri"/>
        <family val="2"/>
        <charset val="1"/>
      </rPr>
      <t xml:space="preserve">FY27Q1 Devices and Consumer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</si>
  <si>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guid.fy27q1.rev.dc</t>
    </r>
  </si>
  <si>
    <t xml:space="preserve">g_q1_az</t>
  </si>
  <si>
    <r>
      <rPr>
        <sz val="11"/>
        <color theme="1"/>
        <rFont val="Calibri"/>
        <family val="2"/>
        <charset val="1"/>
      </rPr>
      <t xml:space="preserve">FY27Q1 Azure </t>
    </r>
    <r>
      <rPr>
        <sz val="11"/>
        <color theme="1"/>
        <rFont val="Noto Sans CJK SC"/>
        <family val="2"/>
      </rPr>
      <t xml:space="preserve">年增指引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</si>
  <si>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guid.fy27q1.azure</t>
    </r>
  </si>
  <si>
    <t xml:space="preserve">g_q1_cx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</si>
  <si>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資本支出指引（下限）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</si>
  <si>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）</t>
    </r>
  </si>
  <si>
    <t xml:space="preserve">g_fy27_opm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</si>
  <si>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營業利益率變動指引（上限）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</si>
  <si>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guid.fy27.opm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down less than a point</t>
    </r>
    <r>
      <rPr>
        <sz val="11"/>
        <color theme="1"/>
        <rFont val="Noto Sans CJK SC"/>
        <family val="2"/>
      </rPr>
      <t xml:space="preserve">）</t>
    </r>
  </si>
  <si>
    <t xml:space="preserve">ai_runrate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</si>
  <si>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業務年化營收（</t>
    </r>
    <r>
      <rPr>
        <sz val="11"/>
        <color theme="1"/>
        <rFont val="Calibri"/>
        <family val="2"/>
        <charset val="1"/>
      </rPr>
      <t xml:space="preserve">FY26Q3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</si>
  <si>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call.aiRunRate.fy26q3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產品）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</si>
  <si>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：只作驗證列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</si>
  <si>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microsoft/dist/_</t>
    </r>
    <r>
      <rPr>
        <b val="true"/>
        <sz val="11"/>
        <rFont val="Noto Sans CJK SC"/>
        <family val="2"/>
      </rPr>
      <t xml:space="preserve">待刪除</t>
    </r>
    <r>
      <rPr>
        <b val="true"/>
        <sz val="11"/>
        <rFont val="Cambria"/>
        <family val="0"/>
        <charset val="1"/>
      </rPr>
      <t xml:space="preserve">/20261025_Microsoft</t>
    </r>
    <r>
      <rPr>
        <b val="true"/>
        <sz val="11"/>
        <rFont val="Noto Sans CJK SC"/>
        <family val="2"/>
      </rPr>
      <t xml:space="preserve">收支模型</t>
    </r>
    <r>
      <rPr>
        <b val="true"/>
        <sz val="11"/>
        <rFont val="Cambria"/>
        <family val="0"/>
        <charset val="1"/>
      </rPr>
      <t xml:space="preserve">_v0_2_2.xlsx </t>
    </r>
    <r>
      <rPr>
        <b val="true"/>
        <sz val="11"/>
        <rFont val="Noto Sans CJK SC"/>
        <family val="2"/>
      </rPr>
      <t xml:space="preserve">評價</t>
    </r>
    <r>
      <rPr>
        <b val="true"/>
        <sz val="11"/>
        <rFont val="Cambria"/>
        <family val="0"/>
        <charset val="1"/>
      </rPr>
      <t xml:space="preserve">_DCF</t>
    </r>
    <r>
      <rPr>
        <b val="true"/>
        <sz val="11"/>
        <rFont val="Noto Sans CJK SC"/>
        <family val="2"/>
      </rPr>
      <t xml:space="preserve">與目標價）</t>
    </r>
  </si>
  <si>
    <t xml:space="preserve">old_tp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</si>
  <si>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</si>
  <si>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成品：低欄＝積極、高欄＝保守情境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</si>
  <si>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429.43</t>
    </r>
  </si>
  <si>
    <t xml:space="preserve">old_dcf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</si>
  <si>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每股（推到目標價時點）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</si>
  <si>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</t>
    </r>
  </si>
  <si>
    <t xml:space="preserve">old_ev</t>
  </si>
  <si>
    <r>
      <rPr>
        <sz val="11"/>
        <color theme="1"/>
        <rFont val="Calibri"/>
        <family val="2"/>
        <charset val="1"/>
      </rPr>
      <t xml:space="preserve">v0.2.2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每股（融資後）</t>
    </r>
  </si>
  <si>
    <t xml:space="preserve">old_w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</si>
  <si>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</si>
  <si>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</si>
  <si>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實績（十億美元）。分部與產品線為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起的報導口徑（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Segment History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Products and Service Offerings — As Restated</t>
    </r>
    <r>
      <rPr>
        <sz val="11"/>
        <color theme="1"/>
        <rFont val="Noto Sans CJK SC"/>
        <family val="2"/>
      </rPr>
      <t xml:space="preserve">」，未經查核）；合併損益、現金流量取自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／財報新聞稿（事實總帳）</t>
    </r>
  </si>
  <si>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欄＝四季合計（公式）；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欄＝公司揭露的年度值（輸入）；核對列實績必須為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。舊三分部（</t>
    </r>
    <r>
      <rPr>
        <sz val="11"/>
        <color theme="1"/>
        <rFont val="Calibri"/>
        <family val="2"/>
        <charset val="1"/>
      </rPr>
      <t xml:space="preserve">PBP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MPC</t>
    </r>
    <r>
      <rPr>
        <sz val="11"/>
        <color theme="1"/>
        <rFont val="Noto Sans CJK SC"/>
        <family val="2"/>
      </rPr>
      <t xml:space="preserve">）列在下方對照（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以前口徑）</t>
    </r>
  </si>
  <si>
    <r>
      <rPr>
        <b val="true"/>
        <sz val="11"/>
        <rFont val="Cambria"/>
        <family val="0"/>
        <charset val="1"/>
      </rPr>
      <t xml:space="preserve">FY25Q1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</si>
  <si>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</si>
  <si>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</si>
  <si>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</si>
  <si>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</si>
  <si>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</si>
  <si>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</si>
  <si>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</si>
  <si>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</si>
  <si>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</si>
  <si>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</si>
  <si>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</si>
  <si>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Noto Sans CJK SC"/>
        <family val="2"/>
      </rPr>
      <t xml:space="preserve">來源（事實總帳 </t>
    </r>
    <r>
      <rPr>
        <b val="true"/>
        <sz val="11"/>
        <rFont val="Cambria"/>
        <family val="0"/>
        <charset val="1"/>
      </rPr>
      <t xml:space="preserve">id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</si>
  <si>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官方分部與產品線營收（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起報導口徑）</t>
    </r>
  </si>
  <si>
    <t xml:space="preserve">Agents and Infra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</si>
  <si>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seg27.ai.rev.*</t>
    </r>
  </si>
  <si>
    <t xml:space="preserve">  Azure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</si>
  <si>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q.prod27.azure.*</t>
    </r>
  </si>
  <si>
    <t xml:space="preserve">  Microsoft 365 cloud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</si>
  <si>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q.prod27.m365cloud.*</t>
    </r>
  </si>
  <si>
    <t xml:space="preserve">  Productivity and server licensing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</si>
  <si>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q.prod27.licensing.*</t>
    </r>
  </si>
  <si>
    <t xml:space="preserve">  Industry solutions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</si>
  <si>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q.prod27.industry.*</t>
    </r>
  </si>
  <si>
    <t xml:space="preserve">  Frontier and support services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</si>
  <si>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q.prod27.frontier.*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</si>
  <si>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產品線合計 − 分部</t>
    </r>
  </si>
  <si>
    <t xml:space="preserve">核對</t>
  </si>
  <si>
    <t xml:space="preserve">Devices and Consumer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</si>
  <si>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q.seg27.dc.rev.*</t>
    </r>
  </si>
  <si>
    <t xml:space="preserve">  Search and advertising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</si>
  <si>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q.prod27.searchads.*</t>
    </r>
  </si>
  <si>
    <t xml:space="preserve">  XBOX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</si>
  <si>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q.prod27.xbox.*</t>
    </r>
  </si>
  <si>
    <t xml:space="preserve">  Windows OEM and devices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</si>
  <si>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q.prod27.windows.*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</si>
  <si>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產品線合計 − 分部</t>
    </r>
  </si>
  <si>
    <t xml:space="preserve">分部合計（營收）</t>
  </si>
  <si>
    <t xml:space="preserve">合併營收（公司損益表）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</si>
  <si>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is.rev.*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</si>
  <si>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</si>
  <si>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無未分攤項：分部合計＝合併營業利益）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</si>
  <si>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</si>
  <si>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q.seg27.ai.oi.*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</si>
  <si>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</si>
  <si>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q.seg27.dc.oi.*</t>
    </r>
  </si>
  <si>
    <t xml:space="preserve">合併營業利益（公司損益表）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</si>
  <si>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q.oi.*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is.oi.*</t>
    </r>
  </si>
  <si>
    <r>
      <rPr>
        <sz val="11"/>
        <color theme="1"/>
        <rFont val="Noto Sans CJK SC"/>
        <family val="2"/>
      </rPr>
      <t xml:space="preserve">檢查：分部營業利益合計 − 合併營業利益（未分攤＝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</si>
  <si>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合併損益主要列（年度值；淨利另列各季）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</si>
  <si>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等持股損益）</t>
    </r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</si>
  <si>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q.ni.*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is.ni.*</t>
    </r>
  </si>
  <si>
    <r>
      <rPr>
        <sz val="11"/>
        <color theme="1"/>
        <rFont val="Noto Sans CJK SC"/>
        <family val="2"/>
      </rPr>
      <t xml:space="preserve">業外收支（</t>
    </r>
    <r>
      <rPr>
        <sz val="11"/>
        <color theme="1"/>
        <rFont val="Calibri"/>
        <family val="2"/>
        <charset val="1"/>
      </rPr>
      <t xml:space="preserve">other income (expense), net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</si>
  <si>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is.oie.*</t>
    </r>
  </si>
  <si>
    <t xml:space="preserve">稅前淨利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</si>
  <si>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is.pretax.*</t>
    </r>
  </si>
  <si>
    <t xml:space="preserve">所得稅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</si>
  <si>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is.tax.*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</si>
  <si>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等持股損益（公司非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調節）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</si>
  <si>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is.openaiGain.*</t>
    </r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</si>
  <si>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</si>
  <si>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is.sharesDilW.*</t>
    </r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</si>
  <si>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</si>
  <si>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is.epsDil.*</t>
    </r>
  </si>
  <si>
    <r>
      <rPr>
        <sz val="11"/>
        <color theme="1"/>
        <rFont val="Noto Sans CJK SC"/>
        <family val="2"/>
      </rPr>
      <t xml:space="preserve">檢查：營業利益＋業外 − 稅前；稅前 − 稅 − 淨利（年度，應為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</si>
  <si>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現金流量（各季為新聞稿單季值；資本支出為現金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</si>
  <si>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t xml:space="preserve">營業現金流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</si>
  <si>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q.cf.ocf.*</t>
    </r>
  </si>
  <si>
    <r>
      <rPr>
        <sz val="11"/>
        <color theme="1"/>
        <rFont val="Noto Sans CJK SC"/>
        <family val="2"/>
      </rPr>
      <t xml:space="preserve">資本支出（現金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，正值）</t>
    </r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</si>
  <si>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q.cf.capex.*</t>
    </r>
  </si>
  <si>
    <t xml:space="preserve">自由現金流（營業現金流 − 現金資本支出）</t>
  </si>
  <si>
    <t xml:space="preserve">折舊、攤銷及其他（現金流量表）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</si>
  <si>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q.cf.da.*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由年初至今推得）</t>
    </r>
  </si>
  <si>
    <t xml:space="preserve">股票薪酬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</si>
  <si>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q.cf.sbc.*</t>
    </r>
  </si>
  <si>
    <t xml:space="preserve">回購（正值）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</si>
  <si>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q.cf.buyback.*</t>
    </r>
  </si>
  <si>
    <t xml:space="preserve">股利（正值）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</si>
  <si>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q.cf.div.*</t>
    </r>
  </si>
  <si>
    <t xml:space="preserve">資本支出（公司口徑：含融資租賃，法說值）</t>
  </si>
  <si>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capexFL.*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FY25Q4 </t>
    </r>
    <r>
      <rPr>
        <sz val="11"/>
        <color theme="1"/>
        <rFont val="Noto Sans CJK SC"/>
        <family val="2"/>
      </rPr>
      <t xml:space="preserve">起；公司口徑≠現金＋融資租賃）</t>
    </r>
  </si>
  <si>
    <t xml:space="preserve">融資租賃本金（正值）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</si>
  <si>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lease.finPrincipal.*</t>
    </r>
  </si>
  <si>
    <t xml:space="preserve">檢查：四季合計 − 公司年度值（以上各列絕對值合計）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</si>
  <si>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對照：舊三分部（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以前口徑；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／各季新聞稿）與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</si>
  <si>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Productivity and Business Processes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</si>
  <si>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q.seg.pbp.rev.*</t>
    </r>
  </si>
  <si>
    <r>
      <rPr>
        <sz val="11"/>
        <color theme="1"/>
        <rFont val="Calibri"/>
        <family val="2"/>
        <charset val="1"/>
      </rPr>
      <t xml:space="preserve">Intelligent Cloud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</si>
  <si>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q.seg.ic.rev.*</t>
    </r>
  </si>
  <si>
    <r>
      <rPr>
        <sz val="11"/>
        <color theme="1"/>
        <rFont val="Calibri"/>
        <family val="2"/>
        <charset val="1"/>
      </rPr>
      <t xml:space="preserve">More Personal Computing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</si>
  <si>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q.seg.mpc.rev.*</t>
    </r>
  </si>
  <si>
    <t xml:space="preserve">檢查：舊三分部合計 − 合併營收</t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</si>
  <si>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年增（重編口徑，公司揭露）</t>
    </r>
  </si>
  <si>
    <r>
      <rPr>
        <sz val="11"/>
        <color theme="1"/>
        <rFont val="Calibri"/>
        <family val="2"/>
        <charset val="1"/>
      </rPr>
      <t xml:space="preserve">8-K 2026-09-02 Investor Metrics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q.azure27.growth.*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</si>
  <si>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→ Azure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成本）→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</si>
  <si>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三情境的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路徑相同（資本支出依公司指引），差在變現：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（長約／現貨組合）與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座席。命題模組只驅動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」子列與 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」子列，不取代官方分部</t>
    </r>
  </si>
  <si>
    <r>
      <rPr>
        <sz val="11"/>
        <color theme="1"/>
        <rFont val="Noto Sans CJK SC"/>
        <family val="2"/>
      </rPr>
      <t xml:space="preserve">核心問題的答案列：「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</si>
  <si>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</si>
  <si>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t xml:space="preserve">FY2024A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</si>
  <si>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</si>
  <si>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</si>
  <si>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</si>
  <si>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</si>
  <si>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</si>
  <si>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</si>
  <si>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</si>
  <si>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</si>
  <si>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會計年度（數值；公式以「年度 − </t>
    </r>
    <r>
      <rPr>
        <sz val="11"/>
        <color theme="1"/>
        <rFont val="Calibri"/>
        <family val="2"/>
        <charset val="1"/>
      </rPr>
      <t xml:space="preserve">base_fy</t>
    </r>
    <r>
      <rPr>
        <sz val="11"/>
        <color theme="1"/>
        <rFont val="Noto Sans CJK SC"/>
        <family val="2"/>
      </rPr>
      <t xml:space="preserve">」計年數）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</si>
  <si>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</si>
  <si>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以前＝依資本支出指引的速度；之後逐年線性收斂到 </t>
    </r>
    <r>
      <rPr>
        <sz val="11"/>
        <color theme="1"/>
        <rFont val="Calibri"/>
        <family val="2"/>
        <charset val="1"/>
      </rPr>
      <t xml:space="preserve">g_tv × </t>
    </r>
    <r>
      <rPr>
        <sz val="11"/>
        <color theme="1"/>
        <rFont val="Noto Sans CJK SC"/>
        <family val="2"/>
      </rPr>
      <t xml:space="preserve">前一年在役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的在役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年增＝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（修正二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</si>
  <si>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（年底，含租用）</t>
    </r>
  </si>
  <si>
    <t xml:space="preserve">三情境速度相同（變現驅動不同）</t>
  </si>
  <si>
    <r>
      <rPr>
        <sz val="11"/>
        <color theme="1"/>
        <rFont val="Noto Sans CJK SC"/>
        <family val="2"/>
      </rPr>
      <t xml:space="preserve">  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</si>
  <si>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</si>
  <si>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自有對外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</si>
  <si>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</si>
  <si>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含自用（</t>
    </r>
    <r>
      <rPr>
        <sz val="11"/>
        <color theme="1"/>
        <rFont val="Calibri"/>
        <family val="2"/>
        <charset val="1"/>
      </rPr>
      <t xml:space="preserve">M365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GitHub Copilot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研發）</t>
    </r>
  </si>
  <si>
    <r>
      <rPr>
        <sz val="11"/>
        <color theme="1"/>
        <rFont val="Noto Sans CJK SC"/>
        <family val="2"/>
      </rPr>
      <t xml:space="preserve">  其中自用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</si>
  <si>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欄含以前全部）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</si>
  <si>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</t>
    </r>
  </si>
  <si>
    <r>
      <rPr>
        <sz val="11"/>
        <color theme="1"/>
        <rFont val="Noto Sans CJK SC"/>
        <family val="2"/>
      </rPr>
      <t xml:space="preserve">  其中汰換為新世代的對外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（汰換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對外比例）</t>
    </r>
  </si>
  <si>
    <t xml:space="preserve">修正一：汰換時在役世代占比同步更新（舊世代依期初占比移出、新世代依當年新增占比移入）</t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</si>
  <si>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</si>
  <si>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</si>
  <si>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</si>
  <si>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</si>
  <si>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IF_HoldEcon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</si>
  <si>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長約＋其餘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</si>
  <si>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實績期三情境同用基準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（拆分是估計，不是情境）；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k_ramp </t>
    </r>
    <r>
      <rPr>
        <sz val="11"/>
        <color theme="1"/>
        <rFont val="Noto Sans CJK SC"/>
        <family val="2"/>
      </rPr>
      <t xml:space="preserve">年線性移到情境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</si>
  <si>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</si>
  <si>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計價，不乘利用率（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</si>
  <si>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營收（期間平均在役對外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</si>
  <si>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為模型估計（用於拆出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</si>
  <si>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IF_OpexGW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</si>
  <si>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（平均 </t>
    </r>
    <r>
      <rPr>
        <sz val="11"/>
        <color theme="1"/>
        <rFont val="Calibri"/>
        <family val="2"/>
        <charset val="1"/>
      </rPr>
      <t xml:space="preserve">×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</si>
  <si>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租金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</si>
  <si>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營運成本：租用機房租金（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自建比例）</t>
    </r>
  </si>
  <si>
    <t xml:space="preserve">C22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</si>
  <si>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中對外的比重（期間平均）</t>
    </r>
  </si>
  <si>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（營收 − 對外營運成本 − 租金）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</si>
  <si>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營運成本（服務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等自有產品）</t>
    </r>
  </si>
  <si>
    <r>
      <rPr>
        <sz val="11"/>
        <color theme="1"/>
        <rFont val="Noto Sans CJK SC"/>
        <family val="2"/>
      </rPr>
      <t xml:space="preserve">新增與汰換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資本支出（世代加權）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</si>
  <si>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以前用期初世代加權（估計）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</si>
  <si>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滿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年限者）</t>
    </r>
  </si>
  <si>
    <r>
      <rPr>
        <sz val="11"/>
        <color theme="1"/>
        <rFont val="Noto Sans CJK SC"/>
        <family val="2"/>
      </rPr>
      <t xml:space="preserve">只換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、機房不換；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以前全部（視同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投入）；舊機隊在年限到期後停止折舊，汰換後的新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另計折舊（不重複）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</si>
  <si>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</si>
  <si>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</si>
  <si>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補足到公司指引下限的差額（公司指引 − 公式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</si>
  <si>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</si>
  <si>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</si>
  <si>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以前為依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估計的值（非公司揭露）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</si>
  <si>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折舊（半年慣例、年限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</si>
  <si>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機房折舊（年限 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</si>
  <si>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折舊合計（進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</si>
  <si>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對外分攤折舊）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</si>
  <si>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</si>
  <si>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金額）＝</t>
    </r>
    <r>
      <rPr>
        <sz val="11"/>
        <color theme="1"/>
        <rFont val="Calibri"/>
        <family val="2"/>
        <charset val="1"/>
      </rPr>
      <t xml:space="preserve">MAX(0,</t>
    </r>
    <r>
      <rPr>
        <sz val="11"/>
        <color theme="1"/>
        <rFont val="Noto Sans CJK SC"/>
        <family val="2"/>
      </rPr>
      <t xml:space="preserve">（當年平均自用 </t>
    </r>
    <r>
      <rPr>
        <sz val="11"/>
        <color theme="1"/>
        <rFont val="Calibri"/>
        <family val="2"/>
        <charset val="1"/>
      </rPr>
      <t xml:space="preserve">MW − FY2026 </t>
    </r>
    <r>
      <rPr>
        <sz val="11"/>
        <color theme="1"/>
        <rFont val="Noto Sans CJK SC"/>
        <family val="2"/>
      </rPr>
      <t xml:space="preserve">平均自用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核心利益率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</si>
  <si>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修正二：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已反映在核心利益率內的自用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不再計；修正三：基準改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（核心利益率以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全年校準）；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只扣高於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的增量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</si>
  <si>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影子效益（依讀法開關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</si>
  <si>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增量營業利益（評價口徑）＝</t>
    </r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× </t>
    </r>
    <r>
      <rPr>
        <sz val="11"/>
        <color theme="1"/>
        <rFont val="Noto Sans CJK SC"/>
        <family val="2"/>
      </rPr>
      <t xml:space="preserve">核心利益率＋影子效益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</si>
  <si>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淨額（年底）</t>
    </r>
  </si>
  <si>
    <r>
      <rPr>
        <sz val="11"/>
        <color theme="1"/>
        <rFont val="Noto Sans CJK SC"/>
        <family val="2"/>
      </rPr>
      <t xml:space="preserve">期初＝自有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全成本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淨額比（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</si>
  <si>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  <r>
      <rPr>
        <sz val="11"/>
        <color theme="1"/>
        <rFont val="Noto Sans CJK SC"/>
        <family val="2"/>
      </rPr>
      <t xml:space="preserve">（評價口徑；稅後營業利益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淨額）</t>
    </r>
  </si>
  <si>
    <r>
      <rPr>
        <sz val="11"/>
        <color theme="1"/>
        <rFont val="Noto Sans CJK SC"/>
        <family val="2"/>
      </rPr>
      <t xml:space="preserve">  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</si>
  <si>
    <r>
      <rPr>
        <sz val="11"/>
        <color theme="1"/>
        <rFont val="Noto Sans CJK SC"/>
        <family val="2"/>
      </rPr>
      <t xml:space="preserve">  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</si>
  <si>
    <r>
      <rPr>
        <sz val="11"/>
        <color theme="1"/>
        <rFont val="Noto Sans CJK SC"/>
        <family val="2"/>
      </rPr>
      <t xml:space="preserve">  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C11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</si>
  <si>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</si>
  <si>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經濟利潤＝稅後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WACC ×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</si>
  <si>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</si>
  <si>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</si>
  <si>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Devices and Consumer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重編）→ 八條產品線；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（命題）＋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其他；</t>
    </r>
    <r>
      <rPr>
        <sz val="11"/>
        <color theme="1"/>
        <rFont val="Calibri"/>
        <family val="2"/>
        <charset val="1"/>
      </rPr>
      <t xml:space="preserve">Microsoft 365 cloud </t>
    </r>
    <r>
      <rPr>
        <sz val="11"/>
        <color theme="1"/>
        <rFont val="Noto Sans CJK SC"/>
        <family val="2"/>
      </rPr>
      <t xml:space="preserve">＝ 基礎 ＋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（命題）</t>
    </r>
  </si>
  <si>
    <r>
      <rPr>
        <sz val="11"/>
        <color theme="1"/>
        <rFont val="Noto Sans CJK SC"/>
        <family val="2"/>
      </rPr>
      <t xml:space="preserve">非命題產品線：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年增線性收斂到長期值（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到達；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節）；三情境相同。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欄為實績（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的子列為模型拆分）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</si>
  <si>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</si>
  <si>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</si>
  <si>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估計）</t>
    </r>
  </si>
  <si>
    <t xml:space="preserve">    年增（近一年 → 長期值）</t>
  </si>
  <si>
    <t xml:space="preserve">Azure</t>
  </si>
  <si>
    <r>
      <rPr>
        <sz val="11"/>
        <color theme="1"/>
        <rFont val="Calibri"/>
        <family val="2"/>
        <charset val="1"/>
      </rPr>
      <t xml:space="preserve">  Copilot </t>
    </r>
    <r>
      <rPr>
        <sz val="11"/>
        <color theme="1"/>
        <rFont val="Noto Sans CJK SC"/>
        <family val="2"/>
      </rPr>
      <t xml:space="preserve">付費座席（年底）</t>
    </r>
  </si>
  <si>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每年淨增 </t>
    </r>
    <r>
      <rPr>
        <sz val="11"/>
        <color theme="1"/>
        <rFont val="Calibri"/>
        <family val="2"/>
        <charset val="1"/>
      </rPr>
      <t xml:space="preserve">cop_add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</si>
  <si>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（命題子列：平均座席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</si>
  <si>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t xml:space="preserve">實績期用基準月費（拆分是估計）；敏感度只改預測期</t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</si>
  <si>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＝實績 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估計）</t>
    </r>
  </si>
  <si>
    <t xml:space="preserve">Microsoft 365 cloud</t>
  </si>
  <si>
    <t xml:space="preserve">Productivity and server licensing</t>
  </si>
  <si>
    <t xml:space="preserve">Industry solutions</t>
  </si>
  <si>
    <t xml:space="preserve">Frontier and support services</t>
  </si>
  <si>
    <t xml:space="preserve">Search and advertising</t>
  </si>
  <si>
    <t xml:space="preserve">XBOX</t>
  </si>
  <si>
    <t xml:space="preserve">Windows OEM and devices</t>
  </si>
  <si>
    <t xml:space="preserve">合併營收（分部合計）</t>
  </si>
  <si>
    <t xml:space="preserve">檢查：產品線合計 − 分部；實績期另比對公司分部值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</si>
  <si>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</si>
  <si>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</si>
  <si>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分部營業利益（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由核心利益率扣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依實績利益率）→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</si>
  <si>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核對列（三情境、全部年度合計，應為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讀這三列）</t>
    </r>
  </si>
  <si>
    <t xml:space="preserve">檢查：分部合計 − 合併營收（三情境，實績期另比對公司值）</t>
  </si>
  <si>
    <t xml:space="preserve">檢查：產品線合計 − 分部（三情境，實績期另比對公司值）</t>
  </si>
  <si>
    <r>
      <rPr>
        <sz val="11"/>
        <color theme="1"/>
        <rFont val="Noto Sans CJK SC"/>
        <family val="2"/>
      </rPr>
      <t xml:space="preserve">檢查：命題子列合計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；三情境）</t>
    </r>
  </si>
  <si>
    <t xml:space="preserve">檢查：分部營業利益合計 − 合併營業利益（三情境；實績期比對公司值）</t>
  </si>
  <si>
    <r>
      <rPr>
        <sz val="11"/>
        <color theme="1"/>
        <rFont val="Noto Sans CJK SC"/>
        <family val="2"/>
      </rPr>
      <t xml:space="preserve">以下三個區塊依序為情境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；分部與產品線列標籤與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對應）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</si>
  <si>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</si>
  <si>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</si>
  <si>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</si>
  <si>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（命題子列）</t>
    </r>
  </si>
  <si>
    <t xml:space="preserve">合併營收</t>
  </si>
  <si>
    <t xml:space="preserve">營收年增</t>
  </si>
  <si>
    <r>
      <rPr>
        <sz val="11"/>
        <color theme="1"/>
        <rFont val="Noto Sans CJK SC"/>
        <family val="2"/>
      </rPr>
      <t xml:space="preserve">檢查：分部合計 − 合併營收；子列合計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</si>
  <si>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核心利益率（扣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</si>
  <si>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分部營業利益＋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分部營收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</si>
  <si>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修正三：另扣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補足差額的折舊；＝核心利益率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</si>
  <si>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</si>
  <si>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</si>
  <si>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t xml:space="preserve">合併營業利益（財報口徑；分部合計，無未分攤項）</t>
  </si>
  <si>
    <t xml:space="preserve">檢查：分部營業利益合計 − 公司合併營業利益（實績）</t>
  </si>
  <si>
    <t xml:space="preserve">營業利益率（財報口徑）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</si>
  <si>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；非財報營收；分攤到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</si>
  <si>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：營收與分部對帳不動；只進評價口徑的營業利益、淨利、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</si>
  <si>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營業利益（評價口徑＝財報＋自用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</t>
    </r>
  </si>
  <si>
    <r>
      <rPr>
        <sz val="11"/>
        <color theme="1"/>
        <rFont val="Noto Sans CJK SC"/>
        <family val="2"/>
      </rPr>
      <t xml:space="preserve">  備忘：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</si>
  <si>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備忘：非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折舊攤銷（</t>
    </r>
    <r>
      <rPr>
        <sz val="11"/>
        <color theme="1"/>
        <rFont val="Calibri"/>
        <family val="2"/>
        <charset val="1"/>
      </rPr>
      <t xml:space="preserve">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</si>
  <si>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業外收支（預測期不含持股評價損益＝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</si>
  <si>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重組利得等 </t>
    </r>
    <r>
      <rPr>
        <sz val="11"/>
        <color theme="1"/>
        <rFont val="Calibri"/>
        <family val="2"/>
        <charset val="1"/>
      </rPr>
      <t xml:space="preserve">+6.5</t>
    </r>
  </si>
  <si>
    <t xml:space="preserve">稅前淨利（財報口徑）</t>
  </si>
  <si>
    <t xml:space="preserve">所得稅（財報口徑）</t>
  </si>
  <si>
    <t xml:space="preserve">淨利（財報口徑）</t>
  </si>
  <si>
    <r>
      <rPr>
        <sz val="11"/>
        <color theme="1"/>
        <rFont val="Noto Sans CJK SC"/>
        <family val="2"/>
      </rPr>
      <t xml:space="preserve">稀釋股數（十億股；回購依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</si>
  <si>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（財報口徑，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</si>
  <si>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實績期與公司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&lt; 0.01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</si>
  <si>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Noto Sans CJK SC"/>
        <family val="2"/>
      </rPr>
      <t xml:space="preserve">淨利（評價口徑＝財報＋影子效益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</si>
  <si>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</si>
  <si>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主值；讀法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時＝財報口徑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</si>
  <si>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年增（評價口徑）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</si>
  <si>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</si>
  <si>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</si>
  <si>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營業現金流（淨利＋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折舊＋股票薪酬＋營運資金）−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比例）− 融資租賃本金 → 自由現金流（財報現金）；股利、回購、舉債（最低現金）</t>
    </r>
  </si>
  <si>
    <r>
      <rPr>
        <sz val="11"/>
        <color theme="1"/>
        <rFont val="Noto Sans CJK SC"/>
        <family val="2"/>
      </rPr>
      <t xml:space="preserve">收支關卡（地圖讀此表）：模型期間首年起五年（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）自由現金流扣股利後合計（財報現金，不含自用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影子效益）；並判斷是否需要舉債或停止回購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</si>
  <si>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</si>
  <si>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；為正＝五年自由現金流足以支付股利（地圖收支關卡讀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欄＝基準情境）。修正一：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初版的範圍公式被讀成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欄到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欄，誤加了 </t>
    </r>
    <r>
      <rPr>
        <sz val="11"/>
        <color theme="1"/>
        <rFont val="Calibri"/>
        <family val="2"/>
        <charset val="1"/>
      </rPr>
      <t xml:space="preserve">FY2032</t>
    </r>
  </si>
  <si>
    <r>
      <rPr>
        <sz val="11"/>
        <color theme="1"/>
        <rFont val="Noto Sans CJK SC"/>
        <family val="2"/>
      </rPr>
      <t xml:space="preserve">是否需要舉債或停止回購（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</si>
  <si>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</si>
  <si>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</si>
  <si>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（公司口徑，參考）</t>
    </r>
  </si>
  <si>
    <r>
      <rPr>
        <sz val="11"/>
        <color theme="1"/>
        <rFont val="Noto Sans CJK SC"/>
        <family val="2"/>
      </rPr>
      <t xml:space="preserve">回購合計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</si>
  <si>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sz val="11"/>
        <color theme="1"/>
        <rFont val="Noto Sans CJK SC"/>
        <family val="2"/>
      </rPr>
      <t xml:space="preserve">新增舉債合計 </t>
    </r>
    <r>
      <rPr>
        <sz val="11"/>
        <color theme="1"/>
        <rFont val="Calibri"/>
        <family val="2"/>
        <charset val="1"/>
      </rPr>
      <t xml:space="preserve">FY2027–FY2031</t>
    </r>
  </si>
  <si>
    <t xml:space="preserve">檢查：收支關卡＝首年起五年自由現金流扣股利（逐欄加總）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</si>
  <si>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</si>
  <si>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</si>
  <si>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D&amp;A − AI </t>
    </r>
    <r>
      <rPr>
        <sz val="11"/>
        <color theme="1"/>
        <rFont val="Noto Sans CJK SC"/>
        <family val="2"/>
      </rPr>
      <t xml:space="preserve">折舊估計（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</si>
  <si>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補足差額的折舊（非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遞減法：差額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（年度 −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</si>
  <si>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修正三：核心利益率固定，補足差額的折舊須另由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營業利益扣除</t>
    </r>
  </si>
  <si>
    <r>
      <rPr>
        <sz val="11"/>
        <color theme="1"/>
        <rFont val="Noto Sans CJK SC"/>
        <family val="2"/>
      </rPr>
      <t xml:space="preserve">折舊攤銷合計（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</si>
  <si>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股票薪酬（現金流量表加回；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視為現金成本）</t>
    </r>
  </si>
  <si>
    <t xml:space="preserve">營運資金變動</t>
  </si>
  <si>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：首期＝上一年度實績；之後 </t>
    </r>
    <r>
      <rPr>
        <sz val="11"/>
        <color theme="1"/>
        <rFont val="Calibri"/>
        <family val="2"/>
        <charset val="1"/>
      </rPr>
      <t xml:space="preserve">wc_f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</si>
  <si>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</si>
  <si>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</si>
  <si>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補足到公司指引下限的其他資本支出（不增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遞減法每年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／年限折舊，折舊由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營業利益扣除）</t>
    </r>
  </si>
  <si>
    <r>
      <rPr>
        <sz val="11"/>
        <color theme="1"/>
        <rFont val="Noto Sans CJK SC"/>
        <family val="2"/>
      </rPr>
      <t xml:space="preserve">修正二：補足差額不再當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修正一有折舊卻無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與收入）；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145.3 </t>
    </r>
    <r>
      <rPr>
        <sz val="11"/>
        <color theme="1"/>
        <rFont val="Noto Sans CJK SC"/>
        <family val="2"/>
      </rPr>
      <t xml:space="preserve">比模型估計 </t>
    </r>
    <r>
      <rPr>
        <sz val="11"/>
        <color theme="1"/>
        <rFont val="Calibri"/>
        <family val="2"/>
        <charset val="1"/>
      </rPr>
      <t xml:space="preserve">116.4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28.9</t>
    </r>
    <r>
      <rPr>
        <sz val="11"/>
        <color theme="1"/>
        <rFont val="Noto Sans CJK SC"/>
        <family val="2"/>
      </rPr>
      <t xml:space="preserve">，推定含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以外的資料中心與未拆分項目</t>
    </r>
  </si>
  <si>
    <t xml:space="preserve">資本支出合計（公司口徑，含融資租賃）</t>
  </si>
  <si>
    <r>
      <rPr>
        <sz val="11"/>
        <color theme="1"/>
        <rFont val="Noto Sans CJK SC"/>
        <family val="2"/>
      </rPr>
      <t xml:space="preserve">新的融資租賃在取得時視同現金（偏保守，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為公司法說值</t>
    </r>
  </si>
  <si>
    <t xml:space="preserve">在帳融資租賃負債（年底）</t>
  </si>
  <si>
    <t xml:space="preserve">在帳融資租賃本金（付款 − 利息）</t>
  </si>
  <si>
    <t xml:space="preserve">自由現金流（財報現金：營業現金流 − 資本支出 − 融資租賃本金）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</si>
  <si>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為實績（現金資本支出口徑）；收支關卡用此列（不含影子效益）</t>
    </r>
  </si>
  <si>
    <t xml:space="preserve">每股股利</t>
  </si>
  <si>
    <t xml:space="preserve">股利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</si>
  <si>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期初流通股數（避免與回購循環）</t>
    </r>
  </si>
  <si>
    <t xml:space="preserve">自由現金流扣股利</t>
  </si>
  <si>
    <t xml:space="preserve">債務到期償還</t>
  </si>
  <si>
    <t xml:space="preserve">回購（現金不足時先減）</t>
  </si>
  <si>
    <t xml:space="preserve">新增舉債（維持最低現金）</t>
  </si>
  <si>
    <t xml:space="preserve">現金與短期投資（年底）</t>
  </si>
  <si>
    <t xml:space="preserve">債務（年底，面額）</t>
  </si>
  <si>
    <t xml:space="preserve">淨現金（不含租賃）</t>
  </si>
  <si>
    <t xml:space="preserve">回購均價</t>
  </si>
  <si>
    <t xml:space="preserve">流通股數（年底）</t>
  </si>
  <si>
    <t xml:space="preserve">稀釋加權股數</t>
  </si>
  <si>
    <r>
      <rPr>
        <sz val="11"/>
        <color theme="1"/>
        <rFont val="Noto Sans CJK SC"/>
        <family val="2"/>
      </rPr>
      <t xml:space="preserve">自由現金流扣股利（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合計，本情境）</t>
    </r>
  </si>
  <si>
    <t xml:space="preserve">文字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</si>
  <si>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</si>
  <si>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</si>
  <si>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（皆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頁黃底）。主值＝讀法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</t>
    </r>
  </si>
  <si>
    <r>
      <rPr>
        <sz val="11"/>
        <color theme="1"/>
        <rFont val="Noto Sans CJK SC"/>
        <family val="2"/>
      </rPr>
      <t xml:space="preserve">口徑（修正一）：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的自由現金流扣股票薪酬（視為現金成本）、加自用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影子效益（稅後），在帳融資租賃負債自權益橋扣除，推到目標價時點後扣期間股利；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的產品線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為股票薪酬加回口徑（與同業倍數同口徑），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基礎設施模組以自身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（含資本支出與汰換）計價，同業倍數版列對照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</si>
  <si>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</si>
  <si>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（評價用自由現金流折現；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Blume β</t>
    </r>
    <r>
      <rPr>
        <b val="true"/>
        <sz val="11"/>
        <rFont val="Noto Sans CJK SC"/>
        <family val="2"/>
      </rPr>
      <t xml:space="preserve">、約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年期 </t>
    </r>
    <r>
      <rPr>
        <b val="true"/>
        <sz val="11"/>
        <rFont val="Cambria"/>
        <family val="0"/>
        <charset val="1"/>
      </rPr>
      <t xml:space="preserve">kd</t>
    </r>
    <r>
      <rPr>
        <b val="true"/>
        <sz val="11"/>
        <rFont val="Noto Sans CJK SC"/>
        <family val="2"/>
      </rPr>
      <t xml:space="preserve">、負債含融資租賃；</t>
    </r>
    <r>
      <rPr>
        <b val="true"/>
        <sz val="11"/>
        <rFont val="Cambria"/>
        <family val="0"/>
        <charset val="1"/>
      </rPr>
      <t xml:space="preserve">g 3%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</si>
  <si>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</si>
  <si>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永續價值占比</t>
  </si>
  <si>
    <r>
      <rPr>
        <sz val="11"/>
        <color theme="1"/>
        <rFont val="Noto Sans CJK SC"/>
        <family val="2"/>
      </rPr>
      <t xml:space="preserve">永續價值現值 </t>
    </r>
    <r>
      <rPr>
        <sz val="11"/>
        <color theme="1"/>
        <rFont val="Calibri"/>
        <family val="2"/>
        <charset val="1"/>
      </rPr>
      <t xml:space="preserve">÷ 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</si>
  <si>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</si>
  <si>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減：在帳融資租賃負債（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</si>
  <si>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：融資租賃列入淨負債</t>
    </r>
  </si>
  <si>
    <r>
      <rPr>
        <sz val="11"/>
        <color theme="1"/>
        <rFont val="Noto Sans CJK SC"/>
        <family val="2"/>
      </rPr>
      <t xml:space="preserve">加：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</si>
  <si>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比例未揭露，不估值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</si>
  <si>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</si>
  <si>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</si>
  <si>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 − </t>
    </r>
    <r>
      <rPr>
        <sz val="11"/>
        <color theme="1"/>
        <rFont val="Noto Sans CJK SC"/>
        <family val="2"/>
      </rPr>
      <t xml:space="preserve">期間股利）</t>
    </r>
  </si>
  <si>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＝評價日 → 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股利與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</si>
  <si>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</si>
  <si>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</si>
  <si>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／永續成長率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</si>
  <si>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</si>
  <si>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在分部層做：非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產品線＝目標價時點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基礎設施＝模組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</si>
  <si>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倍數（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</si>
  <si>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</si>
  <si>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</si>
  <si>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（企業軟體同業）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</si>
  <si>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</si>
  <si>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</si>
  <si>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</si>
  <si>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（數位廣告同業）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</si>
  <si>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（遊戲同業）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</si>
  <si>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／裝置同業）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</si>
  <si>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</si>
  <si>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− 在帳融資租賃負債＋期間非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</si>
  <si>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Noto Sans CJK SC"/>
        <family val="2"/>
      </rPr>
      <t xml:space="preserve">期間＝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 → 目標價時點（修正三）</t>
    </r>
  </si>
  <si>
    <t xml:space="preserve">分部加總每股價值（目標價時點）</t>
  </si>
  <si>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年底稀釋股數；扣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第一季股利（修正二）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</si>
  <si>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</si>
  <si>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）情境加權；同業倍數見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節與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</si>
  <si>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以同業倍數計（</t>
    </r>
    <r>
      <rPr>
        <sz val="11"/>
        <color theme="1"/>
        <rFont val="Calibri"/>
        <family val="2"/>
        <charset val="1"/>
      </rPr>
      <t xml:space="preserve">NTM EBITDA × 6×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</si>
  <si>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腿不再用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倍數（忽略資本密集度）；差額見報告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</si>
  <si>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</si>
  <si>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</si>
  <si>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</si>
  <si>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</si>
  <si>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；主值＝讀法 </t>
    </r>
    <r>
      <rPr>
        <sz val="11"/>
        <color theme="1"/>
        <rFont val="Calibri"/>
        <family val="2"/>
        <charset val="1"/>
      </rPr>
      <t xml:space="preserve">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</si>
  <si>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</si>
  <si>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位平均；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＝最低、最高（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</si>
  <si>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</si>
  <si>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</si>
  <si>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</si>
  <si>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</si>
  <si>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</si>
  <si>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</si>
  <si>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</si>
  <si>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</si>
  <si>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</si>
  <si>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</si>
  <si>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上檔空間：情境目標價</t>
  </si>
  <si>
    <r>
      <rPr>
        <sz val="11"/>
        <color theme="1"/>
        <rFont val="Noto Sans CJK SC"/>
        <family val="2"/>
      </rPr>
      <t xml:space="preserve">投資建議（基準情境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，參考）</t>
    </r>
  </si>
  <si>
    <t xml:space="preserve">地圖與評等用加權目標價</t>
  </si>
  <si>
    <r>
      <rPr>
        <sz val="11"/>
        <color theme="1"/>
        <rFont val="Noto Sans CJK SC"/>
        <family val="2"/>
      </rPr>
      <t xml:space="preserve">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只計成本；敏感度）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</si>
  <si>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頁「讀法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」案例（三情境全部重算）</t>
    </r>
  </si>
  <si>
    <r>
      <rPr>
        <sz val="11"/>
        <color theme="1"/>
        <rFont val="Noto Sans CJK SC"/>
        <family val="2"/>
      </rPr>
      <t xml:space="preserve">上檔空間（讀法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</si>
  <si>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投資建議（讀法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</si>
  <si>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</si>
  <si>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工作單：悲觀情境價＝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</si>
  <si>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</si>
  <si>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</si>
  <si>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</si>
  <si>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；評價口徑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</si>
  <si>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加權目標價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（基準）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</si>
  <si>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</si>
  <si>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：評價用自由現金流（營業現金流 − 股票薪酬 − 公司口徑資本支出＋自用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影子效益稅後），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 5.00%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 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利差；負債含融資租賃），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新增速度收斂），永續期 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；評價日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 </t>
    </r>
    <r>
      <rPr>
        <sz val="11"/>
        <color theme="1"/>
        <rFont val="Noto Sans CJK SC"/>
        <family val="2"/>
      </rPr>
      <t xml:space="preserve">並扣期間股利。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13.82×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／授權／產業／</t>
    </r>
    <r>
      <rPr>
        <sz val="11"/>
        <color theme="1"/>
        <rFont val="Calibri"/>
        <family val="2"/>
        <charset val="1"/>
      </rPr>
      <t xml:space="preserve">Frontier 10.8×</t>
    </r>
    <r>
      <rPr>
        <sz val="11"/>
        <color theme="1"/>
        <rFont val="Noto Sans CJK SC"/>
        <family val="2"/>
      </rPr>
      <t xml:space="preserve">（企業軟體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）、搜尋與廣告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XBOX 12.63×</t>
    </r>
    <r>
      <rPr>
        <sz val="11"/>
        <color theme="1"/>
        <rFont val="Noto Sans CJK SC"/>
        <family val="2"/>
      </rPr>
      <t xml:space="preserve">（遊戲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Windows 14.47×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），乘目標價時點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（股票薪酬加回）；加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年底到目標價時點的非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</t>
    </r>
    <r>
      <rPr>
        <sz val="11"/>
        <color theme="1"/>
        <rFont val="Calibri"/>
        <family val="2"/>
        <charset val="1"/>
      </rPr>
      <t xml:space="preserve">25% × 852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1 − 20%</t>
    </r>
    <r>
      <rPr>
        <sz val="11"/>
        <color theme="1"/>
        <rFont val="Noto Sans CJK SC"/>
        <family val="2"/>
      </rPr>
      <t xml:space="preserve">））、減在帳融資租賃負債。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</si>
  <si>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各情境評價明細（引擎輸出；列 </t>
    </r>
    <r>
      <rPr>
        <b val="true"/>
        <sz val="11"/>
        <rFont val="Cambria"/>
        <family val="0"/>
        <charset val="1"/>
      </rPr>
      <t xml:space="preserve">70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</si>
  <si>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</si>
  <si>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折現年數（期中，自評價日）</t>
  </si>
  <si>
    <t xml:space="preserve">折現因子</t>
  </si>
  <si>
    <r>
      <rPr>
        <sz val="11"/>
        <color theme="1"/>
        <rFont val="Noto Sans CJK SC"/>
        <family val="2"/>
      </rPr>
      <t xml:space="preserve">評價用自由現金流＝營業現金流 − 股票薪酬 − 資本支出＋影子效益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</si>
  <si>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r>
      <rPr>
        <sz val="11"/>
        <color theme="1"/>
        <rFont val="Noto Sans CJK SC"/>
        <family val="2"/>
      </rPr>
      <t xml:space="preserve">修正一：</t>
    </r>
    <r>
      <rPr>
        <sz val="11"/>
        <color theme="1"/>
        <rFont val="Calibri"/>
        <family val="2"/>
        <charset val="1"/>
      </rPr>
      <t xml:space="preserve">F2 </t>
    </r>
    <r>
      <rPr>
        <sz val="11"/>
        <color theme="1"/>
        <rFont val="Noto Sans CJK SC"/>
        <family val="2"/>
      </rPr>
      <t xml:space="preserve">股票薪酬視為現金成本；</t>
    </r>
    <r>
      <rPr>
        <sz val="11"/>
        <color theme="1"/>
        <rFont val="Calibri"/>
        <family val="2"/>
        <charset val="1"/>
      </rPr>
      <t xml:space="preserve">F1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影子效益；在帳融資租賃本金不扣，改在權益橋減負債（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</si>
  <si>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評價用自由現金流現值</t>
  </si>
  <si>
    <r>
      <rPr>
        <sz val="11"/>
        <color theme="1"/>
        <rFont val="Noto Sans CJK SC"/>
        <family val="2"/>
      </rPr>
      <t xml:space="preserve">明確期現值合計（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</si>
  <si>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永續起點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評價口徑營業利益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</si>
  <si>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永續期自由現金流（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</t>
    </r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</si>
  <si>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</si>
  <si>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</si>
  <si>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股東權益價值＝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＋淨現金 − 在帳融資租賃負債（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</t>
    </r>
  </si>
  <si>
    <t xml:space="preserve">評價日到目標價時點已付的每股股利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</si>
  <si>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^t_roll − </t>
    </r>
    <r>
      <rPr>
        <sz val="11"/>
        <color theme="1"/>
        <rFont val="Noto Sans CJK SC"/>
        <family val="2"/>
      </rPr>
      <t xml:space="preserve">期間股利）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</si>
  <si>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</si>
  <si>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</si>
  <si>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：同業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多為股票薪酬加回口徑，分部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同口徑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</si>
  <si>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</si>
  <si>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</si>
  <si>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</si>
  <si>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</si>
  <si>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</t>
    </r>
    <r>
      <rPr>
        <sz val="11"/>
        <color theme="1"/>
        <rFont val="Calibri"/>
        <family val="2"/>
        <charset val="1"/>
      </rPr>
      <t xml:space="preserve">Azure AI EBITDA −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營運成本＋影子效益）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</si>
  <si>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合計（評價口徑營業利益＋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折舊與股票薪酬分攤）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</si>
  <si>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其他（分部殘差；不含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</si>
  <si>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</si>
  <si>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（分部殘差按營收分）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</si>
  <si>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</si>
  <si>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模組自由現金流＝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AI </t>
    </r>
    <r>
      <rPr>
        <sz val="11"/>
        <color theme="1"/>
        <rFont val="Noto Sans CJK SC"/>
        <family val="2"/>
      </rPr>
      <t xml:space="preserve">折舊）−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資本支出（含汰換）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</si>
  <si>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模組自由現金流折到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</si>
  <si>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修正二：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模組現金流已反映在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年底淨現金（權益橋），不再重複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</si>
  <si>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模組永續價值折到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</si>
  <si>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年底推到目標價時點）</t>
    </r>
  </si>
  <si>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腿以自身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計入資本密集度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</si>
  <si>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Azure AI NTM EBITDA × </t>
    </r>
    <r>
      <rPr>
        <sz val="11"/>
        <color theme="1"/>
        <rFont val="Noto Sans CJK SC"/>
        <family val="2"/>
      </rPr>
      <t xml:space="preserve">同業倍數（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</si>
  <si>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</si>
  <si>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</si>
  <si>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</si>
  <si>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</si>
  <si>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</si>
  <si>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</si>
  <si>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</si>
  <si>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</si>
  <si>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</si>
  <si>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加：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 → 目標價時點的非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評價用自由現金流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模組自由現金流）</t>
    </r>
    <r>
      <rPr>
        <sz val="11"/>
        <color theme="1"/>
        <rFont val="Calibri"/>
        <family val="2"/>
        <charset val="1"/>
      </rPr>
      <t xml:space="preserve">× t_stub</t>
    </r>
  </si>
  <si>
    <r>
      <rPr>
        <sz val="11"/>
        <color theme="1"/>
        <rFont val="Noto Sans CJK SC"/>
        <family val="2"/>
      </rPr>
      <t xml:space="preserve">修正三：非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各線用目標價時點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，此段現金流不在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也不在淨現金；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模組已含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</t>
    </r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</si>
  <si>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含租賃；</t>
    </r>
    <r>
      <rPr>
        <sz val="11"/>
        <color theme="1"/>
        <rFont val="Calibri"/>
        <family val="2"/>
        <charset val="1"/>
      </rPr>
      <t xml:space="preserve">Microsoft EBITDA </t>
    </r>
    <r>
      <rPr>
        <sz val="11"/>
        <color theme="1"/>
        <rFont val="Noto Sans CJK SC"/>
        <family val="2"/>
      </rPr>
      <t xml:space="preserve">已扣營業租金、未扣融資租賃折舊 → 減融資租賃負債</t>
    </r>
  </si>
  <si>
    <r>
      <rPr>
        <sz val="11"/>
        <color theme="1"/>
        <rFont val="Noto Sans CJK SC"/>
        <family val="2"/>
      </rPr>
      <t xml:space="preserve">分部加總每股價值（目標價時點；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年底稀釋股數，扣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第一季股利）</t>
    </r>
  </si>
  <si>
    <r>
      <rPr>
        <sz val="11"/>
        <color theme="1"/>
        <rFont val="Noto Sans CJK SC"/>
        <family val="2"/>
      </rPr>
      <t xml:space="preserve">修正二：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以評價日（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年底）稀釋股數、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以其淨現金日（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年底）稀釋股數，各自對應其權益橋日期</t>
    </r>
  </si>
  <si>
    <r>
      <rPr>
        <sz val="11"/>
        <color theme="1"/>
        <rFont val="Noto Sans CJK SC"/>
        <family val="2"/>
      </rPr>
      <t xml:space="preserve">情境目標價＝</t>
    </r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</si>
  <si>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</si>
  <si>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</si>
  <si>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）對照市場共識與公司指引；差距超過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者附原因。產品線層級的市場共識：未找到（免費資料源只提供合併層級）</t>
    </r>
  </si>
  <si>
    <r>
      <rPr>
        <b val="true"/>
        <sz val="11"/>
        <rFont val="Noto Sans CJK SC"/>
        <family val="2"/>
      </rPr>
      <t xml:space="preserve">模型（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</si>
  <si>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共識／指引</t>
  </si>
  <si>
    <t xml:space="preserve">差距</t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</si>
  <si>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</si>
  <si>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合併層級對共識（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營收與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另有 </t>
    </r>
    <r>
      <rPr>
        <b val="true"/>
        <sz val="11"/>
        <rFont val="Cambria"/>
        <family val="0"/>
        <charset val="1"/>
      </rPr>
      <t xml:space="preserve">S&amp;P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</si>
  <si>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</si>
  <si>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收入、其他線依近一年年增收斂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</si>
  <si>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</si>
  <si>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</si>
  <si>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</si>
  <si>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資本支出依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年折舊進損益，折舊上升快於共識（見報告第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</si>
  <si>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</si>
  <si>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</si>
  <si>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</si>
  <si>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（財報口徑；對 </t>
    </r>
    <r>
      <rPr>
        <sz val="11"/>
        <color theme="1"/>
        <rFont val="Calibri"/>
        <family val="2"/>
        <charset val="1"/>
      </rPr>
      <t xml:space="preserve">S&amp;P 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</si>
  <si>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（不含持股損益），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</si>
  <si>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GAAP</t>
    </r>
    <r>
      <rPr>
        <sz val="11"/>
        <color theme="1"/>
        <rFont val="Noto Sans CJK SC"/>
        <family val="2"/>
      </rPr>
      <t xml:space="preserve">）</t>
    </r>
  </si>
  <si>
    <t xml:space="preserve">EPS FY2029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</si>
  <si>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</si>
  <si>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拆法：模型含融資租賃（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融資租賃約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取公司指引推估下限 </t>
    </r>
    <r>
      <rPr>
        <sz val="11"/>
        <color theme="1"/>
        <rFont val="Calibri"/>
        <family val="2"/>
        <charset val="1"/>
      </rPr>
      <t xml:space="preserve">204.2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</si>
  <si>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</si>
  <si>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成本＋汰換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</si>
  <si>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</si>
  <si>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分部與產品線對公司指引（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指引 </t>
    </r>
    <r>
      <rPr>
        <b val="true"/>
        <sz val="11"/>
        <rFont val="Cambria"/>
        <family val="0"/>
        <charset val="1"/>
      </rPr>
      <t xml:space="preserve">× 4 </t>
    </r>
    <r>
      <rPr>
        <b val="true"/>
        <sz val="11"/>
        <rFont val="Noto Sans CJK SC"/>
        <family val="2"/>
      </rPr>
      <t xml:space="preserve">只作量級參考；季節性未調整）</t>
    </r>
  </si>
  <si>
    <r>
      <rPr>
        <sz val="11"/>
        <color theme="1"/>
        <rFont val="Calibri"/>
        <family val="2"/>
        <charset val="1"/>
      </rPr>
      <t xml:space="preserve">Agents and Infra FY2027 ÷ 4 vs FY27Q1 </t>
    </r>
    <r>
      <rPr>
        <sz val="11"/>
        <color theme="1"/>
        <rFont val="Noto Sans CJK SC"/>
        <family val="2"/>
      </rPr>
      <t xml:space="preserve">指引中點</t>
    </r>
  </si>
  <si>
    <t xml:space="preserve">全年平均季對第一季：模型含年內成長，偏高屬拆法</t>
  </si>
  <si>
    <r>
      <rPr>
        <sz val="11"/>
        <color theme="1"/>
        <rFont val="Calibri"/>
        <family val="2"/>
        <charset val="1"/>
      </rPr>
      <t xml:space="preserve">Devices and Consumer 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</si>
  <si>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季節性（第二季旺季）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</si>
  <si>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</si>
  <si>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 vs FY27Q1 </t>
    </r>
    <r>
      <rPr>
        <sz val="11"/>
        <color theme="1"/>
        <rFont val="Noto Sans CJK SC"/>
        <family val="2"/>
      </rPr>
      <t xml:space="preserve">指引中點</t>
    </r>
  </si>
  <si>
    <t xml:space="preserve">公司只給第一季；全年未給</t>
  </si>
  <si>
    <r>
      <rPr>
        <sz val="11"/>
        <color theme="1"/>
        <rFont val="Noto Sans CJK SC"/>
        <family val="2"/>
      </rPr>
      <t xml:space="preserve">營業利益率變動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公司「下降不到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個百分點」</t>
    </r>
  </si>
  <si>
    <r>
      <rPr>
        <sz val="11"/>
        <color theme="1"/>
        <rFont val="Noto Sans CJK SC"/>
        <family val="2"/>
      </rPr>
      <t xml:space="preserve">觀點：模型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增加較多（</t>
    </r>
    <r>
      <rPr>
        <sz val="11"/>
        <color theme="1"/>
        <rFont val="Calibri"/>
        <family val="2"/>
        <charset val="1"/>
      </rPr>
      <t xml:space="preserve">AI IT 6 </t>
    </r>
    <r>
      <rPr>
        <sz val="11"/>
        <color theme="1"/>
        <rFont val="Noto Sans CJK SC"/>
        <family val="2"/>
      </rPr>
      <t xml:space="preserve">年、首年半年慣例）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</si>
  <si>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&gt;50</t>
    </r>
    <r>
      <rPr>
        <sz val="11"/>
        <color theme="1"/>
        <rFont val="Noto Sans CJK SC"/>
        <family val="2"/>
      </rPr>
      <t xml:space="preserve">，公司口徑）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</si>
  <si>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命題驗證列（</t>
    </r>
    <r>
      <rPr>
        <b val="true"/>
        <sz val="11"/>
        <rFont val="Cambria"/>
        <family val="0"/>
        <charset val="1"/>
      </rPr>
      <t xml:space="preserve">C3</t>
    </r>
    <r>
      <rPr>
        <b val="true"/>
        <sz val="11"/>
        <rFont val="Noto Sans CJK SC"/>
        <family val="2"/>
      </rPr>
      <t xml:space="preserve">：只作驗證，不回頭校準）</t>
    </r>
  </si>
  <si>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業務年化（</t>
    </r>
    <r>
      <rPr>
        <sz val="11"/>
        <color theme="1"/>
        <rFont val="Calibri"/>
        <family val="2"/>
        <charset val="1"/>
      </rPr>
      <t xml:space="preserve">FY26Q3 &gt;37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</si>
  <si>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公司數字為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年化（期末水準），模型為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全年平均；要對上須期末對外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約多 </t>
    </r>
    <r>
      <rPr>
        <sz val="11"/>
        <color theme="1"/>
        <rFont val="Calibri"/>
        <family val="2"/>
        <charset val="1"/>
      </rPr>
      <t xml:space="preserve">20%–30%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</si>
  <si>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占比（模型）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</si>
  <si>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占比（不存在）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</si>
  <si>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（模型估計）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</si>
  <si>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營收（不存在）；座席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</si>
  <si>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產品線層級市場共識</t>
    </r>
  </si>
  <si>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</si>
  <si>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新產品線口徑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才公布；免費資料源無產品線共識）</t>
    </r>
  </si>
  <si>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</si>
  <si>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</si>
  <si>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</si>
  <si>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</si>
  <si>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</si>
  <si>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</si>
  <si>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：市場共識</t>
    </r>
  </si>
  <si>
    <r>
      <rPr>
        <b val="true"/>
        <sz val="11"/>
        <rFont val="Cambria"/>
        <family val="0"/>
        <charset val="1"/>
      </rPr>
      <t xml:space="preserve">5. v0.3 vs v0.2.2</t>
    </r>
    <r>
      <rPr>
        <b val="true"/>
        <sz val="11"/>
        <rFont val="Noto Sans CJK SC"/>
        <family val="2"/>
      </rPr>
      <t xml:space="preserve">：目標價差異拆解（加總＝總變動）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</si>
  <si>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</si>
  <si>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① 評價權重 </t>
    </r>
    <r>
      <rPr>
        <sz val="11"/>
        <color theme="1"/>
        <rFont val="Calibri"/>
        <family val="2"/>
        <charset val="1"/>
      </rPr>
      <t xml:space="preserve">old_w → w_dcf</t>
    </r>
    <r>
      <rPr>
        <sz val="11"/>
        <color theme="1"/>
        <rFont val="Noto Sans CJK SC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的兩條腿）</t>
    </r>
  </si>
  <si>
    <t xml:space="preserve">方法</t>
  </si>
  <si>
    <r>
      <rPr>
        <sz val="11"/>
        <color theme="1"/>
        <rFont val="Calibri"/>
        <family val="2"/>
        <charset val="1"/>
      </rPr>
      <t xml:space="preserve">② DCF </t>
    </r>
    <r>
      <rPr>
        <sz val="11"/>
        <color theme="1"/>
        <rFont val="Noto Sans CJK SC"/>
        <family val="2"/>
      </rPr>
      <t xml:space="preserve">腿：</t>
    </r>
    <r>
      <rPr>
        <sz val="11"/>
        <color theme="1"/>
        <rFont val="Calibri"/>
        <family val="2"/>
        <charset val="1"/>
      </rPr>
      <t xml:space="preserve">v0.2.2 DCF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</si>
  <si>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營收結構（分部＋產品線）、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折舊進損益與稅、資本支出路徑、永續期口徑</t>
    </r>
  </si>
  <si>
    <r>
      <rPr>
        <sz val="11"/>
        <color theme="1"/>
        <rFont val="Noto Sans CJK SC"/>
        <family val="2"/>
      </rPr>
      <t xml:space="preserve">③ 倍數腿：</t>
    </r>
    <r>
      <rPr>
        <sz val="11"/>
        <color theme="1"/>
        <rFont val="Calibri"/>
        <family val="2"/>
        <charset val="1"/>
      </rPr>
      <t xml:space="preserve">v0.2.2 EV/EBITDA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</si>
  <si>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各同業倍數（取代 </t>
    </r>
    <r>
      <rPr>
        <sz val="11"/>
        <color theme="1"/>
        <rFont val="Calibri"/>
        <family val="2"/>
        <charset val="1"/>
      </rPr>
      <t xml:space="preserve">AI 6×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加權倍數）</t>
    </r>
  </si>
  <si>
    <r>
      <rPr>
        <sz val="11"/>
        <color theme="1"/>
        <rFont val="Noto Sans CJK SC"/>
        <family val="2"/>
      </rPr>
      <t xml:space="preserve">④ 情境加權：基準情境 →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</si>
  <si>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以基準情境為點位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</si>
  <si>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加權目標價（修正三）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</si>
  <si>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＋ ①＋②＋③＋④ −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</si>
  <si>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一次動一個驅動，三情境全部重算後的加權目標價（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；主值讀法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）；下方列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起為各案例的完整引擎區塊（與主模型同一個函式）</t>
    </r>
  </si>
  <si>
    <t xml:space="preserve">案例</t>
  </si>
  <si>
    <t xml:space="preserve">驅動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</si>
  <si>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</si>
  <si>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</si>
  <si>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相對基準 </t>
    </r>
    <r>
      <rPr>
        <b val="true"/>
        <sz val="11"/>
        <rFont val="Cambria"/>
        <family val="0"/>
        <charset val="1"/>
      </rPr>
      <t xml:space="preserve">%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</si>
  <si>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</si>
  <si>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r>
      <rPr>
        <sz val="11"/>
        <color theme="1"/>
        <rFont val="Noto Sans CJK SC"/>
        <family val="2"/>
      </rPr>
      <t xml:space="preserve">命題：自用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</t>
    </r>
  </si>
  <si>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不計影子效益（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</si>
  <si>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t xml:space="preserve">k −15%</t>
  </si>
  <si>
    <r>
      <rPr>
        <sz val="11"/>
        <color theme="1"/>
        <rFont val="Noto Sans CJK SC"/>
        <family val="2"/>
      </rPr>
      <t xml:space="preserve">命題：每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</si>
  <si>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0.85</t>
    </r>
  </si>
  <si>
    <t xml:space="preserve">k +15%</t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</si>
  <si>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1.15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</si>
  <si>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50%</t>
    </r>
  </si>
  <si>
    <t xml:space="preserve">命題：對外比例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</si>
  <si>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÷ 50%</t>
    </r>
    <r>
      <rPr>
        <sz val="11"/>
        <color theme="1"/>
        <rFont val="Noto Sans CJK SC"/>
        <family val="2"/>
      </rPr>
      <t xml:space="preserve">（同樣對外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要多建自用）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</si>
  <si>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</si>
  <si>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：最大不確定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</si>
  <si>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</si>
  <si>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</si>
  <si>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+650</t>
    </r>
    <r>
      <rPr>
        <sz val="11"/>
        <color theme="1"/>
        <rFont val="Noto Sans CJK SC"/>
        <family val="2"/>
      </rPr>
      <t xml:space="preserve">、上限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保守情境）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</si>
  <si>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</si>
  <si>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前每年 </t>
    </r>
    <r>
      <rPr>
        <sz val="11"/>
        <color theme="1"/>
        <rFont val="Calibri"/>
        <family val="2"/>
        <charset val="1"/>
      </rPr>
      <t xml:space="preserve">+3,033</t>
    </r>
    <r>
      <rPr>
        <sz val="11"/>
        <color theme="1"/>
        <rFont val="Noto Sans CJK SC"/>
        <family val="2"/>
      </rPr>
      <t xml:space="preserve">，之後同樣收斂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</si>
  <si>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</si>
  <si>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</si>
  <si>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t xml:space="preserve">折舊與汰換提前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</si>
  <si>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</si>
  <si>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−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</si>
  <si>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</t>
    </r>
  </si>
  <si>
    <t xml:space="preserve">各情境每年淨增座席減半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</si>
  <si>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</t>
    </r>
    <r>
      <rPr>
        <sz val="11"/>
        <color theme="1"/>
        <rFont val="Calibri"/>
        <family val="2"/>
        <charset val="1"/>
      </rPr>
      <t xml:space="preserve">+50%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</si>
  <si>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</si>
  <si>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</t>
    </r>
  </si>
  <si>
    <r>
      <rPr>
        <sz val="11"/>
        <color theme="1"/>
        <rFont val="Noto Sans CJK SC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、基準實收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（預測期）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</si>
  <si>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</si>
  <si>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</si>
  <si>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其他成長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</si>
  <si>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</si>
  <si>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</si>
  <si>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</si>
  <si>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Search and advertising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</si>
  <si>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</si>
  <si>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</si>
  <si>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−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</si>
  <si>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</si>
  <si>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</si>
  <si>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</si>
  <si>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分部利益率 −</t>
    </r>
    <r>
      <rPr>
        <sz val="11"/>
        <color theme="1"/>
        <rFont val="Calibri"/>
        <family val="2"/>
        <charset val="1"/>
      </rPr>
      <t xml:space="preserve">2pt</t>
    </r>
  </si>
  <si>
    <t xml:space="preserve">業務：分部利益率</t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</si>
  <si>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利益率同減</t>
    </r>
  </si>
  <si>
    <r>
      <rPr>
        <sz val="11"/>
        <color theme="1"/>
        <rFont val="Noto Sans CJK SC"/>
        <family val="2"/>
      </rPr>
      <t xml:space="preserve">分部利益率 </t>
    </r>
    <r>
      <rPr>
        <sz val="11"/>
        <color theme="1"/>
        <rFont val="Calibri"/>
        <family val="2"/>
        <charset val="1"/>
      </rPr>
      <t xml:space="preserve">+2pt</t>
    </r>
  </si>
  <si>
    <t xml:space="preserve">WACC −1pt</t>
  </si>
  <si>
    <r>
      <rPr>
        <sz val="11"/>
        <color theme="1"/>
        <rFont val="Noto Sans CJK SC"/>
        <family val="2"/>
      </rPr>
      <t xml:space="preserve">評價：</t>
    </r>
    <r>
      <rPr>
        <sz val="11"/>
        <color theme="1"/>
        <rFont val="Calibri"/>
        <family val="2"/>
        <charset val="1"/>
      </rPr>
      <t xml:space="preserve">WACC</t>
    </r>
  </si>
  <si>
    <t xml:space="preserve">只改折現（營運不變）</t>
  </si>
  <si>
    <t xml:space="preserve">WACC +1pt</t>
  </si>
  <si>
    <t xml:space="preserve">g 2%</t>
  </si>
  <si>
    <t xml:space="preserve">評價：永續成長</t>
  </si>
  <si>
    <t xml:space="preserve">g 4%</t>
  </si>
  <si>
    <t xml:space="preserve">ERP 4.5%</t>
  </si>
  <si>
    <t xml:space="preserve">評價：股權風險溢酬</t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</si>
  <si>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（判斷）</t>
    </r>
  </si>
  <si>
    <t xml:space="preserve">ERP 6%</t>
  </si>
  <si>
    <r>
      <rPr>
        <sz val="11"/>
        <color theme="1"/>
        <rFont val="Noto Sans CJK SC"/>
        <family val="2"/>
      </rPr>
      <t xml:space="preserve">永續期新投資報酬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</si>
  <si>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評價：永續期新投資報酬</t>
  </si>
  <si>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為判斷，列敏感度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</si>
  <si>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−</t>
    </r>
    <r>
      <rPr>
        <sz val="11"/>
        <color theme="1"/>
        <rFont val="Calibri"/>
        <family val="2"/>
        <charset val="1"/>
      </rPr>
      <t xml:space="preserve">20%</t>
    </r>
  </si>
  <si>
    <t xml:space="preserve">評價：同業倍數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</si>
  <si>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產品線倍數同乘（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模組為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，不受影響）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</si>
  <si>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+20%</t>
    </r>
  </si>
  <si>
    <r>
      <rPr>
        <b val="true"/>
        <sz val="11"/>
        <rFont val="Noto Sans CJK SC"/>
        <family val="2"/>
      </rPr>
      <t xml:space="preserve">判斷預設的替代（報告第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節）：每列只改一項，其餘同基準</t>
    </r>
  </si>
  <si>
    <t xml:space="preserve">替代</t>
  </si>
  <si>
    <t xml:space="preserve">影響範圍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</si>
  <si>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情境改用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速度（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／年，上限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）</t>
    </r>
  </si>
  <si>
    <t xml:space="preserve">C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</si>
  <si>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改用長約低端（</t>
    </r>
    <r>
      <rPr>
        <sz val="11"/>
        <color theme="1"/>
        <rFont val="Calibri"/>
        <family val="2"/>
        <charset val="1"/>
      </rPr>
      <t xml:space="preserve">k_long_lo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價格軸低）</t>
    </r>
  </si>
  <si>
    <r>
      <rPr>
        <sz val="11"/>
        <color theme="1"/>
        <rFont val="Noto Sans CJK SC"/>
        <family val="2"/>
      </rPr>
      <t xml:space="preserve">永續期改用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評價用自由現金流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</si>
  <si>
    <t xml:space="preserve">三情境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</si>
  <si>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15.67×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</si>
  <si>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且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速度改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可辨識站點（與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」比較＝讀法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下的容量效果）</t>
    </r>
  </si>
  <si>
    <r>
      <rPr>
        <sz val="11"/>
        <color theme="1"/>
        <rFont val="Noto Sans CJK SC"/>
        <family val="2"/>
      </rPr>
      <t xml:space="preserve">影子效益基準改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（修正二口徑）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</si>
  <si>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補足差額不計（資本支出低於公司指引）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</si>
  <si>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補足差額改列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（修正一口徑）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</si>
  <si>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（重組時比例）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</si>
  <si>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、無流動性折價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</si>
  <si>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</t>
    </r>
  </si>
  <si>
    <t xml:space="preserve">評價權重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</si>
  <si>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</si>
  <si>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情境權重改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</si>
  <si>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只用基準情境 </t>
    </r>
    <r>
      <rPr>
        <sz val="11"/>
        <color theme="1"/>
        <rFont val="Calibri"/>
        <family val="2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</si>
  <si>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讀法：龍捲風以加權目標價的變動排序；命題驅動（自用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讀法、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折舊年限、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）與業務驅動、評價參數並列。判斷預設的替代見上表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</si>
  <si>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</si>
  <si>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</si>
  <si>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</si>
  <si>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</si>
  <si>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</si>
  <si>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</si>
  <si>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</si>
  <si>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</si>
  <si>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</si>
  <si>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</si>
  <si>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</si>
  <si>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</si>
  <si>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</si>
  <si>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</si>
  <si>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</si>
  <si>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</si>
  <si>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</si>
  <si>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</si>
  <si>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</si>
  <si>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</si>
  <si>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</si>
  <si>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</si>
  <si>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</si>
  <si>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</si>
  <si>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</si>
  <si>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</si>
  <si>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</si>
  <si>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</si>
  <si>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</si>
  <si>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</si>
  <si>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</si>
  <si>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</si>
  <si>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</si>
  <si>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</si>
  <si>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</si>
  <si>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</si>
  <si>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</si>
  <si>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</si>
  <si>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</si>
  <si>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</si>
  <si>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</si>
  <si>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</si>
  <si>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</si>
  <si>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</si>
  <si>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</si>
  <si>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</si>
  <si>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</si>
  <si>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</si>
  <si>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</si>
  <si>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</si>
  <si>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</si>
  <si>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</si>
  <si>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</si>
  <si>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</si>
  <si>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</si>
  <si>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</si>
  <si>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</si>
  <si>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</si>
  <si>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</si>
  <si>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</si>
  <si>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</si>
  <si>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</si>
  <si>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</si>
  <si>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</si>
  <si>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</si>
  <si>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</si>
  <si>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</si>
  <si>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</si>
  <si>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</si>
  <si>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</si>
  <si>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</si>
  <si>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</si>
  <si>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</si>
  <si>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</si>
  <si>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</si>
  <si>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</si>
  <si>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</si>
  <si>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</si>
  <si>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</si>
  <si>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</si>
  <si>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</si>
  <si>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</si>
  <si>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</si>
  <si>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</si>
  <si>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</si>
  <si>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</si>
  <si>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</si>
  <si>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</si>
  <si>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</si>
  <si>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</si>
  <si>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</si>
  <si>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</si>
  <si>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</si>
  <si>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</si>
  <si>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</si>
  <si>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</si>
  <si>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</si>
  <si>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</si>
  <si>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</si>
  <si>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</si>
  <si>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</si>
  <si>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</si>
  <si>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</si>
  <si>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</si>
  <si>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</si>
  <si>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</si>
  <si>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</si>
  <si>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</si>
  <si>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</si>
  <si>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</si>
  <si>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</si>
  <si>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</si>
  <si>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</si>
  <si>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</si>
  <si>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</si>
  <si>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</si>
  <si>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</si>
  <si>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</si>
  <si>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</si>
  <si>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</si>
  <si>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</si>
  <si>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</si>
  <si>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</si>
  <si>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</si>
  <si>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</si>
  <si>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</si>
  <si>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</si>
  <si>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</si>
  <si>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</si>
  <si>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</si>
  <si>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</si>
  <si>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</si>
  <si>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</si>
  <si>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</si>
  <si>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</si>
  <si>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</si>
  <si>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</si>
  <si>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</si>
  <si>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</si>
  <si>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</si>
  <si>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</si>
  <si>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</si>
  <si>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</si>
  <si>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</si>
  <si>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</si>
  <si>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</si>
  <si>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</si>
  <si>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</si>
  <si>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</si>
  <si>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</si>
  <si>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</si>
  <si>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</si>
  <si>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</si>
  <si>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</si>
  <si>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</si>
  <si>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</si>
  <si>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</si>
  <si>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</si>
  <si>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</si>
  <si>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</si>
  <si>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</si>
  <si>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</si>
  <si>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</si>
  <si>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</si>
  <si>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</si>
  <si>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</si>
  <si>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</si>
  <si>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</si>
  <si>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</si>
  <si>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</si>
  <si>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</si>
  <si>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</si>
  <si>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</si>
  <si>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</si>
  <si>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</si>
  <si>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</si>
  <si>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</si>
  <si>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</si>
  <si>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</si>
  <si>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</si>
  <si>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</si>
  <si>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</si>
  <si>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</si>
  <si>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</si>
  <si>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</si>
  <si>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</si>
  <si>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</si>
  <si>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</si>
  <si>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</si>
  <si>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</si>
  <si>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</si>
  <si>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</si>
  <si>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</si>
  <si>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</si>
  <si>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</si>
  <si>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</si>
  <si>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</si>
  <si>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</si>
  <si>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</si>
  <si>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</si>
  <si>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</si>
  <si>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</si>
  <si>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</si>
  <si>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</si>
  <si>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</si>
  <si>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</si>
  <si>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</si>
  <si>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</si>
  <si>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</si>
  <si>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</si>
  <si>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</si>
  <si>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</si>
  <si>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</si>
  <si>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</si>
  <si>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</si>
  <si>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</si>
  <si>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</si>
  <si>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</si>
  <si>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</si>
  <si>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</si>
  <si>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</si>
  <si>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</si>
  <si>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</si>
  <si>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</si>
  <si>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</si>
  <si>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</si>
  <si>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</si>
  <si>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</si>
  <si>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</si>
  <si>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</si>
  <si>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</si>
  <si>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</si>
  <si>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</si>
  <si>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</si>
  <si>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</si>
  <si>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</si>
  <si>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</si>
  <si>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</si>
  <si>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</si>
  <si>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</si>
  <si>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</si>
  <si>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</si>
  <si>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</si>
  <si>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</si>
  <si>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</si>
  <si>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</si>
  <si>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</si>
  <si>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</si>
  <si>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</si>
  <si>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</si>
  <si>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</si>
  <si>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</si>
  <si>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</si>
  <si>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</si>
  <si>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</si>
  <si>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</si>
  <si>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</si>
  <si>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</si>
  <si>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</si>
  <si>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</si>
  <si>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</si>
  <si>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</si>
  <si>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</si>
  <si>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</si>
  <si>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</si>
  <si>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</si>
  <si>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</si>
  <si>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</si>
  <si>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</si>
  <si>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</si>
  <si>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</si>
  <si>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</si>
  <si>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</si>
  <si>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</si>
  <si>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</si>
  <si>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</si>
  <si>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</si>
  <si>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</si>
  <si>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</si>
  <si>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</si>
  <si>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</si>
  <si>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</si>
  <si>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</si>
  <si>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</si>
  <si>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</si>
  <si>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</si>
  <si>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</si>
  <si>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</si>
  <si>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</si>
  <si>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</si>
  <si>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</si>
  <si>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</si>
  <si>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</si>
  <si>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</si>
  <si>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</si>
  <si>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</si>
  <si>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</si>
  <si>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</si>
  <si>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</si>
  <si>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</si>
  <si>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</si>
  <si>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</si>
  <si>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</si>
  <si>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</si>
  <si>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</si>
  <si>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</si>
  <si>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</si>
  <si>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</si>
  <si>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</si>
  <si>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</si>
  <si>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</si>
  <si>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</si>
  <si>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</si>
  <si>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</si>
  <si>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</si>
  <si>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</si>
  <si>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</si>
  <si>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</si>
  <si>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</si>
  <si>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</si>
  <si>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</si>
  <si>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</si>
  <si>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</si>
  <si>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</si>
  <si>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</si>
  <si>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</si>
  <si>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</si>
  <si>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4.5%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</si>
  <si>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4.5%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</si>
  <si>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4.5%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</si>
  <si>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6%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</si>
  <si>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6%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</si>
  <si>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6%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</si>
  <si>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</si>
  <si>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</si>
  <si>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</si>
  <si>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</si>
  <si>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</si>
  <si>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</si>
  <si>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</si>
  <si>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</si>
  <si>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</si>
  <si>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</si>
  <si>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</si>
  <si>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</si>
  <si>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</si>
  <si>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</si>
  <si>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</si>
  <si>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</si>
  <si>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</si>
  <si>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</si>
  <si>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</si>
  <si>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</si>
  <si>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永續期自由現金流（替代：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評價用自由現金流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</si>
  <si>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</si>
  <si>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</si>
  <si>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</si>
  <si>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</si>
  <si>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</si>
  <si>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</si>
  <si>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</si>
  <si>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</si>
  <si>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</si>
  <si>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</si>
  <si>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</si>
  <si>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</si>
  <si>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</si>
  <si>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</si>
  <si>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</si>
  <si>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</si>
  <si>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</si>
  <si>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</si>
  <si>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</si>
  <si>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</si>
  <si>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</si>
  <si>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</si>
  <si>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</si>
  <si>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</si>
  <si>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</si>
  <si>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</si>
  <si>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</si>
  <si>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</si>
  <si>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</si>
  <si>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</si>
  <si>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</si>
  <si>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</si>
  <si>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</si>
  <si>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</si>
  <si>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</si>
  <si>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</si>
  <si>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</si>
  <si>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</si>
  <si>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</si>
  <si>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</si>
  <si>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</si>
  <si>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</si>
  <si>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</si>
  <si>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</si>
  <si>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</si>
  <si>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</si>
  <si>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</si>
  <si>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</si>
  <si>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</si>
  <si>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</si>
  <si>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</si>
  <si>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</si>
  <si>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</si>
  <si>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</si>
  <si>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</si>
  <si>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</si>
  <si>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</si>
  <si>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</si>
  <si>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</si>
  <si>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</si>
  <si>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</si>
  <si>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</si>
  <si>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</si>
  <si>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</si>
  <si>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</si>
  <si>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</si>
  <si>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</si>
  <si>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</si>
  <si>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</si>
  <si>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</si>
  <si>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</si>
  <si>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編號</t>
  </si>
  <si>
    <t xml:space="preserve">文件</t>
  </si>
  <si>
    <t xml:space="preserve">網址</t>
  </si>
  <si>
    <r>
      <rPr>
        <sz val="11"/>
        <color theme="1"/>
        <rFont val="Calibri"/>
        <family val="2"/>
        <charset val="1"/>
      </rPr>
      <t xml:space="preserve">Microsoft Form 10-K FY2026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，經查核）</t>
    </r>
  </si>
  <si>
    <t xml:space="preserve">2026-07-29</t>
  </si>
  <si>
    <t xml:space="preserve">https://www.sec.gov/Archives/edgar/data/789019/000119312526323660/msft-20260630.htm</t>
  </si>
  <si>
    <r>
      <rPr>
        <sz val="11"/>
        <color theme="1"/>
        <rFont val="Calibri"/>
        <family val="2"/>
        <charset val="1"/>
      </rPr>
      <t xml:space="preserve">Microsoft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Segments and Investor Metrics</t>
    </r>
    <r>
      <rPr>
        <sz val="11"/>
        <color theme="1"/>
        <rFont val="Noto Sans CJK SC"/>
        <family val="2"/>
      </rPr>
      <t xml:space="preserve">（分部重編、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金額、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調整後指引）</t>
    </r>
  </si>
  <si>
    <t xml:space="preserve">2026-09-02</t>
  </si>
  <si>
    <t xml:space="preserve">https://www.sec.gov/Archives/edgar/data/789019/000119312526380280/d291965dex991.htm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</si>
  <si>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</si>
  <si>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各季財報新聞稿與法說（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</si>
  <si>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2026-07-29</t>
    </r>
  </si>
  <si>
    <t xml:space="preserve">https://www.microsoft.com/en-us/investor/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</si>
  <si>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</si>
  <si>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事實總帳（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起；每筆附來源、日期、標記）</t>
    </r>
  </si>
  <si>
    <t xml:space="preserve">microsoft/data/microsoft_facts_20261008.json</t>
  </si>
  <si>
    <t xml:space="preserve">依各筆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</si>
  <si>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</si>
  <si>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</si>
  <si>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microsoft/data/tokenomics_snapshot_v21.4.json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</si>
  <si>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牌價）</t>
    </r>
  </si>
  <si>
    <t xml:space="preserve">microsoft/data/kevidence_microsoft_20261008.json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</si>
  <si>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</si>
  <si>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</si>
  <si>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）</t>
    </r>
  </si>
  <si>
    <t xml:space="preserve">2026-10-26</t>
  </si>
  <si>
    <t xml:space="preserve">https://stockanalysis.com/stocks/msft/statistics/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</si>
  <si>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預測頁（共識目標價 </t>
    </r>
    <r>
      <rPr>
        <sz val="11"/>
        <color theme="1"/>
        <rFont val="Calibri"/>
        <family val="2"/>
        <charset val="1"/>
      </rPr>
      <t xml:space="preserve">603.43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391.6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19.76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</si>
  <si>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https://stockanalysis.com/stocks/msft/forecast/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</si>
  <si>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</si>
  <si>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microsoft/data/peers_cloud_20261008.json</t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</si>
  <si>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</t>
    </r>
  </si>
  <si>
    <t xml:space="preserve">microsoft/data/peers_ads_20261009.json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</si>
  <si>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</si>
  <si>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t xml:space="preserve">2026-10-09</t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</si>
  <si>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</si>
  <si>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成品（對照）</t>
    </r>
  </si>
  <si>
    <r>
      <rPr>
        <sz val="11"/>
        <color theme="1"/>
        <rFont val="Calibri"/>
        <family val="2"/>
        <charset val="1"/>
      </rPr>
      <t xml:space="preserve">microsoft/dist/_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_v0_2_2.xlsx</t>
    </r>
  </si>
  <si>
    <t xml:space="preserve">個股模型原則（命題＋營收分部）</t>
  </si>
  <si>
    <t xml:space="preserve">2026-10-27</t>
  </si>
  <si>
    <r>
      <rPr>
        <sz val="11"/>
        <color theme="1"/>
        <rFont val="Calibri"/>
        <family val="2"/>
        <charset val="1"/>
      </rPr>
      <t xml:space="preserve">docs/plan/</t>
    </r>
    <r>
      <rPr>
        <sz val="11"/>
        <color theme="1"/>
        <rFont val="Noto Sans CJK SC"/>
        <family val="2"/>
      </rPr>
      <t xml:space="preserve">個股模型原則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命題加營收分部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</si>
  <si>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MAG v0.3 </t>
    </r>
    <r>
      <rPr>
        <sz val="11"/>
        <color theme="1"/>
        <rFont val="Noto Sans CJK SC"/>
        <family val="2"/>
      </rPr>
      <t xml:space="preserve">工作單</t>
    </r>
  </si>
  <si>
    <r>
      <rPr>
        <sz val="11"/>
        <color theme="1"/>
        <rFont val="Calibri"/>
        <family val="2"/>
        <charset val="1"/>
      </rPr>
      <t xml:space="preserve">mag/docs/workorders/20261027_MAG_v0.3_</t>
    </r>
    <r>
      <rPr>
        <sz val="11"/>
        <color theme="1"/>
        <rFont val="Noto Sans CJK SC"/>
        <family val="2"/>
      </rPr>
      <t xml:space="preserve">個股模型重建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分部架構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</si>
  <si>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Noto Sans CJK SC"/>
        <family val="2"/>
      </rPr>
      <t xml:space="preserve">未找到：產品線層級市場共識；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年底座席；</t>
    </r>
    <r>
      <rPr>
        <sz val="11"/>
        <color theme="1"/>
        <rFont val="Calibri"/>
        <family val="2"/>
        <charset val="1"/>
      </rPr>
      <t xml:space="preserve">M365 </t>
    </r>
    <r>
      <rPr>
        <sz val="11"/>
        <color theme="1"/>
        <rFont val="Noto Sans CJK SC"/>
        <family val="2"/>
      </rPr>
      <t xml:space="preserve">商用座席數（事實總帳未收）；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個別長債殖利率；遊戲與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倍數（改用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</si>
</sst>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.00"/>
    <numFmt numFmtId="166" formatCode="#,##0.0"/>
    <numFmt numFmtId="167" formatCode="0.0%"/>
    <numFmt numFmtId="168" formatCode="0.00"/>
    <numFmt numFmtId="169" formatCode="0.000"/>
    <numFmt numFmtId="170" formatCode="yyyy\-mm\-dd"/>
    <numFmt numFmtId="171" formatCode="#,##0.000"/>
    <numFmt numFmtId="172" formatCode="0%"/>
    <numFmt numFmtId="173" formatCode="0"/>
    <numFmt numFmtId="174" formatCode="#,##0"/>
    <numFmt numFmtId="175" formatCode="@"/>
    <numFmt numFmtId="176" formatCode="0.00%"/>
    <numFmt numFmtId="177" formatCode="0.0"/>
    <numFmt numFmtId="178" formatCode="\+0.0%;\-0.0%"/>
    <numFmt numFmtId="179" formatCode="\+#,##0.00;\-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5" min="2" style="0" width="24"/>
  </cols>
  <sheetData>
    <row r="1" customFormat="false" ht="17.15" hidden="false" customHeight="false" outlineLevel="0" collapsed="false">
      <c r="A1" s="0" t="s">
        <v>0</v>
      </c>
    </row>
    <row r="2" customFormat="false" ht="17.15" hidden="false" customHeight="false" outlineLevel="0" collapsed="false">
      <c r="A2" s="1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64.15" hidden="false" customHeight="false" outlineLevel="0" collapsed="false">
      <c r="A5" s="2" t="str">
        <f aca="false">"① 命題答案（FY2029，基準情境 B）：讀法 2（主值；自用 AI 價值中性）AI 增量 ROIC "&amp;TEXT(Thesis!H96,"0.0%")&amp;"，讀法 1（自用 AI 只計成本）"&amp;TEXT(Thesis!H97,"0.0%")&amp;"，WACC "&amp;TEXT(wacc,"0.0%")&amp;"；對外 Azure AI 本身 "&amp;TEXT(Thesis!H99,"0.0%")&amp;"。讀法 1 下 AI 容量越大、目標價越低（自用算力只有成本）；讀法 2 下容量增加對目標價中性偏正（敏感度：MW 速度改 Epoch 可辨識站點 "&amp;TEXT(Sens!D9,"+0.0;-0.0")&amp;"、+20% "&amp;TEXT(Sens!D10,"+0.0;-0.0")&amp;"）。AI 折舊 FY2026 "&amp;TEXT(Thesis!E89,"0.0")&amp;" → FY2029 "&amp;TEXT(Thesis!H89,"0.0")&amp;" 十億美元，財報口徑營業利益率 FY2029 "&amp;TEXT(PL!H76,"0.0%")&amp;"（FY2026 "&amp;TEXT(PL!E76,"0.0%")&amp;"）。"</f>
        <v>① 命題答案（FY2029，基準情境 B）：讀法 2（主值；自用 AI 價值中性）AI 增量 ROIC 8.9%，讀法 1（自用 AI 只計成本）1.4%，WACC 10.3%；對外 Azure AI 本身 13.5%。讀法 1 下 AI 容量越大、目標價越低（自用算力只有成本）；讀法 2 下容量增加對目標價中性偏正（敏感度：MW 速度改 Epoch 可辨識站點 -33.2、+20% +5.5）。AI 折舊 FY2026 16.3 → FY2029 86.4 十億美元，財報口徑營業利益率 FY2029 39.5%（FY2026 46.8%）。</v>
      </c>
    </row>
    <row r="6" customFormat="false" ht="32.8" hidden="false" customHeight="false" outlineLevel="0" collapsed="false">
      <c r="A6" s="2" t="str">
        <f aca="false">"② 收支關卡：基準情境首年起五年（FY2027–FY2031）自由現金流扣股利合計 "&amp;TEXT(CF!C5,"#,##0.0")&amp;" 十億美元（樂觀 "&amp;TEXT(CF!B5,"#,##0.0")&amp;"、保守 "&amp;TEXT(CF!D5,"#,##0.0")&amp;"）；"&amp;CF!C6&amp;"。"</f>
        <v>② 收支關卡：基準情境首年起五年（FY2027–FY2031）自由現金流扣股利合計 270.9 十億美元（樂觀 375.6、保守 148.3）；需要舉債 9.8 十億美元；回購較每年 22.3 的目標少 44.0 十億美元（2 年減少）。</v>
      </c>
    </row>
    <row r="7" customFormat="false" ht="32.8" hidden="false" customHeight="false" outlineLevel="0" collapsed="false">
      <c r="A7" s="2" t="str">
        <f aca="false">"③ 評價：加權目標價 "&amp;TEXT(Val!$B$36,"#,##0")&amp;" 美元（讀法 2），較現價 "&amp;TEXT(px,"#,##0.00")&amp;" "&amp;TEXT(Val!$B$40,"+0.0%;-0.0%")&amp;"；DCF "&amp;TEXT(Val!$B$14,"#,##0")&amp;"、分部加總 "&amp;TEXT(Val!$B$31,"#,##0")&amp;"；讀法 1 目標價 "&amp;TEXT(Val!$B$47,"#,##0")&amp;"（"&amp;Val!$B$49&amp;"）；市場共識 "&amp;TEXT(cons_tp,"#,##0")&amp;"。WACC "&amp;TEXT(wacc,"0.0%")&amp;"（−1pt 時目標價 "&amp;TEXT(Sens!C25,"#,##0")&amp;"）；非 AI 各線改用 Microsoft 自身 NTM EV/EBITDA "&amp;TEXT(m_own,"0.0")&amp;"× 時目標價 "&amp;TEXT(Sens!C40,"#,##0")&amp;"。"</f>
        <v>③ 評價：加權目標價 386 美元（讀法 2），較現價 532.60 -27.6%；DCF 328、分部加總 444；讀法 1 目標價 315（放空）；市場共識 603。WACC 10.3%（−1pt 時目標價 408）；非 AI 各線改用 Microsoft 自身 NTM EV/EBITDA 15.7× 時目標價 451。</v>
      </c>
    </row>
    <row r="8" customFormat="false" ht="32.8" hidden="false" customHeight="false" outlineLevel="0" collapsed="false">
      <c r="A8" s="2" t="str">
        <f aca="false">"投資建議："&amp;Val!$B$43&amp;"（讀法 2 主值；上檔空間 "&amp;TEXT(Val!$B$40,"+0.0%;-0.0%")&amp;"；讀法 1："&amp;Val!$B$49&amp;"；五級固定規則：≥ +50% 強力買進、+25%～+50% 買進、−25%～+25% 中立、−50%～−25% 放空、≤ −50% 強力放空）"</f>
        <v>投資建議：放空（讀法 2 主值；上檔空間 -27.6%；讀法 1：放空；五級固定規則：≥ +50% 強力買進、+25%～+50% 買進、−25%～+25% 中立、−50%～−25% 放空、≤ −50% 強力放空）</v>
      </c>
    </row>
    <row r="9" customFormat="false" ht="17.15" hidden="false" customHeight="false" outlineLevel="0" collapsed="false">
      <c r="A9" s="2" t="str">
        <f aca="false">"收支關卡（地圖）：CF 頁「收支關卡：自由現金流扣股利（五年合計）」基準 "&amp;TEXT(CF!C5,"#,##0.0")&amp;" 十億美元（財報現金，不含影子效益）"</f>
        <v>收支關卡（地圖）：CF 頁「收支關卡：自由現金流扣股利（五年合計）」基準 270.9 十億美元（財報現金，不含影子效益）</v>
      </c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  <c r="B12" s="4" t="s">
        <v>6</v>
      </c>
      <c r="C12" s="4" t="s">
        <v>7</v>
      </c>
      <c r="D12" s="4" t="s">
        <v>8</v>
      </c>
      <c r="E12" s="4" t="s">
        <v>9</v>
      </c>
    </row>
    <row r="13" customFormat="false" ht="17.15" hidden="false" customHeight="false" outlineLevel="0" collapsed="false">
      <c r="A13" s="0" t="s">
        <v>10</v>
      </c>
      <c r="B13" s="0" t="s">
        <v>11</v>
      </c>
      <c r="C13" s="1" t="s">
        <v>12</v>
      </c>
      <c r="D13" s="0" t="s">
        <v>13</v>
      </c>
      <c r="E13" s="5" t="n">
        <f aca="false">Thesis!H57</f>
        <v>10831.6</v>
      </c>
    </row>
    <row r="14" customFormat="false" ht="17.15" hidden="false" customHeight="false" outlineLevel="0" collapsed="false">
      <c r="A14" s="0" t="s">
        <v>10</v>
      </c>
      <c r="B14" s="0" t="s">
        <v>14</v>
      </c>
      <c r="C14" s="1" t="s">
        <v>15</v>
      </c>
      <c r="D14" s="0" t="s">
        <v>16</v>
      </c>
      <c r="E14" s="5" t="n">
        <f aca="false">Thesis!H71</f>
        <v>13.0472022091214</v>
      </c>
    </row>
    <row r="15" customFormat="false" ht="17.15" hidden="false" customHeight="false" outlineLevel="0" collapsed="false">
      <c r="A15" s="0" t="s">
        <v>10</v>
      </c>
      <c r="B15" s="0" t="s">
        <v>17</v>
      </c>
      <c r="C15" s="0" t="s">
        <v>18</v>
      </c>
      <c r="D15" s="1" t="s">
        <v>19</v>
      </c>
      <c r="E15" s="5" t="n">
        <f aca="false">Thesis!H89</f>
        <v>86.3610198433111</v>
      </c>
    </row>
    <row r="16" customFormat="false" ht="17.15" hidden="false" customHeight="false" outlineLevel="0" collapsed="false">
      <c r="A16" s="0" t="s">
        <v>20</v>
      </c>
      <c r="B16" s="0" t="s">
        <v>21</v>
      </c>
      <c r="C16" s="0" t="s">
        <v>22</v>
      </c>
      <c r="D16" s="1" t="s">
        <v>23</v>
      </c>
      <c r="E16" s="5" t="n">
        <f aca="false">Seg!H38</f>
        <v>24</v>
      </c>
    </row>
    <row r="17" customFormat="false" ht="17.15" hidden="false" customHeight="false" outlineLevel="0" collapsed="false">
      <c r="A17" s="0" t="s">
        <v>20</v>
      </c>
      <c r="B17" s="0" t="s">
        <v>24</v>
      </c>
      <c r="C17" s="1" t="s">
        <v>25</v>
      </c>
      <c r="D17" s="1" t="s">
        <v>26</v>
      </c>
      <c r="E17" s="5" t="n">
        <f aca="false">Seg!H56</f>
        <v>552.773101018903</v>
      </c>
    </row>
    <row r="18" customFormat="false" ht="17.15" hidden="false" customHeight="false" outlineLevel="0" collapsed="false">
      <c r="A18" s="0" t="s">
        <v>27</v>
      </c>
      <c r="B18" s="1" t="s">
        <v>28</v>
      </c>
      <c r="C18" s="0" t="s">
        <v>29</v>
      </c>
      <c r="D18" s="1" t="s">
        <v>30</v>
      </c>
      <c r="E18" s="5" t="n">
        <f aca="false">PL!H71</f>
        <v>197.532540809638</v>
      </c>
    </row>
    <row r="19" customFormat="false" ht="17.15" hidden="false" customHeight="false" outlineLevel="0" collapsed="false">
      <c r="A19" s="0" t="s">
        <v>27</v>
      </c>
      <c r="B19" s="0" t="s">
        <v>31</v>
      </c>
      <c r="C19" s="1" t="s">
        <v>32</v>
      </c>
      <c r="D19" s="1" t="s">
        <v>33</v>
      </c>
      <c r="E19" s="5" t="n">
        <f aca="false">PL!H88</f>
        <v>27.3381528532041</v>
      </c>
    </row>
    <row r="20" customFormat="false" ht="17.15" hidden="false" customHeight="false" outlineLevel="0" collapsed="false">
      <c r="A20" s="0" t="s">
        <v>34</v>
      </c>
      <c r="B20" s="0" t="s">
        <v>35</v>
      </c>
      <c r="C20" s="1" t="s">
        <v>36</v>
      </c>
      <c r="D20" s="1" t="s">
        <v>37</v>
      </c>
      <c r="E20" s="5" t="n">
        <f aca="false">CF!H60</f>
        <v>70.4109053632819</v>
      </c>
    </row>
    <row r="21" customFormat="false" ht="17.15" hidden="false" customHeight="false" outlineLevel="0" collapsed="false">
      <c r="A21" s="0" t="s">
        <v>38</v>
      </c>
      <c r="B21" s="0" t="s">
        <v>39</v>
      </c>
      <c r="C21" s="0" t="s">
        <v>40</v>
      </c>
      <c r="D21" s="0" t="s">
        <v>41</v>
      </c>
      <c r="E21" s="5" t="n">
        <f aca="false">Val!$B$36</f>
        <v>385.56245022499</v>
      </c>
    </row>
    <row r="23" customFormat="false" ht="15" hidden="false" customHeight="false" outlineLevel="0" collapsed="false">
      <c r="A23" s="3" t="s">
        <v>42</v>
      </c>
    </row>
    <row r="24" customFormat="false" ht="17.15" hidden="false" customHeight="false" outlineLevel="0" collapsed="false">
      <c r="A24" s="4" t="s">
        <v>43</v>
      </c>
      <c r="B24" s="4" t="s">
        <v>44</v>
      </c>
      <c r="C24" s="4" t="s">
        <v>45</v>
      </c>
      <c r="D24" s="4" t="s">
        <v>46</v>
      </c>
      <c r="E24" s="4" t="s">
        <v>47</v>
      </c>
    </row>
    <row r="25" customFormat="false" ht="17.15" hidden="false" customHeight="false" outlineLevel="0" collapsed="false">
      <c r="A25" s="1" t="s">
        <v>48</v>
      </c>
      <c r="B25" s="6" t="n">
        <f aca="false">Seg!H29</f>
        <v>585.223080296262</v>
      </c>
      <c r="C25" s="6" t="n">
        <f aca="false">Seg!H56</f>
        <v>552.773101018903</v>
      </c>
      <c r="D25" s="6" t="n">
        <f aca="false">Seg!H83</f>
        <v>515.333125886071</v>
      </c>
    </row>
    <row r="26" customFormat="false" ht="17.15" hidden="false" customHeight="false" outlineLevel="0" collapsed="false">
      <c r="A26" s="0" t="s">
        <v>49</v>
      </c>
      <c r="B26" s="6" t="n">
        <f aca="false">Thesis!H23</f>
        <v>149.785610014234</v>
      </c>
      <c r="C26" s="6" t="n">
        <f aca="false">Thesis!H72</f>
        <v>124.835630736874</v>
      </c>
      <c r="D26" s="6" t="n">
        <f aca="false">Thesis!H121</f>
        <v>94.895655604042</v>
      </c>
    </row>
    <row r="27" customFormat="false" ht="17.15" hidden="false" customHeight="false" outlineLevel="0" collapsed="false">
      <c r="A27" s="0" t="s">
        <v>50</v>
      </c>
      <c r="B27" s="6" t="n">
        <f aca="false">Seg!H11</f>
        <v>31.5</v>
      </c>
      <c r="C27" s="6" t="n">
        <f aca="false">Seg!H38</f>
        <v>24</v>
      </c>
      <c r="D27" s="6" t="n">
        <f aca="false">Seg!H65</f>
        <v>16.5</v>
      </c>
    </row>
    <row r="28" customFormat="false" ht="17.15" hidden="false" customHeight="false" outlineLevel="0" collapsed="false">
      <c r="A28" s="1" t="s">
        <v>51</v>
      </c>
      <c r="B28" s="7" t="n">
        <f aca="false">PL!H37</f>
        <v>0.422720942380043</v>
      </c>
      <c r="C28" s="7" t="n">
        <f aca="false">PL!H76</f>
        <v>0.394631616832203</v>
      </c>
      <c r="D28" s="7" t="n">
        <f aca="false">PL!H115</f>
        <v>0.356870979360794</v>
      </c>
    </row>
    <row r="29" customFormat="false" ht="17.15" hidden="false" customHeight="false" outlineLevel="0" collapsed="false">
      <c r="A29" s="0" t="s">
        <v>52</v>
      </c>
      <c r="B29" s="8" t="n">
        <f aca="false">PL!H47</f>
        <v>26.2554650824931</v>
      </c>
      <c r="C29" s="8" t="n">
        <f aca="false">PL!H86</f>
        <v>23.0860886538213</v>
      </c>
      <c r="D29" s="8" t="n">
        <f aca="false">PL!H125</f>
        <v>19.4227202101637</v>
      </c>
    </row>
    <row r="30" customFormat="false" ht="17.15" hidden="false" customHeight="false" outlineLevel="0" collapsed="false">
      <c r="A30" s="0" t="s">
        <v>53</v>
      </c>
      <c r="B30" s="8" t="n">
        <f aca="false">PL!H49</f>
        <v>30.0634814210723</v>
      </c>
      <c r="C30" s="8" t="n">
        <f aca="false">PL!H88</f>
        <v>27.3381528532041</v>
      </c>
      <c r="D30" s="8" t="n">
        <f aca="false">PL!H127</f>
        <v>24.1206581799848</v>
      </c>
    </row>
    <row r="31" customFormat="false" ht="17.15" hidden="false" customHeight="false" outlineLevel="0" collapsed="false">
      <c r="A31" s="1" t="s">
        <v>54</v>
      </c>
      <c r="B31" s="6" t="n">
        <f aca="false">CF!H29</f>
        <v>94.3849170358102</v>
      </c>
      <c r="C31" s="6" t="n">
        <f aca="false">CF!H60</f>
        <v>70.4109053632819</v>
      </c>
      <c r="D31" s="6" t="n">
        <f aca="false">CF!H91</f>
        <v>42.2583580565023</v>
      </c>
    </row>
    <row r="32" customFormat="false" ht="17.15" hidden="false" customHeight="false" outlineLevel="0" collapsed="false">
      <c r="A32" s="0" t="s">
        <v>55</v>
      </c>
      <c r="B32" s="7" t="n">
        <f aca="false">Thesis!H47</f>
        <v>0.135146877810762</v>
      </c>
      <c r="C32" s="7" t="n">
        <f aca="false">Thesis!H96</f>
        <v>0.0885429149819656</v>
      </c>
      <c r="D32" s="7" t="n">
        <f aca="false">Thesis!H145</f>
        <v>0.0326181595874103</v>
      </c>
    </row>
    <row r="33" customFormat="false" ht="17.15" hidden="false" customHeight="false" outlineLevel="0" collapsed="false">
      <c r="A33" s="0" t="s">
        <v>56</v>
      </c>
      <c r="B33" s="7" t="n">
        <f aca="false">Thesis!H48</f>
        <v>0.0682348527970699</v>
      </c>
      <c r="C33" s="7" t="n">
        <f aca="false">Thesis!H97</f>
        <v>0.0136322234579658</v>
      </c>
      <c r="D33" s="7" t="n">
        <f aca="false">Thesis!H146</f>
        <v>-0.0502911984468976</v>
      </c>
    </row>
    <row r="35" customFormat="false" ht="17.15" hidden="false" customHeight="false" outlineLevel="0" collapsed="false">
      <c r="A35" s="1" t="s">
        <v>57</v>
      </c>
      <c r="B35" s="5" t="n">
        <f aca="false">Val!B44</f>
        <v>425.214646302975</v>
      </c>
      <c r="C35" s="5" t="n">
        <f aca="false">Val!C44</f>
        <v>387.509267421291</v>
      </c>
      <c r="D35" s="5" t="n">
        <f aca="false">Val!D44</f>
        <v>342.016619754405</v>
      </c>
    </row>
    <row r="37" customFormat="false" ht="48.5" hidden="false" customHeight="false" outlineLevel="0" collapsed="false">
      <c r="A37" s="2" t="s">
        <v>58</v>
      </c>
    </row>
    <row r="38" customFormat="false" ht="32.8" hidden="false" customHeight="false" outlineLevel="0" collapsed="false">
      <c r="A38" s="2" t="s">
        <v>59</v>
      </c>
    </row>
    <row r="39" customFormat="false" ht="30.55" hidden="false" customHeight="false" outlineLevel="0" collapsed="false">
      <c r="A39" s="2" t="s">
        <v>60</v>
      </c>
    </row>
    <row r="40" customFormat="false" ht="111.15" hidden="false" customHeight="false" outlineLevel="0" collapsed="false">
      <c r="A40" s="2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62</v>
      </c>
    </row>
    <row r="2" customFormat="false" ht="17.15" hidden="false" customHeight="false" outlineLevel="0" collapsed="false">
      <c r="A2" s="1" t="s">
        <v>63</v>
      </c>
    </row>
    <row r="3" customFormat="false" ht="17.15" hidden="false" customHeight="false" outlineLevel="0" collapsed="false">
      <c r="A3" s="4" t="s">
        <v>64</v>
      </c>
      <c r="B3" s="4" t="s">
        <v>43</v>
      </c>
      <c r="C3" s="4" t="s">
        <v>65</v>
      </c>
      <c r="D3" s="4" t="s">
        <v>66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</row>
    <row r="4" customFormat="false" ht="17.15" hidden="false" customHeight="false" outlineLevel="0" collapsed="false">
      <c r="A4" s="9" t="s">
        <v>72</v>
      </c>
    </row>
    <row r="5" customFormat="false" ht="17.15" hidden="false" customHeight="false" outlineLevel="0" collapsed="false">
      <c r="A5" s="0" t="s">
        <v>73</v>
      </c>
      <c r="B5" s="1" t="s">
        <v>74</v>
      </c>
      <c r="C5" s="0" t="s">
        <v>75</v>
      </c>
      <c r="E5" s="10" t="n">
        <v>532.6</v>
      </c>
      <c r="G5" s="11" t="s">
        <v>76</v>
      </c>
      <c r="H5" s="11" t="s">
        <v>77</v>
      </c>
      <c r="I5" s="11" t="s">
        <v>78</v>
      </c>
    </row>
    <row r="6" customFormat="false" ht="17.15" hidden="false" customHeight="false" outlineLevel="0" collapsed="false">
      <c r="A6" s="0" t="s">
        <v>79</v>
      </c>
      <c r="B6" s="0" t="s">
        <v>80</v>
      </c>
      <c r="C6" s="1" t="s">
        <v>81</v>
      </c>
      <c r="E6" s="10" t="n">
        <v>7.453</v>
      </c>
      <c r="G6" s="11" t="s">
        <v>76</v>
      </c>
      <c r="H6" s="1" t="s">
        <v>82</v>
      </c>
      <c r="I6" s="11" t="s">
        <v>83</v>
      </c>
    </row>
    <row r="7" customFormat="false" ht="17.15" hidden="false" customHeight="false" outlineLevel="0" collapsed="false">
      <c r="A7" s="0" t="s">
        <v>84</v>
      </c>
      <c r="B7" s="0" t="s">
        <v>85</v>
      </c>
      <c r="C7" s="1" t="s">
        <v>81</v>
      </c>
      <c r="E7" s="10" t="n">
        <v>7.429</v>
      </c>
      <c r="G7" s="11" t="s">
        <v>76</v>
      </c>
      <c r="H7" s="1" t="s">
        <v>86</v>
      </c>
      <c r="I7" s="11" t="s">
        <v>87</v>
      </c>
    </row>
    <row r="8" customFormat="false" ht="17.15" hidden="false" customHeight="false" outlineLevel="0" collapsed="false">
      <c r="A8" s="0" t="s">
        <v>88</v>
      </c>
      <c r="B8" s="1" t="s">
        <v>89</v>
      </c>
      <c r="C8" s="1" t="s">
        <v>81</v>
      </c>
      <c r="E8" s="0" t="n">
        <f aca="false">sh_dil26-sh_basic26</f>
        <v>0.024</v>
      </c>
      <c r="G8" s="0" t="s">
        <v>90</v>
      </c>
      <c r="H8" s="0" t="s">
        <v>91</v>
      </c>
      <c r="I8" s="1" t="s">
        <v>92</v>
      </c>
    </row>
    <row r="9" customFormat="false" ht="17.15" hidden="false" customHeight="false" outlineLevel="0" collapsed="false">
      <c r="A9" s="0" t="s">
        <v>93</v>
      </c>
      <c r="B9" s="1" t="s">
        <v>94</v>
      </c>
      <c r="C9" s="1" t="s">
        <v>81</v>
      </c>
      <c r="E9" s="10" t="n">
        <v>7.427</v>
      </c>
      <c r="G9" s="11" t="s">
        <v>76</v>
      </c>
      <c r="H9" s="1" t="s">
        <v>95</v>
      </c>
      <c r="I9" s="11" t="s">
        <v>87</v>
      </c>
    </row>
    <row r="10" customFormat="false" ht="17.15" hidden="false" customHeight="false" outlineLevel="0" collapsed="false">
      <c r="A10" s="0" t="s">
        <v>96</v>
      </c>
      <c r="B10" s="1" t="s">
        <v>97</v>
      </c>
      <c r="C10" s="0" t="s">
        <v>98</v>
      </c>
      <c r="E10" s="10" t="n">
        <v>76.843</v>
      </c>
      <c r="G10" s="11" t="s">
        <v>76</v>
      </c>
      <c r="H10" s="1" t="s">
        <v>99</v>
      </c>
      <c r="I10" s="11" t="s">
        <v>87</v>
      </c>
    </row>
    <row r="11" customFormat="false" ht="17.15" hidden="false" customHeight="false" outlineLevel="0" collapsed="false">
      <c r="A11" s="0" t="s">
        <v>100</v>
      </c>
      <c r="B11" s="1" t="s">
        <v>101</v>
      </c>
      <c r="C11" s="0" t="s">
        <v>98</v>
      </c>
      <c r="E11" s="10" t="n">
        <v>46.136</v>
      </c>
      <c r="G11" s="11" t="s">
        <v>76</v>
      </c>
      <c r="H11" s="1" t="s">
        <v>102</v>
      </c>
      <c r="I11" s="1" t="s">
        <v>103</v>
      </c>
    </row>
    <row r="12" customFormat="false" ht="17.15" hidden="false" customHeight="false" outlineLevel="0" collapsed="false">
      <c r="A12" s="0" t="s">
        <v>104</v>
      </c>
      <c r="B12" s="1" t="s">
        <v>105</v>
      </c>
      <c r="C12" s="0" t="s">
        <v>98</v>
      </c>
      <c r="E12" s="10" t="n">
        <v>9.25</v>
      </c>
      <c r="G12" s="11" t="s">
        <v>76</v>
      </c>
      <c r="H12" s="1" t="s">
        <v>106</v>
      </c>
      <c r="I12" s="11" t="s">
        <v>87</v>
      </c>
    </row>
    <row r="13" customFormat="false" ht="17.15" hidden="false" customHeight="false" outlineLevel="0" collapsed="false">
      <c r="A13" s="0" t="s">
        <v>107</v>
      </c>
      <c r="B13" s="1" t="s">
        <v>108</v>
      </c>
      <c r="C13" s="0" t="s">
        <v>98</v>
      </c>
      <c r="E13" s="10" t="n">
        <v>0</v>
      </c>
      <c r="G13" s="11" t="s">
        <v>76</v>
      </c>
      <c r="H13" s="1" t="s">
        <v>109</v>
      </c>
      <c r="I13" s="11" t="s">
        <v>87</v>
      </c>
    </row>
    <row r="14" customFormat="false" ht="17.15" hidden="false" customHeight="false" outlineLevel="0" collapsed="false">
      <c r="A14" s="0" t="s">
        <v>110</v>
      </c>
      <c r="B14" s="1" t="s">
        <v>111</v>
      </c>
      <c r="C14" s="0" t="s">
        <v>98</v>
      </c>
      <c r="E14" s="10" t="n">
        <v>2.001</v>
      </c>
      <c r="G14" s="11" t="s">
        <v>76</v>
      </c>
      <c r="H14" s="1" t="s">
        <v>112</v>
      </c>
      <c r="I14" s="11" t="s">
        <v>87</v>
      </c>
    </row>
    <row r="15" customFormat="false" ht="17.15" hidden="false" customHeight="false" outlineLevel="0" collapsed="false">
      <c r="A15" s="0" t="s">
        <v>113</v>
      </c>
      <c r="B15" s="1" t="s">
        <v>114</v>
      </c>
      <c r="C15" s="0" t="s">
        <v>98</v>
      </c>
      <c r="E15" s="10" t="n">
        <v>0</v>
      </c>
      <c r="G15" s="11" t="s">
        <v>76</v>
      </c>
      <c r="H15" s="1" t="s">
        <v>115</v>
      </c>
      <c r="I15" s="11" t="s">
        <v>87</v>
      </c>
    </row>
    <row r="16" customFormat="false" ht="17.15" hidden="false" customHeight="false" outlineLevel="0" collapsed="false">
      <c r="A16" s="0" t="s">
        <v>116</v>
      </c>
      <c r="B16" s="1" t="s">
        <v>117</v>
      </c>
      <c r="C16" s="0" t="s">
        <v>98</v>
      </c>
      <c r="E16" s="10" t="n">
        <v>0.5</v>
      </c>
      <c r="G16" s="11" t="s">
        <v>76</v>
      </c>
      <c r="H16" s="1" t="s">
        <v>118</v>
      </c>
      <c r="I16" s="11" t="s">
        <v>87</v>
      </c>
    </row>
    <row r="17" customFormat="false" ht="17.15" hidden="false" customHeight="false" outlineLevel="0" collapsed="false">
      <c r="A17" s="0" t="s">
        <v>119</v>
      </c>
      <c r="B17" s="1" t="s">
        <v>120</v>
      </c>
      <c r="C17" s="0" t="s">
        <v>98</v>
      </c>
      <c r="E17" s="10" t="n">
        <v>0</v>
      </c>
      <c r="G17" s="11" t="s">
        <v>121</v>
      </c>
      <c r="H17" s="1" t="s">
        <v>122</v>
      </c>
      <c r="I17" s="11" t="s">
        <v>87</v>
      </c>
    </row>
    <row r="18" customFormat="false" ht="17.15" hidden="false" customHeight="false" outlineLevel="0" collapsed="false">
      <c r="A18" s="0" t="s">
        <v>123</v>
      </c>
      <c r="B18" s="1" t="s">
        <v>124</v>
      </c>
      <c r="C18" s="0" t="s">
        <v>98</v>
      </c>
      <c r="E18" s="10" t="n">
        <v>66.594</v>
      </c>
      <c r="G18" s="11" t="s">
        <v>76</v>
      </c>
      <c r="H18" s="1" t="s">
        <v>125</v>
      </c>
      <c r="I18" s="1" t="s">
        <v>126</v>
      </c>
    </row>
    <row r="19" customFormat="false" ht="17.15" hidden="false" customHeight="false" outlineLevel="0" collapsed="false">
      <c r="A19" s="0" t="s">
        <v>127</v>
      </c>
      <c r="B19" s="1" t="s">
        <v>128</v>
      </c>
      <c r="C19" s="0" t="s">
        <v>129</v>
      </c>
      <c r="E19" s="12" t="n">
        <v>0.045</v>
      </c>
      <c r="G19" s="11" t="s">
        <v>76</v>
      </c>
      <c r="H19" s="1" t="s">
        <v>130</v>
      </c>
      <c r="I19" s="11" t="s">
        <v>87</v>
      </c>
    </row>
    <row r="20" customFormat="false" ht="17.15" hidden="false" customHeight="false" outlineLevel="0" collapsed="false">
      <c r="A20" s="0" t="s">
        <v>131</v>
      </c>
      <c r="B20" s="1" t="s">
        <v>132</v>
      </c>
      <c r="C20" s="0" t="s">
        <v>98</v>
      </c>
      <c r="E20" s="10" t="n">
        <v>7.121</v>
      </c>
      <c r="G20" s="11" t="s">
        <v>76</v>
      </c>
      <c r="H20" s="1" t="s">
        <v>133</v>
      </c>
      <c r="I20" s="11" t="s">
        <v>87</v>
      </c>
    </row>
    <row r="21" customFormat="false" ht="17.15" hidden="false" customHeight="false" outlineLevel="0" collapsed="false">
      <c r="A21" s="0" t="s">
        <v>134</v>
      </c>
      <c r="B21" s="1" t="s">
        <v>135</v>
      </c>
      <c r="C21" s="0" t="s">
        <v>98</v>
      </c>
      <c r="E21" s="10" t="n">
        <v>7.294</v>
      </c>
      <c r="G21" s="11" t="s">
        <v>76</v>
      </c>
      <c r="H21" s="1" t="s">
        <v>136</v>
      </c>
      <c r="I21" s="11" t="s">
        <v>87</v>
      </c>
    </row>
    <row r="22" customFormat="false" ht="17.15" hidden="false" customHeight="false" outlineLevel="0" collapsed="false">
      <c r="A22" s="0" t="s">
        <v>137</v>
      </c>
      <c r="B22" s="1" t="s">
        <v>138</v>
      </c>
      <c r="C22" s="0" t="s">
        <v>98</v>
      </c>
      <c r="E22" s="10" t="n">
        <v>6.668</v>
      </c>
      <c r="G22" s="11" t="s">
        <v>76</v>
      </c>
      <c r="H22" s="1" t="s">
        <v>139</v>
      </c>
      <c r="I22" s="11" t="s">
        <v>87</v>
      </c>
    </row>
    <row r="23" customFormat="false" ht="17.15" hidden="false" customHeight="false" outlineLevel="0" collapsed="false">
      <c r="A23" s="0" t="s">
        <v>140</v>
      </c>
      <c r="B23" s="1" t="s">
        <v>141</v>
      </c>
      <c r="C23" s="0" t="s">
        <v>98</v>
      </c>
      <c r="E23" s="10" t="n">
        <v>6.57</v>
      </c>
      <c r="G23" s="11" t="s">
        <v>76</v>
      </c>
      <c r="H23" s="1" t="s">
        <v>142</v>
      </c>
      <c r="I23" s="11" t="s">
        <v>87</v>
      </c>
    </row>
    <row r="24" customFormat="false" ht="17.15" hidden="false" customHeight="false" outlineLevel="0" collapsed="false">
      <c r="A24" s="0" t="s">
        <v>143</v>
      </c>
      <c r="B24" s="1" t="s">
        <v>144</v>
      </c>
      <c r="C24" s="0" t="s">
        <v>98</v>
      </c>
      <c r="E24" s="10" t="n">
        <v>6.543</v>
      </c>
      <c r="G24" s="11" t="s">
        <v>76</v>
      </c>
      <c r="H24" s="1" t="s">
        <v>145</v>
      </c>
      <c r="I24" s="11" t="s">
        <v>87</v>
      </c>
    </row>
    <row r="25" customFormat="false" ht="17.15" hidden="false" customHeight="false" outlineLevel="0" collapsed="false">
      <c r="A25" s="0" t="s">
        <v>146</v>
      </c>
      <c r="B25" s="1" t="s">
        <v>147</v>
      </c>
      <c r="C25" s="0" t="s">
        <v>98</v>
      </c>
      <c r="E25" s="0" t="n">
        <f aca="false">fl_pay_31</f>
        <v>6.543</v>
      </c>
      <c r="G25" s="0" t="s">
        <v>121</v>
      </c>
      <c r="H25" s="1" t="s">
        <v>148</v>
      </c>
      <c r="I25" s="0" t="s">
        <v>87</v>
      </c>
    </row>
    <row r="26" customFormat="false" ht="17.15" hidden="false" customHeight="false" outlineLevel="0" collapsed="false">
      <c r="A26" s="0" t="s">
        <v>149</v>
      </c>
      <c r="B26" s="1" t="s">
        <v>150</v>
      </c>
      <c r="C26" s="0" t="s">
        <v>98</v>
      </c>
      <c r="D26" s="10" t="n">
        <v>30</v>
      </c>
      <c r="E26" s="10" t="n">
        <v>50</v>
      </c>
      <c r="F26" s="10" t="n">
        <v>70</v>
      </c>
      <c r="G26" s="11" t="s">
        <v>121</v>
      </c>
      <c r="H26" s="1" t="s">
        <v>151</v>
      </c>
      <c r="I26" s="1" t="s">
        <v>152</v>
      </c>
    </row>
    <row r="27" customFormat="false" ht="17.15" hidden="false" customHeight="false" outlineLevel="0" collapsed="false">
      <c r="A27" s="0" t="s">
        <v>153</v>
      </c>
      <c r="B27" s="1" t="s">
        <v>154</v>
      </c>
      <c r="C27" s="0" t="s">
        <v>98</v>
      </c>
      <c r="E27" s="10" t="n">
        <v>22.271</v>
      </c>
      <c r="G27" s="11" t="s">
        <v>76</v>
      </c>
      <c r="H27" s="1" t="s">
        <v>155</v>
      </c>
      <c r="I27" s="1" t="s">
        <v>156</v>
      </c>
    </row>
    <row r="28" customFormat="false" ht="15" hidden="false" customHeight="false" outlineLevel="0" collapsed="false">
      <c r="A28" s="0" t="s">
        <v>157</v>
      </c>
      <c r="B28" s="1" t="s">
        <v>158</v>
      </c>
      <c r="C28" s="0" t="s">
        <v>129</v>
      </c>
      <c r="D28" s="12" t="n">
        <v>0</v>
      </c>
      <c r="E28" s="12" t="n">
        <v>0.08</v>
      </c>
      <c r="F28" s="12" t="n">
        <v>0.12</v>
      </c>
      <c r="G28" s="11" t="s">
        <v>121</v>
      </c>
      <c r="H28" s="1" t="s">
        <v>159</v>
      </c>
      <c r="I28" s="1" t="s">
        <v>160</v>
      </c>
    </row>
    <row r="29" customFormat="false" ht="17.15" hidden="false" customHeight="false" outlineLevel="0" collapsed="false">
      <c r="A29" s="0" t="s">
        <v>161</v>
      </c>
      <c r="B29" s="1" t="s">
        <v>162</v>
      </c>
      <c r="C29" s="1" t="s">
        <v>81</v>
      </c>
      <c r="D29" s="10" t="n">
        <v>0.035</v>
      </c>
      <c r="E29" s="10" t="n">
        <v>0.045</v>
      </c>
      <c r="F29" s="10" t="n">
        <v>0.055</v>
      </c>
      <c r="G29" s="11" t="s">
        <v>90</v>
      </c>
      <c r="H29" s="1" t="s">
        <v>163</v>
      </c>
      <c r="I29" s="1" t="s">
        <v>164</v>
      </c>
    </row>
    <row r="30" customFormat="false" ht="17.15" hidden="false" customHeight="false" outlineLevel="0" collapsed="false">
      <c r="A30" s="0" t="s">
        <v>165</v>
      </c>
      <c r="B30" s="1" t="s">
        <v>166</v>
      </c>
      <c r="C30" s="0" t="s">
        <v>75</v>
      </c>
      <c r="E30" s="10" t="n">
        <v>0.91</v>
      </c>
      <c r="G30" s="11" t="s">
        <v>76</v>
      </c>
      <c r="H30" s="1" t="s">
        <v>167</v>
      </c>
      <c r="I30" s="11" t="s">
        <v>87</v>
      </c>
    </row>
    <row r="31" customFormat="false" ht="17.15" hidden="false" customHeight="false" outlineLevel="0" collapsed="false">
      <c r="A31" s="0" t="s">
        <v>168</v>
      </c>
      <c r="B31" s="1" t="s">
        <v>169</v>
      </c>
      <c r="C31" s="0" t="s">
        <v>75</v>
      </c>
      <c r="E31" s="10" t="n">
        <v>0.98</v>
      </c>
      <c r="G31" s="11" t="s">
        <v>170</v>
      </c>
      <c r="H31" s="1" t="s">
        <v>171</v>
      </c>
      <c r="I31" s="11" t="s">
        <v>87</v>
      </c>
    </row>
    <row r="32" customFormat="false" ht="17.15" hidden="false" customHeight="false" outlineLevel="0" collapsed="false">
      <c r="A32" s="0" t="s">
        <v>172</v>
      </c>
      <c r="B32" s="0" t="s">
        <v>173</v>
      </c>
      <c r="C32" s="0" t="s">
        <v>75</v>
      </c>
      <c r="E32" s="0" t="n">
        <f aca="false">dps_q0+3*dps_q1</f>
        <v>3.85</v>
      </c>
      <c r="G32" s="0" t="s">
        <v>90</v>
      </c>
      <c r="H32" s="1" t="s">
        <v>174</v>
      </c>
      <c r="I32" s="0" t="s">
        <v>87</v>
      </c>
    </row>
    <row r="33" customFormat="false" ht="17.15" hidden="false" customHeight="false" outlineLevel="0" collapsed="false">
      <c r="A33" s="0" t="s">
        <v>175</v>
      </c>
      <c r="B33" s="1" t="s">
        <v>176</v>
      </c>
      <c r="C33" s="0" t="s">
        <v>129</v>
      </c>
      <c r="D33" s="12" t="n">
        <v>0.05</v>
      </c>
      <c r="E33" s="12" t="n">
        <v>0.08</v>
      </c>
      <c r="F33" s="12" t="n">
        <v>0.1</v>
      </c>
      <c r="G33" s="11" t="s">
        <v>170</v>
      </c>
      <c r="H33" s="1" t="s">
        <v>177</v>
      </c>
      <c r="I33" s="11" t="s">
        <v>87</v>
      </c>
    </row>
    <row r="34" customFormat="false" ht="17.15" hidden="false" customHeight="false" outlineLevel="0" collapsed="false">
      <c r="A34" s="9" t="s">
        <v>178</v>
      </c>
    </row>
    <row r="35" customFormat="false" ht="17.15" hidden="false" customHeight="false" outlineLevel="0" collapsed="false">
      <c r="A35" s="0" t="s">
        <v>179</v>
      </c>
      <c r="B35" s="1" t="s">
        <v>180</v>
      </c>
      <c r="C35" s="0" t="s">
        <v>129</v>
      </c>
      <c r="E35" s="12" t="n">
        <v>0.05</v>
      </c>
      <c r="G35" s="11" t="s">
        <v>76</v>
      </c>
      <c r="H35" s="11" t="s">
        <v>181</v>
      </c>
      <c r="I35" s="1" t="s">
        <v>182</v>
      </c>
    </row>
    <row r="36" customFormat="false" ht="17.15" hidden="false" customHeight="false" outlineLevel="0" collapsed="false">
      <c r="A36" s="0" t="s">
        <v>183</v>
      </c>
      <c r="B36" s="1" t="s">
        <v>184</v>
      </c>
      <c r="C36" s="0" t="s">
        <v>185</v>
      </c>
      <c r="E36" s="13" t="n">
        <v>1.1</v>
      </c>
      <c r="G36" s="11" t="s">
        <v>76</v>
      </c>
      <c r="H36" s="1" t="s">
        <v>186</v>
      </c>
      <c r="I36" s="11" t="s">
        <v>187</v>
      </c>
    </row>
    <row r="37" customFormat="false" ht="17.15" hidden="false" customHeight="false" outlineLevel="0" collapsed="false">
      <c r="A37" s="0" t="s">
        <v>188</v>
      </c>
      <c r="B37" s="1" t="s">
        <v>189</v>
      </c>
      <c r="C37" s="0" t="s">
        <v>185</v>
      </c>
      <c r="E37" s="13" t="n">
        <v>1.1741</v>
      </c>
      <c r="G37" s="11" t="s">
        <v>76</v>
      </c>
      <c r="H37" s="1" t="s">
        <v>190</v>
      </c>
      <c r="I37" s="11" t="s">
        <v>187</v>
      </c>
    </row>
    <row r="38" customFormat="false" ht="17.15" hidden="false" customHeight="false" outlineLevel="0" collapsed="false">
      <c r="A38" s="0" t="s">
        <v>191</v>
      </c>
      <c r="B38" s="0" t="s">
        <v>192</v>
      </c>
      <c r="C38" s="0" t="s">
        <v>185</v>
      </c>
      <c r="E38" s="13" t="n">
        <v>0.67</v>
      </c>
      <c r="G38" s="11" t="s">
        <v>121</v>
      </c>
      <c r="H38" s="1" t="s">
        <v>193</v>
      </c>
      <c r="I38" s="11" t="s">
        <v>87</v>
      </c>
    </row>
    <row r="39" customFormat="false" ht="17.15" hidden="false" customHeight="false" outlineLevel="0" collapsed="false">
      <c r="A39" s="0" t="s">
        <v>194</v>
      </c>
      <c r="B39" s="0" t="s">
        <v>195</v>
      </c>
      <c r="C39" s="0" t="s">
        <v>185</v>
      </c>
      <c r="D39" s="13" t="n">
        <v>0.95</v>
      </c>
      <c r="E39" s="14" t="n">
        <f aca="false">MEDIAN(blume_w*beta_sa+(1-blume_w),blume_w*beta_gf+(1-blume_w))</f>
        <v>1.0918235</v>
      </c>
      <c r="F39" s="13" t="n">
        <v>1.174</v>
      </c>
      <c r="G39" s="11" t="s">
        <v>90</v>
      </c>
      <c r="H39" s="11" t="s">
        <v>196</v>
      </c>
      <c r="I39" s="1" t="s">
        <v>197</v>
      </c>
    </row>
    <row r="40" customFormat="false" ht="17.15" hidden="false" customHeight="false" outlineLevel="0" collapsed="false">
      <c r="A40" s="0" t="s">
        <v>198</v>
      </c>
      <c r="B40" s="1" t="s">
        <v>199</v>
      </c>
      <c r="C40" s="0" t="s">
        <v>129</v>
      </c>
      <c r="D40" s="12" t="n">
        <v>0.045</v>
      </c>
      <c r="E40" s="12" t="n">
        <v>0.05</v>
      </c>
      <c r="F40" s="12" t="n">
        <v>0.06</v>
      </c>
      <c r="G40" s="11" t="s">
        <v>121</v>
      </c>
      <c r="H40" s="11" t="s">
        <v>200</v>
      </c>
      <c r="I40" s="1" t="s">
        <v>201</v>
      </c>
    </row>
    <row r="41" customFormat="false" ht="17.15" hidden="false" customHeight="false" outlineLevel="0" collapsed="false">
      <c r="A41" s="0" t="s">
        <v>202</v>
      </c>
      <c r="B41" s="1" t="s">
        <v>203</v>
      </c>
      <c r="C41" s="0" t="s">
        <v>129</v>
      </c>
      <c r="E41" s="12" t="n">
        <v>0.0626</v>
      </c>
      <c r="G41" s="11" t="s">
        <v>204</v>
      </c>
      <c r="H41" s="1" t="s">
        <v>205</v>
      </c>
      <c r="I41" s="11" t="s">
        <v>206</v>
      </c>
    </row>
    <row r="42" customFormat="false" ht="17.15" hidden="false" customHeight="false" outlineLevel="0" collapsed="false">
      <c r="A42" s="0" t="s">
        <v>207</v>
      </c>
      <c r="B42" s="1" t="s">
        <v>208</v>
      </c>
      <c r="C42" s="0" t="s">
        <v>209</v>
      </c>
      <c r="D42" s="12" t="n">
        <v>0.003</v>
      </c>
      <c r="E42" s="12" t="n">
        <v>0.006</v>
      </c>
      <c r="F42" s="12" t="n">
        <v>0.009</v>
      </c>
      <c r="G42" s="11" t="s">
        <v>121</v>
      </c>
      <c r="H42" s="1" t="s">
        <v>210</v>
      </c>
      <c r="I42" s="11" t="s">
        <v>211</v>
      </c>
    </row>
    <row r="43" customFormat="false" ht="17.15" hidden="false" customHeight="false" outlineLevel="0" collapsed="false">
      <c r="A43" s="0" t="s">
        <v>212</v>
      </c>
      <c r="B43" s="1" t="s">
        <v>213</v>
      </c>
      <c r="C43" s="0" t="s">
        <v>129</v>
      </c>
      <c r="E43" s="7" t="n">
        <f aca="false">rf+kd_spread</f>
        <v>0.056</v>
      </c>
      <c r="G43" s="11" t="s">
        <v>90</v>
      </c>
      <c r="H43" s="11" t="s">
        <v>214</v>
      </c>
      <c r="I43" s="11" t="s">
        <v>87</v>
      </c>
    </row>
    <row r="44" customFormat="false" ht="17.15" hidden="false" customHeight="false" outlineLevel="0" collapsed="false">
      <c r="A44" s="0" t="s">
        <v>215</v>
      </c>
      <c r="B44" s="0" t="s">
        <v>216</v>
      </c>
      <c r="C44" s="0" t="s">
        <v>129</v>
      </c>
      <c r="E44" s="12" t="n">
        <v>0.2</v>
      </c>
      <c r="G44" s="11" t="s">
        <v>170</v>
      </c>
      <c r="H44" s="1" t="s">
        <v>217</v>
      </c>
      <c r="I44" s="11" t="s">
        <v>87</v>
      </c>
    </row>
    <row r="45" customFormat="false" ht="17.15" hidden="false" customHeight="false" outlineLevel="0" collapsed="false">
      <c r="A45" s="0" t="s">
        <v>218</v>
      </c>
      <c r="B45" s="1" t="s">
        <v>219</v>
      </c>
      <c r="C45" s="0" t="s">
        <v>129</v>
      </c>
      <c r="E45" s="7" t="n">
        <f aca="false">rf+beta*erp</f>
        <v>0.104591175</v>
      </c>
      <c r="G45" s="11" t="s">
        <v>90</v>
      </c>
      <c r="H45" s="11" t="s">
        <v>220</v>
      </c>
      <c r="I45" s="11" t="s">
        <v>87</v>
      </c>
    </row>
    <row r="46" customFormat="false" ht="17.15" hidden="false" customHeight="false" outlineLevel="0" collapsed="false">
      <c r="A46" s="0" t="s">
        <v>221</v>
      </c>
      <c r="B46" s="0" t="s">
        <v>222</v>
      </c>
      <c r="C46" s="0" t="s">
        <v>129</v>
      </c>
      <c r="E46" s="7" t="n">
        <f aca="false">(px*sh_out26*ke+(debt_face+fl_liab)*kd*(1-tax_w))/(px*sh_out26+debt_face+fl_liab)</f>
        <v>0.102934420092876</v>
      </c>
      <c r="G46" s="11" t="s">
        <v>90</v>
      </c>
      <c r="H46" s="11" t="s">
        <v>223</v>
      </c>
      <c r="I46" s="11" t="s">
        <v>224</v>
      </c>
    </row>
    <row r="47" customFormat="false" ht="17.15" hidden="false" customHeight="false" outlineLevel="0" collapsed="false">
      <c r="A47" s="0" t="s">
        <v>225</v>
      </c>
      <c r="B47" s="1" t="s">
        <v>226</v>
      </c>
      <c r="C47" s="0" t="s">
        <v>129</v>
      </c>
      <c r="D47" s="12" t="n">
        <v>0.02</v>
      </c>
      <c r="E47" s="12" t="n">
        <v>0.03</v>
      </c>
      <c r="F47" s="12" t="n">
        <v>0.04</v>
      </c>
      <c r="G47" s="11" t="s">
        <v>121</v>
      </c>
      <c r="H47" s="1" t="s">
        <v>227</v>
      </c>
      <c r="I47" s="11" t="s">
        <v>228</v>
      </c>
    </row>
    <row r="48" customFormat="false" ht="17.15" hidden="false" customHeight="false" outlineLevel="0" collapsed="false">
      <c r="A48" s="0" t="s">
        <v>229</v>
      </c>
      <c r="B48" s="1" t="s">
        <v>230</v>
      </c>
      <c r="C48" s="0" t="s">
        <v>209</v>
      </c>
      <c r="D48" s="12" t="n">
        <v>-0.02</v>
      </c>
      <c r="E48" s="12" t="n">
        <v>0</v>
      </c>
      <c r="F48" s="12" t="n">
        <v>0.05</v>
      </c>
      <c r="G48" s="11" t="s">
        <v>121</v>
      </c>
      <c r="H48" s="1" t="s">
        <v>231</v>
      </c>
      <c r="I48" s="1" t="s">
        <v>232</v>
      </c>
    </row>
    <row r="49" customFormat="false" ht="17.15" hidden="false" customHeight="false" outlineLevel="0" collapsed="false">
      <c r="A49" s="0" t="s">
        <v>233</v>
      </c>
      <c r="B49" s="1" t="s">
        <v>234</v>
      </c>
      <c r="C49" s="1" t="s">
        <v>235</v>
      </c>
      <c r="E49" s="10" t="n">
        <v>2026</v>
      </c>
      <c r="G49" s="11" t="s">
        <v>76</v>
      </c>
      <c r="H49" s="11" t="s">
        <v>236</v>
      </c>
      <c r="I49" s="1" t="s">
        <v>237</v>
      </c>
    </row>
    <row r="50" customFormat="false" ht="15" hidden="false" customHeight="false" outlineLevel="0" collapsed="false">
      <c r="A50" s="0" t="s">
        <v>238</v>
      </c>
      <c r="B50" s="1" t="s">
        <v>239</v>
      </c>
      <c r="C50" s="1" t="s">
        <v>235</v>
      </c>
      <c r="E50" s="10" t="n">
        <v>0.5</v>
      </c>
      <c r="G50" s="11" t="s">
        <v>121</v>
      </c>
      <c r="H50" s="1" t="s">
        <v>240</v>
      </c>
      <c r="I50" s="11" t="s">
        <v>87</v>
      </c>
    </row>
    <row r="51" customFormat="false" ht="17.15" hidden="false" customHeight="false" outlineLevel="0" collapsed="false">
      <c r="A51" s="0" t="s">
        <v>241</v>
      </c>
      <c r="B51" s="1" t="s">
        <v>242</v>
      </c>
      <c r="C51" s="1" t="s">
        <v>243</v>
      </c>
      <c r="E51" s="15" t="n">
        <f aca="false">DATE(2026,6,30)</f>
        <v>46203</v>
      </c>
      <c r="G51" s="11" t="s">
        <v>76</v>
      </c>
      <c r="H51" s="11" t="s">
        <v>244</v>
      </c>
      <c r="I51" s="11" t="s">
        <v>87</v>
      </c>
    </row>
    <row r="52" customFormat="false" ht="17.15" hidden="false" customHeight="false" outlineLevel="0" collapsed="false">
      <c r="A52" s="0" t="s">
        <v>245</v>
      </c>
      <c r="B52" s="1" t="s">
        <v>246</v>
      </c>
      <c r="C52" s="1" t="s">
        <v>243</v>
      </c>
      <c r="E52" s="15" t="n">
        <f aca="false">DATE(2027,10,27)</f>
        <v>46687</v>
      </c>
      <c r="G52" s="11" t="s">
        <v>121</v>
      </c>
      <c r="H52" s="1" t="s">
        <v>247</v>
      </c>
      <c r="I52" s="11" t="s">
        <v>87</v>
      </c>
    </row>
    <row r="53" customFormat="false" ht="15" hidden="false" customHeight="false" outlineLevel="0" collapsed="false">
      <c r="A53" s="0" t="s">
        <v>248</v>
      </c>
      <c r="B53" s="1" t="s">
        <v>249</v>
      </c>
      <c r="C53" s="1" t="s">
        <v>250</v>
      </c>
      <c r="E53" s="10" t="n">
        <v>365</v>
      </c>
      <c r="G53" s="11" t="s">
        <v>121</v>
      </c>
      <c r="H53" s="11" t="s">
        <v>87</v>
      </c>
      <c r="I53" s="11" t="s">
        <v>87</v>
      </c>
    </row>
    <row r="54" customFormat="false" ht="17.15" hidden="false" customHeight="false" outlineLevel="0" collapsed="false">
      <c r="A54" s="0" t="s">
        <v>251</v>
      </c>
      <c r="B54" s="1" t="s">
        <v>252</v>
      </c>
      <c r="C54" s="1" t="s">
        <v>235</v>
      </c>
      <c r="E54" s="0" t="n">
        <f aca="false">(roll_d2-roll_d1)/days_yr</f>
        <v>1.32602739726027</v>
      </c>
      <c r="G54" s="0" t="s">
        <v>90</v>
      </c>
      <c r="H54" s="0" t="s">
        <v>253</v>
      </c>
      <c r="I54" s="0" t="s">
        <v>254</v>
      </c>
    </row>
    <row r="55" customFormat="false" ht="17.15" hidden="false" customHeight="false" outlineLevel="0" collapsed="false">
      <c r="A55" s="0" t="s">
        <v>255</v>
      </c>
      <c r="B55" s="1" t="s">
        <v>256</v>
      </c>
      <c r="C55" s="1" t="s">
        <v>257</v>
      </c>
      <c r="E55" s="10" t="n">
        <v>1</v>
      </c>
      <c r="G55" s="11" t="s">
        <v>90</v>
      </c>
      <c r="H55" s="11" t="s">
        <v>258</v>
      </c>
      <c r="I55" s="11" t="s">
        <v>87</v>
      </c>
    </row>
    <row r="56" customFormat="false" ht="15" hidden="false" customHeight="false" outlineLevel="0" collapsed="false">
      <c r="A56" s="0" t="s">
        <v>259</v>
      </c>
      <c r="B56" s="1" t="s">
        <v>260</v>
      </c>
      <c r="C56" s="1" t="s">
        <v>257</v>
      </c>
      <c r="E56" s="10" t="n">
        <v>4</v>
      </c>
      <c r="G56" s="11" t="s">
        <v>76</v>
      </c>
      <c r="H56" s="11" t="s">
        <v>87</v>
      </c>
      <c r="I56" s="11" t="s">
        <v>87</v>
      </c>
    </row>
    <row r="57" customFormat="false" ht="17.15" hidden="false" customHeight="false" outlineLevel="0" collapsed="false">
      <c r="A57" s="0" t="s">
        <v>261</v>
      </c>
      <c r="B57" s="0" t="s">
        <v>262</v>
      </c>
      <c r="C57" s="1" t="s">
        <v>243</v>
      </c>
      <c r="E57" s="15" t="n">
        <f aca="false">DATE(2027,6,30)</f>
        <v>46568</v>
      </c>
      <c r="G57" s="11" t="s">
        <v>76</v>
      </c>
      <c r="H57" s="11" t="s">
        <v>263</v>
      </c>
      <c r="I57" s="11" t="s">
        <v>87</v>
      </c>
    </row>
    <row r="58" customFormat="false" ht="17.15" hidden="false" customHeight="false" outlineLevel="0" collapsed="false">
      <c r="A58" s="0" t="s">
        <v>264</v>
      </c>
      <c r="B58" s="0" t="s">
        <v>265</v>
      </c>
      <c r="C58" s="1" t="s">
        <v>235</v>
      </c>
      <c r="E58" s="0" t="n">
        <f aca="false">(roll_d2-stub_d0)/days_yr</f>
        <v>0.326027397260274</v>
      </c>
      <c r="G58" s="0" t="s">
        <v>90</v>
      </c>
      <c r="H58" s="0" t="s">
        <v>266</v>
      </c>
      <c r="I58" s="1" t="s">
        <v>267</v>
      </c>
    </row>
    <row r="59" customFormat="false" ht="17.15" hidden="false" customHeight="false" outlineLevel="0" collapsed="false">
      <c r="A59" s="0" t="s">
        <v>268</v>
      </c>
      <c r="B59" s="0" t="s">
        <v>269</v>
      </c>
      <c r="C59" s="1" t="s">
        <v>243</v>
      </c>
      <c r="E59" s="15" t="n">
        <f aca="false">DATE(2028,6,30)</f>
        <v>46934</v>
      </c>
      <c r="G59" s="11" t="s">
        <v>76</v>
      </c>
      <c r="H59" s="1" t="s">
        <v>270</v>
      </c>
      <c r="I59" s="11" t="s">
        <v>87</v>
      </c>
    </row>
    <row r="60" customFormat="false" ht="17.15" hidden="false" customHeight="false" outlineLevel="0" collapsed="false">
      <c r="A60" s="16" t="s">
        <v>271</v>
      </c>
      <c r="B60" s="17" t="s">
        <v>272</v>
      </c>
      <c r="C60" s="16" t="s">
        <v>185</v>
      </c>
      <c r="D60" s="16"/>
      <c r="E60" s="18" t="n">
        <f aca="false">(fy28_end-roll_d2)/days_yr</f>
        <v>0.676712328767123</v>
      </c>
      <c r="F60" s="16"/>
      <c r="G60" s="16" t="s">
        <v>90</v>
      </c>
      <c r="H60" s="16" t="s">
        <v>273</v>
      </c>
      <c r="I60" s="16" t="s">
        <v>274</v>
      </c>
    </row>
    <row r="61" customFormat="false" ht="17.15" hidden="false" customHeight="false" outlineLevel="0" collapsed="false">
      <c r="A61" s="16" t="s">
        <v>275</v>
      </c>
      <c r="B61" s="17" t="s">
        <v>276</v>
      </c>
      <c r="C61" s="16" t="s">
        <v>129</v>
      </c>
      <c r="D61" s="19" t="n">
        <v>0.3</v>
      </c>
      <c r="E61" s="19" t="n">
        <v>0.5</v>
      </c>
      <c r="F61" s="19" t="n">
        <v>0.7</v>
      </c>
      <c r="G61" s="16" t="s">
        <v>121</v>
      </c>
      <c r="H61" s="16" t="s">
        <v>277</v>
      </c>
      <c r="I61" s="16" t="s">
        <v>278</v>
      </c>
    </row>
    <row r="62" customFormat="false" ht="17.15" hidden="false" customHeight="false" outlineLevel="0" collapsed="false">
      <c r="A62" s="16" t="s">
        <v>279</v>
      </c>
      <c r="B62" s="17" t="s">
        <v>280</v>
      </c>
      <c r="C62" s="16" t="s">
        <v>129</v>
      </c>
      <c r="D62" s="16"/>
      <c r="E62" s="19" t="n">
        <v>0.25</v>
      </c>
      <c r="F62" s="16"/>
      <c r="G62" s="16" t="s">
        <v>121</v>
      </c>
      <c r="H62" s="16" t="s">
        <v>281</v>
      </c>
      <c r="I62" s="16" t="s">
        <v>278</v>
      </c>
    </row>
    <row r="63" customFormat="false" ht="17.15" hidden="false" customHeight="false" outlineLevel="0" collapsed="false">
      <c r="A63" s="16" t="s">
        <v>282</v>
      </c>
      <c r="B63" s="17" t="s">
        <v>283</v>
      </c>
      <c r="C63" s="16" t="s">
        <v>129</v>
      </c>
      <c r="D63" s="16"/>
      <c r="E63" s="19" t="n">
        <v>0.5</v>
      </c>
      <c r="F63" s="16"/>
      <c r="G63" s="16" t="s">
        <v>121</v>
      </c>
      <c r="H63" s="16" t="s">
        <v>281</v>
      </c>
      <c r="I63" s="16" t="s">
        <v>278</v>
      </c>
    </row>
    <row r="64" customFormat="false" ht="17.15" hidden="false" customHeight="false" outlineLevel="0" collapsed="false">
      <c r="A64" s="16" t="s">
        <v>284</v>
      </c>
      <c r="B64" s="17" t="s">
        <v>285</v>
      </c>
      <c r="C64" s="16" t="s">
        <v>129</v>
      </c>
      <c r="D64" s="16"/>
      <c r="E64" s="19" t="n">
        <v>0.25</v>
      </c>
      <c r="F64" s="16"/>
      <c r="G64" s="16" t="s">
        <v>121</v>
      </c>
      <c r="H64" s="16" t="s">
        <v>281</v>
      </c>
      <c r="I64" s="16" t="s">
        <v>278</v>
      </c>
    </row>
    <row r="65" customFormat="false" ht="17.15" hidden="false" customHeight="false" outlineLevel="0" collapsed="false">
      <c r="A65" s="0" t="s">
        <v>286</v>
      </c>
      <c r="B65" s="0" t="s">
        <v>287</v>
      </c>
      <c r="C65" s="0" t="s">
        <v>129</v>
      </c>
      <c r="E65" s="12" t="n">
        <v>0.25</v>
      </c>
      <c r="F65" s="12" t="n">
        <v>0.27</v>
      </c>
      <c r="G65" s="11" t="s">
        <v>76</v>
      </c>
      <c r="H65" s="1" t="s">
        <v>288</v>
      </c>
      <c r="I65" s="11" t="s">
        <v>289</v>
      </c>
    </row>
    <row r="66" customFormat="false" ht="17.15" hidden="false" customHeight="false" outlineLevel="0" collapsed="false">
      <c r="A66" s="0" t="s">
        <v>290</v>
      </c>
      <c r="B66" s="0" t="s">
        <v>291</v>
      </c>
      <c r="C66" s="0" t="s">
        <v>98</v>
      </c>
      <c r="E66" s="10" t="n">
        <v>852</v>
      </c>
      <c r="G66" s="11" t="s">
        <v>170</v>
      </c>
      <c r="H66" s="1" t="s">
        <v>292</v>
      </c>
      <c r="I66" s="1" t="s">
        <v>293</v>
      </c>
    </row>
    <row r="67" customFormat="false" ht="17.15" hidden="false" customHeight="false" outlineLevel="0" collapsed="false">
      <c r="A67" s="0" t="s">
        <v>294</v>
      </c>
      <c r="B67" s="1" t="s">
        <v>295</v>
      </c>
      <c r="C67" s="0" t="s">
        <v>129</v>
      </c>
      <c r="D67" s="12" t="n">
        <v>0</v>
      </c>
      <c r="E67" s="12" t="n">
        <v>0.2</v>
      </c>
      <c r="F67" s="12" t="n">
        <v>0.4</v>
      </c>
      <c r="G67" s="11" t="s">
        <v>121</v>
      </c>
      <c r="H67" s="1" t="s">
        <v>296</v>
      </c>
      <c r="I67" s="1" t="s">
        <v>201</v>
      </c>
    </row>
    <row r="68" customFormat="false" ht="17.15" hidden="false" customHeight="false" outlineLevel="0" collapsed="false">
      <c r="A68" s="0" t="s">
        <v>297</v>
      </c>
      <c r="B68" s="0" t="s">
        <v>298</v>
      </c>
      <c r="C68" s="0" t="s">
        <v>98</v>
      </c>
      <c r="E68" s="0" t="n">
        <f aca="false">oai_stake*oai_val*(1-liq_disc)</f>
        <v>170.4</v>
      </c>
      <c r="G68" s="0" t="s">
        <v>90</v>
      </c>
      <c r="H68" s="1" t="s">
        <v>299</v>
      </c>
      <c r="I68" s="0" t="s">
        <v>300</v>
      </c>
    </row>
    <row r="69" customFormat="false" ht="17.15" hidden="false" customHeight="false" outlineLevel="0" collapsed="false">
      <c r="A69" s="0" t="s">
        <v>301</v>
      </c>
      <c r="B69" s="0" t="s">
        <v>302</v>
      </c>
      <c r="C69" s="0" t="s">
        <v>185</v>
      </c>
      <c r="D69" s="13" t="n">
        <v>4</v>
      </c>
      <c r="E69" s="13" t="n">
        <v>6</v>
      </c>
      <c r="F69" s="13" t="n">
        <v>10</v>
      </c>
      <c r="G69" s="11" t="s">
        <v>121</v>
      </c>
      <c r="H69" s="1" t="s">
        <v>303</v>
      </c>
      <c r="I69" s="11" t="s">
        <v>304</v>
      </c>
    </row>
    <row r="70" customFormat="false" ht="17.15" hidden="false" customHeight="false" outlineLevel="0" collapsed="false">
      <c r="A70" s="0" t="s">
        <v>305</v>
      </c>
      <c r="B70" s="1" t="s">
        <v>306</v>
      </c>
      <c r="C70" s="0" t="s">
        <v>185</v>
      </c>
      <c r="E70" s="13" t="n">
        <v>13.82</v>
      </c>
      <c r="G70" s="11" t="s">
        <v>90</v>
      </c>
      <c r="H70" s="11" t="s">
        <v>307</v>
      </c>
      <c r="I70" s="11" t="s">
        <v>308</v>
      </c>
    </row>
    <row r="71" customFormat="false" ht="17.15" hidden="false" customHeight="false" outlineLevel="0" collapsed="false">
      <c r="A71" s="0" t="s">
        <v>309</v>
      </c>
      <c r="B71" s="1" t="s">
        <v>310</v>
      </c>
      <c r="C71" s="0" t="s">
        <v>185</v>
      </c>
      <c r="E71" s="13" t="n">
        <v>10.8</v>
      </c>
      <c r="G71" s="11" t="s">
        <v>90</v>
      </c>
      <c r="H71" s="1" t="s">
        <v>311</v>
      </c>
      <c r="I71" s="11" t="s">
        <v>312</v>
      </c>
    </row>
    <row r="72" customFormat="false" ht="17.15" hidden="false" customHeight="false" outlineLevel="0" collapsed="false">
      <c r="A72" s="0" t="s">
        <v>313</v>
      </c>
      <c r="B72" s="1" t="s">
        <v>314</v>
      </c>
      <c r="C72" s="0" t="s">
        <v>185</v>
      </c>
      <c r="E72" s="13" t="n">
        <v>9.11</v>
      </c>
      <c r="G72" s="11" t="s">
        <v>90</v>
      </c>
      <c r="H72" s="11" t="s">
        <v>315</v>
      </c>
      <c r="I72" s="11" t="s">
        <v>312</v>
      </c>
    </row>
    <row r="73" customFormat="false" ht="17.15" hidden="false" customHeight="false" outlineLevel="0" collapsed="false">
      <c r="A73" s="0" t="s">
        <v>316</v>
      </c>
      <c r="B73" s="1" t="s">
        <v>317</v>
      </c>
      <c r="C73" s="0" t="s">
        <v>185</v>
      </c>
      <c r="E73" s="13" t="n">
        <v>12.63</v>
      </c>
      <c r="G73" s="11" t="s">
        <v>90</v>
      </c>
      <c r="H73" s="1" t="s">
        <v>318</v>
      </c>
      <c r="I73" s="11" t="s">
        <v>319</v>
      </c>
    </row>
    <row r="74" customFormat="false" ht="17.15" hidden="false" customHeight="false" outlineLevel="0" collapsed="false">
      <c r="A74" s="0" t="s">
        <v>320</v>
      </c>
      <c r="B74" s="0" t="s">
        <v>321</v>
      </c>
      <c r="C74" s="0" t="s">
        <v>185</v>
      </c>
      <c r="E74" s="13" t="n">
        <v>14.47</v>
      </c>
      <c r="G74" s="11" t="s">
        <v>90</v>
      </c>
      <c r="H74" s="1" t="s">
        <v>322</v>
      </c>
      <c r="I74" s="11" t="s">
        <v>319</v>
      </c>
    </row>
    <row r="75" customFormat="false" ht="17.15" hidden="false" customHeight="false" outlineLevel="0" collapsed="false">
      <c r="A75" s="0" t="s">
        <v>323</v>
      </c>
      <c r="B75" s="0" t="s">
        <v>324</v>
      </c>
      <c r="C75" s="0" t="s">
        <v>185</v>
      </c>
      <c r="E75" s="13" t="n">
        <v>15.67</v>
      </c>
      <c r="G75" s="11" t="s">
        <v>90</v>
      </c>
      <c r="H75" s="1" t="s">
        <v>325</v>
      </c>
      <c r="I75" s="1" t="s">
        <v>326</v>
      </c>
    </row>
    <row r="76" customFormat="false" ht="17.15" hidden="false" customHeight="false" outlineLevel="0" collapsed="false">
      <c r="A76" s="0" t="s">
        <v>327</v>
      </c>
      <c r="B76" s="1" t="s">
        <v>328</v>
      </c>
      <c r="C76" s="0" t="s">
        <v>129</v>
      </c>
      <c r="D76" s="12" t="n">
        <v>0.5</v>
      </c>
      <c r="E76" s="12" t="n">
        <v>0.6</v>
      </c>
      <c r="F76" s="12" t="n">
        <v>0.7</v>
      </c>
      <c r="G76" s="11" t="s">
        <v>121</v>
      </c>
      <c r="H76" s="1" t="s">
        <v>329</v>
      </c>
      <c r="I76" s="1" t="s">
        <v>330</v>
      </c>
    </row>
    <row r="77" customFormat="false" ht="17.15" hidden="false" customHeight="false" outlineLevel="0" collapsed="false">
      <c r="A77" s="0" t="s">
        <v>331</v>
      </c>
      <c r="B77" s="1" t="s">
        <v>332</v>
      </c>
      <c r="C77" s="0" t="s">
        <v>129</v>
      </c>
      <c r="D77" s="12" t="n">
        <v>0.65</v>
      </c>
      <c r="E77" s="12" t="n">
        <v>0.75</v>
      </c>
      <c r="F77" s="12" t="n">
        <v>0.85</v>
      </c>
      <c r="G77" s="11" t="s">
        <v>121</v>
      </c>
      <c r="H77" s="1" t="s">
        <v>329</v>
      </c>
      <c r="I77" s="1" t="s">
        <v>333</v>
      </c>
    </row>
    <row r="78" customFormat="false" ht="17.15" hidden="false" customHeight="false" outlineLevel="0" collapsed="false">
      <c r="A78" s="0" t="s">
        <v>334</v>
      </c>
      <c r="B78" s="1" t="s">
        <v>335</v>
      </c>
      <c r="C78" s="0" t="s">
        <v>129</v>
      </c>
      <c r="D78" s="12" t="n">
        <v>0.2</v>
      </c>
      <c r="E78" s="12" t="n">
        <v>0.3</v>
      </c>
      <c r="F78" s="12" t="n">
        <v>0.4</v>
      </c>
      <c r="G78" s="11" t="s">
        <v>121</v>
      </c>
      <c r="H78" s="1" t="s">
        <v>329</v>
      </c>
      <c r="I78" s="1" t="s">
        <v>336</v>
      </c>
    </row>
    <row r="79" customFormat="false" ht="17.15" hidden="false" customHeight="false" outlineLevel="0" collapsed="false">
      <c r="A79" s="0" t="s">
        <v>337</v>
      </c>
      <c r="B79" s="1" t="s">
        <v>338</v>
      </c>
      <c r="C79" s="0" t="s">
        <v>129</v>
      </c>
      <c r="D79" s="12" t="n">
        <v>0.2</v>
      </c>
      <c r="E79" s="12" t="n">
        <v>0.3</v>
      </c>
      <c r="F79" s="12" t="n">
        <v>0.4</v>
      </c>
      <c r="G79" s="11" t="s">
        <v>121</v>
      </c>
      <c r="H79" s="1" t="s">
        <v>329</v>
      </c>
      <c r="I79" s="1" t="s">
        <v>339</v>
      </c>
    </row>
    <row r="80" customFormat="false" ht="17.15" hidden="false" customHeight="false" outlineLevel="0" collapsed="false">
      <c r="A80" s="0" t="s">
        <v>340</v>
      </c>
      <c r="B80" s="1" t="s">
        <v>341</v>
      </c>
      <c r="C80" s="0" t="s">
        <v>129</v>
      </c>
      <c r="D80" s="12" t="n">
        <v>0.2</v>
      </c>
      <c r="E80" s="12" t="n">
        <v>0.3</v>
      </c>
      <c r="F80" s="12" t="n">
        <v>0.4</v>
      </c>
      <c r="G80" s="11" t="s">
        <v>121</v>
      </c>
      <c r="H80" s="1" t="s">
        <v>329</v>
      </c>
      <c r="I80" s="1" t="s">
        <v>342</v>
      </c>
    </row>
    <row r="81" customFormat="false" ht="17.15" hidden="false" customHeight="false" outlineLevel="0" collapsed="false">
      <c r="A81" s="9" t="s">
        <v>343</v>
      </c>
    </row>
    <row r="82" customFormat="false" ht="17.15" hidden="false" customHeight="false" outlineLevel="0" collapsed="false">
      <c r="A82" s="0" t="s">
        <v>344</v>
      </c>
      <c r="B82" s="0" t="s">
        <v>345</v>
      </c>
      <c r="C82" s="0" t="s">
        <v>346</v>
      </c>
      <c r="E82" s="10" t="n">
        <v>9.70308728611469</v>
      </c>
      <c r="G82" s="11" t="s">
        <v>90</v>
      </c>
      <c r="H82" s="11" t="s">
        <v>347</v>
      </c>
      <c r="I82" s="1" t="s">
        <v>348</v>
      </c>
    </row>
    <row r="83" customFormat="false" ht="17.15" hidden="false" customHeight="false" outlineLevel="0" collapsed="false">
      <c r="A83" s="0" t="s">
        <v>349</v>
      </c>
      <c r="B83" s="0" t="s">
        <v>350</v>
      </c>
      <c r="C83" s="0" t="s">
        <v>346</v>
      </c>
      <c r="E83" s="10" t="n">
        <v>8.82816556596761</v>
      </c>
      <c r="G83" s="11" t="s">
        <v>90</v>
      </c>
      <c r="H83" s="11" t="s">
        <v>347</v>
      </c>
      <c r="I83" s="1" t="s">
        <v>348</v>
      </c>
    </row>
    <row r="84" customFormat="false" ht="17.15" hidden="false" customHeight="false" outlineLevel="0" collapsed="false">
      <c r="A84" s="0" t="s">
        <v>351</v>
      </c>
      <c r="B84" s="0" t="s">
        <v>352</v>
      </c>
      <c r="C84" s="0" t="s">
        <v>346</v>
      </c>
      <c r="E84" s="10" t="n">
        <v>10.8864110021101</v>
      </c>
      <c r="G84" s="11" t="s">
        <v>90</v>
      </c>
      <c r="H84" s="11" t="s">
        <v>347</v>
      </c>
      <c r="I84" s="1" t="s">
        <v>348</v>
      </c>
    </row>
    <row r="85" customFormat="false" ht="17.15" hidden="false" customHeight="false" outlineLevel="0" collapsed="false">
      <c r="A85" s="0" t="s">
        <v>353</v>
      </c>
      <c r="B85" s="0" t="s">
        <v>354</v>
      </c>
      <c r="C85" s="0" t="s">
        <v>346</v>
      </c>
      <c r="E85" s="10" t="n">
        <v>12.2254710045841</v>
      </c>
      <c r="G85" s="11" t="s">
        <v>90</v>
      </c>
      <c r="H85" s="11" t="s">
        <v>347</v>
      </c>
      <c r="I85" s="1" t="s">
        <v>348</v>
      </c>
    </row>
    <row r="86" customFormat="false" ht="17.15" hidden="false" customHeight="false" outlineLevel="0" collapsed="false">
      <c r="A86" s="0" t="s">
        <v>355</v>
      </c>
      <c r="B86" s="0" t="s">
        <v>356</v>
      </c>
      <c r="C86" s="0" t="s">
        <v>357</v>
      </c>
      <c r="E86" s="10" t="n">
        <v>27.510214</v>
      </c>
      <c r="G86" s="11" t="s">
        <v>90</v>
      </c>
      <c r="H86" s="11" t="s">
        <v>347</v>
      </c>
      <c r="I86" s="11" t="s">
        <v>87</v>
      </c>
    </row>
    <row r="87" customFormat="false" ht="17.15" hidden="false" customHeight="false" outlineLevel="0" collapsed="false">
      <c r="A87" s="0" t="s">
        <v>358</v>
      </c>
      <c r="B87" s="0" t="s">
        <v>359</v>
      </c>
      <c r="C87" s="0" t="s">
        <v>357</v>
      </c>
      <c r="E87" s="10" t="n">
        <v>24.015174</v>
      </c>
      <c r="G87" s="11" t="s">
        <v>90</v>
      </c>
      <c r="H87" s="11" t="s">
        <v>347</v>
      </c>
      <c r="I87" s="11" t="s">
        <v>87</v>
      </c>
    </row>
    <row r="88" customFormat="false" ht="17.15" hidden="false" customHeight="false" outlineLevel="0" collapsed="false">
      <c r="A88" s="0" t="s">
        <v>360</v>
      </c>
      <c r="B88" s="0" t="s">
        <v>361</v>
      </c>
      <c r="C88" s="0" t="s">
        <v>357</v>
      </c>
      <c r="E88" s="10" t="n">
        <v>32.237224</v>
      </c>
      <c r="G88" s="11" t="s">
        <v>90</v>
      </c>
      <c r="H88" s="11" t="s">
        <v>347</v>
      </c>
      <c r="I88" s="11" t="s">
        <v>87</v>
      </c>
    </row>
    <row r="89" customFormat="false" ht="17.15" hidden="false" customHeight="false" outlineLevel="0" collapsed="false">
      <c r="A89" s="0" t="s">
        <v>362</v>
      </c>
      <c r="B89" s="0" t="s">
        <v>363</v>
      </c>
      <c r="C89" s="0" t="s">
        <v>357</v>
      </c>
      <c r="E89" s="10" t="n">
        <v>37.586352</v>
      </c>
      <c r="G89" s="11" t="s">
        <v>90</v>
      </c>
      <c r="H89" s="11" t="s">
        <v>347</v>
      </c>
      <c r="I89" s="11" t="s">
        <v>87</v>
      </c>
    </row>
    <row r="90" customFormat="false" ht="17.15" hidden="false" customHeight="false" outlineLevel="0" collapsed="false">
      <c r="A90" s="0" t="s">
        <v>364</v>
      </c>
      <c r="B90" s="0" t="s">
        <v>365</v>
      </c>
      <c r="C90" s="0" t="s">
        <v>346</v>
      </c>
      <c r="E90" s="10" t="n">
        <v>1.88466748019734</v>
      </c>
      <c r="G90" s="11" t="s">
        <v>90</v>
      </c>
      <c r="H90" s="11" t="s">
        <v>347</v>
      </c>
      <c r="I90" s="1" t="s">
        <v>366</v>
      </c>
    </row>
    <row r="91" customFormat="false" ht="17.15" hidden="false" customHeight="false" outlineLevel="0" collapsed="false">
      <c r="A91" s="0" t="s">
        <v>367</v>
      </c>
      <c r="B91" s="0" t="s">
        <v>368</v>
      </c>
      <c r="C91" s="0" t="s">
        <v>346</v>
      </c>
      <c r="E91" s="10" t="n">
        <v>1.812232738713</v>
      </c>
      <c r="G91" s="11" t="s">
        <v>90</v>
      </c>
      <c r="H91" s="11" t="s">
        <v>347</v>
      </c>
      <c r="I91" s="1" t="s">
        <v>366</v>
      </c>
    </row>
    <row r="92" customFormat="false" ht="17.15" hidden="false" customHeight="false" outlineLevel="0" collapsed="false">
      <c r="A92" s="0" t="s">
        <v>369</v>
      </c>
      <c r="B92" s="0" t="s">
        <v>370</v>
      </c>
      <c r="C92" s="0" t="s">
        <v>346</v>
      </c>
      <c r="E92" s="10" t="n">
        <v>1.98263481314457</v>
      </c>
      <c r="G92" s="11" t="s">
        <v>90</v>
      </c>
      <c r="H92" s="11" t="s">
        <v>347</v>
      </c>
      <c r="I92" s="1" t="s">
        <v>366</v>
      </c>
    </row>
    <row r="93" customFormat="false" ht="17.15" hidden="false" customHeight="false" outlineLevel="0" collapsed="false">
      <c r="A93" s="0" t="s">
        <v>371</v>
      </c>
      <c r="B93" s="0" t="s">
        <v>372</v>
      </c>
      <c r="C93" s="0" t="s">
        <v>346</v>
      </c>
      <c r="E93" s="10" t="n">
        <v>2.09349554831403</v>
      </c>
      <c r="G93" s="11" t="s">
        <v>90</v>
      </c>
      <c r="H93" s="11" t="s">
        <v>347</v>
      </c>
      <c r="I93" s="1" t="s">
        <v>366</v>
      </c>
    </row>
    <row r="94" customFormat="false" ht="17.15" hidden="false" customHeight="false" outlineLevel="0" collapsed="false">
      <c r="A94" s="0" t="s">
        <v>373</v>
      </c>
      <c r="B94" s="0" t="s">
        <v>374</v>
      </c>
      <c r="C94" s="0" t="s">
        <v>357</v>
      </c>
      <c r="E94" s="10" t="n">
        <v>12.67</v>
      </c>
      <c r="G94" s="11" t="s">
        <v>90</v>
      </c>
      <c r="H94" s="11" t="s">
        <v>347</v>
      </c>
      <c r="I94" s="1" t="s">
        <v>375</v>
      </c>
    </row>
    <row r="95" customFormat="false" ht="17.15" hidden="false" customHeight="false" outlineLevel="0" collapsed="false">
      <c r="A95" s="0" t="s">
        <v>376</v>
      </c>
      <c r="B95" s="0" t="s">
        <v>377</v>
      </c>
      <c r="C95" s="0" t="s">
        <v>378</v>
      </c>
      <c r="E95" s="10" t="n">
        <v>1.54259654785589</v>
      </c>
      <c r="G95" s="11" t="s">
        <v>90</v>
      </c>
      <c r="H95" s="11" t="s">
        <v>347</v>
      </c>
      <c r="I95" s="11" t="s">
        <v>379</v>
      </c>
    </row>
    <row r="96" customFormat="false" ht="17.15" hidden="false" customHeight="false" outlineLevel="0" collapsed="false">
      <c r="A96" s="0" t="s">
        <v>380</v>
      </c>
      <c r="B96" s="0" t="s">
        <v>381</v>
      </c>
      <c r="C96" s="1" t="s">
        <v>235</v>
      </c>
      <c r="D96" s="10" t="n">
        <v>5</v>
      </c>
      <c r="E96" s="10" t="n">
        <v>6</v>
      </c>
      <c r="F96" s="10" t="n">
        <v>7</v>
      </c>
      <c r="G96" s="11" t="s">
        <v>90</v>
      </c>
      <c r="H96" s="11" t="s">
        <v>382</v>
      </c>
      <c r="I96" s="11" t="s">
        <v>383</v>
      </c>
    </row>
    <row r="97" customFormat="false" ht="17.15" hidden="false" customHeight="false" outlineLevel="0" collapsed="false">
      <c r="A97" s="0" t="s">
        <v>384</v>
      </c>
      <c r="B97" s="1" t="s">
        <v>385</v>
      </c>
      <c r="C97" s="1" t="s">
        <v>235</v>
      </c>
      <c r="E97" s="10" t="n">
        <v>20</v>
      </c>
      <c r="G97" s="11" t="s">
        <v>90</v>
      </c>
      <c r="H97" s="11" t="s">
        <v>386</v>
      </c>
      <c r="I97" s="1" t="s">
        <v>387</v>
      </c>
    </row>
    <row r="98" customFormat="false" ht="17.15" hidden="false" customHeight="false" outlineLevel="0" collapsed="false">
      <c r="A98" s="0" t="s">
        <v>388</v>
      </c>
      <c r="B98" s="1" t="s">
        <v>389</v>
      </c>
      <c r="C98" s="0" t="s">
        <v>129</v>
      </c>
      <c r="E98" s="12" t="n">
        <v>0.1</v>
      </c>
      <c r="G98" s="11" t="s">
        <v>90</v>
      </c>
      <c r="H98" s="1" t="s">
        <v>390</v>
      </c>
      <c r="I98" s="1" t="s">
        <v>391</v>
      </c>
    </row>
    <row r="99" customFormat="false" ht="17.15" hidden="false" customHeight="false" outlineLevel="0" collapsed="false">
      <c r="A99" s="0" t="s">
        <v>392</v>
      </c>
      <c r="B99" s="1" t="s">
        <v>393</v>
      </c>
      <c r="C99" s="0" t="s">
        <v>346</v>
      </c>
      <c r="E99" s="0" t="n">
        <f aca="false">tk_cxfac*fac_wacc/(1-(1+fac_wacc)^(-life_fac))</f>
        <v>1.48821344586815</v>
      </c>
      <c r="G99" s="0" t="s">
        <v>90</v>
      </c>
      <c r="H99" s="0" t="s">
        <v>394</v>
      </c>
      <c r="I99" s="0" t="s">
        <v>395</v>
      </c>
    </row>
    <row r="100" customFormat="false" ht="17.15" hidden="false" customHeight="false" outlineLevel="0" collapsed="false">
      <c r="A100" s="9" t="s">
        <v>396</v>
      </c>
    </row>
    <row r="101" customFormat="false" ht="17.15" hidden="false" customHeight="false" outlineLevel="0" collapsed="false">
      <c r="A101" s="0" t="s">
        <v>397</v>
      </c>
      <c r="B101" s="1" t="s">
        <v>398</v>
      </c>
      <c r="C101" s="0" t="s">
        <v>399</v>
      </c>
      <c r="E101" s="10" t="n">
        <v>640</v>
      </c>
      <c r="G101" s="11" t="s">
        <v>90</v>
      </c>
      <c r="H101" s="1" t="s">
        <v>400</v>
      </c>
      <c r="I101" s="1" t="s">
        <v>401</v>
      </c>
    </row>
    <row r="102" customFormat="false" ht="17.15" hidden="false" customHeight="false" outlineLevel="0" collapsed="false">
      <c r="A102" s="0" t="s">
        <v>402</v>
      </c>
      <c r="B102" s="1" t="s">
        <v>403</v>
      </c>
      <c r="C102" s="0" t="s">
        <v>399</v>
      </c>
      <c r="E102" s="10" t="n">
        <v>1630</v>
      </c>
      <c r="G102" s="11" t="s">
        <v>90</v>
      </c>
      <c r="H102" s="1" t="s">
        <v>400</v>
      </c>
      <c r="I102" s="1" t="s">
        <v>401</v>
      </c>
    </row>
    <row r="103" customFormat="false" ht="17.15" hidden="false" customHeight="false" outlineLevel="0" collapsed="false">
      <c r="A103" s="0" t="s">
        <v>404</v>
      </c>
      <c r="B103" s="1" t="s">
        <v>405</v>
      </c>
      <c r="C103" s="0" t="s">
        <v>399</v>
      </c>
      <c r="D103" s="10" t="n">
        <v>2150</v>
      </c>
      <c r="E103" s="10" t="n">
        <v>3250</v>
      </c>
      <c r="F103" s="10" t="n">
        <v>4875</v>
      </c>
      <c r="G103" s="11" t="s">
        <v>90</v>
      </c>
      <c r="H103" s="1" t="s">
        <v>406</v>
      </c>
      <c r="I103" s="1" t="s">
        <v>401</v>
      </c>
    </row>
    <row r="104" customFormat="false" ht="17.15" hidden="false" customHeight="false" outlineLevel="0" collapsed="false">
      <c r="A104" s="0" t="s">
        <v>407</v>
      </c>
      <c r="B104" s="1" t="s">
        <v>408</v>
      </c>
      <c r="C104" s="0" t="s">
        <v>399</v>
      </c>
      <c r="E104" s="10" t="n">
        <v>150</v>
      </c>
      <c r="G104" s="11" t="s">
        <v>121</v>
      </c>
      <c r="H104" s="1" t="s">
        <v>409</v>
      </c>
      <c r="I104" s="1" t="s">
        <v>410</v>
      </c>
    </row>
    <row r="105" customFormat="false" ht="17.15" hidden="false" customHeight="false" outlineLevel="0" collapsed="false">
      <c r="A105" s="0" t="s">
        <v>411</v>
      </c>
      <c r="B105" s="1" t="s">
        <v>412</v>
      </c>
      <c r="C105" s="0" t="s">
        <v>399</v>
      </c>
      <c r="E105" s="10" t="n">
        <v>400</v>
      </c>
      <c r="G105" s="11" t="s">
        <v>121</v>
      </c>
      <c r="H105" s="1" t="s">
        <v>409</v>
      </c>
      <c r="I105" s="1" t="s">
        <v>410</v>
      </c>
    </row>
    <row r="106" customFormat="false" ht="17.15" hidden="false" customHeight="false" outlineLevel="0" collapsed="false">
      <c r="A106" s="0" t="s">
        <v>413</v>
      </c>
      <c r="B106" s="1" t="s">
        <v>414</v>
      </c>
      <c r="C106" s="0" t="s">
        <v>399</v>
      </c>
      <c r="E106" s="10" t="n">
        <v>550</v>
      </c>
      <c r="G106" s="11" t="s">
        <v>90</v>
      </c>
      <c r="H106" s="1" t="s">
        <v>415</v>
      </c>
      <c r="I106" s="1" t="s">
        <v>410</v>
      </c>
    </row>
    <row r="107" customFormat="false" ht="17.15" hidden="false" customHeight="false" outlineLevel="0" collapsed="false">
      <c r="A107" s="0" t="s">
        <v>416</v>
      </c>
      <c r="B107" s="1" t="s">
        <v>417</v>
      </c>
      <c r="C107" s="0" t="s">
        <v>399</v>
      </c>
      <c r="E107" s="10" t="n">
        <v>756</v>
      </c>
      <c r="G107" s="11" t="s">
        <v>90</v>
      </c>
      <c r="H107" s="1" t="s">
        <v>418</v>
      </c>
      <c r="I107" s="11" t="s">
        <v>87</v>
      </c>
    </row>
    <row r="108" customFormat="false" ht="17.15" hidden="false" customHeight="false" outlineLevel="0" collapsed="false">
      <c r="A108" s="0" t="s">
        <v>419</v>
      </c>
      <c r="B108" s="1" t="s">
        <v>420</v>
      </c>
      <c r="C108" s="0" t="s">
        <v>421</v>
      </c>
      <c r="E108" s="10" t="n">
        <v>2527.2</v>
      </c>
      <c r="G108" s="11" t="s">
        <v>90</v>
      </c>
      <c r="H108" s="1" t="s">
        <v>422</v>
      </c>
      <c r="I108" s="1" t="s">
        <v>423</v>
      </c>
    </row>
    <row r="109" customFormat="false" ht="17.15" hidden="false" customHeight="false" outlineLevel="0" collapsed="false">
      <c r="A109" s="0" t="s">
        <v>424</v>
      </c>
      <c r="B109" s="0" t="s">
        <v>425</v>
      </c>
      <c r="C109" s="1" t="s">
        <v>235</v>
      </c>
      <c r="E109" s="10" t="n">
        <v>2029</v>
      </c>
      <c r="G109" s="11" t="s">
        <v>121</v>
      </c>
      <c r="H109" s="1" t="s">
        <v>426</v>
      </c>
      <c r="I109" s="11" t="s">
        <v>87</v>
      </c>
    </row>
    <row r="110" customFormat="false" ht="17.15" hidden="false" customHeight="false" outlineLevel="0" collapsed="false">
      <c r="A110" s="0" t="s">
        <v>427</v>
      </c>
      <c r="B110" s="0" t="s">
        <v>428</v>
      </c>
      <c r="C110" s="1" t="s">
        <v>235</v>
      </c>
      <c r="E110" s="10" t="n">
        <v>2032</v>
      </c>
      <c r="G110" s="11" t="s">
        <v>121</v>
      </c>
      <c r="H110" s="1" t="s">
        <v>429</v>
      </c>
      <c r="I110" s="1" t="s">
        <v>430</v>
      </c>
    </row>
    <row r="111" customFormat="false" ht="17.15" hidden="false" customHeight="false" outlineLevel="0" collapsed="false">
      <c r="A111" s="0" t="s">
        <v>431</v>
      </c>
      <c r="B111" s="1" t="s">
        <v>432</v>
      </c>
      <c r="C111" s="1" t="s">
        <v>235</v>
      </c>
      <c r="E111" s="10" t="n">
        <v>3</v>
      </c>
      <c r="G111" s="11" t="s">
        <v>121</v>
      </c>
      <c r="H111" s="1" t="s">
        <v>433</v>
      </c>
      <c r="I111" s="11" t="s">
        <v>87</v>
      </c>
    </row>
    <row r="112" customFormat="false" ht="17.15" hidden="false" customHeight="false" outlineLevel="0" collapsed="false">
      <c r="A112" s="0" t="s">
        <v>434</v>
      </c>
      <c r="B112" s="1" t="s">
        <v>435</v>
      </c>
      <c r="C112" s="0" t="s">
        <v>421</v>
      </c>
      <c r="E112" s="10" t="n">
        <v>650</v>
      </c>
      <c r="G112" s="11" t="s">
        <v>90</v>
      </c>
      <c r="H112" s="1" t="s">
        <v>436</v>
      </c>
      <c r="I112" s="1" t="s">
        <v>437</v>
      </c>
    </row>
    <row r="113" customFormat="false" ht="17.15" hidden="false" customHeight="false" outlineLevel="0" collapsed="false">
      <c r="A113" s="0" t="s">
        <v>438</v>
      </c>
      <c r="B113" s="1" t="s">
        <v>439</v>
      </c>
      <c r="C113" s="0" t="s">
        <v>399</v>
      </c>
      <c r="E113" s="10" t="n">
        <v>4386</v>
      </c>
      <c r="G113" s="11" t="s">
        <v>90</v>
      </c>
      <c r="H113" s="1" t="s">
        <v>201</v>
      </c>
      <c r="I113" s="11" t="s">
        <v>87</v>
      </c>
    </row>
    <row r="114" customFormat="false" ht="17.15" hidden="false" customHeight="false" outlineLevel="0" collapsed="false">
      <c r="A114" s="0" t="s">
        <v>440</v>
      </c>
      <c r="B114" s="1" t="s">
        <v>441</v>
      </c>
      <c r="C114" s="0" t="s">
        <v>129</v>
      </c>
      <c r="D114" s="12" t="n">
        <v>0.5</v>
      </c>
      <c r="E114" s="12" t="n">
        <v>0.6</v>
      </c>
      <c r="F114" s="12" t="n">
        <v>0.75</v>
      </c>
      <c r="G114" s="11" t="s">
        <v>121</v>
      </c>
      <c r="H114" s="1" t="s">
        <v>442</v>
      </c>
      <c r="I114" s="11" t="s">
        <v>443</v>
      </c>
    </row>
    <row r="115" customFormat="false" ht="17.15" hidden="false" customHeight="false" outlineLevel="0" collapsed="false">
      <c r="A115" s="0" t="s">
        <v>444</v>
      </c>
      <c r="B115" s="1" t="s">
        <v>445</v>
      </c>
      <c r="C115" s="0" t="s">
        <v>129</v>
      </c>
      <c r="D115" s="12" t="n">
        <v>0.4</v>
      </c>
      <c r="E115" s="12" t="n">
        <v>0.6</v>
      </c>
      <c r="F115" s="12" t="n">
        <v>0.8</v>
      </c>
      <c r="G115" s="11" t="s">
        <v>121</v>
      </c>
      <c r="H115" s="1" t="s">
        <v>446</v>
      </c>
      <c r="I115" s="1" t="s">
        <v>447</v>
      </c>
    </row>
    <row r="116" customFormat="false" ht="17.15" hidden="false" customHeight="false" outlineLevel="0" collapsed="false">
      <c r="A116" s="0" t="s">
        <v>448</v>
      </c>
      <c r="B116" s="1" t="s">
        <v>449</v>
      </c>
      <c r="C116" s="0" t="s">
        <v>129</v>
      </c>
      <c r="E116" s="12" t="n">
        <v>0.2</v>
      </c>
      <c r="G116" s="11" t="s">
        <v>121</v>
      </c>
      <c r="H116" s="1" t="s">
        <v>450</v>
      </c>
      <c r="I116" s="11" t="s">
        <v>451</v>
      </c>
    </row>
    <row r="117" customFormat="false" ht="17.15" hidden="false" customHeight="false" outlineLevel="0" collapsed="false">
      <c r="A117" s="0" t="s">
        <v>452</v>
      </c>
      <c r="B117" s="1" t="s">
        <v>453</v>
      </c>
      <c r="C117" s="0" t="s">
        <v>129</v>
      </c>
      <c r="E117" s="12" t="n">
        <v>0.45</v>
      </c>
      <c r="G117" s="11" t="s">
        <v>121</v>
      </c>
      <c r="H117" s="1" t="s">
        <v>450</v>
      </c>
      <c r="I117" s="11" t="s">
        <v>451</v>
      </c>
    </row>
    <row r="118" customFormat="false" ht="17.15" hidden="false" customHeight="false" outlineLevel="0" collapsed="false">
      <c r="A118" s="0" t="s">
        <v>454</v>
      </c>
      <c r="B118" s="1" t="s">
        <v>455</v>
      </c>
      <c r="C118" s="0" t="s">
        <v>129</v>
      </c>
      <c r="E118" s="12" t="n">
        <v>0.35</v>
      </c>
      <c r="G118" s="11" t="s">
        <v>121</v>
      </c>
      <c r="H118" s="1" t="s">
        <v>450</v>
      </c>
      <c r="I118" s="11" t="s">
        <v>451</v>
      </c>
    </row>
    <row r="119" customFormat="false" ht="17.15" hidden="false" customHeight="false" outlineLevel="0" collapsed="false">
      <c r="A119" s="0" t="s">
        <v>456</v>
      </c>
      <c r="B119" s="1" t="s">
        <v>457</v>
      </c>
      <c r="C119" s="0" t="s">
        <v>129</v>
      </c>
      <c r="E119" s="12" t="n">
        <v>0.7</v>
      </c>
      <c r="G119" s="11" t="s">
        <v>121</v>
      </c>
      <c r="H119" s="1" t="s">
        <v>458</v>
      </c>
      <c r="I119" s="11" t="s">
        <v>459</v>
      </c>
    </row>
    <row r="120" customFormat="false" ht="17.15" hidden="false" customHeight="false" outlineLevel="0" collapsed="false">
      <c r="A120" s="0" t="s">
        <v>460</v>
      </c>
      <c r="B120" s="1" t="s">
        <v>461</v>
      </c>
      <c r="C120" s="0" t="s">
        <v>129</v>
      </c>
      <c r="E120" s="12" t="n">
        <v>0.3</v>
      </c>
      <c r="G120" s="11" t="s">
        <v>121</v>
      </c>
      <c r="H120" s="1" t="s">
        <v>458</v>
      </c>
      <c r="I120" s="11" t="s">
        <v>459</v>
      </c>
    </row>
    <row r="121" customFormat="false" ht="17.15" hidden="false" customHeight="false" outlineLevel="0" collapsed="false">
      <c r="A121" s="0" t="s">
        <v>462</v>
      </c>
      <c r="B121" s="1" t="s">
        <v>463</v>
      </c>
      <c r="C121" s="0" t="s">
        <v>129</v>
      </c>
      <c r="E121" s="12" t="n">
        <v>0.1</v>
      </c>
      <c r="G121" s="11" t="s">
        <v>121</v>
      </c>
      <c r="H121" s="1" t="s">
        <v>458</v>
      </c>
      <c r="I121" s="11" t="s">
        <v>459</v>
      </c>
    </row>
    <row r="122" customFormat="false" ht="17.15" hidden="false" customHeight="false" outlineLevel="0" collapsed="false">
      <c r="A122" s="0" t="s">
        <v>464</v>
      </c>
      <c r="B122" s="1" t="s">
        <v>465</v>
      </c>
      <c r="C122" s="0" t="s">
        <v>357</v>
      </c>
      <c r="E122" s="0" t="n">
        <f aca="false">mix_h*tk_cxit_h100+mix_g2*tk_cxit_gb200+mix_g3*tk_cxit_gb300</f>
        <v>27.5918995</v>
      </c>
      <c r="G122" s="0" t="s">
        <v>90</v>
      </c>
      <c r="H122" s="1" t="s">
        <v>466</v>
      </c>
      <c r="I122" s="0" t="s">
        <v>467</v>
      </c>
    </row>
    <row r="123" customFormat="false" ht="17.15" hidden="false" customHeight="false" outlineLevel="0" collapsed="false">
      <c r="A123" s="0" t="s">
        <v>468</v>
      </c>
      <c r="B123" s="1" t="s">
        <v>469</v>
      </c>
      <c r="C123" s="0" t="s">
        <v>346</v>
      </c>
      <c r="E123" s="10" t="n">
        <v>9.7</v>
      </c>
      <c r="G123" s="11" t="s">
        <v>204</v>
      </c>
      <c r="H123" s="1" t="s">
        <v>470</v>
      </c>
      <c r="I123" s="11" t="s">
        <v>471</v>
      </c>
    </row>
    <row r="124" customFormat="false" ht="17.15" hidden="false" customHeight="false" outlineLevel="0" collapsed="false">
      <c r="A124" s="0" t="s">
        <v>472</v>
      </c>
      <c r="B124" s="1" t="s">
        <v>473</v>
      </c>
      <c r="C124" s="0" t="s">
        <v>378</v>
      </c>
      <c r="E124" s="10" t="n">
        <v>2.82</v>
      </c>
      <c r="F124" s="10" t="n">
        <v>12.29</v>
      </c>
      <c r="G124" s="11" t="s">
        <v>76</v>
      </c>
      <c r="H124" s="1" t="s">
        <v>474</v>
      </c>
      <c r="I124" s="1" t="s">
        <v>475</v>
      </c>
    </row>
    <row r="125" customFormat="false" ht="17.15" hidden="false" customHeight="false" outlineLevel="0" collapsed="false">
      <c r="A125" s="0" t="s">
        <v>476</v>
      </c>
      <c r="B125" s="0" t="s">
        <v>477</v>
      </c>
      <c r="C125" s="0" t="s">
        <v>185</v>
      </c>
      <c r="E125" s="14" t="n">
        <f aca="false">p_long/tk_hold_gb300</f>
        <v>0.891019087752599</v>
      </c>
      <c r="G125" s="11" t="s">
        <v>90</v>
      </c>
      <c r="H125" s="1" t="s">
        <v>478</v>
      </c>
      <c r="I125" s="11" t="s">
        <v>479</v>
      </c>
    </row>
    <row r="126" customFormat="false" ht="17.15" hidden="false" customHeight="false" outlineLevel="0" collapsed="false">
      <c r="A126" s="0" t="s">
        <v>480</v>
      </c>
      <c r="B126" s="1" t="s">
        <v>481</v>
      </c>
      <c r="C126" s="0" t="s">
        <v>346</v>
      </c>
      <c r="E126" s="10" t="n">
        <v>5.7429</v>
      </c>
      <c r="G126" s="11" t="s">
        <v>121</v>
      </c>
      <c r="H126" s="1" t="s">
        <v>482</v>
      </c>
      <c r="I126" s="1" t="s">
        <v>483</v>
      </c>
    </row>
    <row r="127" customFormat="false" ht="17.15" hidden="false" customHeight="false" outlineLevel="0" collapsed="false">
      <c r="A127" s="0" t="s">
        <v>484</v>
      </c>
      <c r="B127" s="0" t="s">
        <v>485</v>
      </c>
      <c r="C127" s="0" t="s">
        <v>185</v>
      </c>
      <c r="E127" s="14" t="n">
        <f aca="false">p_long_lo/tk_hold_vr200</f>
        <v>0.469748772693226</v>
      </c>
      <c r="G127" s="11" t="s">
        <v>90</v>
      </c>
      <c r="H127" s="1" t="s">
        <v>486</v>
      </c>
      <c r="I127" s="11" t="s">
        <v>487</v>
      </c>
    </row>
    <row r="128" customFormat="false" ht="17.15" hidden="false" customHeight="false" outlineLevel="0" collapsed="false">
      <c r="A128" s="0" t="s">
        <v>488</v>
      </c>
      <c r="B128" s="0" t="s">
        <v>489</v>
      </c>
      <c r="C128" s="0" t="s">
        <v>185</v>
      </c>
      <c r="E128" s="14" t="n">
        <f aca="false">p_spot/tk_gpuhr_h100</f>
        <v>1.82808654921445</v>
      </c>
      <c r="G128" s="11" t="s">
        <v>90</v>
      </c>
      <c r="H128" s="1" t="s">
        <v>490</v>
      </c>
      <c r="I128" s="11" t="s">
        <v>491</v>
      </c>
    </row>
    <row r="129" customFormat="false" ht="17.15" hidden="false" customHeight="false" outlineLevel="0" collapsed="false">
      <c r="A129" s="0" t="s">
        <v>492</v>
      </c>
      <c r="B129" s="1" t="s">
        <v>493</v>
      </c>
      <c r="C129" s="0" t="s">
        <v>129</v>
      </c>
      <c r="E129" s="12" t="n">
        <v>0.45</v>
      </c>
      <c r="G129" s="11" t="s">
        <v>121</v>
      </c>
      <c r="H129" s="1" t="s">
        <v>494</v>
      </c>
      <c r="I129" s="11" t="s">
        <v>495</v>
      </c>
    </row>
    <row r="130" customFormat="false" ht="17.15" hidden="false" customHeight="false" outlineLevel="0" collapsed="false">
      <c r="A130" s="0" t="s">
        <v>496</v>
      </c>
      <c r="B130" s="1" t="s">
        <v>497</v>
      </c>
      <c r="C130" s="0" t="s">
        <v>129</v>
      </c>
      <c r="E130" s="12" t="n">
        <v>0.7</v>
      </c>
      <c r="G130" s="11" t="s">
        <v>121</v>
      </c>
      <c r="H130" s="1" t="s">
        <v>498</v>
      </c>
      <c r="I130" s="11" t="s">
        <v>495</v>
      </c>
    </row>
    <row r="131" customFormat="false" ht="17.15" hidden="false" customHeight="false" outlineLevel="0" collapsed="false">
      <c r="A131" s="0" t="s">
        <v>499</v>
      </c>
      <c r="B131" s="1" t="s">
        <v>500</v>
      </c>
      <c r="C131" s="0" t="s">
        <v>129</v>
      </c>
      <c r="E131" s="12" t="n">
        <v>1</v>
      </c>
      <c r="G131" s="11" t="s">
        <v>121</v>
      </c>
      <c r="H131" s="1" t="s">
        <v>501</v>
      </c>
      <c r="I131" s="11" t="s">
        <v>495</v>
      </c>
    </row>
    <row r="132" customFormat="false" ht="17.15" hidden="false" customHeight="false" outlineLevel="0" collapsed="false">
      <c r="A132" s="0" t="s">
        <v>502</v>
      </c>
      <c r="B132" s="0" t="s">
        <v>503</v>
      </c>
      <c r="C132" s="0" t="s">
        <v>185</v>
      </c>
      <c r="E132" s="14" t="n">
        <f aca="false">ls_A*k_long+(1-ls_A)*k_spot</f>
        <v>1.40640619155662</v>
      </c>
      <c r="G132" s="11" t="s">
        <v>90</v>
      </c>
      <c r="H132" s="1" t="s">
        <v>504</v>
      </c>
      <c r="I132" s="11" t="s">
        <v>505</v>
      </c>
    </row>
    <row r="133" customFormat="false" ht="17.15" hidden="false" customHeight="false" outlineLevel="0" collapsed="false">
      <c r="A133" s="0" t="s">
        <v>506</v>
      </c>
      <c r="B133" s="0" t="s">
        <v>507</v>
      </c>
      <c r="C133" s="0" t="s">
        <v>185</v>
      </c>
      <c r="E133" s="14" t="n">
        <f aca="false">ls_B*k_long+(1-ls_B)*k_spot</f>
        <v>1.17213932619116</v>
      </c>
      <c r="G133" s="11" t="s">
        <v>90</v>
      </c>
      <c r="H133" s="1" t="s">
        <v>504</v>
      </c>
      <c r="I133" s="11" t="s">
        <v>505</v>
      </c>
    </row>
    <row r="134" customFormat="false" ht="17.15" hidden="false" customHeight="false" outlineLevel="0" collapsed="false">
      <c r="A134" s="0" t="s">
        <v>508</v>
      </c>
      <c r="B134" s="0" t="s">
        <v>509</v>
      </c>
      <c r="C134" s="0" t="s">
        <v>185</v>
      </c>
      <c r="E134" s="14" t="n">
        <f aca="false">ls_C*k_long+(1-ls_C)*k_spot</f>
        <v>0.891019087752599</v>
      </c>
      <c r="G134" s="11" t="s">
        <v>90</v>
      </c>
      <c r="H134" s="1" t="s">
        <v>504</v>
      </c>
      <c r="I134" s="11" t="s">
        <v>505</v>
      </c>
    </row>
    <row r="135" customFormat="false" ht="17.15" hidden="false" customHeight="false" outlineLevel="0" collapsed="false">
      <c r="A135" s="0" t="s">
        <v>510</v>
      </c>
      <c r="B135" s="1" t="s">
        <v>511</v>
      </c>
      <c r="C135" s="0" t="s">
        <v>185</v>
      </c>
      <c r="D135" s="13" t="n">
        <v>0.7</v>
      </c>
      <c r="E135" s="13" t="n">
        <v>1</v>
      </c>
      <c r="F135" s="13" t="n">
        <v>1</v>
      </c>
      <c r="G135" s="11" t="s">
        <v>121</v>
      </c>
      <c r="H135" s="1" t="s">
        <v>512</v>
      </c>
      <c r="I135" s="11" t="s">
        <v>87</v>
      </c>
    </row>
    <row r="136" customFormat="false" ht="17.15" hidden="false" customHeight="false" outlineLevel="0" collapsed="false">
      <c r="A136" s="0" t="s">
        <v>513</v>
      </c>
      <c r="B136" s="1" t="s">
        <v>514</v>
      </c>
      <c r="C136" s="0" t="s">
        <v>346</v>
      </c>
      <c r="E136" s="10" t="n">
        <v>8.89</v>
      </c>
      <c r="G136" s="11" t="s">
        <v>90</v>
      </c>
      <c r="H136" s="1" t="s">
        <v>515</v>
      </c>
      <c r="I136" s="1" t="s">
        <v>516</v>
      </c>
    </row>
    <row r="137" customFormat="false" ht="17.15" hidden="false" customHeight="false" outlineLevel="0" collapsed="false">
      <c r="A137" s="0" t="s">
        <v>517</v>
      </c>
      <c r="B137" s="1" t="s">
        <v>518</v>
      </c>
      <c r="C137" s="0" t="s">
        <v>129</v>
      </c>
      <c r="D137" s="12" t="n">
        <v>0.65</v>
      </c>
      <c r="E137" s="12" t="n">
        <v>0.8</v>
      </c>
      <c r="F137" s="12" t="n">
        <v>0.9</v>
      </c>
      <c r="G137" s="11" t="s">
        <v>121</v>
      </c>
      <c r="H137" s="1" t="s">
        <v>519</v>
      </c>
      <c r="I137" s="11" t="s">
        <v>520</v>
      </c>
    </row>
    <row r="138" customFormat="false" ht="17.15" hidden="false" customHeight="false" outlineLevel="0" collapsed="false">
      <c r="A138" s="0" t="s">
        <v>521</v>
      </c>
      <c r="B138" s="0" t="s">
        <v>522</v>
      </c>
      <c r="C138" s="0" t="s">
        <v>98</v>
      </c>
      <c r="E138" s="10" t="n">
        <v>204.2</v>
      </c>
      <c r="G138" s="11" t="s">
        <v>90</v>
      </c>
      <c r="H138" s="1" t="s">
        <v>523</v>
      </c>
      <c r="I138" s="11" t="s">
        <v>524</v>
      </c>
    </row>
    <row r="139" customFormat="false" ht="17.15" hidden="false" customHeight="false" outlineLevel="0" collapsed="false">
      <c r="A139" s="9" t="s">
        <v>525</v>
      </c>
    </row>
    <row r="140" customFormat="false" ht="17.15" hidden="false" customHeight="false" outlineLevel="0" collapsed="false">
      <c r="A140" s="0" t="s">
        <v>526</v>
      </c>
      <c r="B140" s="0" t="s">
        <v>527</v>
      </c>
      <c r="C140" s="1" t="s">
        <v>528</v>
      </c>
      <c r="E140" s="10" t="n">
        <v>1</v>
      </c>
      <c r="G140" s="11" t="s">
        <v>121</v>
      </c>
      <c r="H140" s="1" t="s">
        <v>529</v>
      </c>
      <c r="I140" s="11" t="s">
        <v>87</v>
      </c>
    </row>
    <row r="141" customFormat="false" ht="17.15" hidden="false" customHeight="false" outlineLevel="0" collapsed="false">
      <c r="A141" s="0" t="s">
        <v>530</v>
      </c>
      <c r="B141" s="0" t="s">
        <v>531</v>
      </c>
      <c r="C141" s="1" t="s">
        <v>528</v>
      </c>
      <c r="E141" s="10" t="n">
        <v>5</v>
      </c>
      <c r="G141" s="11" t="s">
        <v>121</v>
      </c>
      <c r="H141" s="1" t="s">
        <v>532</v>
      </c>
      <c r="I141" s="11" t="s">
        <v>87</v>
      </c>
    </row>
    <row r="142" customFormat="false" ht="17.15" hidden="false" customHeight="false" outlineLevel="0" collapsed="false">
      <c r="A142" s="0" t="s">
        <v>533</v>
      </c>
      <c r="B142" s="0" t="s">
        <v>534</v>
      </c>
      <c r="C142" s="1" t="s">
        <v>528</v>
      </c>
      <c r="E142" s="10" t="n">
        <v>30</v>
      </c>
      <c r="G142" s="11" t="s">
        <v>170</v>
      </c>
      <c r="H142" s="1" t="s">
        <v>535</v>
      </c>
      <c r="I142" s="11" t="s">
        <v>87</v>
      </c>
    </row>
    <row r="143" customFormat="false" ht="17.15" hidden="false" customHeight="false" outlineLevel="0" collapsed="false">
      <c r="A143" s="0" t="s">
        <v>536</v>
      </c>
      <c r="B143" s="0" t="s">
        <v>537</v>
      </c>
      <c r="C143" s="0" t="s">
        <v>538</v>
      </c>
      <c r="D143" s="10" t="n">
        <v>18</v>
      </c>
      <c r="E143" s="10" t="n">
        <v>25</v>
      </c>
      <c r="F143" s="10" t="n">
        <v>30</v>
      </c>
      <c r="G143" s="11" t="s">
        <v>121</v>
      </c>
      <c r="H143" s="1" t="s">
        <v>539</v>
      </c>
      <c r="I143" s="11" t="s">
        <v>540</v>
      </c>
    </row>
    <row r="144" customFormat="false" ht="17.15" hidden="false" customHeight="false" outlineLevel="0" collapsed="false">
      <c r="A144" s="0" t="s">
        <v>541</v>
      </c>
      <c r="B144" s="0" t="s">
        <v>542</v>
      </c>
      <c r="C144" s="1" t="s">
        <v>528</v>
      </c>
      <c r="E144" s="10" t="n">
        <v>30</v>
      </c>
      <c r="G144" s="11" t="s">
        <v>121</v>
      </c>
      <c r="H144" s="11" t="s">
        <v>543</v>
      </c>
      <c r="I144" s="11" t="s">
        <v>544</v>
      </c>
    </row>
    <row r="145" customFormat="false" ht="17.15" hidden="false" customHeight="false" outlineLevel="0" collapsed="false">
      <c r="A145" s="0" t="s">
        <v>545</v>
      </c>
      <c r="B145" s="0" t="s">
        <v>546</v>
      </c>
      <c r="C145" s="1" t="s">
        <v>528</v>
      </c>
      <c r="E145" s="10" t="n">
        <v>20</v>
      </c>
      <c r="G145" s="11" t="s">
        <v>121</v>
      </c>
      <c r="H145" s="11" t="s">
        <v>543</v>
      </c>
      <c r="I145" s="11" t="s">
        <v>544</v>
      </c>
    </row>
    <row r="146" customFormat="false" ht="17.15" hidden="false" customHeight="false" outlineLevel="0" collapsed="false">
      <c r="A146" s="0" t="s">
        <v>547</v>
      </c>
      <c r="B146" s="0" t="s">
        <v>548</v>
      </c>
      <c r="C146" s="1" t="s">
        <v>528</v>
      </c>
      <c r="E146" s="10" t="n">
        <v>10</v>
      </c>
      <c r="G146" s="11" t="s">
        <v>121</v>
      </c>
      <c r="H146" s="11" t="s">
        <v>543</v>
      </c>
      <c r="I146" s="11" t="s">
        <v>544</v>
      </c>
    </row>
    <row r="147" customFormat="false" ht="17.15" hidden="false" customHeight="false" outlineLevel="0" collapsed="false">
      <c r="A147" s="0" t="s">
        <v>549</v>
      </c>
      <c r="B147" s="0" t="s">
        <v>550</v>
      </c>
      <c r="C147" s="0" t="s">
        <v>185</v>
      </c>
      <c r="E147" s="13" t="n">
        <v>0.5</v>
      </c>
      <c r="G147" s="11" t="s">
        <v>121</v>
      </c>
      <c r="H147" s="1" t="s">
        <v>551</v>
      </c>
      <c r="I147" s="11" t="s">
        <v>87</v>
      </c>
    </row>
    <row r="148" customFormat="false" ht="17.15" hidden="false" customHeight="false" outlineLevel="0" collapsed="false">
      <c r="A148" s="0" t="s">
        <v>552</v>
      </c>
      <c r="B148" s="1" t="s">
        <v>553</v>
      </c>
      <c r="C148" s="1" t="s">
        <v>554</v>
      </c>
      <c r="D148" s="10" t="n">
        <v>1</v>
      </c>
      <c r="E148" s="10" t="n">
        <v>2</v>
      </c>
      <c r="G148" s="11" t="s">
        <v>121</v>
      </c>
      <c r="H148" s="1" t="s">
        <v>555</v>
      </c>
      <c r="I148" s="1" t="s">
        <v>556</v>
      </c>
    </row>
    <row r="149" customFormat="false" ht="17.15" hidden="false" customHeight="false" outlineLevel="0" collapsed="false">
      <c r="A149" s="0" t="s">
        <v>557</v>
      </c>
      <c r="B149" s="1" t="s">
        <v>558</v>
      </c>
      <c r="C149" s="1" t="s">
        <v>554</v>
      </c>
      <c r="D149" s="10" t="n">
        <v>0</v>
      </c>
      <c r="E149" s="10" t="n">
        <v>1</v>
      </c>
      <c r="G149" s="11" t="s">
        <v>121</v>
      </c>
      <c r="H149" s="1" t="s">
        <v>559</v>
      </c>
      <c r="I149" s="11" t="s">
        <v>560</v>
      </c>
    </row>
    <row r="150" customFormat="false" ht="17.15" hidden="false" customHeight="false" outlineLevel="0" collapsed="false">
      <c r="A150" s="9" t="s">
        <v>561</v>
      </c>
    </row>
    <row r="151" customFormat="false" ht="17.15" hidden="false" customHeight="false" outlineLevel="0" collapsed="false">
      <c r="A151" s="0" t="s">
        <v>562</v>
      </c>
      <c r="B151" s="1" t="s">
        <v>563</v>
      </c>
      <c r="C151" s="1" t="s">
        <v>235</v>
      </c>
      <c r="E151" s="10" t="n">
        <v>6</v>
      </c>
      <c r="G151" s="11" t="s">
        <v>121</v>
      </c>
      <c r="H151" s="1" t="s">
        <v>564</v>
      </c>
      <c r="I151" s="11" t="s">
        <v>87</v>
      </c>
    </row>
    <row r="152" customFormat="false" ht="17.15" hidden="false" customHeight="false" outlineLevel="0" collapsed="false">
      <c r="A152" s="0" t="s">
        <v>565</v>
      </c>
      <c r="B152" s="1" t="s">
        <v>566</v>
      </c>
      <c r="C152" s="0" t="s">
        <v>129</v>
      </c>
      <c r="D152" s="12" t="n">
        <v>0.05</v>
      </c>
      <c r="E152" s="12" t="n">
        <v>0.08</v>
      </c>
      <c r="F152" s="12" t="n">
        <v>0.12</v>
      </c>
      <c r="G152" s="11" t="s">
        <v>121</v>
      </c>
      <c r="H152" s="1" t="s">
        <v>567</v>
      </c>
      <c r="I152" s="1" t="s">
        <v>568</v>
      </c>
    </row>
    <row r="153" customFormat="false" ht="17.15" hidden="false" customHeight="false" outlineLevel="0" collapsed="false">
      <c r="A153" s="0" t="s">
        <v>569</v>
      </c>
      <c r="B153" s="1" t="s">
        <v>570</v>
      </c>
      <c r="C153" s="0" t="s">
        <v>129</v>
      </c>
      <c r="D153" s="12" t="n">
        <v>0.04</v>
      </c>
      <c r="E153" s="12" t="n">
        <v>0.07</v>
      </c>
      <c r="F153" s="12" t="n">
        <v>0.1</v>
      </c>
      <c r="G153" s="11" t="s">
        <v>121</v>
      </c>
      <c r="H153" s="11" t="s">
        <v>571</v>
      </c>
      <c r="I153" s="1" t="s">
        <v>568</v>
      </c>
    </row>
    <row r="154" customFormat="false" ht="17.15" hidden="false" customHeight="false" outlineLevel="0" collapsed="false">
      <c r="A154" s="0" t="s">
        <v>572</v>
      </c>
      <c r="B154" s="1" t="s">
        <v>573</v>
      </c>
      <c r="C154" s="0" t="s">
        <v>129</v>
      </c>
      <c r="D154" s="12" t="n">
        <v>0</v>
      </c>
      <c r="E154" s="12" t="n">
        <v>0.02</v>
      </c>
      <c r="F154" s="12" t="n">
        <v>0.04</v>
      </c>
      <c r="G154" s="11" t="s">
        <v>121</v>
      </c>
      <c r="H154" s="1" t="s">
        <v>201</v>
      </c>
      <c r="I154" s="1" t="s">
        <v>568</v>
      </c>
    </row>
    <row r="155" customFormat="false" ht="17.15" hidden="false" customHeight="false" outlineLevel="0" collapsed="false">
      <c r="A155" s="0" t="s">
        <v>574</v>
      </c>
      <c r="B155" s="1" t="s">
        <v>575</v>
      </c>
      <c r="C155" s="0" t="s">
        <v>129</v>
      </c>
      <c r="D155" s="12" t="n">
        <v>0.04</v>
      </c>
      <c r="E155" s="12" t="n">
        <v>0.07</v>
      </c>
      <c r="F155" s="12" t="n">
        <v>0.1</v>
      </c>
      <c r="G155" s="11" t="s">
        <v>121</v>
      </c>
      <c r="H155" s="1" t="s">
        <v>576</v>
      </c>
      <c r="I155" s="1" t="s">
        <v>568</v>
      </c>
    </row>
    <row r="156" customFormat="false" ht="17.15" hidden="false" customHeight="false" outlineLevel="0" collapsed="false">
      <c r="A156" s="0" t="s">
        <v>577</v>
      </c>
      <c r="B156" s="1" t="s">
        <v>578</v>
      </c>
      <c r="C156" s="0" t="s">
        <v>129</v>
      </c>
      <c r="D156" s="12" t="n">
        <v>0.04</v>
      </c>
      <c r="E156" s="12" t="n">
        <v>0.07</v>
      </c>
      <c r="F156" s="12" t="n">
        <v>0.1</v>
      </c>
      <c r="G156" s="11" t="s">
        <v>121</v>
      </c>
      <c r="H156" s="1" t="s">
        <v>576</v>
      </c>
      <c r="I156" s="1" t="s">
        <v>568</v>
      </c>
    </row>
    <row r="157" customFormat="false" ht="17.15" hidden="false" customHeight="false" outlineLevel="0" collapsed="false">
      <c r="A157" s="0" t="s">
        <v>579</v>
      </c>
      <c r="B157" s="1" t="s">
        <v>580</v>
      </c>
      <c r="C157" s="0" t="s">
        <v>129</v>
      </c>
      <c r="D157" s="12" t="n">
        <v>0.04</v>
      </c>
      <c r="E157" s="12" t="n">
        <v>0.07</v>
      </c>
      <c r="F157" s="12" t="n">
        <v>0.1</v>
      </c>
      <c r="G157" s="11" t="s">
        <v>121</v>
      </c>
      <c r="H157" s="1" t="s">
        <v>201</v>
      </c>
      <c r="I157" s="1" t="s">
        <v>568</v>
      </c>
    </row>
    <row r="158" customFormat="false" ht="17.15" hidden="false" customHeight="false" outlineLevel="0" collapsed="false">
      <c r="A158" s="0" t="s">
        <v>581</v>
      </c>
      <c r="B158" s="1" t="s">
        <v>582</v>
      </c>
      <c r="C158" s="0" t="s">
        <v>129</v>
      </c>
      <c r="D158" s="12" t="n">
        <v>-0.02</v>
      </c>
      <c r="E158" s="12" t="n">
        <v>0.02</v>
      </c>
      <c r="F158" s="12" t="n">
        <v>0.05</v>
      </c>
      <c r="G158" s="11" t="s">
        <v>121</v>
      </c>
      <c r="H158" s="1" t="s">
        <v>583</v>
      </c>
      <c r="I158" s="1" t="s">
        <v>568</v>
      </c>
    </row>
    <row r="159" customFormat="false" ht="17.15" hidden="false" customHeight="false" outlineLevel="0" collapsed="false">
      <c r="A159" s="0" t="s">
        <v>584</v>
      </c>
      <c r="B159" s="1" t="s">
        <v>585</v>
      </c>
      <c r="C159" s="0" t="s">
        <v>129</v>
      </c>
      <c r="D159" s="12" t="n">
        <v>-0.02</v>
      </c>
      <c r="E159" s="12" t="n">
        <v>0.02</v>
      </c>
      <c r="F159" s="12" t="n">
        <v>0.04</v>
      </c>
      <c r="G159" s="11" t="s">
        <v>121</v>
      </c>
      <c r="H159" s="1" t="s">
        <v>583</v>
      </c>
      <c r="I159" s="1" t="s">
        <v>568</v>
      </c>
    </row>
    <row r="160" customFormat="false" ht="17.15" hidden="false" customHeight="false" outlineLevel="0" collapsed="false">
      <c r="A160" s="9" t="s">
        <v>586</v>
      </c>
    </row>
    <row r="161" customFormat="false" ht="17.15" hidden="false" customHeight="false" outlineLevel="0" collapsed="false">
      <c r="A161" s="0" t="s">
        <v>587</v>
      </c>
      <c r="B161" s="1" t="s">
        <v>588</v>
      </c>
      <c r="C161" s="0" t="s">
        <v>209</v>
      </c>
      <c r="D161" s="12" t="n">
        <v>-0.02</v>
      </c>
      <c r="E161" s="12" t="n">
        <v>0</v>
      </c>
      <c r="F161" s="12" t="n">
        <v>0.02</v>
      </c>
      <c r="G161" s="11" t="s">
        <v>121</v>
      </c>
      <c r="H161" s="1" t="s">
        <v>589</v>
      </c>
      <c r="I161" s="1" t="s">
        <v>590</v>
      </c>
    </row>
    <row r="162" customFormat="false" ht="17.15" hidden="false" customHeight="false" outlineLevel="0" collapsed="false">
      <c r="A162" s="0" t="s">
        <v>591</v>
      </c>
      <c r="B162" s="1" t="s">
        <v>592</v>
      </c>
      <c r="C162" s="0" t="s">
        <v>98</v>
      </c>
      <c r="D162" s="10" t="n">
        <v>-1</v>
      </c>
      <c r="E162" s="10" t="n">
        <v>-0.4</v>
      </c>
      <c r="F162" s="10" t="n">
        <v>0.4</v>
      </c>
      <c r="G162" s="11" t="s">
        <v>170</v>
      </c>
      <c r="H162" s="1" t="s">
        <v>593</v>
      </c>
      <c r="I162" s="1" t="s">
        <v>594</v>
      </c>
    </row>
    <row r="163" customFormat="false" ht="17.15" hidden="false" customHeight="false" outlineLevel="0" collapsed="false">
      <c r="A163" s="0" t="s">
        <v>595</v>
      </c>
      <c r="B163" s="1" t="s">
        <v>596</v>
      </c>
      <c r="C163" s="0" t="s">
        <v>129</v>
      </c>
      <c r="D163" s="12" t="n">
        <v>0.19</v>
      </c>
      <c r="E163" s="12" t="n">
        <v>0.2</v>
      </c>
      <c r="F163" s="12" t="n">
        <v>0.21</v>
      </c>
      <c r="G163" s="11" t="s">
        <v>170</v>
      </c>
      <c r="H163" s="1" t="s">
        <v>597</v>
      </c>
      <c r="I163" s="11" t="s">
        <v>598</v>
      </c>
    </row>
    <row r="164" customFormat="false" ht="17.15" hidden="false" customHeight="false" outlineLevel="0" collapsed="false">
      <c r="A164" s="0" t="s">
        <v>599</v>
      </c>
      <c r="B164" s="1" t="s">
        <v>600</v>
      </c>
      <c r="C164" s="0" t="s">
        <v>129</v>
      </c>
      <c r="E164" s="7" t="n">
        <f aca="false">Q!M39/Q!M18</f>
        <v>0.0373825861336371</v>
      </c>
      <c r="G164" s="11" t="s">
        <v>90</v>
      </c>
      <c r="H164" s="11" t="s">
        <v>601</v>
      </c>
      <c r="I164" s="11" t="s">
        <v>87</v>
      </c>
    </row>
    <row r="165" customFormat="false" ht="17.15" hidden="false" customHeight="false" outlineLevel="0" collapsed="false">
      <c r="A165" s="0" t="s">
        <v>602</v>
      </c>
      <c r="B165" s="0" t="s">
        <v>603</v>
      </c>
      <c r="C165" s="0" t="s">
        <v>98</v>
      </c>
      <c r="E165" s="10" t="n">
        <v>-4.895</v>
      </c>
      <c r="G165" s="11" t="s">
        <v>90</v>
      </c>
      <c r="H165" s="1" t="s">
        <v>604</v>
      </c>
      <c r="I165" s="11" t="s">
        <v>605</v>
      </c>
    </row>
    <row r="166" customFormat="false" ht="17.15" hidden="false" customHeight="false" outlineLevel="0" collapsed="false">
      <c r="A166" s="0" t="s">
        <v>606</v>
      </c>
      <c r="B166" s="0" t="s">
        <v>607</v>
      </c>
      <c r="C166" s="0" t="s">
        <v>98</v>
      </c>
      <c r="E166" s="10" t="n">
        <v>0</v>
      </c>
      <c r="G166" s="11" t="s">
        <v>121</v>
      </c>
      <c r="H166" s="1" t="s">
        <v>608</v>
      </c>
      <c r="I166" s="11" t="s">
        <v>87</v>
      </c>
    </row>
    <row r="167" customFormat="false" ht="17.15" hidden="false" customHeight="false" outlineLevel="0" collapsed="false">
      <c r="A167" s="0" t="s">
        <v>609</v>
      </c>
      <c r="B167" s="1" t="s">
        <v>610</v>
      </c>
      <c r="C167" s="1" t="s">
        <v>235</v>
      </c>
      <c r="D167" s="10" t="n">
        <v>8</v>
      </c>
      <c r="E167" s="10" t="n">
        <v>10</v>
      </c>
      <c r="F167" s="10" t="n">
        <v>15</v>
      </c>
      <c r="G167" s="11" t="s">
        <v>121</v>
      </c>
      <c r="H167" s="1" t="s">
        <v>611</v>
      </c>
      <c r="I167" s="1" t="s">
        <v>612</v>
      </c>
    </row>
    <row r="168" customFormat="false" ht="17.15" hidden="false" customHeight="false" outlineLevel="0" collapsed="false">
      <c r="A168" s="0" t="s">
        <v>613</v>
      </c>
      <c r="B168" s="1" t="s">
        <v>614</v>
      </c>
      <c r="C168" s="0" t="s">
        <v>129</v>
      </c>
      <c r="E168" s="12" t="n">
        <v>0.2</v>
      </c>
      <c r="G168" s="11" t="s">
        <v>121</v>
      </c>
      <c r="H168" s="1" t="s">
        <v>615</v>
      </c>
      <c r="I168" s="1" t="s">
        <v>616</v>
      </c>
    </row>
    <row r="169" customFormat="false" ht="17.15" hidden="false" customHeight="false" outlineLevel="0" collapsed="false">
      <c r="A169" s="0" t="s">
        <v>617</v>
      </c>
      <c r="B169" s="1" t="s">
        <v>618</v>
      </c>
      <c r="C169" s="0" t="s">
        <v>129</v>
      </c>
      <c r="E169" s="12" t="n">
        <v>0.1</v>
      </c>
      <c r="G169" s="11" t="s">
        <v>121</v>
      </c>
      <c r="H169" s="1" t="s">
        <v>615</v>
      </c>
      <c r="I169" s="1" t="s">
        <v>616</v>
      </c>
    </row>
    <row r="170" customFormat="false" ht="17.15" hidden="false" customHeight="false" outlineLevel="0" collapsed="false">
      <c r="A170" s="0" t="s">
        <v>619</v>
      </c>
      <c r="B170" s="1" t="s">
        <v>620</v>
      </c>
      <c r="C170" s="0" t="s">
        <v>129</v>
      </c>
      <c r="E170" s="12" t="n">
        <v>0.02</v>
      </c>
      <c r="G170" s="11" t="s">
        <v>121</v>
      </c>
      <c r="H170" s="1" t="s">
        <v>615</v>
      </c>
      <c r="I170" s="1" t="s">
        <v>616</v>
      </c>
    </row>
    <row r="171" customFormat="false" ht="17.15" hidden="false" customHeight="false" outlineLevel="0" collapsed="false">
      <c r="A171" s="0" t="s">
        <v>621</v>
      </c>
      <c r="B171" s="1" t="s">
        <v>622</v>
      </c>
      <c r="C171" s="0" t="s">
        <v>129</v>
      </c>
      <c r="E171" s="12" t="n">
        <v>0.05</v>
      </c>
      <c r="G171" s="11" t="s">
        <v>121</v>
      </c>
      <c r="H171" s="1" t="s">
        <v>615</v>
      </c>
      <c r="I171" s="1" t="s">
        <v>616</v>
      </c>
    </row>
    <row r="172" customFormat="false" ht="17.15" hidden="false" customHeight="false" outlineLevel="0" collapsed="false">
      <c r="A172" s="0" t="s">
        <v>623</v>
      </c>
      <c r="B172" s="1" t="s">
        <v>624</v>
      </c>
      <c r="C172" s="0" t="s">
        <v>129</v>
      </c>
      <c r="E172" s="12" t="n">
        <v>0.08</v>
      </c>
      <c r="G172" s="11" t="s">
        <v>121</v>
      </c>
      <c r="H172" s="1" t="s">
        <v>615</v>
      </c>
      <c r="I172" s="1" t="s">
        <v>616</v>
      </c>
    </row>
    <row r="173" customFormat="false" ht="17.15" hidden="false" customHeight="false" outlineLevel="0" collapsed="false">
      <c r="A173" s="0" t="s">
        <v>625</v>
      </c>
      <c r="B173" s="1" t="s">
        <v>626</v>
      </c>
      <c r="C173" s="0" t="s">
        <v>129</v>
      </c>
      <c r="E173" s="12" t="n">
        <v>0.03</v>
      </c>
      <c r="G173" s="11" t="s">
        <v>121</v>
      </c>
      <c r="H173" s="1" t="s">
        <v>615</v>
      </c>
      <c r="I173" s="1" t="s">
        <v>616</v>
      </c>
    </row>
    <row r="174" customFormat="false" ht="17.15" hidden="false" customHeight="false" outlineLevel="0" collapsed="false">
      <c r="A174" s="9" t="s">
        <v>627</v>
      </c>
    </row>
    <row r="175" customFormat="false" ht="17.15" hidden="false" customHeight="false" outlineLevel="0" collapsed="false">
      <c r="A175" s="0" t="s">
        <v>628</v>
      </c>
      <c r="B175" s="1" t="s">
        <v>629</v>
      </c>
      <c r="C175" s="0" t="s">
        <v>75</v>
      </c>
      <c r="D175" s="10" t="n">
        <v>440</v>
      </c>
      <c r="E175" s="10" t="n">
        <v>603.43</v>
      </c>
      <c r="F175" s="10" t="n">
        <v>870</v>
      </c>
      <c r="G175" s="11" t="s">
        <v>170</v>
      </c>
      <c r="H175" s="11" t="s">
        <v>630</v>
      </c>
      <c r="I175" s="11" t="s">
        <v>631</v>
      </c>
    </row>
    <row r="176" customFormat="false" ht="17.15" hidden="false" customHeight="false" outlineLevel="0" collapsed="false">
      <c r="A176" s="0" t="s">
        <v>632</v>
      </c>
      <c r="B176" s="1" t="s">
        <v>633</v>
      </c>
      <c r="C176" s="0" t="s">
        <v>98</v>
      </c>
      <c r="D176" s="10" t="n">
        <v>380</v>
      </c>
      <c r="E176" s="10" t="n">
        <v>391.6</v>
      </c>
      <c r="F176" s="10" t="n">
        <v>402.7</v>
      </c>
      <c r="G176" s="11" t="s">
        <v>170</v>
      </c>
      <c r="H176" s="11" t="s">
        <v>634</v>
      </c>
      <c r="I176" s="11" t="s">
        <v>635</v>
      </c>
    </row>
    <row r="177" customFormat="false" ht="17.15" hidden="false" customHeight="false" outlineLevel="0" collapsed="false">
      <c r="A177" s="0" t="s">
        <v>636</v>
      </c>
      <c r="B177" s="1" t="s">
        <v>637</v>
      </c>
      <c r="C177" s="0" t="s">
        <v>75</v>
      </c>
      <c r="D177" s="10" t="n">
        <v>19.06</v>
      </c>
      <c r="E177" s="10" t="n">
        <v>19.76</v>
      </c>
      <c r="F177" s="10" t="n">
        <v>20.7</v>
      </c>
      <c r="G177" s="11" t="s">
        <v>170</v>
      </c>
      <c r="H177" s="11" t="s">
        <v>638</v>
      </c>
      <c r="I177" s="11" t="s">
        <v>639</v>
      </c>
    </row>
    <row r="178" customFormat="false" ht="17.15" hidden="false" customHeight="false" outlineLevel="0" collapsed="false">
      <c r="A178" s="0" t="s">
        <v>640</v>
      </c>
      <c r="B178" s="1" t="s">
        <v>641</v>
      </c>
      <c r="C178" s="0" t="s">
        <v>98</v>
      </c>
      <c r="E178" s="10" t="n">
        <v>467.955</v>
      </c>
      <c r="G178" s="11" t="s">
        <v>170</v>
      </c>
      <c r="H178" s="11" t="s">
        <v>642</v>
      </c>
      <c r="I178" s="11" t="s">
        <v>87</v>
      </c>
    </row>
    <row r="179" customFormat="false" ht="17.15" hidden="false" customHeight="false" outlineLevel="0" collapsed="false">
      <c r="A179" s="0" t="s">
        <v>643</v>
      </c>
      <c r="B179" s="1" t="s">
        <v>644</v>
      </c>
      <c r="C179" s="0" t="s">
        <v>98</v>
      </c>
      <c r="E179" s="10" t="n">
        <v>569.502</v>
      </c>
      <c r="G179" s="11" t="s">
        <v>170</v>
      </c>
      <c r="H179" s="11" t="s">
        <v>642</v>
      </c>
      <c r="I179" s="11" t="s">
        <v>87</v>
      </c>
    </row>
    <row r="180" customFormat="false" ht="17.15" hidden="false" customHeight="false" outlineLevel="0" collapsed="false">
      <c r="A180" s="0" t="s">
        <v>645</v>
      </c>
      <c r="B180" s="1" t="s">
        <v>646</v>
      </c>
      <c r="C180" s="0" t="s">
        <v>98</v>
      </c>
      <c r="E180" s="10" t="n">
        <v>182.305</v>
      </c>
      <c r="G180" s="11" t="s">
        <v>170</v>
      </c>
      <c r="H180" s="11" t="s">
        <v>642</v>
      </c>
      <c r="I180" s="11" t="s">
        <v>647</v>
      </c>
    </row>
    <row r="181" customFormat="false" ht="17.15" hidden="false" customHeight="false" outlineLevel="0" collapsed="false">
      <c r="A181" s="0" t="s">
        <v>648</v>
      </c>
      <c r="B181" s="1" t="s">
        <v>649</v>
      </c>
      <c r="C181" s="0" t="s">
        <v>98</v>
      </c>
      <c r="E181" s="10" t="n">
        <v>192.827</v>
      </c>
      <c r="G181" s="11" t="s">
        <v>170</v>
      </c>
      <c r="H181" s="11" t="s">
        <v>650</v>
      </c>
      <c r="I181" s="1" t="s">
        <v>651</v>
      </c>
    </row>
    <row r="182" customFormat="false" ht="17.15" hidden="false" customHeight="false" outlineLevel="0" collapsed="false">
      <c r="A182" s="0" t="s">
        <v>652</v>
      </c>
      <c r="B182" s="1" t="s">
        <v>653</v>
      </c>
      <c r="C182" s="0" t="s">
        <v>98</v>
      </c>
      <c r="E182" s="10" t="n">
        <v>217.245</v>
      </c>
      <c r="G182" s="11" t="s">
        <v>170</v>
      </c>
      <c r="H182" s="11" t="s">
        <v>642</v>
      </c>
      <c r="I182" s="11" t="s">
        <v>647</v>
      </c>
    </row>
    <row r="183" customFormat="false" ht="17.15" hidden="false" customHeight="false" outlineLevel="0" collapsed="false">
      <c r="A183" s="0" t="s">
        <v>654</v>
      </c>
      <c r="B183" s="1" t="s">
        <v>655</v>
      </c>
      <c r="C183" s="0" t="s">
        <v>98</v>
      </c>
      <c r="E183" s="10" t="n">
        <v>216.787</v>
      </c>
      <c r="G183" s="11" t="s">
        <v>170</v>
      </c>
      <c r="H183" s="11" t="s">
        <v>650</v>
      </c>
      <c r="I183" s="1" t="s">
        <v>651</v>
      </c>
    </row>
    <row r="184" customFormat="false" ht="17.15" hidden="false" customHeight="false" outlineLevel="0" collapsed="false">
      <c r="A184" s="0" t="s">
        <v>656</v>
      </c>
      <c r="B184" s="1" t="s">
        <v>657</v>
      </c>
      <c r="C184" s="0" t="s">
        <v>98</v>
      </c>
      <c r="E184" s="10" t="n">
        <v>262.608</v>
      </c>
      <c r="G184" s="11" t="s">
        <v>170</v>
      </c>
      <c r="H184" s="11" t="s">
        <v>642</v>
      </c>
      <c r="I184" s="11" t="s">
        <v>647</v>
      </c>
    </row>
    <row r="185" customFormat="false" ht="17.15" hidden="false" customHeight="false" outlineLevel="0" collapsed="false">
      <c r="A185" s="0" t="s">
        <v>658</v>
      </c>
      <c r="B185" s="1" t="s">
        <v>659</v>
      </c>
      <c r="C185" s="0" t="s">
        <v>98</v>
      </c>
      <c r="E185" s="10" t="n">
        <v>251.173</v>
      </c>
      <c r="G185" s="11" t="s">
        <v>170</v>
      </c>
      <c r="H185" s="11" t="s">
        <v>650</v>
      </c>
      <c r="I185" s="1" t="s">
        <v>651</v>
      </c>
    </row>
    <row r="186" customFormat="false" ht="17.15" hidden="false" customHeight="false" outlineLevel="0" collapsed="false">
      <c r="A186" s="0" t="s">
        <v>660</v>
      </c>
      <c r="B186" s="1" t="s">
        <v>661</v>
      </c>
      <c r="C186" s="0" t="s">
        <v>75</v>
      </c>
      <c r="E186" s="10" t="n">
        <v>23.6</v>
      </c>
      <c r="G186" s="11" t="s">
        <v>170</v>
      </c>
      <c r="H186" s="11" t="s">
        <v>650</v>
      </c>
      <c r="I186" s="11" t="s">
        <v>87</v>
      </c>
    </row>
    <row r="187" customFormat="false" ht="17.15" hidden="false" customHeight="false" outlineLevel="0" collapsed="false">
      <c r="A187" s="0" t="s">
        <v>662</v>
      </c>
      <c r="B187" s="1" t="s">
        <v>663</v>
      </c>
      <c r="C187" s="0" t="s">
        <v>75</v>
      </c>
      <c r="E187" s="10" t="n">
        <v>29.03</v>
      </c>
      <c r="G187" s="11" t="s">
        <v>170</v>
      </c>
      <c r="H187" s="11" t="s">
        <v>650</v>
      </c>
      <c r="I187" s="11" t="s">
        <v>87</v>
      </c>
    </row>
    <row r="188" customFormat="false" ht="17.15" hidden="false" customHeight="false" outlineLevel="0" collapsed="false">
      <c r="A188" s="0" t="s">
        <v>664</v>
      </c>
      <c r="B188" s="0" t="s">
        <v>665</v>
      </c>
      <c r="C188" s="0" t="s">
        <v>98</v>
      </c>
      <c r="D188" s="10" t="n">
        <v>89.85</v>
      </c>
      <c r="E188" s="10" t="n">
        <v>90.4</v>
      </c>
      <c r="F188" s="10" t="n">
        <v>90.95</v>
      </c>
      <c r="G188" s="11" t="s">
        <v>170</v>
      </c>
      <c r="H188" s="1" t="s">
        <v>666</v>
      </c>
      <c r="I188" s="11" t="s">
        <v>87</v>
      </c>
    </row>
    <row r="189" customFormat="false" ht="17.15" hidden="false" customHeight="false" outlineLevel="0" collapsed="false">
      <c r="A189" s="0" t="s">
        <v>667</v>
      </c>
      <c r="B189" s="0" t="s">
        <v>668</v>
      </c>
      <c r="C189" s="0" t="s">
        <v>98</v>
      </c>
      <c r="D189" s="10" t="n">
        <v>75.15</v>
      </c>
      <c r="E189" s="10" t="n">
        <v>75.45</v>
      </c>
      <c r="F189" s="10" t="n">
        <v>75.75</v>
      </c>
      <c r="G189" s="11" t="s">
        <v>170</v>
      </c>
      <c r="H189" s="1" t="s">
        <v>669</v>
      </c>
      <c r="I189" s="11" t="s">
        <v>87</v>
      </c>
    </row>
    <row r="190" customFormat="false" ht="17.15" hidden="false" customHeight="false" outlineLevel="0" collapsed="false">
      <c r="A190" s="0" t="s">
        <v>670</v>
      </c>
      <c r="B190" s="0" t="s">
        <v>671</v>
      </c>
      <c r="C190" s="0" t="s">
        <v>98</v>
      </c>
      <c r="D190" s="10" t="n">
        <v>14.7</v>
      </c>
      <c r="E190" s="10" t="n">
        <v>14.95</v>
      </c>
      <c r="F190" s="10" t="n">
        <v>15.2</v>
      </c>
      <c r="G190" s="11" t="s">
        <v>170</v>
      </c>
      <c r="H190" s="1" t="s">
        <v>672</v>
      </c>
      <c r="I190" s="11" t="s">
        <v>87</v>
      </c>
    </row>
    <row r="191" customFormat="false" ht="17.15" hidden="false" customHeight="false" outlineLevel="0" collapsed="false">
      <c r="A191" s="0" t="s">
        <v>673</v>
      </c>
      <c r="B191" s="0" t="s">
        <v>674</v>
      </c>
      <c r="C191" s="0" t="s">
        <v>129</v>
      </c>
      <c r="D191" s="12" t="n">
        <v>0.44</v>
      </c>
      <c r="E191" s="12" t="n">
        <v>0.445</v>
      </c>
      <c r="F191" s="12" t="n">
        <v>0.45</v>
      </c>
      <c r="G191" s="11" t="s">
        <v>170</v>
      </c>
      <c r="H191" s="1" t="s">
        <v>675</v>
      </c>
      <c r="I191" s="11" t="s">
        <v>87</v>
      </c>
    </row>
    <row r="192" customFormat="false" ht="17.15" hidden="false" customHeight="false" outlineLevel="0" collapsed="false">
      <c r="A192" s="0" t="s">
        <v>676</v>
      </c>
      <c r="B192" s="0" t="s">
        <v>677</v>
      </c>
      <c r="C192" s="0" t="s">
        <v>98</v>
      </c>
      <c r="E192" s="10" t="n">
        <v>50</v>
      </c>
      <c r="G192" s="11" t="s">
        <v>170</v>
      </c>
      <c r="H192" s="1" t="s">
        <v>678</v>
      </c>
      <c r="I192" s="11" t="s">
        <v>87</v>
      </c>
    </row>
    <row r="193" customFormat="false" ht="17.15" hidden="false" customHeight="false" outlineLevel="0" collapsed="false">
      <c r="A193" s="0" t="s">
        <v>679</v>
      </c>
      <c r="B193" s="0" t="s">
        <v>680</v>
      </c>
      <c r="C193" s="0" t="s">
        <v>209</v>
      </c>
      <c r="E193" s="12" t="n">
        <v>-0.01</v>
      </c>
      <c r="G193" s="11" t="s">
        <v>170</v>
      </c>
      <c r="H193" s="1" t="s">
        <v>681</v>
      </c>
      <c r="I193" s="11" t="s">
        <v>87</v>
      </c>
    </row>
    <row r="194" customFormat="false" ht="17.15" hidden="false" customHeight="false" outlineLevel="0" collapsed="false">
      <c r="A194" s="0" t="s">
        <v>682</v>
      </c>
      <c r="B194" s="1" t="s">
        <v>683</v>
      </c>
      <c r="C194" s="0" t="s">
        <v>98</v>
      </c>
      <c r="E194" s="10" t="n">
        <v>37</v>
      </c>
      <c r="G194" s="11" t="s">
        <v>170</v>
      </c>
      <c r="H194" s="1" t="s">
        <v>684</v>
      </c>
      <c r="I194" s="11" t="s">
        <v>685</v>
      </c>
    </row>
    <row r="195" customFormat="false" ht="17.15" hidden="false" customHeight="false" outlineLevel="0" collapsed="false">
      <c r="A195" s="9" t="s">
        <v>686</v>
      </c>
    </row>
    <row r="196" customFormat="false" ht="17.15" hidden="false" customHeight="false" outlineLevel="0" collapsed="false">
      <c r="A196" s="0" t="s">
        <v>687</v>
      </c>
      <c r="B196" s="0" t="s">
        <v>688</v>
      </c>
      <c r="C196" s="0" t="s">
        <v>75</v>
      </c>
      <c r="D196" s="10" t="n">
        <v>360.16</v>
      </c>
      <c r="E196" s="10" t="n">
        <v>359.06</v>
      </c>
      <c r="F196" s="10" t="n">
        <v>380.56</v>
      </c>
      <c r="G196" s="11" t="s">
        <v>90</v>
      </c>
      <c r="H196" s="11" t="s">
        <v>689</v>
      </c>
      <c r="I196" s="1" t="s">
        <v>690</v>
      </c>
    </row>
    <row r="197" customFormat="false" ht="17.15" hidden="false" customHeight="false" outlineLevel="0" collapsed="false">
      <c r="A197" s="0" t="s">
        <v>691</v>
      </c>
      <c r="B197" s="0" t="s">
        <v>692</v>
      </c>
      <c r="C197" s="0" t="s">
        <v>75</v>
      </c>
      <c r="E197" s="10" t="n">
        <v>324.13</v>
      </c>
      <c r="G197" s="11" t="s">
        <v>90</v>
      </c>
      <c r="H197" s="11" t="s">
        <v>693</v>
      </c>
      <c r="I197" s="11" t="s">
        <v>87</v>
      </c>
    </row>
    <row r="198" customFormat="false" ht="17.15" hidden="false" customHeight="false" outlineLevel="0" collapsed="false">
      <c r="A198" s="0" t="s">
        <v>694</v>
      </c>
      <c r="B198" s="0" t="s">
        <v>695</v>
      </c>
      <c r="C198" s="0" t="s">
        <v>75</v>
      </c>
      <c r="E198" s="10" t="n">
        <v>387.64</v>
      </c>
      <c r="G198" s="11" t="s">
        <v>90</v>
      </c>
      <c r="H198" s="11" t="s">
        <v>693</v>
      </c>
      <c r="I198" s="11" t="s">
        <v>87</v>
      </c>
    </row>
    <row r="199" customFormat="false" ht="17.15" hidden="false" customHeight="false" outlineLevel="0" collapsed="false">
      <c r="A199" s="0" t="s">
        <v>696</v>
      </c>
      <c r="B199" s="0" t="s">
        <v>697</v>
      </c>
      <c r="C199" s="0" t="s">
        <v>129</v>
      </c>
      <c r="E199" s="12" t="n">
        <v>0.45</v>
      </c>
      <c r="G199" s="11" t="s">
        <v>90</v>
      </c>
      <c r="H199" s="11" t="s">
        <v>698</v>
      </c>
      <c r="I199" s="11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3" min="2" style="0" width="13"/>
    <col collapsed="false" customWidth="true" hidden="false" outlineLevel="0" max="14" min="14" style="0" width="16"/>
    <col collapsed="false" customWidth="true" hidden="false" outlineLevel="0" max="15" min="15" style="0" width="70"/>
  </cols>
  <sheetData>
    <row r="1" customFormat="false" ht="17.15" hidden="false" customHeight="false" outlineLevel="0" collapsed="false">
      <c r="A1" s="0" t="s">
        <v>699</v>
      </c>
    </row>
    <row r="2" customFormat="false" ht="17.15" hidden="false" customHeight="false" outlineLevel="0" collapsed="false">
      <c r="A2" s="0" t="s">
        <v>700</v>
      </c>
    </row>
    <row r="3" customFormat="false" ht="17.15" hidden="false" customHeight="false" outlineLevel="0" collapsed="false">
      <c r="A3" s="4" t="s">
        <v>43</v>
      </c>
      <c r="B3" s="20" t="s">
        <v>701</v>
      </c>
      <c r="C3" s="20" t="s">
        <v>702</v>
      </c>
      <c r="D3" s="20" t="s">
        <v>703</v>
      </c>
      <c r="E3" s="20" t="s">
        <v>704</v>
      </c>
      <c r="F3" s="20" t="s">
        <v>705</v>
      </c>
      <c r="G3" s="20" t="s">
        <v>706</v>
      </c>
      <c r="H3" s="20" t="s">
        <v>707</v>
      </c>
      <c r="I3" s="20" t="s">
        <v>708</v>
      </c>
      <c r="J3" s="20" t="s">
        <v>709</v>
      </c>
      <c r="K3" s="20" t="s">
        <v>710</v>
      </c>
      <c r="L3" s="20" t="s">
        <v>711</v>
      </c>
      <c r="M3" s="20" t="s">
        <v>712</v>
      </c>
      <c r="N3" s="4" t="s">
        <v>69</v>
      </c>
      <c r="O3" s="4" t="s">
        <v>713</v>
      </c>
    </row>
    <row r="4" customFormat="false" ht="17.15" hidden="false" customHeight="false" outlineLevel="0" collapsed="false">
      <c r="A4" s="9" t="s">
        <v>714</v>
      </c>
    </row>
    <row r="5" customFormat="false" ht="17.15" hidden="false" customHeight="false" outlineLevel="0" collapsed="false">
      <c r="A5" s="0" t="s">
        <v>715</v>
      </c>
      <c r="B5" s="21" t="n">
        <v>50.476</v>
      </c>
      <c r="C5" s="21" t="n">
        <v>52.766</v>
      </c>
      <c r="D5" s="21" t="n">
        <v>54.763</v>
      </c>
      <c r="E5" s="21" t="n">
        <v>60.778</v>
      </c>
      <c r="F5" s="21" t="n">
        <v>61.672</v>
      </c>
      <c r="G5" s="21" t="n">
        <v>64.441</v>
      </c>
      <c r="H5" s="21" t="n">
        <v>67.438</v>
      </c>
      <c r="I5" s="21" t="n">
        <v>74.576</v>
      </c>
      <c r="J5" s="22" t="n">
        <f aca="false">SUM(B5:E5)</f>
        <v>218.783</v>
      </c>
      <c r="K5" s="22" t="n">
        <f aca="false">SUM(F5:I5)</f>
        <v>268.127</v>
      </c>
      <c r="L5" s="21" t="n">
        <v>218.783</v>
      </c>
      <c r="M5" s="21" t="n">
        <v>268.127</v>
      </c>
      <c r="N5" s="11" t="s">
        <v>76</v>
      </c>
      <c r="O5" s="11" t="s">
        <v>716</v>
      </c>
    </row>
    <row r="6" customFormat="false" ht="17.15" hidden="false" customHeight="false" outlineLevel="0" collapsed="false">
      <c r="A6" s="0" t="s">
        <v>717</v>
      </c>
      <c r="B6" s="21" t="n">
        <v>16.021</v>
      </c>
      <c r="C6" s="21" t="n">
        <v>17.337</v>
      </c>
      <c r="D6" s="21" t="n">
        <v>18.54</v>
      </c>
      <c r="E6" s="21" t="n">
        <v>20.712</v>
      </c>
      <c r="F6" s="21" t="n">
        <v>22.384</v>
      </c>
      <c r="G6" s="21" t="n">
        <v>24.129</v>
      </c>
      <c r="H6" s="21" t="n">
        <v>26.008</v>
      </c>
      <c r="I6" s="21" t="n">
        <v>29.417</v>
      </c>
      <c r="J6" s="22" t="n">
        <f aca="false">SUM(B6:E6)</f>
        <v>72.61</v>
      </c>
      <c r="K6" s="22" t="n">
        <f aca="false">SUM(F6:I6)</f>
        <v>101.938</v>
      </c>
      <c r="L6" s="21" t="n">
        <v>72.61</v>
      </c>
      <c r="M6" s="21" t="n">
        <v>101.938</v>
      </c>
      <c r="N6" s="11" t="s">
        <v>76</v>
      </c>
      <c r="O6" s="11" t="s">
        <v>718</v>
      </c>
    </row>
    <row r="7" customFormat="false" ht="17.15" hidden="false" customHeight="false" outlineLevel="0" collapsed="false">
      <c r="A7" s="0" t="s">
        <v>719</v>
      </c>
      <c r="B7" s="21" t="n">
        <v>20.017</v>
      </c>
      <c r="C7" s="21" t="n">
        <v>20.686</v>
      </c>
      <c r="D7" s="21" t="n">
        <v>20.967</v>
      </c>
      <c r="E7" s="21" t="n">
        <v>22.935</v>
      </c>
      <c r="F7" s="21" t="n">
        <v>23.694</v>
      </c>
      <c r="G7" s="21" t="n">
        <v>24.466</v>
      </c>
      <c r="H7" s="21" t="n">
        <v>25.418</v>
      </c>
      <c r="I7" s="21" t="n">
        <v>26.721</v>
      </c>
      <c r="J7" s="22" t="n">
        <f aca="false">SUM(B7:E7)</f>
        <v>84.605</v>
      </c>
      <c r="K7" s="22" t="n">
        <f aca="false">SUM(F7:I7)</f>
        <v>100.299</v>
      </c>
      <c r="L7" s="21" t="n">
        <v>84.605</v>
      </c>
      <c r="M7" s="21" t="n">
        <v>100.299</v>
      </c>
      <c r="N7" s="11" t="s">
        <v>76</v>
      </c>
      <c r="O7" s="11" t="s">
        <v>720</v>
      </c>
    </row>
    <row r="8" customFormat="false" ht="17.15" hidden="false" customHeight="false" outlineLevel="0" collapsed="false">
      <c r="A8" s="0" t="s">
        <v>721</v>
      </c>
      <c r="B8" s="21" t="n">
        <v>8.051</v>
      </c>
      <c r="C8" s="21" t="n">
        <v>8.307</v>
      </c>
      <c r="D8" s="21" t="n">
        <v>8.731</v>
      </c>
      <c r="E8" s="21" t="n">
        <v>10.302</v>
      </c>
      <c r="F8" s="21" t="n">
        <v>8.678</v>
      </c>
      <c r="G8" s="21" t="n">
        <v>8.814</v>
      </c>
      <c r="H8" s="21" t="n">
        <v>8.76</v>
      </c>
      <c r="I8" s="21" t="n">
        <v>11.033</v>
      </c>
      <c r="J8" s="22" t="n">
        <f aca="false">SUM(B8:E8)</f>
        <v>35.391</v>
      </c>
      <c r="K8" s="22" t="n">
        <f aca="false">SUM(F8:I8)</f>
        <v>37.285</v>
      </c>
      <c r="L8" s="21" t="n">
        <v>35.391</v>
      </c>
      <c r="M8" s="21" t="n">
        <v>37.285</v>
      </c>
      <c r="N8" s="11" t="s">
        <v>76</v>
      </c>
      <c r="O8" s="11" t="s">
        <v>722</v>
      </c>
    </row>
    <row r="9" customFormat="false" ht="17.15" hidden="false" customHeight="false" outlineLevel="0" collapsed="false">
      <c r="A9" s="0" t="s">
        <v>723</v>
      </c>
      <c r="B9" s="21" t="n">
        <v>4.459</v>
      </c>
      <c r="C9" s="21" t="n">
        <v>4.544</v>
      </c>
      <c r="D9" s="21" t="n">
        <v>4.579</v>
      </c>
      <c r="E9" s="21" t="n">
        <v>4.835</v>
      </c>
      <c r="F9" s="21" t="n">
        <v>4.894</v>
      </c>
      <c r="G9" s="21" t="n">
        <v>4.994</v>
      </c>
      <c r="H9" s="21" t="n">
        <v>5.165</v>
      </c>
      <c r="I9" s="21" t="n">
        <v>5.292</v>
      </c>
      <c r="J9" s="22" t="n">
        <f aca="false">SUM(B9:E9)</f>
        <v>18.417</v>
      </c>
      <c r="K9" s="22" t="n">
        <f aca="false">SUM(F9:I9)</f>
        <v>20.345</v>
      </c>
      <c r="L9" s="21" t="n">
        <v>18.417</v>
      </c>
      <c r="M9" s="21" t="n">
        <v>20.345</v>
      </c>
      <c r="N9" s="11" t="s">
        <v>76</v>
      </c>
      <c r="O9" s="11" t="s">
        <v>724</v>
      </c>
    </row>
    <row r="10" customFormat="false" ht="17.15" hidden="false" customHeight="false" outlineLevel="0" collapsed="false">
      <c r="A10" s="0" t="s">
        <v>725</v>
      </c>
      <c r="B10" s="21" t="n">
        <v>1.928</v>
      </c>
      <c r="C10" s="21" t="n">
        <v>1.892</v>
      </c>
      <c r="D10" s="21" t="n">
        <v>1.946</v>
      </c>
      <c r="E10" s="21" t="n">
        <v>1.994</v>
      </c>
      <c r="F10" s="21" t="n">
        <v>2.022</v>
      </c>
      <c r="G10" s="21" t="n">
        <v>2.038</v>
      </c>
      <c r="H10" s="21" t="n">
        <v>2.087</v>
      </c>
      <c r="I10" s="21" t="n">
        <v>2.113</v>
      </c>
      <c r="J10" s="22" t="n">
        <f aca="false">SUM(B10:E10)</f>
        <v>7.76</v>
      </c>
      <c r="K10" s="22" t="n">
        <f aca="false">SUM(F10:I10)</f>
        <v>8.26</v>
      </c>
      <c r="L10" s="21" t="n">
        <v>7.76</v>
      </c>
      <c r="M10" s="21" t="n">
        <v>8.26</v>
      </c>
      <c r="N10" s="11" t="s">
        <v>76</v>
      </c>
      <c r="O10" s="11" t="s">
        <v>726</v>
      </c>
    </row>
    <row r="11" customFormat="false" ht="17.15" hidden="false" customHeight="false" outlineLevel="0" collapsed="false">
      <c r="A11" s="23" t="s">
        <v>727</v>
      </c>
      <c r="B11" s="24" t="n">
        <f aca="false">SUM(B6:B10)-B5</f>
        <v>0</v>
      </c>
      <c r="C11" s="24" t="n">
        <f aca="false">SUM(C6:C10)-C5</f>
        <v>0</v>
      </c>
      <c r="D11" s="24" t="n">
        <f aca="false">SUM(D6:D10)-D5</f>
        <v>0</v>
      </c>
      <c r="E11" s="24" t="n">
        <f aca="false">SUM(E6:E10)-E5</f>
        <v>0</v>
      </c>
      <c r="F11" s="24" t="n">
        <f aca="false">SUM(F6:F10)-F5</f>
        <v>0</v>
      </c>
      <c r="G11" s="24" t="n">
        <f aca="false">SUM(G6:G10)-G5</f>
        <v>0</v>
      </c>
      <c r="H11" s="24" t="n">
        <f aca="false">SUM(H6:H10)-H5</f>
        <v>0</v>
      </c>
      <c r="I11" s="24" t="n">
        <f aca="false">SUM(I6:I10)-I5</f>
        <v>0</v>
      </c>
      <c r="J11" s="24" t="n">
        <f aca="false">SUM(J6:J10)-J5</f>
        <v>0</v>
      </c>
      <c r="K11" s="24" t="n">
        <f aca="false">SUM(K6:K10)-K5</f>
        <v>0</v>
      </c>
      <c r="L11" s="24" t="n">
        <f aca="false">SUM(L6:L10)-L5</f>
        <v>0</v>
      </c>
      <c r="M11" s="24" t="n">
        <f aca="false">SUM(M6:M10)-M5</f>
        <v>0</v>
      </c>
      <c r="N11" s="1" t="s">
        <v>728</v>
      </c>
    </row>
    <row r="12" customFormat="false" ht="17.15" hidden="false" customHeight="false" outlineLevel="0" collapsed="false">
      <c r="A12" s="0" t="s">
        <v>729</v>
      </c>
      <c r="B12" s="21" t="n">
        <v>15.109</v>
      </c>
      <c r="C12" s="21" t="n">
        <v>16.866</v>
      </c>
      <c r="D12" s="21" t="n">
        <v>15.303</v>
      </c>
      <c r="E12" s="21" t="n">
        <v>15.663</v>
      </c>
      <c r="F12" s="21" t="n">
        <v>16.001</v>
      </c>
      <c r="G12" s="21" t="n">
        <v>16.832</v>
      </c>
      <c r="H12" s="21" t="n">
        <v>15.448</v>
      </c>
      <c r="I12" s="21" t="n">
        <v>15.431</v>
      </c>
      <c r="J12" s="22" t="n">
        <f aca="false">SUM(B12:E12)</f>
        <v>62.941</v>
      </c>
      <c r="K12" s="22" t="n">
        <f aca="false">SUM(F12:I12)</f>
        <v>63.712</v>
      </c>
      <c r="L12" s="21" t="n">
        <v>62.941</v>
      </c>
      <c r="M12" s="21" t="n">
        <v>63.712</v>
      </c>
      <c r="N12" s="11" t="s">
        <v>76</v>
      </c>
      <c r="O12" s="11" t="s">
        <v>730</v>
      </c>
    </row>
    <row r="13" customFormat="false" ht="17.15" hidden="false" customHeight="false" outlineLevel="0" collapsed="false">
      <c r="A13" s="0" t="s">
        <v>731</v>
      </c>
      <c r="B13" s="21" t="n">
        <v>5.159</v>
      </c>
      <c r="C13" s="21" t="n">
        <v>5.773</v>
      </c>
      <c r="D13" s="21" t="n">
        <v>5.437</v>
      </c>
      <c r="E13" s="21" t="n">
        <v>5.802</v>
      </c>
      <c r="F13" s="21" t="n">
        <v>5.942</v>
      </c>
      <c r="G13" s="21" t="n">
        <v>6.393</v>
      </c>
      <c r="H13" s="21" t="n">
        <v>6.065</v>
      </c>
      <c r="I13" s="21" t="n">
        <v>6.435</v>
      </c>
      <c r="J13" s="22" t="n">
        <f aca="false">SUM(B13:E13)</f>
        <v>22.171</v>
      </c>
      <c r="K13" s="22" t="n">
        <f aca="false">SUM(F13:I13)</f>
        <v>24.835</v>
      </c>
      <c r="L13" s="21" t="n">
        <v>22.171</v>
      </c>
      <c r="M13" s="21" t="n">
        <v>24.835</v>
      </c>
      <c r="N13" s="11" t="s">
        <v>76</v>
      </c>
      <c r="O13" s="11" t="s">
        <v>732</v>
      </c>
    </row>
    <row r="14" customFormat="false" ht="17.15" hidden="false" customHeight="false" outlineLevel="0" collapsed="false">
      <c r="A14" s="0" t="s">
        <v>733</v>
      </c>
      <c r="B14" s="21" t="n">
        <v>5.621</v>
      </c>
      <c r="C14" s="21" t="n">
        <v>6.581</v>
      </c>
      <c r="D14" s="21" t="n">
        <v>5.721</v>
      </c>
      <c r="E14" s="21" t="n">
        <v>5.532</v>
      </c>
      <c r="F14" s="21" t="n">
        <v>5.508</v>
      </c>
      <c r="G14" s="21" t="n">
        <v>5.958</v>
      </c>
      <c r="H14" s="21" t="n">
        <v>5.341</v>
      </c>
      <c r="I14" s="21" t="n">
        <v>4.983</v>
      </c>
      <c r="J14" s="22" t="n">
        <f aca="false">SUM(B14:E14)</f>
        <v>23.455</v>
      </c>
      <c r="K14" s="22" t="n">
        <f aca="false">SUM(F14:I14)</f>
        <v>21.79</v>
      </c>
      <c r="L14" s="21" t="n">
        <v>23.455</v>
      </c>
      <c r="M14" s="21" t="n">
        <v>21.79</v>
      </c>
      <c r="N14" s="11" t="s">
        <v>76</v>
      </c>
      <c r="O14" s="11" t="s">
        <v>734</v>
      </c>
    </row>
    <row r="15" customFormat="false" ht="17.15" hidden="false" customHeight="false" outlineLevel="0" collapsed="false">
      <c r="A15" s="0" t="s">
        <v>735</v>
      </c>
      <c r="B15" s="21" t="n">
        <v>4.329</v>
      </c>
      <c r="C15" s="21" t="n">
        <v>4.512</v>
      </c>
      <c r="D15" s="21" t="n">
        <v>4.145</v>
      </c>
      <c r="E15" s="21" t="n">
        <v>4.329</v>
      </c>
      <c r="F15" s="21" t="n">
        <v>4.551</v>
      </c>
      <c r="G15" s="21" t="n">
        <v>4.481</v>
      </c>
      <c r="H15" s="21" t="n">
        <v>4.042</v>
      </c>
      <c r="I15" s="21" t="n">
        <v>4.013</v>
      </c>
      <c r="J15" s="22" t="n">
        <f aca="false">SUM(B15:E15)</f>
        <v>17.315</v>
      </c>
      <c r="K15" s="22" t="n">
        <f aca="false">SUM(F15:I15)</f>
        <v>17.087</v>
      </c>
      <c r="L15" s="21" t="n">
        <v>17.315</v>
      </c>
      <c r="M15" s="21" t="n">
        <v>17.087</v>
      </c>
      <c r="N15" s="11" t="s">
        <v>76</v>
      </c>
      <c r="O15" s="11" t="s">
        <v>736</v>
      </c>
    </row>
    <row r="16" customFormat="false" ht="17.15" hidden="false" customHeight="false" outlineLevel="0" collapsed="false">
      <c r="A16" s="23" t="s">
        <v>737</v>
      </c>
      <c r="B16" s="24" t="n">
        <f aca="false">SUM(B13:B15)-B12</f>
        <v>0</v>
      </c>
      <c r="C16" s="24" t="n">
        <f aca="false">SUM(C13:C15)-C12</f>
        <v>0</v>
      </c>
      <c r="D16" s="24" t="n">
        <f aca="false">SUM(D13:D15)-D12</f>
        <v>0</v>
      </c>
      <c r="E16" s="24" t="n">
        <f aca="false">SUM(E13:E15)-E12</f>
        <v>0</v>
      </c>
      <c r="F16" s="24" t="n">
        <f aca="false">SUM(F13:F15)-F12</f>
        <v>0</v>
      </c>
      <c r="G16" s="24" t="n">
        <f aca="false">SUM(G13:G15)-G12</f>
        <v>0</v>
      </c>
      <c r="H16" s="24" t="n">
        <f aca="false">SUM(H13:H15)-H12</f>
        <v>0</v>
      </c>
      <c r="I16" s="24" t="n">
        <f aca="false">SUM(I13:I15)-I12</f>
        <v>0</v>
      </c>
      <c r="J16" s="24" t="n">
        <f aca="false">SUM(J13:J15)-J12</f>
        <v>0</v>
      </c>
      <c r="K16" s="24" t="n">
        <f aca="false">SUM(K13:K15)-K12</f>
        <v>0</v>
      </c>
      <c r="L16" s="24" t="n">
        <f aca="false">SUM(L13:L15)-L12</f>
        <v>0</v>
      </c>
      <c r="M16" s="24" t="n">
        <f aca="false">SUM(M13:M15)-M12</f>
        <v>0</v>
      </c>
      <c r="N16" s="1" t="s">
        <v>728</v>
      </c>
    </row>
    <row r="17" customFormat="false" ht="15" hidden="false" customHeight="false" outlineLevel="0" collapsed="false">
      <c r="A17" s="1" t="s">
        <v>738</v>
      </c>
      <c r="B17" s="22" t="n">
        <f aca="false">B5+B12</f>
        <v>65.585</v>
      </c>
      <c r="C17" s="22" t="n">
        <f aca="false">C5+C12</f>
        <v>69.632</v>
      </c>
      <c r="D17" s="22" t="n">
        <f aca="false">D5+D12</f>
        <v>70.066</v>
      </c>
      <c r="E17" s="22" t="n">
        <f aca="false">E5+E12</f>
        <v>76.441</v>
      </c>
      <c r="F17" s="22" t="n">
        <f aca="false">F5+F12</f>
        <v>77.673</v>
      </c>
      <c r="G17" s="22" t="n">
        <f aca="false">G5+G12</f>
        <v>81.273</v>
      </c>
      <c r="H17" s="22" t="n">
        <f aca="false">H5+H12</f>
        <v>82.886</v>
      </c>
      <c r="I17" s="22" t="n">
        <f aca="false">I5+I12</f>
        <v>90.007</v>
      </c>
      <c r="J17" s="22" t="n">
        <f aca="false">SUM(B17:E17)</f>
        <v>281.724</v>
      </c>
      <c r="K17" s="22" t="n">
        <f aca="false">SUM(F17:I17)</f>
        <v>331.839</v>
      </c>
      <c r="L17" s="22" t="n">
        <f aca="false">L5+L12</f>
        <v>281.724</v>
      </c>
      <c r="M17" s="22" t="n">
        <f aca="false">M5+M12</f>
        <v>331.839</v>
      </c>
      <c r="N17" s="11" t="s">
        <v>90</v>
      </c>
    </row>
    <row r="18" customFormat="false" ht="17.15" hidden="false" customHeight="false" outlineLevel="0" collapsed="false">
      <c r="A18" s="1" t="s">
        <v>739</v>
      </c>
      <c r="B18" s="21" t="n">
        <v>65.585</v>
      </c>
      <c r="C18" s="21" t="n">
        <v>69.632</v>
      </c>
      <c r="D18" s="21" t="n">
        <v>70.066</v>
      </c>
      <c r="E18" s="21" t="n">
        <v>76.441</v>
      </c>
      <c r="F18" s="21" t="n">
        <v>77.673</v>
      </c>
      <c r="G18" s="21" t="n">
        <v>81.273</v>
      </c>
      <c r="H18" s="21" t="n">
        <v>82.886</v>
      </c>
      <c r="I18" s="21" t="n">
        <v>90.007</v>
      </c>
      <c r="J18" s="22" t="n">
        <f aca="false">SUM(B18:E18)</f>
        <v>281.724</v>
      </c>
      <c r="K18" s="22" t="n">
        <f aca="false">SUM(F18:I18)</f>
        <v>331.839</v>
      </c>
      <c r="L18" s="21" t="n">
        <v>281.724</v>
      </c>
      <c r="M18" s="21" t="n">
        <v>331.839</v>
      </c>
      <c r="N18" s="11" t="s">
        <v>76</v>
      </c>
      <c r="O18" s="1" t="s">
        <v>740</v>
      </c>
    </row>
    <row r="19" customFormat="false" ht="15" hidden="false" customHeight="false" outlineLevel="0" collapsed="false">
      <c r="A19" s="23" t="s">
        <v>741</v>
      </c>
      <c r="B19" s="24" t="n">
        <f aca="false">B17-B18</f>
        <v>0</v>
      </c>
      <c r="C19" s="24" t="n">
        <f aca="false">C17-C18</f>
        <v>0</v>
      </c>
      <c r="D19" s="24" t="n">
        <f aca="false">D17-D18</f>
        <v>0</v>
      </c>
      <c r="E19" s="24" t="n">
        <f aca="false">E17-E18</f>
        <v>0</v>
      </c>
      <c r="F19" s="24" t="n">
        <f aca="false">F17-F18</f>
        <v>0</v>
      </c>
      <c r="G19" s="24" t="n">
        <f aca="false">G17-G18</f>
        <v>0</v>
      </c>
      <c r="H19" s="24" t="n">
        <f aca="false">H17-H18</f>
        <v>0</v>
      </c>
      <c r="I19" s="24" t="n">
        <f aca="false">I17-I18</f>
        <v>0</v>
      </c>
      <c r="J19" s="24" t="n">
        <f aca="false">J17-J18</f>
        <v>0</v>
      </c>
      <c r="K19" s="24" t="n">
        <f aca="false">K17-K18</f>
        <v>0</v>
      </c>
      <c r="L19" s="24" t="n">
        <f aca="false">L17-L18</f>
        <v>0</v>
      </c>
      <c r="M19" s="24" t="n">
        <f aca="false">M17-M18</f>
        <v>0</v>
      </c>
      <c r="N19" s="1" t="s">
        <v>728</v>
      </c>
    </row>
    <row r="20" customFormat="false" ht="17.15" hidden="false" customHeight="false" outlineLevel="0" collapsed="false">
      <c r="A20" s="9" t="s">
        <v>742</v>
      </c>
    </row>
    <row r="21" customFormat="false" ht="17.15" hidden="false" customHeight="false" outlineLevel="0" collapsed="false">
      <c r="A21" s="0" t="s">
        <v>743</v>
      </c>
      <c r="B21" s="21" t="n">
        <v>26.171</v>
      </c>
      <c r="C21" s="21" t="n">
        <v>26.718</v>
      </c>
      <c r="D21" s="21" t="n">
        <v>27.704</v>
      </c>
      <c r="E21" s="21" t="n">
        <v>30.221</v>
      </c>
      <c r="F21" s="21" t="n">
        <v>32.718</v>
      </c>
      <c r="G21" s="21" t="n">
        <v>33.167</v>
      </c>
      <c r="H21" s="21" t="n">
        <v>33.748</v>
      </c>
      <c r="I21" s="21" t="n">
        <v>36.732</v>
      </c>
      <c r="J21" s="22" t="n">
        <f aca="false">SUM(B21:E21)</f>
        <v>110.814</v>
      </c>
      <c r="K21" s="22" t="n">
        <f aca="false">SUM(F21:I21)</f>
        <v>136.365</v>
      </c>
      <c r="L21" s="21" t="n">
        <v>110.814</v>
      </c>
      <c r="M21" s="21" t="n">
        <v>136.365</v>
      </c>
      <c r="N21" s="11" t="s">
        <v>76</v>
      </c>
      <c r="O21" s="11" t="s">
        <v>744</v>
      </c>
    </row>
    <row r="22" customFormat="false" ht="17.15" hidden="false" customHeight="false" outlineLevel="0" collapsed="false">
      <c r="A22" s="0" t="s">
        <v>745</v>
      </c>
      <c r="B22" s="21" t="n">
        <v>4.381</v>
      </c>
      <c r="C22" s="21" t="n">
        <v>4.935</v>
      </c>
      <c r="D22" s="21" t="n">
        <v>4.296</v>
      </c>
      <c r="E22" s="21" t="n">
        <v>4.102</v>
      </c>
      <c r="F22" s="21" t="n">
        <v>5.243</v>
      </c>
      <c r="G22" s="21" t="n">
        <v>5.108</v>
      </c>
      <c r="H22" s="21" t="n">
        <v>4.65</v>
      </c>
      <c r="I22" s="21" t="n">
        <v>3.871</v>
      </c>
      <c r="J22" s="22" t="n">
        <f aca="false">SUM(B22:E22)</f>
        <v>17.714</v>
      </c>
      <c r="K22" s="22" t="n">
        <f aca="false">SUM(F22:I22)</f>
        <v>18.872</v>
      </c>
      <c r="L22" s="21" t="n">
        <v>17.714</v>
      </c>
      <c r="M22" s="21" t="n">
        <v>18.872</v>
      </c>
      <c r="N22" s="11" t="s">
        <v>76</v>
      </c>
      <c r="O22" s="11" t="s">
        <v>746</v>
      </c>
    </row>
    <row r="23" customFormat="false" ht="17.15" hidden="false" customHeight="false" outlineLevel="0" collapsed="false">
      <c r="A23" s="1" t="s">
        <v>747</v>
      </c>
      <c r="B23" s="21" t="n">
        <v>30.552</v>
      </c>
      <c r="C23" s="21" t="n">
        <v>31.653</v>
      </c>
      <c r="D23" s="21" t="n">
        <v>32</v>
      </c>
      <c r="E23" s="21" t="n">
        <v>34.323</v>
      </c>
      <c r="F23" s="21" t="n">
        <v>37.961</v>
      </c>
      <c r="G23" s="21" t="n">
        <v>38.275</v>
      </c>
      <c r="H23" s="21" t="n">
        <v>38.398</v>
      </c>
      <c r="I23" s="21" t="n">
        <v>40.603</v>
      </c>
      <c r="J23" s="22" t="n">
        <f aca="false">SUM(B23:E23)</f>
        <v>128.528</v>
      </c>
      <c r="K23" s="22" t="n">
        <f aca="false">SUM(F23:I23)</f>
        <v>155.237</v>
      </c>
      <c r="L23" s="21" t="n">
        <v>128.528</v>
      </c>
      <c r="M23" s="21" t="n">
        <v>155.237</v>
      </c>
      <c r="N23" s="11" t="s">
        <v>76</v>
      </c>
      <c r="O23" s="1" t="s">
        <v>748</v>
      </c>
    </row>
    <row r="24" customFormat="false" ht="17.15" hidden="false" customHeight="false" outlineLevel="0" collapsed="false">
      <c r="A24" s="23" t="s">
        <v>749</v>
      </c>
      <c r="B24" s="24" t="n">
        <f aca="false">B21+B22-B23</f>
        <v>0</v>
      </c>
      <c r="C24" s="24" t="n">
        <f aca="false">C21+C22-C23</f>
        <v>0</v>
      </c>
      <c r="D24" s="24" t="n">
        <f aca="false">D21+D22-D23</f>
        <v>0</v>
      </c>
      <c r="E24" s="24" t="n">
        <f aca="false">E21+E22-E23</f>
        <v>0</v>
      </c>
      <c r="F24" s="24" t="n">
        <f aca="false">F21+F22-F23</f>
        <v>0</v>
      </c>
      <c r="G24" s="24" t="n">
        <f aca="false">G21+G22-G23</f>
        <v>0</v>
      </c>
      <c r="H24" s="24" t="n">
        <f aca="false">H21+H22-H23</f>
        <v>0</v>
      </c>
      <c r="I24" s="24" t="n">
        <f aca="false">I21+I22-I23</f>
        <v>0</v>
      </c>
      <c r="J24" s="24" t="n">
        <f aca="false">J21+J22-J23</f>
        <v>0</v>
      </c>
      <c r="K24" s="24" t="n">
        <f aca="false">K21+K22-K23</f>
        <v>0</v>
      </c>
      <c r="L24" s="24" t="n">
        <f aca="false">L21+L22-L23</f>
        <v>0</v>
      </c>
      <c r="M24" s="24" t="n">
        <f aca="false">M21+M22-M23</f>
        <v>0</v>
      </c>
      <c r="N24" s="1" t="s">
        <v>728</v>
      </c>
    </row>
    <row r="25" customFormat="false" ht="17.15" hidden="false" customHeight="false" outlineLevel="0" collapsed="false">
      <c r="A25" s="9" t="s">
        <v>750</v>
      </c>
    </row>
    <row r="26" customFormat="false" ht="17.15" hidden="false" customHeight="false" outlineLevel="0" collapsed="false">
      <c r="A26" s="1" t="s">
        <v>751</v>
      </c>
      <c r="B26" s="21" t="n">
        <v>24.667</v>
      </c>
      <c r="C26" s="21" t="n">
        <v>24.108</v>
      </c>
      <c r="D26" s="21" t="n">
        <v>25.824</v>
      </c>
      <c r="E26" s="21" t="n">
        <v>27.233</v>
      </c>
      <c r="F26" s="21" t="n">
        <v>27.747</v>
      </c>
      <c r="G26" s="21" t="n">
        <v>38.458</v>
      </c>
      <c r="H26" s="21" t="n">
        <v>31.778</v>
      </c>
      <c r="I26" s="21" t="n">
        <v>35.766</v>
      </c>
      <c r="J26" s="22" t="n">
        <f aca="false">SUM(B26:E26)</f>
        <v>101.832</v>
      </c>
      <c r="K26" s="22" t="n">
        <f aca="false">SUM(F26:I26)</f>
        <v>133.749</v>
      </c>
      <c r="L26" s="21" t="n">
        <v>101.832</v>
      </c>
      <c r="M26" s="21" t="n">
        <v>133.749</v>
      </c>
      <c r="N26" s="11" t="s">
        <v>76</v>
      </c>
      <c r="O26" s="1" t="s">
        <v>752</v>
      </c>
    </row>
    <row r="27" customFormat="false" ht="17.15" hidden="false" customHeight="false" outlineLevel="0" collapsed="false">
      <c r="A27" s="1" t="s">
        <v>753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1" t="n">
        <v>-4.901</v>
      </c>
      <c r="M27" s="21" t="n">
        <v>10.697</v>
      </c>
      <c r="N27" s="11" t="s">
        <v>76</v>
      </c>
      <c r="O27" s="11" t="s">
        <v>754</v>
      </c>
    </row>
    <row r="28" customFormat="false" ht="17.15" hidden="false" customHeight="false" outlineLevel="0" collapsed="false">
      <c r="A28" s="1" t="s">
        <v>755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1" t="n">
        <v>123.627</v>
      </c>
      <c r="M28" s="21" t="n">
        <v>165.934</v>
      </c>
      <c r="N28" s="11" t="s">
        <v>76</v>
      </c>
      <c r="O28" s="11" t="s">
        <v>756</v>
      </c>
    </row>
    <row r="29" customFormat="false" ht="17.15" hidden="false" customHeight="false" outlineLevel="0" collapsed="false">
      <c r="A29" s="1" t="s">
        <v>757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1" t="n">
        <v>21.795</v>
      </c>
      <c r="M29" s="21" t="n">
        <v>32.185</v>
      </c>
      <c r="N29" s="11" t="s">
        <v>76</v>
      </c>
      <c r="O29" s="11" t="s">
        <v>758</v>
      </c>
    </row>
    <row r="30" customFormat="false" ht="17.15" hidden="false" customHeight="false" outlineLevel="0" collapsed="false">
      <c r="A30" s="1" t="s">
        <v>759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1" t="n">
        <v>-4.763</v>
      </c>
      <c r="M30" s="21" t="n">
        <v>6.53</v>
      </c>
      <c r="N30" s="11" t="s">
        <v>76</v>
      </c>
      <c r="O30" s="11" t="s">
        <v>760</v>
      </c>
    </row>
    <row r="31" customFormat="false" ht="17.15" hidden="false" customHeight="false" outlineLevel="0" collapsed="false">
      <c r="A31" s="1" t="s">
        <v>761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1" t="n">
        <v>7.465</v>
      </c>
      <c r="M31" s="21" t="n">
        <v>7.453</v>
      </c>
      <c r="N31" s="11" t="s">
        <v>76</v>
      </c>
      <c r="O31" s="11" t="s">
        <v>762</v>
      </c>
    </row>
    <row r="32" customFormat="false" ht="17.15" hidden="false" customHeight="false" outlineLevel="0" collapsed="false">
      <c r="A32" s="1" t="s">
        <v>763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25" t="n">
        <v>13.64</v>
      </c>
      <c r="M32" s="25" t="n">
        <v>17.95</v>
      </c>
      <c r="N32" s="11" t="s">
        <v>76</v>
      </c>
      <c r="O32" s="11" t="s">
        <v>764</v>
      </c>
    </row>
    <row r="33" customFormat="false" ht="17.15" hidden="false" customHeight="false" outlineLevel="0" collapsed="false">
      <c r="A33" s="23" t="s">
        <v>765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4" t="n">
        <f aca="false">(L23+L27-L28)+(L28-L29-L26)</f>
        <v>0</v>
      </c>
      <c r="M33" s="24" t="n">
        <f aca="false">(M23+M27-M28)+(M28-M29-M26)</f>
        <v>0</v>
      </c>
      <c r="N33" s="1" t="s">
        <v>728</v>
      </c>
    </row>
    <row r="34" customFormat="false" ht="17.15" hidden="false" customHeight="false" outlineLevel="0" collapsed="false">
      <c r="A34" s="9" t="s">
        <v>766</v>
      </c>
    </row>
    <row r="35" customFormat="false" ht="17.15" hidden="false" customHeight="false" outlineLevel="0" collapsed="false">
      <c r="A35" s="1" t="s">
        <v>767</v>
      </c>
      <c r="B35" s="21" t="n">
        <v>34.18</v>
      </c>
      <c r="C35" s="21" t="n">
        <v>22.291</v>
      </c>
      <c r="D35" s="21" t="n">
        <v>37.044</v>
      </c>
      <c r="E35" s="21" t="n">
        <v>42.647</v>
      </c>
      <c r="F35" s="21" t="n">
        <v>45.057</v>
      </c>
      <c r="G35" s="21" t="n">
        <v>35.758</v>
      </c>
      <c r="H35" s="21" t="n">
        <v>46.679</v>
      </c>
      <c r="I35" s="21" t="n">
        <v>55.441</v>
      </c>
      <c r="J35" s="22" t="n">
        <f aca="false">SUM(B35:E35)</f>
        <v>136.162</v>
      </c>
      <c r="K35" s="22" t="n">
        <f aca="false">SUM(F35:I35)</f>
        <v>182.935</v>
      </c>
      <c r="L35" s="21" t="n">
        <v>136.162</v>
      </c>
      <c r="M35" s="21" t="n">
        <v>182.935</v>
      </c>
      <c r="N35" s="11" t="s">
        <v>76</v>
      </c>
      <c r="O35" s="1" t="s">
        <v>768</v>
      </c>
    </row>
    <row r="36" customFormat="false" ht="17.15" hidden="false" customHeight="false" outlineLevel="0" collapsed="false">
      <c r="A36" s="1" t="s">
        <v>769</v>
      </c>
      <c r="B36" s="21" t="n">
        <v>14.923</v>
      </c>
      <c r="C36" s="21" t="n">
        <v>15.804</v>
      </c>
      <c r="D36" s="21" t="n">
        <v>16.745</v>
      </c>
      <c r="E36" s="21" t="n">
        <v>17.079</v>
      </c>
      <c r="F36" s="21" t="n">
        <v>19.394</v>
      </c>
      <c r="G36" s="21" t="n">
        <v>29.876</v>
      </c>
      <c r="H36" s="21" t="n">
        <v>30.876</v>
      </c>
      <c r="I36" s="21" t="n">
        <v>35.802</v>
      </c>
      <c r="J36" s="22" t="n">
        <f aca="false">SUM(B36:E36)</f>
        <v>64.551</v>
      </c>
      <c r="K36" s="22" t="n">
        <f aca="false">SUM(F36:I36)</f>
        <v>115.948</v>
      </c>
      <c r="L36" s="21" t="n">
        <v>64.551</v>
      </c>
      <c r="M36" s="21" t="n">
        <v>115.948</v>
      </c>
      <c r="N36" s="11" t="s">
        <v>76</v>
      </c>
      <c r="O36" s="1" t="s">
        <v>770</v>
      </c>
    </row>
    <row r="37" customFormat="false" ht="15" hidden="false" customHeight="false" outlineLevel="0" collapsed="false">
      <c r="A37" s="1" t="s">
        <v>771</v>
      </c>
      <c r="B37" s="22" t="n">
        <f aca="false">B35-B36</f>
        <v>19.257</v>
      </c>
      <c r="C37" s="22" t="n">
        <f aca="false">C35-C36</f>
        <v>6.487</v>
      </c>
      <c r="D37" s="22" t="n">
        <f aca="false">D35-D36</f>
        <v>20.299</v>
      </c>
      <c r="E37" s="22" t="n">
        <f aca="false">E35-E36</f>
        <v>25.568</v>
      </c>
      <c r="F37" s="22" t="n">
        <f aca="false">F35-F36</f>
        <v>25.663</v>
      </c>
      <c r="G37" s="22" t="n">
        <f aca="false">G35-G36</f>
        <v>5.882</v>
      </c>
      <c r="H37" s="22" t="n">
        <f aca="false">H35-H36</f>
        <v>15.803</v>
      </c>
      <c r="I37" s="22" t="n">
        <f aca="false">I35-I36</f>
        <v>19.639</v>
      </c>
      <c r="J37" s="22" t="n">
        <f aca="false">SUM(B37:E37)</f>
        <v>71.611</v>
      </c>
      <c r="K37" s="22" t="n">
        <f aca="false">SUM(F37:I37)</f>
        <v>66.987</v>
      </c>
      <c r="L37" s="22" t="n">
        <f aca="false">L35-L36</f>
        <v>71.611</v>
      </c>
      <c r="M37" s="22" t="n">
        <f aca="false">M35-M36</f>
        <v>66.987</v>
      </c>
      <c r="N37" s="11" t="s">
        <v>90</v>
      </c>
    </row>
    <row r="38" customFormat="false" ht="17.15" hidden="false" customHeight="false" outlineLevel="0" collapsed="false">
      <c r="A38" s="1" t="s">
        <v>772</v>
      </c>
      <c r="B38" s="21" t="n">
        <v>6.716</v>
      </c>
      <c r="C38" s="21" t="n">
        <v>5.667</v>
      </c>
      <c r="D38" s="21" t="n">
        <v>7.734</v>
      </c>
      <c r="E38" s="21" t="n">
        <v>9.317</v>
      </c>
      <c r="F38" s="21" t="n">
        <v>8.147</v>
      </c>
      <c r="G38" s="21" t="n">
        <v>9.198</v>
      </c>
      <c r="H38" s="21" t="n">
        <v>10.167</v>
      </c>
      <c r="I38" s="21" t="n">
        <v>11.022</v>
      </c>
      <c r="J38" s="22" t="n">
        <f aca="false">SUM(B38:E38)</f>
        <v>29.434</v>
      </c>
      <c r="K38" s="22" t="n">
        <f aca="false">SUM(F38:I38)</f>
        <v>38.534</v>
      </c>
      <c r="L38" s="21" t="n">
        <v>29.433</v>
      </c>
      <c r="M38" s="21" t="n">
        <v>38.534</v>
      </c>
      <c r="N38" s="11" t="s">
        <v>76</v>
      </c>
      <c r="O38" s="1" t="s">
        <v>773</v>
      </c>
    </row>
    <row r="39" customFormat="false" ht="17.15" hidden="false" customHeight="false" outlineLevel="0" collapsed="false">
      <c r="A39" s="1" t="s">
        <v>774</v>
      </c>
      <c r="B39" s="21" t="n">
        <v>2.832</v>
      </c>
      <c r="C39" s="21" t="n">
        <v>3.089</v>
      </c>
      <c r="D39" s="21" t="n">
        <v>2.98</v>
      </c>
      <c r="E39" s="21" t="n">
        <v>3.073</v>
      </c>
      <c r="F39" s="21" t="n">
        <v>2.983</v>
      </c>
      <c r="G39" s="21" t="n">
        <v>3.219</v>
      </c>
      <c r="H39" s="21" t="n">
        <v>3.081</v>
      </c>
      <c r="I39" s="21" t="n">
        <v>3.122</v>
      </c>
      <c r="J39" s="22" t="n">
        <f aca="false">SUM(B39:E39)</f>
        <v>11.974</v>
      </c>
      <c r="K39" s="22" t="n">
        <f aca="false">SUM(F39:I39)</f>
        <v>12.405</v>
      </c>
      <c r="L39" s="21" t="n">
        <v>11.974</v>
      </c>
      <c r="M39" s="21" t="n">
        <v>12.405</v>
      </c>
      <c r="N39" s="11" t="s">
        <v>76</v>
      </c>
      <c r="O39" s="1" t="s">
        <v>775</v>
      </c>
    </row>
    <row r="40" customFormat="false" ht="17.15" hidden="false" customHeight="false" outlineLevel="0" collapsed="false">
      <c r="A40" s="1" t="s">
        <v>776</v>
      </c>
      <c r="B40" s="21" t="n">
        <v>4.107</v>
      </c>
      <c r="C40" s="21" t="n">
        <v>4.986</v>
      </c>
      <c r="D40" s="21" t="n">
        <v>4.781</v>
      </c>
      <c r="E40" s="21" t="n">
        <v>4.546</v>
      </c>
      <c r="F40" s="21" t="n">
        <v>5.65</v>
      </c>
      <c r="G40" s="21" t="n">
        <v>7.415</v>
      </c>
      <c r="H40" s="21" t="n">
        <v>4.627</v>
      </c>
      <c r="I40" s="21" t="n">
        <v>4.579</v>
      </c>
      <c r="J40" s="22" t="n">
        <f aca="false">SUM(B40:E40)</f>
        <v>18.42</v>
      </c>
      <c r="K40" s="22" t="n">
        <f aca="false">SUM(F40:I40)</f>
        <v>22.271</v>
      </c>
      <c r="L40" s="21" t="n">
        <v>18.42</v>
      </c>
      <c r="M40" s="21" t="n">
        <v>22.271</v>
      </c>
      <c r="N40" s="11" t="s">
        <v>76</v>
      </c>
      <c r="O40" s="1" t="s">
        <v>777</v>
      </c>
    </row>
    <row r="41" customFormat="false" ht="17.15" hidden="false" customHeight="false" outlineLevel="0" collapsed="false">
      <c r="A41" s="1" t="s">
        <v>778</v>
      </c>
      <c r="B41" s="21" t="n">
        <v>5.574</v>
      </c>
      <c r="C41" s="21" t="n">
        <v>6.17</v>
      </c>
      <c r="D41" s="21" t="n">
        <v>6.169</v>
      </c>
      <c r="E41" s="21" t="n">
        <v>6.169</v>
      </c>
      <c r="F41" s="21" t="n">
        <v>6.169</v>
      </c>
      <c r="G41" s="21" t="n">
        <v>6.762</v>
      </c>
      <c r="H41" s="21" t="n">
        <v>6.756</v>
      </c>
      <c r="I41" s="21" t="n">
        <v>6.758</v>
      </c>
      <c r="J41" s="22" t="n">
        <f aca="false">SUM(B41:E41)</f>
        <v>24.082</v>
      </c>
      <c r="K41" s="22" t="n">
        <f aca="false">SUM(F41:I41)</f>
        <v>26.445</v>
      </c>
      <c r="L41" s="21" t="n">
        <v>24.082</v>
      </c>
      <c r="M41" s="21" t="n">
        <v>26.445</v>
      </c>
      <c r="N41" s="11" t="s">
        <v>76</v>
      </c>
      <c r="O41" s="1" t="s">
        <v>779</v>
      </c>
    </row>
    <row r="42" customFormat="false" ht="17.15" hidden="false" customHeight="false" outlineLevel="0" collapsed="false">
      <c r="A42" s="1" t="s">
        <v>780</v>
      </c>
      <c r="B42" s="22"/>
      <c r="C42" s="22"/>
      <c r="D42" s="22"/>
      <c r="E42" s="21" t="n">
        <v>24.2</v>
      </c>
      <c r="F42" s="21" t="n">
        <v>34.9</v>
      </c>
      <c r="G42" s="21" t="n">
        <v>37.5</v>
      </c>
      <c r="H42" s="21" t="n">
        <v>31.9</v>
      </c>
      <c r="I42" s="21" t="n">
        <v>41</v>
      </c>
      <c r="J42" s="22"/>
      <c r="K42" s="22" t="n">
        <f aca="false">SUM(F42:I42)</f>
        <v>145.3</v>
      </c>
      <c r="L42" s="22"/>
      <c r="M42" s="21" t="n">
        <v>145.3</v>
      </c>
      <c r="N42" s="11" t="s">
        <v>170</v>
      </c>
      <c r="O42" s="1" t="s">
        <v>781</v>
      </c>
    </row>
    <row r="43" customFormat="false" ht="17.15" hidden="false" customHeight="false" outlineLevel="0" collapsed="false">
      <c r="A43" s="1" t="s">
        <v>782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1" t="n">
        <v>2.283</v>
      </c>
      <c r="M43" s="21" t="n">
        <v>3.101</v>
      </c>
      <c r="N43" s="11" t="s">
        <v>76</v>
      </c>
      <c r="O43" s="11" t="s">
        <v>783</v>
      </c>
    </row>
    <row r="44" customFormat="false" ht="15" hidden="false" customHeight="false" outlineLevel="0" collapsed="false">
      <c r="A44" s="23" t="s">
        <v>784</v>
      </c>
      <c r="B44" s="23"/>
      <c r="C44" s="23"/>
      <c r="D44" s="23"/>
      <c r="E44" s="23"/>
      <c r="F44" s="23"/>
      <c r="G44" s="23"/>
      <c r="H44" s="23"/>
      <c r="I44" s="23"/>
      <c r="J44" s="24" t="n">
        <f aca="false">SUMPRODUCT(ABS(J5:J23-L5:L23))+ABS(J26-L26)+SUMPRODUCT(ABS(J35:J41-L35:L41))</f>
        <v>0.00100000000000122</v>
      </c>
      <c r="K44" s="24" t="n">
        <f aca="false">SUMPRODUCT(ABS(K5:K23-M5:M23))+ABS(K26-M26)+SUMPRODUCT(ABS(K35:K41-M35:M41))+ABS(K42-M42)</f>
        <v>0</v>
      </c>
      <c r="L44" s="23"/>
      <c r="M44" s="23"/>
      <c r="N44" s="1" t="s">
        <v>728</v>
      </c>
    </row>
    <row r="45" customFormat="false" ht="17.15" hidden="false" customHeight="false" outlineLevel="0" collapsed="false">
      <c r="A45" s="9" t="s">
        <v>785</v>
      </c>
    </row>
    <row r="46" customFormat="false" ht="17.15" hidden="false" customHeight="false" outlineLevel="0" collapsed="false">
      <c r="A46" s="0" t="s">
        <v>786</v>
      </c>
      <c r="B46" s="21" t="n">
        <v>28.317</v>
      </c>
      <c r="C46" s="21" t="n">
        <v>29.437</v>
      </c>
      <c r="D46" s="21" t="n">
        <v>29.944</v>
      </c>
      <c r="E46" s="21" t="n">
        <v>33.112</v>
      </c>
      <c r="F46" s="21" t="n">
        <v>33.02</v>
      </c>
      <c r="G46" s="21" t="n">
        <v>34.116</v>
      </c>
      <c r="H46" s="21" t="n">
        <v>35.013</v>
      </c>
      <c r="I46" s="21" t="n">
        <v>37.847</v>
      </c>
      <c r="J46" s="22" t="n">
        <f aca="false">SUM(B46:E46)</f>
        <v>120.81</v>
      </c>
      <c r="K46" s="22" t="n">
        <f aca="false">SUM(F46:I46)</f>
        <v>139.996</v>
      </c>
      <c r="L46" s="21" t="n">
        <v>120.81</v>
      </c>
      <c r="M46" s="21" t="n">
        <v>139.996</v>
      </c>
      <c r="N46" s="11" t="s">
        <v>76</v>
      </c>
      <c r="O46" s="11" t="s">
        <v>787</v>
      </c>
    </row>
    <row r="47" customFormat="false" ht="17.15" hidden="false" customHeight="false" outlineLevel="0" collapsed="false">
      <c r="A47" s="0" t="s">
        <v>788</v>
      </c>
      <c r="B47" s="21" t="n">
        <v>24.092</v>
      </c>
      <c r="C47" s="21" t="n">
        <v>25.544</v>
      </c>
      <c r="D47" s="21" t="n">
        <v>26.751</v>
      </c>
      <c r="E47" s="21" t="n">
        <v>29.878</v>
      </c>
      <c r="F47" s="21" t="n">
        <v>30.897</v>
      </c>
      <c r="G47" s="21" t="n">
        <v>32.907</v>
      </c>
      <c r="H47" s="21" t="n">
        <v>34.681</v>
      </c>
      <c r="I47" s="21" t="n">
        <v>39.306</v>
      </c>
      <c r="J47" s="22" t="n">
        <f aca="false">SUM(B47:E47)</f>
        <v>106.265</v>
      </c>
      <c r="K47" s="22" t="n">
        <f aca="false">SUM(F47:I47)</f>
        <v>137.791</v>
      </c>
      <c r="L47" s="21" t="n">
        <v>106.265</v>
      </c>
      <c r="M47" s="21" t="n">
        <v>137.791</v>
      </c>
      <c r="N47" s="11" t="s">
        <v>76</v>
      </c>
      <c r="O47" s="11" t="s">
        <v>789</v>
      </c>
    </row>
    <row r="48" customFormat="false" ht="17.15" hidden="false" customHeight="false" outlineLevel="0" collapsed="false">
      <c r="A48" s="0" t="s">
        <v>790</v>
      </c>
      <c r="B48" s="21" t="n">
        <v>13.176</v>
      </c>
      <c r="C48" s="21" t="n">
        <v>14.651</v>
      </c>
      <c r="D48" s="21" t="n">
        <v>13.371</v>
      </c>
      <c r="E48" s="21" t="n">
        <v>13.451</v>
      </c>
      <c r="F48" s="21" t="n">
        <v>13.756</v>
      </c>
      <c r="G48" s="21" t="n">
        <v>14.25</v>
      </c>
      <c r="H48" s="21" t="n">
        <v>13.192</v>
      </c>
      <c r="I48" s="21" t="n">
        <v>12.854</v>
      </c>
      <c r="J48" s="22" t="n">
        <f aca="false">SUM(B48:E48)</f>
        <v>54.649</v>
      </c>
      <c r="K48" s="22" t="n">
        <f aca="false">SUM(F48:I48)</f>
        <v>54.052</v>
      </c>
      <c r="L48" s="21" t="n">
        <v>54.649</v>
      </c>
      <c r="M48" s="21" t="n">
        <v>54.052</v>
      </c>
      <c r="N48" s="11" t="s">
        <v>76</v>
      </c>
      <c r="O48" s="11" t="s">
        <v>791</v>
      </c>
    </row>
    <row r="49" customFormat="false" ht="15" hidden="false" customHeight="false" outlineLevel="0" collapsed="false">
      <c r="A49" s="23" t="s">
        <v>792</v>
      </c>
      <c r="B49" s="24" t="n">
        <f aca="false">B46+B47+B48-B18</f>
        <v>0</v>
      </c>
      <c r="C49" s="24" t="n">
        <f aca="false">C46+C47+C48-C18</f>
        <v>0</v>
      </c>
      <c r="D49" s="24" t="n">
        <f aca="false">D46+D47+D48-D18</f>
        <v>0</v>
      </c>
      <c r="E49" s="24" t="n">
        <f aca="false">E46+E47+E48-E18</f>
        <v>0</v>
      </c>
      <c r="F49" s="24" t="n">
        <f aca="false">F46+F47+F48-F18</f>
        <v>0</v>
      </c>
      <c r="G49" s="24" t="n">
        <f aca="false">G46+G47+G48-G18</f>
        <v>0</v>
      </c>
      <c r="H49" s="24" t="n">
        <f aca="false">H46+H47+H48-H18</f>
        <v>0</v>
      </c>
      <c r="I49" s="24" t="n">
        <f aca="false">I46+I47+I48-I18</f>
        <v>0</v>
      </c>
      <c r="J49" s="24" t="n">
        <f aca="false">J46+J47+J48-J18</f>
        <v>0</v>
      </c>
      <c r="K49" s="24" t="n">
        <f aca="false">K46+K47+K48-K18</f>
        <v>0</v>
      </c>
      <c r="L49" s="24" t="n">
        <f aca="false">L46+L47+L48-L18</f>
        <v>0</v>
      </c>
      <c r="M49" s="24" t="n">
        <f aca="false">M46+M47+M48-M18</f>
        <v>0</v>
      </c>
      <c r="N49" s="1" t="s">
        <v>728</v>
      </c>
    </row>
    <row r="50" customFormat="false" ht="17.15" hidden="false" customHeight="false" outlineLevel="0" collapsed="false">
      <c r="A50" s="0" t="s">
        <v>793</v>
      </c>
      <c r="B50" s="26"/>
      <c r="C50" s="26"/>
      <c r="D50" s="26"/>
      <c r="E50" s="26"/>
      <c r="F50" s="27" t="n">
        <v>0.4</v>
      </c>
      <c r="G50" s="27" t="n">
        <v>0.39</v>
      </c>
      <c r="H50" s="27" t="n">
        <v>0.4</v>
      </c>
      <c r="I50" s="27" t="n">
        <v>0.42</v>
      </c>
      <c r="J50" s="26"/>
      <c r="K50" s="26"/>
      <c r="L50" s="26"/>
      <c r="M50" s="26"/>
      <c r="N50" s="11" t="s">
        <v>170</v>
      </c>
      <c r="O50" s="11" t="s">
        <v>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795</v>
      </c>
    </row>
    <row r="2" customFormat="false" ht="17.15" hidden="false" customHeight="false" outlineLevel="0" collapsed="false">
      <c r="A2" s="1" t="s">
        <v>796</v>
      </c>
    </row>
    <row r="3" customFormat="false" ht="17.15" hidden="false" customHeight="false" outlineLevel="0" collapsed="false">
      <c r="A3" s="1" t="s">
        <v>797</v>
      </c>
    </row>
    <row r="4" customFormat="false" ht="17.15" hidden="false" customHeight="false" outlineLevel="0" collapsed="false">
      <c r="A4" s="3" t="s">
        <v>798</v>
      </c>
    </row>
    <row r="5" customFormat="false" ht="15" hidden="false" customHeight="false" outlineLevel="0" collapsed="false">
      <c r="A5" s="4" t="s">
        <v>43</v>
      </c>
      <c r="B5" s="4" t="s">
        <v>65</v>
      </c>
      <c r="C5" s="20" t="s">
        <v>799</v>
      </c>
      <c r="D5" s="20" t="s">
        <v>800</v>
      </c>
      <c r="E5" s="20" t="s">
        <v>801</v>
      </c>
      <c r="F5" s="20" t="s">
        <v>802</v>
      </c>
      <c r="G5" s="20" t="s">
        <v>803</v>
      </c>
      <c r="H5" s="20" t="s">
        <v>804</v>
      </c>
      <c r="I5" s="20" t="s">
        <v>805</v>
      </c>
      <c r="J5" s="20" t="s">
        <v>806</v>
      </c>
      <c r="K5" s="20" t="s">
        <v>807</v>
      </c>
      <c r="L5" s="4" t="s">
        <v>47</v>
      </c>
    </row>
    <row r="6" customFormat="false" ht="17.15" hidden="false" customHeight="false" outlineLevel="0" collapsed="false">
      <c r="A6" s="1" t="s">
        <v>808</v>
      </c>
      <c r="B6" s="1" t="s">
        <v>235</v>
      </c>
      <c r="C6" s="28" t="n">
        <v>2024</v>
      </c>
      <c r="D6" s="28" t="n">
        <v>2025</v>
      </c>
      <c r="E6" s="28" t="n">
        <v>2026</v>
      </c>
      <c r="F6" s="28" t="n">
        <v>2027</v>
      </c>
      <c r="G6" s="28" t="n">
        <v>2028</v>
      </c>
      <c r="H6" s="28" t="n">
        <v>2029</v>
      </c>
      <c r="I6" s="28" t="n">
        <v>2030</v>
      </c>
      <c r="J6" s="28" t="n">
        <v>2031</v>
      </c>
      <c r="K6" s="28" t="n">
        <v>2032</v>
      </c>
    </row>
    <row r="7" customFormat="false" ht="17.15" hidden="false" customHeight="false" outlineLevel="0" collapsed="false">
      <c r="A7" s="1" t="s">
        <v>809</v>
      </c>
      <c r="B7" s="0" t="s">
        <v>399</v>
      </c>
      <c r="F7" s="29" t="n">
        <f aca="false">pace</f>
        <v>2527.2</v>
      </c>
      <c r="G7" s="29" t="n">
        <f aca="false">pace</f>
        <v>2527.2</v>
      </c>
      <c r="H7" s="29" t="n">
        <f aca="false">pace</f>
        <v>2527.2</v>
      </c>
      <c r="I7" s="29" t="n">
        <f aca="false">pace+(g_tv*Thesis!H8-pace)*MIN(1,(Thesis!I6-pace_y0)/(pace_y1-pace_y0))</f>
        <v>1793.116</v>
      </c>
      <c r="J7" s="29" t="n">
        <f aca="false">pace+(g_tv*Thesis!I8-pace)*MIN(1,(Thesis!J6-pace_y0)/(pace_y1-pace_y0))</f>
        <v>1094.89432</v>
      </c>
      <c r="K7" s="29" t="n">
        <f aca="false">pace+(g_tv*Thesis!J8-pace)*MIN(1,(Thesis!K6-pace_y0)/(pace_y1-pace_y0))</f>
        <v>411.5883096</v>
      </c>
      <c r="L7" s="11" t="s">
        <v>810</v>
      </c>
    </row>
    <row r="8" customFormat="false" ht="17.15" hidden="false" customHeight="false" outlineLevel="0" collapsed="false">
      <c r="A8" s="1" t="s">
        <v>811</v>
      </c>
      <c r="B8" s="0" t="s">
        <v>399</v>
      </c>
      <c r="C8" s="29" t="n">
        <f aca="false">mw_ext_24</f>
        <v>640</v>
      </c>
      <c r="D8" s="29" t="n">
        <f aca="false">mw_ext_25</f>
        <v>1630</v>
      </c>
      <c r="E8" s="29" t="n">
        <f aca="false">mw_ext_26</f>
        <v>3250</v>
      </c>
      <c r="F8" s="29" t="n">
        <f aca="false">Thesis!E8+Thesis!F7</f>
        <v>5777.2</v>
      </c>
      <c r="G8" s="29" t="n">
        <f aca="false">Thesis!F8+Thesis!G7</f>
        <v>8304.4</v>
      </c>
      <c r="H8" s="29" t="n">
        <f aca="false">Thesis!G8+Thesis!H7</f>
        <v>10831.6</v>
      </c>
      <c r="I8" s="29" t="n">
        <f aca="false">Thesis!H8+Thesis!I7</f>
        <v>12624.716</v>
      </c>
      <c r="J8" s="29" t="n">
        <f aca="false">Thesis!I8+Thesis!J7</f>
        <v>13719.61032</v>
      </c>
      <c r="K8" s="29" t="n">
        <f aca="false">Thesis!J8+Thesis!K7</f>
        <v>14131.1986296</v>
      </c>
      <c r="L8" s="1" t="s">
        <v>812</v>
      </c>
    </row>
    <row r="9" customFormat="false" ht="17.15" hidden="false" customHeight="false" outlineLevel="0" collapsed="false">
      <c r="A9" s="1" t="s">
        <v>813</v>
      </c>
      <c r="B9" s="0" t="s">
        <v>399</v>
      </c>
      <c r="C9" s="29" t="n">
        <f aca="false">rent_ext_24</f>
        <v>150</v>
      </c>
      <c r="D9" s="29" t="n">
        <f aca="false">rent_ext_25</f>
        <v>400</v>
      </c>
      <c r="E9" s="29" t="n">
        <f aca="false">rent_ext_26</f>
        <v>550</v>
      </c>
      <c r="F9" s="29" t="n">
        <f aca="false">rent_ext_f</f>
        <v>756</v>
      </c>
      <c r="G9" s="29" t="n">
        <f aca="false">rent_ext_f</f>
        <v>756</v>
      </c>
      <c r="H9" s="29" t="n">
        <f aca="false">rent_ext_f</f>
        <v>756</v>
      </c>
      <c r="I9" s="29" t="n">
        <f aca="false">rent_ext_f</f>
        <v>756</v>
      </c>
      <c r="J9" s="29" t="n">
        <f aca="false">rent_ext_f</f>
        <v>756</v>
      </c>
      <c r="K9" s="29" t="n">
        <f aca="false">rent_ext_f</f>
        <v>756</v>
      </c>
      <c r="L9" s="1" t="s">
        <v>814</v>
      </c>
    </row>
    <row r="10" customFormat="false" ht="17.15" hidden="false" customHeight="false" outlineLevel="0" collapsed="false">
      <c r="A10" s="1" t="s">
        <v>815</v>
      </c>
      <c r="B10" s="0" t="s">
        <v>399</v>
      </c>
      <c r="C10" s="29" t="n">
        <f aca="false">Thesis!C8-Thesis!C9</f>
        <v>490</v>
      </c>
      <c r="D10" s="29" t="n">
        <f aca="false">Thesis!D8-Thesis!D9</f>
        <v>1230</v>
      </c>
      <c r="E10" s="29" t="n">
        <f aca="false">Thesis!E8-Thesis!E9</f>
        <v>2700</v>
      </c>
      <c r="F10" s="29" t="n">
        <f aca="false">Thesis!F8-Thesis!F9</f>
        <v>5021.2</v>
      </c>
      <c r="G10" s="29" t="n">
        <f aca="false">Thesis!G8-Thesis!G9</f>
        <v>7548.4</v>
      </c>
      <c r="H10" s="29" t="n">
        <f aca="false">Thesis!H8-Thesis!H9</f>
        <v>10075.6</v>
      </c>
      <c r="I10" s="29" t="n">
        <f aca="false">Thesis!I8-Thesis!I9</f>
        <v>11868.716</v>
      </c>
      <c r="J10" s="29" t="n">
        <f aca="false">Thesis!J8-Thesis!J9</f>
        <v>12963.61032</v>
      </c>
      <c r="K10" s="29" t="n">
        <f aca="false">Thesis!K8-Thesis!K9</f>
        <v>13375.1986296</v>
      </c>
    </row>
    <row r="11" customFormat="false" ht="17.15" hidden="false" customHeight="false" outlineLevel="0" collapsed="false">
      <c r="A11" s="1" t="s">
        <v>816</v>
      </c>
      <c r="B11" s="0" t="s">
        <v>399</v>
      </c>
      <c r="C11" s="29" t="n">
        <f aca="false">Thesis!C10/ext_sh</f>
        <v>816.666666666667</v>
      </c>
      <c r="D11" s="29" t="n">
        <f aca="false">Thesis!D10/ext_sh</f>
        <v>2050</v>
      </c>
      <c r="E11" s="29" t="n">
        <f aca="false">Thesis!E10/ext_sh</f>
        <v>4500</v>
      </c>
      <c r="F11" s="29" t="n">
        <f aca="false">Thesis!F10/ext_sh</f>
        <v>8368.66666666667</v>
      </c>
      <c r="G11" s="29" t="n">
        <f aca="false">Thesis!G10/ext_sh</f>
        <v>12580.6666666667</v>
      </c>
      <c r="H11" s="29" t="n">
        <f aca="false">Thesis!H10/ext_sh</f>
        <v>16792.6666666667</v>
      </c>
      <c r="I11" s="29" t="n">
        <f aca="false">Thesis!I10/ext_sh</f>
        <v>19781.1933333333</v>
      </c>
      <c r="J11" s="29" t="n">
        <f aca="false">Thesis!J10/ext_sh</f>
        <v>21606.0172</v>
      </c>
      <c r="K11" s="29" t="n">
        <f aca="false">Thesis!K10/ext_sh</f>
        <v>22291.997716</v>
      </c>
      <c r="L11" s="1" t="s">
        <v>817</v>
      </c>
    </row>
    <row r="12" customFormat="false" ht="17.15" hidden="false" customHeight="false" outlineLevel="0" collapsed="false">
      <c r="A12" s="1" t="s">
        <v>818</v>
      </c>
      <c r="B12" s="0" t="s">
        <v>399</v>
      </c>
      <c r="C12" s="29" t="n">
        <f aca="false">Thesis!C11-Thesis!C10</f>
        <v>326.666666666667</v>
      </c>
      <c r="D12" s="29" t="n">
        <f aca="false">Thesis!D11-Thesis!D10</f>
        <v>820</v>
      </c>
      <c r="E12" s="29" t="n">
        <f aca="false">Thesis!E11-Thesis!E10</f>
        <v>1800</v>
      </c>
      <c r="F12" s="29" t="n">
        <f aca="false">Thesis!F11-Thesis!F10</f>
        <v>3347.46666666667</v>
      </c>
      <c r="G12" s="29" t="n">
        <f aca="false">Thesis!G11-Thesis!G10</f>
        <v>5032.26666666667</v>
      </c>
      <c r="H12" s="29" t="n">
        <f aca="false">Thesis!H11-Thesis!H10</f>
        <v>6717.06666666667</v>
      </c>
      <c r="I12" s="29" t="n">
        <f aca="false">Thesis!I11-Thesis!I10</f>
        <v>7912.47733333333</v>
      </c>
      <c r="J12" s="29" t="n">
        <f aca="false">Thesis!J11-Thesis!J10</f>
        <v>8642.40688</v>
      </c>
      <c r="K12" s="29" t="n">
        <f aca="false">Thesis!K11-Thesis!K10</f>
        <v>8916.7990864</v>
      </c>
    </row>
    <row r="13" customFormat="false" ht="17.15" hidden="false" customHeight="false" outlineLevel="0" collapsed="false">
      <c r="A13" s="1" t="s">
        <v>819</v>
      </c>
      <c r="B13" s="0" t="s">
        <v>399</v>
      </c>
      <c r="C13" s="29" t="n">
        <f aca="false">Thesis!C11</f>
        <v>816.666666666667</v>
      </c>
      <c r="D13" s="29" t="n">
        <f aca="false">Thesis!D11-Thesis!C11</f>
        <v>1233.33333333333</v>
      </c>
      <c r="E13" s="29" t="n">
        <f aca="false">Thesis!E11-Thesis!D11</f>
        <v>2450</v>
      </c>
      <c r="F13" s="29" t="n">
        <f aca="false">Thesis!F11-Thesis!E11</f>
        <v>3868.66666666667</v>
      </c>
      <c r="G13" s="29" t="n">
        <f aca="false">Thesis!G11-Thesis!F11</f>
        <v>4212</v>
      </c>
      <c r="H13" s="29" t="n">
        <f aca="false">Thesis!H11-Thesis!G11</f>
        <v>4212</v>
      </c>
      <c r="I13" s="29" t="n">
        <f aca="false">Thesis!I11-Thesis!H11</f>
        <v>2988.52666666667</v>
      </c>
      <c r="J13" s="29" t="n">
        <f aca="false">Thesis!J11-Thesis!I11</f>
        <v>1824.82386666667</v>
      </c>
      <c r="K13" s="29" t="n">
        <f aca="false">Thesis!K11-Thesis!J11</f>
        <v>685.980516</v>
      </c>
    </row>
    <row r="14" customFormat="false" ht="17.15" hidden="false" customHeight="false" outlineLevel="0" collapsed="false">
      <c r="A14" s="1" t="s">
        <v>820</v>
      </c>
      <c r="B14" s="0" t="s">
        <v>399</v>
      </c>
      <c r="D14" s="29" t="n">
        <f aca="false">Thesis!D8-Thesis!C8</f>
        <v>990</v>
      </c>
      <c r="E14" s="29" t="n">
        <f aca="false">Thesis!E8-Thesis!D8</f>
        <v>1620</v>
      </c>
      <c r="F14" s="29" t="n">
        <f aca="false">Thesis!F8-Thesis!E8</f>
        <v>2527.2</v>
      </c>
      <c r="G14" s="29" t="n">
        <f aca="false">Thesis!G8-Thesis!F8</f>
        <v>2527.2</v>
      </c>
      <c r="H14" s="29" t="n">
        <f aca="false">Thesis!H8-Thesis!G8</f>
        <v>2527.2</v>
      </c>
      <c r="I14" s="29" t="n">
        <f aca="false">Thesis!I8-Thesis!H8</f>
        <v>1793.116</v>
      </c>
      <c r="J14" s="29" t="n">
        <f aca="false">Thesis!J8-Thesis!I8</f>
        <v>1094.89432</v>
      </c>
      <c r="K14" s="29" t="n">
        <f aca="false">Thesis!K8-Thesis!J8</f>
        <v>411.5883096</v>
      </c>
    </row>
    <row r="15" customFormat="false" ht="17.15" hidden="false" customHeight="false" outlineLevel="0" collapsed="false">
      <c r="A15" s="1" t="s">
        <v>821</v>
      </c>
      <c r="B15" s="0" t="s">
        <v>399</v>
      </c>
      <c r="F15" s="29" t="n">
        <f aca="false">Thesis!F32*ext_sh</f>
        <v>0</v>
      </c>
      <c r="G15" s="29" t="n">
        <f aca="false">Thesis!G32*ext_sh</f>
        <v>0</v>
      </c>
      <c r="H15" s="29" t="n">
        <f aca="false">Thesis!H32*ext_sh</f>
        <v>0</v>
      </c>
      <c r="I15" s="29" t="n">
        <f aca="false">Thesis!I32*ext_sh</f>
        <v>490</v>
      </c>
      <c r="J15" s="29" t="n">
        <f aca="false">Thesis!J32*ext_sh</f>
        <v>740</v>
      </c>
      <c r="K15" s="29" t="n">
        <f aca="false">Thesis!K32*ext_sh</f>
        <v>1470</v>
      </c>
      <c r="L15" s="1" t="s">
        <v>822</v>
      </c>
    </row>
    <row r="16" customFormat="false" ht="17.15" hidden="false" customHeight="false" outlineLevel="0" collapsed="false">
      <c r="A16" s="1" t="s">
        <v>823</v>
      </c>
      <c r="B16" s="0" t="s">
        <v>399</v>
      </c>
      <c r="C16" s="29" t="n">
        <f aca="false">mix_h*Thesis!C8</f>
        <v>128</v>
      </c>
      <c r="D16" s="29" t="n">
        <f aca="false">mix_h*Thesis!D8</f>
        <v>326</v>
      </c>
      <c r="E16" s="29" t="n">
        <f aca="false">mix_h*Thesis!E8</f>
        <v>650</v>
      </c>
      <c r="F16" s="29" t="n">
        <f aca="false">Thesis!E16-Thesis!F15*mix_h</f>
        <v>650</v>
      </c>
      <c r="G16" s="29" t="n">
        <f aca="false">Thesis!F16-Thesis!G15*mix_h</f>
        <v>650</v>
      </c>
      <c r="H16" s="29" t="n">
        <f aca="false">Thesis!G16-Thesis!H15*mix_h</f>
        <v>650</v>
      </c>
      <c r="I16" s="29" t="n">
        <f aca="false">Thesis!H16-Thesis!I15*mix_h</f>
        <v>552</v>
      </c>
      <c r="J16" s="29" t="n">
        <f aca="false">Thesis!I16-Thesis!J15*mix_h</f>
        <v>404</v>
      </c>
      <c r="K16" s="29" t="n">
        <f aca="false">Thesis!J16-Thesis!K15*mix_h</f>
        <v>110</v>
      </c>
    </row>
    <row r="17" customFormat="false" ht="17.15" hidden="false" customHeight="false" outlineLevel="0" collapsed="false">
      <c r="A17" s="1" t="s">
        <v>824</v>
      </c>
      <c r="B17" s="0" t="s">
        <v>399</v>
      </c>
      <c r="C17" s="29" t="n">
        <f aca="false">mix_g2*Thesis!C8</f>
        <v>288</v>
      </c>
      <c r="D17" s="29" t="n">
        <f aca="false">mix_g2*Thesis!D8</f>
        <v>733.5</v>
      </c>
      <c r="E17" s="29" t="n">
        <f aca="false">mix_g2*Thesis!E8</f>
        <v>1462.5</v>
      </c>
      <c r="F17" s="29" t="n">
        <f aca="false">Thesis!E17-Thesis!F15*mix_g2</f>
        <v>1462.5</v>
      </c>
      <c r="G17" s="29" t="n">
        <f aca="false">Thesis!F17-Thesis!G15*mix_g2</f>
        <v>1462.5</v>
      </c>
      <c r="H17" s="29" t="n">
        <f aca="false">Thesis!G17-Thesis!H15*mix_g2</f>
        <v>1462.5</v>
      </c>
      <c r="I17" s="29" t="n">
        <f aca="false">Thesis!H17-Thesis!I15*mix_g2</f>
        <v>1242</v>
      </c>
      <c r="J17" s="29" t="n">
        <f aca="false">Thesis!I17-Thesis!J15*mix_g2</f>
        <v>909</v>
      </c>
      <c r="K17" s="29" t="n">
        <f aca="false">Thesis!J17-Thesis!K15*mix_g2</f>
        <v>247.5</v>
      </c>
    </row>
    <row r="18" customFormat="false" ht="17.15" hidden="false" customHeight="false" outlineLevel="0" collapsed="false">
      <c r="A18" s="1" t="s">
        <v>825</v>
      </c>
      <c r="B18" s="0" t="s">
        <v>399</v>
      </c>
      <c r="C18" s="29" t="n">
        <f aca="false">mix_g3*Thesis!C8</f>
        <v>224</v>
      </c>
      <c r="D18" s="29" t="n">
        <f aca="false">mix_g3*Thesis!D8</f>
        <v>570.5</v>
      </c>
      <c r="E18" s="29" t="n">
        <f aca="false">mix_g3*Thesis!E8</f>
        <v>1137.5</v>
      </c>
      <c r="F18" s="29" t="n">
        <f aca="false">Thesis!E18+(Thesis!F14+Thesis!F15)*a_g3_27-Thesis!F15*mix_g3</f>
        <v>2906.54</v>
      </c>
      <c r="G18" s="29" t="n">
        <f aca="false">Thesis!F18+(Thesis!G14+Thesis!G15)*a_g3_28-Thesis!G15*mix_g3</f>
        <v>3664.7</v>
      </c>
      <c r="H18" s="29" t="n">
        <f aca="false">Thesis!G18+(Thesis!H14+Thesis!H15)*a_g3_29-Thesis!H15*mix_g3</f>
        <v>3917.42</v>
      </c>
      <c r="I18" s="29" t="n">
        <f aca="false">Thesis!H18+(Thesis!I14+Thesis!I15)*a_g3_29-Thesis!I15*mix_g3</f>
        <v>3974.2316</v>
      </c>
      <c r="J18" s="29" t="n">
        <f aca="false">Thesis!I18+(Thesis!J14+Thesis!J15)*a_g3_29-Thesis!J15*mix_g3</f>
        <v>3898.721032</v>
      </c>
      <c r="K18" s="29" t="n">
        <f aca="false">Thesis!J18+(Thesis!K14+Thesis!K15)*a_g3_29-Thesis!K15*mix_g3</f>
        <v>3572.37986296</v>
      </c>
    </row>
    <row r="19" customFormat="false" ht="17.15" hidden="false" customHeight="false" outlineLevel="0" collapsed="false">
      <c r="A19" s="1" t="s">
        <v>826</v>
      </c>
      <c r="B19" s="0" t="s">
        <v>399</v>
      </c>
      <c r="C19" s="29" t="n">
        <v>0</v>
      </c>
      <c r="D19" s="29" t="n">
        <v>0</v>
      </c>
      <c r="E19" s="29" t="n">
        <v>0</v>
      </c>
      <c r="F19" s="29" t="n">
        <f aca="false">Thesis!E19+(Thesis!F14+Thesis!F15)*(1-a_g3_27)</f>
        <v>758.16</v>
      </c>
      <c r="G19" s="29" t="n">
        <f aca="false">Thesis!F19+(Thesis!G14+Thesis!G15)*(1-a_g3_28)</f>
        <v>2527.2</v>
      </c>
      <c r="H19" s="29" t="n">
        <f aca="false">Thesis!G19+(Thesis!H14+Thesis!H15)*(1-a_g3_29)</f>
        <v>4801.68</v>
      </c>
      <c r="I19" s="29" t="n">
        <f aca="false">Thesis!H19+(Thesis!I14+Thesis!I15)*(1-a_g3_29)</f>
        <v>6856.4844</v>
      </c>
      <c r="J19" s="29" t="n">
        <f aca="false">Thesis!I19+(Thesis!J14+Thesis!J15)*(1-a_g3_29)</f>
        <v>8507.889288</v>
      </c>
      <c r="K19" s="29" t="n">
        <f aca="false">Thesis!J19+(Thesis!K14+Thesis!K15)*(1-a_g3_29)</f>
        <v>10201.31876664</v>
      </c>
    </row>
    <row r="20" customFormat="false" ht="17.15" hidden="false" customHeight="false" outlineLevel="0" collapsed="false">
      <c r="A20" s="1" t="s">
        <v>827</v>
      </c>
      <c r="B20" s="0" t="s">
        <v>346</v>
      </c>
      <c r="C20" s="14" t="n">
        <f aca="false">(Thesis!C16*tk_hold_h100+Thesis!C17*tk_hold_gb200+Thesis!C18*tk_hold_gb300+Thesis!C19*tk_hold_vr200)/Thesis!C8</f>
        <v>9.7235358126469</v>
      </c>
      <c r="D20" s="14" t="n">
        <f aca="false">(Thesis!D16*tk_hold_h100+Thesis!D17*tk_hold_gb200+Thesis!D18*tk_hold_gb300+Thesis!D19*tk_hold_vr200)/Thesis!D8</f>
        <v>9.7235358126469</v>
      </c>
      <c r="E20" s="14" t="n">
        <f aca="false">(Thesis!E16*tk_hold_h100+Thesis!E17*tk_hold_gb200+Thesis!E18*tk_hold_gb300+Thesis!E19*tk_hold_vr200)/Thesis!E8</f>
        <v>9.7235358126469</v>
      </c>
      <c r="F20" s="14" t="n">
        <f aca="false">(Thesis!F16*tk_hold_h100+Thesis!F17*tk_hold_gb200+Thesis!F18*tk_hold_gb300+Thesis!F19*tk_hold_vr200)/Thesis!F8</f>
        <v>10.4079573161931</v>
      </c>
      <c r="G20" s="14" t="n">
        <f aca="false">(Thesis!G16*tk_hold_h100+Thesis!G17*tk_hold_gb200+Thesis!G18*tk_hold_gb300+Thesis!G19*tk_hold_vr200)/Thesis!G8</f>
        <v>10.8388131109316</v>
      </c>
      <c r="H20" s="14" t="n">
        <f aca="false">(Thesis!H16*tk_hold_h100+Thesis!H17*tk_hold_gb200+Thesis!H18*tk_hold_gb300+Thesis!H19*tk_hold_vr200)/Thesis!H8</f>
        <v>11.1311018388216</v>
      </c>
      <c r="I20" s="14" t="n">
        <f aca="false">(Thesis!I16*tk_hold_h100+Thesis!I17*tk_hold_gb200+Thesis!I18*tk_hold_gb300+Thesis!I19*tk_hold_vr200)/Thesis!I8</f>
        <v>11.3594282560989</v>
      </c>
      <c r="J20" s="14" t="n">
        <f aca="false">(Thesis!J16*tk_hold_h100+Thesis!J17*tk_hold_gb200+Thesis!J18*tk_hold_gb300+Thesis!J19*tk_hold_vr200)/Thesis!J8</f>
        <v>11.5455817917599</v>
      </c>
      <c r="K20" s="14" t="n">
        <f aca="false">(Thesis!K16*tk_hold_h100+Thesis!K17*tk_hold_gb200+Thesis!K18*tk_hold_gb300+Thesis!K19*tk_hold_vr200)/Thesis!K8</f>
        <v>11.8078187977246</v>
      </c>
    </row>
    <row r="21" customFormat="false" ht="17.15" hidden="false" customHeight="false" outlineLevel="0" collapsed="false">
      <c r="A21" s="0" t="s">
        <v>828</v>
      </c>
      <c r="B21" s="0" t="s">
        <v>185</v>
      </c>
      <c r="C21" s="14" t="n">
        <f aca="false">k_B</f>
        <v>1.17213932619116</v>
      </c>
      <c r="D21" s="14" t="n">
        <f aca="false">k_B</f>
        <v>1.17213932619116</v>
      </c>
      <c r="E21" s="14" t="n">
        <f aca="false">k_B</f>
        <v>1.17213932619116</v>
      </c>
      <c r="F21" s="14" t="n">
        <f aca="false">(k_B+((ls_A*k_long+(1-ls_A)*k_spot)-k_B)*MIN(1,(Thesis!F6-base_fy)/k_ramp))</f>
        <v>1.25022828131298</v>
      </c>
      <c r="G21" s="14" t="n">
        <f aca="false">(k_B+((ls_A*k_long+(1-ls_A)*k_spot)-k_B)*MIN(1,(Thesis!G6-base_fy)/k_ramp))</f>
        <v>1.3283172364348</v>
      </c>
      <c r="H21" s="14" t="n">
        <f aca="false">(k_B+((ls_A*k_long+(1-ls_A)*k_spot)-k_B)*MIN(1,(Thesis!H6-base_fy)/k_ramp))</f>
        <v>1.40640619155662</v>
      </c>
      <c r="I21" s="14" t="n">
        <f aca="false">(k_B+((ls_A*k_long+(1-ls_A)*k_spot)-k_B)*MIN(1,(Thesis!I6-base_fy)/k_ramp))</f>
        <v>1.40640619155662</v>
      </c>
      <c r="J21" s="14" t="n">
        <f aca="false">(k_B+((ls_A*k_long+(1-ls_A)*k_spot)-k_B)*MIN(1,(Thesis!J6-base_fy)/k_ramp))</f>
        <v>1.40640619155662</v>
      </c>
      <c r="K21" s="14" t="n">
        <f aca="false">(k_B+((ls_A*k_long+(1-ls_A)*k_spot)-k_B)*MIN(1,(Thesis!K6-base_fy)/k_ramp))</f>
        <v>1.40640619155662</v>
      </c>
      <c r="L21" s="1" t="s">
        <v>829</v>
      </c>
    </row>
    <row r="22" customFormat="false" ht="17.15" hidden="false" customHeight="false" outlineLevel="0" collapsed="false">
      <c r="A22" s="1" t="s">
        <v>830</v>
      </c>
      <c r="B22" s="0" t="s">
        <v>346</v>
      </c>
      <c r="C22" s="14" t="n">
        <f aca="false">Thesis!C20*Thesis!C21*chip_f</f>
        <v>11.3973387156315</v>
      </c>
      <c r="D22" s="14" t="n">
        <f aca="false">Thesis!D20*Thesis!D21*chip_f</f>
        <v>11.3973387156315</v>
      </c>
      <c r="E22" s="14" t="n">
        <f aca="false">Thesis!E20*Thesis!E21*chip_f</f>
        <v>11.3973387156315</v>
      </c>
      <c r="F22" s="14" t="n">
        <f aca="false">Thesis!F20*Thesis!F21*chip_f</f>
        <v>13.0123225874029</v>
      </c>
      <c r="G22" s="14" t="n">
        <f aca="false">Thesis!G20*Thesis!G21*chip_f</f>
        <v>14.3973822777458</v>
      </c>
      <c r="H22" s="14" t="n">
        <f aca="false">Thesis!H20*Thesis!H21*chip_f</f>
        <v>15.6548505449659</v>
      </c>
      <c r="I22" s="14" t="n">
        <f aca="false">Thesis!I20*Thesis!I21*chip_f</f>
        <v>15.9759702319207</v>
      </c>
      <c r="J22" s="14" t="n">
        <f aca="false">Thesis!J20*Thesis!J21*chip_f</f>
        <v>16.2377777170545</v>
      </c>
      <c r="K22" s="14" t="n">
        <f aca="false">Thesis!K20*Thesis!K21*chip_f</f>
        <v>16.6065894658985</v>
      </c>
      <c r="L22" s="1" t="s">
        <v>831</v>
      </c>
    </row>
    <row r="23" customFormat="false" ht="17.15" hidden="false" customHeight="false" outlineLevel="0" collapsed="false">
      <c r="A23" s="0" t="s">
        <v>832</v>
      </c>
      <c r="B23" s="0" t="s">
        <v>98</v>
      </c>
      <c r="D23" s="6" t="n">
        <f aca="false">(Thesis!C8+Thesis!D8)/2*Thesis!D22/1000</f>
        <v>12.9359794422418</v>
      </c>
      <c r="E23" s="6" t="n">
        <f aca="false">(Thesis!D8+Thesis!E8)/2*Thesis!E22/1000</f>
        <v>27.8095064661409</v>
      </c>
      <c r="F23" s="6" t="n">
        <f aca="false">(Thesis!E8+Thesis!F8)/2*Thesis!F22/1000</f>
        <v>58.7324192305018</v>
      </c>
      <c r="G23" s="6" t="n">
        <f aca="false">(Thesis!F8+Thesis!G8)/2*Thesis!G22/1000</f>
        <v>101.369089141153</v>
      </c>
      <c r="H23" s="6" t="n">
        <f aca="false">(Thesis!G8+Thesis!H8)/2*Thesis!H22/1000</f>
        <v>149.785610014234</v>
      </c>
      <c r="I23" s="6" t="n">
        <f aca="false">(Thesis!H8+Thesis!I8)/2*Thesis!I22/1000</f>
        <v>187.368703083263</v>
      </c>
      <c r="J23" s="6" t="n">
        <f aca="false">(Thesis!I8+Thesis!J8)/2*Thesis!J22/1000</f>
        <v>213.886657444854</v>
      </c>
      <c r="K23" s="6" t="n">
        <f aca="false">(Thesis!J8+Thesis!K8)/2*Thesis!K22/1000</f>
        <v>231.253475259589</v>
      </c>
      <c r="L23" s="11" t="s">
        <v>833</v>
      </c>
    </row>
    <row r="24" customFormat="false" ht="17.15" hidden="false" customHeight="false" outlineLevel="0" collapsed="false">
      <c r="A24" s="1" t="s">
        <v>834</v>
      </c>
      <c r="B24" s="0" t="s">
        <v>346</v>
      </c>
      <c r="C24" s="14" t="n">
        <f aca="false">(Thesis!C16*tk_opex_h100+Thesis!C17*tk_opex_gb200+Thesis!C18*tk_opex_gb300+Thesis!C19*tk_opex_vr200)/Thesis!C8</f>
        <v>1.88636041306092</v>
      </c>
      <c r="D24" s="14" t="n">
        <f aca="false">(Thesis!D16*tk_opex_h100+Thesis!D17*tk_opex_gb200+Thesis!D18*tk_opex_gb300+Thesis!D19*tk_opex_vr200)/Thesis!D8</f>
        <v>1.88636041306092</v>
      </c>
      <c r="E24" s="14" t="n">
        <f aca="false">(Thesis!E16*tk_opex_h100+Thesis!E17*tk_opex_gb200+Thesis!E18*tk_opex_gb300+Thesis!E19*tk_opex_vr200)/Thesis!E8</f>
        <v>1.88636041306092</v>
      </c>
      <c r="F24" s="14" t="n">
        <f aca="false">(Thesis!F16*tk_opex_h100+Thesis!F17*tk_opex_gb200+Thesis!F18*tk_opex_gb300+Thesis!F19*tk_opex_vr200)/Thesis!F8</f>
        <v>1.9430236476499</v>
      </c>
      <c r="G24" s="14" t="n">
        <f aca="false">(Thesis!G16*tk_opex_h100+Thesis!G17*tk_opex_gb200+Thesis!G18*tk_opex_gb300+Thesis!G19*tk_opex_vr200)/Thesis!G8</f>
        <v>1.9786941852423</v>
      </c>
      <c r="H24" s="14" t="n">
        <f aca="false">(Thesis!H16*tk_opex_h100+Thesis!H17*tk_opex_gb200+Thesis!H18*tk_opex_gb300+Thesis!H19*tk_opex_vr200)/Thesis!H8</f>
        <v>2.00289275976156</v>
      </c>
      <c r="I24" s="14" t="n">
        <f aca="false">(Thesis!I16*tk_opex_h100+Thesis!I17*tk_opex_gb200+Thesis!I18*tk_opex_gb300+Thesis!I19*tk_opex_vr200)/Thesis!I8</f>
        <v>2.02179589661219</v>
      </c>
      <c r="J24" s="14" t="n">
        <f aca="false">(Thesis!J16*tk_opex_h100+Thesis!J17*tk_opex_gb200+Thesis!J18*tk_opex_gb300+Thesis!J19*tk_opex_vr200)/Thesis!J8</f>
        <v>2.03720754193029</v>
      </c>
      <c r="K24" s="14" t="n">
        <f aca="false">(Thesis!K16*tk_opex_h100+Thesis!K17*tk_opex_gb200+Thesis!K18*tk_opex_gb300+Thesis!K19*tk_opex_vr200)/Thesis!K8</f>
        <v>2.0589181353437</v>
      </c>
    </row>
    <row r="25" customFormat="false" ht="17.15" hidden="false" customHeight="false" outlineLevel="0" collapsed="false">
      <c r="A25" s="0" t="s">
        <v>835</v>
      </c>
      <c r="B25" s="0" t="s">
        <v>98</v>
      </c>
      <c r="D25" s="6" t="n">
        <f aca="false">(Thesis!C11+Thesis!D11)/2*Thesis!D24/1000</f>
        <v>2.70378325872065</v>
      </c>
      <c r="E25" s="6" t="n">
        <f aca="false">(Thesis!D11+Thesis!E11)/2*Thesis!E24/1000</f>
        <v>6.17783035277451</v>
      </c>
      <c r="F25" s="6" t="n">
        <f aca="false">(Thesis!E11+Thesis!F11)/2*Thesis!F24/1000</f>
        <v>12.5020618235287</v>
      </c>
      <c r="G25" s="6" t="n">
        <f aca="false">(Thesis!F11+Thesis!G11)/2*Thesis!G24/1000</f>
        <v>20.7261620256847</v>
      </c>
      <c r="H25" s="6" t="n">
        <f aca="false">(Thesis!G11+Thesis!H11)/2*Thesis!H24/1000</f>
        <v>29.4158183316982</v>
      </c>
      <c r="I25" s="6" t="n">
        <f aca="false">(Thesis!H11+Thesis!I11)/2*Thesis!I24/1000</f>
        <v>36.9724400356344</v>
      </c>
      <c r="J25" s="6" t="n">
        <f aca="false">(Thesis!I11+Thesis!J11)/2*Thesis!J24/1000</f>
        <v>42.1571687189816</v>
      </c>
      <c r="K25" s="6" t="n">
        <f aca="false">(Thesis!J11+Thesis!K11)/2*Thesis!K24/1000</f>
        <v>45.1912095080704</v>
      </c>
    </row>
    <row r="26" customFormat="false" ht="17.15" hidden="false" customHeight="false" outlineLevel="0" collapsed="false">
      <c r="A26" s="0" t="s">
        <v>836</v>
      </c>
      <c r="B26" s="0" t="s">
        <v>98</v>
      </c>
      <c r="D26" s="6" t="n">
        <f aca="false">(Thesis!C9+Thesis!D9)/2*rent_mw/1000</f>
        <v>2.44475</v>
      </c>
      <c r="E26" s="6" t="n">
        <f aca="false">(Thesis!D9+Thesis!E9)/2*rent_mw/1000</f>
        <v>4.22275</v>
      </c>
      <c r="F26" s="6" t="n">
        <f aca="false">(Thesis!E9+Thesis!F9)/2*rent_mw/1000</f>
        <v>5.80517</v>
      </c>
      <c r="G26" s="6" t="n">
        <f aca="false">(Thesis!F9+Thesis!G9)/2*rent_mw/1000</f>
        <v>6.72084</v>
      </c>
      <c r="H26" s="6" t="n">
        <f aca="false">(Thesis!G9+Thesis!H9)/2*rent_mw/1000</f>
        <v>6.72084</v>
      </c>
      <c r="I26" s="6" t="n">
        <f aca="false">(Thesis!H9+Thesis!I9)/2*rent_mw/1000</f>
        <v>6.72084</v>
      </c>
      <c r="J26" s="6" t="n">
        <f aca="false">(Thesis!I9+Thesis!J9)/2*rent_mw/1000</f>
        <v>6.72084</v>
      </c>
      <c r="K26" s="6" t="n">
        <f aca="false">(Thesis!J9+Thesis!K9)/2*rent_mw/1000</f>
        <v>6.72084</v>
      </c>
    </row>
    <row r="27" customFormat="false" ht="17.15" hidden="false" customHeight="false" outlineLevel="0" collapsed="false">
      <c r="A27" s="0" t="s">
        <v>837</v>
      </c>
      <c r="B27" s="0" t="s">
        <v>98</v>
      </c>
      <c r="D27" s="6" t="n">
        <f aca="false">(Thesis!C11+Thesis!D11)/2*(1-self_build)*fac_rent/1000</f>
        <v>0.853242375631075</v>
      </c>
      <c r="E27" s="6" t="n">
        <f aca="false">(Thesis!D11+Thesis!E11)/2*(1-self_build)*fac_rent/1000</f>
        <v>1.94955961408728</v>
      </c>
      <c r="F27" s="6" t="n">
        <f aca="false">(Thesis!E11+Thesis!F11)/2*(1-self_build)*fac_rent/1000</f>
        <v>3.83026455274573</v>
      </c>
      <c r="G27" s="6" t="n">
        <f aca="false">(Thesis!F11+Thesis!G11)/2*(1-self_build)*fac_rent/1000</f>
        <v>6.23541590972812</v>
      </c>
      <c r="H27" s="6" t="n">
        <f aca="false">(Thesis!G11+Thesis!H11)/2*(1-self_build)*fac_rent/1000</f>
        <v>8.74275792332679</v>
      </c>
      <c r="I27" s="6" t="n">
        <f aca="false">(Thesis!H11+Thesis!I11)/2*(1-self_build)*fac_rent/1000</f>
        <v>10.8859420438599</v>
      </c>
      <c r="J27" s="6" t="n">
        <f aca="false">(Thesis!I11+Thesis!J11)/2*(1-self_build)*fac_rent/1000</f>
        <v>12.3186006405366</v>
      </c>
      <c r="K27" s="6" t="n">
        <f aca="false">(Thesis!J11+Thesis!K11)/2*(1-self_build)*fac_rent/1000</f>
        <v>13.0659232089824</v>
      </c>
      <c r="L27" s="11" t="s">
        <v>838</v>
      </c>
    </row>
    <row r="28" customFormat="false" ht="17.15" hidden="false" customHeight="false" outlineLevel="0" collapsed="false">
      <c r="A28" s="1" t="s">
        <v>839</v>
      </c>
      <c r="B28" s="0" t="s">
        <v>129</v>
      </c>
      <c r="D28" s="7" t="n">
        <f aca="false">(Thesis!C10+Thesis!D10)/(Thesis!C11+Thesis!D11)</f>
        <v>0.6</v>
      </c>
      <c r="E28" s="7" t="n">
        <f aca="false">(Thesis!D10+Thesis!E10)/(Thesis!D11+Thesis!E11)</f>
        <v>0.6</v>
      </c>
      <c r="F28" s="7" t="n">
        <f aca="false">(Thesis!E10+Thesis!F10)/(Thesis!E11+Thesis!F11)</f>
        <v>0.6</v>
      </c>
      <c r="G28" s="7" t="n">
        <f aca="false">(Thesis!F10+Thesis!G10)/(Thesis!F11+Thesis!G11)</f>
        <v>0.6</v>
      </c>
      <c r="H28" s="7" t="n">
        <f aca="false">(Thesis!G10+Thesis!H10)/(Thesis!G11+Thesis!H11)</f>
        <v>0.6</v>
      </c>
      <c r="I28" s="7" t="n">
        <f aca="false">(Thesis!H10+Thesis!I10)/(Thesis!H11+Thesis!I11)</f>
        <v>0.6</v>
      </c>
      <c r="J28" s="7" t="n">
        <f aca="false">(Thesis!I10+Thesis!J10)/(Thesis!I11+Thesis!J11)</f>
        <v>0.6</v>
      </c>
      <c r="K28" s="7" t="n">
        <f aca="false">(Thesis!J10+Thesis!K10)/(Thesis!J11+Thesis!K11)</f>
        <v>0.6</v>
      </c>
    </row>
    <row r="29" customFormat="false" ht="17.15" hidden="false" customHeight="false" outlineLevel="0" collapsed="false">
      <c r="A29" s="0" t="s">
        <v>840</v>
      </c>
      <c r="B29" s="0" t="s">
        <v>98</v>
      </c>
      <c r="D29" s="6" t="n">
        <f aca="false">Thesis!D23-Thesis!D28*(Thesis!D25+Thesis!D27)-Thesis!D26</f>
        <v>8.35701406163072</v>
      </c>
      <c r="E29" s="6" t="n">
        <f aca="false">Thesis!E23-Thesis!E28*(Thesis!E25+Thesis!E27)-Thesis!E26</f>
        <v>18.7103224860238</v>
      </c>
      <c r="F29" s="6" t="n">
        <f aca="false">Thesis!F23-Thesis!F28*(Thesis!F25+Thesis!F27)-Thesis!F26</f>
        <v>43.1278534047371</v>
      </c>
      <c r="G29" s="6" t="n">
        <f aca="false">Thesis!G23-Thesis!G28*(Thesis!G25+Thesis!G27)-Thesis!G26</f>
        <v>78.4713023799053</v>
      </c>
      <c r="H29" s="6" t="n">
        <f aca="false">Thesis!H23-Thesis!H28*(Thesis!H25+Thesis!H27)-Thesis!H26</f>
        <v>120.169624261219</v>
      </c>
      <c r="I29" s="6" t="n">
        <f aca="false">Thesis!I23-Thesis!I28*(Thesis!I25+Thesis!I27)-Thesis!I26</f>
        <v>151.932833835566</v>
      </c>
      <c r="J29" s="6" t="n">
        <f aca="false">Thesis!J23-Thesis!J28*(Thesis!J25+Thesis!J27)-Thesis!J26</f>
        <v>174.480355829143</v>
      </c>
      <c r="K29" s="6" t="n">
        <f aca="false">Thesis!K23-Thesis!K28*(Thesis!K25+Thesis!K27)-Thesis!K26</f>
        <v>189.578355629358</v>
      </c>
    </row>
    <row r="30" customFormat="false" ht="17.15" hidden="false" customHeight="false" outlineLevel="0" collapsed="false">
      <c r="A30" s="1" t="s">
        <v>841</v>
      </c>
      <c r="B30" s="0" t="s">
        <v>98</v>
      </c>
      <c r="D30" s="6" t="n">
        <f aca="false">(1-Thesis!D28)*(Thesis!D25+Thesis!D27)</f>
        <v>1.42281025374069</v>
      </c>
      <c r="E30" s="6" t="n">
        <f aca="false">(1-Thesis!E28)*(Thesis!E25+Thesis!E27)</f>
        <v>3.25095598674472</v>
      </c>
      <c r="F30" s="6" t="n">
        <f aca="false">(1-Thesis!F28)*(Thesis!F25+Thesis!F27)</f>
        <v>6.53293055050977</v>
      </c>
      <c r="G30" s="6" t="n">
        <f aca="false">(1-Thesis!G28)*(Thesis!G25+Thesis!G27)</f>
        <v>10.7846311741651</v>
      </c>
      <c r="H30" s="6" t="n">
        <f aca="false">(1-Thesis!H28)*(Thesis!H25+Thesis!H27)</f>
        <v>15.26343050201</v>
      </c>
      <c r="I30" s="6" t="n">
        <f aca="false">(1-Thesis!I28)*(Thesis!I25+Thesis!I27)</f>
        <v>19.1433528317977</v>
      </c>
      <c r="J30" s="6" t="n">
        <f aca="false">(1-Thesis!J28)*(Thesis!J25+Thesis!J27)</f>
        <v>21.7903077438073</v>
      </c>
      <c r="K30" s="6" t="n">
        <f aca="false">(1-Thesis!K28)*(Thesis!K25+Thesis!K27)</f>
        <v>23.3028530868211</v>
      </c>
    </row>
    <row r="31" customFormat="false" ht="17.15" hidden="false" customHeight="false" outlineLevel="0" collapsed="false">
      <c r="A31" s="1" t="s">
        <v>842</v>
      </c>
      <c r="B31" s="0" t="s">
        <v>357</v>
      </c>
      <c r="C31" s="8" t="n">
        <f aca="false">cxit_open</f>
        <v>27.5918995</v>
      </c>
      <c r="D31" s="8" t="n">
        <f aca="false">cxit_open</f>
        <v>27.5918995</v>
      </c>
      <c r="E31" s="8" t="n">
        <f aca="false">cxit_open</f>
        <v>27.5918995</v>
      </c>
      <c r="F31" s="8" t="n">
        <f aca="false">(a_g3_27*tk_cxit_gb300+(1-a_g3_27)*tk_cxit_vr200)</f>
        <v>33.8419624</v>
      </c>
      <c r="G31" s="8" t="n">
        <f aca="false">(a_g3_28*tk_cxit_gb300+(1-a_g3_28)*tk_cxit_vr200)</f>
        <v>35.9816136</v>
      </c>
      <c r="H31" s="8" t="n">
        <f aca="false">(a_g3_29*tk_cxit_gb300+(1-a_g3_29)*tk_cxit_vr200)</f>
        <v>37.0514392</v>
      </c>
      <c r="I31" s="8" t="n">
        <f aca="false">(a_g3_29*tk_cxit_gb300+(1-a_g3_29)*tk_cxit_vr200)</f>
        <v>37.0514392</v>
      </c>
      <c r="J31" s="8" t="n">
        <f aca="false">(a_g3_29*tk_cxit_gb300+(1-a_g3_29)*tk_cxit_vr200)</f>
        <v>37.0514392</v>
      </c>
      <c r="K31" s="8" t="n">
        <f aca="false">(a_g3_29*tk_cxit_gb300+(1-a_g3_29)*tk_cxit_vr200)</f>
        <v>37.0514392</v>
      </c>
      <c r="L31" s="11" t="s">
        <v>843</v>
      </c>
    </row>
    <row r="32" customFormat="false" ht="17.15" hidden="false" customHeight="false" outlineLevel="0" collapsed="false">
      <c r="A32" s="0" t="s">
        <v>844</v>
      </c>
      <c r="B32" s="0" t="s">
        <v>399</v>
      </c>
      <c r="F32" s="29" t="n">
        <f aca="false">Thesis!C13*IF(Thesis!F6-Thesis!C6=life_it,1,0)+Thesis!D13*IF(Thesis!F6-Thesis!D6=life_it,1,0)+Thesis!E13*IF(Thesis!F6-Thesis!E6=life_it,1,0)</f>
        <v>0</v>
      </c>
      <c r="G32" s="29" t="n">
        <f aca="false">Thesis!C13*IF(Thesis!G6-Thesis!C6=life_it,1,0)+Thesis!D13*IF(Thesis!G6-Thesis!D6=life_it,1,0)+Thesis!E13*IF(Thesis!G6-Thesis!E6=life_it,1,0)+Thesis!F13*IF(Thesis!G6-Thesis!F6=life_it,1,0)</f>
        <v>0</v>
      </c>
      <c r="H32" s="29" t="n">
        <f aca="false">Thesis!C13*IF(Thesis!H6-Thesis!C6=life_it,1,0)+Thesis!D13*IF(Thesis!H6-Thesis!D6=life_it,1,0)+Thesis!E13*IF(Thesis!H6-Thesis!E6=life_it,1,0)+Thesis!F13*IF(Thesis!H6-Thesis!F6=life_it,1,0)+Thesis!G13*IF(Thesis!H6-Thesis!G6=life_it,1,0)</f>
        <v>0</v>
      </c>
      <c r="I32" s="29" t="n">
        <f aca="false">Thesis!C13*IF(Thesis!I6-Thesis!C6=life_it,1,0)+Thesis!D13*IF(Thesis!I6-Thesis!D6=life_it,1,0)+Thesis!E13*IF(Thesis!I6-Thesis!E6=life_it,1,0)+Thesis!F13*IF(Thesis!I6-Thesis!F6=life_it,1,0)+Thesis!G13*IF(Thesis!I6-Thesis!G6=life_it,1,0)+Thesis!H13*IF(Thesis!I6-Thesis!H6=life_it,1,0)</f>
        <v>816.666666666667</v>
      </c>
      <c r="J32" s="29" t="n">
        <f aca="false">Thesis!C13*IF(Thesis!J6-Thesis!C6=life_it,1,0)+Thesis!D13*IF(Thesis!J6-Thesis!D6=life_it,1,0)+Thesis!E13*IF(Thesis!J6-Thesis!E6=life_it,1,0)+Thesis!F13*IF(Thesis!J6-Thesis!F6=life_it,1,0)+Thesis!G13*IF(Thesis!J6-Thesis!G6=life_it,1,0)+Thesis!H13*IF(Thesis!J6-Thesis!H6=life_it,1,0)+Thesis!I13*IF(Thesis!J6-Thesis!I6=life_it,1,0)</f>
        <v>1233.33333333333</v>
      </c>
      <c r="K32" s="29" t="n">
        <f aca="false">Thesis!C13*IF(Thesis!K6-Thesis!C6=life_it,1,0)+Thesis!D13*IF(Thesis!K6-Thesis!D6=life_it,1,0)+Thesis!E13*IF(Thesis!K6-Thesis!E6=life_it,1,0)+Thesis!F13*IF(Thesis!K6-Thesis!F6=life_it,1,0)+Thesis!G13*IF(Thesis!K6-Thesis!G6=life_it,1,0)+Thesis!H13*IF(Thesis!K6-Thesis!H6=life_it,1,0)+Thesis!I13*IF(Thesis!K6-Thesis!I6=life_it,1,0)+Thesis!J13*IF(Thesis!K6-Thesis!J6=life_it,1,0)</f>
        <v>2450</v>
      </c>
      <c r="L32" s="1" t="s">
        <v>845</v>
      </c>
    </row>
    <row r="33" customFormat="false" ht="17.15" hidden="false" customHeight="false" outlineLevel="0" collapsed="false">
      <c r="A33" s="0" t="s">
        <v>846</v>
      </c>
      <c r="B33" s="0" t="s">
        <v>98</v>
      </c>
      <c r="C33" s="6" t="n">
        <f aca="false">Thesis!C13*Thesis!C31/1000</f>
        <v>22.5333845916667</v>
      </c>
      <c r="D33" s="6" t="n">
        <f aca="false">Thesis!D13*Thesis!D31/1000</f>
        <v>34.0300093833333</v>
      </c>
      <c r="E33" s="6" t="n">
        <f aca="false">Thesis!E13*Thesis!E31/1000</f>
        <v>67.600153775</v>
      </c>
      <c r="F33" s="6" t="n">
        <f aca="false">(Thesis!F13+Thesis!F32)*Thesis!F31/1000</f>
        <v>130.923271871467</v>
      </c>
      <c r="G33" s="6" t="n">
        <f aca="false">(Thesis!G13+Thesis!G32)*Thesis!G31/1000</f>
        <v>151.5545564832</v>
      </c>
      <c r="H33" s="6" t="n">
        <f aca="false">(Thesis!H13+Thesis!H32)*Thesis!H31/1000</f>
        <v>156.0606619104</v>
      </c>
      <c r="I33" s="6" t="n">
        <f aca="false">(Thesis!I13+Thesis!I32)*Thesis!I31/1000</f>
        <v>140.987889434245</v>
      </c>
      <c r="J33" s="6" t="n">
        <f aca="false">(Thesis!J13+Thesis!J32)*Thesis!J31/1000</f>
        <v>113.309125559842</v>
      </c>
      <c r="K33" s="6" t="n">
        <f aca="false">(Thesis!K13+Thesis!K32)*Thesis!K31/1000</f>
        <v>116.192591420959</v>
      </c>
    </row>
    <row r="34" customFormat="false" ht="17.15" hidden="false" customHeight="false" outlineLevel="0" collapsed="false">
      <c r="A34" s="0" t="s">
        <v>847</v>
      </c>
      <c r="B34" s="0" t="s">
        <v>98</v>
      </c>
      <c r="C34" s="6" t="n">
        <f aca="false">Thesis!C13*self_build*tk_cxfac/1000</f>
        <v>6.2083</v>
      </c>
      <c r="D34" s="6" t="n">
        <f aca="false">Thesis!D13*self_build*tk_cxfac/1000</f>
        <v>9.3758</v>
      </c>
      <c r="E34" s="6" t="n">
        <f aca="false">Thesis!E13*self_build*tk_cxfac/1000</f>
        <v>18.6249</v>
      </c>
      <c r="F34" s="6" t="n">
        <f aca="false">Thesis!F13*self_build*tk_cxfac/1000</f>
        <v>29.409604</v>
      </c>
      <c r="G34" s="6" t="n">
        <f aca="false">Thesis!G13*self_build*tk_cxfac/1000</f>
        <v>32.019624</v>
      </c>
      <c r="H34" s="6" t="n">
        <f aca="false">Thesis!H13*self_build*tk_cxfac/1000</f>
        <v>32.019624</v>
      </c>
      <c r="I34" s="6" t="n">
        <f aca="false">Thesis!I13*self_build*tk_cxfac/1000</f>
        <v>22.71877972</v>
      </c>
      <c r="J34" s="6" t="n">
        <f aca="false">Thesis!J13*self_build*tk_cxfac/1000</f>
        <v>13.8723110344</v>
      </c>
      <c r="K34" s="6" t="n">
        <f aca="false">Thesis!K13*self_build*tk_cxfac/1000</f>
        <v>5.214823882632</v>
      </c>
    </row>
    <row r="35" customFormat="false" ht="17.15" hidden="false" customHeight="false" outlineLevel="0" collapsed="false">
      <c r="A35" s="0" t="s">
        <v>848</v>
      </c>
      <c r="B35" s="0" t="s">
        <v>98</v>
      </c>
      <c r="F35" s="6" t="n">
        <f aca="false">MAX(0,capex_floor27-Thesis!F33-Thesis!F34-CF!F24)</f>
        <v>8.13777689897088</v>
      </c>
    </row>
    <row r="36" customFormat="false" ht="17.15" hidden="false" customHeight="false" outlineLevel="0" collapsed="false">
      <c r="A36" s="0" t="s">
        <v>849</v>
      </c>
      <c r="B36" s="0" t="s">
        <v>98</v>
      </c>
      <c r="C36" s="6" t="n">
        <f aca="false">Thesis!C33</f>
        <v>22.5333845916667</v>
      </c>
      <c r="D36" s="6" t="n">
        <f aca="false">Thesis!D33</f>
        <v>34.0300093833333</v>
      </c>
      <c r="E36" s="6" t="n">
        <f aca="false">Thesis!E33</f>
        <v>67.600153775</v>
      </c>
      <c r="F36" s="6" t="n">
        <f aca="false">Thesis!F33</f>
        <v>130.923271871467</v>
      </c>
      <c r="G36" s="6" t="n">
        <f aca="false">Thesis!G33</f>
        <v>151.5545564832</v>
      </c>
      <c r="H36" s="6" t="n">
        <f aca="false">Thesis!H33</f>
        <v>156.0606619104</v>
      </c>
      <c r="I36" s="6" t="n">
        <f aca="false">Thesis!I33</f>
        <v>140.987889434245</v>
      </c>
      <c r="J36" s="6" t="n">
        <f aca="false">Thesis!J33</f>
        <v>113.309125559842</v>
      </c>
      <c r="K36" s="6" t="n">
        <f aca="false">Thesis!K33</f>
        <v>116.192591420959</v>
      </c>
    </row>
    <row r="37" customFormat="false" ht="17.15" hidden="false" customHeight="false" outlineLevel="0" collapsed="false">
      <c r="A37" s="0" t="s">
        <v>850</v>
      </c>
      <c r="B37" s="0" t="s">
        <v>98</v>
      </c>
      <c r="C37" s="6" t="n">
        <f aca="false">Thesis!C36+Thesis!C34</f>
        <v>28.7416845916667</v>
      </c>
      <c r="D37" s="6" t="n">
        <f aca="false">Thesis!D36+Thesis!D34</f>
        <v>43.4058093833333</v>
      </c>
      <c r="E37" s="6" t="n">
        <f aca="false">Thesis!E36+Thesis!E34</f>
        <v>86.225053775</v>
      </c>
      <c r="F37" s="6" t="n">
        <f aca="false">Thesis!F36+Thesis!F34</f>
        <v>160.332875871467</v>
      </c>
      <c r="G37" s="6" t="n">
        <f aca="false">Thesis!G36+Thesis!G34</f>
        <v>183.5741804832</v>
      </c>
      <c r="H37" s="6" t="n">
        <f aca="false">Thesis!H36+Thesis!H34</f>
        <v>188.0802859104</v>
      </c>
      <c r="I37" s="6" t="n">
        <f aca="false">Thesis!I36+Thesis!I34</f>
        <v>163.706669154245</v>
      </c>
      <c r="J37" s="6" t="n">
        <f aca="false">Thesis!J36+Thesis!J34</f>
        <v>127.181436594242</v>
      </c>
      <c r="K37" s="6" t="n">
        <f aca="false">Thesis!K36+Thesis!K34</f>
        <v>121.407415303591</v>
      </c>
      <c r="L37" s="11" t="s">
        <v>851</v>
      </c>
    </row>
    <row r="38" customFormat="false" ht="17.15" hidden="false" customHeight="false" outlineLevel="0" collapsed="false">
      <c r="A38" s="0" t="s">
        <v>852</v>
      </c>
      <c r="B38" s="0" t="s">
        <v>98</v>
      </c>
      <c r="E38" s="6" t="n">
        <f aca="false">(Thesis!C36*IF(2&lt;life_it,1,IF(2=life_it,0.5,0))+Thesis!D36*IF(1&lt;life_it,1,IF(1=life_it,0.5,0))+Thesis!E36*0.5)/life_it</f>
        <v>15.0605784770833</v>
      </c>
      <c r="F38" s="6" t="n">
        <f aca="false">(Thesis!C36*IF(3&lt;life_it,1,IF(3=life_it,0.5,0))+Thesis!D36*IF(2&lt;life_it,1,IF(2=life_it,0.5,0))+Thesis!E36*IF(1&lt;life_it,1,IF(1=life_it,0.5,0))+Thesis!F36*0.5)/life_it</f>
        <v>31.6041972809556</v>
      </c>
      <c r="G38" s="6" t="n">
        <f aca="false">(Thesis!C36*IF(4&lt;life_it,1,IF(4=life_it,0.5,0))+Thesis!D36*IF(3&lt;life_it,1,IF(3=life_it,0.5,0))+Thesis!E36*IF(2&lt;life_it,1,IF(2=life_it,0.5,0))+Thesis!F36*IF(1&lt;life_it,1,IF(1=life_it,0.5,0))+Thesis!G36*0.5)/life_it</f>
        <v>55.1440163105111</v>
      </c>
      <c r="H38" s="6" t="n">
        <f aca="false">(Thesis!C36*IF(5&lt;life_it,1,IF(5=life_it,0.5,0))+Thesis!D36*IF(4&lt;life_it,1,IF(4=life_it,0.5,0))+Thesis!E36*IF(3&lt;life_it,1,IF(3=life_it,0.5,0))+Thesis!F36*IF(2&lt;life_it,1,IF(2=life_it,0.5,0))+Thesis!G36*IF(1&lt;life_it,1,IF(1=life_it,0.5,0))+Thesis!H36*0.5)/life_it</f>
        <v>80.7786178433111</v>
      </c>
      <c r="I38" s="6" t="n">
        <f aca="false">(Thesis!C36*IF(6&lt;life_it,1,IF(6=life_it,0.5,0))+Thesis!D36*IF(5&lt;life_it,1,IF(5=life_it,0.5,0))+Thesis!E36*IF(4&lt;life_it,1,IF(4=life_it,0.5,0))+Thesis!F36*IF(3&lt;life_it,1,IF(3=life_it,0.5,0))+Thesis!G36*IF(2&lt;life_it,1,IF(2=life_it,0.5,0))+Thesis!H36*IF(1&lt;life_it,1,IF(1=life_it,0.5,0))+Thesis!I36*0.5)/life_it</f>
        <v>103.654881739393</v>
      </c>
      <c r="J38" s="6" t="n">
        <f aca="false">(Thesis!C36*IF(7&lt;life_it,1,IF(7=life_it,0.5,0))+Thesis!D36*IF(6&lt;life_it,1,IF(6=life_it,0.5,0))+Thesis!E36*IF(5&lt;life_it,1,IF(5=life_it,0.5,0))+Thesis!F36*IF(4&lt;life_it,1,IF(4=life_it,0.5,0))+Thesis!G36*IF(3&lt;life_it,1,IF(3=life_it,0.5,0))+Thesis!H36*IF(2&lt;life_it,1,IF(2=life_it,0.5,0))+Thesis!I36*IF(1&lt;life_it,1,IF(1=life_it,0.5,0))+Thesis!J36*0.5)/life_it</f>
        <v>120.132683490983</v>
      </c>
      <c r="K38" s="6" t="n">
        <f aca="false">(Thesis!C36*IF(8&lt;life_it,1,IF(8=life_it,0.5,0))+Thesis!D36*IF(7&lt;life_it,1,IF(7=life_it,0.5,0))+Thesis!E36*IF(6&lt;life_it,1,IF(6=life_it,0.5,0))+Thesis!F36*IF(5&lt;life_it,1,IF(5=life_it,0.5,0))+Thesis!G36*IF(4&lt;life_it,1,IF(4=life_it,0.5,0))+Thesis!H36*IF(3&lt;life_it,1,IF(3=life_it,0.5,0))+Thesis!I36*IF(2&lt;life_it,1,IF(2=life_it,0.5,0))+Thesis!J36*IF(1&lt;life_it,1,IF(1=life_it,0.5,0))+Thesis!K36*0.5)/life_it</f>
        <v>130.788646309522</v>
      </c>
    </row>
    <row r="39" customFormat="false" ht="17.15" hidden="false" customHeight="false" outlineLevel="0" collapsed="false">
      <c r="A39" s="0" t="s">
        <v>853</v>
      </c>
      <c r="B39" s="0" t="s">
        <v>98</v>
      </c>
      <c r="E39" s="6" t="n">
        <f aca="false">(Thesis!C34*IF(2&lt;life_fac,1,IF(2=life_fac,0.5,0))+Thesis!D34*IF(1&lt;life_fac,1,IF(1=life_fac,0.5,0))+Thesis!E34*0.5)/life_fac</f>
        <v>1.2448275</v>
      </c>
      <c r="F39" s="6" t="n">
        <f aca="false">(Thesis!C34*IF(3&lt;life_fac,1,IF(3=life_fac,0.5,0))+Thesis!D34*IF(2&lt;life_fac,1,IF(2=life_fac,0.5,0))+Thesis!E34*IF(1&lt;life_fac,1,IF(1=life_fac,0.5,0))+Thesis!F34*0.5)/life_fac</f>
        <v>2.4456901</v>
      </c>
      <c r="G39" s="6" t="n">
        <f aca="false">(Thesis!C34*IF(4&lt;life_fac,1,IF(4=life_fac,0.5,0))+Thesis!D34*IF(3&lt;life_fac,1,IF(3=life_fac,0.5,0))+Thesis!E34*IF(2&lt;life_fac,1,IF(2=life_fac,0.5,0))+Thesis!F34*IF(1&lt;life_fac,1,IF(1=life_fac,0.5,0))+Thesis!G34*0.5)/life_fac</f>
        <v>3.9814208</v>
      </c>
      <c r="H39" s="6" t="n">
        <f aca="false">(Thesis!C34*IF(5&lt;life_fac,1,IF(5=life_fac,0.5,0))+Thesis!D34*IF(4&lt;life_fac,1,IF(4=life_fac,0.5,0))+Thesis!E34*IF(3&lt;life_fac,1,IF(3=life_fac,0.5,0))+Thesis!F34*IF(2&lt;life_fac,1,IF(2=life_fac,0.5,0))+Thesis!G34*IF(1&lt;life_fac,1,IF(1=life_fac,0.5,0))+Thesis!H34*0.5)/life_fac</f>
        <v>5.582402</v>
      </c>
      <c r="I39" s="6" t="n">
        <f aca="false">(Thesis!C34*IF(6&lt;life_fac,1,IF(6=life_fac,0.5,0))+Thesis!D34*IF(5&lt;life_fac,1,IF(5=life_fac,0.5,0))+Thesis!E34*IF(4&lt;life_fac,1,IF(4=life_fac,0.5,0))+Thesis!F34*IF(3&lt;life_fac,1,IF(3=life_fac,0.5,0))+Thesis!G34*IF(2&lt;life_fac,1,IF(2=life_fac,0.5,0))+Thesis!H34*IF(1&lt;life_fac,1,IF(1=life_fac,0.5,0))+Thesis!I34*0.5)/life_fac</f>
        <v>6.950862093</v>
      </c>
      <c r="J39" s="6" t="n">
        <f aca="false">(Thesis!C34*IF(7&lt;life_fac,1,IF(7=life_fac,0.5,0))+Thesis!D34*IF(6&lt;life_fac,1,IF(6=life_fac,0.5,0))+Thesis!E34*IF(5&lt;life_fac,1,IF(5=life_fac,0.5,0))+Thesis!F34*IF(4&lt;life_fac,1,IF(4=life_fac,0.5,0))+Thesis!G34*IF(3&lt;life_fac,1,IF(3=life_fac,0.5,0))+Thesis!H34*IF(2&lt;life_fac,1,IF(2=life_fac,0.5,0))+Thesis!I34*IF(1&lt;life_fac,1,IF(1=life_fac,0.5,0))+Thesis!J34*0.5)/life_fac</f>
        <v>7.86563936186</v>
      </c>
      <c r="K39" s="6" t="n">
        <f aca="false">(Thesis!C34*IF(8&lt;life_fac,1,IF(8=life_fac,0.5,0))+Thesis!D34*IF(7&lt;life_fac,1,IF(7=life_fac,0.5,0))+Thesis!E34*IF(6&lt;life_fac,1,IF(6=life_fac,0.5,0))+Thesis!F34*IF(5&lt;life_fac,1,IF(5=life_fac,0.5,0))+Thesis!G34*IF(4&lt;life_fac,1,IF(4=life_fac,0.5,0))+Thesis!H34*IF(3&lt;life_fac,1,IF(3=life_fac,0.5,0))+Thesis!I34*IF(2&lt;life_fac,1,IF(2=life_fac,0.5,0))+Thesis!J34*IF(1&lt;life_fac,1,IF(1=life_fac,0.5,0))+Thesis!K34*0.5)/life_fac</f>
        <v>8.3428177347858</v>
      </c>
    </row>
    <row r="40" customFormat="false" ht="17.15" hidden="false" customHeight="false" outlineLevel="0" collapsed="false">
      <c r="A40" s="0" t="s">
        <v>854</v>
      </c>
      <c r="B40" s="0" t="s">
        <v>98</v>
      </c>
      <c r="E40" s="6" t="n">
        <f aca="false">Thesis!E38+Thesis!E39</f>
        <v>16.3054059770833</v>
      </c>
      <c r="F40" s="6" t="n">
        <f aca="false">Thesis!F38+Thesis!F39</f>
        <v>34.0498873809555</v>
      </c>
      <c r="G40" s="6" t="n">
        <f aca="false">Thesis!G38+Thesis!G39</f>
        <v>59.1254371105111</v>
      </c>
      <c r="H40" s="6" t="n">
        <f aca="false">Thesis!H38+Thesis!H39</f>
        <v>86.3610198433111</v>
      </c>
      <c r="I40" s="6" t="n">
        <f aca="false">Thesis!I38+Thesis!I39</f>
        <v>110.605743832393</v>
      </c>
      <c r="J40" s="6" t="n">
        <f aca="false">Thesis!J38+Thesis!J39</f>
        <v>127.998322852843</v>
      </c>
      <c r="K40" s="6" t="n">
        <f aca="false">Thesis!K38+Thesis!K39</f>
        <v>139.131464044308</v>
      </c>
    </row>
    <row r="41" customFormat="false" ht="17.15" hidden="false" customHeight="false" outlineLevel="0" collapsed="false">
      <c r="A41" s="0" t="s">
        <v>855</v>
      </c>
      <c r="B41" s="0" t="s">
        <v>98</v>
      </c>
      <c r="E41" s="6" t="n">
        <f aca="false">Thesis!E29-Thesis!E28*Thesis!E40</f>
        <v>8.92707889977379</v>
      </c>
      <c r="F41" s="6" t="n">
        <f aca="false">Thesis!F29-Thesis!F28*Thesis!F40</f>
        <v>22.6979209761638</v>
      </c>
      <c r="G41" s="6" t="n">
        <f aca="false">Thesis!G29-Thesis!G28*Thesis!G40</f>
        <v>42.9960401135986</v>
      </c>
      <c r="H41" s="6" t="n">
        <f aca="false">Thesis!H29-Thesis!H28*Thesis!H40</f>
        <v>68.3530123552322</v>
      </c>
      <c r="I41" s="6" t="n">
        <f aca="false">Thesis!I29-Thesis!I28*Thesis!I40</f>
        <v>85.5693875361303</v>
      </c>
      <c r="J41" s="6" t="n">
        <f aca="false">Thesis!J29-Thesis!J28*Thesis!J40</f>
        <v>97.6813621174372</v>
      </c>
      <c r="K41" s="6" t="n">
        <f aca="false">Thesis!K29-Thesis!K28*Thesis!K40</f>
        <v>106.099477202773</v>
      </c>
    </row>
    <row r="42" customFormat="false" ht="17.15" hidden="false" customHeight="false" outlineLevel="0" collapsed="false">
      <c r="A42" s="0" t="s">
        <v>856</v>
      </c>
      <c r="B42" s="0" t="s">
        <v>98</v>
      </c>
      <c r="E42" s="6" t="n">
        <f aca="false">Seg!E11</f>
        <v>5.25</v>
      </c>
      <c r="F42" s="6" t="n">
        <f aca="false">Seg!F11</f>
        <v>13.5</v>
      </c>
      <c r="G42" s="6" t="n">
        <f aca="false">Seg!G11</f>
        <v>22.5</v>
      </c>
      <c r="H42" s="6" t="n">
        <f aca="false">Seg!H11</f>
        <v>31.5</v>
      </c>
      <c r="I42" s="6" t="n">
        <f aca="false">Seg!I11</f>
        <v>38.25</v>
      </c>
      <c r="J42" s="6" t="n">
        <f aca="false">Seg!J11</f>
        <v>42.75</v>
      </c>
      <c r="K42" s="6" t="n">
        <f aca="false">Seg!K11</f>
        <v>47.25</v>
      </c>
    </row>
    <row r="43" customFormat="false" ht="17.15" hidden="false" customHeight="false" outlineLevel="0" collapsed="false">
      <c r="A43" s="1" t="s">
        <v>857</v>
      </c>
      <c r="B43" s="0" t="s">
        <v>98</v>
      </c>
      <c r="F43" s="6" t="n">
        <f aca="false">MAX(0,((Thesis!E12+Thesis!F12)/2-(shadow_base*(Thesis!$D$12+Thesis!$E$12)/2+(1-shadow_base)*Thesis!$E$12))*Thesis!F20/1000-(Thesis!F42-Thesis!$E$42)*PL!F31)</f>
        <v>8.44248444763781</v>
      </c>
      <c r="G43" s="6" t="n">
        <f aca="false">MAX(0,((Thesis!F12+Thesis!G12)/2-(shadow_base*(Thesis!$D$12+Thesis!$E$12)/2+(1-shadow_base)*Thesis!$E$12))*Thesis!G20/1000-(Thesis!G42-Thesis!$E$42)*PL!G31)</f>
        <v>21.3653222817508</v>
      </c>
      <c r="H43" s="6" t="n">
        <f aca="false">MAX(0,((Thesis!G12+Thesis!H12)/2-(shadow_base*(Thesis!$D$12+Thesis!$E$12)/2+(1-shadow_base)*Thesis!$E$12))*Thesis!H20/1000-(Thesis!H42-Thesis!$E$42)*PL!H31)</f>
        <v>35.8221390663856</v>
      </c>
      <c r="I43" s="6" t="n">
        <f aca="false">MAX(0,((Thesis!H12+Thesis!I12)/2-(shadow_base*(Thesis!$D$12+Thesis!$E$12)/2+(1-shadow_base)*Thesis!$E$12))*Thesis!I20/1000-(Thesis!I42-Thesis!$E$42)*PL!I31)</f>
        <v>49.3691841492478</v>
      </c>
      <c r="J43" s="6" t="n">
        <f aca="false">MAX(0,((Thesis!I12+Thesis!J12)/2-(shadow_base*(Thesis!$D$12+Thesis!$E$12)/2+(1-shadow_base)*Thesis!$E$12))*Thesis!J20/1000-(Thesis!J42-Thesis!$E$42)*PL!J31)</f>
        <v>59.0322720639359</v>
      </c>
      <c r="K43" s="6" t="n">
        <f aca="false">MAX(0,((Thesis!J12+Thesis!K12)/2-(shadow_base*(Thesis!$D$12+Thesis!$E$12)/2+(1-shadow_base)*Thesis!$E$12))*Thesis!K20/1000-(Thesis!K42-Thesis!$E$42)*PL!K31)</f>
        <v>64.2195097796802</v>
      </c>
      <c r="L43" s="1" t="s">
        <v>858</v>
      </c>
    </row>
    <row r="44" customFormat="false" ht="17.15" hidden="false" customHeight="false" outlineLevel="0" collapsed="false">
      <c r="A44" s="1" t="s">
        <v>859</v>
      </c>
      <c r="B44" s="0" t="s">
        <v>98</v>
      </c>
      <c r="F44" s="6" t="n">
        <f aca="false">IF(internal_ai_reading=2,1,0)*Thesis!F43</f>
        <v>8.44248444763781</v>
      </c>
      <c r="G44" s="6" t="n">
        <f aca="false">IF(internal_ai_reading=2,1,0)*Thesis!G43</f>
        <v>21.3653222817508</v>
      </c>
      <c r="H44" s="6" t="n">
        <f aca="false">IF(internal_ai_reading=2,1,0)*Thesis!H43</f>
        <v>35.8221390663856</v>
      </c>
      <c r="I44" s="6" t="n">
        <f aca="false">IF(internal_ai_reading=2,1,0)*Thesis!I43</f>
        <v>49.3691841492478</v>
      </c>
      <c r="J44" s="6" t="n">
        <f aca="false">IF(internal_ai_reading=2,1,0)*Thesis!J43</f>
        <v>59.0322720639359</v>
      </c>
      <c r="K44" s="6" t="n">
        <f aca="false">IF(internal_ai_reading=2,1,0)*Thesis!K43</f>
        <v>64.2195097796802</v>
      </c>
    </row>
    <row r="45" customFormat="false" ht="17.15" hidden="false" customHeight="false" outlineLevel="0" collapsed="false">
      <c r="A45" s="0" t="s">
        <v>860</v>
      </c>
      <c r="B45" s="0" t="s">
        <v>98</v>
      </c>
      <c r="F45" s="6" t="n">
        <f aca="false">Thesis!F29+Thesis!F42*PL!F31+Thesis!F44-Thesis!F30-Thesis!F40</f>
        <v>18.6954441577666</v>
      </c>
      <c r="G45" s="6" t="n">
        <f aca="false">Thesis!G29+Thesis!G42*PL!G31+Thesis!G44-Thesis!G30-Thesis!G40</f>
        <v>42.7730967717415</v>
      </c>
      <c r="H45" s="6" t="n">
        <f aca="false">Thesis!H29+Thesis!H42*PL!H31+Thesis!H44-Thesis!H30-Thesis!H40</f>
        <v>72.3524695349497</v>
      </c>
      <c r="I45" s="6" t="n">
        <f aca="false">Thesis!I29+Thesis!I42*PL!I31+Thesis!I44-Thesis!I30-Thesis!I40</f>
        <v>93.3920399917181</v>
      </c>
      <c r="J45" s="6" t="n">
        <f aca="false">Thesis!J29+Thesis!J42*PL!J31+Thesis!J44-Thesis!J30-Thesis!J40</f>
        <v>108.132424046476</v>
      </c>
      <c r="K45" s="6" t="n">
        <f aca="false">Thesis!K29+Thesis!K42*PL!K31+Thesis!K44-Thesis!K30-Thesis!K40</f>
        <v>118.341283106908</v>
      </c>
    </row>
    <row r="46" customFormat="false" ht="17.15" hidden="false" customHeight="false" outlineLevel="0" collapsed="false">
      <c r="A46" s="0" t="s">
        <v>861</v>
      </c>
      <c r="B46" s="0" t="s">
        <v>98</v>
      </c>
      <c r="E46" s="6" t="n">
        <f aca="false">Thesis!E11*(cxit_open+self_build*tk_cxfac)/1000*ai_net_open</f>
        <v>126.6980382</v>
      </c>
      <c r="F46" s="6" t="n">
        <f aca="false">Thesis!E46+Thesis!F37-Thesis!F40</f>
        <v>252.981026690511</v>
      </c>
      <c r="G46" s="6" t="n">
        <f aca="false">Thesis!F46+Thesis!G37-Thesis!G40</f>
        <v>377.4297700632</v>
      </c>
      <c r="H46" s="6" t="n">
        <f aca="false">Thesis!G46+Thesis!H37-Thesis!H40</f>
        <v>479.149036130289</v>
      </c>
      <c r="I46" s="6" t="n">
        <f aca="false">Thesis!H46+Thesis!I37-Thesis!I40</f>
        <v>532.249961452141</v>
      </c>
      <c r="J46" s="6" t="n">
        <f aca="false">Thesis!I46+Thesis!J37-Thesis!J40</f>
        <v>531.43307519354</v>
      </c>
      <c r="K46" s="6" t="n">
        <f aca="false">Thesis!J46+Thesis!K37-Thesis!K40</f>
        <v>513.709026452823</v>
      </c>
      <c r="L46" s="1" t="s">
        <v>862</v>
      </c>
    </row>
    <row r="47" customFormat="false" ht="17.15" hidden="false" customHeight="false" outlineLevel="0" collapsed="false">
      <c r="A47" s="0" t="s">
        <v>863</v>
      </c>
      <c r="B47" s="0" t="s">
        <v>129</v>
      </c>
      <c r="F47" s="7" t="n">
        <f aca="false">Thesis!F45*(1-tax_f)/((Thesis!E46+Thesis!F46)/2)</f>
        <v>0.0787841980727922</v>
      </c>
      <c r="G47" s="7" t="n">
        <f aca="false">Thesis!G45*(1-tax_f)/((Thesis!F46+Thesis!G46)/2)</f>
        <v>0.108559300042451</v>
      </c>
      <c r="H47" s="7" t="n">
        <f aca="false">Thesis!H45*(1-tax_f)/((Thesis!G46+Thesis!H46)/2)</f>
        <v>0.135146877810762</v>
      </c>
      <c r="I47" s="7" t="n">
        <f aca="false">Thesis!I45*(1-tax_f)/((Thesis!H46+Thesis!I46)/2)</f>
        <v>0.147743140287788</v>
      </c>
      <c r="J47" s="7" t="n">
        <f aca="false">Thesis!J45*(1-tax_f)/((Thesis!I46+Thesis!J46)/2)</f>
        <v>0.162653603107137</v>
      </c>
      <c r="K47" s="7" t="n">
        <f aca="false">Thesis!K45*(1-tax_f)/((Thesis!J46+Thesis!K46)/2)</f>
        <v>0.181167759554213</v>
      </c>
    </row>
    <row r="48" customFormat="false" ht="17.15" hidden="false" customHeight="false" outlineLevel="0" collapsed="false">
      <c r="A48" s="1" t="s">
        <v>864</v>
      </c>
      <c r="B48" s="0" t="s">
        <v>129</v>
      </c>
      <c r="F48" s="7" t="n">
        <f aca="false">(Thesis!F45-Thesis!F44)*(1-tax_f)/((Thesis!E46+Thesis!F46)/2)</f>
        <v>0.0432068477121243</v>
      </c>
      <c r="G48" s="7" t="n">
        <f aca="false">(Thesis!G45-Thesis!G44)*(1-tax_f)/((Thesis!F46+Thesis!G46)/2)</f>
        <v>0.0543335224592717</v>
      </c>
      <c r="H48" s="7" t="n">
        <f aca="false">(Thesis!H45-Thesis!H44)*(1-tax_f)/((Thesis!G46+Thesis!H46)/2)</f>
        <v>0.0682348527970699</v>
      </c>
      <c r="I48" s="7" t="n">
        <f aca="false">(Thesis!I45-Thesis!I44)*(1-tax_f)/((Thesis!H46+Thesis!I46)/2)</f>
        <v>0.0696427122395006</v>
      </c>
      <c r="J48" s="7" t="n">
        <f aca="false">(Thesis!J45-Thesis!J44)*(1-tax_f)/((Thesis!I46+Thesis!J46)/2)</f>
        <v>0.0738568168011806</v>
      </c>
      <c r="K48" s="7" t="n">
        <f aca="false">(Thesis!K45-Thesis!K44)*(1-tax_f)/((Thesis!J46+Thesis!K46)/2)</f>
        <v>0.0828546062656513</v>
      </c>
    </row>
    <row r="49" customFormat="false" ht="17.15" hidden="false" customHeight="false" outlineLevel="0" collapsed="false">
      <c r="A49" s="1" t="s">
        <v>865</v>
      </c>
      <c r="B49" s="0" t="s">
        <v>129</v>
      </c>
      <c r="F49" s="7" t="n">
        <f aca="false">(Thesis!F45-Thesis!F44+Thesis!F43)*(1-tax_f)/((Thesis!E46+Thesis!F46)/2)</f>
        <v>0.0787841980727922</v>
      </c>
      <c r="G49" s="7" t="n">
        <f aca="false">(Thesis!G45-Thesis!G44+Thesis!G43)*(1-tax_f)/((Thesis!F46+Thesis!G46)/2)</f>
        <v>0.108559300042451</v>
      </c>
      <c r="H49" s="7" t="n">
        <f aca="false">(Thesis!H45-Thesis!H44+Thesis!H43)*(1-tax_f)/((Thesis!G46+Thesis!H46)/2)</f>
        <v>0.135146877810762</v>
      </c>
      <c r="I49" s="7" t="n">
        <f aca="false">(Thesis!I45-Thesis!I44+Thesis!I43)*(1-tax_f)/((Thesis!H46+Thesis!I46)/2)</f>
        <v>0.147743140287788</v>
      </c>
      <c r="J49" s="7" t="n">
        <f aca="false">(Thesis!J45-Thesis!J44+Thesis!J43)*(1-tax_f)/((Thesis!I46+Thesis!J46)/2)</f>
        <v>0.162653603107137</v>
      </c>
      <c r="K49" s="7" t="n">
        <f aca="false">(Thesis!K45-Thesis!K44+Thesis!K43)*(1-tax_f)/((Thesis!J46+Thesis!K46)/2)</f>
        <v>0.181167759554213</v>
      </c>
    </row>
    <row r="50" customFormat="false" ht="17.15" hidden="false" customHeight="false" outlineLevel="0" collapsed="false">
      <c r="A50" s="1" t="s">
        <v>866</v>
      </c>
      <c r="B50" s="0" t="s">
        <v>129</v>
      </c>
      <c r="F50" s="7" t="n">
        <f aca="false">Thesis!F41*(1-tax_f)/(Thesis!F28*(Thesis!E46+Thesis!F46)/2)</f>
        <v>0.159418295257403</v>
      </c>
      <c r="G50" s="7" t="n">
        <f aca="false">Thesis!G41*(1-tax_f)/(Thesis!G28*(Thesis!F46+Thesis!G46)/2)</f>
        <v>0.181875227327983</v>
      </c>
      <c r="H50" s="7" t="n">
        <f aca="false">Thesis!H41*(1-tax_f)/(Thesis!H28*(Thesis!G46+Thesis!H46)/2)</f>
        <v>0.212793847216411</v>
      </c>
      <c r="I50" s="7" t="n">
        <f aca="false">Thesis!I41*(1-tax_f)/(Thesis!I28*(Thesis!H46+Thesis!I46)/2)</f>
        <v>0.225613268329429</v>
      </c>
      <c r="J50" s="7" t="n">
        <f aca="false">Thesis!J41*(1-tax_f)/(Thesis!J28*(Thesis!I46+Thesis!J46)/2)</f>
        <v>0.24488839563955</v>
      </c>
      <c r="K50" s="7" t="n">
        <f aca="false">Thesis!K41*(1-tax_f)/(Thesis!K28*(Thesis!J46+Thesis!K46)/2)</f>
        <v>0.270711455180788</v>
      </c>
    </row>
    <row r="51" customFormat="false" ht="17.15" hidden="false" customHeight="false" outlineLevel="0" collapsed="false">
      <c r="A51" s="0" t="s">
        <v>867</v>
      </c>
      <c r="B51" s="0" t="s">
        <v>209</v>
      </c>
      <c r="F51" s="7" t="n">
        <f aca="false">Thesis!F47-wacc</f>
        <v>-0.0241502220200835</v>
      </c>
      <c r="G51" s="7" t="n">
        <f aca="false">Thesis!G47-wacc</f>
        <v>0.00562487994957479</v>
      </c>
      <c r="H51" s="7" t="n">
        <f aca="false">Thesis!H47-wacc</f>
        <v>0.0322124577178859</v>
      </c>
      <c r="I51" s="7" t="n">
        <f aca="false">Thesis!I47-wacc</f>
        <v>0.0448087201949121</v>
      </c>
      <c r="J51" s="7" t="n">
        <f aca="false">Thesis!J47-wacc</f>
        <v>0.0597191830142614</v>
      </c>
      <c r="K51" s="7" t="n">
        <f aca="false">Thesis!K47-wacc</f>
        <v>0.0782333394613372</v>
      </c>
    </row>
    <row r="52" customFormat="false" ht="17.15" hidden="false" customHeight="false" outlineLevel="0" collapsed="false">
      <c r="A52" s="0" t="s">
        <v>868</v>
      </c>
      <c r="B52" s="0" t="s">
        <v>98</v>
      </c>
      <c r="F52" s="6" t="n">
        <f aca="false">Thesis!F45*(1-tax_f)-wacc*(Thesis!E46+Thesis!F46)/2</f>
        <v>-4.58466685674177</v>
      </c>
      <c r="G52" s="6" t="n">
        <f aca="false">Thesis!G45*(1-tax_f)-wacc*(Thesis!F46+Thesis!G46)/2</f>
        <v>1.77299252532771</v>
      </c>
      <c r="H52" s="6" t="n">
        <f aca="false">Thesis!H45*(1-tax_f)-wacc*(Thesis!G46+Thesis!H46)/2</f>
        <v>13.7962542882725</v>
      </c>
      <c r="I52" s="6" t="n">
        <f aca="false">Thesis!I45*(1-tax_f)-wacc*(Thesis!H46+Thesis!I46)/2</f>
        <v>22.6597473440428</v>
      </c>
      <c r="J52" s="6" t="n">
        <f aca="false">Thesis!J45*(1-tax_f)-wacc*(Thesis!I46+Thesis!J46)/2</f>
        <v>31.7611409673044</v>
      </c>
      <c r="K52" s="6" t="n">
        <f aca="false">Thesis!K45*(1-tax_f)-wacc*(Thesis!J46+Thesis!K46)/2</f>
        <v>40.8824784117176</v>
      </c>
    </row>
    <row r="53" customFormat="false" ht="17.15" hidden="false" customHeight="false" outlineLevel="0" collapsed="false">
      <c r="A53" s="3" t="s">
        <v>869</v>
      </c>
    </row>
    <row r="54" customFormat="false" ht="15" hidden="false" customHeight="false" outlineLevel="0" collapsed="false">
      <c r="A54" s="4" t="s">
        <v>43</v>
      </c>
      <c r="B54" s="4" t="s">
        <v>65</v>
      </c>
      <c r="C54" s="20" t="s">
        <v>799</v>
      </c>
      <c r="D54" s="20" t="s">
        <v>800</v>
      </c>
      <c r="E54" s="20" t="s">
        <v>801</v>
      </c>
      <c r="F54" s="20" t="s">
        <v>802</v>
      </c>
      <c r="G54" s="20" t="s">
        <v>803</v>
      </c>
      <c r="H54" s="20" t="s">
        <v>804</v>
      </c>
      <c r="I54" s="20" t="s">
        <v>805</v>
      </c>
      <c r="J54" s="20" t="s">
        <v>806</v>
      </c>
      <c r="K54" s="20" t="s">
        <v>807</v>
      </c>
      <c r="L54" s="4" t="s">
        <v>47</v>
      </c>
    </row>
    <row r="55" customFormat="false" ht="17.15" hidden="false" customHeight="false" outlineLevel="0" collapsed="false">
      <c r="A55" s="1" t="s">
        <v>808</v>
      </c>
      <c r="B55" s="1" t="s">
        <v>235</v>
      </c>
      <c r="C55" s="28" t="n">
        <v>2024</v>
      </c>
      <c r="D55" s="28" t="n">
        <v>2025</v>
      </c>
      <c r="E55" s="28" t="n">
        <v>2026</v>
      </c>
      <c r="F55" s="28" t="n">
        <v>2027</v>
      </c>
      <c r="G55" s="28" t="n">
        <v>2028</v>
      </c>
      <c r="H55" s="28" t="n">
        <v>2029</v>
      </c>
      <c r="I55" s="28" t="n">
        <v>2030</v>
      </c>
      <c r="J55" s="28" t="n">
        <v>2031</v>
      </c>
      <c r="K55" s="28" t="n">
        <v>2032</v>
      </c>
    </row>
    <row r="56" customFormat="false" ht="17.15" hidden="false" customHeight="false" outlineLevel="0" collapsed="false">
      <c r="A56" s="1" t="s">
        <v>809</v>
      </c>
      <c r="B56" s="0" t="s">
        <v>399</v>
      </c>
      <c r="F56" s="29" t="n">
        <f aca="false">pace</f>
        <v>2527.2</v>
      </c>
      <c r="G56" s="29" t="n">
        <f aca="false">pace</f>
        <v>2527.2</v>
      </c>
      <c r="H56" s="29" t="n">
        <f aca="false">pace</f>
        <v>2527.2</v>
      </c>
      <c r="I56" s="29" t="n">
        <f aca="false">pace+(g_tv*Thesis!H57-pace)*MIN(1,(Thesis!I55-pace_y0)/(pace_y1-pace_y0))</f>
        <v>1793.116</v>
      </c>
      <c r="J56" s="29" t="n">
        <f aca="false">pace+(g_tv*Thesis!I57-pace)*MIN(1,(Thesis!J55-pace_y0)/(pace_y1-pace_y0))</f>
        <v>1094.89432</v>
      </c>
      <c r="K56" s="29" t="n">
        <f aca="false">pace+(g_tv*Thesis!J57-pace)*MIN(1,(Thesis!K55-pace_y0)/(pace_y1-pace_y0))</f>
        <v>411.5883096</v>
      </c>
      <c r="L56" s="11" t="s">
        <v>810</v>
      </c>
    </row>
    <row r="57" customFormat="false" ht="17.15" hidden="false" customHeight="false" outlineLevel="0" collapsed="false">
      <c r="A57" s="1" t="s">
        <v>811</v>
      </c>
      <c r="B57" s="0" t="s">
        <v>399</v>
      </c>
      <c r="C57" s="29" t="n">
        <f aca="false">mw_ext_24</f>
        <v>640</v>
      </c>
      <c r="D57" s="29" t="n">
        <f aca="false">mw_ext_25</f>
        <v>1630</v>
      </c>
      <c r="E57" s="29" t="n">
        <f aca="false">mw_ext_26</f>
        <v>3250</v>
      </c>
      <c r="F57" s="29" t="n">
        <f aca="false">Thesis!E57+Thesis!F56</f>
        <v>5777.2</v>
      </c>
      <c r="G57" s="29" t="n">
        <f aca="false">Thesis!F57+Thesis!G56</f>
        <v>8304.4</v>
      </c>
      <c r="H57" s="29" t="n">
        <f aca="false">Thesis!G57+Thesis!H56</f>
        <v>10831.6</v>
      </c>
      <c r="I57" s="29" t="n">
        <f aca="false">Thesis!H57+Thesis!I56</f>
        <v>12624.716</v>
      </c>
      <c r="J57" s="29" t="n">
        <f aca="false">Thesis!I57+Thesis!J56</f>
        <v>13719.61032</v>
      </c>
      <c r="K57" s="29" t="n">
        <f aca="false">Thesis!J57+Thesis!K56</f>
        <v>14131.1986296</v>
      </c>
      <c r="L57" s="1" t="s">
        <v>812</v>
      </c>
    </row>
    <row r="58" customFormat="false" ht="17.15" hidden="false" customHeight="false" outlineLevel="0" collapsed="false">
      <c r="A58" s="1" t="s">
        <v>813</v>
      </c>
      <c r="B58" s="0" t="s">
        <v>399</v>
      </c>
      <c r="C58" s="29" t="n">
        <f aca="false">rent_ext_24</f>
        <v>150</v>
      </c>
      <c r="D58" s="29" t="n">
        <f aca="false">rent_ext_25</f>
        <v>400</v>
      </c>
      <c r="E58" s="29" t="n">
        <f aca="false">rent_ext_26</f>
        <v>550</v>
      </c>
      <c r="F58" s="29" t="n">
        <f aca="false">rent_ext_f</f>
        <v>756</v>
      </c>
      <c r="G58" s="29" t="n">
        <f aca="false">rent_ext_f</f>
        <v>756</v>
      </c>
      <c r="H58" s="29" t="n">
        <f aca="false">rent_ext_f</f>
        <v>756</v>
      </c>
      <c r="I58" s="29" t="n">
        <f aca="false">rent_ext_f</f>
        <v>756</v>
      </c>
      <c r="J58" s="29" t="n">
        <f aca="false">rent_ext_f</f>
        <v>756</v>
      </c>
      <c r="K58" s="29" t="n">
        <f aca="false">rent_ext_f</f>
        <v>756</v>
      </c>
      <c r="L58" s="1" t="s">
        <v>814</v>
      </c>
    </row>
    <row r="59" customFormat="false" ht="17.15" hidden="false" customHeight="false" outlineLevel="0" collapsed="false">
      <c r="A59" s="1" t="s">
        <v>815</v>
      </c>
      <c r="B59" s="0" t="s">
        <v>399</v>
      </c>
      <c r="C59" s="29" t="n">
        <f aca="false">Thesis!C57-Thesis!C58</f>
        <v>490</v>
      </c>
      <c r="D59" s="29" t="n">
        <f aca="false">Thesis!D57-Thesis!D58</f>
        <v>1230</v>
      </c>
      <c r="E59" s="29" t="n">
        <f aca="false">Thesis!E57-Thesis!E58</f>
        <v>2700</v>
      </c>
      <c r="F59" s="29" t="n">
        <f aca="false">Thesis!F57-Thesis!F58</f>
        <v>5021.2</v>
      </c>
      <c r="G59" s="29" t="n">
        <f aca="false">Thesis!G57-Thesis!G58</f>
        <v>7548.4</v>
      </c>
      <c r="H59" s="29" t="n">
        <f aca="false">Thesis!H57-Thesis!H58</f>
        <v>10075.6</v>
      </c>
      <c r="I59" s="29" t="n">
        <f aca="false">Thesis!I57-Thesis!I58</f>
        <v>11868.716</v>
      </c>
      <c r="J59" s="29" t="n">
        <f aca="false">Thesis!J57-Thesis!J58</f>
        <v>12963.61032</v>
      </c>
      <c r="K59" s="29" t="n">
        <f aca="false">Thesis!K57-Thesis!K58</f>
        <v>13375.1986296</v>
      </c>
    </row>
    <row r="60" customFormat="false" ht="17.15" hidden="false" customHeight="false" outlineLevel="0" collapsed="false">
      <c r="A60" s="1" t="s">
        <v>816</v>
      </c>
      <c r="B60" s="0" t="s">
        <v>399</v>
      </c>
      <c r="C60" s="29" t="n">
        <f aca="false">Thesis!C59/ext_sh</f>
        <v>816.666666666667</v>
      </c>
      <c r="D60" s="29" t="n">
        <f aca="false">Thesis!D59/ext_sh</f>
        <v>2050</v>
      </c>
      <c r="E60" s="29" t="n">
        <f aca="false">Thesis!E59/ext_sh</f>
        <v>4500</v>
      </c>
      <c r="F60" s="29" t="n">
        <f aca="false">Thesis!F59/ext_sh</f>
        <v>8368.66666666667</v>
      </c>
      <c r="G60" s="29" t="n">
        <f aca="false">Thesis!G59/ext_sh</f>
        <v>12580.6666666667</v>
      </c>
      <c r="H60" s="29" t="n">
        <f aca="false">Thesis!H59/ext_sh</f>
        <v>16792.6666666667</v>
      </c>
      <c r="I60" s="29" t="n">
        <f aca="false">Thesis!I59/ext_sh</f>
        <v>19781.1933333333</v>
      </c>
      <c r="J60" s="29" t="n">
        <f aca="false">Thesis!J59/ext_sh</f>
        <v>21606.0172</v>
      </c>
      <c r="K60" s="29" t="n">
        <f aca="false">Thesis!K59/ext_sh</f>
        <v>22291.997716</v>
      </c>
      <c r="L60" s="1" t="s">
        <v>817</v>
      </c>
    </row>
    <row r="61" customFormat="false" ht="17.15" hidden="false" customHeight="false" outlineLevel="0" collapsed="false">
      <c r="A61" s="1" t="s">
        <v>818</v>
      </c>
      <c r="B61" s="0" t="s">
        <v>399</v>
      </c>
      <c r="C61" s="29" t="n">
        <f aca="false">Thesis!C60-Thesis!C59</f>
        <v>326.666666666667</v>
      </c>
      <c r="D61" s="29" t="n">
        <f aca="false">Thesis!D60-Thesis!D59</f>
        <v>820</v>
      </c>
      <c r="E61" s="29" t="n">
        <f aca="false">Thesis!E60-Thesis!E59</f>
        <v>1800</v>
      </c>
      <c r="F61" s="29" t="n">
        <f aca="false">Thesis!F60-Thesis!F59</f>
        <v>3347.46666666667</v>
      </c>
      <c r="G61" s="29" t="n">
        <f aca="false">Thesis!G60-Thesis!G59</f>
        <v>5032.26666666667</v>
      </c>
      <c r="H61" s="29" t="n">
        <f aca="false">Thesis!H60-Thesis!H59</f>
        <v>6717.06666666667</v>
      </c>
      <c r="I61" s="29" t="n">
        <f aca="false">Thesis!I60-Thesis!I59</f>
        <v>7912.47733333333</v>
      </c>
      <c r="J61" s="29" t="n">
        <f aca="false">Thesis!J60-Thesis!J59</f>
        <v>8642.40688</v>
      </c>
      <c r="K61" s="29" t="n">
        <f aca="false">Thesis!K60-Thesis!K59</f>
        <v>8916.7990864</v>
      </c>
    </row>
    <row r="62" customFormat="false" ht="17.15" hidden="false" customHeight="false" outlineLevel="0" collapsed="false">
      <c r="A62" s="1" t="s">
        <v>819</v>
      </c>
      <c r="B62" s="0" t="s">
        <v>399</v>
      </c>
      <c r="C62" s="29" t="n">
        <f aca="false">Thesis!C60</f>
        <v>816.666666666667</v>
      </c>
      <c r="D62" s="29" t="n">
        <f aca="false">Thesis!D60-Thesis!C60</f>
        <v>1233.33333333333</v>
      </c>
      <c r="E62" s="29" t="n">
        <f aca="false">Thesis!E60-Thesis!D60</f>
        <v>2450</v>
      </c>
      <c r="F62" s="29" t="n">
        <f aca="false">Thesis!F60-Thesis!E60</f>
        <v>3868.66666666667</v>
      </c>
      <c r="G62" s="29" t="n">
        <f aca="false">Thesis!G60-Thesis!F60</f>
        <v>4212</v>
      </c>
      <c r="H62" s="29" t="n">
        <f aca="false">Thesis!H60-Thesis!G60</f>
        <v>4212</v>
      </c>
      <c r="I62" s="29" t="n">
        <f aca="false">Thesis!I60-Thesis!H60</f>
        <v>2988.52666666667</v>
      </c>
      <c r="J62" s="29" t="n">
        <f aca="false">Thesis!J60-Thesis!I60</f>
        <v>1824.82386666667</v>
      </c>
      <c r="K62" s="29" t="n">
        <f aca="false">Thesis!K60-Thesis!J60</f>
        <v>685.980516</v>
      </c>
    </row>
    <row r="63" customFormat="false" ht="17.15" hidden="false" customHeight="false" outlineLevel="0" collapsed="false">
      <c r="A63" s="1" t="s">
        <v>820</v>
      </c>
      <c r="B63" s="0" t="s">
        <v>399</v>
      </c>
      <c r="D63" s="29" t="n">
        <f aca="false">Thesis!D57-Thesis!C57</f>
        <v>990</v>
      </c>
      <c r="E63" s="29" t="n">
        <f aca="false">Thesis!E57-Thesis!D57</f>
        <v>1620</v>
      </c>
      <c r="F63" s="29" t="n">
        <f aca="false">Thesis!F57-Thesis!E57</f>
        <v>2527.2</v>
      </c>
      <c r="G63" s="29" t="n">
        <f aca="false">Thesis!G57-Thesis!F57</f>
        <v>2527.2</v>
      </c>
      <c r="H63" s="29" t="n">
        <f aca="false">Thesis!H57-Thesis!G57</f>
        <v>2527.2</v>
      </c>
      <c r="I63" s="29" t="n">
        <f aca="false">Thesis!I57-Thesis!H57</f>
        <v>1793.116</v>
      </c>
      <c r="J63" s="29" t="n">
        <f aca="false">Thesis!J57-Thesis!I57</f>
        <v>1094.89432</v>
      </c>
      <c r="K63" s="29" t="n">
        <f aca="false">Thesis!K57-Thesis!J57</f>
        <v>411.5883096</v>
      </c>
    </row>
    <row r="64" customFormat="false" ht="17.15" hidden="false" customHeight="false" outlineLevel="0" collapsed="false">
      <c r="A64" s="1" t="s">
        <v>821</v>
      </c>
      <c r="B64" s="0" t="s">
        <v>399</v>
      </c>
      <c r="F64" s="29" t="n">
        <f aca="false">Thesis!F81*ext_sh</f>
        <v>0</v>
      </c>
      <c r="G64" s="29" t="n">
        <f aca="false">Thesis!G81*ext_sh</f>
        <v>0</v>
      </c>
      <c r="H64" s="29" t="n">
        <f aca="false">Thesis!H81*ext_sh</f>
        <v>0</v>
      </c>
      <c r="I64" s="29" t="n">
        <f aca="false">Thesis!I81*ext_sh</f>
        <v>490</v>
      </c>
      <c r="J64" s="29" t="n">
        <f aca="false">Thesis!J81*ext_sh</f>
        <v>740</v>
      </c>
      <c r="K64" s="29" t="n">
        <f aca="false">Thesis!K81*ext_sh</f>
        <v>1470</v>
      </c>
      <c r="L64" s="1" t="s">
        <v>822</v>
      </c>
    </row>
    <row r="65" customFormat="false" ht="17.15" hidden="false" customHeight="false" outlineLevel="0" collapsed="false">
      <c r="A65" s="1" t="s">
        <v>823</v>
      </c>
      <c r="B65" s="0" t="s">
        <v>399</v>
      </c>
      <c r="C65" s="29" t="n">
        <f aca="false">mix_h*Thesis!C57</f>
        <v>128</v>
      </c>
      <c r="D65" s="29" t="n">
        <f aca="false">mix_h*Thesis!D57</f>
        <v>326</v>
      </c>
      <c r="E65" s="29" t="n">
        <f aca="false">mix_h*Thesis!E57</f>
        <v>650</v>
      </c>
      <c r="F65" s="29" t="n">
        <f aca="false">Thesis!E65-Thesis!F64*mix_h</f>
        <v>650</v>
      </c>
      <c r="G65" s="29" t="n">
        <f aca="false">Thesis!F65-Thesis!G64*mix_h</f>
        <v>650</v>
      </c>
      <c r="H65" s="29" t="n">
        <f aca="false">Thesis!G65-Thesis!H64*mix_h</f>
        <v>650</v>
      </c>
      <c r="I65" s="29" t="n">
        <f aca="false">Thesis!H65-Thesis!I64*mix_h</f>
        <v>552</v>
      </c>
      <c r="J65" s="29" t="n">
        <f aca="false">Thesis!I65-Thesis!J64*mix_h</f>
        <v>404</v>
      </c>
      <c r="K65" s="29" t="n">
        <f aca="false">Thesis!J65-Thesis!K64*mix_h</f>
        <v>110</v>
      </c>
    </row>
    <row r="66" customFormat="false" ht="17.15" hidden="false" customHeight="false" outlineLevel="0" collapsed="false">
      <c r="A66" s="1" t="s">
        <v>824</v>
      </c>
      <c r="B66" s="0" t="s">
        <v>399</v>
      </c>
      <c r="C66" s="29" t="n">
        <f aca="false">mix_g2*Thesis!C57</f>
        <v>288</v>
      </c>
      <c r="D66" s="29" t="n">
        <f aca="false">mix_g2*Thesis!D57</f>
        <v>733.5</v>
      </c>
      <c r="E66" s="29" t="n">
        <f aca="false">mix_g2*Thesis!E57</f>
        <v>1462.5</v>
      </c>
      <c r="F66" s="29" t="n">
        <f aca="false">Thesis!E66-Thesis!F64*mix_g2</f>
        <v>1462.5</v>
      </c>
      <c r="G66" s="29" t="n">
        <f aca="false">Thesis!F66-Thesis!G64*mix_g2</f>
        <v>1462.5</v>
      </c>
      <c r="H66" s="29" t="n">
        <f aca="false">Thesis!G66-Thesis!H64*mix_g2</f>
        <v>1462.5</v>
      </c>
      <c r="I66" s="29" t="n">
        <f aca="false">Thesis!H66-Thesis!I64*mix_g2</f>
        <v>1242</v>
      </c>
      <c r="J66" s="29" t="n">
        <f aca="false">Thesis!I66-Thesis!J64*mix_g2</f>
        <v>909</v>
      </c>
      <c r="K66" s="29" t="n">
        <f aca="false">Thesis!J66-Thesis!K64*mix_g2</f>
        <v>247.5</v>
      </c>
    </row>
    <row r="67" customFormat="false" ht="17.15" hidden="false" customHeight="false" outlineLevel="0" collapsed="false">
      <c r="A67" s="1" t="s">
        <v>825</v>
      </c>
      <c r="B67" s="0" t="s">
        <v>399</v>
      </c>
      <c r="C67" s="29" t="n">
        <f aca="false">mix_g3*Thesis!C57</f>
        <v>224</v>
      </c>
      <c r="D67" s="29" t="n">
        <f aca="false">mix_g3*Thesis!D57</f>
        <v>570.5</v>
      </c>
      <c r="E67" s="29" t="n">
        <f aca="false">mix_g3*Thesis!E57</f>
        <v>1137.5</v>
      </c>
      <c r="F67" s="29" t="n">
        <f aca="false">Thesis!E67+(Thesis!F63+Thesis!F64)*a_g3_27-Thesis!F64*mix_g3</f>
        <v>2906.54</v>
      </c>
      <c r="G67" s="29" t="n">
        <f aca="false">Thesis!F67+(Thesis!G63+Thesis!G64)*a_g3_28-Thesis!G64*mix_g3</f>
        <v>3664.7</v>
      </c>
      <c r="H67" s="29" t="n">
        <f aca="false">Thesis!G67+(Thesis!H63+Thesis!H64)*a_g3_29-Thesis!H64*mix_g3</f>
        <v>3917.42</v>
      </c>
      <c r="I67" s="29" t="n">
        <f aca="false">Thesis!H67+(Thesis!I63+Thesis!I64)*a_g3_29-Thesis!I64*mix_g3</f>
        <v>3974.2316</v>
      </c>
      <c r="J67" s="29" t="n">
        <f aca="false">Thesis!I67+(Thesis!J63+Thesis!J64)*a_g3_29-Thesis!J64*mix_g3</f>
        <v>3898.721032</v>
      </c>
      <c r="K67" s="29" t="n">
        <f aca="false">Thesis!J67+(Thesis!K63+Thesis!K64)*a_g3_29-Thesis!K64*mix_g3</f>
        <v>3572.37986296</v>
      </c>
    </row>
    <row r="68" customFormat="false" ht="17.15" hidden="false" customHeight="false" outlineLevel="0" collapsed="false">
      <c r="A68" s="1" t="s">
        <v>826</v>
      </c>
      <c r="B68" s="0" t="s">
        <v>399</v>
      </c>
      <c r="C68" s="29" t="n">
        <v>0</v>
      </c>
      <c r="D68" s="29" t="n">
        <v>0</v>
      </c>
      <c r="E68" s="29" t="n">
        <v>0</v>
      </c>
      <c r="F68" s="29" t="n">
        <f aca="false">Thesis!E68+(Thesis!F63+Thesis!F64)*(1-a_g3_27)</f>
        <v>758.16</v>
      </c>
      <c r="G68" s="29" t="n">
        <f aca="false">Thesis!F68+(Thesis!G63+Thesis!G64)*(1-a_g3_28)</f>
        <v>2527.2</v>
      </c>
      <c r="H68" s="29" t="n">
        <f aca="false">Thesis!G68+(Thesis!H63+Thesis!H64)*(1-a_g3_29)</f>
        <v>4801.68</v>
      </c>
      <c r="I68" s="29" t="n">
        <f aca="false">Thesis!H68+(Thesis!I63+Thesis!I64)*(1-a_g3_29)</f>
        <v>6856.4844</v>
      </c>
      <c r="J68" s="29" t="n">
        <f aca="false">Thesis!I68+(Thesis!J63+Thesis!J64)*(1-a_g3_29)</f>
        <v>8507.889288</v>
      </c>
      <c r="K68" s="29" t="n">
        <f aca="false">Thesis!J68+(Thesis!K63+Thesis!K64)*(1-a_g3_29)</f>
        <v>10201.31876664</v>
      </c>
    </row>
    <row r="69" customFormat="false" ht="17.15" hidden="false" customHeight="false" outlineLevel="0" collapsed="false">
      <c r="A69" s="1" t="s">
        <v>827</v>
      </c>
      <c r="B69" s="0" t="s">
        <v>346</v>
      </c>
      <c r="C69" s="14" t="n">
        <f aca="false">(Thesis!C65*tk_hold_h100+Thesis!C66*tk_hold_gb200+Thesis!C67*tk_hold_gb300+Thesis!C68*tk_hold_vr200)/Thesis!C57</f>
        <v>9.7235358126469</v>
      </c>
      <c r="D69" s="14" t="n">
        <f aca="false">(Thesis!D65*tk_hold_h100+Thesis!D66*tk_hold_gb200+Thesis!D67*tk_hold_gb300+Thesis!D68*tk_hold_vr200)/Thesis!D57</f>
        <v>9.7235358126469</v>
      </c>
      <c r="E69" s="14" t="n">
        <f aca="false">(Thesis!E65*tk_hold_h100+Thesis!E66*tk_hold_gb200+Thesis!E67*tk_hold_gb300+Thesis!E68*tk_hold_vr200)/Thesis!E57</f>
        <v>9.7235358126469</v>
      </c>
      <c r="F69" s="14" t="n">
        <f aca="false">(Thesis!F65*tk_hold_h100+Thesis!F66*tk_hold_gb200+Thesis!F67*tk_hold_gb300+Thesis!F68*tk_hold_vr200)/Thesis!F57</f>
        <v>10.4079573161931</v>
      </c>
      <c r="G69" s="14" t="n">
        <f aca="false">(Thesis!G65*tk_hold_h100+Thesis!G66*tk_hold_gb200+Thesis!G67*tk_hold_gb300+Thesis!G68*tk_hold_vr200)/Thesis!G57</f>
        <v>10.8388131109316</v>
      </c>
      <c r="H69" s="14" t="n">
        <f aca="false">(Thesis!H65*tk_hold_h100+Thesis!H66*tk_hold_gb200+Thesis!H67*tk_hold_gb300+Thesis!H68*tk_hold_vr200)/Thesis!H57</f>
        <v>11.1311018388216</v>
      </c>
      <c r="I69" s="14" t="n">
        <f aca="false">(Thesis!I65*tk_hold_h100+Thesis!I66*tk_hold_gb200+Thesis!I67*tk_hold_gb300+Thesis!I68*tk_hold_vr200)/Thesis!I57</f>
        <v>11.3594282560989</v>
      </c>
      <c r="J69" s="14" t="n">
        <f aca="false">(Thesis!J65*tk_hold_h100+Thesis!J66*tk_hold_gb200+Thesis!J67*tk_hold_gb300+Thesis!J68*tk_hold_vr200)/Thesis!J57</f>
        <v>11.5455817917599</v>
      </c>
      <c r="K69" s="14" t="n">
        <f aca="false">(Thesis!K65*tk_hold_h100+Thesis!K66*tk_hold_gb200+Thesis!K67*tk_hold_gb300+Thesis!K68*tk_hold_vr200)/Thesis!K57</f>
        <v>11.8078187977246</v>
      </c>
    </row>
    <row r="70" customFormat="false" ht="17.15" hidden="false" customHeight="false" outlineLevel="0" collapsed="false">
      <c r="A70" s="0" t="s">
        <v>828</v>
      </c>
      <c r="B70" s="0" t="s">
        <v>185</v>
      </c>
      <c r="C70" s="14" t="n">
        <f aca="false">k_B</f>
        <v>1.17213932619116</v>
      </c>
      <c r="D70" s="14" t="n">
        <f aca="false">k_B</f>
        <v>1.17213932619116</v>
      </c>
      <c r="E70" s="14" t="n">
        <f aca="false">k_B</f>
        <v>1.17213932619116</v>
      </c>
      <c r="F70" s="14" t="n">
        <f aca="false">(k_B+((ls_B*k_long+(1-ls_B)*k_spot)-k_B)*MIN(1,(Thesis!F55-base_fy)/k_ramp))</f>
        <v>1.17213932619116</v>
      </c>
      <c r="G70" s="14" t="n">
        <f aca="false">(k_B+((ls_B*k_long+(1-ls_B)*k_spot)-k_B)*MIN(1,(Thesis!G55-base_fy)/k_ramp))</f>
        <v>1.17213932619116</v>
      </c>
      <c r="H70" s="14" t="n">
        <f aca="false">(k_B+((ls_B*k_long+(1-ls_B)*k_spot)-k_B)*MIN(1,(Thesis!H55-base_fy)/k_ramp))</f>
        <v>1.17213932619116</v>
      </c>
      <c r="I70" s="14" t="n">
        <f aca="false">(k_B+((ls_B*k_long+(1-ls_B)*k_spot)-k_B)*MIN(1,(Thesis!I55-base_fy)/k_ramp))</f>
        <v>1.17213932619116</v>
      </c>
      <c r="J70" s="14" t="n">
        <f aca="false">(k_B+((ls_B*k_long+(1-ls_B)*k_spot)-k_B)*MIN(1,(Thesis!J55-base_fy)/k_ramp))</f>
        <v>1.17213932619116</v>
      </c>
      <c r="K70" s="14" t="n">
        <f aca="false">(k_B+((ls_B*k_long+(1-ls_B)*k_spot)-k_B)*MIN(1,(Thesis!K55-base_fy)/k_ramp))</f>
        <v>1.17213932619116</v>
      </c>
      <c r="L70" s="1" t="s">
        <v>829</v>
      </c>
    </row>
    <row r="71" customFormat="false" ht="17.15" hidden="false" customHeight="false" outlineLevel="0" collapsed="false">
      <c r="A71" s="1" t="s">
        <v>830</v>
      </c>
      <c r="B71" s="0" t="s">
        <v>346</v>
      </c>
      <c r="C71" s="14" t="n">
        <f aca="false">Thesis!C69*Thesis!C70*chip_f</f>
        <v>11.3973387156315</v>
      </c>
      <c r="D71" s="14" t="n">
        <f aca="false">Thesis!D69*Thesis!D70*chip_f</f>
        <v>11.3973387156315</v>
      </c>
      <c r="E71" s="14" t="n">
        <f aca="false">Thesis!E69*Thesis!E70*chip_f</f>
        <v>11.3973387156315</v>
      </c>
      <c r="F71" s="14" t="n">
        <f aca="false">Thesis!F69*Thesis!F70*chip_f</f>
        <v>12.1995760756289</v>
      </c>
      <c r="G71" s="14" t="n">
        <f aca="false">Thesis!G69*Thesis!G70*chip_f</f>
        <v>12.7045990965592</v>
      </c>
      <c r="H71" s="14" t="n">
        <f aca="false">Thesis!H69*Thesis!H70*chip_f</f>
        <v>13.0472022091214</v>
      </c>
      <c r="I71" s="14" t="n">
        <f aca="false">Thesis!I69*Thesis!I70*chip_f</f>
        <v>13.3148325820205</v>
      </c>
      <c r="J71" s="14" t="n">
        <f aca="false">Thesis!J69*Thesis!J70*chip_f</f>
        <v>13.5330304618783</v>
      </c>
      <c r="K71" s="14" t="n">
        <f aca="false">Thesis!K69*Thesis!K70*chip_f</f>
        <v>13.8404087693522</v>
      </c>
      <c r="L71" s="1" t="s">
        <v>831</v>
      </c>
    </row>
    <row r="72" customFormat="false" ht="17.15" hidden="false" customHeight="false" outlineLevel="0" collapsed="false">
      <c r="A72" s="0" t="s">
        <v>832</v>
      </c>
      <c r="B72" s="0" t="s">
        <v>98</v>
      </c>
      <c r="D72" s="6" t="n">
        <f aca="false">(Thesis!C57+Thesis!D57)/2*Thesis!D71/1000</f>
        <v>12.9359794422418</v>
      </c>
      <c r="E72" s="6" t="n">
        <f aca="false">(Thesis!D57+Thesis!E57)/2*Thesis!E71/1000</f>
        <v>27.8095064661409</v>
      </c>
      <c r="F72" s="6" t="n">
        <f aca="false">(Thesis!E57+Thesis!F57)/2*Thesis!F71/1000</f>
        <v>55.0640065749585</v>
      </c>
      <c r="G72" s="6" t="n">
        <f aca="false">(Thesis!F57+Thesis!G57)/2*Thesis!G71/1000</f>
        <v>89.4505413190538</v>
      </c>
      <c r="H72" s="6" t="n">
        <f aca="false">(Thesis!G57+Thesis!H57)/2*Thesis!H71/1000</f>
        <v>124.835630736874</v>
      </c>
      <c r="I72" s="6" t="n">
        <f aca="false">(Thesis!H57+Thesis!I57)/2*Thesis!I71/1000</f>
        <v>156.158460265485</v>
      </c>
      <c r="J72" s="6" t="n">
        <f aca="false">(Thesis!I57+Thesis!J57)/2*Thesis!J71/1000</f>
        <v>178.259285293112</v>
      </c>
      <c r="K72" s="6" t="n">
        <f aca="false">(Thesis!J57+Thesis!K57)/2*Thesis!K71/1000</f>
        <v>192.733290209798</v>
      </c>
      <c r="L72" s="11" t="s">
        <v>833</v>
      </c>
    </row>
    <row r="73" customFormat="false" ht="17.15" hidden="false" customHeight="false" outlineLevel="0" collapsed="false">
      <c r="A73" s="1" t="s">
        <v>834</v>
      </c>
      <c r="B73" s="0" t="s">
        <v>346</v>
      </c>
      <c r="C73" s="14" t="n">
        <f aca="false">(Thesis!C65*tk_opex_h100+Thesis!C66*tk_opex_gb200+Thesis!C67*tk_opex_gb300+Thesis!C68*tk_opex_vr200)/Thesis!C57</f>
        <v>1.88636041306092</v>
      </c>
      <c r="D73" s="14" t="n">
        <f aca="false">(Thesis!D65*tk_opex_h100+Thesis!D66*tk_opex_gb200+Thesis!D67*tk_opex_gb300+Thesis!D68*tk_opex_vr200)/Thesis!D57</f>
        <v>1.88636041306092</v>
      </c>
      <c r="E73" s="14" t="n">
        <f aca="false">(Thesis!E65*tk_opex_h100+Thesis!E66*tk_opex_gb200+Thesis!E67*tk_opex_gb300+Thesis!E68*tk_opex_vr200)/Thesis!E57</f>
        <v>1.88636041306092</v>
      </c>
      <c r="F73" s="14" t="n">
        <f aca="false">(Thesis!F65*tk_opex_h100+Thesis!F66*tk_opex_gb200+Thesis!F67*tk_opex_gb300+Thesis!F68*tk_opex_vr200)/Thesis!F57</f>
        <v>1.9430236476499</v>
      </c>
      <c r="G73" s="14" t="n">
        <f aca="false">(Thesis!G65*tk_opex_h100+Thesis!G66*tk_opex_gb200+Thesis!G67*tk_opex_gb300+Thesis!G68*tk_opex_vr200)/Thesis!G57</f>
        <v>1.9786941852423</v>
      </c>
      <c r="H73" s="14" t="n">
        <f aca="false">(Thesis!H65*tk_opex_h100+Thesis!H66*tk_opex_gb200+Thesis!H67*tk_opex_gb300+Thesis!H68*tk_opex_vr200)/Thesis!H57</f>
        <v>2.00289275976156</v>
      </c>
      <c r="I73" s="14" t="n">
        <f aca="false">(Thesis!I65*tk_opex_h100+Thesis!I66*tk_opex_gb200+Thesis!I67*tk_opex_gb300+Thesis!I68*tk_opex_vr200)/Thesis!I57</f>
        <v>2.02179589661219</v>
      </c>
      <c r="J73" s="14" t="n">
        <f aca="false">(Thesis!J65*tk_opex_h100+Thesis!J66*tk_opex_gb200+Thesis!J67*tk_opex_gb300+Thesis!J68*tk_opex_vr200)/Thesis!J57</f>
        <v>2.03720754193029</v>
      </c>
      <c r="K73" s="14" t="n">
        <f aca="false">(Thesis!K65*tk_opex_h100+Thesis!K66*tk_opex_gb200+Thesis!K67*tk_opex_gb300+Thesis!K68*tk_opex_vr200)/Thesis!K57</f>
        <v>2.0589181353437</v>
      </c>
    </row>
    <row r="74" customFormat="false" ht="17.15" hidden="false" customHeight="false" outlineLevel="0" collapsed="false">
      <c r="A74" s="0" t="s">
        <v>835</v>
      </c>
      <c r="B74" s="0" t="s">
        <v>98</v>
      </c>
      <c r="D74" s="6" t="n">
        <f aca="false">(Thesis!C60+Thesis!D60)/2*Thesis!D73/1000</f>
        <v>2.70378325872065</v>
      </c>
      <c r="E74" s="6" t="n">
        <f aca="false">(Thesis!D60+Thesis!E60)/2*Thesis!E73/1000</f>
        <v>6.17783035277451</v>
      </c>
      <c r="F74" s="6" t="n">
        <f aca="false">(Thesis!E60+Thesis!F60)/2*Thesis!F73/1000</f>
        <v>12.5020618235287</v>
      </c>
      <c r="G74" s="6" t="n">
        <f aca="false">(Thesis!F60+Thesis!G60)/2*Thesis!G73/1000</f>
        <v>20.7261620256847</v>
      </c>
      <c r="H74" s="6" t="n">
        <f aca="false">(Thesis!G60+Thesis!H60)/2*Thesis!H73/1000</f>
        <v>29.4158183316982</v>
      </c>
      <c r="I74" s="6" t="n">
        <f aca="false">(Thesis!H60+Thesis!I60)/2*Thesis!I73/1000</f>
        <v>36.9724400356344</v>
      </c>
      <c r="J74" s="6" t="n">
        <f aca="false">(Thesis!I60+Thesis!J60)/2*Thesis!J73/1000</f>
        <v>42.1571687189816</v>
      </c>
      <c r="K74" s="6" t="n">
        <f aca="false">(Thesis!J60+Thesis!K60)/2*Thesis!K73/1000</f>
        <v>45.1912095080704</v>
      </c>
    </row>
    <row r="75" customFormat="false" ht="17.15" hidden="false" customHeight="false" outlineLevel="0" collapsed="false">
      <c r="A75" s="0" t="s">
        <v>836</v>
      </c>
      <c r="B75" s="0" t="s">
        <v>98</v>
      </c>
      <c r="D75" s="6" t="n">
        <f aca="false">(Thesis!C58+Thesis!D58)/2*rent_mw/1000</f>
        <v>2.44475</v>
      </c>
      <c r="E75" s="6" t="n">
        <f aca="false">(Thesis!D58+Thesis!E58)/2*rent_mw/1000</f>
        <v>4.22275</v>
      </c>
      <c r="F75" s="6" t="n">
        <f aca="false">(Thesis!E58+Thesis!F58)/2*rent_mw/1000</f>
        <v>5.80517</v>
      </c>
      <c r="G75" s="6" t="n">
        <f aca="false">(Thesis!F58+Thesis!G58)/2*rent_mw/1000</f>
        <v>6.72084</v>
      </c>
      <c r="H75" s="6" t="n">
        <f aca="false">(Thesis!G58+Thesis!H58)/2*rent_mw/1000</f>
        <v>6.72084</v>
      </c>
      <c r="I75" s="6" t="n">
        <f aca="false">(Thesis!H58+Thesis!I58)/2*rent_mw/1000</f>
        <v>6.72084</v>
      </c>
      <c r="J75" s="6" t="n">
        <f aca="false">(Thesis!I58+Thesis!J58)/2*rent_mw/1000</f>
        <v>6.72084</v>
      </c>
      <c r="K75" s="6" t="n">
        <f aca="false">(Thesis!J58+Thesis!K58)/2*rent_mw/1000</f>
        <v>6.72084</v>
      </c>
    </row>
    <row r="76" customFormat="false" ht="17.15" hidden="false" customHeight="false" outlineLevel="0" collapsed="false">
      <c r="A76" s="0" t="s">
        <v>837</v>
      </c>
      <c r="B76" s="0" t="s">
        <v>98</v>
      </c>
      <c r="D76" s="6" t="n">
        <f aca="false">(Thesis!C60+Thesis!D60)/2*(1-self_build)*fac_rent/1000</f>
        <v>0.853242375631075</v>
      </c>
      <c r="E76" s="6" t="n">
        <f aca="false">(Thesis!D60+Thesis!E60)/2*(1-self_build)*fac_rent/1000</f>
        <v>1.94955961408728</v>
      </c>
      <c r="F76" s="6" t="n">
        <f aca="false">(Thesis!E60+Thesis!F60)/2*(1-self_build)*fac_rent/1000</f>
        <v>3.83026455274573</v>
      </c>
      <c r="G76" s="6" t="n">
        <f aca="false">(Thesis!F60+Thesis!G60)/2*(1-self_build)*fac_rent/1000</f>
        <v>6.23541590972812</v>
      </c>
      <c r="H76" s="6" t="n">
        <f aca="false">(Thesis!G60+Thesis!H60)/2*(1-self_build)*fac_rent/1000</f>
        <v>8.74275792332679</v>
      </c>
      <c r="I76" s="6" t="n">
        <f aca="false">(Thesis!H60+Thesis!I60)/2*(1-self_build)*fac_rent/1000</f>
        <v>10.8859420438599</v>
      </c>
      <c r="J76" s="6" t="n">
        <f aca="false">(Thesis!I60+Thesis!J60)/2*(1-self_build)*fac_rent/1000</f>
        <v>12.3186006405366</v>
      </c>
      <c r="K76" s="6" t="n">
        <f aca="false">(Thesis!J60+Thesis!K60)/2*(1-self_build)*fac_rent/1000</f>
        <v>13.0659232089824</v>
      </c>
      <c r="L76" s="11" t="s">
        <v>838</v>
      </c>
    </row>
    <row r="77" customFormat="false" ht="17.15" hidden="false" customHeight="false" outlineLevel="0" collapsed="false">
      <c r="A77" s="1" t="s">
        <v>839</v>
      </c>
      <c r="B77" s="0" t="s">
        <v>129</v>
      </c>
      <c r="D77" s="7" t="n">
        <f aca="false">(Thesis!C59+Thesis!D59)/(Thesis!C60+Thesis!D60)</f>
        <v>0.6</v>
      </c>
      <c r="E77" s="7" t="n">
        <f aca="false">(Thesis!D59+Thesis!E59)/(Thesis!D60+Thesis!E60)</f>
        <v>0.6</v>
      </c>
      <c r="F77" s="7" t="n">
        <f aca="false">(Thesis!E59+Thesis!F59)/(Thesis!E60+Thesis!F60)</f>
        <v>0.6</v>
      </c>
      <c r="G77" s="7" t="n">
        <f aca="false">(Thesis!F59+Thesis!G59)/(Thesis!F60+Thesis!G60)</f>
        <v>0.6</v>
      </c>
      <c r="H77" s="7" t="n">
        <f aca="false">(Thesis!G59+Thesis!H59)/(Thesis!G60+Thesis!H60)</f>
        <v>0.6</v>
      </c>
      <c r="I77" s="7" t="n">
        <f aca="false">(Thesis!H59+Thesis!I59)/(Thesis!H60+Thesis!I60)</f>
        <v>0.6</v>
      </c>
      <c r="J77" s="7" t="n">
        <f aca="false">(Thesis!I59+Thesis!J59)/(Thesis!I60+Thesis!J60)</f>
        <v>0.6</v>
      </c>
      <c r="K77" s="7" t="n">
        <f aca="false">(Thesis!J59+Thesis!K59)/(Thesis!J60+Thesis!K60)</f>
        <v>0.6</v>
      </c>
    </row>
    <row r="78" customFormat="false" ht="17.15" hidden="false" customHeight="false" outlineLevel="0" collapsed="false">
      <c r="A78" s="0" t="s">
        <v>840</v>
      </c>
      <c r="B78" s="0" t="s">
        <v>98</v>
      </c>
      <c r="D78" s="6" t="n">
        <f aca="false">Thesis!D72-Thesis!D77*(Thesis!D74+Thesis!D76)-Thesis!D75</f>
        <v>8.35701406163072</v>
      </c>
      <c r="E78" s="6" t="n">
        <f aca="false">Thesis!E72-Thesis!E77*(Thesis!E74+Thesis!E76)-Thesis!E75</f>
        <v>18.7103224860238</v>
      </c>
      <c r="F78" s="6" t="n">
        <f aca="false">Thesis!F72-Thesis!F77*(Thesis!F74+Thesis!F76)-Thesis!F75</f>
        <v>39.4594407491938</v>
      </c>
      <c r="G78" s="6" t="n">
        <f aca="false">Thesis!G72-Thesis!G77*(Thesis!G74+Thesis!G76)-Thesis!G75</f>
        <v>66.5527545578061</v>
      </c>
      <c r="H78" s="6" t="n">
        <f aca="false">Thesis!H72-Thesis!H77*(Thesis!H74+Thesis!H76)-Thesis!H75</f>
        <v>95.219644983859</v>
      </c>
      <c r="I78" s="6" t="n">
        <f aca="false">Thesis!I72-Thesis!I77*(Thesis!I74+Thesis!I76)-Thesis!I75</f>
        <v>120.722591017788</v>
      </c>
      <c r="J78" s="6" t="n">
        <f aca="false">Thesis!J72-Thesis!J77*(Thesis!J74+Thesis!J76)-Thesis!J75</f>
        <v>138.852983677401</v>
      </c>
      <c r="K78" s="6" t="n">
        <f aca="false">Thesis!K72-Thesis!K77*(Thesis!K74+Thesis!K76)-Thesis!K75</f>
        <v>151.058170579566</v>
      </c>
    </row>
    <row r="79" customFormat="false" ht="17.15" hidden="false" customHeight="false" outlineLevel="0" collapsed="false">
      <c r="A79" s="1" t="s">
        <v>841</v>
      </c>
      <c r="B79" s="0" t="s">
        <v>98</v>
      </c>
      <c r="D79" s="6" t="n">
        <f aca="false">(1-Thesis!D77)*(Thesis!D74+Thesis!D76)</f>
        <v>1.42281025374069</v>
      </c>
      <c r="E79" s="6" t="n">
        <f aca="false">(1-Thesis!E77)*(Thesis!E74+Thesis!E76)</f>
        <v>3.25095598674472</v>
      </c>
      <c r="F79" s="6" t="n">
        <f aca="false">(1-Thesis!F77)*(Thesis!F74+Thesis!F76)</f>
        <v>6.53293055050977</v>
      </c>
      <c r="G79" s="6" t="n">
        <f aca="false">(1-Thesis!G77)*(Thesis!G74+Thesis!G76)</f>
        <v>10.7846311741651</v>
      </c>
      <c r="H79" s="6" t="n">
        <f aca="false">(1-Thesis!H77)*(Thesis!H74+Thesis!H76)</f>
        <v>15.26343050201</v>
      </c>
      <c r="I79" s="6" t="n">
        <f aca="false">(1-Thesis!I77)*(Thesis!I74+Thesis!I76)</f>
        <v>19.1433528317977</v>
      </c>
      <c r="J79" s="6" t="n">
        <f aca="false">(1-Thesis!J77)*(Thesis!J74+Thesis!J76)</f>
        <v>21.7903077438073</v>
      </c>
      <c r="K79" s="6" t="n">
        <f aca="false">(1-Thesis!K77)*(Thesis!K74+Thesis!K76)</f>
        <v>23.3028530868211</v>
      </c>
    </row>
    <row r="80" customFormat="false" ht="17.15" hidden="false" customHeight="false" outlineLevel="0" collapsed="false">
      <c r="A80" s="1" t="s">
        <v>842</v>
      </c>
      <c r="B80" s="0" t="s">
        <v>357</v>
      </c>
      <c r="C80" s="8" t="n">
        <f aca="false">cxit_open</f>
        <v>27.5918995</v>
      </c>
      <c r="D80" s="8" t="n">
        <f aca="false">cxit_open</f>
        <v>27.5918995</v>
      </c>
      <c r="E80" s="8" t="n">
        <f aca="false">cxit_open</f>
        <v>27.5918995</v>
      </c>
      <c r="F80" s="8" t="n">
        <f aca="false">(a_g3_27*tk_cxit_gb300+(1-a_g3_27)*tk_cxit_vr200)</f>
        <v>33.8419624</v>
      </c>
      <c r="G80" s="8" t="n">
        <f aca="false">(a_g3_28*tk_cxit_gb300+(1-a_g3_28)*tk_cxit_vr200)</f>
        <v>35.9816136</v>
      </c>
      <c r="H80" s="8" t="n">
        <f aca="false">(a_g3_29*tk_cxit_gb300+(1-a_g3_29)*tk_cxit_vr200)</f>
        <v>37.0514392</v>
      </c>
      <c r="I80" s="8" t="n">
        <f aca="false">(a_g3_29*tk_cxit_gb300+(1-a_g3_29)*tk_cxit_vr200)</f>
        <v>37.0514392</v>
      </c>
      <c r="J80" s="8" t="n">
        <f aca="false">(a_g3_29*tk_cxit_gb300+(1-a_g3_29)*tk_cxit_vr200)</f>
        <v>37.0514392</v>
      </c>
      <c r="K80" s="8" t="n">
        <f aca="false">(a_g3_29*tk_cxit_gb300+(1-a_g3_29)*tk_cxit_vr200)</f>
        <v>37.0514392</v>
      </c>
      <c r="L80" s="11" t="s">
        <v>843</v>
      </c>
    </row>
    <row r="81" customFormat="false" ht="17.15" hidden="false" customHeight="false" outlineLevel="0" collapsed="false">
      <c r="A81" s="0" t="s">
        <v>844</v>
      </c>
      <c r="B81" s="0" t="s">
        <v>399</v>
      </c>
      <c r="F81" s="29" t="n">
        <f aca="false">Thesis!C62*IF(Thesis!F55-Thesis!C55=life_it,1,0)+Thesis!D62*IF(Thesis!F55-Thesis!D55=life_it,1,0)+Thesis!E62*IF(Thesis!F55-Thesis!E55=life_it,1,0)</f>
        <v>0</v>
      </c>
      <c r="G81" s="29" t="n">
        <f aca="false">Thesis!C62*IF(Thesis!G55-Thesis!C55=life_it,1,0)+Thesis!D62*IF(Thesis!G55-Thesis!D55=life_it,1,0)+Thesis!E62*IF(Thesis!G55-Thesis!E55=life_it,1,0)+Thesis!F62*IF(Thesis!G55-Thesis!F55=life_it,1,0)</f>
        <v>0</v>
      </c>
      <c r="H81" s="29" t="n">
        <f aca="false">Thesis!C62*IF(Thesis!H55-Thesis!C55=life_it,1,0)+Thesis!D62*IF(Thesis!H55-Thesis!D55=life_it,1,0)+Thesis!E62*IF(Thesis!H55-Thesis!E55=life_it,1,0)+Thesis!F62*IF(Thesis!H55-Thesis!F55=life_it,1,0)+Thesis!G62*IF(Thesis!H55-Thesis!G55=life_it,1,0)</f>
        <v>0</v>
      </c>
      <c r="I81" s="29" t="n">
        <f aca="false">Thesis!C62*IF(Thesis!I55-Thesis!C55=life_it,1,0)+Thesis!D62*IF(Thesis!I55-Thesis!D55=life_it,1,0)+Thesis!E62*IF(Thesis!I55-Thesis!E55=life_it,1,0)+Thesis!F62*IF(Thesis!I55-Thesis!F55=life_it,1,0)+Thesis!G62*IF(Thesis!I55-Thesis!G55=life_it,1,0)+Thesis!H62*IF(Thesis!I55-Thesis!H55=life_it,1,0)</f>
        <v>816.666666666667</v>
      </c>
      <c r="J81" s="29" t="n">
        <f aca="false">Thesis!C62*IF(Thesis!J55-Thesis!C55=life_it,1,0)+Thesis!D62*IF(Thesis!J55-Thesis!D55=life_it,1,0)+Thesis!E62*IF(Thesis!J55-Thesis!E55=life_it,1,0)+Thesis!F62*IF(Thesis!J55-Thesis!F55=life_it,1,0)+Thesis!G62*IF(Thesis!J55-Thesis!G55=life_it,1,0)+Thesis!H62*IF(Thesis!J55-Thesis!H55=life_it,1,0)+Thesis!I62*IF(Thesis!J55-Thesis!I55=life_it,1,0)</f>
        <v>1233.33333333333</v>
      </c>
      <c r="K81" s="29" t="n">
        <f aca="false">Thesis!C62*IF(Thesis!K55-Thesis!C55=life_it,1,0)+Thesis!D62*IF(Thesis!K55-Thesis!D55=life_it,1,0)+Thesis!E62*IF(Thesis!K55-Thesis!E55=life_it,1,0)+Thesis!F62*IF(Thesis!K55-Thesis!F55=life_it,1,0)+Thesis!G62*IF(Thesis!K55-Thesis!G55=life_it,1,0)+Thesis!H62*IF(Thesis!K55-Thesis!H55=life_it,1,0)+Thesis!I62*IF(Thesis!K55-Thesis!I55=life_it,1,0)+Thesis!J62*IF(Thesis!K55-Thesis!J55=life_it,1,0)</f>
        <v>2450</v>
      </c>
      <c r="L81" s="1" t="s">
        <v>845</v>
      </c>
    </row>
    <row r="82" customFormat="false" ht="17.15" hidden="false" customHeight="false" outlineLevel="0" collapsed="false">
      <c r="A82" s="0" t="s">
        <v>846</v>
      </c>
      <c r="B82" s="0" t="s">
        <v>98</v>
      </c>
      <c r="C82" s="6" t="n">
        <f aca="false">Thesis!C62*Thesis!C80/1000</f>
        <v>22.5333845916667</v>
      </c>
      <c r="D82" s="6" t="n">
        <f aca="false">Thesis!D62*Thesis!D80/1000</f>
        <v>34.0300093833333</v>
      </c>
      <c r="E82" s="6" t="n">
        <f aca="false">Thesis!E62*Thesis!E80/1000</f>
        <v>67.600153775</v>
      </c>
      <c r="F82" s="6" t="n">
        <f aca="false">(Thesis!F62+Thesis!F81)*Thesis!F80/1000</f>
        <v>130.923271871467</v>
      </c>
      <c r="G82" s="6" t="n">
        <f aca="false">(Thesis!G62+Thesis!G81)*Thesis!G80/1000</f>
        <v>151.5545564832</v>
      </c>
      <c r="H82" s="6" t="n">
        <f aca="false">(Thesis!H62+Thesis!H81)*Thesis!H80/1000</f>
        <v>156.0606619104</v>
      </c>
      <c r="I82" s="6" t="n">
        <f aca="false">(Thesis!I62+Thesis!I81)*Thesis!I80/1000</f>
        <v>140.987889434245</v>
      </c>
      <c r="J82" s="6" t="n">
        <f aca="false">(Thesis!J62+Thesis!J81)*Thesis!J80/1000</f>
        <v>113.309125559842</v>
      </c>
      <c r="K82" s="6" t="n">
        <f aca="false">(Thesis!K62+Thesis!K81)*Thesis!K80/1000</f>
        <v>116.192591420959</v>
      </c>
    </row>
    <row r="83" customFormat="false" ht="17.15" hidden="false" customHeight="false" outlineLevel="0" collapsed="false">
      <c r="A83" s="0" t="s">
        <v>847</v>
      </c>
      <c r="B83" s="0" t="s">
        <v>98</v>
      </c>
      <c r="C83" s="6" t="n">
        <f aca="false">Thesis!C62*self_build*tk_cxfac/1000</f>
        <v>6.2083</v>
      </c>
      <c r="D83" s="6" t="n">
        <f aca="false">Thesis!D62*self_build*tk_cxfac/1000</f>
        <v>9.3758</v>
      </c>
      <c r="E83" s="6" t="n">
        <f aca="false">Thesis!E62*self_build*tk_cxfac/1000</f>
        <v>18.6249</v>
      </c>
      <c r="F83" s="6" t="n">
        <f aca="false">Thesis!F62*self_build*tk_cxfac/1000</f>
        <v>29.409604</v>
      </c>
      <c r="G83" s="6" t="n">
        <f aca="false">Thesis!G62*self_build*tk_cxfac/1000</f>
        <v>32.019624</v>
      </c>
      <c r="H83" s="6" t="n">
        <f aca="false">Thesis!H62*self_build*tk_cxfac/1000</f>
        <v>32.019624</v>
      </c>
      <c r="I83" s="6" t="n">
        <f aca="false">Thesis!I62*self_build*tk_cxfac/1000</f>
        <v>22.71877972</v>
      </c>
      <c r="J83" s="6" t="n">
        <f aca="false">Thesis!J62*self_build*tk_cxfac/1000</f>
        <v>13.8723110344</v>
      </c>
      <c r="K83" s="6" t="n">
        <f aca="false">Thesis!K62*self_build*tk_cxfac/1000</f>
        <v>5.214823882632</v>
      </c>
    </row>
    <row r="84" customFormat="false" ht="17.15" hidden="false" customHeight="false" outlineLevel="0" collapsed="false">
      <c r="A84" s="0" t="s">
        <v>848</v>
      </c>
      <c r="B84" s="0" t="s">
        <v>98</v>
      </c>
      <c r="F84" s="6" t="n">
        <f aca="false">MAX(0,capex_floor27-Thesis!F82-Thesis!F83-CF!F55)</f>
        <v>8.28777689897088</v>
      </c>
    </row>
    <row r="85" customFormat="false" ht="17.15" hidden="false" customHeight="false" outlineLevel="0" collapsed="false">
      <c r="A85" s="0" t="s">
        <v>849</v>
      </c>
      <c r="B85" s="0" t="s">
        <v>98</v>
      </c>
      <c r="C85" s="6" t="n">
        <f aca="false">Thesis!C82</f>
        <v>22.5333845916667</v>
      </c>
      <c r="D85" s="6" t="n">
        <f aca="false">Thesis!D82</f>
        <v>34.0300093833333</v>
      </c>
      <c r="E85" s="6" t="n">
        <f aca="false">Thesis!E82</f>
        <v>67.600153775</v>
      </c>
      <c r="F85" s="6" t="n">
        <f aca="false">Thesis!F82</f>
        <v>130.923271871467</v>
      </c>
      <c r="G85" s="6" t="n">
        <f aca="false">Thesis!G82</f>
        <v>151.5545564832</v>
      </c>
      <c r="H85" s="6" t="n">
        <f aca="false">Thesis!H82</f>
        <v>156.0606619104</v>
      </c>
      <c r="I85" s="6" t="n">
        <f aca="false">Thesis!I82</f>
        <v>140.987889434245</v>
      </c>
      <c r="J85" s="6" t="n">
        <f aca="false">Thesis!J82</f>
        <v>113.309125559842</v>
      </c>
      <c r="K85" s="6" t="n">
        <f aca="false">Thesis!K82</f>
        <v>116.192591420959</v>
      </c>
    </row>
    <row r="86" customFormat="false" ht="17.15" hidden="false" customHeight="false" outlineLevel="0" collapsed="false">
      <c r="A86" s="0" t="s">
        <v>850</v>
      </c>
      <c r="B86" s="0" t="s">
        <v>98</v>
      </c>
      <c r="C86" s="6" t="n">
        <f aca="false">Thesis!C85+Thesis!C83</f>
        <v>28.7416845916667</v>
      </c>
      <c r="D86" s="6" t="n">
        <f aca="false">Thesis!D85+Thesis!D83</f>
        <v>43.4058093833333</v>
      </c>
      <c r="E86" s="6" t="n">
        <f aca="false">Thesis!E85+Thesis!E83</f>
        <v>86.225053775</v>
      </c>
      <c r="F86" s="6" t="n">
        <f aca="false">Thesis!F85+Thesis!F83</f>
        <v>160.332875871467</v>
      </c>
      <c r="G86" s="6" t="n">
        <f aca="false">Thesis!G85+Thesis!G83</f>
        <v>183.5741804832</v>
      </c>
      <c r="H86" s="6" t="n">
        <f aca="false">Thesis!H85+Thesis!H83</f>
        <v>188.0802859104</v>
      </c>
      <c r="I86" s="6" t="n">
        <f aca="false">Thesis!I85+Thesis!I83</f>
        <v>163.706669154245</v>
      </c>
      <c r="J86" s="6" t="n">
        <f aca="false">Thesis!J85+Thesis!J83</f>
        <v>127.181436594242</v>
      </c>
      <c r="K86" s="6" t="n">
        <f aca="false">Thesis!K85+Thesis!K83</f>
        <v>121.407415303591</v>
      </c>
      <c r="L86" s="11" t="s">
        <v>851</v>
      </c>
    </row>
    <row r="87" customFormat="false" ht="17.15" hidden="false" customHeight="false" outlineLevel="0" collapsed="false">
      <c r="A87" s="0" t="s">
        <v>852</v>
      </c>
      <c r="B87" s="0" t="s">
        <v>98</v>
      </c>
      <c r="E87" s="6" t="n">
        <f aca="false">(Thesis!C85*IF(2&lt;life_it,1,IF(2=life_it,0.5,0))+Thesis!D85*IF(1&lt;life_it,1,IF(1=life_it,0.5,0))+Thesis!E85*0.5)/life_it</f>
        <v>15.0605784770833</v>
      </c>
      <c r="F87" s="6" t="n">
        <f aca="false">(Thesis!C85*IF(3&lt;life_it,1,IF(3=life_it,0.5,0))+Thesis!D85*IF(2&lt;life_it,1,IF(2=life_it,0.5,0))+Thesis!E85*IF(1&lt;life_it,1,IF(1=life_it,0.5,0))+Thesis!F85*0.5)/life_it</f>
        <v>31.6041972809556</v>
      </c>
      <c r="G87" s="6" t="n">
        <f aca="false">(Thesis!C85*IF(4&lt;life_it,1,IF(4=life_it,0.5,0))+Thesis!D85*IF(3&lt;life_it,1,IF(3=life_it,0.5,0))+Thesis!E85*IF(2&lt;life_it,1,IF(2=life_it,0.5,0))+Thesis!F85*IF(1&lt;life_it,1,IF(1=life_it,0.5,0))+Thesis!G85*0.5)/life_it</f>
        <v>55.1440163105111</v>
      </c>
      <c r="H87" s="6" t="n">
        <f aca="false">(Thesis!C85*IF(5&lt;life_it,1,IF(5=life_it,0.5,0))+Thesis!D85*IF(4&lt;life_it,1,IF(4=life_it,0.5,0))+Thesis!E85*IF(3&lt;life_it,1,IF(3=life_it,0.5,0))+Thesis!F85*IF(2&lt;life_it,1,IF(2=life_it,0.5,0))+Thesis!G85*IF(1&lt;life_it,1,IF(1=life_it,0.5,0))+Thesis!H85*0.5)/life_it</f>
        <v>80.7786178433111</v>
      </c>
      <c r="I87" s="6" t="n">
        <f aca="false">(Thesis!C85*IF(6&lt;life_it,1,IF(6=life_it,0.5,0))+Thesis!D85*IF(5&lt;life_it,1,IF(5=life_it,0.5,0))+Thesis!E85*IF(4&lt;life_it,1,IF(4=life_it,0.5,0))+Thesis!F85*IF(3&lt;life_it,1,IF(3=life_it,0.5,0))+Thesis!G85*IF(2&lt;life_it,1,IF(2=life_it,0.5,0))+Thesis!H85*IF(1&lt;life_it,1,IF(1=life_it,0.5,0))+Thesis!I85*0.5)/life_it</f>
        <v>103.654881739393</v>
      </c>
      <c r="J87" s="6" t="n">
        <f aca="false">(Thesis!C85*IF(7&lt;life_it,1,IF(7=life_it,0.5,0))+Thesis!D85*IF(6&lt;life_it,1,IF(6=life_it,0.5,0))+Thesis!E85*IF(5&lt;life_it,1,IF(5=life_it,0.5,0))+Thesis!F85*IF(4&lt;life_it,1,IF(4=life_it,0.5,0))+Thesis!G85*IF(3&lt;life_it,1,IF(3=life_it,0.5,0))+Thesis!H85*IF(2&lt;life_it,1,IF(2=life_it,0.5,0))+Thesis!I85*IF(1&lt;life_it,1,IF(1=life_it,0.5,0))+Thesis!J85*0.5)/life_it</f>
        <v>120.132683490983</v>
      </c>
      <c r="K87" s="6" t="n">
        <f aca="false">(Thesis!C85*IF(8&lt;life_it,1,IF(8=life_it,0.5,0))+Thesis!D85*IF(7&lt;life_it,1,IF(7=life_it,0.5,0))+Thesis!E85*IF(6&lt;life_it,1,IF(6=life_it,0.5,0))+Thesis!F85*IF(5&lt;life_it,1,IF(5=life_it,0.5,0))+Thesis!G85*IF(4&lt;life_it,1,IF(4=life_it,0.5,0))+Thesis!H85*IF(3&lt;life_it,1,IF(3=life_it,0.5,0))+Thesis!I85*IF(2&lt;life_it,1,IF(2=life_it,0.5,0))+Thesis!J85*IF(1&lt;life_it,1,IF(1=life_it,0.5,0))+Thesis!K85*0.5)/life_it</f>
        <v>130.788646309522</v>
      </c>
    </row>
    <row r="88" customFormat="false" ht="17.15" hidden="false" customHeight="false" outlineLevel="0" collapsed="false">
      <c r="A88" s="0" t="s">
        <v>853</v>
      </c>
      <c r="B88" s="0" t="s">
        <v>98</v>
      </c>
      <c r="E88" s="6" t="n">
        <f aca="false">(Thesis!C83*IF(2&lt;life_fac,1,IF(2=life_fac,0.5,0))+Thesis!D83*IF(1&lt;life_fac,1,IF(1=life_fac,0.5,0))+Thesis!E83*0.5)/life_fac</f>
        <v>1.2448275</v>
      </c>
      <c r="F88" s="6" t="n">
        <f aca="false">(Thesis!C83*IF(3&lt;life_fac,1,IF(3=life_fac,0.5,0))+Thesis!D83*IF(2&lt;life_fac,1,IF(2=life_fac,0.5,0))+Thesis!E83*IF(1&lt;life_fac,1,IF(1=life_fac,0.5,0))+Thesis!F83*0.5)/life_fac</f>
        <v>2.4456901</v>
      </c>
      <c r="G88" s="6" t="n">
        <f aca="false">(Thesis!C83*IF(4&lt;life_fac,1,IF(4=life_fac,0.5,0))+Thesis!D83*IF(3&lt;life_fac,1,IF(3=life_fac,0.5,0))+Thesis!E83*IF(2&lt;life_fac,1,IF(2=life_fac,0.5,0))+Thesis!F83*IF(1&lt;life_fac,1,IF(1=life_fac,0.5,0))+Thesis!G83*0.5)/life_fac</f>
        <v>3.9814208</v>
      </c>
      <c r="H88" s="6" t="n">
        <f aca="false">(Thesis!C83*IF(5&lt;life_fac,1,IF(5=life_fac,0.5,0))+Thesis!D83*IF(4&lt;life_fac,1,IF(4=life_fac,0.5,0))+Thesis!E83*IF(3&lt;life_fac,1,IF(3=life_fac,0.5,0))+Thesis!F83*IF(2&lt;life_fac,1,IF(2=life_fac,0.5,0))+Thesis!G83*IF(1&lt;life_fac,1,IF(1=life_fac,0.5,0))+Thesis!H83*0.5)/life_fac</f>
        <v>5.582402</v>
      </c>
      <c r="I88" s="6" t="n">
        <f aca="false">(Thesis!C83*IF(6&lt;life_fac,1,IF(6=life_fac,0.5,0))+Thesis!D83*IF(5&lt;life_fac,1,IF(5=life_fac,0.5,0))+Thesis!E83*IF(4&lt;life_fac,1,IF(4=life_fac,0.5,0))+Thesis!F83*IF(3&lt;life_fac,1,IF(3=life_fac,0.5,0))+Thesis!G83*IF(2&lt;life_fac,1,IF(2=life_fac,0.5,0))+Thesis!H83*IF(1&lt;life_fac,1,IF(1=life_fac,0.5,0))+Thesis!I83*0.5)/life_fac</f>
        <v>6.950862093</v>
      </c>
      <c r="J88" s="6" t="n">
        <f aca="false">(Thesis!C83*IF(7&lt;life_fac,1,IF(7=life_fac,0.5,0))+Thesis!D83*IF(6&lt;life_fac,1,IF(6=life_fac,0.5,0))+Thesis!E83*IF(5&lt;life_fac,1,IF(5=life_fac,0.5,0))+Thesis!F83*IF(4&lt;life_fac,1,IF(4=life_fac,0.5,0))+Thesis!G83*IF(3&lt;life_fac,1,IF(3=life_fac,0.5,0))+Thesis!H83*IF(2&lt;life_fac,1,IF(2=life_fac,0.5,0))+Thesis!I83*IF(1&lt;life_fac,1,IF(1=life_fac,0.5,0))+Thesis!J83*0.5)/life_fac</f>
        <v>7.86563936186</v>
      </c>
      <c r="K88" s="6" t="n">
        <f aca="false">(Thesis!C83*IF(8&lt;life_fac,1,IF(8=life_fac,0.5,0))+Thesis!D83*IF(7&lt;life_fac,1,IF(7=life_fac,0.5,0))+Thesis!E83*IF(6&lt;life_fac,1,IF(6=life_fac,0.5,0))+Thesis!F83*IF(5&lt;life_fac,1,IF(5=life_fac,0.5,0))+Thesis!G83*IF(4&lt;life_fac,1,IF(4=life_fac,0.5,0))+Thesis!H83*IF(3&lt;life_fac,1,IF(3=life_fac,0.5,0))+Thesis!I83*IF(2&lt;life_fac,1,IF(2=life_fac,0.5,0))+Thesis!J83*IF(1&lt;life_fac,1,IF(1=life_fac,0.5,0))+Thesis!K83*0.5)/life_fac</f>
        <v>8.3428177347858</v>
      </c>
    </row>
    <row r="89" customFormat="false" ht="17.15" hidden="false" customHeight="false" outlineLevel="0" collapsed="false">
      <c r="A89" s="0" t="s">
        <v>854</v>
      </c>
      <c r="B89" s="0" t="s">
        <v>98</v>
      </c>
      <c r="E89" s="6" t="n">
        <f aca="false">Thesis!E87+Thesis!E88</f>
        <v>16.3054059770833</v>
      </c>
      <c r="F89" s="6" t="n">
        <f aca="false">Thesis!F87+Thesis!F88</f>
        <v>34.0498873809555</v>
      </c>
      <c r="G89" s="6" t="n">
        <f aca="false">Thesis!G87+Thesis!G88</f>
        <v>59.1254371105111</v>
      </c>
      <c r="H89" s="6" t="n">
        <f aca="false">Thesis!H87+Thesis!H88</f>
        <v>86.3610198433111</v>
      </c>
      <c r="I89" s="6" t="n">
        <f aca="false">Thesis!I87+Thesis!I88</f>
        <v>110.605743832393</v>
      </c>
      <c r="J89" s="6" t="n">
        <f aca="false">Thesis!J87+Thesis!J88</f>
        <v>127.998322852843</v>
      </c>
      <c r="K89" s="6" t="n">
        <f aca="false">Thesis!K87+Thesis!K88</f>
        <v>139.131464044308</v>
      </c>
    </row>
    <row r="90" customFormat="false" ht="17.15" hidden="false" customHeight="false" outlineLevel="0" collapsed="false">
      <c r="A90" s="0" t="s">
        <v>855</v>
      </c>
      <c r="B90" s="0" t="s">
        <v>98</v>
      </c>
      <c r="E90" s="6" t="n">
        <f aca="false">Thesis!E78-Thesis!E77*Thesis!E89</f>
        <v>8.92707889977379</v>
      </c>
      <c r="F90" s="6" t="n">
        <f aca="false">Thesis!F78-Thesis!F77*Thesis!F89</f>
        <v>19.0295083206205</v>
      </c>
      <c r="G90" s="6" t="n">
        <f aca="false">Thesis!G78-Thesis!G77*Thesis!G89</f>
        <v>31.0774922914994</v>
      </c>
      <c r="H90" s="6" t="n">
        <f aca="false">Thesis!H78-Thesis!H77*Thesis!H89</f>
        <v>43.4030330778723</v>
      </c>
      <c r="I90" s="6" t="n">
        <f aca="false">Thesis!I78-Thesis!I77*Thesis!I89</f>
        <v>54.3591447183526</v>
      </c>
      <c r="J90" s="6" t="n">
        <f aca="false">Thesis!J78-Thesis!J77*Thesis!J89</f>
        <v>62.0539899656947</v>
      </c>
      <c r="K90" s="6" t="n">
        <f aca="false">Thesis!K78-Thesis!K77*Thesis!K89</f>
        <v>67.5792921529812</v>
      </c>
    </row>
    <row r="91" customFormat="false" ht="17.15" hidden="false" customHeight="false" outlineLevel="0" collapsed="false">
      <c r="A91" s="0" t="s">
        <v>856</v>
      </c>
      <c r="B91" s="0" t="s">
        <v>98</v>
      </c>
      <c r="E91" s="6" t="n">
        <f aca="false">Seg!E38</f>
        <v>5.25</v>
      </c>
      <c r="F91" s="6" t="n">
        <f aca="false">Seg!F38</f>
        <v>12</v>
      </c>
      <c r="G91" s="6" t="n">
        <f aca="false">Seg!G38</f>
        <v>18</v>
      </c>
      <c r="H91" s="6" t="n">
        <f aca="false">Seg!H38</f>
        <v>24</v>
      </c>
      <c r="I91" s="6" t="n">
        <f aca="false">Seg!I38</f>
        <v>28.5</v>
      </c>
      <c r="J91" s="6" t="n">
        <f aca="false">Seg!J38</f>
        <v>31.5</v>
      </c>
      <c r="K91" s="6" t="n">
        <f aca="false">Seg!K38</f>
        <v>34.5</v>
      </c>
    </row>
    <row r="92" customFormat="false" ht="17.15" hidden="false" customHeight="false" outlineLevel="0" collapsed="false">
      <c r="A92" s="1" t="s">
        <v>857</v>
      </c>
      <c r="B92" s="0" t="s">
        <v>98</v>
      </c>
      <c r="F92" s="6" t="n">
        <f aca="false">MAX(0,((Thesis!E61+Thesis!F61)/2-(shadow_base*(Thesis!$D$61+Thesis!$E$61)/2+(1-shadow_base)*Thesis!$E$61))*Thesis!F69/1000-(Thesis!F91-Thesis!$E$91)*PL!F70)</f>
        <v>9.29892047395526</v>
      </c>
      <c r="G92" s="6" t="n">
        <f aca="false">MAX(0,((Thesis!F61+Thesis!G61)/2-(shadow_base*(Thesis!$D$61+Thesis!$E$61)/2+(1-shadow_base)*Thesis!$E$61))*Thesis!G69/1000-(Thesis!G91-Thesis!$E$91)*PL!G70)</f>
        <v>23.9346303607031</v>
      </c>
      <c r="H92" s="6" t="n">
        <f aca="false">MAX(0,((Thesis!G61+Thesis!H61)/2-(shadow_base*(Thesis!$D$61+Thesis!$E$61)/2+(1-shadow_base)*Thesis!$E$61))*Thesis!H69/1000-(Thesis!H91-Thesis!$E$91)*PL!H70)</f>
        <v>40.1043191979728</v>
      </c>
      <c r="I92" s="6" t="n">
        <f aca="false">MAX(0,((Thesis!H61+Thesis!I61)/2-(shadow_base*(Thesis!$D$61+Thesis!$E$61)/2+(1-shadow_base)*Thesis!$E$61))*Thesis!I69/1000-(Thesis!I91-Thesis!$E$91)*PL!I70)</f>
        <v>54.9360183203111</v>
      </c>
      <c r="J92" s="6" t="n">
        <f aca="false">MAX(0,((Thesis!I61+Thesis!J61)/2-(shadow_base*(Thesis!$D$61+Thesis!$E$61)/2+(1-shadow_base)*Thesis!$E$61))*Thesis!J69/1000-(Thesis!J91-Thesis!$E$91)*PL!J70)</f>
        <v>65.4555422613168</v>
      </c>
      <c r="K92" s="6" t="n">
        <f aca="false">MAX(0,((Thesis!J61+Thesis!K61)/2-(shadow_base*(Thesis!$D$61+Thesis!$E$61)/2+(1-shadow_base)*Thesis!$E$61))*Thesis!K69/1000-(Thesis!K91-Thesis!$E$91)*PL!K70)</f>
        <v>71.4992160033785</v>
      </c>
      <c r="L92" s="1" t="s">
        <v>858</v>
      </c>
    </row>
    <row r="93" customFormat="false" ht="17.15" hidden="false" customHeight="false" outlineLevel="0" collapsed="false">
      <c r="A93" s="1" t="s">
        <v>859</v>
      </c>
      <c r="B93" s="0" t="s">
        <v>98</v>
      </c>
      <c r="F93" s="6" t="n">
        <f aca="false">IF(internal_ai_reading=2,1,0)*Thesis!F92</f>
        <v>9.29892047395526</v>
      </c>
      <c r="G93" s="6" t="n">
        <f aca="false">IF(internal_ai_reading=2,1,0)*Thesis!G92</f>
        <v>23.9346303607031</v>
      </c>
      <c r="H93" s="6" t="n">
        <f aca="false">IF(internal_ai_reading=2,1,0)*Thesis!H92</f>
        <v>40.1043191979728</v>
      </c>
      <c r="I93" s="6" t="n">
        <f aca="false">IF(internal_ai_reading=2,1,0)*Thesis!I92</f>
        <v>54.9360183203111</v>
      </c>
      <c r="J93" s="6" t="n">
        <f aca="false">IF(internal_ai_reading=2,1,0)*Thesis!J92</f>
        <v>65.4555422613168</v>
      </c>
      <c r="K93" s="6" t="n">
        <f aca="false">IF(internal_ai_reading=2,1,0)*Thesis!K92</f>
        <v>71.4992160033785</v>
      </c>
    </row>
    <row r="94" customFormat="false" ht="17.15" hidden="false" customHeight="false" outlineLevel="0" collapsed="false">
      <c r="A94" s="0" t="s">
        <v>860</v>
      </c>
      <c r="B94" s="0" t="s">
        <v>98</v>
      </c>
      <c r="F94" s="6" t="n">
        <f aca="false">Thesis!F78+Thesis!F91*PL!F70+Thesis!F93-Thesis!F79-Thesis!F89</f>
        <v>15.0270315022233</v>
      </c>
      <c r="G94" s="6" t="n">
        <f aca="false">Thesis!G78+Thesis!G91*PL!G70+Thesis!G93-Thesis!G79-Thesis!G89</f>
        <v>30.8545489496424</v>
      </c>
      <c r="H94" s="6" t="n">
        <f aca="false">Thesis!H78+Thesis!H91*PL!H70+Thesis!H93-Thesis!H79-Thesis!H89</f>
        <v>47.4024902575898</v>
      </c>
      <c r="I94" s="6" t="n">
        <f aca="false">Thesis!I78+Thesis!I91*PL!I70+Thesis!I93-Thesis!I79-Thesis!I89</f>
        <v>62.1817971739404</v>
      </c>
      <c r="J94" s="6" t="n">
        <f aca="false">Thesis!J78+Thesis!J91*PL!J70+Thesis!J93-Thesis!J79-Thesis!J89</f>
        <v>72.5050518947332</v>
      </c>
      <c r="K94" s="6" t="n">
        <f aca="false">Thesis!K78+Thesis!K91*PL!K70+Thesis!K93-Thesis!K79-Thesis!K89</f>
        <v>79.8210980571165</v>
      </c>
    </row>
    <row r="95" customFormat="false" ht="17.15" hidden="false" customHeight="false" outlineLevel="0" collapsed="false">
      <c r="A95" s="0" t="s">
        <v>861</v>
      </c>
      <c r="B95" s="0" t="s">
        <v>98</v>
      </c>
      <c r="E95" s="6" t="n">
        <f aca="false">Thesis!E60*(cxit_open+self_build*tk_cxfac)/1000*ai_net_open</f>
        <v>126.6980382</v>
      </c>
      <c r="F95" s="6" t="n">
        <f aca="false">Thesis!E95+Thesis!F86-Thesis!F89</f>
        <v>252.981026690511</v>
      </c>
      <c r="G95" s="6" t="n">
        <f aca="false">Thesis!F95+Thesis!G86-Thesis!G89</f>
        <v>377.4297700632</v>
      </c>
      <c r="H95" s="6" t="n">
        <f aca="false">Thesis!G95+Thesis!H86-Thesis!H89</f>
        <v>479.149036130289</v>
      </c>
      <c r="I95" s="6" t="n">
        <f aca="false">Thesis!H95+Thesis!I86-Thesis!I89</f>
        <v>532.249961452141</v>
      </c>
      <c r="J95" s="6" t="n">
        <f aca="false">Thesis!I95+Thesis!J86-Thesis!J89</f>
        <v>531.43307519354</v>
      </c>
      <c r="K95" s="6" t="n">
        <f aca="false">Thesis!J95+Thesis!K86-Thesis!K89</f>
        <v>513.709026452823</v>
      </c>
      <c r="L95" s="1" t="s">
        <v>862</v>
      </c>
    </row>
    <row r="96" customFormat="false" ht="17.15" hidden="false" customHeight="false" outlineLevel="0" collapsed="false">
      <c r="A96" s="0" t="s">
        <v>863</v>
      </c>
      <c r="B96" s="0" t="s">
        <v>129</v>
      </c>
      <c r="F96" s="7" t="n">
        <f aca="false">Thesis!F94*(1-tax_f)/((Thesis!E95+Thesis!F95)/2)</f>
        <v>0.0633251938989334</v>
      </c>
      <c r="G96" s="7" t="n">
        <f aca="false">Thesis!G94*(1-tax_f)/((Thesis!F95+Thesis!G95)/2)</f>
        <v>0.0783096967463813</v>
      </c>
      <c r="H96" s="7" t="n">
        <f aca="false">Thesis!H94*(1-tax_f)/((Thesis!G95+Thesis!H95)/2)</f>
        <v>0.0885429149819656</v>
      </c>
      <c r="I96" s="7" t="n">
        <f aca="false">Thesis!I94*(1-tax_f)/((Thesis!H95+Thesis!I95)/2)</f>
        <v>0.0983695610892634</v>
      </c>
      <c r="J96" s="7" t="n">
        <f aca="false">Thesis!J94*(1-tax_f)/((Thesis!I95+Thesis!J95)/2)</f>
        <v>0.109062642756252</v>
      </c>
      <c r="K96" s="7" t="n">
        <f aca="false">Thesis!K94*(1-tax_f)/((Thesis!J95+Thesis!K95)/2)</f>
        <v>0.122197504712713</v>
      </c>
    </row>
    <row r="97" customFormat="false" ht="17.15" hidden="false" customHeight="false" outlineLevel="0" collapsed="false">
      <c r="A97" s="1" t="s">
        <v>864</v>
      </c>
      <c r="B97" s="0" t="s">
        <v>129</v>
      </c>
      <c r="F97" s="7" t="n">
        <f aca="false">(Thesis!F94-Thesis!F93)*(1-tax_f)/((Thesis!E95+Thesis!F95)/2)</f>
        <v>0.0241387489928418</v>
      </c>
      <c r="G97" s="7" t="n">
        <f aca="false">(Thesis!G94-Thesis!G93)*(1-tax_f)/((Thesis!F95+Thesis!G95)/2)</f>
        <v>0.0175629443520275</v>
      </c>
      <c r="H97" s="7" t="n">
        <f aca="false">(Thesis!H94-Thesis!H93)*(1-tax_f)/((Thesis!G95+Thesis!H95)/2)</f>
        <v>0.0136322234579658</v>
      </c>
      <c r="I97" s="7" t="n">
        <f aca="false">(Thesis!I94-Thesis!I93)*(1-tax_f)/((Thesis!H95+Thesis!I95)/2)</f>
        <v>0.0114625841962651</v>
      </c>
      <c r="J97" s="7" t="n">
        <f aca="false">(Thesis!J94-Thesis!J93)*(1-tax_f)/((Thesis!I95+Thesis!J95)/2)</f>
        <v>0.0106039252529919</v>
      </c>
      <c r="K97" s="7" t="n">
        <f aca="false">(Thesis!K94-Thesis!K93)*(1-tax_f)/((Thesis!J95+Thesis!K95)/2)</f>
        <v>0.0127399051908886</v>
      </c>
    </row>
    <row r="98" customFormat="false" ht="17.15" hidden="false" customHeight="false" outlineLevel="0" collapsed="false">
      <c r="A98" s="1" t="s">
        <v>865</v>
      </c>
      <c r="B98" s="0" t="s">
        <v>129</v>
      </c>
      <c r="F98" s="7" t="n">
        <f aca="false">(Thesis!F94-Thesis!F93+Thesis!F92)*(1-tax_f)/((Thesis!E95+Thesis!F95)/2)</f>
        <v>0.0633251938989334</v>
      </c>
      <c r="G98" s="7" t="n">
        <f aca="false">(Thesis!G94-Thesis!G93+Thesis!G92)*(1-tax_f)/((Thesis!F95+Thesis!G95)/2)</f>
        <v>0.0783096967463813</v>
      </c>
      <c r="H98" s="7" t="n">
        <f aca="false">(Thesis!H94-Thesis!H93+Thesis!H92)*(1-tax_f)/((Thesis!G95+Thesis!H95)/2)</f>
        <v>0.0885429149819656</v>
      </c>
      <c r="I98" s="7" t="n">
        <f aca="false">(Thesis!I94-Thesis!I93+Thesis!I92)*(1-tax_f)/((Thesis!H95+Thesis!I95)/2)</f>
        <v>0.0983695610892634</v>
      </c>
      <c r="J98" s="7" t="n">
        <f aca="false">(Thesis!J94-Thesis!J93+Thesis!J92)*(1-tax_f)/((Thesis!I95+Thesis!J95)/2)</f>
        <v>0.109062642756252</v>
      </c>
      <c r="K98" s="7" t="n">
        <f aca="false">(Thesis!K94-Thesis!K93+Thesis!K92)*(1-tax_f)/((Thesis!J95+Thesis!K95)/2)</f>
        <v>0.122197504712713</v>
      </c>
    </row>
    <row r="99" customFormat="false" ht="17.15" hidden="false" customHeight="false" outlineLevel="0" collapsed="false">
      <c r="A99" s="1" t="s">
        <v>866</v>
      </c>
      <c r="B99" s="0" t="s">
        <v>129</v>
      </c>
      <c r="F99" s="7" t="n">
        <f aca="false">Thesis!F90*(1-tax_f)/(Thesis!F77*(Thesis!E95+Thesis!F95)/2)</f>
        <v>0.133653288300971</v>
      </c>
      <c r="G99" s="7" t="n">
        <f aca="false">Thesis!G90*(1-tax_f)/(Thesis!G77*(Thesis!F95+Thesis!G95)/2)</f>
        <v>0.131459221834535</v>
      </c>
      <c r="H99" s="7" t="n">
        <f aca="false">Thesis!H90*(1-tax_f)/(Thesis!H77*(Thesis!G95+Thesis!H95)/2)</f>
        <v>0.135120575835084</v>
      </c>
      <c r="I99" s="7" t="n">
        <f aca="false">Thesis!I90*(1-tax_f)/(Thesis!I77*(Thesis!H95+Thesis!I95)/2)</f>
        <v>0.143323969665222</v>
      </c>
      <c r="J99" s="7" t="n">
        <f aca="false">Thesis!J90*(1-tax_f)/(Thesis!J77*(Thesis!I95+Thesis!J95)/2)</f>
        <v>0.155570128388075</v>
      </c>
      <c r="K99" s="7" t="n">
        <f aca="false">Thesis!K90*(1-tax_f)/(Thesis!K77*(Thesis!J95+Thesis!K95)/2)</f>
        <v>0.172427697111622</v>
      </c>
    </row>
    <row r="100" customFormat="false" ht="17.15" hidden="false" customHeight="false" outlineLevel="0" collapsed="false">
      <c r="A100" s="0" t="s">
        <v>867</v>
      </c>
      <c r="B100" s="0" t="s">
        <v>209</v>
      </c>
      <c r="F100" s="7" t="n">
        <f aca="false">Thesis!F96-wacc</f>
        <v>-0.0396092261939423</v>
      </c>
      <c r="G100" s="7" t="n">
        <f aca="false">Thesis!G96-wacc</f>
        <v>-0.0246247233464944</v>
      </c>
      <c r="H100" s="7" t="n">
        <f aca="false">Thesis!H96-wacc</f>
        <v>-0.0143915051109101</v>
      </c>
      <c r="I100" s="7" t="n">
        <f aca="false">Thesis!I96-wacc</f>
        <v>-0.00456485900361238</v>
      </c>
      <c r="J100" s="7" t="n">
        <f aca="false">Thesis!J96-wacc</f>
        <v>0.00612822266337605</v>
      </c>
      <c r="K100" s="7" t="n">
        <f aca="false">Thesis!K96-wacc</f>
        <v>0.0192630846198374</v>
      </c>
    </row>
    <row r="101" customFormat="false" ht="17.15" hidden="false" customHeight="false" outlineLevel="0" collapsed="false">
      <c r="A101" s="0" t="s">
        <v>868</v>
      </c>
      <c r="B101" s="0" t="s">
        <v>98</v>
      </c>
      <c r="F101" s="6" t="n">
        <f aca="false">Thesis!F94*(1-tax_f)-wacc*(Thesis!E95+Thesis!F95)/2</f>
        <v>-7.51939698117638</v>
      </c>
      <c r="G101" s="6" t="n">
        <f aca="false">Thesis!G94*(1-tax_f)-wacc*(Thesis!F95+Thesis!G95)/2</f>
        <v>-7.76184573235162</v>
      </c>
      <c r="H101" s="6" t="n">
        <f aca="false">Thesis!H94*(1-tax_f)-wacc*(Thesis!G95+Thesis!H95)/2</f>
        <v>-6.16372913361546</v>
      </c>
      <c r="I101" s="6" t="n">
        <f aca="false">Thesis!I94*(1-tax_f)-wacc*(Thesis!H95+Thesis!I95)/2</f>
        <v>-2.30844691017934</v>
      </c>
      <c r="J101" s="6" t="n">
        <f aca="false">Thesis!J94*(1-tax_f)-wacc*(Thesis!I95+Thesis!J95)/2</f>
        <v>3.25924324591036</v>
      </c>
      <c r="K101" s="6" t="n">
        <f aca="false">Thesis!K94*(1-tax_f)-wacc*(Thesis!J95+Thesis!K95)/2</f>
        <v>10.0663303718843</v>
      </c>
    </row>
    <row r="102" customFormat="false" ht="17.15" hidden="false" customHeight="false" outlineLevel="0" collapsed="false">
      <c r="A102" s="3" t="s">
        <v>870</v>
      </c>
    </row>
    <row r="103" customFormat="false" ht="15" hidden="false" customHeight="false" outlineLevel="0" collapsed="false">
      <c r="A103" s="4" t="s">
        <v>43</v>
      </c>
      <c r="B103" s="4" t="s">
        <v>65</v>
      </c>
      <c r="C103" s="20" t="s">
        <v>799</v>
      </c>
      <c r="D103" s="20" t="s">
        <v>800</v>
      </c>
      <c r="E103" s="20" t="s">
        <v>801</v>
      </c>
      <c r="F103" s="20" t="s">
        <v>802</v>
      </c>
      <c r="G103" s="20" t="s">
        <v>803</v>
      </c>
      <c r="H103" s="20" t="s">
        <v>804</v>
      </c>
      <c r="I103" s="20" t="s">
        <v>805</v>
      </c>
      <c r="J103" s="20" t="s">
        <v>806</v>
      </c>
      <c r="K103" s="20" t="s">
        <v>807</v>
      </c>
      <c r="L103" s="4" t="s">
        <v>47</v>
      </c>
    </row>
    <row r="104" customFormat="false" ht="17.15" hidden="false" customHeight="false" outlineLevel="0" collapsed="false">
      <c r="A104" s="1" t="s">
        <v>808</v>
      </c>
      <c r="B104" s="1" t="s">
        <v>235</v>
      </c>
      <c r="C104" s="28" t="n">
        <v>2024</v>
      </c>
      <c r="D104" s="28" t="n">
        <v>2025</v>
      </c>
      <c r="E104" s="28" t="n">
        <v>2026</v>
      </c>
      <c r="F104" s="28" t="n">
        <v>2027</v>
      </c>
      <c r="G104" s="28" t="n">
        <v>2028</v>
      </c>
      <c r="H104" s="28" t="n">
        <v>2029</v>
      </c>
      <c r="I104" s="28" t="n">
        <v>2030</v>
      </c>
      <c r="J104" s="28" t="n">
        <v>2031</v>
      </c>
      <c r="K104" s="28" t="n">
        <v>2032</v>
      </c>
    </row>
    <row r="105" customFormat="false" ht="17.15" hidden="false" customHeight="false" outlineLevel="0" collapsed="false">
      <c r="A105" s="1" t="s">
        <v>809</v>
      </c>
      <c r="B105" s="0" t="s">
        <v>399</v>
      </c>
      <c r="F105" s="29" t="n">
        <f aca="false">pace</f>
        <v>2527.2</v>
      </c>
      <c r="G105" s="29" t="n">
        <f aca="false">pace</f>
        <v>2527.2</v>
      </c>
      <c r="H105" s="29" t="n">
        <f aca="false">pace</f>
        <v>2527.2</v>
      </c>
      <c r="I105" s="29" t="n">
        <f aca="false">pace+(g_tv*Thesis!H106-pace)*MIN(1,(Thesis!I104-pace_y0)/(pace_y1-pace_y0))</f>
        <v>1793.116</v>
      </c>
      <c r="J105" s="29" t="n">
        <f aca="false">pace+(g_tv*Thesis!I106-pace)*MIN(1,(Thesis!J104-pace_y0)/(pace_y1-pace_y0))</f>
        <v>1094.89432</v>
      </c>
      <c r="K105" s="29" t="n">
        <f aca="false">pace+(g_tv*Thesis!J106-pace)*MIN(1,(Thesis!K104-pace_y0)/(pace_y1-pace_y0))</f>
        <v>411.5883096</v>
      </c>
      <c r="L105" s="11" t="s">
        <v>810</v>
      </c>
    </row>
    <row r="106" customFormat="false" ht="17.15" hidden="false" customHeight="false" outlineLevel="0" collapsed="false">
      <c r="A106" s="1" t="s">
        <v>811</v>
      </c>
      <c r="B106" s="0" t="s">
        <v>399</v>
      </c>
      <c r="C106" s="29" t="n">
        <f aca="false">mw_ext_24</f>
        <v>640</v>
      </c>
      <c r="D106" s="29" t="n">
        <f aca="false">mw_ext_25</f>
        <v>1630</v>
      </c>
      <c r="E106" s="29" t="n">
        <f aca="false">mw_ext_26</f>
        <v>3250</v>
      </c>
      <c r="F106" s="29" t="n">
        <f aca="false">Thesis!E106+Thesis!F105</f>
        <v>5777.2</v>
      </c>
      <c r="G106" s="29" t="n">
        <f aca="false">Thesis!F106+Thesis!G105</f>
        <v>8304.4</v>
      </c>
      <c r="H106" s="29" t="n">
        <f aca="false">Thesis!G106+Thesis!H105</f>
        <v>10831.6</v>
      </c>
      <c r="I106" s="29" t="n">
        <f aca="false">Thesis!H106+Thesis!I105</f>
        <v>12624.716</v>
      </c>
      <c r="J106" s="29" t="n">
        <f aca="false">Thesis!I106+Thesis!J105</f>
        <v>13719.61032</v>
      </c>
      <c r="K106" s="29" t="n">
        <f aca="false">Thesis!J106+Thesis!K105</f>
        <v>14131.1986296</v>
      </c>
      <c r="L106" s="1" t="s">
        <v>812</v>
      </c>
    </row>
    <row r="107" customFormat="false" ht="17.15" hidden="false" customHeight="false" outlineLevel="0" collapsed="false">
      <c r="A107" s="1" t="s">
        <v>813</v>
      </c>
      <c r="B107" s="0" t="s">
        <v>399</v>
      </c>
      <c r="C107" s="29" t="n">
        <f aca="false">rent_ext_24</f>
        <v>150</v>
      </c>
      <c r="D107" s="29" t="n">
        <f aca="false">rent_ext_25</f>
        <v>400</v>
      </c>
      <c r="E107" s="29" t="n">
        <f aca="false">rent_ext_26</f>
        <v>550</v>
      </c>
      <c r="F107" s="29" t="n">
        <f aca="false">rent_ext_f</f>
        <v>756</v>
      </c>
      <c r="G107" s="29" t="n">
        <f aca="false">rent_ext_f</f>
        <v>756</v>
      </c>
      <c r="H107" s="29" t="n">
        <f aca="false">rent_ext_f</f>
        <v>756</v>
      </c>
      <c r="I107" s="29" t="n">
        <f aca="false">rent_ext_f</f>
        <v>756</v>
      </c>
      <c r="J107" s="29" t="n">
        <f aca="false">rent_ext_f</f>
        <v>756</v>
      </c>
      <c r="K107" s="29" t="n">
        <f aca="false">rent_ext_f</f>
        <v>756</v>
      </c>
      <c r="L107" s="1" t="s">
        <v>814</v>
      </c>
    </row>
    <row r="108" customFormat="false" ht="17.15" hidden="false" customHeight="false" outlineLevel="0" collapsed="false">
      <c r="A108" s="1" t="s">
        <v>815</v>
      </c>
      <c r="B108" s="0" t="s">
        <v>399</v>
      </c>
      <c r="C108" s="29" t="n">
        <f aca="false">Thesis!C106-Thesis!C107</f>
        <v>490</v>
      </c>
      <c r="D108" s="29" t="n">
        <f aca="false">Thesis!D106-Thesis!D107</f>
        <v>1230</v>
      </c>
      <c r="E108" s="29" t="n">
        <f aca="false">Thesis!E106-Thesis!E107</f>
        <v>2700</v>
      </c>
      <c r="F108" s="29" t="n">
        <f aca="false">Thesis!F106-Thesis!F107</f>
        <v>5021.2</v>
      </c>
      <c r="G108" s="29" t="n">
        <f aca="false">Thesis!G106-Thesis!G107</f>
        <v>7548.4</v>
      </c>
      <c r="H108" s="29" t="n">
        <f aca="false">Thesis!H106-Thesis!H107</f>
        <v>10075.6</v>
      </c>
      <c r="I108" s="29" t="n">
        <f aca="false">Thesis!I106-Thesis!I107</f>
        <v>11868.716</v>
      </c>
      <c r="J108" s="29" t="n">
        <f aca="false">Thesis!J106-Thesis!J107</f>
        <v>12963.61032</v>
      </c>
      <c r="K108" s="29" t="n">
        <f aca="false">Thesis!K106-Thesis!K107</f>
        <v>13375.1986296</v>
      </c>
    </row>
    <row r="109" customFormat="false" ht="17.15" hidden="false" customHeight="false" outlineLevel="0" collapsed="false">
      <c r="A109" s="1" t="s">
        <v>816</v>
      </c>
      <c r="B109" s="0" t="s">
        <v>399</v>
      </c>
      <c r="C109" s="29" t="n">
        <f aca="false">Thesis!C108/ext_sh</f>
        <v>816.666666666667</v>
      </c>
      <c r="D109" s="29" t="n">
        <f aca="false">Thesis!D108/ext_sh</f>
        <v>2050</v>
      </c>
      <c r="E109" s="29" t="n">
        <f aca="false">Thesis!E108/ext_sh</f>
        <v>4500</v>
      </c>
      <c r="F109" s="29" t="n">
        <f aca="false">Thesis!F108/ext_sh</f>
        <v>8368.66666666667</v>
      </c>
      <c r="G109" s="29" t="n">
        <f aca="false">Thesis!G108/ext_sh</f>
        <v>12580.6666666667</v>
      </c>
      <c r="H109" s="29" t="n">
        <f aca="false">Thesis!H108/ext_sh</f>
        <v>16792.6666666667</v>
      </c>
      <c r="I109" s="29" t="n">
        <f aca="false">Thesis!I108/ext_sh</f>
        <v>19781.1933333333</v>
      </c>
      <c r="J109" s="29" t="n">
        <f aca="false">Thesis!J108/ext_sh</f>
        <v>21606.0172</v>
      </c>
      <c r="K109" s="29" t="n">
        <f aca="false">Thesis!K108/ext_sh</f>
        <v>22291.997716</v>
      </c>
      <c r="L109" s="1" t="s">
        <v>817</v>
      </c>
    </row>
    <row r="110" customFormat="false" ht="17.15" hidden="false" customHeight="false" outlineLevel="0" collapsed="false">
      <c r="A110" s="1" t="s">
        <v>818</v>
      </c>
      <c r="B110" s="0" t="s">
        <v>399</v>
      </c>
      <c r="C110" s="29" t="n">
        <f aca="false">Thesis!C109-Thesis!C108</f>
        <v>326.666666666667</v>
      </c>
      <c r="D110" s="29" t="n">
        <f aca="false">Thesis!D109-Thesis!D108</f>
        <v>820</v>
      </c>
      <c r="E110" s="29" t="n">
        <f aca="false">Thesis!E109-Thesis!E108</f>
        <v>1800</v>
      </c>
      <c r="F110" s="29" t="n">
        <f aca="false">Thesis!F109-Thesis!F108</f>
        <v>3347.46666666667</v>
      </c>
      <c r="G110" s="29" t="n">
        <f aca="false">Thesis!G109-Thesis!G108</f>
        <v>5032.26666666667</v>
      </c>
      <c r="H110" s="29" t="n">
        <f aca="false">Thesis!H109-Thesis!H108</f>
        <v>6717.06666666667</v>
      </c>
      <c r="I110" s="29" t="n">
        <f aca="false">Thesis!I109-Thesis!I108</f>
        <v>7912.47733333333</v>
      </c>
      <c r="J110" s="29" t="n">
        <f aca="false">Thesis!J109-Thesis!J108</f>
        <v>8642.40688</v>
      </c>
      <c r="K110" s="29" t="n">
        <f aca="false">Thesis!K109-Thesis!K108</f>
        <v>8916.7990864</v>
      </c>
    </row>
    <row r="111" customFormat="false" ht="17.15" hidden="false" customHeight="false" outlineLevel="0" collapsed="false">
      <c r="A111" s="1" t="s">
        <v>819</v>
      </c>
      <c r="B111" s="0" t="s">
        <v>399</v>
      </c>
      <c r="C111" s="29" t="n">
        <f aca="false">Thesis!C109</f>
        <v>816.666666666667</v>
      </c>
      <c r="D111" s="29" t="n">
        <f aca="false">Thesis!D109-Thesis!C109</f>
        <v>1233.33333333333</v>
      </c>
      <c r="E111" s="29" t="n">
        <f aca="false">Thesis!E109-Thesis!D109</f>
        <v>2450</v>
      </c>
      <c r="F111" s="29" t="n">
        <f aca="false">Thesis!F109-Thesis!E109</f>
        <v>3868.66666666667</v>
      </c>
      <c r="G111" s="29" t="n">
        <f aca="false">Thesis!G109-Thesis!F109</f>
        <v>4212</v>
      </c>
      <c r="H111" s="29" t="n">
        <f aca="false">Thesis!H109-Thesis!G109</f>
        <v>4212</v>
      </c>
      <c r="I111" s="29" t="n">
        <f aca="false">Thesis!I109-Thesis!H109</f>
        <v>2988.52666666667</v>
      </c>
      <c r="J111" s="29" t="n">
        <f aca="false">Thesis!J109-Thesis!I109</f>
        <v>1824.82386666667</v>
      </c>
      <c r="K111" s="29" t="n">
        <f aca="false">Thesis!K109-Thesis!J109</f>
        <v>685.980516</v>
      </c>
    </row>
    <row r="112" customFormat="false" ht="17.15" hidden="false" customHeight="false" outlineLevel="0" collapsed="false">
      <c r="A112" s="1" t="s">
        <v>820</v>
      </c>
      <c r="B112" s="0" t="s">
        <v>399</v>
      </c>
      <c r="D112" s="29" t="n">
        <f aca="false">Thesis!D106-Thesis!C106</f>
        <v>990</v>
      </c>
      <c r="E112" s="29" t="n">
        <f aca="false">Thesis!E106-Thesis!D106</f>
        <v>1620</v>
      </c>
      <c r="F112" s="29" t="n">
        <f aca="false">Thesis!F106-Thesis!E106</f>
        <v>2527.2</v>
      </c>
      <c r="G112" s="29" t="n">
        <f aca="false">Thesis!G106-Thesis!F106</f>
        <v>2527.2</v>
      </c>
      <c r="H112" s="29" t="n">
        <f aca="false">Thesis!H106-Thesis!G106</f>
        <v>2527.2</v>
      </c>
      <c r="I112" s="29" t="n">
        <f aca="false">Thesis!I106-Thesis!H106</f>
        <v>1793.116</v>
      </c>
      <c r="J112" s="29" t="n">
        <f aca="false">Thesis!J106-Thesis!I106</f>
        <v>1094.89432</v>
      </c>
      <c r="K112" s="29" t="n">
        <f aca="false">Thesis!K106-Thesis!J106</f>
        <v>411.5883096</v>
      </c>
    </row>
    <row r="113" customFormat="false" ht="17.15" hidden="false" customHeight="false" outlineLevel="0" collapsed="false">
      <c r="A113" s="1" t="s">
        <v>821</v>
      </c>
      <c r="B113" s="0" t="s">
        <v>399</v>
      </c>
      <c r="F113" s="29" t="n">
        <f aca="false">Thesis!F130*ext_sh</f>
        <v>0</v>
      </c>
      <c r="G113" s="29" t="n">
        <f aca="false">Thesis!G130*ext_sh</f>
        <v>0</v>
      </c>
      <c r="H113" s="29" t="n">
        <f aca="false">Thesis!H130*ext_sh</f>
        <v>0</v>
      </c>
      <c r="I113" s="29" t="n">
        <f aca="false">Thesis!I130*ext_sh</f>
        <v>490</v>
      </c>
      <c r="J113" s="29" t="n">
        <f aca="false">Thesis!J130*ext_sh</f>
        <v>740</v>
      </c>
      <c r="K113" s="29" t="n">
        <f aca="false">Thesis!K130*ext_sh</f>
        <v>1470</v>
      </c>
      <c r="L113" s="1" t="s">
        <v>822</v>
      </c>
    </row>
    <row r="114" customFormat="false" ht="17.15" hidden="false" customHeight="false" outlineLevel="0" collapsed="false">
      <c r="A114" s="1" t="s">
        <v>823</v>
      </c>
      <c r="B114" s="0" t="s">
        <v>399</v>
      </c>
      <c r="C114" s="29" t="n">
        <f aca="false">mix_h*Thesis!C106</f>
        <v>128</v>
      </c>
      <c r="D114" s="29" t="n">
        <f aca="false">mix_h*Thesis!D106</f>
        <v>326</v>
      </c>
      <c r="E114" s="29" t="n">
        <f aca="false">mix_h*Thesis!E106</f>
        <v>650</v>
      </c>
      <c r="F114" s="29" t="n">
        <f aca="false">Thesis!E114-Thesis!F113*mix_h</f>
        <v>650</v>
      </c>
      <c r="G114" s="29" t="n">
        <f aca="false">Thesis!F114-Thesis!G113*mix_h</f>
        <v>650</v>
      </c>
      <c r="H114" s="29" t="n">
        <f aca="false">Thesis!G114-Thesis!H113*mix_h</f>
        <v>650</v>
      </c>
      <c r="I114" s="29" t="n">
        <f aca="false">Thesis!H114-Thesis!I113*mix_h</f>
        <v>552</v>
      </c>
      <c r="J114" s="29" t="n">
        <f aca="false">Thesis!I114-Thesis!J113*mix_h</f>
        <v>404</v>
      </c>
      <c r="K114" s="29" t="n">
        <f aca="false">Thesis!J114-Thesis!K113*mix_h</f>
        <v>110</v>
      </c>
    </row>
    <row r="115" customFormat="false" ht="17.15" hidden="false" customHeight="false" outlineLevel="0" collapsed="false">
      <c r="A115" s="1" t="s">
        <v>824</v>
      </c>
      <c r="B115" s="0" t="s">
        <v>399</v>
      </c>
      <c r="C115" s="29" t="n">
        <f aca="false">mix_g2*Thesis!C106</f>
        <v>288</v>
      </c>
      <c r="D115" s="29" t="n">
        <f aca="false">mix_g2*Thesis!D106</f>
        <v>733.5</v>
      </c>
      <c r="E115" s="29" t="n">
        <f aca="false">mix_g2*Thesis!E106</f>
        <v>1462.5</v>
      </c>
      <c r="F115" s="29" t="n">
        <f aca="false">Thesis!E115-Thesis!F113*mix_g2</f>
        <v>1462.5</v>
      </c>
      <c r="G115" s="29" t="n">
        <f aca="false">Thesis!F115-Thesis!G113*mix_g2</f>
        <v>1462.5</v>
      </c>
      <c r="H115" s="29" t="n">
        <f aca="false">Thesis!G115-Thesis!H113*mix_g2</f>
        <v>1462.5</v>
      </c>
      <c r="I115" s="29" t="n">
        <f aca="false">Thesis!H115-Thesis!I113*mix_g2</f>
        <v>1242</v>
      </c>
      <c r="J115" s="29" t="n">
        <f aca="false">Thesis!I115-Thesis!J113*mix_g2</f>
        <v>909</v>
      </c>
      <c r="K115" s="29" t="n">
        <f aca="false">Thesis!J115-Thesis!K113*mix_g2</f>
        <v>247.5</v>
      </c>
    </row>
    <row r="116" customFormat="false" ht="17.15" hidden="false" customHeight="false" outlineLevel="0" collapsed="false">
      <c r="A116" s="1" t="s">
        <v>825</v>
      </c>
      <c r="B116" s="0" t="s">
        <v>399</v>
      </c>
      <c r="C116" s="29" t="n">
        <f aca="false">mix_g3*Thesis!C106</f>
        <v>224</v>
      </c>
      <c r="D116" s="29" t="n">
        <f aca="false">mix_g3*Thesis!D106</f>
        <v>570.5</v>
      </c>
      <c r="E116" s="29" t="n">
        <f aca="false">mix_g3*Thesis!E106</f>
        <v>1137.5</v>
      </c>
      <c r="F116" s="29" t="n">
        <f aca="false">Thesis!E116+(Thesis!F112+Thesis!F113)*a_g3_27-Thesis!F113*mix_g3</f>
        <v>2906.54</v>
      </c>
      <c r="G116" s="29" t="n">
        <f aca="false">Thesis!F116+(Thesis!G112+Thesis!G113)*a_g3_28-Thesis!G113*mix_g3</f>
        <v>3664.7</v>
      </c>
      <c r="H116" s="29" t="n">
        <f aca="false">Thesis!G116+(Thesis!H112+Thesis!H113)*a_g3_29-Thesis!H113*mix_g3</f>
        <v>3917.42</v>
      </c>
      <c r="I116" s="29" t="n">
        <f aca="false">Thesis!H116+(Thesis!I112+Thesis!I113)*a_g3_29-Thesis!I113*mix_g3</f>
        <v>3974.2316</v>
      </c>
      <c r="J116" s="29" t="n">
        <f aca="false">Thesis!I116+(Thesis!J112+Thesis!J113)*a_g3_29-Thesis!J113*mix_g3</f>
        <v>3898.721032</v>
      </c>
      <c r="K116" s="29" t="n">
        <f aca="false">Thesis!J116+(Thesis!K112+Thesis!K113)*a_g3_29-Thesis!K113*mix_g3</f>
        <v>3572.37986296</v>
      </c>
    </row>
    <row r="117" customFormat="false" ht="17.15" hidden="false" customHeight="false" outlineLevel="0" collapsed="false">
      <c r="A117" s="1" t="s">
        <v>826</v>
      </c>
      <c r="B117" s="0" t="s">
        <v>399</v>
      </c>
      <c r="C117" s="29" t="n">
        <v>0</v>
      </c>
      <c r="D117" s="29" t="n">
        <v>0</v>
      </c>
      <c r="E117" s="29" t="n">
        <v>0</v>
      </c>
      <c r="F117" s="29" t="n">
        <f aca="false">Thesis!E117+(Thesis!F112+Thesis!F113)*(1-a_g3_27)</f>
        <v>758.16</v>
      </c>
      <c r="G117" s="29" t="n">
        <f aca="false">Thesis!F117+(Thesis!G112+Thesis!G113)*(1-a_g3_28)</f>
        <v>2527.2</v>
      </c>
      <c r="H117" s="29" t="n">
        <f aca="false">Thesis!G117+(Thesis!H112+Thesis!H113)*(1-a_g3_29)</f>
        <v>4801.68</v>
      </c>
      <c r="I117" s="29" t="n">
        <f aca="false">Thesis!H117+(Thesis!I112+Thesis!I113)*(1-a_g3_29)</f>
        <v>6856.4844</v>
      </c>
      <c r="J117" s="29" t="n">
        <f aca="false">Thesis!I117+(Thesis!J112+Thesis!J113)*(1-a_g3_29)</f>
        <v>8507.889288</v>
      </c>
      <c r="K117" s="29" t="n">
        <f aca="false">Thesis!J117+(Thesis!K112+Thesis!K113)*(1-a_g3_29)</f>
        <v>10201.31876664</v>
      </c>
    </row>
    <row r="118" customFormat="false" ht="17.15" hidden="false" customHeight="false" outlineLevel="0" collapsed="false">
      <c r="A118" s="1" t="s">
        <v>827</v>
      </c>
      <c r="B118" s="0" t="s">
        <v>346</v>
      </c>
      <c r="C118" s="14" t="n">
        <f aca="false">(Thesis!C114*tk_hold_h100+Thesis!C115*tk_hold_gb200+Thesis!C116*tk_hold_gb300+Thesis!C117*tk_hold_vr200)/Thesis!C106</f>
        <v>9.7235358126469</v>
      </c>
      <c r="D118" s="14" t="n">
        <f aca="false">(Thesis!D114*tk_hold_h100+Thesis!D115*tk_hold_gb200+Thesis!D116*tk_hold_gb300+Thesis!D117*tk_hold_vr200)/Thesis!D106</f>
        <v>9.7235358126469</v>
      </c>
      <c r="E118" s="14" t="n">
        <f aca="false">(Thesis!E114*tk_hold_h100+Thesis!E115*tk_hold_gb200+Thesis!E116*tk_hold_gb300+Thesis!E117*tk_hold_vr200)/Thesis!E106</f>
        <v>9.7235358126469</v>
      </c>
      <c r="F118" s="14" t="n">
        <f aca="false">(Thesis!F114*tk_hold_h100+Thesis!F115*tk_hold_gb200+Thesis!F116*tk_hold_gb300+Thesis!F117*tk_hold_vr200)/Thesis!F106</f>
        <v>10.4079573161931</v>
      </c>
      <c r="G118" s="14" t="n">
        <f aca="false">(Thesis!G114*tk_hold_h100+Thesis!G115*tk_hold_gb200+Thesis!G116*tk_hold_gb300+Thesis!G117*tk_hold_vr200)/Thesis!G106</f>
        <v>10.8388131109316</v>
      </c>
      <c r="H118" s="14" t="n">
        <f aca="false">(Thesis!H114*tk_hold_h100+Thesis!H115*tk_hold_gb200+Thesis!H116*tk_hold_gb300+Thesis!H117*tk_hold_vr200)/Thesis!H106</f>
        <v>11.1311018388216</v>
      </c>
      <c r="I118" s="14" t="n">
        <f aca="false">(Thesis!I114*tk_hold_h100+Thesis!I115*tk_hold_gb200+Thesis!I116*tk_hold_gb300+Thesis!I117*tk_hold_vr200)/Thesis!I106</f>
        <v>11.3594282560989</v>
      </c>
      <c r="J118" s="14" t="n">
        <f aca="false">(Thesis!J114*tk_hold_h100+Thesis!J115*tk_hold_gb200+Thesis!J116*tk_hold_gb300+Thesis!J117*tk_hold_vr200)/Thesis!J106</f>
        <v>11.5455817917599</v>
      </c>
      <c r="K118" s="14" t="n">
        <f aca="false">(Thesis!K114*tk_hold_h100+Thesis!K115*tk_hold_gb200+Thesis!K116*tk_hold_gb300+Thesis!K117*tk_hold_vr200)/Thesis!K106</f>
        <v>11.8078187977246</v>
      </c>
    </row>
    <row r="119" customFormat="false" ht="17.15" hidden="false" customHeight="false" outlineLevel="0" collapsed="false">
      <c r="A119" s="0" t="s">
        <v>828</v>
      </c>
      <c r="B119" s="0" t="s">
        <v>185</v>
      </c>
      <c r="C119" s="14" t="n">
        <f aca="false">k_B</f>
        <v>1.17213932619116</v>
      </c>
      <c r="D119" s="14" t="n">
        <f aca="false">k_B</f>
        <v>1.17213932619116</v>
      </c>
      <c r="E119" s="14" t="n">
        <f aca="false">k_B</f>
        <v>1.17213932619116</v>
      </c>
      <c r="F119" s="14" t="n">
        <f aca="false">(k_B+((ls_C*k_long+(1-ls_C)*k_spot)-k_B)*MIN(1,(Thesis!F104-base_fy)/k_ramp))</f>
        <v>1.07843258004497</v>
      </c>
      <c r="G119" s="14" t="n">
        <f aca="false">(k_B+((ls_C*k_long+(1-ls_C)*k_spot)-k_B)*MIN(1,(Thesis!G104-base_fy)/k_ramp))</f>
        <v>0.984725833898784</v>
      </c>
      <c r="H119" s="14" t="n">
        <f aca="false">(k_B+((ls_C*k_long+(1-ls_C)*k_spot)-k_B)*MIN(1,(Thesis!H104-base_fy)/k_ramp))</f>
        <v>0.891019087752599</v>
      </c>
      <c r="I119" s="14" t="n">
        <f aca="false">(k_B+((ls_C*k_long+(1-ls_C)*k_spot)-k_B)*MIN(1,(Thesis!I104-base_fy)/k_ramp))</f>
        <v>0.891019087752599</v>
      </c>
      <c r="J119" s="14" t="n">
        <f aca="false">(k_B+((ls_C*k_long+(1-ls_C)*k_spot)-k_B)*MIN(1,(Thesis!J104-base_fy)/k_ramp))</f>
        <v>0.891019087752599</v>
      </c>
      <c r="K119" s="14" t="n">
        <f aca="false">(k_B+((ls_C*k_long+(1-ls_C)*k_spot)-k_B)*MIN(1,(Thesis!K104-base_fy)/k_ramp))</f>
        <v>0.891019087752599</v>
      </c>
      <c r="L119" s="1" t="s">
        <v>829</v>
      </c>
    </row>
    <row r="120" customFormat="false" ht="17.15" hidden="false" customHeight="false" outlineLevel="0" collapsed="false">
      <c r="A120" s="1" t="s">
        <v>830</v>
      </c>
      <c r="B120" s="0" t="s">
        <v>346</v>
      </c>
      <c r="C120" s="14" t="n">
        <f aca="false">Thesis!C118*Thesis!C119*chip_f</f>
        <v>11.3973387156315</v>
      </c>
      <c r="D120" s="14" t="n">
        <f aca="false">Thesis!D118*Thesis!D119*chip_f</f>
        <v>11.3973387156315</v>
      </c>
      <c r="E120" s="14" t="n">
        <f aca="false">Thesis!E118*Thesis!E119*chip_f</f>
        <v>11.3973387156315</v>
      </c>
      <c r="F120" s="14" t="n">
        <f aca="false">Thesis!F118*Thesis!F119*chip_f</f>
        <v>11.2242802615</v>
      </c>
      <c r="G120" s="14" t="n">
        <f aca="false">Thesis!G118*Thesis!G119*chip_f</f>
        <v>10.6732592791352</v>
      </c>
      <c r="H120" s="14" t="n">
        <f aca="false">Thesis!H118*Thesis!H119*chip_f</f>
        <v>9.91802420610807</v>
      </c>
      <c r="I120" s="14" t="n">
        <f aca="false">Thesis!I118*Thesis!I119*chip_f</f>
        <v>10.1214674021403</v>
      </c>
      <c r="J120" s="14" t="n">
        <f aca="false">Thesis!J118*Thesis!J119*chip_f</f>
        <v>10.2873337556669</v>
      </c>
      <c r="K120" s="14" t="n">
        <f aca="false">Thesis!K118*Thesis!K119*chip_f</f>
        <v>10.5209919334966</v>
      </c>
      <c r="L120" s="1" t="s">
        <v>831</v>
      </c>
    </row>
    <row r="121" customFormat="false" ht="17.15" hidden="false" customHeight="false" outlineLevel="0" collapsed="false">
      <c r="A121" s="0" t="s">
        <v>832</v>
      </c>
      <c r="B121" s="0" t="s">
        <v>98</v>
      </c>
      <c r="D121" s="6" t="n">
        <f aca="false">(Thesis!C106+Thesis!D106)/2*Thesis!D120/1000</f>
        <v>12.9359794422418</v>
      </c>
      <c r="E121" s="6" t="n">
        <f aca="false">(Thesis!D106+Thesis!E106)/2*Thesis!E120/1000</f>
        <v>27.8095064661409</v>
      </c>
      <c r="F121" s="6" t="n">
        <f aca="false">(Thesis!E106+Thesis!F106)/2*Thesis!F120/1000</f>
        <v>50.6619113883066</v>
      </c>
      <c r="G121" s="6" t="n">
        <f aca="false">(Thesis!F106+Thesis!G106)/2*Thesis!G120/1000</f>
        <v>75.1482839325348</v>
      </c>
      <c r="H121" s="6" t="n">
        <f aca="false">(Thesis!G106+Thesis!H106)/2*Thesis!H120/1000</f>
        <v>94.895655604042</v>
      </c>
      <c r="I121" s="6" t="n">
        <f aca="false">(Thesis!H106+Thesis!I106)/2*Thesis!I120/1000</f>
        <v>118.706168884151</v>
      </c>
      <c r="J121" s="6" t="n">
        <f aca="false">(Thesis!I106+Thesis!J106)/2*Thesis!J120/1000</f>
        <v>135.50643871102</v>
      </c>
      <c r="K121" s="6" t="n">
        <f aca="false">(Thesis!J106+Thesis!K106)/2*Thesis!K120/1000</f>
        <v>146.509068150048</v>
      </c>
      <c r="L121" s="11" t="s">
        <v>833</v>
      </c>
    </row>
    <row r="122" customFormat="false" ht="17.15" hidden="false" customHeight="false" outlineLevel="0" collapsed="false">
      <c r="A122" s="1" t="s">
        <v>834</v>
      </c>
      <c r="B122" s="0" t="s">
        <v>346</v>
      </c>
      <c r="C122" s="14" t="n">
        <f aca="false">(Thesis!C114*tk_opex_h100+Thesis!C115*tk_opex_gb200+Thesis!C116*tk_opex_gb300+Thesis!C117*tk_opex_vr200)/Thesis!C106</f>
        <v>1.88636041306092</v>
      </c>
      <c r="D122" s="14" t="n">
        <f aca="false">(Thesis!D114*tk_opex_h100+Thesis!D115*tk_opex_gb200+Thesis!D116*tk_opex_gb300+Thesis!D117*tk_opex_vr200)/Thesis!D106</f>
        <v>1.88636041306092</v>
      </c>
      <c r="E122" s="14" t="n">
        <f aca="false">(Thesis!E114*tk_opex_h100+Thesis!E115*tk_opex_gb200+Thesis!E116*tk_opex_gb300+Thesis!E117*tk_opex_vr200)/Thesis!E106</f>
        <v>1.88636041306092</v>
      </c>
      <c r="F122" s="14" t="n">
        <f aca="false">(Thesis!F114*tk_opex_h100+Thesis!F115*tk_opex_gb200+Thesis!F116*tk_opex_gb300+Thesis!F117*tk_opex_vr200)/Thesis!F106</f>
        <v>1.9430236476499</v>
      </c>
      <c r="G122" s="14" t="n">
        <f aca="false">(Thesis!G114*tk_opex_h100+Thesis!G115*tk_opex_gb200+Thesis!G116*tk_opex_gb300+Thesis!G117*tk_opex_vr200)/Thesis!G106</f>
        <v>1.9786941852423</v>
      </c>
      <c r="H122" s="14" t="n">
        <f aca="false">(Thesis!H114*tk_opex_h100+Thesis!H115*tk_opex_gb200+Thesis!H116*tk_opex_gb300+Thesis!H117*tk_opex_vr200)/Thesis!H106</f>
        <v>2.00289275976156</v>
      </c>
      <c r="I122" s="14" t="n">
        <f aca="false">(Thesis!I114*tk_opex_h100+Thesis!I115*tk_opex_gb200+Thesis!I116*tk_opex_gb300+Thesis!I117*tk_opex_vr200)/Thesis!I106</f>
        <v>2.02179589661219</v>
      </c>
      <c r="J122" s="14" t="n">
        <f aca="false">(Thesis!J114*tk_opex_h100+Thesis!J115*tk_opex_gb200+Thesis!J116*tk_opex_gb300+Thesis!J117*tk_opex_vr200)/Thesis!J106</f>
        <v>2.03720754193029</v>
      </c>
      <c r="K122" s="14" t="n">
        <f aca="false">(Thesis!K114*tk_opex_h100+Thesis!K115*tk_opex_gb200+Thesis!K116*tk_opex_gb300+Thesis!K117*tk_opex_vr200)/Thesis!K106</f>
        <v>2.0589181353437</v>
      </c>
    </row>
    <row r="123" customFormat="false" ht="17.15" hidden="false" customHeight="false" outlineLevel="0" collapsed="false">
      <c r="A123" s="0" t="s">
        <v>835</v>
      </c>
      <c r="B123" s="0" t="s">
        <v>98</v>
      </c>
      <c r="D123" s="6" t="n">
        <f aca="false">(Thesis!C109+Thesis!D109)/2*Thesis!D122/1000</f>
        <v>2.70378325872065</v>
      </c>
      <c r="E123" s="6" t="n">
        <f aca="false">(Thesis!D109+Thesis!E109)/2*Thesis!E122/1000</f>
        <v>6.17783035277451</v>
      </c>
      <c r="F123" s="6" t="n">
        <f aca="false">(Thesis!E109+Thesis!F109)/2*Thesis!F122/1000</f>
        <v>12.5020618235287</v>
      </c>
      <c r="G123" s="6" t="n">
        <f aca="false">(Thesis!F109+Thesis!G109)/2*Thesis!G122/1000</f>
        <v>20.7261620256847</v>
      </c>
      <c r="H123" s="6" t="n">
        <f aca="false">(Thesis!G109+Thesis!H109)/2*Thesis!H122/1000</f>
        <v>29.4158183316982</v>
      </c>
      <c r="I123" s="6" t="n">
        <f aca="false">(Thesis!H109+Thesis!I109)/2*Thesis!I122/1000</f>
        <v>36.9724400356344</v>
      </c>
      <c r="J123" s="6" t="n">
        <f aca="false">(Thesis!I109+Thesis!J109)/2*Thesis!J122/1000</f>
        <v>42.1571687189816</v>
      </c>
      <c r="K123" s="6" t="n">
        <f aca="false">(Thesis!J109+Thesis!K109)/2*Thesis!K122/1000</f>
        <v>45.1912095080704</v>
      </c>
    </row>
    <row r="124" customFormat="false" ht="17.15" hidden="false" customHeight="false" outlineLevel="0" collapsed="false">
      <c r="A124" s="0" t="s">
        <v>836</v>
      </c>
      <c r="B124" s="0" t="s">
        <v>98</v>
      </c>
      <c r="D124" s="6" t="n">
        <f aca="false">(Thesis!C107+Thesis!D107)/2*rent_mw/1000</f>
        <v>2.44475</v>
      </c>
      <c r="E124" s="6" t="n">
        <f aca="false">(Thesis!D107+Thesis!E107)/2*rent_mw/1000</f>
        <v>4.22275</v>
      </c>
      <c r="F124" s="6" t="n">
        <f aca="false">(Thesis!E107+Thesis!F107)/2*rent_mw/1000</f>
        <v>5.80517</v>
      </c>
      <c r="G124" s="6" t="n">
        <f aca="false">(Thesis!F107+Thesis!G107)/2*rent_mw/1000</f>
        <v>6.72084</v>
      </c>
      <c r="H124" s="6" t="n">
        <f aca="false">(Thesis!G107+Thesis!H107)/2*rent_mw/1000</f>
        <v>6.72084</v>
      </c>
      <c r="I124" s="6" t="n">
        <f aca="false">(Thesis!H107+Thesis!I107)/2*rent_mw/1000</f>
        <v>6.72084</v>
      </c>
      <c r="J124" s="6" t="n">
        <f aca="false">(Thesis!I107+Thesis!J107)/2*rent_mw/1000</f>
        <v>6.72084</v>
      </c>
      <c r="K124" s="6" t="n">
        <f aca="false">(Thesis!J107+Thesis!K107)/2*rent_mw/1000</f>
        <v>6.72084</v>
      </c>
    </row>
    <row r="125" customFormat="false" ht="17.15" hidden="false" customHeight="false" outlineLevel="0" collapsed="false">
      <c r="A125" s="0" t="s">
        <v>837</v>
      </c>
      <c r="B125" s="0" t="s">
        <v>98</v>
      </c>
      <c r="D125" s="6" t="n">
        <f aca="false">(Thesis!C109+Thesis!D109)/2*(1-self_build)*fac_rent/1000</f>
        <v>0.853242375631075</v>
      </c>
      <c r="E125" s="6" t="n">
        <f aca="false">(Thesis!D109+Thesis!E109)/2*(1-self_build)*fac_rent/1000</f>
        <v>1.94955961408728</v>
      </c>
      <c r="F125" s="6" t="n">
        <f aca="false">(Thesis!E109+Thesis!F109)/2*(1-self_build)*fac_rent/1000</f>
        <v>3.83026455274573</v>
      </c>
      <c r="G125" s="6" t="n">
        <f aca="false">(Thesis!F109+Thesis!G109)/2*(1-self_build)*fac_rent/1000</f>
        <v>6.23541590972812</v>
      </c>
      <c r="H125" s="6" t="n">
        <f aca="false">(Thesis!G109+Thesis!H109)/2*(1-self_build)*fac_rent/1000</f>
        <v>8.74275792332679</v>
      </c>
      <c r="I125" s="6" t="n">
        <f aca="false">(Thesis!H109+Thesis!I109)/2*(1-self_build)*fac_rent/1000</f>
        <v>10.8859420438599</v>
      </c>
      <c r="J125" s="6" t="n">
        <f aca="false">(Thesis!I109+Thesis!J109)/2*(1-self_build)*fac_rent/1000</f>
        <v>12.3186006405366</v>
      </c>
      <c r="K125" s="6" t="n">
        <f aca="false">(Thesis!J109+Thesis!K109)/2*(1-self_build)*fac_rent/1000</f>
        <v>13.0659232089824</v>
      </c>
      <c r="L125" s="11" t="s">
        <v>838</v>
      </c>
    </row>
    <row r="126" customFormat="false" ht="17.15" hidden="false" customHeight="false" outlineLevel="0" collapsed="false">
      <c r="A126" s="1" t="s">
        <v>839</v>
      </c>
      <c r="B126" s="0" t="s">
        <v>129</v>
      </c>
      <c r="D126" s="7" t="n">
        <f aca="false">(Thesis!C108+Thesis!D108)/(Thesis!C109+Thesis!D109)</f>
        <v>0.6</v>
      </c>
      <c r="E126" s="7" t="n">
        <f aca="false">(Thesis!D108+Thesis!E108)/(Thesis!D109+Thesis!E109)</f>
        <v>0.6</v>
      </c>
      <c r="F126" s="7" t="n">
        <f aca="false">(Thesis!E108+Thesis!F108)/(Thesis!E109+Thesis!F109)</f>
        <v>0.6</v>
      </c>
      <c r="G126" s="7" t="n">
        <f aca="false">(Thesis!F108+Thesis!G108)/(Thesis!F109+Thesis!G109)</f>
        <v>0.6</v>
      </c>
      <c r="H126" s="7" t="n">
        <f aca="false">(Thesis!G108+Thesis!H108)/(Thesis!G109+Thesis!H109)</f>
        <v>0.6</v>
      </c>
      <c r="I126" s="7" t="n">
        <f aca="false">(Thesis!H108+Thesis!I108)/(Thesis!H109+Thesis!I109)</f>
        <v>0.6</v>
      </c>
      <c r="J126" s="7" t="n">
        <f aca="false">(Thesis!I108+Thesis!J108)/(Thesis!I109+Thesis!J109)</f>
        <v>0.6</v>
      </c>
      <c r="K126" s="7" t="n">
        <f aca="false">(Thesis!J108+Thesis!K108)/(Thesis!J109+Thesis!K109)</f>
        <v>0.6</v>
      </c>
    </row>
    <row r="127" customFormat="false" ht="17.15" hidden="false" customHeight="false" outlineLevel="0" collapsed="false">
      <c r="A127" s="0" t="s">
        <v>840</v>
      </c>
      <c r="B127" s="0" t="s">
        <v>98</v>
      </c>
      <c r="D127" s="6" t="n">
        <f aca="false">Thesis!D121-Thesis!D126*(Thesis!D123+Thesis!D125)-Thesis!D124</f>
        <v>8.35701406163072</v>
      </c>
      <c r="E127" s="6" t="n">
        <f aca="false">Thesis!E121-Thesis!E126*(Thesis!E123+Thesis!E125)-Thesis!E124</f>
        <v>18.7103224860238</v>
      </c>
      <c r="F127" s="6" t="n">
        <f aca="false">Thesis!F121-Thesis!F126*(Thesis!F123+Thesis!F125)-Thesis!F124</f>
        <v>35.0573455625419</v>
      </c>
      <c r="G127" s="6" t="n">
        <f aca="false">Thesis!G121-Thesis!G126*(Thesis!G123+Thesis!G125)-Thesis!G124</f>
        <v>52.2504971712871</v>
      </c>
      <c r="H127" s="6" t="n">
        <f aca="false">Thesis!H121-Thesis!H126*(Thesis!H123+Thesis!H125)-Thesis!H124</f>
        <v>65.2796698510271</v>
      </c>
      <c r="I127" s="6" t="n">
        <f aca="false">Thesis!I121-Thesis!I126*(Thesis!I123+Thesis!I125)-Thesis!I124</f>
        <v>83.2702996364549</v>
      </c>
      <c r="J127" s="6" t="n">
        <f aca="false">Thesis!J121-Thesis!J126*(Thesis!J123+Thesis!J125)-Thesis!J124</f>
        <v>96.1001370953095</v>
      </c>
      <c r="K127" s="6" t="n">
        <f aca="false">Thesis!K121-Thesis!K126*(Thesis!K123+Thesis!K125)-Thesis!K124</f>
        <v>104.833948519816</v>
      </c>
    </row>
    <row r="128" customFormat="false" ht="17.15" hidden="false" customHeight="false" outlineLevel="0" collapsed="false">
      <c r="A128" s="1" t="s">
        <v>841</v>
      </c>
      <c r="B128" s="0" t="s">
        <v>98</v>
      </c>
      <c r="D128" s="6" t="n">
        <f aca="false">(1-Thesis!D126)*(Thesis!D123+Thesis!D125)</f>
        <v>1.42281025374069</v>
      </c>
      <c r="E128" s="6" t="n">
        <f aca="false">(1-Thesis!E126)*(Thesis!E123+Thesis!E125)</f>
        <v>3.25095598674472</v>
      </c>
      <c r="F128" s="6" t="n">
        <f aca="false">(1-Thesis!F126)*(Thesis!F123+Thesis!F125)</f>
        <v>6.53293055050977</v>
      </c>
      <c r="G128" s="6" t="n">
        <f aca="false">(1-Thesis!G126)*(Thesis!G123+Thesis!G125)</f>
        <v>10.7846311741651</v>
      </c>
      <c r="H128" s="6" t="n">
        <f aca="false">(1-Thesis!H126)*(Thesis!H123+Thesis!H125)</f>
        <v>15.26343050201</v>
      </c>
      <c r="I128" s="6" t="n">
        <f aca="false">(1-Thesis!I126)*(Thesis!I123+Thesis!I125)</f>
        <v>19.1433528317977</v>
      </c>
      <c r="J128" s="6" t="n">
        <f aca="false">(1-Thesis!J126)*(Thesis!J123+Thesis!J125)</f>
        <v>21.7903077438073</v>
      </c>
      <c r="K128" s="6" t="n">
        <f aca="false">(1-Thesis!K126)*(Thesis!K123+Thesis!K125)</f>
        <v>23.3028530868211</v>
      </c>
    </row>
    <row r="129" customFormat="false" ht="17.15" hidden="false" customHeight="false" outlineLevel="0" collapsed="false">
      <c r="A129" s="1" t="s">
        <v>842</v>
      </c>
      <c r="B129" s="0" t="s">
        <v>357</v>
      </c>
      <c r="C129" s="8" t="n">
        <f aca="false">cxit_open</f>
        <v>27.5918995</v>
      </c>
      <c r="D129" s="8" t="n">
        <f aca="false">cxit_open</f>
        <v>27.5918995</v>
      </c>
      <c r="E129" s="8" t="n">
        <f aca="false">cxit_open</f>
        <v>27.5918995</v>
      </c>
      <c r="F129" s="8" t="n">
        <f aca="false">(a_g3_27*tk_cxit_gb300+(1-a_g3_27)*tk_cxit_vr200)</f>
        <v>33.8419624</v>
      </c>
      <c r="G129" s="8" t="n">
        <f aca="false">(a_g3_28*tk_cxit_gb300+(1-a_g3_28)*tk_cxit_vr200)</f>
        <v>35.9816136</v>
      </c>
      <c r="H129" s="8" t="n">
        <f aca="false">(a_g3_29*tk_cxit_gb300+(1-a_g3_29)*tk_cxit_vr200)</f>
        <v>37.0514392</v>
      </c>
      <c r="I129" s="8" t="n">
        <f aca="false">(a_g3_29*tk_cxit_gb300+(1-a_g3_29)*tk_cxit_vr200)</f>
        <v>37.0514392</v>
      </c>
      <c r="J129" s="8" t="n">
        <f aca="false">(a_g3_29*tk_cxit_gb300+(1-a_g3_29)*tk_cxit_vr200)</f>
        <v>37.0514392</v>
      </c>
      <c r="K129" s="8" t="n">
        <f aca="false">(a_g3_29*tk_cxit_gb300+(1-a_g3_29)*tk_cxit_vr200)</f>
        <v>37.0514392</v>
      </c>
      <c r="L129" s="11" t="s">
        <v>843</v>
      </c>
    </row>
    <row r="130" customFormat="false" ht="17.15" hidden="false" customHeight="false" outlineLevel="0" collapsed="false">
      <c r="A130" s="0" t="s">
        <v>844</v>
      </c>
      <c r="B130" s="0" t="s">
        <v>399</v>
      </c>
      <c r="F130" s="29" t="n">
        <f aca="false">Thesis!C111*IF(Thesis!F104-Thesis!C104=life_it,1,0)+Thesis!D111*IF(Thesis!F104-Thesis!D104=life_it,1,0)+Thesis!E111*IF(Thesis!F104-Thesis!E104=life_it,1,0)</f>
        <v>0</v>
      </c>
      <c r="G130" s="29" t="n">
        <f aca="false">Thesis!C111*IF(Thesis!G104-Thesis!C104=life_it,1,0)+Thesis!D111*IF(Thesis!G104-Thesis!D104=life_it,1,0)+Thesis!E111*IF(Thesis!G104-Thesis!E104=life_it,1,0)+Thesis!F111*IF(Thesis!G104-Thesis!F104=life_it,1,0)</f>
        <v>0</v>
      </c>
      <c r="H130" s="29" t="n">
        <f aca="false">Thesis!C111*IF(Thesis!H104-Thesis!C104=life_it,1,0)+Thesis!D111*IF(Thesis!H104-Thesis!D104=life_it,1,0)+Thesis!E111*IF(Thesis!H104-Thesis!E104=life_it,1,0)+Thesis!F111*IF(Thesis!H104-Thesis!F104=life_it,1,0)+Thesis!G111*IF(Thesis!H104-Thesis!G104=life_it,1,0)</f>
        <v>0</v>
      </c>
      <c r="I130" s="29" t="n">
        <f aca="false">Thesis!C111*IF(Thesis!I104-Thesis!C104=life_it,1,0)+Thesis!D111*IF(Thesis!I104-Thesis!D104=life_it,1,0)+Thesis!E111*IF(Thesis!I104-Thesis!E104=life_it,1,0)+Thesis!F111*IF(Thesis!I104-Thesis!F104=life_it,1,0)+Thesis!G111*IF(Thesis!I104-Thesis!G104=life_it,1,0)+Thesis!H111*IF(Thesis!I104-Thesis!H104=life_it,1,0)</f>
        <v>816.666666666667</v>
      </c>
      <c r="J130" s="29" t="n">
        <f aca="false">Thesis!C111*IF(Thesis!J104-Thesis!C104=life_it,1,0)+Thesis!D111*IF(Thesis!J104-Thesis!D104=life_it,1,0)+Thesis!E111*IF(Thesis!J104-Thesis!E104=life_it,1,0)+Thesis!F111*IF(Thesis!J104-Thesis!F104=life_it,1,0)+Thesis!G111*IF(Thesis!J104-Thesis!G104=life_it,1,0)+Thesis!H111*IF(Thesis!J104-Thesis!H104=life_it,1,0)+Thesis!I111*IF(Thesis!J104-Thesis!I104=life_it,1,0)</f>
        <v>1233.33333333333</v>
      </c>
      <c r="K130" s="29" t="n">
        <f aca="false">Thesis!C111*IF(Thesis!K104-Thesis!C104=life_it,1,0)+Thesis!D111*IF(Thesis!K104-Thesis!D104=life_it,1,0)+Thesis!E111*IF(Thesis!K104-Thesis!E104=life_it,1,0)+Thesis!F111*IF(Thesis!K104-Thesis!F104=life_it,1,0)+Thesis!G111*IF(Thesis!K104-Thesis!G104=life_it,1,0)+Thesis!H111*IF(Thesis!K104-Thesis!H104=life_it,1,0)+Thesis!I111*IF(Thesis!K104-Thesis!I104=life_it,1,0)+Thesis!J111*IF(Thesis!K104-Thesis!J104=life_it,1,0)</f>
        <v>2450</v>
      </c>
      <c r="L130" s="1" t="s">
        <v>845</v>
      </c>
    </row>
    <row r="131" customFormat="false" ht="17.15" hidden="false" customHeight="false" outlineLevel="0" collapsed="false">
      <c r="A131" s="0" t="s">
        <v>846</v>
      </c>
      <c r="B131" s="0" t="s">
        <v>98</v>
      </c>
      <c r="C131" s="6" t="n">
        <f aca="false">Thesis!C111*Thesis!C129/1000</f>
        <v>22.5333845916667</v>
      </c>
      <c r="D131" s="6" t="n">
        <f aca="false">Thesis!D111*Thesis!D129/1000</f>
        <v>34.0300093833333</v>
      </c>
      <c r="E131" s="6" t="n">
        <f aca="false">Thesis!E111*Thesis!E129/1000</f>
        <v>67.600153775</v>
      </c>
      <c r="F131" s="6" t="n">
        <f aca="false">(Thesis!F111+Thesis!F130)*Thesis!F129/1000</f>
        <v>130.923271871467</v>
      </c>
      <c r="G131" s="6" t="n">
        <f aca="false">(Thesis!G111+Thesis!G130)*Thesis!G129/1000</f>
        <v>151.5545564832</v>
      </c>
      <c r="H131" s="6" t="n">
        <f aca="false">(Thesis!H111+Thesis!H130)*Thesis!H129/1000</f>
        <v>156.0606619104</v>
      </c>
      <c r="I131" s="6" t="n">
        <f aca="false">(Thesis!I111+Thesis!I130)*Thesis!I129/1000</f>
        <v>140.987889434245</v>
      </c>
      <c r="J131" s="6" t="n">
        <f aca="false">(Thesis!J111+Thesis!J130)*Thesis!J129/1000</f>
        <v>113.309125559842</v>
      </c>
      <c r="K131" s="6" t="n">
        <f aca="false">(Thesis!K111+Thesis!K130)*Thesis!K129/1000</f>
        <v>116.192591420959</v>
      </c>
    </row>
    <row r="132" customFormat="false" ht="17.15" hidden="false" customHeight="false" outlineLevel="0" collapsed="false">
      <c r="A132" s="0" t="s">
        <v>847</v>
      </c>
      <c r="B132" s="0" t="s">
        <v>98</v>
      </c>
      <c r="C132" s="6" t="n">
        <f aca="false">Thesis!C111*self_build*tk_cxfac/1000</f>
        <v>6.2083</v>
      </c>
      <c r="D132" s="6" t="n">
        <f aca="false">Thesis!D111*self_build*tk_cxfac/1000</f>
        <v>9.3758</v>
      </c>
      <c r="E132" s="6" t="n">
        <f aca="false">Thesis!E111*self_build*tk_cxfac/1000</f>
        <v>18.6249</v>
      </c>
      <c r="F132" s="6" t="n">
        <f aca="false">Thesis!F111*self_build*tk_cxfac/1000</f>
        <v>29.409604</v>
      </c>
      <c r="G132" s="6" t="n">
        <f aca="false">Thesis!G111*self_build*tk_cxfac/1000</f>
        <v>32.019624</v>
      </c>
      <c r="H132" s="6" t="n">
        <f aca="false">Thesis!H111*self_build*tk_cxfac/1000</f>
        <v>32.019624</v>
      </c>
      <c r="I132" s="6" t="n">
        <f aca="false">Thesis!I111*self_build*tk_cxfac/1000</f>
        <v>22.71877972</v>
      </c>
      <c r="J132" s="6" t="n">
        <f aca="false">Thesis!J111*self_build*tk_cxfac/1000</f>
        <v>13.8723110344</v>
      </c>
      <c r="K132" s="6" t="n">
        <f aca="false">Thesis!K111*self_build*tk_cxfac/1000</f>
        <v>5.214823882632</v>
      </c>
    </row>
    <row r="133" customFormat="false" ht="17.15" hidden="false" customHeight="false" outlineLevel="0" collapsed="false">
      <c r="A133" s="0" t="s">
        <v>848</v>
      </c>
      <c r="B133" s="0" t="s">
        <v>98</v>
      </c>
      <c r="F133" s="6" t="n">
        <f aca="false">MAX(0,capex_floor27-Thesis!F131-Thesis!F132-CF!F86)</f>
        <v>8.43777689897088</v>
      </c>
    </row>
    <row r="134" customFormat="false" ht="17.15" hidden="false" customHeight="false" outlineLevel="0" collapsed="false">
      <c r="A134" s="0" t="s">
        <v>849</v>
      </c>
      <c r="B134" s="0" t="s">
        <v>98</v>
      </c>
      <c r="C134" s="6" t="n">
        <f aca="false">Thesis!C131</f>
        <v>22.5333845916667</v>
      </c>
      <c r="D134" s="6" t="n">
        <f aca="false">Thesis!D131</f>
        <v>34.0300093833333</v>
      </c>
      <c r="E134" s="6" t="n">
        <f aca="false">Thesis!E131</f>
        <v>67.600153775</v>
      </c>
      <c r="F134" s="6" t="n">
        <f aca="false">Thesis!F131</f>
        <v>130.923271871467</v>
      </c>
      <c r="G134" s="6" t="n">
        <f aca="false">Thesis!G131</f>
        <v>151.5545564832</v>
      </c>
      <c r="H134" s="6" t="n">
        <f aca="false">Thesis!H131</f>
        <v>156.0606619104</v>
      </c>
      <c r="I134" s="6" t="n">
        <f aca="false">Thesis!I131</f>
        <v>140.987889434245</v>
      </c>
      <c r="J134" s="6" t="n">
        <f aca="false">Thesis!J131</f>
        <v>113.309125559842</v>
      </c>
      <c r="K134" s="6" t="n">
        <f aca="false">Thesis!K131</f>
        <v>116.192591420959</v>
      </c>
    </row>
    <row r="135" customFormat="false" ht="17.15" hidden="false" customHeight="false" outlineLevel="0" collapsed="false">
      <c r="A135" s="0" t="s">
        <v>850</v>
      </c>
      <c r="B135" s="0" t="s">
        <v>98</v>
      </c>
      <c r="C135" s="6" t="n">
        <f aca="false">Thesis!C134+Thesis!C132</f>
        <v>28.7416845916667</v>
      </c>
      <c r="D135" s="6" t="n">
        <f aca="false">Thesis!D134+Thesis!D132</f>
        <v>43.4058093833333</v>
      </c>
      <c r="E135" s="6" t="n">
        <f aca="false">Thesis!E134+Thesis!E132</f>
        <v>86.225053775</v>
      </c>
      <c r="F135" s="6" t="n">
        <f aca="false">Thesis!F134+Thesis!F132</f>
        <v>160.332875871467</v>
      </c>
      <c r="G135" s="6" t="n">
        <f aca="false">Thesis!G134+Thesis!G132</f>
        <v>183.5741804832</v>
      </c>
      <c r="H135" s="6" t="n">
        <f aca="false">Thesis!H134+Thesis!H132</f>
        <v>188.0802859104</v>
      </c>
      <c r="I135" s="6" t="n">
        <f aca="false">Thesis!I134+Thesis!I132</f>
        <v>163.706669154245</v>
      </c>
      <c r="J135" s="6" t="n">
        <f aca="false">Thesis!J134+Thesis!J132</f>
        <v>127.181436594242</v>
      </c>
      <c r="K135" s="6" t="n">
        <f aca="false">Thesis!K134+Thesis!K132</f>
        <v>121.407415303591</v>
      </c>
      <c r="L135" s="11" t="s">
        <v>851</v>
      </c>
    </row>
    <row r="136" customFormat="false" ht="17.15" hidden="false" customHeight="false" outlineLevel="0" collapsed="false">
      <c r="A136" s="0" t="s">
        <v>852</v>
      </c>
      <c r="B136" s="0" t="s">
        <v>98</v>
      </c>
      <c r="E136" s="6" t="n">
        <f aca="false">(Thesis!C134*IF(2&lt;life_it,1,IF(2=life_it,0.5,0))+Thesis!D134*IF(1&lt;life_it,1,IF(1=life_it,0.5,0))+Thesis!E134*0.5)/life_it</f>
        <v>15.0605784770833</v>
      </c>
      <c r="F136" s="6" t="n">
        <f aca="false">(Thesis!C134*IF(3&lt;life_it,1,IF(3=life_it,0.5,0))+Thesis!D134*IF(2&lt;life_it,1,IF(2=life_it,0.5,0))+Thesis!E134*IF(1&lt;life_it,1,IF(1=life_it,0.5,0))+Thesis!F134*0.5)/life_it</f>
        <v>31.6041972809556</v>
      </c>
      <c r="G136" s="6" t="n">
        <f aca="false">(Thesis!C134*IF(4&lt;life_it,1,IF(4=life_it,0.5,0))+Thesis!D134*IF(3&lt;life_it,1,IF(3=life_it,0.5,0))+Thesis!E134*IF(2&lt;life_it,1,IF(2=life_it,0.5,0))+Thesis!F134*IF(1&lt;life_it,1,IF(1=life_it,0.5,0))+Thesis!G134*0.5)/life_it</f>
        <v>55.1440163105111</v>
      </c>
      <c r="H136" s="6" t="n">
        <f aca="false">(Thesis!C134*IF(5&lt;life_it,1,IF(5=life_it,0.5,0))+Thesis!D134*IF(4&lt;life_it,1,IF(4=life_it,0.5,0))+Thesis!E134*IF(3&lt;life_it,1,IF(3=life_it,0.5,0))+Thesis!F134*IF(2&lt;life_it,1,IF(2=life_it,0.5,0))+Thesis!G134*IF(1&lt;life_it,1,IF(1=life_it,0.5,0))+Thesis!H134*0.5)/life_it</f>
        <v>80.7786178433111</v>
      </c>
      <c r="I136" s="6" t="n">
        <f aca="false">(Thesis!C134*IF(6&lt;life_it,1,IF(6=life_it,0.5,0))+Thesis!D134*IF(5&lt;life_it,1,IF(5=life_it,0.5,0))+Thesis!E134*IF(4&lt;life_it,1,IF(4=life_it,0.5,0))+Thesis!F134*IF(3&lt;life_it,1,IF(3=life_it,0.5,0))+Thesis!G134*IF(2&lt;life_it,1,IF(2=life_it,0.5,0))+Thesis!H134*IF(1&lt;life_it,1,IF(1=life_it,0.5,0))+Thesis!I134*0.5)/life_it</f>
        <v>103.654881739393</v>
      </c>
      <c r="J136" s="6" t="n">
        <f aca="false">(Thesis!C134*IF(7&lt;life_it,1,IF(7=life_it,0.5,0))+Thesis!D134*IF(6&lt;life_it,1,IF(6=life_it,0.5,0))+Thesis!E134*IF(5&lt;life_it,1,IF(5=life_it,0.5,0))+Thesis!F134*IF(4&lt;life_it,1,IF(4=life_it,0.5,0))+Thesis!G134*IF(3&lt;life_it,1,IF(3=life_it,0.5,0))+Thesis!H134*IF(2&lt;life_it,1,IF(2=life_it,0.5,0))+Thesis!I134*IF(1&lt;life_it,1,IF(1=life_it,0.5,0))+Thesis!J134*0.5)/life_it</f>
        <v>120.132683490983</v>
      </c>
      <c r="K136" s="6" t="n">
        <f aca="false">(Thesis!C134*IF(8&lt;life_it,1,IF(8=life_it,0.5,0))+Thesis!D134*IF(7&lt;life_it,1,IF(7=life_it,0.5,0))+Thesis!E134*IF(6&lt;life_it,1,IF(6=life_it,0.5,0))+Thesis!F134*IF(5&lt;life_it,1,IF(5=life_it,0.5,0))+Thesis!G134*IF(4&lt;life_it,1,IF(4=life_it,0.5,0))+Thesis!H134*IF(3&lt;life_it,1,IF(3=life_it,0.5,0))+Thesis!I134*IF(2&lt;life_it,1,IF(2=life_it,0.5,0))+Thesis!J134*IF(1&lt;life_it,1,IF(1=life_it,0.5,0))+Thesis!K134*0.5)/life_it</f>
        <v>130.788646309522</v>
      </c>
    </row>
    <row r="137" customFormat="false" ht="17.15" hidden="false" customHeight="false" outlineLevel="0" collapsed="false">
      <c r="A137" s="0" t="s">
        <v>853</v>
      </c>
      <c r="B137" s="0" t="s">
        <v>98</v>
      </c>
      <c r="E137" s="6" t="n">
        <f aca="false">(Thesis!C132*IF(2&lt;life_fac,1,IF(2=life_fac,0.5,0))+Thesis!D132*IF(1&lt;life_fac,1,IF(1=life_fac,0.5,0))+Thesis!E132*0.5)/life_fac</f>
        <v>1.2448275</v>
      </c>
      <c r="F137" s="6" t="n">
        <f aca="false">(Thesis!C132*IF(3&lt;life_fac,1,IF(3=life_fac,0.5,0))+Thesis!D132*IF(2&lt;life_fac,1,IF(2=life_fac,0.5,0))+Thesis!E132*IF(1&lt;life_fac,1,IF(1=life_fac,0.5,0))+Thesis!F132*0.5)/life_fac</f>
        <v>2.4456901</v>
      </c>
      <c r="G137" s="6" t="n">
        <f aca="false">(Thesis!C132*IF(4&lt;life_fac,1,IF(4=life_fac,0.5,0))+Thesis!D132*IF(3&lt;life_fac,1,IF(3=life_fac,0.5,0))+Thesis!E132*IF(2&lt;life_fac,1,IF(2=life_fac,0.5,0))+Thesis!F132*IF(1&lt;life_fac,1,IF(1=life_fac,0.5,0))+Thesis!G132*0.5)/life_fac</f>
        <v>3.9814208</v>
      </c>
      <c r="H137" s="6" t="n">
        <f aca="false">(Thesis!C132*IF(5&lt;life_fac,1,IF(5=life_fac,0.5,0))+Thesis!D132*IF(4&lt;life_fac,1,IF(4=life_fac,0.5,0))+Thesis!E132*IF(3&lt;life_fac,1,IF(3=life_fac,0.5,0))+Thesis!F132*IF(2&lt;life_fac,1,IF(2=life_fac,0.5,0))+Thesis!G132*IF(1&lt;life_fac,1,IF(1=life_fac,0.5,0))+Thesis!H132*0.5)/life_fac</f>
        <v>5.582402</v>
      </c>
      <c r="I137" s="6" t="n">
        <f aca="false">(Thesis!C132*IF(6&lt;life_fac,1,IF(6=life_fac,0.5,0))+Thesis!D132*IF(5&lt;life_fac,1,IF(5=life_fac,0.5,0))+Thesis!E132*IF(4&lt;life_fac,1,IF(4=life_fac,0.5,0))+Thesis!F132*IF(3&lt;life_fac,1,IF(3=life_fac,0.5,0))+Thesis!G132*IF(2&lt;life_fac,1,IF(2=life_fac,0.5,0))+Thesis!H132*IF(1&lt;life_fac,1,IF(1=life_fac,0.5,0))+Thesis!I132*0.5)/life_fac</f>
        <v>6.950862093</v>
      </c>
      <c r="J137" s="6" t="n">
        <f aca="false">(Thesis!C132*IF(7&lt;life_fac,1,IF(7=life_fac,0.5,0))+Thesis!D132*IF(6&lt;life_fac,1,IF(6=life_fac,0.5,0))+Thesis!E132*IF(5&lt;life_fac,1,IF(5=life_fac,0.5,0))+Thesis!F132*IF(4&lt;life_fac,1,IF(4=life_fac,0.5,0))+Thesis!G132*IF(3&lt;life_fac,1,IF(3=life_fac,0.5,0))+Thesis!H132*IF(2&lt;life_fac,1,IF(2=life_fac,0.5,0))+Thesis!I132*IF(1&lt;life_fac,1,IF(1=life_fac,0.5,0))+Thesis!J132*0.5)/life_fac</f>
        <v>7.86563936186</v>
      </c>
      <c r="K137" s="6" t="n">
        <f aca="false">(Thesis!C132*IF(8&lt;life_fac,1,IF(8=life_fac,0.5,0))+Thesis!D132*IF(7&lt;life_fac,1,IF(7=life_fac,0.5,0))+Thesis!E132*IF(6&lt;life_fac,1,IF(6=life_fac,0.5,0))+Thesis!F132*IF(5&lt;life_fac,1,IF(5=life_fac,0.5,0))+Thesis!G132*IF(4&lt;life_fac,1,IF(4=life_fac,0.5,0))+Thesis!H132*IF(3&lt;life_fac,1,IF(3=life_fac,0.5,0))+Thesis!I132*IF(2&lt;life_fac,1,IF(2=life_fac,0.5,0))+Thesis!J132*IF(1&lt;life_fac,1,IF(1=life_fac,0.5,0))+Thesis!K132*0.5)/life_fac</f>
        <v>8.3428177347858</v>
      </c>
    </row>
    <row r="138" customFormat="false" ht="17.15" hidden="false" customHeight="false" outlineLevel="0" collapsed="false">
      <c r="A138" s="0" t="s">
        <v>854</v>
      </c>
      <c r="B138" s="0" t="s">
        <v>98</v>
      </c>
      <c r="E138" s="6" t="n">
        <f aca="false">Thesis!E136+Thesis!E137</f>
        <v>16.3054059770833</v>
      </c>
      <c r="F138" s="6" t="n">
        <f aca="false">Thesis!F136+Thesis!F137</f>
        <v>34.0498873809555</v>
      </c>
      <c r="G138" s="6" t="n">
        <f aca="false">Thesis!G136+Thesis!G137</f>
        <v>59.1254371105111</v>
      </c>
      <c r="H138" s="6" t="n">
        <f aca="false">Thesis!H136+Thesis!H137</f>
        <v>86.3610198433111</v>
      </c>
      <c r="I138" s="6" t="n">
        <f aca="false">Thesis!I136+Thesis!I137</f>
        <v>110.605743832393</v>
      </c>
      <c r="J138" s="6" t="n">
        <f aca="false">Thesis!J136+Thesis!J137</f>
        <v>127.998322852843</v>
      </c>
      <c r="K138" s="6" t="n">
        <f aca="false">Thesis!K136+Thesis!K137</f>
        <v>139.131464044308</v>
      </c>
    </row>
    <row r="139" customFormat="false" ht="17.15" hidden="false" customHeight="false" outlineLevel="0" collapsed="false">
      <c r="A139" s="0" t="s">
        <v>855</v>
      </c>
      <c r="B139" s="0" t="s">
        <v>98</v>
      </c>
      <c r="E139" s="6" t="n">
        <f aca="false">Thesis!E127-Thesis!E126*Thesis!E138</f>
        <v>8.92707889977379</v>
      </c>
      <c r="F139" s="6" t="n">
        <f aca="false">Thesis!F127-Thesis!F126*Thesis!F138</f>
        <v>14.6274131339686</v>
      </c>
      <c r="G139" s="6" t="n">
        <f aca="false">Thesis!G127-Thesis!G126*Thesis!G138</f>
        <v>16.7752349049804</v>
      </c>
      <c r="H139" s="6" t="n">
        <f aca="false">Thesis!H127-Thesis!H126*Thesis!H138</f>
        <v>13.4630579450404</v>
      </c>
      <c r="I139" s="6" t="n">
        <f aca="false">Thesis!I127-Thesis!I126*Thesis!I138</f>
        <v>16.9068533370192</v>
      </c>
      <c r="J139" s="6" t="n">
        <f aca="false">Thesis!J127-Thesis!J126*Thesis!J138</f>
        <v>19.3011433836036</v>
      </c>
      <c r="K139" s="6" t="n">
        <f aca="false">Thesis!K127-Thesis!K126*Thesis!K138</f>
        <v>21.3550700932312</v>
      </c>
    </row>
    <row r="140" customFormat="false" ht="17.15" hidden="false" customHeight="false" outlineLevel="0" collapsed="false">
      <c r="A140" s="0" t="s">
        <v>856</v>
      </c>
      <c r="B140" s="0" t="s">
        <v>98</v>
      </c>
      <c r="E140" s="6" t="n">
        <f aca="false">Seg!E65</f>
        <v>5.25</v>
      </c>
      <c r="F140" s="6" t="n">
        <f aca="false">Seg!F65</f>
        <v>10.5</v>
      </c>
      <c r="G140" s="6" t="n">
        <f aca="false">Seg!G65</f>
        <v>13.5</v>
      </c>
      <c r="H140" s="6" t="n">
        <f aca="false">Seg!H65</f>
        <v>16.5</v>
      </c>
      <c r="I140" s="6" t="n">
        <f aca="false">Seg!I65</f>
        <v>18.75</v>
      </c>
      <c r="J140" s="6" t="n">
        <f aca="false">Seg!J65</f>
        <v>20.25</v>
      </c>
      <c r="K140" s="6" t="n">
        <f aca="false">Seg!K65</f>
        <v>21.75</v>
      </c>
    </row>
    <row r="141" customFormat="false" ht="17.15" hidden="false" customHeight="false" outlineLevel="0" collapsed="false">
      <c r="A141" s="1" t="s">
        <v>857</v>
      </c>
      <c r="B141" s="0" t="s">
        <v>98</v>
      </c>
      <c r="F141" s="6" t="n">
        <f aca="false">MAX(0,((Thesis!E110+Thesis!F110)/2-(shadow_base*(Thesis!$D$110+Thesis!$E$110)/2+(1-shadow_base)*Thesis!$E$110))*Thesis!F118/1000-(Thesis!F140-Thesis!$E$140)*PL!F109)</f>
        <v>10.1553565002727</v>
      </c>
      <c r="G141" s="6" t="n">
        <f aca="false">MAX(0,((Thesis!F110+Thesis!G110)/2-(shadow_base*(Thesis!$D$110+Thesis!$E$110)/2+(1-shadow_base)*Thesis!$E$110))*Thesis!G118/1000-(Thesis!G140-Thesis!$E$140)*PL!G109)</f>
        <v>26.5039384396555</v>
      </c>
      <c r="H141" s="6" t="n">
        <f aca="false">MAX(0,((Thesis!G110+Thesis!H110)/2-(shadow_base*(Thesis!$D$110+Thesis!$E$110)/2+(1-shadow_base)*Thesis!$E$110))*Thesis!H118/1000-(Thesis!H140-Thesis!$E$140)*PL!H109)</f>
        <v>44.38649932956</v>
      </c>
      <c r="I141" s="6" t="n">
        <f aca="false">MAX(0,((Thesis!H110+Thesis!I110)/2-(shadow_base*(Thesis!$D$110+Thesis!$E$110)/2+(1-shadow_base)*Thesis!$E$110))*Thesis!I118/1000-(Thesis!I140-Thesis!$E$140)*PL!I109)</f>
        <v>60.5028524913745</v>
      </c>
      <c r="J141" s="6" t="n">
        <f aca="false">MAX(0,((Thesis!I110+Thesis!J110)/2-(shadow_base*(Thesis!$D$110+Thesis!$E$110)/2+(1-shadow_base)*Thesis!$E$110))*Thesis!J118/1000-(Thesis!J140-Thesis!$E$140)*PL!J109)</f>
        <v>71.8788124586976</v>
      </c>
      <c r="K141" s="6" t="n">
        <f aca="false">MAX(0,((Thesis!J110+Thesis!K110)/2-(shadow_base*(Thesis!$D$110+Thesis!$E$110)/2+(1-shadow_base)*Thesis!$E$110))*Thesis!K118/1000-(Thesis!K140-Thesis!$E$140)*PL!K109)</f>
        <v>78.7789222270768</v>
      </c>
      <c r="L141" s="1" t="s">
        <v>858</v>
      </c>
    </row>
    <row r="142" customFormat="false" ht="17.15" hidden="false" customHeight="false" outlineLevel="0" collapsed="false">
      <c r="A142" s="1" t="s">
        <v>859</v>
      </c>
      <c r="B142" s="0" t="s">
        <v>98</v>
      </c>
      <c r="F142" s="6" t="n">
        <f aca="false">IF(internal_ai_reading=2,1,0)*Thesis!F141</f>
        <v>10.1553565002727</v>
      </c>
      <c r="G142" s="6" t="n">
        <f aca="false">IF(internal_ai_reading=2,1,0)*Thesis!G141</f>
        <v>26.5039384396555</v>
      </c>
      <c r="H142" s="6" t="n">
        <f aca="false">IF(internal_ai_reading=2,1,0)*Thesis!H141</f>
        <v>44.38649932956</v>
      </c>
      <c r="I142" s="6" t="n">
        <f aca="false">IF(internal_ai_reading=2,1,0)*Thesis!I141</f>
        <v>60.5028524913745</v>
      </c>
      <c r="J142" s="6" t="n">
        <f aca="false">IF(internal_ai_reading=2,1,0)*Thesis!J141</f>
        <v>71.8788124586976</v>
      </c>
      <c r="K142" s="6" t="n">
        <f aca="false">IF(internal_ai_reading=2,1,0)*Thesis!K141</f>
        <v>78.7789222270768</v>
      </c>
    </row>
    <row r="143" customFormat="false" ht="17.15" hidden="false" customHeight="false" outlineLevel="0" collapsed="false">
      <c r="A143" s="0" t="s">
        <v>860</v>
      </c>
      <c r="B143" s="0" t="s">
        <v>98</v>
      </c>
      <c r="F143" s="6" t="n">
        <f aca="false">Thesis!F127+Thesis!F140*PL!F109+Thesis!F142-Thesis!F128-Thesis!F138</f>
        <v>10.6249363155714</v>
      </c>
      <c r="G143" s="6" t="n">
        <f aca="false">Thesis!G127+Thesis!G140*PL!G109+Thesis!G142-Thesis!G128-Thesis!G138</f>
        <v>16.5522915631233</v>
      </c>
      <c r="H143" s="6" t="n">
        <f aca="false">Thesis!H127+Thesis!H140*PL!H109+Thesis!H142-Thesis!H128-Thesis!H138</f>
        <v>17.4625151247579</v>
      </c>
      <c r="I143" s="6" t="n">
        <f aca="false">Thesis!I127+Thesis!I140*PL!I109+Thesis!I142-Thesis!I128-Thesis!I138</f>
        <v>24.729505792607</v>
      </c>
      <c r="J143" s="6" t="n">
        <f aca="false">Thesis!J127+Thesis!J140*PL!J109+Thesis!J142-Thesis!J128-Thesis!J138</f>
        <v>29.752205312642</v>
      </c>
      <c r="K143" s="6" t="n">
        <f aca="false">Thesis!K127+Thesis!K140*PL!K109+Thesis!K142-Thesis!K128-Thesis!K138</f>
        <v>33.5968759973665</v>
      </c>
    </row>
    <row r="144" customFormat="false" ht="17.15" hidden="false" customHeight="false" outlineLevel="0" collapsed="false">
      <c r="A144" s="0" t="s">
        <v>861</v>
      </c>
      <c r="B144" s="0" t="s">
        <v>98</v>
      </c>
      <c r="E144" s="6" t="n">
        <f aca="false">Thesis!E109*(cxit_open+self_build*tk_cxfac)/1000*ai_net_open</f>
        <v>126.6980382</v>
      </c>
      <c r="F144" s="6" t="n">
        <f aca="false">Thesis!E144+Thesis!F135-Thesis!F138</f>
        <v>252.981026690511</v>
      </c>
      <c r="G144" s="6" t="n">
        <f aca="false">Thesis!F144+Thesis!G135-Thesis!G138</f>
        <v>377.4297700632</v>
      </c>
      <c r="H144" s="6" t="n">
        <f aca="false">Thesis!G144+Thesis!H135-Thesis!H138</f>
        <v>479.149036130289</v>
      </c>
      <c r="I144" s="6" t="n">
        <f aca="false">Thesis!H144+Thesis!I135-Thesis!I138</f>
        <v>532.249961452141</v>
      </c>
      <c r="J144" s="6" t="n">
        <f aca="false">Thesis!I144+Thesis!J135-Thesis!J138</f>
        <v>531.43307519354</v>
      </c>
      <c r="K144" s="6" t="n">
        <f aca="false">Thesis!J144+Thesis!K135-Thesis!K138</f>
        <v>513.709026452823</v>
      </c>
      <c r="L144" s="1" t="s">
        <v>862</v>
      </c>
    </row>
    <row r="145" customFormat="false" ht="17.15" hidden="false" customHeight="false" outlineLevel="0" collapsed="false">
      <c r="A145" s="0" t="s">
        <v>863</v>
      </c>
      <c r="B145" s="0" t="s">
        <v>129</v>
      </c>
      <c r="F145" s="7" t="n">
        <f aca="false">Thesis!F143*(1-tax_f)/((Thesis!E144+Thesis!F144)/2)</f>
        <v>0.0447743888903029</v>
      </c>
      <c r="G145" s="7" t="n">
        <f aca="false">Thesis!G143*(1-tax_f)/((Thesis!F144+Thesis!G144)/2)</f>
        <v>0.0420101727910983</v>
      </c>
      <c r="H145" s="7" t="n">
        <f aca="false">Thesis!H143*(1-tax_f)/((Thesis!G144+Thesis!H144)/2)</f>
        <v>0.0326181595874103</v>
      </c>
      <c r="I145" s="7" t="n">
        <f aca="false">Thesis!I143*(1-tax_f)/((Thesis!H144+Thesis!I144)/2)</f>
        <v>0.0391212660510339</v>
      </c>
      <c r="J145" s="7" t="n">
        <f aca="false">Thesis!J143*(1-tax_f)/((Thesis!I144+Thesis!J144)/2)</f>
        <v>0.0447534903351892</v>
      </c>
      <c r="K145" s="7" t="n">
        <f aca="false">Thesis!K143*(1-tax_f)/((Thesis!J144+Thesis!K144)/2)</f>
        <v>0.0514331989029135</v>
      </c>
    </row>
    <row r="146" customFormat="false" ht="17.15" hidden="false" customHeight="false" outlineLevel="0" collapsed="false">
      <c r="A146" s="1" t="s">
        <v>864</v>
      </c>
      <c r="B146" s="0" t="s">
        <v>129</v>
      </c>
      <c r="F146" s="7" t="n">
        <f aca="false">(Thesis!F143-Thesis!F142)*(1-tax_f)/((Thesis!E144+Thesis!F144)/2)</f>
        <v>0.00197884943878752</v>
      </c>
      <c r="G146" s="7" t="n">
        <f aca="false">(Thesis!G143-Thesis!G142)*(1-tax_f)/((Thesis!F144+Thesis!G144)/2)</f>
        <v>-0.0252575544144306</v>
      </c>
      <c r="H146" s="7" t="n">
        <f aca="false">(Thesis!H143-Thesis!H142)*(1-tax_f)/((Thesis!G144+Thesis!H144)/2)</f>
        <v>-0.0502911984468976</v>
      </c>
      <c r="I146" s="7" t="n">
        <f aca="false">(Thesis!I143-Thesis!I142)*(1-tax_f)/((Thesis!H144+Thesis!I144)/2)</f>
        <v>-0.0565922596866753</v>
      </c>
      <c r="J146" s="7" t="n">
        <f aca="false">(Thesis!J143-Thesis!J142)*(1-tax_f)/((Thesis!I144+Thesis!J144)/2)</f>
        <v>-0.0633671583653741</v>
      </c>
      <c r="K146" s="7" t="n">
        <f aca="false">(Thesis!K143-Thesis!K142)*(1-tax_f)/((Thesis!J144+Thesis!K144)/2)</f>
        <v>-0.0691688468521739</v>
      </c>
    </row>
    <row r="147" customFormat="false" ht="17.15" hidden="false" customHeight="false" outlineLevel="0" collapsed="false">
      <c r="A147" s="1" t="s">
        <v>865</v>
      </c>
      <c r="B147" s="0" t="s">
        <v>129</v>
      </c>
      <c r="F147" s="7" t="n">
        <f aca="false">(Thesis!F143-Thesis!F142+Thesis!F141)*(1-tax_f)/((Thesis!E144+Thesis!F144)/2)</f>
        <v>0.0447743888903029</v>
      </c>
      <c r="G147" s="7" t="n">
        <f aca="false">(Thesis!G143-Thesis!G142+Thesis!G141)*(1-tax_f)/((Thesis!F144+Thesis!G144)/2)</f>
        <v>0.0420101727910983</v>
      </c>
      <c r="H147" s="7" t="n">
        <f aca="false">(Thesis!H143-Thesis!H142+Thesis!H141)*(1-tax_f)/((Thesis!G144+Thesis!H144)/2)</f>
        <v>0.0326181595874103</v>
      </c>
      <c r="I147" s="7" t="n">
        <f aca="false">(Thesis!I143-Thesis!I142+Thesis!I141)*(1-tax_f)/((Thesis!H144+Thesis!I144)/2)</f>
        <v>0.0391212660510339</v>
      </c>
      <c r="J147" s="7" t="n">
        <f aca="false">(Thesis!J143-Thesis!J142+Thesis!J141)*(1-tax_f)/((Thesis!I144+Thesis!J144)/2)</f>
        <v>0.0447534903351892</v>
      </c>
      <c r="K147" s="7" t="n">
        <f aca="false">(Thesis!K143-Thesis!K142+Thesis!K141)*(1-tax_f)/((Thesis!J144+Thesis!K144)/2)</f>
        <v>0.0514331989029135</v>
      </c>
    </row>
    <row r="148" customFormat="false" ht="17.15" hidden="false" customHeight="false" outlineLevel="0" collapsed="false">
      <c r="A148" s="1" t="s">
        <v>866</v>
      </c>
      <c r="B148" s="0" t="s">
        <v>129</v>
      </c>
      <c r="F148" s="7" t="n">
        <f aca="false">Thesis!F139*(1-tax_f)/(Thesis!F126*(Thesis!E144+Thesis!F144)/2)</f>
        <v>0.102735279953254</v>
      </c>
      <c r="G148" s="7" t="n">
        <f aca="false">Thesis!G139*(1-tax_f)/(Thesis!G126*(Thesis!F144+Thesis!G144)/2)</f>
        <v>0.0709600152423962</v>
      </c>
      <c r="H148" s="7" t="n">
        <f aca="false">Thesis!H139*(1-tax_f)/(Thesis!H126*(Thesis!G144+Thesis!H144)/2)</f>
        <v>0.0419126501774916</v>
      </c>
      <c r="I148" s="7" t="n">
        <f aca="false">Thesis!I139*(1-tax_f)/(Thesis!I126*(Thesis!H144+Thesis!I144)/2)</f>
        <v>0.044576811268173</v>
      </c>
      <c r="J148" s="7" t="n">
        <f aca="false">Thesis!J139*(1-tax_f)/(Thesis!J126*(Thesis!I144+Thesis!J144)/2)</f>
        <v>0.0483882076863038</v>
      </c>
      <c r="K148" s="7" t="n">
        <f aca="false">Thesis!K139*(1-tax_f)/(Thesis!K126*(Thesis!J144+Thesis!K144)/2)</f>
        <v>0.0544871874286225</v>
      </c>
    </row>
    <row r="149" customFormat="false" ht="17.15" hidden="false" customHeight="false" outlineLevel="0" collapsed="false">
      <c r="A149" s="0" t="s">
        <v>867</v>
      </c>
      <c r="B149" s="0" t="s">
        <v>209</v>
      </c>
      <c r="F149" s="7" t="n">
        <f aca="false">Thesis!F145-wacc</f>
        <v>-0.0581600312025729</v>
      </c>
      <c r="G149" s="7" t="n">
        <f aca="false">Thesis!G145-wacc</f>
        <v>-0.0609242473017775</v>
      </c>
      <c r="H149" s="7" t="n">
        <f aca="false">Thesis!H145-wacc</f>
        <v>-0.0703162605054654</v>
      </c>
      <c r="I149" s="7" t="n">
        <f aca="false">Thesis!I145-wacc</f>
        <v>-0.0638131540418418</v>
      </c>
      <c r="J149" s="7" t="n">
        <f aca="false">Thesis!J145-wacc</f>
        <v>-0.0581809297576865</v>
      </c>
      <c r="K149" s="7" t="n">
        <f aca="false">Thesis!K145-wacc</f>
        <v>-0.0515012211899623</v>
      </c>
    </row>
    <row r="150" customFormat="false" ht="17.15" hidden="false" customHeight="false" outlineLevel="0" collapsed="false">
      <c r="A150" s="0" t="s">
        <v>868</v>
      </c>
      <c r="B150" s="0" t="s">
        <v>98</v>
      </c>
      <c r="F150" s="6" t="n">
        <f aca="false">Thesis!F143*(1-tax_f)-wacc*(Thesis!E144+Thesis!F144)/2</f>
        <v>-11.0410731304979</v>
      </c>
      <c r="G150" s="6" t="n">
        <f aca="false">Thesis!G143*(1-tax_f)-wacc*(Thesis!F144+Thesis!G144)/2</f>
        <v>-19.2036516415668</v>
      </c>
      <c r="H150" s="6" t="n">
        <f aca="false">Thesis!H143*(1-tax_f)-wacc*(Thesis!G144+Thesis!H144)/2</f>
        <v>-30.115709239881</v>
      </c>
      <c r="I150" s="6" t="n">
        <f aca="false">Thesis!I143*(1-tax_f)-wacc*(Thesis!H144+Thesis!I144)/2</f>
        <v>-32.270280015246</v>
      </c>
      <c r="J150" s="6" t="n">
        <f aca="false">Thesis!J143*(1-tax_f)-wacc*(Thesis!I144+Thesis!J144)/2</f>
        <v>-30.9430340197625</v>
      </c>
      <c r="K150" s="6" t="n">
        <f aca="false">Thesis!K143*(1-tax_f)-wacc*(Thesis!J144+Thesis!K144)/2</f>
        <v>-26.9130472759157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871</v>
      </c>
    </row>
    <row r="2" customFormat="false" ht="17.15" hidden="false" customHeight="false" outlineLevel="0" collapsed="false">
      <c r="A2" s="1" t="s">
        <v>872</v>
      </c>
    </row>
    <row r="4" customFormat="false" ht="17.15" hidden="false" customHeight="false" outlineLevel="0" collapsed="false">
      <c r="A4" s="3" t="s">
        <v>873</v>
      </c>
    </row>
    <row r="5" customFormat="false" ht="15" hidden="false" customHeight="false" outlineLevel="0" collapsed="false">
      <c r="A5" s="4" t="s">
        <v>43</v>
      </c>
      <c r="B5" s="4" t="s">
        <v>65</v>
      </c>
      <c r="C5" s="20" t="s">
        <v>799</v>
      </c>
      <c r="D5" s="20" t="s">
        <v>800</v>
      </c>
      <c r="E5" s="20" t="s">
        <v>801</v>
      </c>
      <c r="F5" s="20" t="s">
        <v>802</v>
      </c>
      <c r="G5" s="20" t="s">
        <v>803</v>
      </c>
      <c r="H5" s="20" t="s">
        <v>804</v>
      </c>
      <c r="I5" s="20" t="s">
        <v>805</v>
      </c>
      <c r="J5" s="20" t="s">
        <v>806</v>
      </c>
      <c r="K5" s="20" t="s">
        <v>807</v>
      </c>
      <c r="L5" s="4" t="s">
        <v>47</v>
      </c>
    </row>
    <row r="6" customFormat="false" ht="17.15" hidden="false" customHeight="false" outlineLevel="0" collapsed="false">
      <c r="A6" s="0" t="s">
        <v>874</v>
      </c>
      <c r="B6" s="0" t="s">
        <v>98</v>
      </c>
      <c r="D6" s="6" t="n">
        <f aca="false">Thesis!D23</f>
        <v>12.9359794422418</v>
      </c>
      <c r="E6" s="6" t="n">
        <f aca="false">Thesis!E23</f>
        <v>27.8095064661409</v>
      </c>
      <c r="F6" s="6" t="n">
        <f aca="false">Thesis!F23</f>
        <v>58.7324192305018</v>
      </c>
      <c r="G6" s="6" t="n">
        <f aca="false">Thesis!G23</f>
        <v>101.369089141153</v>
      </c>
      <c r="H6" s="6" t="n">
        <f aca="false">Thesis!H23</f>
        <v>149.785610014234</v>
      </c>
      <c r="I6" s="6" t="n">
        <f aca="false">Thesis!I23</f>
        <v>187.368703083263</v>
      </c>
      <c r="J6" s="6" t="n">
        <f aca="false">Thesis!J23</f>
        <v>213.886657444854</v>
      </c>
      <c r="K6" s="6" t="n">
        <f aca="false">Thesis!K23</f>
        <v>231.253475259589</v>
      </c>
    </row>
    <row r="7" customFormat="false" ht="17.15" hidden="false" customHeight="false" outlineLevel="0" collapsed="false">
      <c r="A7" s="0" t="s">
        <v>875</v>
      </c>
      <c r="B7" s="0" t="s">
        <v>98</v>
      </c>
      <c r="D7" s="6" t="n">
        <f aca="false">Q!L6-Seg!D6</f>
        <v>59.6740205577583</v>
      </c>
      <c r="E7" s="6" t="n">
        <f aca="false">Q!M6-Seg!E6</f>
        <v>74.1284935338591</v>
      </c>
      <c r="F7" s="6" t="n">
        <f aca="false">Seg!E7*(1+Seg!F8)</f>
        <v>90.0799497373663</v>
      </c>
      <c r="G7" s="6" t="n">
        <f aca="false">Seg!F7*(1+Seg!G8)</f>
        <v>107.02842520331</v>
      </c>
      <c r="H7" s="6" t="n">
        <f aca="false">Seg!G7*(1+Seg!H8)</f>
        <v>124.271982585636</v>
      </c>
      <c r="I7" s="6" t="n">
        <f aca="false">Seg!H7*(1+Seg!I8)</f>
        <v>140.933702381855</v>
      </c>
      <c r="J7" s="6" t="n">
        <f aca="false">Seg!I7*(1+Seg!J8)</f>
        <v>156.018867314332</v>
      </c>
      <c r="K7" s="6" t="n">
        <f aca="false">Seg!J7*(1+Seg!K8)</f>
        <v>168.500376699478</v>
      </c>
    </row>
    <row r="8" customFormat="false" ht="15" hidden="false" customHeight="false" outlineLevel="0" collapsed="false">
      <c r="A8" s="1" t="s">
        <v>876</v>
      </c>
      <c r="B8" s="0" t="s">
        <v>129</v>
      </c>
      <c r="E8" s="7" t="n">
        <f aca="false">Seg!E7/Seg!D7-1</f>
        <v>0.242223883039864</v>
      </c>
      <c r="F8" s="7" t="n">
        <f aca="false">Seg!$E$8+(glt_azo-Seg!$E$8)*MIN(1,(Thesis!F6-base_fy)/n_conv)</f>
        <v>0.215186569199887</v>
      </c>
      <c r="G8" s="7" t="n">
        <f aca="false">Seg!$E$8+(glt_azo-Seg!$E$8)*MIN(1,(Thesis!G6-base_fy)/n_conv)</f>
        <v>0.18814925535991</v>
      </c>
      <c r="H8" s="7" t="n">
        <f aca="false">Seg!$E$8+(glt_azo-Seg!$E$8)*MIN(1,(Thesis!H6-base_fy)/n_conv)</f>
        <v>0.161111941519932</v>
      </c>
      <c r="I8" s="7" t="n">
        <f aca="false">Seg!$E$8+(glt_azo-Seg!$E$8)*MIN(1,(Thesis!I6-base_fy)/n_conv)</f>
        <v>0.134074627679955</v>
      </c>
      <c r="J8" s="7" t="n">
        <f aca="false">Seg!$E$8+(glt_azo-Seg!$E$8)*MIN(1,(Thesis!J6-base_fy)/n_conv)</f>
        <v>0.107037313839977</v>
      </c>
      <c r="K8" s="7" t="n">
        <f aca="false">Seg!$E$8+(glt_azo-Seg!$E$8)*MIN(1,(Thesis!K6-base_fy)/n_conv)</f>
        <v>0.08</v>
      </c>
    </row>
    <row r="9" customFormat="false" ht="15" hidden="false" customHeight="false" outlineLevel="0" collapsed="false">
      <c r="A9" s="0" t="s">
        <v>877</v>
      </c>
      <c r="B9" s="0" t="s">
        <v>98</v>
      </c>
      <c r="D9" s="6" t="n">
        <f aca="false">Seg!D6+Seg!D7</f>
        <v>72.61</v>
      </c>
      <c r="E9" s="6" t="n">
        <f aca="false">Seg!E6+Seg!E7</f>
        <v>101.938</v>
      </c>
      <c r="F9" s="6" t="n">
        <f aca="false">Seg!F6+Seg!F7</f>
        <v>148.812368967868</v>
      </c>
      <c r="G9" s="6" t="n">
        <f aca="false">Seg!G6+Seg!G7</f>
        <v>208.397514344463</v>
      </c>
      <c r="H9" s="6" t="n">
        <f aca="false">Seg!H6+Seg!H7</f>
        <v>274.05759259987</v>
      </c>
      <c r="I9" s="6" t="n">
        <f aca="false">Seg!I6+Seg!I7</f>
        <v>328.302405465117</v>
      </c>
      <c r="J9" s="6" t="n">
        <f aca="false">Seg!J6+Seg!J7</f>
        <v>369.905524759186</v>
      </c>
      <c r="K9" s="6" t="n">
        <f aca="false">Seg!K6+Seg!K7</f>
        <v>399.753851959067</v>
      </c>
    </row>
    <row r="10" customFormat="false" ht="17.15" hidden="false" customHeight="false" outlineLevel="0" collapsed="false">
      <c r="A10" s="0" t="s">
        <v>878</v>
      </c>
      <c r="B10" s="1" t="s">
        <v>528</v>
      </c>
      <c r="C10" s="29" t="n">
        <f aca="false">cop_s24</f>
        <v>1</v>
      </c>
      <c r="D10" s="29" t="n">
        <f aca="false">cop_s25</f>
        <v>5</v>
      </c>
      <c r="E10" s="29" t="n">
        <f aca="false">cop_s26</f>
        <v>30</v>
      </c>
      <c r="F10" s="29" t="n">
        <f aca="false">Seg!E10+cop_add_A</f>
        <v>60</v>
      </c>
      <c r="G10" s="29" t="n">
        <f aca="false">Seg!F10+cop_add_A</f>
        <v>90</v>
      </c>
      <c r="H10" s="29" t="n">
        <f aca="false">Seg!G10+cop_add_A</f>
        <v>120</v>
      </c>
      <c r="I10" s="29" t="n">
        <f aca="false">Seg!H10+cop_add_A*cop_tail</f>
        <v>135</v>
      </c>
      <c r="J10" s="29" t="n">
        <f aca="false">Seg!I10+cop_add_A*cop_tail</f>
        <v>150</v>
      </c>
      <c r="K10" s="29" t="n">
        <f aca="false">Seg!J10+cop_add_A*cop_tail</f>
        <v>165</v>
      </c>
      <c r="L10" s="11" t="s">
        <v>879</v>
      </c>
    </row>
    <row r="11" customFormat="false" ht="17.15" hidden="false" customHeight="false" outlineLevel="0" collapsed="false">
      <c r="A11" s="0" t="s">
        <v>880</v>
      </c>
      <c r="B11" s="0" t="s">
        <v>98</v>
      </c>
      <c r="D11" s="6" t="n">
        <f aca="false">(Seg!C10+Seg!D10)/2*cop_px*12/1000</f>
        <v>0.9</v>
      </c>
      <c r="E11" s="6" t="n">
        <f aca="false">(Seg!D10+Seg!E10)/2*cop_px*12/1000</f>
        <v>5.25</v>
      </c>
      <c r="F11" s="6" t="n">
        <f aca="false">(Seg!E10+Seg!F10)/2*cop_px*12/1000</f>
        <v>13.5</v>
      </c>
      <c r="G11" s="6" t="n">
        <f aca="false">(Seg!F10+Seg!G10)/2*cop_px*12/1000</f>
        <v>22.5</v>
      </c>
      <c r="H11" s="6" t="n">
        <f aca="false">(Seg!G10+Seg!H10)/2*cop_px*12/1000</f>
        <v>31.5</v>
      </c>
      <c r="I11" s="6" t="n">
        <f aca="false">(Seg!H10+Seg!I10)/2*cop_px*12/1000</f>
        <v>38.25</v>
      </c>
      <c r="J11" s="6" t="n">
        <f aca="false">(Seg!I10+Seg!J10)/2*cop_px*12/1000</f>
        <v>42.75</v>
      </c>
      <c r="K11" s="6" t="n">
        <f aca="false">(Seg!J10+Seg!K10)/2*cop_px*12/1000</f>
        <v>47.25</v>
      </c>
      <c r="L11" s="1" t="s">
        <v>881</v>
      </c>
    </row>
    <row r="12" customFormat="false" ht="17.15" hidden="false" customHeight="false" outlineLevel="0" collapsed="false">
      <c r="A12" s="0" t="s">
        <v>882</v>
      </c>
      <c r="B12" s="0" t="s">
        <v>98</v>
      </c>
      <c r="D12" s="6" t="n">
        <f aca="false">Q!L7-Seg!D11</f>
        <v>83.705</v>
      </c>
      <c r="E12" s="6" t="n">
        <f aca="false">Q!M7-Seg!E11</f>
        <v>95.049</v>
      </c>
      <c r="F12" s="6" t="n">
        <f aca="false">Seg!E12*(1+Seg!F13)</f>
        <v>106.89238776686</v>
      </c>
      <c r="G12" s="6" t="n">
        <f aca="false">Seg!F12*(1+Seg!G13)</f>
        <v>119.044168448684</v>
      </c>
      <c r="H12" s="6" t="n">
        <f aca="false">Seg!G12*(1+Seg!H13)</f>
        <v>131.277359388781</v>
      </c>
      <c r="I12" s="6" t="n">
        <f aca="false">Seg!H12*(1+Seg!I13)</f>
        <v>143.334028071957</v>
      </c>
      <c r="J12" s="6" t="n">
        <f aca="false">Seg!I12*(1+Seg!J13)</f>
        <v>154.932702785465</v>
      </c>
      <c r="K12" s="6" t="n">
        <f aca="false">Seg!J12*(1+Seg!K13)</f>
        <v>165.777991980448</v>
      </c>
    </row>
    <row r="13" customFormat="false" ht="15" hidden="false" customHeight="false" outlineLevel="0" collapsed="false">
      <c r="A13" s="1" t="s">
        <v>876</v>
      </c>
      <c r="B13" s="0" t="s">
        <v>129</v>
      </c>
      <c r="E13" s="7" t="n">
        <f aca="false">Seg!E12/Seg!D12-1</f>
        <v>0.135523564900544</v>
      </c>
      <c r="F13" s="7" t="n">
        <f aca="false">Seg!$E$13+(glt_m365b-Seg!$E$13)*MIN(1,(Thesis!F6-base_fy)/n_conv)</f>
        <v>0.124602970750453</v>
      </c>
      <c r="G13" s="7" t="n">
        <f aca="false">Seg!$E$13+(glt_m365b-Seg!$E$13)*MIN(1,(Thesis!G6-base_fy)/n_conv)</f>
        <v>0.113682376600363</v>
      </c>
      <c r="H13" s="7" t="n">
        <f aca="false">Seg!$E$13+(glt_m365b-Seg!$E$13)*MIN(1,(Thesis!H6-base_fy)/n_conv)</f>
        <v>0.102761782450272</v>
      </c>
      <c r="I13" s="7" t="n">
        <f aca="false">Seg!$E$13+(glt_m365b-Seg!$E$13)*MIN(1,(Thesis!I6-base_fy)/n_conv)</f>
        <v>0.0918411883001813</v>
      </c>
      <c r="J13" s="7" t="n">
        <f aca="false">Seg!$E$13+(glt_m365b-Seg!$E$13)*MIN(1,(Thesis!J6-base_fy)/n_conv)</f>
        <v>0.0809205941500906</v>
      </c>
      <c r="K13" s="7" t="n">
        <f aca="false">Seg!$E$13+(glt_m365b-Seg!$E$13)*MIN(1,(Thesis!K6-base_fy)/n_conv)</f>
        <v>0.07</v>
      </c>
    </row>
    <row r="14" customFormat="false" ht="15" hidden="false" customHeight="false" outlineLevel="0" collapsed="false">
      <c r="A14" s="0" t="s">
        <v>883</v>
      </c>
      <c r="B14" s="0" t="s">
        <v>98</v>
      </c>
      <c r="D14" s="6" t="n">
        <f aca="false">Seg!D12+Seg!D11</f>
        <v>84.605</v>
      </c>
      <c r="E14" s="6" t="n">
        <f aca="false">Seg!E12+Seg!E11</f>
        <v>100.299</v>
      </c>
      <c r="F14" s="6" t="n">
        <f aca="false">Seg!F12+Seg!F11</f>
        <v>120.39238776686</v>
      </c>
      <c r="G14" s="6" t="n">
        <f aca="false">Seg!G12+Seg!G11</f>
        <v>141.544168448684</v>
      </c>
      <c r="H14" s="6" t="n">
        <f aca="false">Seg!H12+Seg!H11</f>
        <v>162.777359388781</v>
      </c>
      <c r="I14" s="6" t="n">
        <f aca="false">Seg!I12+Seg!I11</f>
        <v>181.584028071957</v>
      </c>
      <c r="J14" s="6" t="n">
        <f aca="false">Seg!J12+Seg!J11</f>
        <v>197.682702785465</v>
      </c>
      <c r="K14" s="6" t="n">
        <f aca="false">Seg!K12+Seg!K11</f>
        <v>213.027991980448</v>
      </c>
    </row>
    <row r="15" customFormat="false" ht="15" hidden="false" customHeight="false" outlineLevel="0" collapsed="false">
      <c r="A15" s="0" t="s">
        <v>884</v>
      </c>
      <c r="B15" s="0" t="s">
        <v>98</v>
      </c>
      <c r="D15" s="6" t="n">
        <f aca="false">Q!L8</f>
        <v>35.391</v>
      </c>
      <c r="E15" s="6" t="n">
        <f aca="false">Q!M8</f>
        <v>37.285</v>
      </c>
      <c r="F15" s="6" t="n">
        <f aca="false">Seg!E15*(1+Seg!F16)</f>
        <v>39.0720834331704</v>
      </c>
      <c r="G15" s="6" t="n">
        <f aca="false">Seg!F15*(1+Seg!G16)</f>
        <v>40.726562953769</v>
      </c>
      <c r="H15" s="6" t="n">
        <f aca="false">Seg!G15*(1+Seg!H16)</f>
        <v>42.2235987259198</v>
      </c>
      <c r="I15" s="6" t="n">
        <f aca="false">Seg!H15*(1+Seg!I16)</f>
        <v>43.5397988077414</v>
      </c>
      <c r="J15" s="6" t="n">
        <f aca="false">Seg!I15*(1+Seg!J16)</f>
        <v>44.653811225693</v>
      </c>
      <c r="K15" s="6" t="n">
        <f aca="false">Seg!J15*(1+Seg!K16)</f>
        <v>45.5468874502068</v>
      </c>
    </row>
    <row r="16" customFormat="false" ht="15" hidden="false" customHeight="false" outlineLevel="0" collapsed="false">
      <c r="A16" s="1" t="s">
        <v>876</v>
      </c>
      <c r="B16" s="0" t="s">
        <v>129</v>
      </c>
      <c r="E16" s="7" t="n">
        <f aca="false">Seg!E15/Seg!D15-1</f>
        <v>0.0535164307309768</v>
      </c>
      <c r="F16" s="7" t="n">
        <f aca="false">Seg!$E$16+(glt_lic-Seg!$E$16)*MIN(1,(Thesis!F6-base_fy)/n_conv)</f>
        <v>0.0479303589424807</v>
      </c>
      <c r="G16" s="7" t="n">
        <f aca="false">Seg!$E$16+(glt_lic-Seg!$E$16)*MIN(1,(Thesis!G6-base_fy)/n_conv)</f>
        <v>0.0423442871539845</v>
      </c>
      <c r="H16" s="7" t="n">
        <f aca="false">Seg!$E$16+(glt_lic-Seg!$E$16)*MIN(1,(Thesis!H6-base_fy)/n_conv)</f>
        <v>0.0367582153654884</v>
      </c>
      <c r="I16" s="7" t="n">
        <f aca="false">Seg!$E$16+(glt_lic-Seg!$E$16)*MIN(1,(Thesis!I6-base_fy)/n_conv)</f>
        <v>0.0311721435769923</v>
      </c>
      <c r="J16" s="7" t="n">
        <f aca="false">Seg!$E$16+(glt_lic-Seg!$E$16)*MIN(1,(Thesis!J6-base_fy)/n_conv)</f>
        <v>0.0255860717884961</v>
      </c>
      <c r="K16" s="7" t="n">
        <f aca="false">Seg!$E$16+(glt_lic-Seg!$E$16)*MIN(1,(Thesis!K6-base_fy)/n_conv)</f>
        <v>0.02</v>
      </c>
    </row>
    <row r="17" customFormat="false" ht="15" hidden="false" customHeight="false" outlineLevel="0" collapsed="false">
      <c r="A17" s="0" t="s">
        <v>885</v>
      </c>
      <c r="B17" s="0" t="s">
        <v>98</v>
      </c>
      <c r="D17" s="6" t="n">
        <f aca="false">Q!L9</f>
        <v>18.417</v>
      </c>
      <c r="E17" s="6" t="n">
        <f aca="false">Q!M9</f>
        <v>20.345</v>
      </c>
      <c r="F17" s="6" t="n">
        <f aca="false">Seg!E17*(1+Seg!F18)</f>
        <v>22.3572203267814</v>
      </c>
      <c r="G17" s="6" t="n">
        <f aca="false">Seg!F17*(1+Seg!G18)</f>
        <v>24.4392124437232</v>
      </c>
      <c r="H17" s="6" t="n">
        <f aca="false">Seg!G17*(1+Seg!H18)</f>
        <v>26.5738052080665</v>
      </c>
      <c r="I17" s="6" t="n">
        <f aca="false">Seg!H17*(1+Seg!I18)</f>
        <v>28.7412169166967</v>
      </c>
      <c r="J17" s="6" t="n">
        <f aca="false">Seg!I17*(1+Seg!J18)</f>
        <v>30.9192545395413</v>
      </c>
      <c r="K17" s="6" t="n">
        <f aca="false">Seg!J17*(1+Seg!K18)</f>
        <v>33.0836023573092</v>
      </c>
    </row>
    <row r="18" customFormat="false" ht="15" hidden="false" customHeight="false" outlineLevel="0" collapsed="false">
      <c r="A18" s="1" t="s">
        <v>876</v>
      </c>
      <c r="B18" s="0" t="s">
        <v>129</v>
      </c>
      <c r="E18" s="7" t="n">
        <f aca="false">Seg!E17/Seg!D17-1</f>
        <v>0.104685888038225</v>
      </c>
      <c r="F18" s="7" t="n">
        <f aca="false">Seg!$E$18+(glt_ind-Seg!$E$18)*MIN(1,(Thesis!F6-base_fy)/n_conv)</f>
        <v>0.0989049066985211</v>
      </c>
      <c r="G18" s="7" t="n">
        <f aca="false">Seg!$E$18+(glt_ind-Seg!$E$18)*MIN(1,(Thesis!G6-base_fy)/n_conv)</f>
        <v>0.0931239253588169</v>
      </c>
      <c r="H18" s="7" t="n">
        <f aca="false">Seg!$E$18+(glt_ind-Seg!$E$18)*MIN(1,(Thesis!H6-base_fy)/n_conv)</f>
        <v>0.0873429440191127</v>
      </c>
      <c r="I18" s="7" t="n">
        <f aca="false">Seg!$E$18+(glt_ind-Seg!$E$18)*MIN(1,(Thesis!I6-base_fy)/n_conv)</f>
        <v>0.0815619626794085</v>
      </c>
      <c r="J18" s="7" t="n">
        <f aca="false">Seg!$E$18+(glt_ind-Seg!$E$18)*MIN(1,(Thesis!J6-base_fy)/n_conv)</f>
        <v>0.0757809813397042</v>
      </c>
      <c r="K18" s="7" t="n">
        <f aca="false">Seg!$E$18+(glt_ind-Seg!$E$18)*MIN(1,(Thesis!K6-base_fy)/n_conv)</f>
        <v>0.07</v>
      </c>
    </row>
    <row r="19" customFormat="false" ht="15" hidden="false" customHeight="false" outlineLevel="0" collapsed="false">
      <c r="A19" s="0" t="s">
        <v>886</v>
      </c>
      <c r="B19" s="0" t="s">
        <v>98</v>
      </c>
      <c r="D19" s="6" t="n">
        <f aca="false">Q!L10</f>
        <v>7.76</v>
      </c>
      <c r="E19" s="6" t="n">
        <f aca="false">Q!M10</f>
        <v>8.26</v>
      </c>
      <c r="F19" s="6" t="n">
        <f aca="false">Seg!E19*(1+Seg!F20)</f>
        <v>8.79988041237113</v>
      </c>
      <c r="G19" s="6" t="n">
        <f aca="false">Seg!F19*(1+Seg!G20)</f>
        <v>9.38321269125306</v>
      </c>
      <c r="H19" s="6" t="n">
        <f aca="false">Seg!G19*(1+Seg!H20)</f>
        <v>10.0139193587476</v>
      </c>
      <c r="I19" s="6" t="n">
        <f aca="false">Seg!H19*(1+Seg!I20)</f>
        <v>10.6963111830911</v>
      </c>
      <c r="J19" s="6" t="n">
        <f aca="false">Seg!I19*(1+Seg!J20)</f>
        <v>11.4351285534696</v>
      </c>
      <c r="K19" s="6" t="n">
        <f aca="false">Seg!J19*(1+Seg!K20)</f>
        <v>12.2355875522124</v>
      </c>
    </row>
    <row r="20" customFormat="false" ht="15" hidden="false" customHeight="false" outlineLevel="0" collapsed="false">
      <c r="A20" s="1" t="s">
        <v>876</v>
      </c>
      <c r="B20" s="0" t="s">
        <v>129</v>
      </c>
      <c r="E20" s="7" t="n">
        <f aca="false">Seg!E19/Seg!D19-1</f>
        <v>0.0644329896907216</v>
      </c>
      <c r="F20" s="7" t="n">
        <f aca="false">Seg!$E$20+(glt_fro-Seg!$E$20)*MIN(1,(Thesis!F6-base_fy)/n_conv)</f>
        <v>0.065360824742268</v>
      </c>
      <c r="G20" s="7" t="n">
        <f aca="false">Seg!$E$20+(glt_fro-Seg!$E$20)*MIN(1,(Thesis!G6-base_fy)/n_conv)</f>
        <v>0.0662886597938144</v>
      </c>
      <c r="H20" s="7" t="n">
        <f aca="false">Seg!$E$20+(glt_fro-Seg!$E$20)*MIN(1,(Thesis!H6-base_fy)/n_conv)</f>
        <v>0.0672164948453608</v>
      </c>
      <c r="I20" s="7" t="n">
        <f aca="false">Seg!$E$20+(glt_fro-Seg!$E$20)*MIN(1,(Thesis!I6-base_fy)/n_conv)</f>
        <v>0.0681443298969072</v>
      </c>
      <c r="J20" s="7" t="n">
        <f aca="false">Seg!$E$20+(glt_fro-Seg!$E$20)*MIN(1,(Thesis!J6-base_fy)/n_conv)</f>
        <v>0.0690721649484536</v>
      </c>
      <c r="K20" s="7" t="n">
        <f aca="false">Seg!$E$20+(glt_fro-Seg!$E$20)*MIN(1,(Thesis!K6-base_fy)/n_conv)</f>
        <v>0.07</v>
      </c>
    </row>
    <row r="21" customFormat="false" ht="15" hidden="false" customHeight="false" outlineLevel="0" collapsed="false">
      <c r="A21" s="0" t="s">
        <v>715</v>
      </c>
      <c r="B21" s="0" t="s">
        <v>98</v>
      </c>
      <c r="D21" s="6" t="n">
        <f aca="false">Seg!D9+Seg!D14+Seg!D15+Seg!D17+Seg!D19</f>
        <v>218.783</v>
      </c>
      <c r="E21" s="6" t="n">
        <f aca="false">Seg!E9+Seg!E14+Seg!E15+Seg!E17+Seg!E19</f>
        <v>268.127</v>
      </c>
      <c r="F21" s="6" t="n">
        <f aca="false">Seg!F9+Seg!F14+Seg!F15+Seg!F17+Seg!F19</f>
        <v>339.433940907051</v>
      </c>
      <c r="G21" s="6" t="n">
        <f aca="false">Seg!G9+Seg!G14+Seg!G15+Seg!G17+Seg!G19</f>
        <v>424.490670881892</v>
      </c>
      <c r="H21" s="6" t="n">
        <f aca="false">Seg!H9+Seg!H14+Seg!H15+Seg!H17+Seg!H19</f>
        <v>515.646275281385</v>
      </c>
      <c r="I21" s="6" t="n">
        <f aca="false">Seg!I9+Seg!I14+Seg!I15+Seg!I17+Seg!I19</f>
        <v>592.863760444604</v>
      </c>
      <c r="J21" s="6" t="n">
        <f aca="false">Seg!J9+Seg!J14+Seg!J15+Seg!J17+Seg!J19</f>
        <v>654.596421863355</v>
      </c>
      <c r="K21" s="6" t="n">
        <f aca="false">Seg!K9+Seg!K14+Seg!K15+Seg!K17+Seg!K19</f>
        <v>703.647921299244</v>
      </c>
    </row>
    <row r="22" customFormat="false" ht="15" hidden="false" customHeight="false" outlineLevel="0" collapsed="false">
      <c r="A22" s="0" t="s">
        <v>887</v>
      </c>
      <c r="B22" s="0" t="s">
        <v>98</v>
      </c>
      <c r="D22" s="6" t="n">
        <f aca="false">Q!L13</f>
        <v>22.171</v>
      </c>
      <c r="E22" s="6" t="n">
        <f aca="false">Q!M13</f>
        <v>24.835</v>
      </c>
      <c r="F22" s="6" t="n">
        <f aca="false">Seg!E22*(1+Seg!F23)</f>
        <v>27.6114901218559</v>
      </c>
      <c r="G22" s="6" t="n">
        <f aca="false">Seg!F22*(1+Seg!G23)</f>
        <v>30.4675667338515</v>
      </c>
      <c r="H22" s="6" t="n">
        <f aca="false">Seg!G22*(1+Seg!H23)</f>
        <v>33.3643766955789</v>
      </c>
      <c r="I22" s="6" t="n">
        <f aca="false">Seg!H22*(1+Seg!I23)</f>
        <v>36.2577016533691</v>
      </c>
      <c r="J22" s="6" t="n">
        <f aca="false">Seg!I22*(1+Seg!J23)</f>
        <v>39.0988367952171</v>
      </c>
      <c r="K22" s="6" t="n">
        <f aca="false">Seg!J22*(1+Seg!K23)</f>
        <v>41.8357553708823</v>
      </c>
    </row>
    <row r="23" customFormat="false" ht="15" hidden="false" customHeight="false" outlineLevel="0" collapsed="false">
      <c r="A23" s="1" t="s">
        <v>876</v>
      </c>
      <c r="B23" s="0" t="s">
        <v>129</v>
      </c>
      <c r="E23" s="7" t="n">
        <f aca="false">Seg!E22/Seg!D22-1</f>
        <v>0.120156961796942</v>
      </c>
      <c r="F23" s="7" t="n">
        <f aca="false">Seg!$E$23+(glt_srch-Seg!$E$23)*MIN(1,(Thesis!F6-base_fy)/n_conv)</f>
        <v>0.111797468164118</v>
      </c>
      <c r="G23" s="7" t="n">
        <f aca="false">Seg!$E$23+(glt_srch-Seg!$E$23)*MIN(1,(Thesis!G6-base_fy)/n_conv)</f>
        <v>0.103437974531295</v>
      </c>
      <c r="H23" s="7" t="n">
        <f aca="false">Seg!$E$23+(glt_srch-Seg!$E$23)*MIN(1,(Thesis!H6-base_fy)/n_conv)</f>
        <v>0.095078480898471</v>
      </c>
      <c r="I23" s="7" t="n">
        <f aca="false">Seg!$E$23+(glt_srch-Seg!$E$23)*MIN(1,(Thesis!I6-base_fy)/n_conv)</f>
        <v>0.0867189872656474</v>
      </c>
      <c r="J23" s="7" t="n">
        <f aca="false">Seg!$E$23+(glt_srch-Seg!$E$23)*MIN(1,(Thesis!J6-base_fy)/n_conv)</f>
        <v>0.0783594936328237</v>
      </c>
      <c r="K23" s="7" t="n">
        <f aca="false">Seg!$E$23+(glt_srch-Seg!$E$23)*MIN(1,(Thesis!K6-base_fy)/n_conv)</f>
        <v>0.07</v>
      </c>
    </row>
    <row r="24" customFormat="false" ht="15" hidden="false" customHeight="false" outlineLevel="0" collapsed="false">
      <c r="A24" s="0" t="s">
        <v>888</v>
      </c>
      <c r="B24" s="0" t="s">
        <v>98</v>
      </c>
      <c r="D24" s="6" t="n">
        <f aca="false">Q!L14</f>
        <v>23.455</v>
      </c>
      <c r="E24" s="6" t="n">
        <f aca="false">Q!M14</f>
        <v>21.79</v>
      </c>
      <c r="F24" s="6" t="n">
        <f aca="false">Seg!E24*(1+Seg!F25)</f>
        <v>20.5736277908051</v>
      </c>
      <c r="G24" s="6" t="n">
        <f aca="false">Seg!F24*(1+Seg!G25)</f>
        <v>19.7371452817919</v>
      </c>
      <c r="H24" s="6" t="n">
        <f aca="false">Seg!G24*(1+Seg!H25)</f>
        <v>19.2339764043138</v>
      </c>
      <c r="I24" s="6" t="n">
        <f aca="false">Seg!H24*(1+Seg!I25)</f>
        <v>19.0353086852681</v>
      </c>
      <c r="J24" s="6" t="n">
        <f aca="false">Seg!I24*(1+Seg!J25)</f>
        <v>19.1273539319129</v>
      </c>
      <c r="K24" s="6" t="n">
        <f aca="false">Seg!J24*(1+Seg!K25)</f>
        <v>19.5099010105511</v>
      </c>
    </row>
    <row r="25" customFormat="false" ht="15" hidden="false" customHeight="false" outlineLevel="0" collapsed="false">
      <c r="A25" s="1" t="s">
        <v>876</v>
      </c>
      <c r="B25" s="0" t="s">
        <v>129</v>
      </c>
      <c r="E25" s="7" t="n">
        <f aca="false">Seg!E24/Seg!D24-1</f>
        <v>-0.0709869963760392</v>
      </c>
      <c r="F25" s="7" t="n">
        <f aca="false">Seg!$E$25+(glt_xbox-Seg!$E$25)*MIN(1,(Thesis!F6-base_fy)/n_conv)</f>
        <v>-0.0558224969800327</v>
      </c>
      <c r="G25" s="7" t="n">
        <f aca="false">Seg!$E$25+(glt_xbox-Seg!$E$25)*MIN(1,(Thesis!G6-base_fy)/n_conv)</f>
        <v>-0.0406579975840262</v>
      </c>
      <c r="H25" s="7" t="n">
        <f aca="false">Seg!$E$25+(glt_xbox-Seg!$E$25)*MIN(1,(Thesis!H6-base_fy)/n_conv)</f>
        <v>-0.0254934981880196</v>
      </c>
      <c r="I25" s="7" t="n">
        <f aca="false">Seg!$E$25+(glt_xbox-Seg!$E$25)*MIN(1,(Thesis!I6-base_fy)/n_conv)</f>
        <v>-0.0103289987920131</v>
      </c>
      <c r="J25" s="7" t="n">
        <f aca="false">Seg!$E$25+(glt_xbox-Seg!$E$25)*MIN(1,(Thesis!J6-base_fy)/n_conv)</f>
        <v>0.00483550060399347</v>
      </c>
      <c r="K25" s="7" t="n">
        <f aca="false">Seg!$E$25+(glt_xbox-Seg!$E$25)*MIN(1,(Thesis!K6-base_fy)/n_conv)</f>
        <v>0.02</v>
      </c>
    </row>
    <row r="26" customFormat="false" ht="15" hidden="false" customHeight="false" outlineLevel="0" collapsed="false">
      <c r="A26" s="0" t="s">
        <v>889</v>
      </c>
      <c r="B26" s="0" t="s">
        <v>98</v>
      </c>
      <c r="D26" s="6" t="n">
        <f aca="false">Q!L15</f>
        <v>17.315</v>
      </c>
      <c r="E26" s="6" t="n">
        <f aca="false">Q!M15</f>
        <v>17.087</v>
      </c>
      <c r="F26" s="6" t="n">
        <f aca="false">Seg!E26*(1+Seg!F27)</f>
        <v>16.9564585436519</v>
      </c>
      <c r="G26" s="6" t="n">
        <f aca="false">Seg!F26*(1+Seg!G27)</f>
        <v>16.9206490624268</v>
      </c>
      <c r="H26" s="6" t="n">
        <f aca="false">Seg!G26*(1+Seg!H27)</f>
        <v>16.9784519149849</v>
      </c>
      <c r="I26" s="6" t="n">
        <f aca="false">Seg!H26*(1+Seg!I27)</f>
        <v>17.1303084701817</v>
      </c>
      <c r="J26" s="6" t="n">
        <f aca="false">Seg!I26*(1+Seg!J27)</f>
        <v>17.3782189407267</v>
      </c>
      <c r="K26" s="6" t="n">
        <f aca="false">Seg!J26*(1+Seg!K27)</f>
        <v>17.7257833195413</v>
      </c>
    </row>
    <row r="27" customFormat="false" ht="15" hidden="false" customHeight="false" outlineLevel="0" collapsed="false">
      <c r="A27" s="1" t="s">
        <v>876</v>
      </c>
      <c r="B27" s="0" t="s">
        <v>129</v>
      </c>
      <c r="E27" s="7" t="n">
        <f aca="false">Seg!E26/Seg!D26-1</f>
        <v>-0.0131677736066995</v>
      </c>
      <c r="F27" s="7" t="n">
        <f aca="false">Seg!$E$27+(glt_win-Seg!$E$27)*MIN(1,(Thesis!F6-base_fy)/n_conv)</f>
        <v>-0.00763981133891627</v>
      </c>
      <c r="G27" s="7" t="n">
        <f aca="false">Seg!$E$27+(glt_win-Seg!$E$27)*MIN(1,(Thesis!G6-base_fy)/n_conv)</f>
        <v>-0.00211184907113301</v>
      </c>
      <c r="H27" s="7" t="n">
        <f aca="false">Seg!$E$27+(glt_win-Seg!$E$27)*MIN(1,(Thesis!H6-base_fy)/n_conv)</f>
        <v>0.00341611319665024</v>
      </c>
      <c r="I27" s="7" t="n">
        <f aca="false">Seg!$E$27+(glt_win-Seg!$E$27)*MIN(1,(Thesis!I6-base_fy)/n_conv)</f>
        <v>0.00894407546443349</v>
      </c>
      <c r="J27" s="7" t="n">
        <f aca="false">Seg!$E$27+(glt_win-Seg!$E$27)*MIN(1,(Thesis!J6-base_fy)/n_conv)</f>
        <v>0.0144720377322168</v>
      </c>
      <c r="K27" s="7" t="n">
        <f aca="false">Seg!$E$27+(glt_win-Seg!$E$27)*MIN(1,(Thesis!K6-base_fy)/n_conv)</f>
        <v>0.02</v>
      </c>
    </row>
    <row r="28" customFormat="false" ht="15" hidden="false" customHeight="false" outlineLevel="0" collapsed="false">
      <c r="A28" s="0" t="s">
        <v>729</v>
      </c>
      <c r="B28" s="0" t="s">
        <v>98</v>
      </c>
      <c r="D28" s="6" t="n">
        <f aca="false">Seg!D22+Seg!D24+Seg!D26</f>
        <v>62.941</v>
      </c>
      <c r="E28" s="6" t="n">
        <f aca="false">Seg!E22+Seg!E24+Seg!E26</f>
        <v>63.712</v>
      </c>
      <c r="F28" s="6" t="n">
        <f aca="false">Seg!F22+Seg!F24+Seg!F26</f>
        <v>65.1415764563129</v>
      </c>
      <c r="G28" s="6" t="n">
        <f aca="false">Seg!G22+Seg!G24+Seg!G26</f>
        <v>67.1253610780702</v>
      </c>
      <c r="H28" s="6" t="n">
        <f aca="false">Seg!H22+Seg!H24+Seg!H26</f>
        <v>69.5768050148776</v>
      </c>
      <c r="I28" s="6" t="n">
        <f aca="false">Seg!I22+Seg!I24+Seg!I26</f>
        <v>72.4233188088189</v>
      </c>
      <c r="J28" s="6" t="n">
        <f aca="false">Seg!J22+Seg!J24+Seg!J26</f>
        <v>75.6044096678567</v>
      </c>
      <c r="K28" s="6" t="n">
        <f aca="false">Seg!K22+Seg!K24+Seg!K26</f>
        <v>79.0714397009747</v>
      </c>
    </row>
    <row r="29" customFormat="false" ht="15" hidden="false" customHeight="false" outlineLevel="0" collapsed="false">
      <c r="A29" s="1" t="s">
        <v>890</v>
      </c>
      <c r="B29" s="0" t="s">
        <v>98</v>
      </c>
      <c r="D29" s="6" t="n">
        <f aca="false">Seg!D21+Seg!D28</f>
        <v>281.724</v>
      </c>
      <c r="E29" s="6" t="n">
        <f aca="false">Seg!E21+Seg!E28</f>
        <v>331.839</v>
      </c>
      <c r="F29" s="6" t="n">
        <f aca="false">Seg!F21+Seg!F28</f>
        <v>404.575517363364</v>
      </c>
      <c r="G29" s="6" t="n">
        <f aca="false">Seg!G21+Seg!G28</f>
        <v>491.616031959962</v>
      </c>
      <c r="H29" s="6" t="n">
        <f aca="false">Seg!H21+Seg!H28</f>
        <v>585.223080296262</v>
      </c>
      <c r="I29" s="6" t="n">
        <f aca="false">Seg!I21+Seg!I28</f>
        <v>665.287079253422</v>
      </c>
      <c r="J29" s="6" t="n">
        <f aca="false">Seg!J21+Seg!J28</f>
        <v>730.200831531211</v>
      </c>
      <c r="K29" s="6" t="n">
        <f aca="false">Seg!K21+Seg!K28</f>
        <v>782.719361000218</v>
      </c>
    </row>
    <row r="30" customFormat="false" ht="15" hidden="false" customHeight="false" outlineLevel="0" collapsed="false">
      <c r="A30" s="23" t="s">
        <v>891</v>
      </c>
      <c r="B30" s="30" t="s">
        <v>98</v>
      </c>
      <c r="C30" s="30"/>
      <c r="D30" s="24" t="n">
        <f aca="false">(Seg!D9+Seg!D14+Seg!D15+Seg!D17+Seg!D19-Seg!D21)+(Seg!D22+Seg!D24+Seg!D26-Seg!D28)+(Seg!D21-Q!L5)+(Seg!D28-Q!L12)+(Seg!D9-Q!L6)+(Seg!D14-Q!L7)</f>
        <v>0</v>
      </c>
      <c r="E30" s="24" t="n">
        <f aca="false">(Seg!E9+Seg!E14+Seg!E15+Seg!E17+Seg!E19-Seg!E21)+(Seg!E22+Seg!E24+Seg!E26-Seg!E28)+(Seg!E21-Q!M5)+(Seg!E28-Q!M12)+(Seg!E9-Q!M6)+(Seg!E14-Q!M7)</f>
        <v>0</v>
      </c>
      <c r="F30" s="24" t="n">
        <f aca="false">(Seg!F9+Seg!F14+Seg!F15+Seg!F17+Seg!F19-Seg!F21)+(Seg!F22+Seg!F24+Seg!F26-Seg!F28)</f>
        <v>0</v>
      </c>
      <c r="G30" s="24" t="n">
        <f aca="false">(Seg!G9+Seg!G14+Seg!G15+Seg!G17+Seg!G19-Seg!G21)+(Seg!G22+Seg!G24+Seg!G26-Seg!G28)</f>
        <v>0</v>
      </c>
      <c r="H30" s="24" t="n">
        <f aca="false">(Seg!H9+Seg!H14+Seg!H15+Seg!H17+Seg!H19-Seg!H21)+(Seg!H22+Seg!H24+Seg!H26-Seg!H28)</f>
        <v>0</v>
      </c>
      <c r="I30" s="24" t="n">
        <f aca="false">(Seg!I9+Seg!I14+Seg!I15+Seg!I17+Seg!I19-Seg!I21)+(Seg!I22+Seg!I24+Seg!I26-Seg!I28)</f>
        <v>0</v>
      </c>
      <c r="J30" s="24" t="n">
        <f aca="false">(Seg!J9+Seg!J14+Seg!J15+Seg!J17+Seg!J19-Seg!J21)+(Seg!J22+Seg!J24+Seg!J26-Seg!J28)</f>
        <v>0</v>
      </c>
      <c r="K30" s="24" t="n">
        <f aca="false">(Seg!K9+Seg!K14+Seg!K15+Seg!K17+Seg!K19-Seg!K21)+(Seg!K22+Seg!K24+Seg!K26-Seg!K28)</f>
        <v>0</v>
      </c>
    </row>
    <row r="31" customFormat="false" ht="17.15" hidden="false" customHeight="false" outlineLevel="0" collapsed="false">
      <c r="A31" s="3" t="s">
        <v>892</v>
      </c>
    </row>
    <row r="32" customFormat="false" ht="15" hidden="false" customHeight="false" outlineLevel="0" collapsed="false">
      <c r="A32" s="4" t="s">
        <v>43</v>
      </c>
      <c r="B32" s="4" t="s">
        <v>65</v>
      </c>
      <c r="C32" s="20" t="s">
        <v>799</v>
      </c>
      <c r="D32" s="20" t="s">
        <v>800</v>
      </c>
      <c r="E32" s="20" t="s">
        <v>801</v>
      </c>
      <c r="F32" s="20" t="s">
        <v>802</v>
      </c>
      <c r="G32" s="20" t="s">
        <v>803</v>
      </c>
      <c r="H32" s="20" t="s">
        <v>804</v>
      </c>
      <c r="I32" s="20" t="s">
        <v>805</v>
      </c>
      <c r="J32" s="20" t="s">
        <v>806</v>
      </c>
      <c r="K32" s="20" t="s">
        <v>807</v>
      </c>
      <c r="L32" s="4" t="s">
        <v>47</v>
      </c>
    </row>
    <row r="33" customFormat="false" ht="17.15" hidden="false" customHeight="false" outlineLevel="0" collapsed="false">
      <c r="A33" s="0" t="s">
        <v>874</v>
      </c>
      <c r="B33" s="0" t="s">
        <v>98</v>
      </c>
      <c r="D33" s="6" t="n">
        <f aca="false">Thesis!D72</f>
        <v>12.9359794422418</v>
      </c>
      <c r="E33" s="6" t="n">
        <f aca="false">Thesis!E72</f>
        <v>27.8095064661409</v>
      </c>
      <c r="F33" s="6" t="n">
        <f aca="false">Thesis!F72</f>
        <v>55.0640065749585</v>
      </c>
      <c r="G33" s="6" t="n">
        <f aca="false">Thesis!G72</f>
        <v>89.4505413190538</v>
      </c>
      <c r="H33" s="6" t="n">
        <f aca="false">Thesis!H72</f>
        <v>124.835630736874</v>
      </c>
      <c r="I33" s="6" t="n">
        <f aca="false">Thesis!I72</f>
        <v>156.158460265485</v>
      </c>
      <c r="J33" s="6" t="n">
        <f aca="false">Thesis!J72</f>
        <v>178.259285293112</v>
      </c>
      <c r="K33" s="6" t="n">
        <f aca="false">Thesis!K72</f>
        <v>192.733290209798</v>
      </c>
    </row>
    <row r="34" customFormat="false" ht="17.15" hidden="false" customHeight="false" outlineLevel="0" collapsed="false">
      <c r="A34" s="0" t="s">
        <v>875</v>
      </c>
      <c r="B34" s="0" t="s">
        <v>98</v>
      </c>
      <c r="D34" s="6" t="n">
        <f aca="false">Q!L6-Seg!D33</f>
        <v>59.6740205577583</v>
      </c>
      <c r="E34" s="6" t="n">
        <f aca="false">Q!M6-Seg!E33</f>
        <v>74.1284935338591</v>
      </c>
      <c r="F34" s="6" t="n">
        <f aca="false">Seg!E34*(1+Seg!F35)</f>
        <v>90.0799497373663</v>
      </c>
      <c r="G34" s="6" t="n">
        <f aca="false">Seg!F34*(1+Seg!G35)</f>
        <v>107.02842520331</v>
      </c>
      <c r="H34" s="6" t="n">
        <f aca="false">Seg!G34*(1+Seg!H35)</f>
        <v>124.271982585636</v>
      </c>
      <c r="I34" s="6" t="n">
        <f aca="false">Seg!H34*(1+Seg!I35)</f>
        <v>140.933702381855</v>
      </c>
      <c r="J34" s="6" t="n">
        <f aca="false">Seg!I34*(1+Seg!J35)</f>
        <v>156.018867314332</v>
      </c>
      <c r="K34" s="6" t="n">
        <f aca="false">Seg!J34*(1+Seg!K35)</f>
        <v>168.500376699478</v>
      </c>
    </row>
    <row r="35" customFormat="false" ht="15" hidden="false" customHeight="false" outlineLevel="0" collapsed="false">
      <c r="A35" s="1" t="s">
        <v>876</v>
      </c>
      <c r="B35" s="0" t="s">
        <v>129</v>
      </c>
      <c r="E35" s="7" t="n">
        <f aca="false">Seg!E34/Seg!D34-1</f>
        <v>0.242223883039864</v>
      </c>
      <c r="F35" s="7" t="n">
        <f aca="false">Seg!$E$35+(glt_azo-Seg!$E$35)*MIN(1,(Thesis!F55-base_fy)/n_conv)</f>
        <v>0.215186569199887</v>
      </c>
      <c r="G35" s="7" t="n">
        <f aca="false">Seg!$E$35+(glt_azo-Seg!$E$35)*MIN(1,(Thesis!G55-base_fy)/n_conv)</f>
        <v>0.18814925535991</v>
      </c>
      <c r="H35" s="7" t="n">
        <f aca="false">Seg!$E$35+(glt_azo-Seg!$E$35)*MIN(1,(Thesis!H55-base_fy)/n_conv)</f>
        <v>0.161111941519932</v>
      </c>
      <c r="I35" s="7" t="n">
        <f aca="false">Seg!$E$35+(glt_azo-Seg!$E$35)*MIN(1,(Thesis!I55-base_fy)/n_conv)</f>
        <v>0.134074627679955</v>
      </c>
      <c r="J35" s="7" t="n">
        <f aca="false">Seg!$E$35+(glt_azo-Seg!$E$35)*MIN(1,(Thesis!J55-base_fy)/n_conv)</f>
        <v>0.107037313839977</v>
      </c>
      <c r="K35" s="7" t="n">
        <f aca="false">Seg!$E$35+(glt_azo-Seg!$E$35)*MIN(1,(Thesis!K55-base_fy)/n_conv)</f>
        <v>0.08</v>
      </c>
    </row>
    <row r="36" customFormat="false" ht="15" hidden="false" customHeight="false" outlineLevel="0" collapsed="false">
      <c r="A36" s="0" t="s">
        <v>877</v>
      </c>
      <c r="B36" s="0" t="s">
        <v>98</v>
      </c>
      <c r="D36" s="6" t="n">
        <f aca="false">Seg!D33+Seg!D34</f>
        <v>72.61</v>
      </c>
      <c r="E36" s="6" t="n">
        <f aca="false">Seg!E33+Seg!E34</f>
        <v>101.938</v>
      </c>
      <c r="F36" s="6" t="n">
        <f aca="false">Seg!F33+Seg!F34</f>
        <v>145.143956312325</v>
      </c>
      <c r="G36" s="6" t="n">
        <f aca="false">Seg!G33+Seg!G34</f>
        <v>196.478966522364</v>
      </c>
      <c r="H36" s="6" t="n">
        <f aca="false">Seg!H33+Seg!H34</f>
        <v>249.10761332251</v>
      </c>
      <c r="I36" s="6" t="n">
        <f aca="false">Seg!I33+Seg!I34</f>
        <v>297.09216264734</v>
      </c>
      <c r="J36" s="6" t="n">
        <f aca="false">Seg!J33+Seg!J34</f>
        <v>334.278152607443</v>
      </c>
      <c r="K36" s="6" t="n">
        <f aca="false">Seg!K33+Seg!K34</f>
        <v>361.233666909276</v>
      </c>
    </row>
    <row r="37" customFormat="false" ht="17.15" hidden="false" customHeight="false" outlineLevel="0" collapsed="false">
      <c r="A37" s="0" t="s">
        <v>878</v>
      </c>
      <c r="B37" s="1" t="s">
        <v>528</v>
      </c>
      <c r="C37" s="29" t="n">
        <f aca="false">cop_s24</f>
        <v>1</v>
      </c>
      <c r="D37" s="29" t="n">
        <f aca="false">cop_s25</f>
        <v>5</v>
      </c>
      <c r="E37" s="29" t="n">
        <f aca="false">cop_s26</f>
        <v>30</v>
      </c>
      <c r="F37" s="29" t="n">
        <f aca="false">Seg!E37+cop_add_B</f>
        <v>50</v>
      </c>
      <c r="G37" s="29" t="n">
        <f aca="false">Seg!F37+cop_add_B</f>
        <v>70</v>
      </c>
      <c r="H37" s="29" t="n">
        <f aca="false">Seg!G37+cop_add_B</f>
        <v>90</v>
      </c>
      <c r="I37" s="29" t="n">
        <f aca="false">Seg!H37+cop_add_B*cop_tail</f>
        <v>100</v>
      </c>
      <c r="J37" s="29" t="n">
        <f aca="false">Seg!I37+cop_add_B*cop_tail</f>
        <v>110</v>
      </c>
      <c r="K37" s="29" t="n">
        <f aca="false">Seg!J37+cop_add_B*cop_tail</f>
        <v>120</v>
      </c>
      <c r="L37" s="11" t="s">
        <v>879</v>
      </c>
    </row>
    <row r="38" customFormat="false" ht="17.15" hidden="false" customHeight="false" outlineLevel="0" collapsed="false">
      <c r="A38" s="0" t="s">
        <v>880</v>
      </c>
      <c r="B38" s="0" t="s">
        <v>98</v>
      </c>
      <c r="D38" s="6" t="n">
        <f aca="false">(Seg!C37+Seg!D37)/2*cop_px*12/1000</f>
        <v>0.9</v>
      </c>
      <c r="E38" s="6" t="n">
        <f aca="false">(Seg!D37+Seg!E37)/2*cop_px*12/1000</f>
        <v>5.25</v>
      </c>
      <c r="F38" s="6" t="n">
        <f aca="false">(Seg!E37+Seg!F37)/2*cop_px*12/1000</f>
        <v>12</v>
      </c>
      <c r="G38" s="6" t="n">
        <f aca="false">(Seg!F37+Seg!G37)/2*cop_px*12/1000</f>
        <v>18</v>
      </c>
      <c r="H38" s="6" t="n">
        <f aca="false">(Seg!G37+Seg!H37)/2*cop_px*12/1000</f>
        <v>24</v>
      </c>
      <c r="I38" s="6" t="n">
        <f aca="false">(Seg!H37+Seg!I37)/2*cop_px*12/1000</f>
        <v>28.5</v>
      </c>
      <c r="J38" s="6" t="n">
        <f aca="false">(Seg!I37+Seg!J37)/2*cop_px*12/1000</f>
        <v>31.5</v>
      </c>
      <c r="K38" s="6" t="n">
        <f aca="false">(Seg!J37+Seg!K37)/2*cop_px*12/1000</f>
        <v>34.5</v>
      </c>
      <c r="L38" s="1" t="s">
        <v>881</v>
      </c>
    </row>
    <row r="39" customFormat="false" ht="17.15" hidden="false" customHeight="false" outlineLevel="0" collapsed="false">
      <c r="A39" s="0" t="s">
        <v>882</v>
      </c>
      <c r="B39" s="0" t="s">
        <v>98</v>
      </c>
      <c r="D39" s="6" t="n">
        <f aca="false">Q!L7-Seg!D38</f>
        <v>83.705</v>
      </c>
      <c r="E39" s="6" t="n">
        <f aca="false">Q!M7-Seg!E38</f>
        <v>95.049</v>
      </c>
      <c r="F39" s="6" t="n">
        <f aca="false">Seg!E39*(1+Seg!F40)</f>
        <v>106.89238776686</v>
      </c>
      <c r="G39" s="6" t="n">
        <f aca="false">Seg!F39*(1+Seg!G40)</f>
        <v>119.044168448684</v>
      </c>
      <c r="H39" s="6" t="n">
        <f aca="false">Seg!G39*(1+Seg!H40)</f>
        <v>131.277359388781</v>
      </c>
      <c r="I39" s="6" t="n">
        <f aca="false">Seg!H39*(1+Seg!I40)</f>
        <v>143.334028071957</v>
      </c>
      <c r="J39" s="6" t="n">
        <f aca="false">Seg!I39*(1+Seg!J40)</f>
        <v>154.932702785465</v>
      </c>
      <c r="K39" s="6" t="n">
        <f aca="false">Seg!J39*(1+Seg!K40)</f>
        <v>165.777991980448</v>
      </c>
    </row>
    <row r="40" customFormat="false" ht="15" hidden="false" customHeight="false" outlineLevel="0" collapsed="false">
      <c r="A40" s="1" t="s">
        <v>876</v>
      </c>
      <c r="B40" s="0" t="s">
        <v>129</v>
      </c>
      <c r="E40" s="7" t="n">
        <f aca="false">Seg!E39/Seg!D39-1</f>
        <v>0.135523564900544</v>
      </c>
      <c r="F40" s="7" t="n">
        <f aca="false">Seg!$E$40+(glt_m365b-Seg!$E$40)*MIN(1,(Thesis!F55-base_fy)/n_conv)</f>
        <v>0.124602970750453</v>
      </c>
      <c r="G40" s="7" t="n">
        <f aca="false">Seg!$E$40+(glt_m365b-Seg!$E$40)*MIN(1,(Thesis!G55-base_fy)/n_conv)</f>
        <v>0.113682376600363</v>
      </c>
      <c r="H40" s="7" t="n">
        <f aca="false">Seg!$E$40+(glt_m365b-Seg!$E$40)*MIN(1,(Thesis!H55-base_fy)/n_conv)</f>
        <v>0.102761782450272</v>
      </c>
      <c r="I40" s="7" t="n">
        <f aca="false">Seg!$E$40+(glt_m365b-Seg!$E$40)*MIN(1,(Thesis!I55-base_fy)/n_conv)</f>
        <v>0.0918411883001813</v>
      </c>
      <c r="J40" s="7" t="n">
        <f aca="false">Seg!$E$40+(glt_m365b-Seg!$E$40)*MIN(1,(Thesis!J55-base_fy)/n_conv)</f>
        <v>0.0809205941500906</v>
      </c>
      <c r="K40" s="7" t="n">
        <f aca="false">Seg!$E$40+(glt_m365b-Seg!$E$40)*MIN(1,(Thesis!K55-base_fy)/n_conv)</f>
        <v>0.07</v>
      </c>
    </row>
    <row r="41" customFormat="false" ht="15" hidden="false" customHeight="false" outlineLevel="0" collapsed="false">
      <c r="A41" s="0" t="s">
        <v>883</v>
      </c>
      <c r="B41" s="0" t="s">
        <v>98</v>
      </c>
      <c r="D41" s="6" t="n">
        <f aca="false">Seg!D39+Seg!D38</f>
        <v>84.605</v>
      </c>
      <c r="E41" s="6" t="n">
        <f aca="false">Seg!E39+Seg!E38</f>
        <v>100.299</v>
      </c>
      <c r="F41" s="6" t="n">
        <f aca="false">Seg!F39+Seg!F38</f>
        <v>118.89238776686</v>
      </c>
      <c r="G41" s="6" t="n">
        <f aca="false">Seg!G39+Seg!G38</f>
        <v>137.044168448684</v>
      </c>
      <c r="H41" s="6" t="n">
        <f aca="false">Seg!H39+Seg!H38</f>
        <v>155.277359388781</v>
      </c>
      <c r="I41" s="6" t="n">
        <f aca="false">Seg!I39+Seg!I38</f>
        <v>171.834028071957</v>
      </c>
      <c r="J41" s="6" t="n">
        <f aca="false">Seg!J39+Seg!J38</f>
        <v>186.432702785465</v>
      </c>
      <c r="K41" s="6" t="n">
        <f aca="false">Seg!K39+Seg!K38</f>
        <v>200.277991980448</v>
      </c>
    </row>
    <row r="42" customFormat="false" ht="15" hidden="false" customHeight="false" outlineLevel="0" collapsed="false">
      <c r="A42" s="0" t="s">
        <v>884</v>
      </c>
      <c r="B42" s="0" t="s">
        <v>98</v>
      </c>
      <c r="D42" s="6" t="n">
        <f aca="false">Q!L8</f>
        <v>35.391</v>
      </c>
      <c r="E42" s="6" t="n">
        <f aca="false">Q!M8</f>
        <v>37.285</v>
      </c>
      <c r="F42" s="6" t="n">
        <f aca="false">Seg!E42*(1+Seg!F43)</f>
        <v>39.0720834331704</v>
      </c>
      <c r="G42" s="6" t="n">
        <f aca="false">Seg!F42*(1+Seg!G43)</f>
        <v>40.726562953769</v>
      </c>
      <c r="H42" s="6" t="n">
        <f aca="false">Seg!G42*(1+Seg!H43)</f>
        <v>42.2235987259198</v>
      </c>
      <c r="I42" s="6" t="n">
        <f aca="false">Seg!H42*(1+Seg!I43)</f>
        <v>43.5397988077414</v>
      </c>
      <c r="J42" s="6" t="n">
        <f aca="false">Seg!I42*(1+Seg!J43)</f>
        <v>44.653811225693</v>
      </c>
      <c r="K42" s="6" t="n">
        <f aca="false">Seg!J42*(1+Seg!K43)</f>
        <v>45.5468874502068</v>
      </c>
    </row>
    <row r="43" customFormat="false" ht="15" hidden="false" customHeight="false" outlineLevel="0" collapsed="false">
      <c r="A43" s="1" t="s">
        <v>876</v>
      </c>
      <c r="B43" s="0" t="s">
        <v>129</v>
      </c>
      <c r="E43" s="7" t="n">
        <f aca="false">Seg!E42/Seg!D42-1</f>
        <v>0.0535164307309768</v>
      </c>
      <c r="F43" s="7" t="n">
        <f aca="false">Seg!$E$43+(glt_lic-Seg!$E$43)*MIN(1,(Thesis!F55-base_fy)/n_conv)</f>
        <v>0.0479303589424807</v>
      </c>
      <c r="G43" s="7" t="n">
        <f aca="false">Seg!$E$43+(glt_lic-Seg!$E$43)*MIN(1,(Thesis!G55-base_fy)/n_conv)</f>
        <v>0.0423442871539845</v>
      </c>
      <c r="H43" s="7" t="n">
        <f aca="false">Seg!$E$43+(glt_lic-Seg!$E$43)*MIN(1,(Thesis!H55-base_fy)/n_conv)</f>
        <v>0.0367582153654884</v>
      </c>
      <c r="I43" s="7" t="n">
        <f aca="false">Seg!$E$43+(glt_lic-Seg!$E$43)*MIN(1,(Thesis!I55-base_fy)/n_conv)</f>
        <v>0.0311721435769923</v>
      </c>
      <c r="J43" s="7" t="n">
        <f aca="false">Seg!$E$43+(glt_lic-Seg!$E$43)*MIN(1,(Thesis!J55-base_fy)/n_conv)</f>
        <v>0.0255860717884961</v>
      </c>
      <c r="K43" s="7" t="n">
        <f aca="false">Seg!$E$43+(glt_lic-Seg!$E$43)*MIN(1,(Thesis!K55-base_fy)/n_conv)</f>
        <v>0.02</v>
      </c>
    </row>
    <row r="44" customFormat="false" ht="15" hidden="false" customHeight="false" outlineLevel="0" collapsed="false">
      <c r="A44" s="0" t="s">
        <v>885</v>
      </c>
      <c r="B44" s="0" t="s">
        <v>98</v>
      </c>
      <c r="D44" s="6" t="n">
        <f aca="false">Q!L9</f>
        <v>18.417</v>
      </c>
      <c r="E44" s="6" t="n">
        <f aca="false">Q!M9</f>
        <v>20.345</v>
      </c>
      <c r="F44" s="6" t="n">
        <f aca="false">Seg!E44*(1+Seg!F45)</f>
        <v>22.3572203267814</v>
      </c>
      <c r="G44" s="6" t="n">
        <f aca="false">Seg!F44*(1+Seg!G45)</f>
        <v>24.4392124437232</v>
      </c>
      <c r="H44" s="6" t="n">
        <f aca="false">Seg!G44*(1+Seg!H45)</f>
        <v>26.5738052080665</v>
      </c>
      <c r="I44" s="6" t="n">
        <f aca="false">Seg!H44*(1+Seg!I45)</f>
        <v>28.7412169166967</v>
      </c>
      <c r="J44" s="6" t="n">
        <f aca="false">Seg!I44*(1+Seg!J45)</f>
        <v>30.9192545395413</v>
      </c>
      <c r="K44" s="6" t="n">
        <f aca="false">Seg!J44*(1+Seg!K45)</f>
        <v>33.0836023573092</v>
      </c>
    </row>
    <row r="45" customFormat="false" ht="15" hidden="false" customHeight="false" outlineLevel="0" collapsed="false">
      <c r="A45" s="1" t="s">
        <v>876</v>
      </c>
      <c r="B45" s="0" t="s">
        <v>129</v>
      </c>
      <c r="E45" s="7" t="n">
        <f aca="false">Seg!E44/Seg!D44-1</f>
        <v>0.104685888038225</v>
      </c>
      <c r="F45" s="7" t="n">
        <f aca="false">Seg!$E$45+(glt_ind-Seg!$E$45)*MIN(1,(Thesis!F55-base_fy)/n_conv)</f>
        <v>0.0989049066985211</v>
      </c>
      <c r="G45" s="7" t="n">
        <f aca="false">Seg!$E$45+(glt_ind-Seg!$E$45)*MIN(1,(Thesis!G55-base_fy)/n_conv)</f>
        <v>0.0931239253588169</v>
      </c>
      <c r="H45" s="7" t="n">
        <f aca="false">Seg!$E$45+(glt_ind-Seg!$E$45)*MIN(1,(Thesis!H55-base_fy)/n_conv)</f>
        <v>0.0873429440191127</v>
      </c>
      <c r="I45" s="7" t="n">
        <f aca="false">Seg!$E$45+(glt_ind-Seg!$E$45)*MIN(1,(Thesis!I55-base_fy)/n_conv)</f>
        <v>0.0815619626794085</v>
      </c>
      <c r="J45" s="7" t="n">
        <f aca="false">Seg!$E$45+(glt_ind-Seg!$E$45)*MIN(1,(Thesis!J55-base_fy)/n_conv)</f>
        <v>0.0757809813397042</v>
      </c>
      <c r="K45" s="7" t="n">
        <f aca="false">Seg!$E$45+(glt_ind-Seg!$E$45)*MIN(1,(Thesis!K55-base_fy)/n_conv)</f>
        <v>0.07</v>
      </c>
    </row>
    <row r="46" customFormat="false" ht="15" hidden="false" customHeight="false" outlineLevel="0" collapsed="false">
      <c r="A46" s="0" t="s">
        <v>886</v>
      </c>
      <c r="B46" s="0" t="s">
        <v>98</v>
      </c>
      <c r="D46" s="6" t="n">
        <f aca="false">Q!L10</f>
        <v>7.76</v>
      </c>
      <c r="E46" s="6" t="n">
        <f aca="false">Q!M10</f>
        <v>8.26</v>
      </c>
      <c r="F46" s="6" t="n">
        <f aca="false">Seg!E46*(1+Seg!F47)</f>
        <v>8.79988041237113</v>
      </c>
      <c r="G46" s="6" t="n">
        <f aca="false">Seg!F46*(1+Seg!G47)</f>
        <v>9.38321269125306</v>
      </c>
      <c r="H46" s="6" t="n">
        <f aca="false">Seg!G46*(1+Seg!H47)</f>
        <v>10.0139193587476</v>
      </c>
      <c r="I46" s="6" t="n">
        <f aca="false">Seg!H46*(1+Seg!I47)</f>
        <v>10.6963111830911</v>
      </c>
      <c r="J46" s="6" t="n">
        <f aca="false">Seg!I46*(1+Seg!J47)</f>
        <v>11.4351285534696</v>
      </c>
      <c r="K46" s="6" t="n">
        <f aca="false">Seg!J46*(1+Seg!K47)</f>
        <v>12.2355875522124</v>
      </c>
    </row>
    <row r="47" customFormat="false" ht="15" hidden="false" customHeight="false" outlineLevel="0" collapsed="false">
      <c r="A47" s="1" t="s">
        <v>876</v>
      </c>
      <c r="B47" s="0" t="s">
        <v>129</v>
      </c>
      <c r="E47" s="7" t="n">
        <f aca="false">Seg!E46/Seg!D46-1</f>
        <v>0.0644329896907216</v>
      </c>
      <c r="F47" s="7" t="n">
        <f aca="false">Seg!$E$47+(glt_fro-Seg!$E$47)*MIN(1,(Thesis!F55-base_fy)/n_conv)</f>
        <v>0.065360824742268</v>
      </c>
      <c r="G47" s="7" t="n">
        <f aca="false">Seg!$E$47+(glt_fro-Seg!$E$47)*MIN(1,(Thesis!G55-base_fy)/n_conv)</f>
        <v>0.0662886597938144</v>
      </c>
      <c r="H47" s="7" t="n">
        <f aca="false">Seg!$E$47+(glt_fro-Seg!$E$47)*MIN(1,(Thesis!H55-base_fy)/n_conv)</f>
        <v>0.0672164948453608</v>
      </c>
      <c r="I47" s="7" t="n">
        <f aca="false">Seg!$E$47+(glt_fro-Seg!$E$47)*MIN(1,(Thesis!I55-base_fy)/n_conv)</f>
        <v>0.0681443298969072</v>
      </c>
      <c r="J47" s="7" t="n">
        <f aca="false">Seg!$E$47+(glt_fro-Seg!$E$47)*MIN(1,(Thesis!J55-base_fy)/n_conv)</f>
        <v>0.0690721649484536</v>
      </c>
      <c r="K47" s="7" t="n">
        <f aca="false">Seg!$E$47+(glt_fro-Seg!$E$47)*MIN(1,(Thesis!K55-base_fy)/n_conv)</f>
        <v>0.07</v>
      </c>
    </row>
    <row r="48" customFormat="false" ht="15" hidden="false" customHeight="false" outlineLevel="0" collapsed="false">
      <c r="A48" s="0" t="s">
        <v>715</v>
      </c>
      <c r="B48" s="0" t="s">
        <v>98</v>
      </c>
      <c r="D48" s="6" t="n">
        <f aca="false">Seg!D36+Seg!D41+Seg!D42+Seg!D44+Seg!D46</f>
        <v>218.783</v>
      </c>
      <c r="E48" s="6" t="n">
        <f aca="false">Seg!E36+Seg!E41+Seg!E42+Seg!E44+Seg!E46</f>
        <v>268.127</v>
      </c>
      <c r="F48" s="6" t="n">
        <f aca="false">Seg!F36+Seg!F41+Seg!F42+Seg!F44+Seg!F46</f>
        <v>334.265528251508</v>
      </c>
      <c r="G48" s="6" t="n">
        <f aca="false">Seg!G36+Seg!G41+Seg!G42+Seg!G44+Seg!G46</f>
        <v>408.072123059793</v>
      </c>
      <c r="H48" s="6" t="n">
        <f aca="false">Seg!H36+Seg!H41+Seg!H42+Seg!H44+Seg!H46</f>
        <v>483.196296004025</v>
      </c>
      <c r="I48" s="6" t="n">
        <f aca="false">Seg!I36+Seg!I41+Seg!I42+Seg!I44+Seg!I46</f>
        <v>551.903517626826</v>
      </c>
      <c r="J48" s="6" t="n">
        <f aca="false">Seg!J36+Seg!J41+Seg!J42+Seg!J44+Seg!J46</f>
        <v>607.719049711612</v>
      </c>
      <c r="K48" s="6" t="n">
        <f aca="false">Seg!K36+Seg!K41+Seg!K42+Seg!K44+Seg!K46</f>
        <v>652.377736249452</v>
      </c>
    </row>
    <row r="49" customFormat="false" ht="15" hidden="false" customHeight="false" outlineLevel="0" collapsed="false">
      <c r="A49" s="0" t="s">
        <v>887</v>
      </c>
      <c r="B49" s="0" t="s">
        <v>98</v>
      </c>
      <c r="D49" s="6" t="n">
        <f aca="false">Q!L13</f>
        <v>22.171</v>
      </c>
      <c r="E49" s="6" t="n">
        <f aca="false">Q!M13</f>
        <v>24.835</v>
      </c>
      <c r="F49" s="6" t="n">
        <f aca="false">Seg!E49*(1+Seg!F50)</f>
        <v>27.6114901218559</v>
      </c>
      <c r="G49" s="6" t="n">
        <f aca="false">Seg!F49*(1+Seg!G50)</f>
        <v>30.4675667338515</v>
      </c>
      <c r="H49" s="6" t="n">
        <f aca="false">Seg!G49*(1+Seg!H50)</f>
        <v>33.3643766955789</v>
      </c>
      <c r="I49" s="6" t="n">
        <f aca="false">Seg!H49*(1+Seg!I50)</f>
        <v>36.2577016533691</v>
      </c>
      <c r="J49" s="6" t="n">
        <f aca="false">Seg!I49*(1+Seg!J50)</f>
        <v>39.0988367952171</v>
      </c>
      <c r="K49" s="6" t="n">
        <f aca="false">Seg!J49*(1+Seg!K50)</f>
        <v>41.8357553708823</v>
      </c>
    </row>
    <row r="50" customFormat="false" ht="15" hidden="false" customHeight="false" outlineLevel="0" collapsed="false">
      <c r="A50" s="1" t="s">
        <v>876</v>
      </c>
      <c r="B50" s="0" t="s">
        <v>129</v>
      </c>
      <c r="E50" s="7" t="n">
        <f aca="false">Seg!E49/Seg!D49-1</f>
        <v>0.120156961796942</v>
      </c>
      <c r="F50" s="7" t="n">
        <f aca="false">Seg!$E$50+(glt_srch-Seg!$E$50)*MIN(1,(Thesis!F55-base_fy)/n_conv)</f>
        <v>0.111797468164118</v>
      </c>
      <c r="G50" s="7" t="n">
        <f aca="false">Seg!$E$50+(glt_srch-Seg!$E$50)*MIN(1,(Thesis!G55-base_fy)/n_conv)</f>
        <v>0.103437974531295</v>
      </c>
      <c r="H50" s="7" t="n">
        <f aca="false">Seg!$E$50+(glt_srch-Seg!$E$50)*MIN(1,(Thesis!H55-base_fy)/n_conv)</f>
        <v>0.095078480898471</v>
      </c>
      <c r="I50" s="7" t="n">
        <f aca="false">Seg!$E$50+(glt_srch-Seg!$E$50)*MIN(1,(Thesis!I55-base_fy)/n_conv)</f>
        <v>0.0867189872656474</v>
      </c>
      <c r="J50" s="7" t="n">
        <f aca="false">Seg!$E$50+(glt_srch-Seg!$E$50)*MIN(1,(Thesis!J55-base_fy)/n_conv)</f>
        <v>0.0783594936328237</v>
      </c>
      <c r="K50" s="7" t="n">
        <f aca="false">Seg!$E$50+(glt_srch-Seg!$E$50)*MIN(1,(Thesis!K55-base_fy)/n_conv)</f>
        <v>0.07</v>
      </c>
    </row>
    <row r="51" customFormat="false" ht="15" hidden="false" customHeight="false" outlineLevel="0" collapsed="false">
      <c r="A51" s="0" t="s">
        <v>888</v>
      </c>
      <c r="B51" s="0" t="s">
        <v>98</v>
      </c>
      <c r="D51" s="6" t="n">
        <f aca="false">Q!L14</f>
        <v>23.455</v>
      </c>
      <c r="E51" s="6" t="n">
        <f aca="false">Q!M14</f>
        <v>21.79</v>
      </c>
      <c r="F51" s="6" t="n">
        <f aca="false">Seg!E51*(1+Seg!F52)</f>
        <v>20.5736277908051</v>
      </c>
      <c r="G51" s="6" t="n">
        <f aca="false">Seg!F51*(1+Seg!G52)</f>
        <v>19.7371452817919</v>
      </c>
      <c r="H51" s="6" t="n">
        <f aca="false">Seg!G51*(1+Seg!H52)</f>
        <v>19.2339764043138</v>
      </c>
      <c r="I51" s="6" t="n">
        <f aca="false">Seg!H51*(1+Seg!I52)</f>
        <v>19.0353086852681</v>
      </c>
      <c r="J51" s="6" t="n">
        <f aca="false">Seg!I51*(1+Seg!J52)</f>
        <v>19.1273539319129</v>
      </c>
      <c r="K51" s="6" t="n">
        <f aca="false">Seg!J51*(1+Seg!K52)</f>
        <v>19.5099010105511</v>
      </c>
    </row>
    <row r="52" customFormat="false" ht="15" hidden="false" customHeight="false" outlineLevel="0" collapsed="false">
      <c r="A52" s="1" t="s">
        <v>876</v>
      </c>
      <c r="B52" s="0" t="s">
        <v>129</v>
      </c>
      <c r="E52" s="7" t="n">
        <f aca="false">Seg!E51/Seg!D51-1</f>
        <v>-0.0709869963760392</v>
      </c>
      <c r="F52" s="7" t="n">
        <f aca="false">Seg!$E$52+(glt_xbox-Seg!$E$52)*MIN(1,(Thesis!F55-base_fy)/n_conv)</f>
        <v>-0.0558224969800327</v>
      </c>
      <c r="G52" s="7" t="n">
        <f aca="false">Seg!$E$52+(glt_xbox-Seg!$E$52)*MIN(1,(Thesis!G55-base_fy)/n_conv)</f>
        <v>-0.0406579975840262</v>
      </c>
      <c r="H52" s="7" t="n">
        <f aca="false">Seg!$E$52+(glt_xbox-Seg!$E$52)*MIN(1,(Thesis!H55-base_fy)/n_conv)</f>
        <v>-0.0254934981880196</v>
      </c>
      <c r="I52" s="7" t="n">
        <f aca="false">Seg!$E$52+(glt_xbox-Seg!$E$52)*MIN(1,(Thesis!I55-base_fy)/n_conv)</f>
        <v>-0.0103289987920131</v>
      </c>
      <c r="J52" s="7" t="n">
        <f aca="false">Seg!$E$52+(glt_xbox-Seg!$E$52)*MIN(1,(Thesis!J55-base_fy)/n_conv)</f>
        <v>0.00483550060399347</v>
      </c>
      <c r="K52" s="7" t="n">
        <f aca="false">Seg!$E$52+(glt_xbox-Seg!$E$52)*MIN(1,(Thesis!K55-base_fy)/n_conv)</f>
        <v>0.02</v>
      </c>
    </row>
    <row r="53" customFormat="false" ht="15" hidden="false" customHeight="false" outlineLevel="0" collapsed="false">
      <c r="A53" s="0" t="s">
        <v>889</v>
      </c>
      <c r="B53" s="0" t="s">
        <v>98</v>
      </c>
      <c r="D53" s="6" t="n">
        <f aca="false">Q!L15</f>
        <v>17.315</v>
      </c>
      <c r="E53" s="6" t="n">
        <f aca="false">Q!M15</f>
        <v>17.087</v>
      </c>
      <c r="F53" s="6" t="n">
        <f aca="false">Seg!E53*(1+Seg!F54)</f>
        <v>16.9564585436519</v>
      </c>
      <c r="G53" s="6" t="n">
        <f aca="false">Seg!F53*(1+Seg!G54)</f>
        <v>16.9206490624268</v>
      </c>
      <c r="H53" s="6" t="n">
        <f aca="false">Seg!G53*(1+Seg!H54)</f>
        <v>16.9784519149849</v>
      </c>
      <c r="I53" s="6" t="n">
        <f aca="false">Seg!H53*(1+Seg!I54)</f>
        <v>17.1303084701817</v>
      </c>
      <c r="J53" s="6" t="n">
        <f aca="false">Seg!I53*(1+Seg!J54)</f>
        <v>17.3782189407267</v>
      </c>
      <c r="K53" s="6" t="n">
        <f aca="false">Seg!J53*(1+Seg!K54)</f>
        <v>17.7257833195413</v>
      </c>
    </row>
    <row r="54" customFormat="false" ht="15" hidden="false" customHeight="false" outlineLevel="0" collapsed="false">
      <c r="A54" s="1" t="s">
        <v>876</v>
      </c>
      <c r="B54" s="0" t="s">
        <v>129</v>
      </c>
      <c r="E54" s="7" t="n">
        <f aca="false">Seg!E53/Seg!D53-1</f>
        <v>-0.0131677736066995</v>
      </c>
      <c r="F54" s="7" t="n">
        <f aca="false">Seg!$E$54+(glt_win-Seg!$E$54)*MIN(1,(Thesis!F55-base_fy)/n_conv)</f>
        <v>-0.00763981133891627</v>
      </c>
      <c r="G54" s="7" t="n">
        <f aca="false">Seg!$E$54+(glt_win-Seg!$E$54)*MIN(1,(Thesis!G55-base_fy)/n_conv)</f>
        <v>-0.00211184907113301</v>
      </c>
      <c r="H54" s="7" t="n">
        <f aca="false">Seg!$E$54+(glt_win-Seg!$E$54)*MIN(1,(Thesis!H55-base_fy)/n_conv)</f>
        <v>0.00341611319665024</v>
      </c>
      <c r="I54" s="7" t="n">
        <f aca="false">Seg!$E$54+(glt_win-Seg!$E$54)*MIN(1,(Thesis!I55-base_fy)/n_conv)</f>
        <v>0.00894407546443349</v>
      </c>
      <c r="J54" s="7" t="n">
        <f aca="false">Seg!$E$54+(glt_win-Seg!$E$54)*MIN(1,(Thesis!J55-base_fy)/n_conv)</f>
        <v>0.0144720377322168</v>
      </c>
      <c r="K54" s="7" t="n">
        <f aca="false">Seg!$E$54+(glt_win-Seg!$E$54)*MIN(1,(Thesis!K55-base_fy)/n_conv)</f>
        <v>0.02</v>
      </c>
    </row>
    <row r="55" customFormat="false" ht="15" hidden="false" customHeight="false" outlineLevel="0" collapsed="false">
      <c r="A55" s="0" t="s">
        <v>729</v>
      </c>
      <c r="B55" s="0" t="s">
        <v>98</v>
      </c>
      <c r="D55" s="6" t="n">
        <f aca="false">Seg!D49+Seg!D51+Seg!D53</f>
        <v>62.941</v>
      </c>
      <c r="E55" s="6" t="n">
        <f aca="false">Seg!E49+Seg!E51+Seg!E53</f>
        <v>63.712</v>
      </c>
      <c r="F55" s="6" t="n">
        <f aca="false">Seg!F49+Seg!F51+Seg!F53</f>
        <v>65.1415764563129</v>
      </c>
      <c r="G55" s="6" t="n">
        <f aca="false">Seg!G49+Seg!G51+Seg!G53</f>
        <v>67.1253610780702</v>
      </c>
      <c r="H55" s="6" t="n">
        <f aca="false">Seg!H49+Seg!H51+Seg!H53</f>
        <v>69.5768050148776</v>
      </c>
      <c r="I55" s="6" t="n">
        <f aca="false">Seg!I49+Seg!I51+Seg!I53</f>
        <v>72.4233188088189</v>
      </c>
      <c r="J55" s="6" t="n">
        <f aca="false">Seg!J49+Seg!J51+Seg!J53</f>
        <v>75.6044096678567</v>
      </c>
      <c r="K55" s="6" t="n">
        <f aca="false">Seg!K49+Seg!K51+Seg!K53</f>
        <v>79.0714397009747</v>
      </c>
    </row>
    <row r="56" customFormat="false" ht="15" hidden="false" customHeight="false" outlineLevel="0" collapsed="false">
      <c r="A56" s="1" t="s">
        <v>890</v>
      </c>
      <c r="B56" s="0" t="s">
        <v>98</v>
      </c>
      <c r="D56" s="6" t="n">
        <f aca="false">Seg!D48+Seg!D55</f>
        <v>281.724</v>
      </c>
      <c r="E56" s="6" t="n">
        <f aca="false">Seg!E48+Seg!E55</f>
        <v>331.839</v>
      </c>
      <c r="F56" s="6" t="n">
        <f aca="false">Seg!F48+Seg!F55</f>
        <v>399.407104707821</v>
      </c>
      <c r="G56" s="6" t="n">
        <f aca="false">Seg!G48+Seg!G55</f>
        <v>475.197484137863</v>
      </c>
      <c r="H56" s="6" t="n">
        <f aca="false">Seg!H48+Seg!H55</f>
        <v>552.773101018903</v>
      </c>
      <c r="I56" s="6" t="n">
        <f aca="false">Seg!I48+Seg!I55</f>
        <v>624.326836435645</v>
      </c>
      <c r="J56" s="6" t="n">
        <f aca="false">Seg!J48+Seg!J55</f>
        <v>683.323459379469</v>
      </c>
      <c r="K56" s="6" t="n">
        <f aca="false">Seg!K48+Seg!K55</f>
        <v>731.449175950427</v>
      </c>
    </row>
    <row r="57" customFormat="false" ht="15" hidden="false" customHeight="false" outlineLevel="0" collapsed="false">
      <c r="A57" s="23" t="s">
        <v>891</v>
      </c>
      <c r="B57" s="30" t="s">
        <v>98</v>
      </c>
      <c r="C57" s="30"/>
      <c r="D57" s="24" t="n">
        <f aca="false">(Seg!D36+Seg!D41+Seg!D42+Seg!D44+Seg!D46-Seg!D48)+(Seg!D49+Seg!D51+Seg!D53-Seg!D55)+(Seg!D48-Q!L5)+(Seg!D55-Q!L12)+(Seg!D36-Q!L6)+(Seg!D41-Q!L7)</f>
        <v>0</v>
      </c>
      <c r="E57" s="24" t="n">
        <f aca="false">(Seg!E36+Seg!E41+Seg!E42+Seg!E44+Seg!E46-Seg!E48)+(Seg!E49+Seg!E51+Seg!E53-Seg!E55)+(Seg!E48-Q!M5)+(Seg!E55-Q!M12)+(Seg!E36-Q!M6)+(Seg!E41-Q!M7)</f>
        <v>0</v>
      </c>
      <c r="F57" s="24" t="n">
        <f aca="false">(Seg!F36+Seg!F41+Seg!F42+Seg!F44+Seg!F46-Seg!F48)+(Seg!F49+Seg!F51+Seg!F53-Seg!F55)</f>
        <v>0</v>
      </c>
      <c r="G57" s="24" t="n">
        <f aca="false">(Seg!G36+Seg!G41+Seg!G42+Seg!G44+Seg!G46-Seg!G48)+(Seg!G49+Seg!G51+Seg!G53-Seg!G55)</f>
        <v>0</v>
      </c>
      <c r="H57" s="24" t="n">
        <f aca="false">(Seg!H36+Seg!H41+Seg!H42+Seg!H44+Seg!H46-Seg!H48)+(Seg!H49+Seg!H51+Seg!H53-Seg!H55)</f>
        <v>0</v>
      </c>
      <c r="I57" s="24" t="n">
        <f aca="false">(Seg!I36+Seg!I41+Seg!I42+Seg!I44+Seg!I46-Seg!I48)+(Seg!I49+Seg!I51+Seg!I53-Seg!I55)</f>
        <v>0</v>
      </c>
      <c r="J57" s="24" t="n">
        <f aca="false">(Seg!J36+Seg!J41+Seg!J42+Seg!J44+Seg!J46-Seg!J48)+(Seg!J49+Seg!J51+Seg!J53-Seg!J55)</f>
        <v>0</v>
      </c>
      <c r="K57" s="24" t="n">
        <f aca="false">(Seg!K36+Seg!K41+Seg!K42+Seg!K44+Seg!K46-Seg!K48)+(Seg!K49+Seg!K51+Seg!K53-Seg!K55)</f>
        <v>0</v>
      </c>
    </row>
    <row r="58" customFormat="false" ht="17.15" hidden="false" customHeight="false" outlineLevel="0" collapsed="false">
      <c r="A58" s="3" t="s">
        <v>893</v>
      </c>
    </row>
    <row r="59" customFormat="false" ht="15" hidden="false" customHeight="false" outlineLevel="0" collapsed="false">
      <c r="A59" s="4" t="s">
        <v>43</v>
      </c>
      <c r="B59" s="4" t="s">
        <v>65</v>
      </c>
      <c r="C59" s="20" t="s">
        <v>799</v>
      </c>
      <c r="D59" s="20" t="s">
        <v>800</v>
      </c>
      <c r="E59" s="20" t="s">
        <v>801</v>
      </c>
      <c r="F59" s="20" t="s">
        <v>802</v>
      </c>
      <c r="G59" s="20" t="s">
        <v>803</v>
      </c>
      <c r="H59" s="20" t="s">
        <v>804</v>
      </c>
      <c r="I59" s="20" t="s">
        <v>805</v>
      </c>
      <c r="J59" s="20" t="s">
        <v>806</v>
      </c>
      <c r="K59" s="20" t="s">
        <v>807</v>
      </c>
      <c r="L59" s="4" t="s">
        <v>47</v>
      </c>
    </row>
    <row r="60" customFormat="false" ht="17.15" hidden="false" customHeight="false" outlineLevel="0" collapsed="false">
      <c r="A60" s="0" t="s">
        <v>874</v>
      </c>
      <c r="B60" s="0" t="s">
        <v>98</v>
      </c>
      <c r="D60" s="6" t="n">
        <f aca="false">Thesis!D121</f>
        <v>12.9359794422418</v>
      </c>
      <c r="E60" s="6" t="n">
        <f aca="false">Thesis!E121</f>
        <v>27.8095064661409</v>
      </c>
      <c r="F60" s="6" t="n">
        <f aca="false">Thesis!F121</f>
        <v>50.6619113883066</v>
      </c>
      <c r="G60" s="6" t="n">
        <f aca="false">Thesis!G121</f>
        <v>75.1482839325348</v>
      </c>
      <c r="H60" s="6" t="n">
        <f aca="false">Thesis!H121</f>
        <v>94.895655604042</v>
      </c>
      <c r="I60" s="6" t="n">
        <f aca="false">Thesis!I121</f>
        <v>118.706168884151</v>
      </c>
      <c r="J60" s="6" t="n">
        <f aca="false">Thesis!J121</f>
        <v>135.50643871102</v>
      </c>
      <c r="K60" s="6" t="n">
        <f aca="false">Thesis!K121</f>
        <v>146.509068150048</v>
      </c>
    </row>
    <row r="61" customFormat="false" ht="17.15" hidden="false" customHeight="false" outlineLevel="0" collapsed="false">
      <c r="A61" s="0" t="s">
        <v>875</v>
      </c>
      <c r="B61" s="0" t="s">
        <v>98</v>
      </c>
      <c r="D61" s="6" t="n">
        <f aca="false">Q!L6-Seg!D60</f>
        <v>59.6740205577583</v>
      </c>
      <c r="E61" s="6" t="n">
        <f aca="false">Q!M6-Seg!E60</f>
        <v>74.1284935338591</v>
      </c>
      <c r="F61" s="6" t="n">
        <f aca="false">Seg!E61*(1+Seg!F62)</f>
        <v>90.0799497373663</v>
      </c>
      <c r="G61" s="6" t="n">
        <f aca="false">Seg!F61*(1+Seg!G62)</f>
        <v>107.02842520331</v>
      </c>
      <c r="H61" s="6" t="n">
        <f aca="false">Seg!G61*(1+Seg!H62)</f>
        <v>124.271982585636</v>
      </c>
      <c r="I61" s="6" t="n">
        <f aca="false">Seg!H61*(1+Seg!I62)</f>
        <v>140.933702381855</v>
      </c>
      <c r="J61" s="6" t="n">
        <f aca="false">Seg!I61*(1+Seg!J62)</f>
        <v>156.018867314332</v>
      </c>
      <c r="K61" s="6" t="n">
        <f aca="false">Seg!J61*(1+Seg!K62)</f>
        <v>168.500376699478</v>
      </c>
    </row>
    <row r="62" customFormat="false" ht="15" hidden="false" customHeight="false" outlineLevel="0" collapsed="false">
      <c r="A62" s="1" t="s">
        <v>876</v>
      </c>
      <c r="B62" s="0" t="s">
        <v>129</v>
      </c>
      <c r="E62" s="7" t="n">
        <f aca="false">Seg!E61/Seg!D61-1</f>
        <v>0.242223883039864</v>
      </c>
      <c r="F62" s="7" t="n">
        <f aca="false">Seg!$E$62+(glt_azo-Seg!$E$62)*MIN(1,(Thesis!F104-base_fy)/n_conv)</f>
        <v>0.215186569199887</v>
      </c>
      <c r="G62" s="7" t="n">
        <f aca="false">Seg!$E$62+(glt_azo-Seg!$E$62)*MIN(1,(Thesis!G104-base_fy)/n_conv)</f>
        <v>0.18814925535991</v>
      </c>
      <c r="H62" s="7" t="n">
        <f aca="false">Seg!$E$62+(glt_azo-Seg!$E$62)*MIN(1,(Thesis!H104-base_fy)/n_conv)</f>
        <v>0.161111941519932</v>
      </c>
      <c r="I62" s="7" t="n">
        <f aca="false">Seg!$E$62+(glt_azo-Seg!$E$62)*MIN(1,(Thesis!I104-base_fy)/n_conv)</f>
        <v>0.134074627679955</v>
      </c>
      <c r="J62" s="7" t="n">
        <f aca="false">Seg!$E$62+(glt_azo-Seg!$E$62)*MIN(1,(Thesis!J104-base_fy)/n_conv)</f>
        <v>0.107037313839977</v>
      </c>
      <c r="K62" s="7" t="n">
        <f aca="false">Seg!$E$62+(glt_azo-Seg!$E$62)*MIN(1,(Thesis!K104-base_fy)/n_conv)</f>
        <v>0.08</v>
      </c>
    </row>
    <row r="63" customFormat="false" ht="15" hidden="false" customHeight="false" outlineLevel="0" collapsed="false">
      <c r="A63" s="0" t="s">
        <v>877</v>
      </c>
      <c r="B63" s="0" t="s">
        <v>98</v>
      </c>
      <c r="D63" s="6" t="n">
        <f aca="false">Seg!D60+Seg!D61</f>
        <v>72.61</v>
      </c>
      <c r="E63" s="6" t="n">
        <f aca="false">Seg!E60+Seg!E61</f>
        <v>101.938</v>
      </c>
      <c r="F63" s="6" t="n">
        <f aca="false">Seg!F60+Seg!F61</f>
        <v>140.741861125673</v>
      </c>
      <c r="G63" s="6" t="n">
        <f aca="false">Seg!G60+Seg!G61</f>
        <v>182.176709135845</v>
      </c>
      <c r="H63" s="6" t="n">
        <f aca="false">Seg!H60+Seg!H61</f>
        <v>219.167638189678</v>
      </c>
      <c r="I63" s="6" t="n">
        <f aca="false">Seg!I60+Seg!I61</f>
        <v>259.639871266006</v>
      </c>
      <c r="J63" s="6" t="n">
        <f aca="false">Seg!J60+Seg!J61</f>
        <v>291.525306025352</v>
      </c>
      <c r="K63" s="6" t="n">
        <f aca="false">Seg!K60+Seg!K61</f>
        <v>315.009444849526</v>
      </c>
    </row>
    <row r="64" customFormat="false" ht="17.15" hidden="false" customHeight="false" outlineLevel="0" collapsed="false">
      <c r="A64" s="0" t="s">
        <v>878</v>
      </c>
      <c r="B64" s="1" t="s">
        <v>528</v>
      </c>
      <c r="C64" s="29" t="n">
        <f aca="false">cop_s24</f>
        <v>1</v>
      </c>
      <c r="D64" s="29" t="n">
        <f aca="false">cop_s25</f>
        <v>5</v>
      </c>
      <c r="E64" s="29" t="n">
        <f aca="false">cop_s26</f>
        <v>30</v>
      </c>
      <c r="F64" s="29" t="n">
        <f aca="false">Seg!E64+cop_add_C</f>
        <v>40</v>
      </c>
      <c r="G64" s="29" t="n">
        <f aca="false">Seg!F64+cop_add_C</f>
        <v>50</v>
      </c>
      <c r="H64" s="29" t="n">
        <f aca="false">Seg!G64+cop_add_C</f>
        <v>60</v>
      </c>
      <c r="I64" s="29" t="n">
        <f aca="false">Seg!H64+cop_add_C*cop_tail</f>
        <v>65</v>
      </c>
      <c r="J64" s="29" t="n">
        <f aca="false">Seg!I64+cop_add_C*cop_tail</f>
        <v>70</v>
      </c>
      <c r="K64" s="29" t="n">
        <f aca="false">Seg!J64+cop_add_C*cop_tail</f>
        <v>75</v>
      </c>
      <c r="L64" s="11" t="s">
        <v>879</v>
      </c>
    </row>
    <row r="65" customFormat="false" ht="17.15" hidden="false" customHeight="false" outlineLevel="0" collapsed="false">
      <c r="A65" s="0" t="s">
        <v>880</v>
      </c>
      <c r="B65" s="0" t="s">
        <v>98</v>
      </c>
      <c r="D65" s="6" t="n">
        <f aca="false">(Seg!C64+Seg!D64)/2*cop_px*12/1000</f>
        <v>0.9</v>
      </c>
      <c r="E65" s="6" t="n">
        <f aca="false">(Seg!D64+Seg!E64)/2*cop_px*12/1000</f>
        <v>5.25</v>
      </c>
      <c r="F65" s="6" t="n">
        <f aca="false">(Seg!E64+Seg!F64)/2*cop_px*12/1000</f>
        <v>10.5</v>
      </c>
      <c r="G65" s="6" t="n">
        <f aca="false">(Seg!F64+Seg!G64)/2*cop_px*12/1000</f>
        <v>13.5</v>
      </c>
      <c r="H65" s="6" t="n">
        <f aca="false">(Seg!G64+Seg!H64)/2*cop_px*12/1000</f>
        <v>16.5</v>
      </c>
      <c r="I65" s="6" t="n">
        <f aca="false">(Seg!H64+Seg!I64)/2*cop_px*12/1000</f>
        <v>18.75</v>
      </c>
      <c r="J65" s="6" t="n">
        <f aca="false">(Seg!I64+Seg!J64)/2*cop_px*12/1000</f>
        <v>20.25</v>
      </c>
      <c r="K65" s="6" t="n">
        <f aca="false">(Seg!J64+Seg!K64)/2*cop_px*12/1000</f>
        <v>21.75</v>
      </c>
      <c r="L65" s="1" t="s">
        <v>881</v>
      </c>
    </row>
    <row r="66" customFormat="false" ht="17.15" hidden="false" customHeight="false" outlineLevel="0" collapsed="false">
      <c r="A66" s="0" t="s">
        <v>882</v>
      </c>
      <c r="B66" s="0" t="s">
        <v>98</v>
      </c>
      <c r="D66" s="6" t="n">
        <f aca="false">Q!L7-Seg!D65</f>
        <v>83.705</v>
      </c>
      <c r="E66" s="6" t="n">
        <f aca="false">Q!M7-Seg!E65</f>
        <v>95.049</v>
      </c>
      <c r="F66" s="6" t="n">
        <f aca="false">Seg!E66*(1+Seg!F67)</f>
        <v>106.89238776686</v>
      </c>
      <c r="G66" s="6" t="n">
        <f aca="false">Seg!F66*(1+Seg!G67)</f>
        <v>119.044168448684</v>
      </c>
      <c r="H66" s="6" t="n">
        <f aca="false">Seg!G66*(1+Seg!H67)</f>
        <v>131.277359388781</v>
      </c>
      <c r="I66" s="6" t="n">
        <f aca="false">Seg!H66*(1+Seg!I67)</f>
        <v>143.334028071957</v>
      </c>
      <c r="J66" s="6" t="n">
        <f aca="false">Seg!I66*(1+Seg!J67)</f>
        <v>154.932702785465</v>
      </c>
      <c r="K66" s="6" t="n">
        <f aca="false">Seg!J66*(1+Seg!K67)</f>
        <v>165.777991980448</v>
      </c>
    </row>
    <row r="67" customFormat="false" ht="15" hidden="false" customHeight="false" outlineLevel="0" collapsed="false">
      <c r="A67" s="1" t="s">
        <v>876</v>
      </c>
      <c r="B67" s="0" t="s">
        <v>129</v>
      </c>
      <c r="E67" s="7" t="n">
        <f aca="false">Seg!E66/Seg!D66-1</f>
        <v>0.135523564900544</v>
      </c>
      <c r="F67" s="7" t="n">
        <f aca="false">Seg!$E$67+(glt_m365b-Seg!$E$67)*MIN(1,(Thesis!F104-base_fy)/n_conv)</f>
        <v>0.124602970750453</v>
      </c>
      <c r="G67" s="7" t="n">
        <f aca="false">Seg!$E$67+(glt_m365b-Seg!$E$67)*MIN(1,(Thesis!G104-base_fy)/n_conv)</f>
        <v>0.113682376600363</v>
      </c>
      <c r="H67" s="7" t="n">
        <f aca="false">Seg!$E$67+(glt_m365b-Seg!$E$67)*MIN(1,(Thesis!H104-base_fy)/n_conv)</f>
        <v>0.102761782450272</v>
      </c>
      <c r="I67" s="7" t="n">
        <f aca="false">Seg!$E$67+(glt_m365b-Seg!$E$67)*MIN(1,(Thesis!I104-base_fy)/n_conv)</f>
        <v>0.0918411883001813</v>
      </c>
      <c r="J67" s="7" t="n">
        <f aca="false">Seg!$E$67+(glt_m365b-Seg!$E$67)*MIN(1,(Thesis!J104-base_fy)/n_conv)</f>
        <v>0.0809205941500906</v>
      </c>
      <c r="K67" s="7" t="n">
        <f aca="false">Seg!$E$67+(glt_m365b-Seg!$E$67)*MIN(1,(Thesis!K104-base_fy)/n_conv)</f>
        <v>0.07</v>
      </c>
    </row>
    <row r="68" customFormat="false" ht="15" hidden="false" customHeight="false" outlineLevel="0" collapsed="false">
      <c r="A68" s="0" t="s">
        <v>883</v>
      </c>
      <c r="B68" s="0" t="s">
        <v>98</v>
      </c>
      <c r="D68" s="6" t="n">
        <f aca="false">Seg!D66+Seg!D65</f>
        <v>84.605</v>
      </c>
      <c r="E68" s="6" t="n">
        <f aca="false">Seg!E66+Seg!E65</f>
        <v>100.299</v>
      </c>
      <c r="F68" s="6" t="n">
        <f aca="false">Seg!F66+Seg!F65</f>
        <v>117.39238776686</v>
      </c>
      <c r="G68" s="6" t="n">
        <f aca="false">Seg!G66+Seg!G65</f>
        <v>132.544168448684</v>
      </c>
      <c r="H68" s="6" t="n">
        <f aca="false">Seg!H66+Seg!H65</f>
        <v>147.777359388781</v>
      </c>
      <c r="I68" s="6" t="n">
        <f aca="false">Seg!I66+Seg!I65</f>
        <v>162.084028071957</v>
      </c>
      <c r="J68" s="6" t="n">
        <f aca="false">Seg!J66+Seg!J65</f>
        <v>175.182702785465</v>
      </c>
      <c r="K68" s="6" t="n">
        <f aca="false">Seg!K66+Seg!K65</f>
        <v>187.527991980448</v>
      </c>
    </row>
    <row r="69" customFormat="false" ht="15" hidden="false" customHeight="false" outlineLevel="0" collapsed="false">
      <c r="A69" s="0" t="s">
        <v>884</v>
      </c>
      <c r="B69" s="0" t="s">
        <v>98</v>
      </c>
      <c r="D69" s="6" t="n">
        <f aca="false">Q!L8</f>
        <v>35.391</v>
      </c>
      <c r="E69" s="6" t="n">
        <f aca="false">Q!M8</f>
        <v>37.285</v>
      </c>
      <c r="F69" s="6" t="n">
        <f aca="false">Seg!E69*(1+Seg!F70)</f>
        <v>39.0720834331704</v>
      </c>
      <c r="G69" s="6" t="n">
        <f aca="false">Seg!F69*(1+Seg!G70)</f>
        <v>40.726562953769</v>
      </c>
      <c r="H69" s="6" t="n">
        <f aca="false">Seg!G69*(1+Seg!H70)</f>
        <v>42.2235987259198</v>
      </c>
      <c r="I69" s="6" t="n">
        <f aca="false">Seg!H69*(1+Seg!I70)</f>
        <v>43.5397988077414</v>
      </c>
      <c r="J69" s="6" t="n">
        <f aca="false">Seg!I69*(1+Seg!J70)</f>
        <v>44.653811225693</v>
      </c>
      <c r="K69" s="6" t="n">
        <f aca="false">Seg!J69*(1+Seg!K70)</f>
        <v>45.5468874502068</v>
      </c>
    </row>
    <row r="70" customFormat="false" ht="15" hidden="false" customHeight="false" outlineLevel="0" collapsed="false">
      <c r="A70" s="1" t="s">
        <v>876</v>
      </c>
      <c r="B70" s="0" t="s">
        <v>129</v>
      </c>
      <c r="E70" s="7" t="n">
        <f aca="false">Seg!E69/Seg!D69-1</f>
        <v>0.0535164307309768</v>
      </c>
      <c r="F70" s="7" t="n">
        <f aca="false">Seg!$E$70+(glt_lic-Seg!$E$70)*MIN(1,(Thesis!F104-base_fy)/n_conv)</f>
        <v>0.0479303589424807</v>
      </c>
      <c r="G70" s="7" t="n">
        <f aca="false">Seg!$E$70+(glt_lic-Seg!$E$70)*MIN(1,(Thesis!G104-base_fy)/n_conv)</f>
        <v>0.0423442871539845</v>
      </c>
      <c r="H70" s="7" t="n">
        <f aca="false">Seg!$E$70+(glt_lic-Seg!$E$70)*MIN(1,(Thesis!H104-base_fy)/n_conv)</f>
        <v>0.0367582153654884</v>
      </c>
      <c r="I70" s="7" t="n">
        <f aca="false">Seg!$E$70+(glt_lic-Seg!$E$70)*MIN(1,(Thesis!I104-base_fy)/n_conv)</f>
        <v>0.0311721435769923</v>
      </c>
      <c r="J70" s="7" t="n">
        <f aca="false">Seg!$E$70+(glt_lic-Seg!$E$70)*MIN(1,(Thesis!J104-base_fy)/n_conv)</f>
        <v>0.0255860717884961</v>
      </c>
      <c r="K70" s="7" t="n">
        <f aca="false">Seg!$E$70+(glt_lic-Seg!$E$70)*MIN(1,(Thesis!K104-base_fy)/n_conv)</f>
        <v>0.02</v>
      </c>
    </row>
    <row r="71" customFormat="false" ht="15" hidden="false" customHeight="false" outlineLevel="0" collapsed="false">
      <c r="A71" s="0" t="s">
        <v>885</v>
      </c>
      <c r="B71" s="0" t="s">
        <v>98</v>
      </c>
      <c r="D71" s="6" t="n">
        <f aca="false">Q!L9</f>
        <v>18.417</v>
      </c>
      <c r="E71" s="6" t="n">
        <f aca="false">Q!M9</f>
        <v>20.345</v>
      </c>
      <c r="F71" s="6" t="n">
        <f aca="false">Seg!E71*(1+Seg!F72)</f>
        <v>22.3572203267814</v>
      </c>
      <c r="G71" s="6" t="n">
        <f aca="false">Seg!F71*(1+Seg!G72)</f>
        <v>24.4392124437232</v>
      </c>
      <c r="H71" s="6" t="n">
        <f aca="false">Seg!G71*(1+Seg!H72)</f>
        <v>26.5738052080665</v>
      </c>
      <c r="I71" s="6" t="n">
        <f aca="false">Seg!H71*(1+Seg!I72)</f>
        <v>28.7412169166967</v>
      </c>
      <c r="J71" s="6" t="n">
        <f aca="false">Seg!I71*(1+Seg!J72)</f>
        <v>30.9192545395413</v>
      </c>
      <c r="K71" s="6" t="n">
        <f aca="false">Seg!J71*(1+Seg!K72)</f>
        <v>33.0836023573092</v>
      </c>
    </row>
    <row r="72" customFormat="false" ht="15" hidden="false" customHeight="false" outlineLevel="0" collapsed="false">
      <c r="A72" s="1" t="s">
        <v>876</v>
      </c>
      <c r="B72" s="0" t="s">
        <v>129</v>
      </c>
      <c r="E72" s="7" t="n">
        <f aca="false">Seg!E71/Seg!D71-1</f>
        <v>0.104685888038225</v>
      </c>
      <c r="F72" s="7" t="n">
        <f aca="false">Seg!$E$72+(glt_ind-Seg!$E$72)*MIN(1,(Thesis!F104-base_fy)/n_conv)</f>
        <v>0.0989049066985211</v>
      </c>
      <c r="G72" s="7" t="n">
        <f aca="false">Seg!$E$72+(glt_ind-Seg!$E$72)*MIN(1,(Thesis!G104-base_fy)/n_conv)</f>
        <v>0.0931239253588169</v>
      </c>
      <c r="H72" s="7" t="n">
        <f aca="false">Seg!$E$72+(glt_ind-Seg!$E$72)*MIN(1,(Thesis!H104-base_fy)/n_conv)</f>
        <v>0.0873429440191127</v>
      </c>
      <c r="I72" s="7" t="n">
        <f aca="false">Seg!$E$72+(glt_ind-Seg!$E$72)*MIN(1,(Thesis!I104-base_fy)/n_conv)</f>
        <v>0.0815619626794085</v>
      </c>
      <c r="J72" s="7" t="n">
        <f aca="false">Seg!$E$72+(glt_ind-Seg!$E$72)*MIN(1,(Thesis!J104-base_fy)/n_conv)</f>
        <v>0.0757809813397042</v>
      </c>
      <c r="K72" s="7" t="n">
        <f aca="false">Seg!$E$72+(glt_ind-Seg!$E$72)*MIN(1,(Thesis!K104-base_fy)/n_conv)</f>
        <v>0.07</v>
      </c>
    </row>
    <row r="73" customFormat="false" ht="15" hidden="false" customHeight="false" outlineLevel="0" collapsed="false">
      <c r="A73" s="0" t="s">
        <v>886</v>
      </c>
      <c r="B73" s="0" t="s">
        <v>98</v>
      </c>
      <c r="D73" s="6" t="n">
        <f aca="false">Q!L10</f>
        <v>7.76</v>
      </c>
      <c r="E73" s="6" t="n">
        <f aca="false">Q!M10</f>
        <v>8.26</v>
      </c>
      <c r="F73" s="6" t="n">
        <f aca="false">Seg!E73*(1+Seg!F74)</f>
        <v>8.79988041237113</v>
      </c>
      <c r="G73" s="6" t="n">
        <f aca="false">Seg!F73*(1+Seg!G74)</f>
        <v>9.38321269125306</v>
      </c>
      <c r="H73" s="6" t="n">
        <f aca="false">Seg!G73*(1+Seg!H74)</f>
        <v>10.0139193587476</v>
      </c>
      <c r="I73" s="6" t="n">
        <f aca="false">Seg!H73*(1+Seg!I74)</f>
        <v>10.6963111830911</v>
      </c>
      <c r="J73" s="6" t="n">
        <f aca="false">Seg!I73*(1+Seg!J74)</f>
        <v>11.4351285534696</v>
      </c>
      <c r="K73" s="6" t="n">
        <f aca="false">Seg!J73*(1+Seg!K74)</f>
        <v>12.2355875522124</v>
      </c>
    </row>
    <row r="74" customFormat="false" ht="15" hidden="false" customHeight="false" outlineLevel="0" collapsed="false">
      <c r="A74" s="1" t="s">
        <v>876</v>
      </c>
      <c r="B74" s="0" t="s">
        <v>129</v>
      </c>
      <c r="E74" s="7" t="n">
        <f aca="false">Seg!E73/Seg!D73-1</f>
        <v>0.0644329896907216</v>
      </c>
      <c r="F74" s="7" t="n">
        <f aca="false">Seg!$E$74+(glt_fro-Seg!$E$74)*MIN(1,(Thesis!F104-base_fy)/n_conv)</f>
        <v>0.065360824742268</v>
      </c>
      <c r="G74" s="7" t="n">
        <f aca="false">Seg!$E$74+(glt_fro-Seg!$E$74)*MIN(1,(Thesis!G104-base_fy)/n_conv)</f>
        <v>0.0662886597938144</v>
      </c>
      <c r="H74" s="7" t="n">
        <f aca="false">Seg!$E$74+(glt_fro-Seg!$E$74)*MIN(1,(Thesis!H104-base_fy)/n_conv)</f>
        <v>0.0672164948453608</v>
      </c>
      <c r="I74" s="7" t="n">
        <f aca="false">Seg!$E$74+(glt_fro-Seg!$E$74)*MIN(1,(Thesis!I104-base_fy)/n_conv)</f>
        <v>0.0681443298969072</v>
      </c>
      <c r="J74" s="7" t="n">
        <f aca="false">Seg!$E$74+(glt_fro-Seg!$E$74)*MIN(1,(Thesis!J104-base_fy)/n_conv)</f>
        <v>0.0690721649484536</v>
      </c>
      <c r="K74" s="7" t="n">
        <f aca="false">Seg!$E$74+(glt_fro-Seg!$E$74)*MIN(1,(Thesis!K104-base_fy)/n_conv)</f>
        <v>0.07</v>
      </c>
    </row>
    <row r="75" customFormat="false" ht="15" hidden="false" customHeight="false" outlineLevel="0" collapsed="false">
      <c r="A75" s="0" t="s">
        <v>715</v>
      </c>
      <c r="B75" s="0" t="s">
        <v>98</v>
      </c>
      <c r="D75" s="6" t="n">
        <f aca="false">Seg!D63+Seg!D68+Seg!D69+Seg!D71+Seg!D73</f>
        <v>218.783</v>
      </c>
      <c r="E75" s="6" t="n">
        <f aca="false">Seg!E63+Seg!E68+Seg!E69+Seg!E71+Seg!E73</f>
        <v>268.127</v>
      </c>
      <c r="F75" s="6" t="n">
        <f aca="false">Seg!F63+Seg!F68+Seg!F69+Seg!F71+Seg!F73</f>
        <v>328.363433064856</v>
      </c>
      <c r="G75" s="6" t="n">
        <f aca="false">Seg!G63+Seg!G68+Seg!G69+Seg!G71+Seg!G73</f>
        <v>389.269865673274</v>
      </c>
      <c r="H75" s="6" t="n">
        <f aca="false">Seg!H63+Seg!H68+Seg!H69+Seg!H71+Seg!H73</f>
        <v>445.756320871193</v>
      </c>
      <c r="I75" s="6" t="n">
        <f aca="false">Seg!I63+Seg!I68+Seg!I69+Seg!I71+Seg!I73</f>
        <v>504.701226245492</v>
      </c>
      <c r="J75" s="6" t="n">
        <f aca="false">Seg!J63+Seg!J68+Seg!J69+Seg!J71+Seg!J73</f>
        <v>553.716203129521</v>
      </c>
      <c r="K75" s="6" t="n">
        <f aca="false">Seg!K63+Seg!K68+Seg!K69+Seg!K71+Seg!K73</f>
        <v>593.403514189702</v>
      </c>
    </row>
    <row r="76" customFormat="false" ht="15" hidden="false" customHeight="false" outlineLevel="0" collapsed="false">
      <c r="A76" s="0" t="s">
        <v>887</v>
      </c>
      <c r="B76" s="0" t="s">
        <v>98</v>
      </c>
      <c r="D76" s="6" t="n">
        <f aca="false">Q!L13</f>
        <v>22.171</v>
      </c>
      <c r="E76" s="6" t="n">
        <f aca="false">Q!M13</f>
        <v>24.835</v>
      </c>
      <c r="F76" s="6" t="n">
        <f aca="false">Seg!E76*(1+Seg!F77)</f>
        <v>27.6114901218559</v>
      </c>
      <c r="G76" s="6" t="n">
        <f aca="false">Seg!F76*(1+Seg!G77)</f>
        <v>30.4675667338515</v>
      </c>
      <c r="H76" s="6" t="n">
        <f aca="false">Seg!G76*(1+Seg!H77)</f>
        <v>33.3643766955789</v>
      </c>
      <c r="I76" s="6" t="n">
        <f aca="false">Seg!H76*(1+Seg!I77)</f>
        <v>36.2577016533691</v>
      </c>
      <c r="J76" s="6" t="n">
        <f aca="false">Seg!I76*(1+Seg!J77)</f>
        <v>39.0988367952171</v>
      </c>
      <c r="K76" s="6" t="n">
        <f aca="false">Seg!J76*(1+Seg!K77)</f>
        <v>41.8357553708823</v>
      </c>
    </row>
    <row r="77" customFormat="false" ht="15" hidden="false" customHeight="false" outlineLevel="0" collapsed="false">
      <c r="A77" s="1" t="s">
        <v>876</v>
      </c>
      <c r="B77" s="0" t="s">
        <v>129</v>
      </c>
      <c r="E77" s="7" t="n">
        <f aca="false">Seg!E76/Seg!D76-1</f>
        <v>0.120156961796942</v>
      </c>
      <c r="F77" s="7" t="n">
        <f aca="false">Seg!$E$77+(glt_srch-Seg!$E$77)*MIN(1,(Thesis!F104-base_fy)/n_conv)</f>
        <v>0.111797468164118</v>
      </c>
      <c r="G77" s="7" t="n">
        <f aca="false">Seg!$E$77+(glt_srch-Seg!$E$77)*MIN(1,(Thesis!G104-base_fy)/n_conv)</f>
        <v>0.103437974531295</v>
      </c>
      <c r="H77" s="7" t="n">
        <f aca="false">Seg!$E$77+(glt_srch-Seg!$E$77)*MIN(1,(Thesis!H104-base_fy)/n_conv)</f>
        <v>0.095078480898471</v>
      </c>
      <c r="I77" s="7" t="n">
        <f aca="false">Seg!$E$77+(glt_srch-Seg!$E$77)*MIN(1,(Thesis!I104-base_fy)/n_conv)</f>
        <v>0.0867189872656474</v>
      </c>
      <c r="J77" s="7" t="n">
        <f aca="false">Seg!$E$77+(glt_srch-Seg!$E$77)*MIN(1,(Thesis!J104-base_fy)/n_conv)</f>
        <v>0.0783594936328237</v>
      </c>
      <c r="K77" s="7" t="n">
        <f aca="false">Seg!$E$77+(glt_srch-Seg!$E$77)*MIN(1,(Thesis!K104-base_fy)/n_conv)</f>
        <v>0.07</v>
      </c>
    </row>
    <row r="78" customFormat="false" ht="15" hidden="false" customHeight="false" outlineLevel="0" collapsed="false">
      <c r="A78" s="0" t="s">
        <v>888</v>
      </c>
      <c r="B78" s="0" t="s">
        <v>98</v>
      </c>
      <c r="D78" s="6" t="n">
        <f aca="false">Q!L14</f>
        <v>23.455</v>
      </c>
      <c r="E78" s="6" t="n">
        <f aca="false">Q!M14</f>
        <v>21.79</v>
      </c>
      <c r="F78" s="6" t="n">
        <f aca="false">Seg!E78*(1+Seg!F79)</f>
        <v>20.5736277908051</v>
      </c>
      <c r="G78" s="6" t="n">
        <f aca="false">Seg!F78*(1+Seg!G79)</f>
        <v>19.7371452817919</v>
      </c>
      <c r="H78" s="6" t="n">
        <f aca="false">Seg!G78*(1+Seg!H79)</f>
        <v>19.2339764043138</v>
      </c>
      <c r="I78" s="6" t="n">
        <f aca="false">Seg!H78*(1+Seg!I79)</f>
        <v>19.0353086852681</v>
      </c>
      <c r="J78" s="6" t="n">
        <f aca="false">Seg!I78*(1+Seg!J79)</f>
        <v>19.1273539319129</v>
      </c>
      <c r="K78" s="6" t="n">
        <f aca="false">Seg!J78*(1+Seg!K79)</f>
        <v>19.5099010105511</v>
      </c>
    </row>
    <row r="79" customFormat="false" ht="15" hidden="false" customHeight="false" outlineLevel="0" collapsed="false">
      <c r="A79" s="1" t="s">
        <v>876</v>
      </c>
      <c r="B79" s="0" t="s">
        <v>129</v>
      </c>
      <c r="E79" s="7" t="n">
        <f aca="false">Seg!E78/Seg!D78-1</f>
        <v>-0.0709869963760392</v>
      </c>
      <c r="F79" s="7" t="n">
        <f aca="false">Seg!$E$79+(glt_xbox-Seg!$E$79)*MIN(1,(Thesis!F104-base_fy)/n_conv)</f>
        <v>-0.0558224969800327</v>
      </c>
      <c r="G79" s="7" t="n">
        <f aca="false">Seg!$E$79+(glt_xbox-Seg!$E$79)*MIN(1,(Thesis!G104-base_fy)/n_conv)</f>
        <v>-0.0406579975840262</v>
      </c>
      <c r="H79" s="7" t="n">
        <f aca="false">Seg!$E$79+(glt_xbox-Seg!$E$79)*MIN(1,(Thesis!H104-base_fy)/n_conv)</f>
        <v>-0.0254934981880196</v>
      </c>
      <c r="I79" s="7" t="n">
        <f aca="false">Seg!$E$79+(glt_xbox-Seg!$E$79)*MIN(1,(Thesis!I104-base_fy)/n_conv)</f>
        <v>-0.0103289987920131</v>
      </c>
      <c r="J79" s="7" t="n">
        <f aca="false">Seg!$E$79+(glt_xbox-Seg!$E$79)*MIN(1,(Thesis!J104-base_fy)/n_conv)</f>
        <v>0.00483550060399347</v>
      </c>
      <c r="K79" s="7" t="n">
        <f aca="false">Seg!$E$79+(glt_xbox-Seg!$E$79)*MIN(1,(Thesis!K104-base_fy)/n_conv)</f>
        <v>0.02</v>
      </c>
    </row>
    <row r="80" customFormat="false" ht="15" hidden="false" customHeight="false" outlineLevel="0" collapsed="false">
      <c r="A80" s="0" t="s">
        <v>889</v>
      </c>
      <c r="B80" s="0" t="s">
        <v>98</v>
      </c>
      <c r="D80" s="6" t="n">
        <f aca="false">Q!L15</f>
        <v>17.315</v>
      </c>
      <c r="E80" s="6" t="n">
        <f aca="false">Q!M15</f>
        <v>17.087</v>
      </c>
      <c r="F80" s="6" t="n">
        <f aca="false">Seg!E80*(1+Seg!F81)</f>
        <v>16.9564585436519</v>
      </c>
      <c r="G80" s="6" t="n">
        <f aca="false">Seg!F80*(1+Seg!G81)</f>
        <v>16.9206490624268</v>
      </c>
      <c r="H80" s="6" t="n">
        <f aca="false">Seg!G80*(1+Seg!H81)</f>
        <v>16.9784519149849</v>
      </c>
      <c r="I80" s="6" t="n">
        <f aca="false">Seg!H80*(1+Seg!I81)</f>
        <v>17.1303084701817</v>
      </c>
      <c r="J80" s="6" t="n">
        <f aca="false">Seg!I80*(1+Seg!J81)</f>
        <v>17.3782189407267</v>
      </c>
      <c r="K80" s="6" t="n">
        <f aca="false">Seg!J80*(1+Seg!K81)</f>
        <v>17.7257833195413</v>
      </c>
    </row>
    <row r="81" customFormat="false" ht="15" hidden="false" customHeight="false" outlineLevel="0" collapsed="false">
      <c r="A81" s="1" t="s">
        <v>876</v>
      </c>
      <c r="B81" s="0" t="s">
        <v>129</v>
      </c>
      <c r="E81" s="7" t="n">
        <f aca="false">Seg!E80/Seg!D80-1</f>
        <v>-0.0131677736066995</v>
      </c>
      <c r="F81" s="7" t="n">
        <f aca="false">Seg!$E$81+(glt_win-Seg!$E$81)*MIN(1,(Thesis!F104-base_fy)/n_conv)</f>
        <v>-0.00763981133891627</v>
      </c>
      <c r="G81" s="7" t="n">
        <f aca="false">Seg!$E$81+(glt_win-Seg!$E$81)*MIN(1,(Thesis!G104-base_fy)/n_conv)</f>
        <v>-0.00211184907113301</v>
      </c>
      <c r="H81" s="7" t="n">
        <f aca="false">Seg!$E$81+(glt_win-Seg!$E$81)*MIN(1,(Thesis!H104-base_fy)/n_conv)</f>
        <v>0.00341611319665024</v>
      </c>
      <c r="I81" s="7" t="n">
        <f aca="false">Seg!$E$81+(glt_win-Seg!$E$81)*MIN(1,(Thesis!I104-base_fy)/n_conv)</f>
        <v>0.00894407546443349</v>
      </c>
      <c r="J81" s="7" t="n">
        <f aca="false">Seg!$E$81+(glt_win-Seg!$E$81)*MIN(1,(Thesis!J104-base_fy)/n_conv)</f>
        <v>0.0144720377322168</v>
      </c>
      <c r="K81" s="7" t="n">
        <f aca="false">Seg!$E$81+(glt_win-Seg!$E$81)*MIN(1,(Thesis!K104-base_fy)/n_conv)</f>
        <v>0.02</v>
      </c>
    </row>
    <row r="82" customFormat="false" ht="15" hidden="false" customHeight="false" outlineLevel="0" collapsed="false">
      <c r="A82" s="0" t="s">
        <v>729</v>
      </c>
      <c r="B82" s="0" t="s">
        <v>98</v>
      </c>
      <c r="D82" s="6" t="n">
        <f aca="false">Seg!D76+Seg!D78+Seg!D80</f>
        <v>62.941</v>
      </c>
      <c r="E82" s="6" t="n">
        <f aca="false">Seg!E76+Seg!E78+Seg!E80</f>
        <v>63.712</v>
      </c>
      <c r="F82" s="6" t="n">
        <f aca="false">Seg!F76+Seg!F78+Seg!F80</f>
        <v>65.1415764563129</v>
      </c>
      <c r="G82" s="6" t="n">
        <f aca="false">Seg!G76+Seg!G78+Seg!G80</f>
        <v>67.1253610780702</v>
      </c>
      <c r="H82" s="6" t="n">
        <f aca="false">Seg!H76+Seg!H78+Seg!H80</f>
        <v>69.5768050148776</v>
      </c>
      <c r="I82" s="6" t="n">
        <f aca="false">Seg!I76+Seg!I78+Seg!I80</f>
        <v>72.4233188088189</v>
      </c>
      <c r="J82" s="6" t="n">
        <f aca="false">Seg!J76+Seg!J78+Seg!J80</f>
        <v>75.6044096678567</v>
      </c>
      <c r="K82" s="6" t="n">
        <f aca="false">Seg!K76+Seg!K78+Seg!K80</f>
        <v>79.0714397009747</v>
      </c>
    </row>
    <row r="83" customFormat="false" ht="15" hidden="false" customHeight="false" outlineLevel="0" collapsed="false">
      <c r="A83" s="1" t="s">
        <v>890</v>
      </c>
      <c r="B83" s="0" t="s">
        <v>98</v>
      </c>
      <c r="D83" s="6" t="n">
        <f aca="false">Seg!D75+Seg!D82</f>
        <v>281.724</v>
      </c>
      <c r="E83" s="6" t="n">
        <f aca="false">Seg!E75+Seg!E82</f>
        <v>331.839</v>
      </c>
      <c r="F83" s="6" t="n">
        <f aca="false">Seg!F75+Seg!F82</f>
        <v>393.505009521169</v>
      </c>
      <c r="G83" s="6" t="n">
        <f aca="false">Seg!G75+Seg!G82</f>
        <v>456.395226751344</v>
      </c>
      <c r="H83" s="6" t="n">
        <f aca="false">Seg!H75+Seg!H82</f>
        <v>515.333125886071</v>
      </c>
      <c r="I83" s="6" t="n">
        <f aca="false">Seg!I75+Seg!I82</f>
        <v>577.124545054311</v>
      </c>
      <c r="J83" s="6" t="n">
        <f aca="false">Seg!J75+Seg!J82</f>
        <v>629.320612797378</v>
      </c>
      <c r="K83" s="6" t="n">
        <f aca="false">Seg!K75+Seg!K82</f>
        <v>672.474953890677</v>
      </c>
    </row>
    <row r="84" customFormat="false" ht="15" hidden="false" customHeight="false" outlineLevel="0" collapsed="false">
      <c r="A84" s="23" t="s">
        <v>891</v>
      </c>
      <c r="B84" s="30" t="s">
        <v>98</v>
      </c>
      <c r="C84" s="30"/>
      <c r="D84" s="24" t="n">
        <f aca="false">(Seg!D63+Seg!D68+Seg!D69+Seg!D71+Seg!D73-Seg!D75)+(Seg!D76+Seg!D78+Seg!D80-Seg!D82)+(Seg!D75-Q!L5)+(Seg!D82-Q!L12)+(Seg!D63-Q!L6)+(Seg!D68-Q!L7)</f>
        <v>0</v>
      </c>
      <c r="E84" s="24" t="n">
        <f aca="false">(Seg!E63+Seg!E68+Seg!E69+Seg!E71+Seg!E73-Seg!E75)+(Seg!E76+Seg!E78+Seg!E80-Seg!E82)+(Seg!E75-Q!M5)+(Seg!E82-Q!M12)+(Seg!E63-Q!M6)+(Seg!E68-Q!M7)</f>
        <v>0</v>
      </c>
      <c r="F84" s="24" t="n">
        <f aca="false">(Seg!F63+Seg!F68+Seg!F69+Seg!F71+Seg!F73-Seg!F75)+(Seg!F76+Seg!F78+Seg!F80-Seg!F82)</f>
        <v>0</v>
      </c>
      <c r="G84" s="24" t="n">
        <f aca="false">(Seg!G63+Seg!G68+Seg!G69+Seg!G71+Seg!G73-Seg!G75)+(Seg!G76+Seg!G78+Seg!G80-Seg!G82)</f>
        <v>0</v>
      </c>
      <c r="H84" s="24" t="n">
        <f aca="false">(Seg!H63+Seg!H68+Seg!H69+Seg!H71+Seg!H73-Seg!H75)+(Seg!H76+Seg!H78+Seg!H80-Seg!H82)</f>
        <v>0</v>
      </c>
      <c r="I84" s="24" t="n">
        <f aca="false">(Seg!I63+Seg!I68+Seg!I69+Seg!I71+Seg!I73-Seg!I75)+(Seg!I76+Seg!I78+Seg!I80-Seg!I82)</f>
        <v>0</v>
      </c>
      <c r="J84" s="24" t="n">
        <f aca="false">(Seg!J63+Seg!J68+Seg!J69+Seg!J71+Seg!J73-Seg!J75)+(Seg!J76+Seg!J78+Seg!J80-Seg!J82)</f>
        <v>0</v>
      </c>
      <c r="K84" s="24" t="n">
        <f aca="false">(Seg!K63+Seg!K68+Seg!K69+Seg!K71+Seg!K73-Seg!K75)+(Seg!K76+Seg!K78+Seg!K80-Seg!K82)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894</v>
      </c>
    </row>
    <row r="2" customFormat="false" ht="17.15" hidden="false" customHeight="false" outlineLevel="0" collapsed="false">
      <c r="A2" s="1" t="s">
        <v>895</v>
      </c>
    </row>
    <row r="3" customFormat="false" ht="15" hidden="false" customHeight="false" outlineLevel="0" collapsed="false">
      <c r="A3" s="4" t="s">
        <v>43</v>
      </c>
      <c r="B3" s="4" t="s">
        <v>65</v>
      </c>
      <c r="C3" s="20" t="s">
        <v>799</v>
      </c>
      <c r="D3" s="20" t="s">
        <v>800</v>
      </c>
      <c r="E3" s="20" t="s">
        <v>801</v>
      </c>
      <c r="F3" s="20" t="s">
        <v>802</v>
      </c>
      <c r="G3" s="20" t="s">
        <v>803</v>
      </c>
      <c r="H3" s="20" t="s">
        <v>804</v>
      </c>
      <c r="I3" s="20" t="s">
        <v>805</v>
      </c>
      <c r="J3" s="20" t="s">
        <v>806</v>
      </c>
      <c r="K3" s="20" t="s">
        <v>807</v>
      </c>
      <c r="L3" s="4" t="s">
        <v>47</v>
      </c>
    </row>
    <row r="4" customFormat="false" ht="15" hidden="false" customHeight="false" outlineLevel="0" collapsed="false">
      <c r="A4" s="23" t="s">
        <v>896</v>
      </c>
      <c r="B4" s="30" t="s">
        <v>98</v>
      </c>
      <c r="C4" s="30"/>
      <c r="D4" s="24" t="n">
        <f aca="false">ABS(PL!D23+PL!D27-PL!D28)+ABS(PL!D28-Q!L18)+ABS(PL!D62+PL!D66-PL!D67)+ABS(PL!D67-Q!L18)+ABS(PL!D101+PL!D105-PL!D106)+ABS(PL!D106-Q!L18)</f>
        <v>0</v>
      </c>
      <c r="E4" s="24" t="n">
        <f aca="false">ABS(PL!E23+PL!E27-PL!E28)+ABS(PL!E28-Q!M18)+ABS(PL!E62+PL!E66-PL!E67)+ABS(PL!E67-Q!M18)+ABS(PL!E101+PL!E105-PL!E106)+ABS(PL!E106-Q!M18)</f>
        <v>0</v>
      </c>
      <c r="F4" s="24" t="n">
        <f aca="false">ABS(PL!F23+PL!F27-PL!F28)+ABS(PL!F62+PL!F66-PL!F67)+ABS(PL!F101+PL!F105-PL!F106)</f>
        <v>0</v>
      </c>
      <c r="G4" s="24" t="n">
        <f aca="false">ABS(PL!G23+PL!G27-PL!G28)+ABS(PL!G62+PL!G66-PL!G67)+ABS(PL!G101+PL!G105-PL!G106)</f>
        <v>0</v>
      </c>
      <c r="H4" s="24" t="n">
        <f aca="false">ABS(PL!H23+PL!H27-PL!H28)+ABS(PL!H62+PL!H66-PL!H67)+ABS(PL!H101+PL!H105-PL!H106)</f>
        <v>0</v>
      </c>
      <c r="I4" s="24" t="n">
        <f aca="false">ABS(PL!I23+PL!I27-PL!I28)+ABS(PL!I62+PL!I66-PL!I67)+ABS(PL!I101+PL!I105-PL!I106)</f>
        <v>0</v>
      </c>
      <c r="J4" s="24" t="n">
        <f aca="false">ABS(PL!J23+PL!J27-PL!J28)+ABS(PL!J62+PL!J66-PL!J67)+ABS(PL!J101+PL!J105-PL!J106)</f>
        <v>0</v>
      </c>
      <c r="K4" s="24" t="n">
        <f aca="false">ABS(PL!K23+PL!K27-PL!K28)+ABS(PL!K62+PL!K66-PL!K67)+ABS(PL!K101+PL!K105-PL!K106)</f>
        <v>0</v>
      </c>
    </row>
    <row r="5" customFormat="false" ht="15" hidden="false" customHeight="false" outlineLevel="0" collapsed="false">
      <c r="A5" s="23" t="s">
        <v>897</v>
      </c>
      <c r="B5" s="30" t="s">
        <v>98</v>
      </c>
      <c r="C5" s="30"/>
      <c r="D5" s="24" t="n">
        <f aca="false">ABS(Seg!D30)+ABS(Seg!D57)+ABS(Seg!D84)</f>
        <v>0</v>
      </c>
      <c r="E5" s="24" t="n">
        <f aca="false">ABS(Seg!E30)+ABS(Seg!E57)+ABS(Seg!E84)</f>
        <v>0</v>
      </c>
      <c r="F5" s="24" t="n">
        <f aca="false">ABS(Seg!F30)+ABS(Seg!F57)+ABS(Seg!F84)</f>
        <v>0</v>
      </c>
      <c r="G5" s="24" t="n">
        <f aca="false">ABS(Seg!G30)+ABS(Seg!G57)+ABS(Seg!G84)</f>
        <v>0</v>
      </c>
      <c r="H5" s="24" t="n">
        <f aca="false">ABS(Seg!H30)+ABS(Seg!H57)+ABS(Seg!H84)</f>
        <v>0</v>
      </c>
      <c r="I5" s="24" t="n">
        <f aca="false">ABS(Seg!I30)+ABS(Seg!I57)+ABS(Seg!I84)</f>
        <v>0</v>
      </c>
      <c r="J5" s="24" t="n">
        <f aca="false">ABS(Seg!J30)+ABS(Seg!J57)+ABS(Seg!J84)</f>
        <v>0</v>
      </c>
      <c r="K5" s="24" t="n">
        <f aca="false">ABS(Seg!K30)+ABS(Seg!K57)+ABS(Seg!K84)</f>
        <v>0</v>
      </c>
    </row>
    <row r="6" customFormat="false" ht="17.15" hidden="false" customHeight="false" outlineLevel="0" collapsed="false">
      <c r="A6" s="23" t="s">
        <v>898</v>
      </c>
      <c r="B6" s="30" t="s">
        <v>98</v>
      </c>
      <c r="C6" s="30"/>
      <c r="D6" s="24" t="n">
        <f aca="false">ABS(PL!D15+PL!D16-PL!D14)+ABS(PL!D18+PL!D19-PL!D17)+ABS(PL!D54+PL!D55-PL!D53)+ABS(PL!D57+PL!D58-PL!D56)+ABS(PL!D93+PL!D94-PL!D92)+ABS(PL!D96+PL!D97-PL!D95)</f>
        <v>0</v>
      </c>
      <c r="E6" s="24" t="n">
        <f aca="false">ABS(PL!E15+PL!E16-PL!E14)+ABS(PL!E18+PL!E19-PL!E17)+ABS(PL!E54+PL!E55-PL!E53)+ABS(PL!E57+PL!E58-PL!E56)+ABS(PL!E93+PL!E94-PL!E92)+ABS(PL!E96+PL!E97-PL!E95)</f>
        <v>0</v>
      </c>
      <c r="F6" s="24" t="n">
        <f aca="false">ABS(PL!F15+PL!F16-PL!F14)+ABS(PL!F18+PL!F19-PL!F17)+ABS(PL!F54+PL!F55-PL!F53)+ABS(PL!F57+PL!F58-PL!F56)+ABS(PL!F93+PL!F94-PL!F92)+ABS(PL!F96+PL!F97-PL!F95)</f>
        <v>0</v>
      </c>
      <c r="G6" s="24" t="n">
        <f aca="false">ABS(PL!G15+PL!G16-PL!G14)+ABS(PL!G18+PL!G19-PL!G17)+ABS(PL!G54+PL!G55-PL!G53)+ABS(PL!G57+PL!G58-PL!G56)+ABS(PL!G93+PL!G94-PL!G92)+ABS(PL!G96+PL!G97-PL!G95)</f>
        <v>0</v>
      </c>
      <c r="H6" s="24" t="n">
        <f aca="false">ABS(PL!H15+PL!H16-PL!H14)+ABS(PL!H18+PL!H19-PL!H17)+ABS(PL!H54+PL!H55-PL!H53)+ABS(PL!H57+PL!H58-PL!H56)+ABS(PL!H93+PL!H94-PL!H92)+ABS(PL!H96+PL!H97-PL!H95)</f>
        <v>0</v>
      </c>
      <c r="I6" s="24" t="n">
        <f aca="false">ABS(PL!I15+PL!I16-PL!I14)+ABS(PL!I18+PL!I19-PL!I17)+ABS(PL!I54+PL!I55-PL!I53)+ABS(PL!I57+PL!I58-PL!I56)+ABS(PL!I93+PL!I94-PL!I92)+ABS(PL!I96+PL!I97-PL!I95)</f>
        <v>0</v>
      </c>
      <c r="J6" s="24" t="n">
        <f aca="false">ABS(PL!J15+PL!J16-PL!J14)+ABS(PL!J18+PL!J19-PL!J17)+ABS(PL!J54+PL!J55-PL!J53)+ABS(PL!J57+PL!J58-PL!J56)+ABS(PL!J93+PL!J94-PL!J92)+ABS(PL!J96+PL!J97-PL!J95)</f>
        <v>0</v>
      </c>
      <c r="K6" s="24" t="n">
        <f aca="false">ABS(PL!K15+PL!K16-PL!K14)+ABS(PL!K18+PL!K19-PL!K17)+ABS(PL!K54+PL!K55-PL!K53)+ABS(PL!K57+PL!K58-PL!K56)+ABS(PL!K93+PL!K94-PL!K92)+ABS(PL!K96+PL!K97-PL!K95)</f>
        <v>0</v>
      </c>
    </row>
    <row r="7" customFormat="false" ht="15" hidden="false" customHeight="false" outlineLevel="0" collapsed="false">
      <c r="A7" s="23" t="s">
        <v>899</v>
      </c>
      <c r="B7" s="30" t="s">
        <v>98</v>
      </c>
      <c r="C7" s="30"/>
      <c r="D7" s="24" t="n">
        <f aca="false">ABS(PL!D32+PL!D34-PL!D35)+ABS(PL!D36)+ABS(PL!D71+PL!D73-PL!D74)+ABS(PL!D75)+ABS(PL!D110+PL!D112-PL!D113)+ABS(PL!D114)</f>
        <v>0</v>
      </c>
      <c r="E7" s="24" t="n">
        <f aca="false">ABS(PL!E32+PL!E34-PL!E35)+ABS(PL!E36)+ABS(PL!E71+PL!E73-PL!E74)+ABS(PL!E75)+ABS(PL!E110+PL!E112-PL!E113)+ABS(PL!E114)</f>
        <v>0</v>
      </c>
      <c r="F7" s="24" t="n">
        <f aca="false">ABS(PL!F32+PL!F34-PL!F35)+ABS(PL!F71+PL!F73-PL!F74)+ABS(PL!F110+PL!F112-PL!F113)</f>
        <v>0</v>
      </c>
      <c r="G7" s="24" t="n">
        <f aca="false">ABS(PL!G32+PL!G34-PL!G35)+ABS(PL!G71+PL!G73-PL!G74)+ABS(PL!G110+PL!G112-PL!G113)</f>
        <v>0</v>
      </c>
      <c r="H7" s="24" t="n">
        <f aca="false">ABS(PL!H32+PL!H34-PL!H35)+ABS(PL!H71+PL!H73-PL!H74)+ABS(PL!H110+PL!H112-PL!H113)</f>
        <v>0</v>
      </c>
      <c r="I7" s="24" t="n">
        <f aca="false">ABS(PL!I32+PL!I34-PL!I35)+ABS(PL!I71+PL!I73-PL!I74)+ABS(PL!I110+PL!I112-PL!I113)</f>
        <v>0</v>
      </c>
      <c r="J7" s="24" t="n">
        <f aca="false">ABS(PL!J32+PL!J34-PL!J35)+ABS(PL!J71+PL!J73-PL!J74)+ABS(PL!J110+PL!J112-PL!J113)</f>
        <v>0</v>
      </c>
      <c r="K7" s="24" t="n">
        <f aca="false">ABS(PL!K32+PL!K34-PL!K35)+ABS(PL!K71+PL!K73-PL!K74)+ABS(PL!K110+PL!K112-PL!K113)</f>
        <v>0</v>
      </c>
    </row>
    <row r="9" customFormat="false" ht="17.15" hidden="false" customHeight="false" outlineLevel="0" collapsed="false">
      <c r="A9" s="1" t="s">
        <v>900</v>
      </c>
    </row>
    <row r="12" customFormat="false" ht="17.15" hidden="false" customHeight="false" outlineLevel="0" collapsed="false">
      <c r="A12" s="3" t="s">
        <v>901</v>
      </c>
    </row>
    <row r="13" customFormat="false" ht="15" hidden="false" customHeight="false" outlineLevel="0" collapsed="false">
      <c r="A13" s="4" t="s">
        <v>43</v>
      </c>
      <c r="B13" s="4" t="s">
        <v>65</v>
      </c>
      <c r="C13" s="20" t="s">
        <v>799</v>
      </c>
      <c r="D13" s="20" t="s">
        <v>800</v>
      </c>
      <c r="E13" s="20" t="s">
        <v>801</v>
      </c>
      <c r="F13" s="20" t="s">
        <v>802</v>
      </c>
      <c r="G13" s="20" t="s">
        <v>803</v>
      </c>
      <c r="H13" s="20" t="s">
        <v>804</v>
      </c>
      <c r="I13" s="20" t="s">
        <v>805</v>
      </c>
      <c r="J13" s="20" t="s">
        <v>806</v>
      </c>
      <c r="K13" s="20" t="s">
        <v>807</v>
      </c>
      <c r="L13" s="4" t="s">
        <v>47</v>
      </c>
    </row>
    <row r="14" customFormat="false" ht="15" hidden="false" customHeight="false" outlineLevel="0" collapsed="false">
      <c r="A14" s="0" t="s">
        <v>877</v>
      </c>
      <c r="B14" s="0" t="s">
        <v>98</v>
      </c>
      <c r="D14" s="6" t="n">
        <f aca="false">Seg!D9</f>
        <v>72.61</v>
      </c>
      <c r="E14" s="6" t="n">
        <f aca="false">Seg!E9</f>
        <v>101.938</v>
      </c>
      <c r="F14" s="6" t="n">
        <f aca="false">Seg!F9</f>
        <v>148.812368967868</v>
      </c>
      <c r="G14" s="6" t="n">
        <f aca="false">Seg!G9</f>
        <v>208.397514344463</v>
      </c>
      <c r="H14" s="6" t="n">
        <f aca="false">Seg!H9</f>
        <v>274.05759259987</v>
      </c>
      <c r="I14" s="6" t="n">
        <f aca="false">Seg!I9</f>
        <v>328.302405465117</v>
      </c>
      <c r="J14" s="6" t="n">
        <f aca="false">Seg!J9</f>
        <v>369.905524759186</v>
      </c>
      <c r="K14" s="6" t="n">
        <f aca="false">Seg!K9</f>
        <v>399.753851959067</v>
      </c>
    </row>
    <row r="15" customFormat="false" ht="17.15" hidden="false" customHeight="false" outlineLevel="0" collapsed="false">
      <c r="A15" s="0" t="s">
        <v>874</v>
      </c>
      <c r="B15" s="0" t="s">
        <v>98</v>
      </c>
      <c r="D15" s="6" t="n">
        <f aca="false">Seg!D6</f>
        <v>12.9359794422418</v>
      </c>
      <c r="E15" s="6" t="n">
        <f aca="false">Seg!E6</f>
        <v>27.8095064661409</v>
      </c>
      <c r="F15" s="6" t="n">
        <f aca="false">Seg!F6</f>
        <v>58.7324192305018</v>
      </c>
      <c r="G15" s="6" t="n">
        <f aca="false">Seg!G6</f>
        <v>101.369089141153</v>
      </c>
      <c r="H15" s="6" t="n">
        <f aca="false">Seg!H6</f>
        <v>149.785610014234</v>
      </c>
      <c r="I15" s="6" t="n">
        <f aca="false">Seg!I6</f>
        <v>187.368703083263</v>
      </c>
      <c r="J15" s="6" t="n">
        <f aca="false">Seg!J6</f>
        <v>213.886657444854</v>
      </c>
      <c r="K15" s="6" t="n">
        <f aca="false">Seg!K6</f>
        <v>231.253475259589</v>
      </c>
    </row>
    <row r="16" customFormat="false" ht="17.15" hidden="false" customHeight="false" outlineLevel="0" collapsed="false">
      <c r="A16" s="0" t="s">
        <v>902</v>
      </c>
      <c r="B16" s="0" t="s">
        <v>98</v>
      </c>
      <c r="D16" s="6" t="n">
        <f aca="false">Seg!D7</f>
        <v>59.6740205577583</v>
      </c>
      <c r="E16" s="6" t="n">
        <f aca="false">Seg!E7</f>
        <v>74.1284935338591</v>
      </c>
      <c r="F16" s="6" t="n">
        <f aca="false">Seg!F7</f>
        <v>90.0799497373663</v>
      </c>
      <c r="G16" s="6" t="n">
        <f aca="false">Seg!G7</f>
        <v>107.02842520331</v>
      </c>
      <c r="H16" s="6" t="n">
        <f aca="false">Seg!H7</f>
        <v>124.271982585636</v>
      </c>
      <c r="I16" s="6" t="n">
        <f aca="false">Seg!I7</f>
        <v>140.933702381855</v>
      </c>
      <c r="J16" s="6" t="n">
        <f aca="false">Seg!J7</f>
        <v>156.018867314332</v>
      </c>
      <c r="K16" s="6" t="n">
        <f aca="false">Seg!K7</f>
        <v>168.500376699478</v>
      </c>
    </row>
    <row r="17" customFormat="false" ht="15" hidden="false" customHeight="false" outlineLevel="0" collapsed="false">
      <c r="A17" s="0" t="s">
        <v>883</v>
      </c>
      <c r="B17" s="0" t="s">
        <v>98</v>
      </c>
      <c r="D17" s="6" t="n">
        <f aca="false">Seg!D14</f>
        <v>84.605</v>
      </c>
      <c r="E17" s="6" t="n">
        <f aca="false">Seg!E14</f>
        <v>100.299</v>
      </c>
      <c r="F17" s="6" t="n">
        <f aca="false">Seg!F14</f>
        <v>120.39238776686</v>
      </c>
      <c r="G17" s="6" t="n">
        <f aca="false">Seg!G14</f>
        <v>141.544168448684</v>
      </c>
      <c r="H17" s="6" t="n">
        <f aca="false">Seg!H14</f>
        <v>162.777359388781</v>
      </c>
      <c r="I17" s="6" t="n">
        <f aca="false">Seg!I14</f>
        <v>181.584028071957</v>
      </c>
      <c r="J17" s="6" t="n">
        <f aca="false">Seg!J14</f>
        <v>197.682702785465</v>
      </c>
      <c r="K17" s="6" t="n">
        <f aca="false">Seg!K14</f>
        <v>213.027991980448</v>
      </c>
    </row>
    <row r="18" customFormat="false" ht="17.15" hidden="false" customHeight="false" outlineLevel="0" collapsed="false">
      <c r="A18" s="0" t="s">
        <v>903</v>
      </c>
      <c r="B18" s="0" t="s">
        <v>98</v>
      </c>
      <c r="D18" s="6" t="n">
        <f aca="false">Seg!D12</f>
        <v>83.705</v>
      </c>
      <c r="E18" s="6" t="n">
        <f aca="false">Seg!E12</f>
        <v>95.049</v>
      </c>
      <c r="F18" s="6" t="n">
        <f aca="false">Seg!F12</f>
        <v>106.89238776686</v>
      </c>
      <c r="G18" s="6" t="n">
        <f aca="false">Seg!G12</f>
        <v>119.044168448684</v>
      </c>
      <c r="H18" s="6" t="n">
        <f aca="false">Seg!H12</f>
        <v>131.277359388781</v>
      </c>
      <c r="I18" s="6" t="n">
        <f aca="false">Seg!I12</f>
        <v>143.334028071957</v>
      </c>
      <c r="J18" s="6" t="n">
        <f aca="false">Seg!J12</f>
        <v>154.932702785465</v>
      </c>
      <c r="K18" s="6" t="n">
        <f aca="false">Seg!K12</f>
        <v>165.777991980448</v>
      </c>
    </row>
    <row r="19" customFormat="false" ht="17.15" hidden="false" customHeight="false" outlineLevel="0" collapsed="false">
      <c r="A19" s="0" t="s">
        <v>904</v>
      </c>
      <c r="B19" s="0" t="s">
        <v>98</v>
      </c>
      <c r="D19" s="6" t="n">
        <f aca="false">Seg!D11</f>
        <v>0.9</v>
      </c>
      <c r="E19" s="6" t="n">
        <f aca="false">Seg!E11</f>
        <v>5.25</v>
      </c>
      <c r="F19" s="6" t="n">
        <f aca="false">Seg!F11</f>
        <v>13.5</v>
      </c>
      <c r="G19" s="6" t="n">
        <f aca="false">Seg!G11</f>
        <v>22.5</v>
      </c>
      <c r="H19" s="6" t="n">
        <f aca="false">Seg!H11</f>
        <v>31.5</v>
      </c>
      <c r="I19" s="6" t="n">
        <f aca="false">Seg!I11</f>
        <v>38.25</v>
      </c>
      <c r="J19" s="6" t="n">
        <f aca="false">Seg!J11</f>
        <v>42.75</v>
      </c>
      <c r="K19" s="6" t="n">
        <f aca="false">Seg!K11</f>
        <v>47.25</v>
      </c>
    </row>
    <row r="20" customFormat="false" ht="15" hidden="false" customHeight="false" outlineLevel="0" collapsed="false">
      <c r="A20" s="0" t="s">
        <v>884</v>
      </c>
      <c r="B20" s="0" t="s">
        <v>98</v>
      </c>
      <c r="D20" s="6" t="n">
        <f aca="false">Seg!D15</f>
        <v>35.391</v>
      </c>
      <c r="E20" s="6" t="n">
        <f aca="false">Seg!E15</f>
        <v>37.285</v>
      </c>
      <c r="F20" s="6" t="n">
        <f aca="false">Seg!F15</f>
        <v>39.0720834331704</v>
      </c>
      <c r="G20" s="6" t="n">
        <f aca="false">Seg!G15</f>
        <v>40.726562953769</v>
      </c>
      <c r="H20" s="6" t="n">
        <f aca="false">Seg!H15</f>
        <v>42.2235987259198</v>
      </c>
      <c r="I20" s="6" t="n">
        <f aca="false">Seg!I15</f>
        <v>43.5397988077414</v>
      </c>
      <c r="J20" s="6" t="n">
        <f aca="false">Seg!J15</f>
        <v>44.653811225693</v>
      </c>
      <c r="K20" s="6" t="n">
        <f aca="false">Seg!K15</f>
        <v>45.5468874502068</v>
      </c>
    </row>
    <row r="21" customFormat="false" ht="15" hidden="false" customHeight="false" outlineLevel="0" collapsed="false">
      <c r="A21" s="0" t="s">
        <v>885</v>
      </c>
      <c r="B21" s="0" t="s">
        <v>98</v>
      </c>
      <c r="D21" s="6" t="n">
        <f aca="false">Seg!D17</f>
        <v>18.417</v>
      </c>
      <c r="E21" s="6" t="n">
        <f aca="false">Seg!E17</f>
        <v>20.345</v>
      </c>
      <c r="F21" s="6" t="n">
        <f aca="false">Seg!F17</f>
        <v>22.3572203267814</v>
      </c>
      <c r="G21" s="6" t="n">
        <f aca="false">Seg!G17</f>
        <v>24.4392124437232</v>
      </c>
      <c r="H21" s="6" t="n">
        <f aca="false">Seg!H17</f>
        <v>26.5738052080665</v>
      </c>
      <c r="I21" s="6" t="n">
        <f aca="false">Seg!I17</f>
        <v>28.7412169166967</v>
      </c>
      <c r="J21" s="6" t="n">
        <f aca="false">Seg!J17</f>
        <v>30.9192545395413</v>
      </c>
      <c r="K21" s="6" t="n">
        <f aca="false">Seg!K17</f>
        <v>33.0836023573092</v>
      </c>
    </row>
    <row r="22" customFormat="false" ht="15" hidden="false" customHeight="false" outlineLevel="0" collapsed="false">
      <c r="A22" s="0" t="s">
        <v>886</v>
      </c>
      <c r="B22" s="0" t="s">
        <v>98</v>
      </c>
      <c r="D22" s="6" t="n">
        <f aca="false">Seg!D19</f>
        <v>7.76</v>
      </c>
      <c r="E22" s="6" t="n">
        <f aca="false">Seg!E19</f>
        <v>8.26</v>
      </c>
      <c r="F22" s="6" t="n">
        <f aca="false">Seg!F19</f>
        <v>8.79988041237113</v>
      </c>
      <c r="G22" s="6" t="n">
        <f aca="false">Seg!G19</f>
        <v>9.38321269125306</v>
      </c>
      <c r="H22" s="6" t="n">
        <f aca="false">Seg!H19</f>
        <v>10.0139193587476</v>
      </c>
      <c r="I22" s="6" t="n">
        <f aca="false">Seg!I19</f>
        <v>10.6963111830911</v>
      </c>
      <c r="J22" s="6" t="n">
        <f aca="false">Seg!J19</f>
        <v>11.4351285534696</v>
      </c>
      <c r="K22" s="6" t="n">
        <f aca="false">Seg!K19</f>
        <v>12.2355875522124</v>
      </c>
    </row>
    <row r="23" customFormat="false" ht="15" hidden="false" customHeight="false" outlineLevel="0" collapsed="false">
      <c r="A23" s="0" t="s">
        <v>715</v>
      </c>
      <c r="B23" s="0" t="s">
        <v>98</v>
      </c>
      <c r="D23" s="6" t="n">
        <f aca="false">Seg!D21</f>
        <v>218.783</v>
      </c>
      <c r="E23" s="6" t="n">
        <f aca="false">Seg!E21</f>
        <v>268.127</v>
      </c>
      <c r="F23" s="6" t="n">
        <f aca="false">Seg!F21</f>
        <v>339.433940907051</v>
      </c>
      <c r="G23" s="6" t="n">
        <f aca="false">Seg!G21</f>
        <v>424.490670881892</v>
      </c>
      <c r="H23" s="6" t="n">
        <f aca="false">Seg!H21</f>
        <v>515.646275281385</v>
      </c>
      <c r="I23" s="6" t="n">
        <f aca="false">Seg!I21</f>
        <v>592.863760444604</v>
      </c>
      <c r="J23" s="6" t="n">
        <f aca="false">Seg!J21</f>
        <v>654.596421863355</v>
      </c>
      <c r="K23" s="6" t="n">
        <f aca="false">Seg!K21</f>
        <v>703.647921299244</v>
      </c>
    </row>
    <row r="24" customFormat="false" ht="15" hidden="false" customHeight="false" outlineLevel="0" collapsed="false">
      <c r="A24" s="0" t="s">
        <v>887</v>
      </c>
      <c r="B24" s="0" t="s">
        <v>98</v>
      </c>
      <c r="D24" s="6" t="n">
        <f aca="false">Seg!D22</f>
        <v>22.171</v>
      </c>
      <c r="E24" s="6" t="n">
        <f aca="false">Seg!E22</f>
        <v>24.835</v>
      </c>
      <c r="F24" s="6" t="n">
        <f aca="false">Seg!F22</f>
        <v>27.6114901218559</v>
      </c>
      <c r="G24" s="6" t="n">
        <f aca="false">Seg!G22</f>
        <v>30.4675667338515</v>
      </c>
      <c r="H24" s="6" t="n">
        <f aca="false">Seg!H22</f>
        <v>33.3643766955789</v>
      </c>
      <c r="I24" s="6" t="n">
        <f aca="false">Seg!I22</f>
        <v>36.2577016533691</v>
      </c>
      <c r="J24" s="6" t="n">
        <f aca="false">Seg!J22</f>
        <v>39.0988367952171</v>
      </c>
      <c r="K24" s="6" t="n">
        <f aca="false">Seg!K22</f>
        <v>41.8357553708823</v>
      </c>
    </row>
    <row r="25" customFormat="false" ht="15" hidden="false" customHeight="false" outlineLevel="0" collapsed="false">
      <c r="A25" s="0" t="s">
        <v>888</v>
      </c>
      <c r="B25" s="0" t="s">
        <v>98</v>
      </c>
      <c r="D25" s="6" t="n">
        <f aca="false">Seg!D24</f>
        <v>23.455</v>
      </c>
      <c r="E25" s="6" t="n">
        <f aca="false">Seg!E24</f>
        <v>21.79</v>
      </c>
      <c r="F25" s="6" t="n">
        <f aca="false">Seg!F24</f>
        <v>20.5736277908051</v>
      </c>
      <c r="G25" s="6" t="n">
        <f aca="false">Seg!G24</f>
        <v>19.7371452817919</v>
      </c>
      <c r="H25" s="6" t="n">
        <f aca="false">Seg!H24</f>
        <v>19.2339764043138</v>
      </c>
      <c r="I25" s="6" t="n">
        <f aca="false">Seg!I24</f>
        <v>19.0353086852681</v>
      </c>
      <c r="J25" s="6" t="n">
        <f aca="false">Seg!J24</f>
        <v>19.1273539319129</v>
      </c>
      <c r="K25" s="6" t="n">
        <f aca="false">Seg!K24</f>
        <v>19.5099010105511</v>
      </c>
    </row>
    <row r="26" customFormat="false" ht="15" hidden="false" customHeight="false" outlineLevel="0" collapsed="false">
      <c r="A26" s="0" t="s">
        <v>889</v>
      </c>
      <c r="B26" s="0" t="s">
        <v>98</v>
      </c>
      <c r="D26" s="6" t="n">
        <f aca="false">Seg!D26</f>
        <v>17.315</v>
      </c>
      <c r="E26" s="6" t="n">
        <f aca="false">Seg!E26</f>
        <v>17.087</v>
      </c>
      <c r="F26" s="6" t="n">
        <f aca="false">Seg!F26</f>
        <v>16.9564585436519</v>
      </c>
      <c r="G26" s="6" t="n">
        <f aca="false">Seg!G26</f>
        <v>16.9206490624268</v>
      </c>
      <c r="H26" s="6" t="n">
        <f aca="false">Seg!H26</f>
        <v>16.9784519149849</v>
      </c>
      <c r="I26" s="6" t="n">
        <f aca="false">Seg!I26</f>
        <v>17.1303084701817</v>
      </c>
      <c r="J26" s="6" t="n">
        <f aca="false">Seg!J26</f>
        <v>17.3782189407267</v>
      </c>
      <c r="K26" s="6" t="n">
        <f aca="false">Seg!K26</f>
        <v>17.7257833195413</v>
      </c>
    </row>
    <row r="27" customFormat="false" ht="15" hidden="false" customHeight="false" outlineLevel="0" collapsed="false">
      <c r="A27" s="0" t="s">
        <v>729</v>
      </c>
      <c r="B27" s="0" t="s">
        <v>98</v>
      </c>
      <c r="D27" s="6" t="n">
        <f aca="false">Seg!D28</f>
        <v>62.941</v>
      </c>
      <c r="E27" s="6" t="n">
        <f aca="false">Seg!E28</f>
        <v>63.712</v>
      </c>
      <c r="F27" s="6" t="n">
        <f aca="false">Seg!F28</f>
        <v>65.1415764563129</v>
      </c>
      <c r="G27" s="6" t="n">
        <f aca="false">Seg!G28</f>
        <v>67.1253610780702</v>
      </c>
      <c r="H27" s="6" t="n">
        <f aca="false">Seg!H28</f>
        <v>69.5768050148776</v>
      </c>
      <c r="I27" s="6" t="n">
        <f aca="false">Seg!I28</f>
        <v>72.4233188088189</v>
      </c>
      <c r="J27" s="6" t="n">
        <f aca="false">Seg!J28</f>
        <v>75.6044096678567</v>
      </c>
      <c r="K27" s="6" t="n">
        <f aca="false">Seg!K28</f>
        <v>79.0714397009747</v>
      </c>
    </row>
    <row r="28" customFormat="false" ht="15" hidden="false" customHeight="false" outlineLevel="0" collapsed="false">
      <c r="A28" s="1" t="s">
        <v>905</v>
      </c>
      <c r="B28" s="0" t="s">
        <v>98</v>
      </c>
      <c r="D28" s="6" t="n">
        <f aca="false">Seg!D29</f>
        <v>281.724</v>
      </c>
      <c r="E28" s="6" t="n">
        <f aca="false">Seg!E29</f>
        <v>331.839</v>
      </c>
      <c r="F28" s="6" t="n">
        <f aca="false">Seg!F29</f>
        <v>404.575517363364</v>
      </c>
      <c r="G28" s="6" t="n">
        <f aca="false">Seg!G29</f>
        <v>491.616031959962</v>
      </c>
      <c r="H28" s="6" t="n">
        <f aca="false">Seg!H29</f>
        <v>585.223080296262</v>
      </c>
      <c r="I28" s="6" t="n">
        <f aca="false">Seg!I29</f>
        <v>665.287079253422</v>
      </c>
      <c r="J28" s="6" t="n">
        <f aca="false">Seg!J29</f>
        <v>730.200831531211</v>
      </c>
      <c r="K28" s="6" t="n">
        <f aca="false">Seg!K29</f>
        <v>782.719361000218</v>
      </c>
    </row>
    <row r="29" customFormat="false" ht="15" hidden="false" customHeight="false" outlineLevel="0" collapsed="false">
      <c r="A29" s="1" t="s">
        <v>906</v>
      </c>
      <c r="B29" s="0" t="s">
        <v>129</v>
      </c>
      <c r="E29" s="7" t="n">
        <f aca="false">PL!E28/PL!D28-1</f>
        <v>0.177886867998467</v>
      </c>
      <c r="F29" s="7" t="n">
        <f aca="false">PL!F28/PL!E28-1</f>
        <v>0.219192190680914</v>
      </c>
      <c r="G29" s="7" t="n">
        <f aca="false">PL!G28/PL!F28-1</f>
        <v>0.215140340581766</v>
      </c>
      <c r="H29" s="7" t="n">
        <f aca="false">PL!H28/PL!G28-1</f>
        <v>0.19040682616291</v>
      </c>
      <c r="I29" s="7" t="n">
        <f aca="false">PL!I28/PL!H28-1</f>
        <v>0.13680936663781</v>
      </c>
      <c r="J29" s="7" t="n">
        <f aca="false">PL!J28/PL!I28-1</f>
        <v>0.0975725431953893</v>
      </c>
      <c r="K29" s="7" t="n">
        <f aca="false">PL!K28/PL!J28-1</f>
        <v>0.0719234040844312</v>
      </c>
    </row>
    <row r="30" customFormat="false" ht="17.15" hidden="false" customHeight="false" outlineLevel="0" collapsed="false">
      <c r="A30" s="23" t="s">
        <v>907</v>
      </c>
      <c r="B30" s="30" t="s">
        <v>98</v>
      </c>
      <c r="C30" s="30"/>
      <c r="D30" s="24" t="n">
        <f aca="false">(PL!D23+PL!D27-PL!D28)+(PL!D15+PL!D16-PL!D14)+(PL!D18+PL!D19-PL!D17)+(PL!D28-Q!L18)</f>
        <v>0</v>
      </c>
      <c r="E30" s="24" t="n">
        <f aca="false">(PL!E23+PL!E27-PL!E28)+(PL!E15+PL!E16-PL!E14)+(PL!E18+PL!E19-PL!E17)+(PL!E28-Q!M18)</f>
        <v>0</v>
      </c>
      <c r="F30" s="24" t="n">
        <f aca="false">(PL!F23+PL!F27-PL!F28)+(PL!F15+PL!F16-PL!F14)+(PL!F18+PL!F19-PL!F17)</f>
        <v>0</v>
      </c>
      <c r="G30" s="24" t="n">
        <f aca="false">(PL!G23+PL!G27-PL!G28)+(PL!G15+PL!G16-PL!G14)+(PL!G18+PL!G19-PL!G17)</f>
        <v>0</v>
      </c>
      <c r="H30" s="24" t="n">
        <f aca="false">(PL!H23+PL!H27-PL!H28)+(PL!H15+PL!H16-PL!H14)+(PL!H18+PL!H19-PL!H17)</f>
        <v>0</v>
      </c>
      <c r="I30" s="24" t="n">
        <f aca="false">(PL!I23+PL!I27-PL!I28)+(PL!I15+PL!I16-PL!I14)+(PL!I18+PL!I19-PL!I17)</f>
        <v>0</v>
      </c>
      <c r="J30" s="24" t="n">
        <f aca="false">(PL!J23+PL!J27-PL!J28)+(PL!J15+PL!J16-PL!J14)+(PL!J18+PL!J19-PL!J17)</f>
        <v>0</v>
      </c>
      <c r="K30" s="24" t="n">
        <f aca="false">(PL!K23+PL!K27-PL!K28)+(PL!K15+PL!K16-PL!K14)+(PL!K18+PL!K19-PL!K17)</f>
        <v>0</v>
      </c>
    </row>
    <row r="31" customFormat="false" ht="17.15" hidden="false" customHeight="false" outlineLevel="0" collapsed="false">
      <c r="A31" s="0" t="s">
        <v>908</v>
      </c>
      <c r="B31" s="0" t="s">
        <v>129</v>
      </c>
      <c r="E31" s="7" t="n">
        <f aca="false">(Q!M21+Thesis!E25+Thesis!E26+Thesis!E27+Thesis!E40-Thesis!E23)/(Q!M5-Thesis!E23)</f>
        <v>0.570957350878296</v>
      </c>
      <c r="F31" s="7" t="n">
        <f aca="false">PL!$E$31+dm_seg</f>
        <v>0.570957350878296</v>
      </c>
      <c r="G31" s="7" t="n">
        <f aca="false">PL!$E$31+dm_seg</f>
        <v>0.570957350878296</v>
      </c>
      <c r="H31" s="7" t="n">
        <f aca="false">PL!$E$31+dm_seg</f>
        <v>0.570957350878296</v>
      </c>
      <c r="I31" s="7" t="n">
        <f aca="false">PL!$E$31+dm_seg</f>
        <v>0.570957350878296</v>
      </c>
      <c r="J31" s="7" t="n">
        <f aca="false">PL!$E$31+dm_seg</f>
        <v>0.570957350878296</v>
      </c>
      <c r="K31" s="7" t="n">
        <f aca="false">PL!$E$31+dm_seg</f>
        <v>0.570957350878296</v>
      </c>
      <c r="L31" s="11" t="s">
        <v>909</v>
      </c>
    </row>
    <row r="32" customFormat="false" ht="17.15" hidden="false" customHeight="false" outlineLevel="0" collapsed="false">
      <c r="A32" s="0" t="s">
        <v>743</v>
      </c>
      <c r="B32" s="0" t="s">
        <v>98</v>
      </c>
      <c r="D32" s="6" t="n">
        <f aca="false">Q!L21</f>
        <v>110.814</v>
      </c>
      <c r="E32" s="6" t="n">
        <f aca="false">Q!M21</f>
        <v>136.365</v>
      </c>
      <c r="F32" s="6" t="n">
        <f aca="false">PL!F31*(Seg!F21-Thesis!F23)+Thesis!F23-(Thesis!F25+Thesis!F26+Thesis!F27)-Thesis!F40-CF!F18</f>
        <v>161.999854987324</v>
      </c>
      <c r="G32" s="6" t="n">
        <f aca="false">PL!G31*(Seg!G21-Thesis!G23)+Thesis!G23-(Thesis!G25+Thesis!G26+Thesis!G27)-Thesis!G40-CF!G18</f>
        <v>192.317476496619</v>
      </c>
      <c r="H32" s="6" t="n">
        <f aca="false">PL!H31*(Seg!H21-Thesis!H23)+Thesis!H23-(Thesis!H25+Thesis!H26+Thesis!H27)-Thesis!H40-CF!H18</f>
        <v>226.776850218585</v>
      </c>
      <c r="I32" s="6" t="n">
        <f aca="false">PL!I31*(Seg!I21-Thesis!I23)+Thesis!I23-(Thesis!I25+Thesis!I26+Thesis!I27)-Thesis!I40-CF!I18</f>
        <v>253.110876980714</v>
      </c>
      <c r="J32" s="6" t="n">
        <f aca="false">PL!J31*(Seg!J21-Thesis!J23)+Thesis!J23-(Thesis!J25+Thesis!J26+Thesis!J27)-Thesis!J40-CF!J18</f>
        <v>275.784285288736</v>
      </c>
      <c r="K32" s="6" t="n">
        <f aca="false">PL!K31*(Seg!K21-Thesis!K23)+Thesis!K23-(Thesis!K25+Thesis!K26+Thesis!K27)-Thesis!K40-CF!K18</f>
        <v>296.380592390542</v>
      </c>
      <c r="L32" s="1" t="s">
        <v>910</v>
      </c>
    </row>
    <row r="33" customFormat="false" ht="17.15" hidden="false" customHeight="false" outlineLevel="0" collapsed="false">
      <c r="A33" s="0" t="s">
        <v>911</v>
      </c>
      <c r="B33" s="0" t="s">
        <v>129</v>
      </c>
      <c r="E33" s="7" t="n">
        <f aca="false">Q!M22/Q!M12</f>
        <v>0.296207935710698</v>
      </c>
      <c r="F33" s="7" t="n">
        <f aca="false">PL!$E$33+dm_seg</f>
        <v>0.296207935710698</v>
      </c>
      <c r="G33" s="7" t="n">
        <f aca="false">PL!$E$33+dm_seg</f>
        <v>0.296207935710698</v>
      </c>
      <c r="H33" s="7" t="n">
        <f aca="false">PL!$E$33+dm_seg</f>
        <v>0.296207935710698</v>
      </c>
      <c r="I33" s="7" t="n">
        <f aca="false">PL!$E$33+dm_seg</f>
        <v>0.296207935710698</v>
      </c>
      <c r="J33" s="7" t="n">
        <f aca="false">PL!$E$33+dm_seg</f>
        <v>0.296207935710698</v>
      </c>
      <c r="K33" s="7" t="n">
        <f aca="false">PL!$E$33+dm_seg</f>
        <v>0.296207935710698</v>
      </c>
      <c r="L33" s="11" t="s">
        <v>912</v>
      </c>
    </row>
    <row r="34" customFormat="false" ht="17.15" hidden="false" customHeight="false" outlineLevel="0" collapsed="false">
      <c r="A34" s="0" t="s">
        <v>745</v>
      </c>
      <c r="B34" s="0" t="s">
        <v>98</v>
      </c>
      <c r="D34" s="6" t="n">
        <f aca="false">Q!L22</f>
        <v>17.714</v>
      </c>
      <c r="E34" s="6" t="n">
        <f aca="false">Q!M22</f>
        <v>18.872</v>
      </c>
      <c r="F34" s="6" t="n">
        <f aca="false">Seg!F28*PL!F33</f>
        <v>19.2954518910651</v>
      </c>
      <c r="G34" s="6" t="n">
        <f aca="false">Seg!G28*PL!G33</f>
        <v>19.8830646387704</v>
      </c>
      <c r="H34" s="6" t="n">
        <f aca="false">Seg!H28*PL!H33</f>
        <v>20.6092017868026</v>
      </c>
      <c r="I34" s="6" t="n">
        <f aca="false">Seg!I28*PL!I33</f>
        <v>21.452361761678</v>
      </c>
      <c r="J34" s="6" t="n">
        <f aca="false">Seg!J28*PL!J33</f>
        <v>22.3946261183418</v>
      </c>
      <c r="K34" s="6" t="n">
        <f aca="false">Seg!K28*PL!K33</f>
        <v>23.4215879274986</v>
      </c>
    </row>
    <row r="35" customFormat="false" ht="15" hidden="false" customHeight="false" outlineLevel="0" collapsed="false">
      <c r="A35" s="1" t="s">
        <v>913</v>
      </c>
      <c r="B35" s="0" t="s">
        <v>98</v>
      </c>
      <c r="D35" s="6" t="n">
        <f aca="false">PL!D32+PL!D34</f>
        <v>128.528</v>
      </c>
      <c r="E35" s="6" t="n">
        <f aca="false">PL!E32+PL!E34</f>
        <v>155.237</v>
      </c>
      <c r="F35" s="6" t="n">
        <f aca="false">PL!F32+PL!F34</f>
        <v>181.295306878389</v>
      </c>
      <c r="G35" s="6" t="n">
        <f aca="false">PL!G32+PL!G34</f>
        <v>212.200541135389</v>
      </c>
      <c r="H35" s="6" t="n">
        <f aca="false">PL!H32+PL!H34</f>
        <v>247.386052005387</v>
      </c>
      <c r="I35" s="6" t="n">
        <f aca="false">PL!I32+PL!I34</f>
        <v>274.563238742392</v>
      </c>
      <c r="J35" s="6" t="n">
        <f aca="false">PL!J32+PL!J34</f>
        <v>298.178911407078</v>
      </c>
      <c r="K35" s="6" t="n">
        <f aca="false">PL!K32+PL!K34</f>
        <v>319.802180318041</v>
      </c>
    </row>
    <row r="36" customFormat="false" ht="15" hidden="false" customHeight="false" outlineLevel="0" collapsed="false">
      <c r="A36" s="23" t="s">
        <v>914</v>
      </c>
      <c r="B36" s="30" t="s">
        <v>98</v>
      </c>
      <c r="C36" s="30"/>
      <c r="D36" s="24" t="n">
        <f aca="false">PL!D35-Q!L23</f>
        <v>0</v>
      </c>
      <c r="E36" s="24" t="n">
        <f aca="false">PL!E35-Q!M23</f>
        <v>0</v>
      </c>
      <c r="F36" s="30"/>
      <c r="G36" s="30"/>
      <c r="H36" s="30"/>
      <c r="I36" s="30"/>
      <c r="J36" s="30"/>
      <c r="K36" s="30"/>
    </row>
    <row r="37" customFormat="false" ht="15" hidden="false" customHeight="false" outlineLevel="0" collapsed="false">
      <c r="A37" s="1" t="s">
        <v>915</v>
      </c>
      <c r="B37" s="0" t="s">
        <v>129</v>
      </c>
      <c r="D37" s="7" t="n">
        <f aca="false">PL!D35/PL!D28</f>
        <v>0.456219562408598</v>
      </c>
      <c r="E37" s="7" t="n">
        <f aca="false">PL!E35/PL!E28</f>
        <v>0.467808184089272</v>
      </c>
      <c r="F37" s="7" t="n">
        <f aca="false">PL!F35/PL!F28</f>
        <v>0.448112402005683</v>
      </c>
      <c r="G37" s="7" t="n">
        <f aca="false">PL!G35/PL!G28</f>
        <v>0.431638773636803</v>
      </c>
      <c r="H37" s="7" t="n">
        <f aca="false">PL!H35/PL!H28</f>
        <v>0.422720942380043</v>
      </c>
      <c r="I37" s="7" t="n">
        <f aca="false">PL!I35/PL!I28</f>
        <v>0.41269888940351</v>
      </c>
      <c r="J37" s="7" t="n">
        <f aca="false">PL!J35/PL!J28</f>
        <v>0.408351919816093</v>
      </c>
      <c r="K37" s="7" t="n">
        <f aca="false">PL!K35/PL!K28</f>
        <v>0.408578343979346</v>
      </c>
    </row>
    <row r="38" customFormat="false" ht="17.15" hidden="false" customHeight="false" outlineLevel="0" collapsed="false">
      <c r="A38" s="1" t="s">
        <v>916</v>
      </c>
      <c r="B38" s="0" t="s">
        <v>98</v>
      </c>
      <c r="F38" s="6" t="n">
        <f aca="false">Thesis!F44</f>
        <v>8.44248444763781</v>
      </c>
      <c r="G38" s="6" t="n">
        <f aca="false">Thesis!G44</f>
        <v>21.3653222817508</v>
      </c>
      <c r="H38" s="6" t="n">
        <f aca="false">Thesis!H44</f>
        <v>35.8221390663856</v>
      </c>
      <c r="I38" s="6" t="n">
        <f aca="false">Thesis!I44</f>
        <v>49.3691841492478</v>
      </c>
      <c r="J38" s="6" t="n">
        <f aca="false">Thesis!J44</f>
        <v>59.0322720639359</v>
      </c>
      <c r="K38" s="6" t="n">
        <f aca="false">Thesis!K44</f>
        <v>64.2195097796802</v>
      </c>
      <c r="L38" s="1" t="s">
        <v>917</v>
      </c>
    </row>
    <row r="39" customFormat="false" ht="17.15" hidden="false" customHeight="false" outlineLevel="0" collapsed="false">
      <c r="A39" s="1" t="s">
        <v>918</v>
      </c>
      <c r="B39" s="0" t="s">
        <v>98</v>
      </c>
      <c r="D39" s="6" t="n">
        <f aca="false">PL!D35</f>
        <v>128.528</v>
      </c>
      <c r="E39" s="6" t="n">
        <f aca="false">PL!E35</f>
        <v>155.237</v>
      </c>
      <c r="F39" s="6" t="n">
        <f aca="false">PL!F35+PL!F38</f>
        <v>189.737791326027</v>
      </c>
      <c r="G39" s="6" t="n">
        <f aca="false">PL!G35+PL!G38</f>
        <v>233.56586341714</v>
      </c>
      <c r="H39" s="6" t="n">
        <f aca="false">PL!H35+PL!H38</f>
        <v>283.208191071773</v>
      </c>
      <c r="I39" s="6" t="n">
        <f aca="false">PL!I35+PL!I38</f>
        <v>323.93242289164</v>
      </c>
      <c r="J39" s="6" t="n">
        <f aca="false">PL!J35+PL!J38</f>
        <v>357.211183471014</v>
      </c>
      <c r="K39" s="6" t="n">
        <f aca="false">PL!K35+PL!K38</f>
        <v>384.021690097721</v>
      </c>
    </row>
    <row r="40" customFormat="false" ht="17.15" hidden="false" customHeight="false" outlineLevel="0" collapsed="false">
      <c r="A40" s="1" t="s">
        <v>919</v>
      </c>
      <c r="B40" s="0" t="s">
        <v>98</v>
      </c>
      <c r="E40" s="6" t="n">
        <f aca="false">Thesis!E40</f>
        <v>16.3054059770833</v>
      </c>
      <c r="F40" s="6" t="n">
        <f aca="false">Thesis!F40</f>
        <v>34.0498873809555</v>
      </c>
      <c r="G40" s="6" t="n">
        <f aca="false">Thesis!G40</f>
        <v>59.1254371105111</v>
      </c>
      <c r="H40" s="6" t="n">
        <f aca="false">Thesis!H40</f>
        <v>86.3610198433111</v>
      </c>
      <c r="I40" s="6" t="n">
        <f aca="false">Thesis!I40</f>
        <v>110.605743832393</v>
      </c>
      <c r="J40" s="6" t="n">
        <f aca="false">Thesis!J40</f>
        <v>127.998322852843</v>
      </c>
      <c r="K40" s="6" t="n">
        <f aca="false">Thesis!K40</f>
        <v>139.131464044308</v>
      </c>
    </row>
    <row r="41" customFormat="false" ht="17.15" hidden="false" customHeight="false" outlineLevel="0" collapsed="false">
      <c r="A41" s="1" t="s">
        <v>920</v>
      </c>
      <c r="B41" s="0" t="s">
        <v>98</v>
      </c>
      <c r="E41" s="6" t="n">
        <f aca="false">CF!E17</f>
        <v>22.2285940229167</v>
      </c>
      <c r="F41" s="6" t="n">
        <f aca="false">CF!F17</f>
        <v>24.3924470334783</v>
      </c>
      <c r="G41" s="6" t="n">
        <f aca="false">CF!G17</f>
        <v>26.1134916871694</v>
      </c>
      <c r="H41" s="6" t="n">
        <f aca="false">CF!H17</f>
        <v>28.2582938828615</v>
      </c>
      <c r="I41" s="6" t="n">
        <f aca="false">CF!I17</f>
        <v>30.7498045257397</v>
      </c>
      <c r="J41" s="6" t="n">
        <f aca="false">CF!J17</f>
        <v>33.4954153982031</v>
      </c>
      <c r="K41" s="6" t="n">
        <f aca="false">CF!K17</f>
        <v>36.4102441325822</v>
      </c>
    </row>
    <row r="42" customFormat="false" ht="17.15" hidden="false" customHeight="false" outlineLevel="0" collapsed="false">
      <c r="A42" s="1" t="s">
        <v>921</v>
      </c>
      <c r="B42" s="0" t="s">
        <v>98</v>
      </c>
      <c r="D42" s="6" t="n">
        <f aca="false">Q!L27</f>
        <v>-4.901</v>
      </c>
      <c r="E42" s="6" t="n">
        <f aca="false">Q!M27</f>
        <v>10.697</v>
      </c>
      <c r="F42" s="6" t="n">
        <f aca="false">oie_f</f>
        <v>-0.4</v>
      </c>
      <c r="G42" s="6" t="n">
        <f aca="false">oie_f</f>
        <v>-0.4</v>
      </c>
      <c r="H42" s="6" t="n">
        <f aca="false">oie_f</f>
        <v>-0.4</v>
      </c>
      <c r="I42" s="6" t="n">
        <f aca="false">oie_f</f>
        <v>-0.4</v>
      </c>
      <c r="J42" s="6" t="n">
        <f aca="false">oie_f</f>
        <v>-0.4</v>
      </c>
      <c r="K42" s="6" t="n">
        <f aca="false">oie_f</f>
        <v>-0.4</v>
      </c>
      <c r="L42" s="11" t="s">
        <v>922</v>
      </c>
    </row>
    <row r="43" customFormat="false" ht="15" hidden="false" customHeight="false" outlineLevel="0" collapsed="false">
      <c r="A43" s="1" t="s">
        <v>923</v>
      </c>
      <c r="B43" s="0" t="s">
        <v>98</v>
      </c>
      <c r="D43" s="6" t="n">
        <f aca="false">PL!D35+PL!D42</f>
        <v>123.627</v>
      </c>
      <c r="E43" s="6" t="n">
        <f aca="false">PL!E35+PL!E42</f>
        <v>165.934</v>
      </c>
      <c r="F43" s="6" t="n">
        <f aca="false">PL!F35+PL!F42</f>
        <v>180.895306878389</v>
      </c>
      <c r="G43" s="6" t="n">
        <f aca="false">PL!G35+PL!G42</f>
        <v>211.800541135389</v>
      </c>
      <c r="H43" s="6" t="n">
        <f aca="false">PL!H35+PL!H42</f>
        <v>246.986052005387</v>
      </c>
      <c r="I43" s="6" t="n">
        <f aca="false">PL!I35+PL!I42</f>
        <v>274.163238742393</v>
      </c>
      <c r="J43" s="6" t="n">
        <f aca="false">PL!J35+PL!J42</f>
        <v>297.778911407078</v>
      </c>
      <c r="K43" s="6" t="n">
        <f aca="false">PL!K35+PL!K42</f>
        <v>319.402180318041</v>
      </c>
    </row>
    <row r="44" customFormat="false" ht="15" hidden="false" customHeight="false" outlineLevel="0" collapsed="false">
      <c r="A44" s="1" t="s">
        <v>924</v>
      </c>
      <c r="B44" s="0" t="s">
        <v>98</v>
      </c>
      <c r="D44" s="6" t="n">
        <f aca="false">Q!L29</f>
        <v>21.795</v>
      </c>
      <c r="E44" s="6" t="n">
        <f aca="false">Q!M29</f>
        <v>32.185</v>
      </c>
      <c r="F44" s="6" t="n">
        <f aca="false">PL!F43*tax_f</f>
        <v>36.1790613756778</v>
      </c>
      <c r="G44" s="6" t="n">
        <f aca="false">PL!G43*tax_f</f>
        <v>42.3601082270778</v>
      </c>
      <c r="H44" s="6" t="n">
        <f aca="false">PL!H43*tax_f</f>
        <v>49.3972104010775</v>
      </c>
      <c r="I44" s="6" t="n">
        <f aca="false">PL!I43*tax_f</f>
        <v>54.8326477484785</v>
      </c>
      <c r="J44" s="6" t="n">
        <f aca="false">PL!J43*tax_f</f>
        <v>59.5557822814156</v>
      </c>
      <c r="K44" s="6" t="n">
        <f aca="false">PL!K43*tax_f</f>
        <v>63.8804360636082</v>
      </c>
    </row>
    <row r="45" customFormat="false" ht="15" hidden="false" customHeight="false" outlineLevel="0" collapsed="false">
      <c r="A45" s="1" t="s">
        <v>925</v>
      </c>
      <c r="B45" s="0" t="s">
        <v>98</v>
      </c>
      <c r="D45" s="6" t="n">
        <f aca="false">PL!D43-PL!D44</f>
        <v>101.832</v>
      </c>
      <c r="E45" s="6" t="n">
        <f aca="false">PL!E43-PL!E44</f>
        <v>133.749</v>
      </c>
      <c r="F45" s="6" t="n">
        <f aca="false">PL!F43-PL!F44</f>
        <v>144.716245502711</v>
      </c>
      <c r="G45" s="6" t="n">
        <f aca="false">PL!G43-PL!G44</f>
        <v>169.440432908311</v>
      </c>
      <c r="H45" s="6" t="n">
        <f aca="false">PL!H43-PL!H44</f>
        <v>197.58884160431</v>
      </c>
      <c r="I45" s="6" t="n">
        <f aca="false">PL!I43-PL!I44</f>
        <v>219.330590993914</v>
      </c>
      <c r="J45" s="6" t="n">
        <f aca="false">PL!J43-PL!J44</f>
        <v>238.223129125662</v>
      </c>
      <c r="K45" s="6" t="n">
        <f aca="false">PL!K43-PL!K44</f>
        <v>255.521744254433</v>
      </c>
    </row>
    <row r="46" customFormat="false" ht="17.15" hidden="false" customHeight="false" outlineLevel="0" collapsed="false">
      <c r="A46" s="1" t="s">
        <v>926</v>
      </c>
      <c r="B46" s="1" t="s">
        <v>81</v>
      </c>
      <c r="D46" s="14" t="n">
        <f aca="false">Q!L31</f>
        <v>7.465</v>
      </c>
      <c r="E46" s="14" t="n">
        <f aca="false">Q!M31</f>
        <v>7.453</v>
      </c>
      <c r="F46" s="14" t="n">
        <f aca="false">CF!F41</f>
        <v>7.4735</v>
      </c>
      <c r="G46" s="14" t="n">
        <f aca="false">CF!G41</f>
        <v>7.50818779623633</v>
      </c>
      <c r="H46" s="14" t="n">
        <f aca="false">CF!H41</f>
        <v>7.5256271783226</v>
      </c>
      <c r="I46" s="14" t="n">
        <f aca="false">CF!I41</f>
        <v>7.53740801032992</v>
      </c>
      <c r="J46" s="14" t="n">
        <f aca="false">CF!J41</f>
        <v>7.5516495214478</v>
      </c>
      <c r="K46" s="14" t="n">
        <f aca="false">CF!K41</f>
        <v>7.56816943914954</v>
      </c>
    </row>
    <row r="47" customFormat="false" ht="17.15" hidden="false" customHeight="false" outlineLevel="0" collapsed="false">
      <c r="A47" s="0" t="s">
        <v>927</v>
      </c>
      <c r="B47" s="0" t="s">
        <v>75</v>
      </c>
      <c r="D47" s="8" t="n">
        <f aca="false">PL!D45/PL!D46</f>
        <v>13.641259209645</v>
      </c>
      <c r="E47" s="8" t="n">
        <f aca="false">PL!E45/PL!E46</f>
        <v>17.9456594659869</v>
      </c>
      <c r="F47" s="8" t="n">
        <f aca="false">PL!F45/PL!F46</f>
        <v>19.3639185793418</v>
      </c>
      <c r="G47" s="8" t="n">
        <f aca="false">PL!G45/PL!G46</f>
        <v>22.567420728774</v>
      </c>
      <c r="H47" s="8" t="n">
        <f aca="false">PL!H45/PL!H46</f>
        <v>26.2554650824931</v>
      </c>
      <c r="I47" s="8" t="n">
        <f aca="false">PL!I45/PL!I46</f>
        <v>29.098941001114</v>
      </c>
      <c r="J47" s="8" t="n">
        <f aca="false">PL!J45/PL!J46</f>
        <v>31.5458402100195</v>
      </c>
      <c r="K47" s="8" t="n">
        <f aca="false">PL!K45/PL!K46</f>
        <v>33.7626880990057</v>
      </c>
      <c r="L47" s="1" t="s">
        <v>928</v>
      </c>
    </row>
    <row r="48" customFormat="false" ht="17.15" hidden="false" customHeight="false" outlineLevel="0" collapsed="false">
      <c r="A48" s="1" t="s">
        <v>929</v>
      </c>
      <c r="B48" s="0" t="s">
        <v>98</v>
      </c>
      <c r="D48" s="6" t="n">
        <f aca="false">PL!D45</f>
        <v>101.832</v>
      </c>
      <c r="E48" s="6" t="n">
        <f aca="false">PL!E45</f>
        <v>133.749</v>
      </c>
      <c r="F48" s="6" t="n">
        <f aca="false">PL!F45+PL!F38*(1-tax_f)</f>
        <v>151.470233060821</v>
      </c>
      <c r="G48" s="6" t="n">
        <f aca="false">PL!G45+PL!G38*(1-tax_f)</f>
        <v>186.532690733712</v>
      </c>
      <c r="H48" s="6" t="n">
        <f aca="false">PL!H45+PL!H38*(1-tax_f)</f>
        <v>226.246552857418</v>
      </c>
      <c r="I48" s="6" t="n">
        <f aca="false">PL!I45+PL!I38*(1-tax_f)</f>
        <v>258.825938313312</v>
      </c>
      <c r="J48" s="6" t="n">
        <f aca="false">PL!J45+PL!J38*(1-tax_f)</f>
        <v>285.448946776811</v>
      </c>
      <c r="K48" s="6" t="n">
        <f aca="false">PL!K45+PL!K38*(1-tax_f)</f>
        <v>306.897352078177</v>
      </c>
    </row>
    <row r="49" customFormat="false" ht="17.15" hidden="false" customHeight="false" outlineLevel="0" collapsed="false">
      <c r="A49" s="0" t="s">
        <v>930</v>
      </c>
      <c r="B49" s="0" t="s">
        <v>75</v>
      </c>
      <c r="D49" s="8" t="n">
        <f aca="false">PL!D48/PL!D46</f>
        <v>13.641259209645</v>
      </c>
      <c r="E49" s="8" t="n">
        <f aca="false">PL!E48/PL!E46</f>
        <v>17.9456594659869</v>
      </c>
      <c r="F49" s="8" t="n">
        <f aca="false">PL!F48/PL!F46</f>
        <v>20.267643414842</v>
      </c>
      <c r="G49" s="8" t="n">
        <f aca="false">PL!G48/PL!G46</f>
        <v>24.8439031888915</v>
      </c>
      <c r="H49" s="8" t="n">
        <f aca="false">PL!H48/PL!H46</f>
        <v>30.0634814210723</v>
      </c>
      <c r="I49" s="8" t="n">
        <f aca="false">PL!I48/PL!I46</f>
        <v>34.3388520242761</v>
      </c>
      <c r="J49" s="8" t="n">
        <f aca="false">PL!J48/PL!J46</f>
        <v>37.7995490874006</v>
      </c>
      <c r="K49" s="8" t="n">
        <f aca="false">PL!K48/PL!K46</f>
        <v>40.5510678038762</v>
      </c>
      <c r="L49" s="1" t="s">
        <v>931</v>
      </c>
    </row>
    <row r="50" customFormat="false" ht="17.15" hidden="false" customHeight="false" outlineLevel="0" collapsed="false">
      <c r="A50" s="0" t="s">
        <v>932</v>
      </c>
      <c r="B50" s="0" t="s">
        <v>129</v>
      </c>
      <c r="E50" s="7" t="n">
        <f aca="false">PL!E49/PL!D49-1</f>
        <v>0.315542736208578</v>
      </c>
      <c r="F50" s="7" t="n">
        <f aca="false">PL!F49/PL!E49-1</f>
        <v>0.129389725312466</v>
      </c>
      <c r="G50" s="7" t="n">
        <f aca="false">PL!G49/PL!F49-1</f>
        <v>0.225791409508339</v>
      </c>
      <c r="H50" s="7" t="n">
        <f aca="false">PL!H49/PL!G49-1</f>
        <v>0.210094935264223</v>
      </c>
      <c r="I50" s="7" t="n">
        <f aca="false">PL!I49/PL!H49-1</f>
        <v>0.142211427323486</v>
      </c>
      <c r="J50" s="7" t="n">
        <f aca="false">PL!J49/PL!I49-1</f>
        <v>0.100780802476388</v>
      </c>
      <c r="K50" s="7" t="n">
        <f aca="false">PL!K49/PL!J49-1</f>
        <v>0.0727923687690975</v>
      </c>
    </row>
    <row r="51" customFormat="false" ht="17.15" hidden="false" customHeight="false" outlineLevel="0" collapsed="false">
      <c r="A51" s="3" t="s">
        <v>933</v>
      </c>
    </row>
    <row r="52" customFormat="false" ht="15" hidden="false" customHeight="false" outlineLevel="0" collapsed="false">
      <c r="A52" s="4" t="s">
        <v>43</v>
      </c>
      <c r="B52" s="4" t="s">
        <v>65</v>
      </c>
      <c r="C52" s="20" t="s">
        <v>799</v>
      </c>
      <c r="D52" s="20" t="s">
        <v>800</v>
      </c>
      <c r="E52" s="20" t="s">
        <v>801</v>
      </c>
      <c r="F52" s="20" t="s">
        <v>802</v>
      </c>
      <c r="G52" s="20" t="s">
        <v>803</v>
      </c>
      <c r="H52" s="20" t="s">
        <v>804</v>
      </c>
      <c r="I52" s="20" t="s">
        <v>805</v>
      </c>
      <c r="J52" s="20" t="s">
        <v>806</v>
      </c>
      <c r="K52" s="20" t="s">
        <v>807</v>
      </c>
      <c r="L52" s="4" t="s">
        <v>47</v>
      </c>
    </row>
    <row r="53" customFormat="false" ht="15" hidden="false" customHeight="false" outlineLevel="0" collapsed="false">
      <c r="A53" s="0" t="s">
        <v>877</v>
      </c>
      <c r="B53" s="0" t="s">
        <v>98</v>
      </c>
      <c r="D53" s="6" t="n">
        <f aca="false">Seg!D36</f>
        <v>72.61</v>
      </c>
      <c r="E53" s="6" t="n">
        <f aca="false">Seg!E36</f>
        <v>101.938</v>
      </c>
      <c r="F53" s="6" t="n">
        <f aca="false">Seg!F36</f>
        <v>145.143956312325</v>
      </c>
      <c r="G53" s="6" t="n">
        <f aca="false">Seg!G36</f>
        <v>196.478966522364</v>
      </c>
      <c r="H53" s="6" t="n">
        <f aca="false">Seg!H36</f>
        <v>249.10761332251</v>
      </c>
      <c r="I53" s="6" t="n">
        <f aca="false">Seg!I36</f>
        <v>297.09216264734</v>
      </c>
      <c r="J53" s="6" t="n">
        <f aca="false">Seg!J36</f>
        <v>334.278152607443</v>
      </c>
      <c r="K53" s="6" t="n">
        <f aca="false">Seg!K36</f>
        <v>361.233666909276</v>
      </c>
    </row>
    <row r="54" customFormat="false" ht="17.15" hidden="false" customHeight="false" outlineLevel="0" collapsed="false">
      <c r="A54" s="0" t="s">
        <v>874</v>
      </c>
      <c r="B54" s="0" t="s">
        <v>98</v>
      </c>
      <c r="D54" s="6" t="n">
        <f aca="false">Seg!D33</f>
        <v>12.9359794422418</v>
      </c>
      <c r="E54" s="6" t="n">
        <f aca="false">Seg!E33</f>
        <v>27.8095064661409</v>
      </c>
      <c r="F54" s="6" t="n">
        <f aca="false">Seg!F33</f>
        <v>55.0640065749585</v>
      </c>
      <c r="G54" s="6" t="n">
        <f aca="false">Seg!G33</f>
        <v>89.4505413190538</v>
      </c>
      <c r="H54" s="6" t="n">
        <f aca="false">Seg!H33</f>
        <v>124.835630736874</v>
      </c>
      <c r="I54" s="6" t="n">
        <f aca="false">Seg!I33</f>
        <v>156.158460265485</v>
      </c>
      <c r="J54" s="6" t="n">
        <f aca="false">Seg!J33</f>
        <v>178.259285293112</v>
      </c>
      <c r="K54" s="6" t="n">
        <f aca="false">Seg!K33</f>
        <v>192.733290209798</v>
      </c>
    </row>
    <row r="55" customFormat="false" ht="17.15" hidden="false" customHeight="false" outlineLevel="0" collapsed="false">
      <c r="A55" s="0" t="s">
        <v>902</v>
      </c>
      <c r="B55" s="0" t="s">
        <v>98</v>
      </c>
      <c r="D55" s="6" t="n">
        <f aca="false">Seg!D34</f>
        <v>59.6740205577583</v>
      </c>
      <c r="E55" s="6" t="n">
        <f aca="false">Seg!E34</f>
        <v>74.1284935338591</v>
      </c>
      <c r="F55" s="6" t="n">
        <f aca="false">Seg!F34</f>
        <v>90.0799497373663</v>
      </c>
      <c r="G55" s="6" t="n">
        <f aca="false">Seg!G34</f>
        <v>107.02842520331</v>
      </c>
      <c r="H55" s="6" t="n">
        <f aca="false">Seg!H34</f>
        <v>124.271982585636</v>
      </c>
      <c r="I55" s="6" t="n">
        <f aca="false">Seg!I34</f>
        <v>140.933702381855</v>
      </c>
      <c r="J55" s="6" t="n">
        <f aca="false">Seg!J34</f>
        <v>156.018867314332</v>
      </c>
      <c r="K55" s="6" t="n">
        <f aca="false">Seg!K34</f>
        <v>168.500376699478</v>
      </c>
    </row>
    <row r="56" customFormat="false" ht="15" hidden="false" customHeight="false" outlineLevel="0" collapsed="false">
      <c r="A56" s="0" t="s">
        <v>883</v>
      </c>
      <c r="B56" s="0" t="s">
        <v>98</v>
      </c>
      <c r="D56" s="6" t="n">
        <f aca="false">Seg!D41</f>
        <v>84.605</v>
      </c>
      <c r="E56" s="6" t="n">
        <f aca="false">Seg!E41</f>
        <v>100.299</v>
      </c>
      <c r="F56" s="6" t="n">
        <f aca="false">Seg!F41</f>
        <v>118.89238776686</v>
      </c>
      <c r="G56" s="6" t="n">
        <f aca="false">Seg!G41</f>
        <v>137.044168448684</v>
      </c>
      <c r="H56" s="6" t="n">
        <f aca="false">Seg!H41</f>
        <v>155.277359388781</v>
      </c>
      <c r="I56" s="6" t="n">
        <f aca="false">Seg!I41</f>
        <v>171.834028071957</v>
      </c>
      <c r="J56" s="6" t="n">
        <f aca="false">Seg!J41</f>
        <v>186.432702785465</v>
      </c>
      <c r="K56" s="6" t="n">
        <f aca="false">Seg!K41</f>
        <v>200.277991980448</v>
      </c>
    </row>
    <row r="57" customFormat="false" ht="17.15" hidden="false" customHeight="false" outlineLevel="0" collapsed="false">
      <c r="A57" s="0" t="s">
        <v>903</v>
      </c>
      <c r="B57" s="0" t="s">
        <v>98</v>
      </c>
      <c r="D57" s="6" t="n">
        <f aca="false">Seg!D39</f>
        <v>83.705</v>
      </c>
      <c r="E57" s="6" t="n">
        <f aca="false">Seg!E39</f>
        <v>95.049</v>
      </c>
      <c r="F57" s="6" t="n">
        <f aca="false">Seg!F39</f>
        <v>106.89238776686</v>
      </c>
      <c r="G57" s="6" t="n">
        <f aca="false">Seg!G39</f>
        <v>119.044168448684</v>
      </c>
      <c r="H57" s="6" t="n">
        <f aca="false">Seg!H39</f>
        <v>131.277359388781</v>
      </c>
      <c r="I57" s="6" t="n">
        <f aca="false">Seg!I39</f>
        <v>143.334028071957</v>
      </c>
      <c r="J57" s="6" t="n">
        <f aca="false">Seg!J39</f>
        <v>154.932702785465</v>
      </c>
      <c r="K57" s="6" t="n">
        <f aca="false">Seg!K39</f>
        <v>165.777991980448</v>
      </c>
    </row>
    <row r="58" customFormat="false" ht="17.15" hidden="false" customHeight="false" outlineLevel="0" collapsed="false">
      <c r="A58" s="0" t="s">
        <v>904</v>
      </c>
      <c r="B58" s="0" t="s">
        <v>98</v>
      </c>
      <c r="D58" s="6" t="n">
        <f aca="false">Seg!D38</f>
        <v>0.9</v>
      </c>
      <c r="E58" s="6" t="n">
        <f aca="false">Seg!E38</f>
        <v>5.25</v>
      </c>
      <c r="F58" s="6" t="n">
        <f aca="false">Seg!F38</f>
        <v>12</v>
      </c>
      <c r="G58" s="6" t="n">
        <f aca="false">Seg!G38</f>
        <v>18</v>
      </c>
      <c r="H58" s="6" t="n">
        <f aca="false">Seg!H38</f>
        <v>24</v>
      </c>
      <c r="I58" s="6" t="n">
        <f aca="false">Seg!I38</f>
        <v>28.5</v>
      </c>
      <c r="J58" s="6" t="n">
        <f aca="false">Seg!J38</f>
        <v>31.5</v>
      </c>
      <c r="K58" s="6" t="n">
        <f aca="false">Seg!K38</f>
        <v>34.5</v>
      </c>
    </row>
    <row r="59" customFormat="false" ht="15" hidden="false" customHeight="false" outlineLevel="0" collapsed="false">
      <c r="A59" s="0" t="s">
        <v>884</v>
      </c>
      <c r="B59" s="0" t="s">
        <v>98</v>
      </c>
      <c r="D59" s="6" t="n">
        <f aca="false">Seg!D42</f>
        <v>35.391</v>
      </c>
      <c r="E59" s="6" t="n">
        <f aca="false">Seg!E42</f>
        <v>37.285</v>
      </c>
      <c r="F59" s="6" t="n">
        <f aca="false">Seg!F42</f>
        <v>39.0720834331704</v>
      </c>
      <c r="G59" s="6" t="n">
        <f aca="false">Seg!G42</f>
        <v>40.726562953769</v>
      </c>
      <c r="H59" s="6" t="n">
        <f aca="false">Seg!H42</f>
        <v>42.2235987259198</v>
      </c>
      <c r="I59" s="6" t="n">
        <f aca="false">Seg!I42</f>
        <v>43.5397988077414</v>
      </c>
      <c r="J59" s="6" t="n">
        <f aca="false">Seg!J42</f>
        <v>44.653811225693</v>
      </c>
      <c r="K59" s="6" t="n">
        <f aca="false">Seg!K42</f>
        <v>45.5468874502068</v>
      </c>
    </row>
    <row r="60" customFormat="false" ht="15" hidden="false" customHeight="false" outlineLevel="0" collapsed="false">
      <c r="A60" s="0" t="s">
        <v>885</v>
      </c>
      <c r="B60" s="0" t="s">
        <v>98</v>
      </c>
      <c r="D60" s="6" t="n">
        <f aca="false">Seg!D44</f>
        <v>18.417</v>
      </c>
      <c r="E60" s="6" t="n">
        <f aca="false">Seg!E44</f>
        <v>20.345</v>
      </c>
      <c r="F60" s="6" t="n">
        <f aca="false">Seg!F44</f>
        <v>22.3572203267814</v>
      </c>
      <c r="G60" s="6" t="n">
        <f aca="false">Seg!G44</f>
        <v>24.4392124437232</v>
      </c>
      <c r="H60" s="6" t="n">
        <f aca="false">Seg!H44</f>
        <v>26.5738052080665</v>
      </c>
      <c r="I60" s="6" t="n">
        <f aca="false">Seg!I44</f>
        <v>28.7412169166967</v>
      </c>
      <c r="J60" s="6" t="n">
        <f aca="false">Seg!J44</f>
        <v>30.9192545395413</v>
      </c>
      <c r="K60" s="6" t="n">
        <f aca="false">Seg!K44</f>
        <v>33.0836023573092</v>
      </c>
    </row>
    <row r="61" customFormat="false" ht="15" hidden="false" customHeight="false" outlineLevel="0" collapsed="false">
      <c r="A61" s="0" t="s">
        <v>886</v>
      </c>
      <c r="B61" s="0" t="s">
        <v>98</v>
      </c>
      <c r="D61" s="6" t="n">
        <f aca="false">Seg!D46</f>
        <v>7.76</v>
      </c>
      <c r="E61" s="6" t="n">
        <f aca="false">Seg!E46</f>
        <v>8.26</v>
      </c>
      <c r="F61" s="6" t="n">
        <f aca="false">Seg!F46</f>
        <v>8.79988041237113</v>
      </c>
      <c r="G61" s="6" t="n">
        <f aca="false">Seg!G46</f>
        <v>9.38321269125306</v>
      </c>
      <c r="H61" s="6" t="n">
        <f aca="false">Seg!H46</f>
        <v>10.0139193587476</v>
      </c>
      <c r="I61" s="6" t="n">
        <f aca="false">Seg!I46</f>
        <v>10.6963111830911</v>
      </c>
      <c r="J61" s="6" t="n">
        <f aca="false">Seg!J46</f>
        <v>11.4351285534696</v>
      </c>
      <c r="K61" s="6" t="n">
        <f aca="false">Seg!K46</f>
        <v>12.2355875522124</v>
      </c>
    </row>
    <row r="62" customFormat="false" ht="15" hidden="false" customHeight="false" outlineLevel="0" collapsed="false">
      <c r="A62" s="0" t="s">
        <v>715</v>
      </c>
      <c r="B62" s="0" t="s">
        <v>98</v>
      </c>
      <c r="D62" s="6" t="n">
        <f aca="false">Seg!D48</f>
        <v>218.783</v>
      </c>
      <c r="E62" s="6" t="n">
        <f aca="false">Seg!E48</f>
        <v>268.127</v>
      </c>
      <c r="F62" s="6" t="n">
        <f aca="false">Seg!F48</f>
        <v>334.265528251508</v>
      </c>
      <c r="G62" s="6" t="n">
        <f aca="false">Seg!G48</f>
        <v>408.072123059793</v>
      </c>
      <c r="H62" s="6" t="n">
        <f aca="false">Seg!H48</f>
        <v>483.196296004025</v>
      </c>
      <c r="I62" s="6" t="n">
        <f aca="false">Seg!I48</f>
        <v>551.903517626826</v>
      </c>
      <c r="J62" s="6" t="n">
        <f aca="false">Seg!J48</f>
        <v>607.719049711612</v>
      </c>
      <c r="K62" s="6" t="n">
        <f aca="false">Seg!K48</f>
        <v>652.377736249452</v>
      </c>
    </row>
    <row r="63" customFormat="false" ht="15" hidden="false" customHeight="false" outlineLevel="0" collapsed="false">
      <c r="A63" s="0" t="s">
        <v>887</v>
      </c>
      <c r="B63" s="0" t="s">
        <v>98</v>
      </c>
      <c r="D63" s="6" t="n">
        <f aca="false">Seg!D49</f>
        <v>22.171</v>
      </c>
      <c r="E63" s="6" t="n">
        <f aca="false">Seg!E49</f>
        <v>24.835</v>
      </c>
      <c r="F63" s="6" t="n">
        <f aca="false">Seg!F49</f>
        <v>27.6114901218559</v>
      </c>
      <c r="G63" s="6" t="n">
        <f aca="false">Seg!G49</f>
        <v>30.4675667338515</v>
      </c>
      <c r="H63" s="6" t="n">
        <f aca="false">Seg!H49</f>
        <v>33.3643766955789</v>
      </c>
      <c r="I63" s="6" t="n">
        <f aca="false">Seg!I49</f>
        <v>36.2577016533691</v>
      </c>
      <c r="J63" s="6" t="n">
        <f aca="false">Seg!J49</f>
        <v>39.0988367952171</v>
      </c>
      <c r="K63" s="6" t="n">
        <f aca="false">Seg!K49</f>
        <v>41.8357553708823</v>
      </c>
    </row>
    <row r="64" customFormat="false" ht="15" hidden="false" customHeight="false" outlineLevel="0" collapsed="false">
      <c r="A64" s="0" t="s">
        <v>888</v>
      </c>
      <c r="B64" s="0" t="s">
        <v>98</v>
      </c>
      <c r="D64" s="6" t="n">
        <f aca="false">Seg!D51</f>
        <v>23.455</v>
      </c>
      <c r="E64" s="6" t="n">
        <f aca="false">Seg!E51</f>
        <v>21.79</v>
      </c>
      <c r="F64" s="6" t="n">
        <f aca="false">Seg!F51</f>
        <v>20.5736277908051</v>
      </c>
      <c r="G64" s="6" t="n">
        <f aca="false">Seg!G51</f>
        <v>19.7371452817919</v>
      </c>
      <c r="H64" s="6" t="n">
        <f aca="false">Seg!H51</f>
        <v>19.2339764043138</v>
      </c>
      <c r="I64" s="6" t="n">
        <f aca="false">Seg!I51</f>
        <v>19.0353086852681</v>
      </c>
      <c r="J64" s="6" t="n">
        <f aca="false">Seg!J51</f>
        <v>19.1273539319129</v>
      </c>
      <c r="K64" s="6" t="n">
        <f aca="false">Seg!K51</f>
        <v>19.5099010105511</v>
      </c>
    </row>
    <row r="65" customFormat="false" ht="15" hidden="false" customHeight="false" outlineLevel="0" collapsed="false">
      <c r="A65" s="0" t="s">
        <v>889</v>
      </c>
      <c r="B65" s="0" t="s">
        <v>98</v>
      </c>
      <c r="D65" s="6" t="n">
        <f aca="false">Seg!D53</f>
        <v>17.315</v>
      </c>
      <c r="E65" s="6" t="n">
        <f aca="false">Seg!E53</f>
        <v>17.087</v>
      </c>
      <c r="F65" s="6" t="n">
        <f aca="false">Seg!F53</f>
        <v>16.9564585436519</v>
      </c>
      <c r="G65" s="6" t="n">
        <f aca="false">Seg!G53</f>
        <v>16.9206490624268</v>
      </c>
      <c r="H65" s="6" t="n">
        <f aca="false">Seg!H53</f>
        <v>16.9784519149849</v>
      </c>
      <c r="I65" s="6" t="n">
        <f aca="false">Seg!I53</f>
        <v>17.1303084701817</v>
      </c>
      <c r="J65" s="6" t="n">
        <f aca="false">Seg!J53</f>
        <v>17.3782189407267</v>
      </c>
      <c r="K65" s="6" t="n">
        <f aca="false">Seg!K53</f>
        <v>17.7257833195413</v>
      </c>
    </row>
    <row r="66" customFormat="false" ht="15" hidden="false" customHeight="false" outlineLevel="0" collapsed="false">
      <c r="A66" s="0" t="s">
        <v>729</v>
      </c>
      <c r="B66" s="0" t="s">
        <v>98</v>
      </c>
      <c r="D66" s="6" t="n">
        <f aca="false">Seg!D55</f>
        <v>62.941</v>
      </c>
      <c r="E66" s="6" t="n">
        <f aca="false">Seg!E55</f>
        <v>63.712</v>
      </c>
      <c r="F66" s="6" t="n">
        <f aca="false">Seg!F55</f>
        <v>65.1415764563129</v>
      </c>
      <c r="G66" s="6" t="n">
        <f aca="false">Seg!G55</f>
        <v>67.1253610780702</v>
      </c>
      <c r="H66" s="6" t="n">
        <f aca="false">Seg!H55</f>
        <v>69.5768050148776</v>
      </c>
      <c r="I66" s="6" t="n">
        <f aca="false">Seg!I55</f>
        <v>72.4233188088189</v>
      </c>
      <c r="J66" s="6" t="n">
        <f aca="false">Seg!J55</f>
        <v>75.6044096678567</v>
      </c>
      <c r="K66" s="6" t="n">
        <f aca="false">Seg!K55</f>
        <v>79.0714397009747</v>
      </c>
    </row>
    <row r="67" customFormat="false" ht="15" hidden="false" customHeight="false" outlineLevel="0" collapsed="false">
      <c r="A67" s="1" t="s">
        <v>905</v>
      </c>
      <c r="B67" s="0" t="s">
        <v>98</v>
      </c>
      <c r="D67" s="6" t="n">
        <f aca="false">Seg!D56</f>
        <v>281.724</v>
      </c>
      <c r="E67" s="6" t="n">
        <f aca="false">Seg!E56</f>
        <v>331.839</v>
      </c>
      <c r="F67" s="6" t="n">
        <f aca="false">Seg!F56</f>
        <v>399.407104707821</v>
      </c>
      <c r="G67" s="6" t="n">
        <f aca="false">Seg!G56</f>
        <v>475.197484137863</v>
      </c>
      <c r="H67" s="6" t="n">
        <f aca="false">Seg!H56</f>
        <v>552.773101018903</v>
      </c>
      <c r="I67" s="6" t="n">
        <f aca="false">Seg!I56</f>
        <v>624.326836435645</v>
      </c>
      <c r="J67" s="6" t="n">
        <f aca="false">Seg!J56</f>
        <v>683.323459379469</v>
      </c>
      <c r="K67" s="6" t="n">
        <f aca="false">Seg!K56</f>
        <v>731.449175950427</v>
      </c>
    </row>
    <row r="68" customFormat="false" ht="15" hidden="false" customHeight="false" outlineLevel="0" collapsed="false">
      <c r="A68" s="1" t="s">
        <v>906</v>
      </c>
      <c r="B68" s="0" t="s">
        <v>129</v>
      </c>
      <c r="E68" s="7" t="n">
        <f aca="false">PL!E67/PL!D67-1</f>
        <v>0.177886867998467</v>
      </c>
      <c r="F68" s="7" t="n">
        <f aca="false">PL!F67/PL!E67-1</f>
        <v>0.203617129715978</v>
      </c>
      <c r="G68" s="7" t="n">
        <f aca="false">PL!G67/PL!F67-1</f>
        <v>0.189757213972159</v>
      </c>
      <c r="H68" s="7" t="n">
        <f aca="false">PL!H67/PL!G67-1</f>
        <v>0.163249216316418</v>
      </c>
      <c r="I68" s="7" t="n">
        <f aca="false">PL!I67/PL!H67-1</f>
        <v>0.129445038633121</v>
      </c>
      <c r="J68" s="7" t="n">
        <f aca="false">PL!J67/PL!I67-1</f>
        <v>0.0944963751368479</v>
      </c>
      <c r="K68" s="7" t="n">
        <f aca="false">PL!K67/PL!J67-1</f>
        <v>0.0704288955843271</v>
      </c>
    </row>
    <row r="69" customFormat="false" ht="17.15" hidden="false" customHeight="false" outlineLevel="0" collapsed="false">
      <c r="A69" s="23" t="s">
        <v>907</v>
      </c>
      <c r="B69" s="30" t="s">
        <v>98</v>
      </c>
      <c r="C69" s="30"/>
      <c r="D69" s="24" t="n">
        <f aca="false">(PL!D62+PL!D66-PL!D67)+(PL!D54+PL!D55-PL!D53)+(PL!D57+PL!D58-PL!D56)+(PL!D67-Q!L18)</f>
        <v>0</v>
      </c>
      <c r="E69" s="24" t="n">
        <f aca="false">(PL!E62+PL!E66-PL!E67)+(PL!E54+PL!E55-PL!E53)+(PL!E57+PL!E58-PL!E56)+(PL!E67-Q!M18)</f>
        <v>0</v>
      </c>
      <c r="F69" s="24" t="n">
        <f aca="false">(PL!F62+PL!F66-PL!F67)+(PL!F54+PL!F55-PL!F53)+(PL!F57+PL!F58-PL!F56)</f>
        <v>0</v>
      </c>
      <c r="G69" s="24" t="n">
        <f aca="false">(PL!G62+PL!G66-PL!G67)+(PL!G54+PL!G55-PL!G53)+(PL!G57+PL!G58-PL!G56)</f>
        <v>0</v>
      </c>
      <c r="H69" s="24" t="n">
        <f aca="false">(PL!H62+PL!H66-PL!H67)+(PL!H54+PL!H55-PL!H53)+(PL!H57+PL!H58-PL!H56)</f>
        <v>0</v>
      </c>
      <c r="I69" s="24" t="n">
        <f aca="false">(PL!I62+PL!I66-PL!I67)+(PL!I54+PL!I55-PL!I53)+(PL!I57+PL!I58-PL!I56)</f>
        <v>0</v>
      </c>
      <c r="J69" s="24" t="n">
        <f aca="false">(PL!J62+PL!J66-PL!J67)+(PL!J54+PL!J55-PL!J53)+(PL!J57+PL!J58-PL!J56)</f>
        <v>0</v>
      </c>
      <c r="K69" s="24" t="n">
        <f aca="false">(PL!K62+PL!K66-PL!K67)+(PL!K54+PL!K55-PL!K53)+(PL!K57+PL!K58-PL!K56)</f>
        <v>0</v>
      </c>
    </row>
    <row r="70" customFormat="false" ht="17.15" hidden="false" customHeight="false" outlineLevel="0" collapsed="false">
      <c r="A70" s="0" t="s">
        <v>908</v>
      </c>
      <c r="B70" s="0" t="s">
        <v>129</v>
      </c>
      <c r="E70" s="7" t="n">
        <f aca="false">(Q!M21+Thesis!E74+Thesis!E75+Thesis!E76+Thesis!E89-Thesis!E72)/(Q!M5-Thesis!E72)</f>
        <v>0.570957350878296</v>
      </c>
      <c r="F70" s="7" t="n">
        <f aca="false">PL!$E$70+dm_seg</f>
        <v>0.570957350878296</v>
      </c>
      <c r="G70" s="7" t="n">
        <f aca="false">PL!$E$70+dm_seg</f>
        <v>0.570957350878296</v>
      </c>
      <c r="H70" s="7" t="n">
        <f aca="false">PL!$E$70+dm_seg</f>
        <v>0.570957350878296</v>
      </c>
      <c r="I70" s="7" t="n">
        <f aca="false">PL!$E$70+dm_seg</f>
        <v>0.570957350878296</v>
      </c>
      <c r="J70" s="7" t="n">
        <f aca="false">PL!$E$70+dm_seg</f>
        <v>0.570957350878296</v>
      </c>
      <c r="K70" s="7" t="n">
        <f aca="false">PL!$E$70+dm_seg</f>
        <v>0.570957350878296</v>
      </c>
      <c r="L70" s="11" t="s">
        <v>909</v>
      </c>
    </row>
    <row r="71" customFormat="false" ht="17.15" hidden="false" customHeight="false" outlineLevel="0" collapsed="false">
      <c r="A71" s="0" t="s">
        <v>743</v>
      </c>
      <c r="B71" s="0" t="s">
        <v>98</v>
      </c>
      <c r="D71" s="6" t="n">
        <f aca="false">Q!L21</f>
        <v>110.814</v>
      </c>
      <c r="E71" s="6" t="n">
        <f aca="false">Q!M21</f>
        <v>136.365</v>
      </c>
      <c r="F71" s="6" t="n">
        <f aca="false">PL!F70*(Seg!F48-Thesis!F72)+Thesis!F72-(Thesis!F74+Thesis!F75+Thesis!F76)-Thesis!F89-CF!F49</f>
        <v>157.460006305463</v>
      </c>
      <c r="G71" s="6" t="n">
        <f aca="false">PL!G70*(Seg!G48-Thesis!G72)+Thesis!G72-(Thesis!G74+Thesis!G75+Thesis!G76)-Thesis!G89-CF!G49</f>
        <v>177.816120595567</v>
      </c>
      <c r="H71" s="6" t="n">
        <f aca="false">PL!H70*(Seg!H48-Thesis!H72)+Thesis!H72-(Thesis!H74+Thesis!H75+Thesis!H76)-Thesis!H89-CF!H49</f>
        <v>197.532540809638</v>
      </c>
      <c r="I71" s="6" t="n">
        <f aca="false">PL!I70*(Seg!I48-Thesis!I72)+Thesis!I72-(Thesis!I74+Thesis!I75+Thesis!I76)-Thesis!I89-CF!I49</f>
        <v>216.322864991873</v>
      </c>
      <c r="J71" s="6" t="n">
        <f aca="false">PL!J70*(Seg!J48-Thesis!J72)+Thesis!J72-(Thesis!J74+Thesis!J75+Thesis!J76)-Thesis!J89-CF!J49</f>
        <v>233.723801439613</v>
      </c>
      <c r="K71" s="6" t="n">
        <f aca="false">PL!K70*(Seg!K48-Thesis!K72)+Thesis!K72-(Thesis!K74+Thesis!K75+Thesis!K76)-Thesis!K89-CF!K49</f>
        <v>250.571843767052</v>
      </c>
      <c r="L71" s="1" t="s">
        <v>910</v>
      </c>
    </row>
    <row r="72" customFormat="false" ht="17.15" hidden="false" customHeight="false" outlineLevel="0" collapsed="false">
      <c r="A72" s="0" t="s">
        <v>911</v>
      </c>
      <c r="B72" s="0" t="s">
        <v>129</v>
      </c>
      <c r="E72" s="7" t="n">
        <f aca="false">Q!M22/Q!M12</f>
        <v>0.296207935710698</v>
      </c>
      <c r="F72" s="7" t="n">
        <f aca="false">PL!$E$72+dm_seg</f>
        <v>0.296207935710698</v>
      </c>
      <c r="G72" s="7" t="n">
        <f aca="false">PL!$E$72+dm_seg</f>
        <v>0.296207935710698</v>
      </c>
      <c r="H72" s="7" t="n">
        <f aca="false">PL!$E$72+dm_seg</f>
        <v>0.296207935710698</v>
      </c>
      <c r="I72" s="7" t="n">
        <f aca="false">PL!$E$72+dm_seg</f>
        <v>0.296207935710698</v>
      </c>
      <c r="J72" s="7" t="n">
        <f aca="false">PL!$E$72+dm_seg</f>
        <v>0.296207935710698</v>
      </c>
      <c r="K72" s="7" t="n">
        <f aca="false">PL!$E$72+dm_seg</f>
        <v>0.296207935710698</v>
      </c>
      <c r="L72" s="11" t="s">
        <v>912</v>
      </c>
    </row>
    <row r="73" customFormat="false" ht="17.15" hidden="false" customHeight="false" outlineLevel="0" collapsed="false">
      <c r="A73" s="0" t="s">
        <v>745</v>
      </c>
      <c r="B73" s="0" t="s">
        <v>98</v>
      </c>
      <c r="D73" s="6" t="n">
        <f aca="false">Q!L22</f>
        <v>17.714</v>
      </c>
      <c r="E73" s="6" t="n">
        <f aca="false">Q!M22</f>
        <v>18.872</v>
      </c>
      <c r="F73" s="6" t="n">
        <f aca="false">Seg!F55*PL!F72</f>
        <v>19.2954518910651</v>
      </c>
      <c r="G73" s="6" t="n">
        <f aca="false">Seg!G55*PL!G72</f>
        <v>19.8830646387704</v>
      </c>
      <c r="H73" s="6" t="n">
        <f aca="false">Seg!H55*PL!H72</f>
        <v>20.6092017868026</v>
      </c>
      <c r="I73" s="6" t="n">
        <f aca="false">Seg!I55*PL!I72</f>
        <v>21.452361761678</v>
      </c>
      <c r="J73" s="6" t="n">
        <f aca="false">Seg!J55*PL!J72</f>
        <v>22.3946261183418</v>
      </c>
      <c r="K73" s="6" t="n">
        <f aca="false">Seg!K55*PL!K72</f>
        <v>23.4215879274986</v>
      </c>
    </row>
    <row r="74" customFormat="false" ht="15" hidden="false" customHeight="false" outlineLevel="0" collapsed="false">
      <c r="A74" s="1" t="s">
        <v>913</v>
      </c>
      <c r="B74" s="0" t="s">
        <v>98</v>
      </c>
      <c r="D74" s="6" t="n">
        <f aca="false">PL!D71+PL!D73</f>
        <v>128.528</v>
      </c>
      <c r="E74" s="6" t="n">
        <f aca="false">PL!E71+PL!E73</f>
        <v>155.237</v>
      </c>
      <c r="F74" s="6" t="n">
        <f aca="false">PL!F71+PL!F73</f>
        <v>176.755458196528</v>
      </c>
      <c r="G74" s="6" t="n">
        <f aca="false">PL!G71+PL!G73</f>
        <v>197.699185234338</v>
      </c>
      <c r="H74" s="6" t="n">
        <f aca="false">PL!H71+PL!H73</f>
        <v>218.14174259644</v>
      </c>
      <c r="I74" s="6" t="n">
        <f aca="false">PL!I71+PL!I73</f>
        <v>237.775226753551</v>
      </c>
      <c r="J74" s="6" t="n">
        <f aca="false">PL!J71+PL!J73</f>
        <v>256.118427557955</v>
      </c>
      <c r="K74" s="6" t="n">
        <f aca="false">PL!K71+PL!K73</f>
        <v>273.993431694551</v>
      </c>
    </row>
    <row r="75" customFormat="false" ht="15" hidden="false" customHeight="false" outlineLevel="0" collapsed="false">
      <c r="A75" s="23" t="s">
        <v>914</v>
      </c>
      <c r="B75" s="30" t="s">
        <v>98</v>
      </c>
      <c r="C75" s="30"/>
      <c r="D75" s="24" t="n">
        <f aca="false">PL!D74-Q!L23</f>
        <v>0</v>
      </c>
      <c r="E75" s="24" t="n">
        <f aca="false">PL!E74-Q!M23</f>
        <v>0</v>
      </c>
      <c r="F75" s="30"/>
      <c r="G75" s="30"/>
      <c r="H75" s="30"/>
      <c r="I75" s="30"/>
      <c r="J75" s="30"/>
      <c r="K75" s="30"/>
    </row>
    <row r="76" customFormat="false" ht="15" hidden="false" customHeight="false" outlineLevel="0" collapsed="false">
      <c r="A76" s="1" t="s">
        <v>915</v>
      </c>
      <c r="B76" s="0" t="s">
        <v>129</v>
      </c>
      <c r="D76" s="7" t="n">
        <f aca="false">PL!D74/PL!D67</f>
        <v>0.456219562408598</v>
      </c>
      <c r="E76" s="7" t="n">
        <f aca="false">PL!E74/PL!E67</f>
        <v>0.467808184089272</v>
      </c>
      <c r="F76" s="7" t="n">
        <f aca="false">PL!F74/PL!F67</f>
        <v>0.442544602019112</v>
      </c>
      <c r="G76" s="7" t="n">
        <f aca="false">PL!G74/PL!G67</f>
        <v>0.41603584158914</v>
      </c>
      <c r="H76" s="7" t="n">
        <f aca="false">PL!H74/PL!H67</f>
        <v>0.394631616832203</v>
      </c>
      <c r="I76" s="7" t="n">
        <f aca="false">PL!I74/PL!I67</f>
        <v>0.380850562360955</v>
      </c>
      <c r="J76" s="7" t="n">
        <f aca="false">PL!J74/PL!J67</f>
        <v>0.374812870892121</v>
      </c>
      <c r="K76" s="7" t="n">
        <f aca="false">PL!K74/PL!K67</f>
        <v>0.374589842607357</v>
      </c>
    </row>
    <row r="77" customFormat="false" ht="17.15" hidden="false" customHeight="false" outlineLevel="0" collapsed="false">
      <c r="A77" s="1" t="s">
        <v>916</v>
      </c>
      <c r="B77" s="0" t="s">
        <v>98</v>
      </c>
      <c r="F77" s="6" t="n">
        <f aca="false">Thesis!F93</f>
        <v>9.29892047395526</v>
      </c>
      <c r="G77" s="6" t="n">
        <f aca="false">Thesis!G93</f>
        <v>23.9346303607031</v>
      </c>
      <c r="H77" s="6" t="n">
        <f aca="false">Thesis!H93</f>
        <v>40.1043191979728</v>
      </c>
      <c r="I77" s="6" t="n">
        <f aca="false">Thesis!I93</f>
        <v>54.9360183203111</v>
      </c>
      <c r="J77" s="6" t="n">
        <f aca="false">Thesis!J93</f>
        <v>65.4555422613168</v>
      </c>
      <c r="K77" s="6" t="n">
        <f aca="false">Thesis!K93</f>
        <v>71.4992160033785</v>
      </c>
      <c r="L77" s="1" t="s">
        <v>917</v>
      </c>
    </row>
    <row r="78" customFormat="false" ht="17.15" hidden="false" customHeight="false" outlineLevel="0" collapsed="false">
      <c r="A78" s="1" t="s">
        <v>918</v>
      </c>
      <c r="B78" s="0" t="s">
        <v>98</v>
      </c>
      <c r="D78" s="6" t="n">
        <f aca="false">PL!D74</f>
        <v>128.528</v>
      </c>
      <c r="E78" s="6" t="n">
        <f aca="false">PL!E74</f>
        <v>155.237</v>
      </c>
      <c r="F78" s="6" t="n">
        <f aca="false">PL!F74+PL!F77</f>
        <v>186.054378670483</v>
      </c>
      <c r="G78" s="6" t="n">
        <f aca="false">PL!G74+PL!G77</f>
        <v>221.633815595041</v>
      </c>
      <c r="H78" s="6" t="n">
        <f aca="false">PL!H74+PL!H77</f>
        <v>258.246061794413</v>
      </c>
      <c r="I78" s="6" t="n">
        <f aca="false">PL!I74+PL!I77</f>
        <v>292.711245073863</v>
      </c>
      <c r="J78" s="6" t="n">
        <f aca="false">PL!J74+PL!J77</f>
        <v>321.573969819271</v>
      </c>
      <c r="K78" s="6" t="n">
        <f aca="false">PL!K74+PL!K77</f>
        <v>345.492647697929</v>
      </c>
    </row>
    <row r="79" customFormat="false" ht="17.15" hidden="false" customHeight="false" outlineLevel="0" collapsed="false">
      <c r="A79" s="1" t="s">
        <v>919</v>
      </c>
      <c r="B79" s="0" t="s">
        <v>98</v>
      </c>
      <c r="E79" s="6" t="n">
        <f aca="false">Thesis!E89</f>
        <v>16.3054059770833</v>
      </c>
      <c r="F79" s="6" t="n">
        <f aca="false">Thesis!F89</f>
        <v>34.0498873809555</v>
      </c>
      <c r="G79" s="6" t="n">
        <f aca="false">Thesis!G89</f>
        <v>59.1254371105111</v>
      </c>
      <c r="H79" s="6" t="n">
        <f aca="false">Thesis!H89</f>
        <v>86.3610198433111</v>
      </c>
      <c r="I79" s="6" t="n">
        <f aca="false">Thesis!I89</f>
        <v>110.605743832393</v>
      </c>
      <c r="J79" s="6" t="n">
        <f aca="false">Thesis!J89</f>
        <v>127.998322852843</v>
      </c>
      <c r="K79" s="6" t="n">
        <f aca="false">Thesis!K89</f>
        <v>139.131464044308</v>
      </c>
    </row>
    <row r="80" customFormat="false" ht="17.15" hidden="false" customHeight="false" outlineLevel="0" collapsed="false">
      <c r="A80" s="1" t="s">
        <v>920</v>
      </c>
      <c r="B80" s="0" t="s">
        <v>98</v>
      </c>
      <c r="E80" s="6" t="n">
        <f aca="false">CF!E48</f>
        <v>22.2285940229167</v>
      </c>
      <c r="F80" s="6" t="n">
        <f aca="false">CF!F48</f>
        <v>24.3924470334783</v>
      </c>
      <c r="G80" s="6" t="n">
        <f aca="false">CF!G48</f>
        <v>26.0684916871694</v>
      </c>
      <c r="H80" s="6" t="n">
        <f aca="false">CF!H48</f>
        <v>28.1427938828615</v>
      </c>
      <c r="I80" s="6" t="n">
        <f aca="false">CF!I48</f>
        <v>30.5483545257397</v>
      </c>
      <c r="J80" s="6" t="n">
        <f aca="false">CF!J48</f>
        <v>33.2016103982031</v>
      </c>
      <c r="K80" s="6" t="n">
        <f aca="false">CF!K48</f>
        <v>36.0183196325822</v>
      </c>
    </row>
    <row r="81" customFormat="false" ht="17.15" hidden="false" customHeight="false" outlineLevel="0" collapsed="false">
      <c r="A81" s="1" t="s">
        <v>921</v>
      </c>
      <c r="B81" s="0" t="s">
        <v>98</v>
      </c>
      <c r="D81" s="6" t="n">
        <f aca="false">Q!L27</f>
        <v>-4.901</v>
      </c>
      <c r="E81" s="6" t="n">
        <f aca="false">Q!M27</f>
        <v>10.697</v>
      </c>
      <c r="F81" s="6" t="n">
        <f aca="false">oie_f</f>
        <v>-0.4</v>
      </c>
      <c r="G81" s="6" t="n">
        <f aca="false">oie_f</f>
        <v>-0.4</v>
      </c>
      <c r="H81" s="6" t="n">
        <f aca="false">oie_f</f>
        <v>-0.4</v>
      </c>
      <c r="I81" s="6" t="n">
        <f aca="false">oie_f</f>
        <v>-0.4</v>
      </c>
      <c r="J81" s="6" t="n">
        <f aca="false">oie_f</f>
        <v>-0.4</v>
      </c>
      <c r="K81" s="6" t="n">
        <f aca="false">oie_f</f>
        <v>-0.4</v>
      </c>
      <c r="L81" s="11" t="s">
        <v>922</v>
      </c>
    </row>
    <row r="82" customFormat="false" ht="15" hidden="false" customHeight="false" outlineLevel="0" collapsed="false">
      <c r="A82" s="1" t="s">
        <v>923</v>
      </c>
      <c r="B82" s="0" t="s">
        <v>98</v>
      </c>
      <c r="D82" s="6" t="n">
        <f aca="false">PL!D74+PL!D81</f>
        <v>123.627</v>
      </c>
      <c r="E82" s="6" t="n">
        <f aca="false">PL!E74+PL!E81</f>
        <v>165.934</v>
      </c>
      <c r="F82" s="6" t="n">
        <f aca="false">PL!F74+PL!F81</f>
        <v>176.355458196528</v>
      </c>
      <c r="G82" s="6" t="n">
        <f aca="false">PL!G74+PL!G81</f>
        <v>197.299185234338</v>
      </c>
      <c r="H82" s="6" t="n">
        <f aca="false">PL!H74+PL!H81</f>
        <v>217.74174259644</v>
      </c>
      <c r="I82" s="6" t="n">
        <f aca="false">PL!I74+PL!I81</f>
        <v>237.375226753551</v>
      </c>
      <c r="J82" s="6" t="n">
        <f aca="false">PL!J74+PL!J81</f>
        <v>255.718427557955</v>
      </c>
      <c r="K82" s="6" t="n">
        <f aca="false">PL!K74+PL!K81</f>
        <v>273.593431694551</v>
      </c>
    </row>
    <row r="83" customFormat="false" ht="15" hidden="false" customHeight="false" outlineLevel="0" collapsed="false">
      <c r="A83" s="1" t="s">
        <v>924</v>
      </c>
      <c r="B83" s="0" t="s">
        <v>98</v>
      </c>
      <c r="D83" s="6" t="n">
        <f aca="false">Q!L29</f>
        <v>21.795</v>
      </c>
      <c r="E83" s="6" t="n">
        <f aca="false">Q!M29</f>
        <v>32.185</v>
      </c>
      <c r="F83" s="6" t="n">
        <f aca="false">PL!F82*tax_f</f>
        <v>35.2710916393056</v>
      </c>
      <c r="G83" s="6" t="n">
        <f aca="false">PL!G82*tax_f</f>
        <v>39.4598370468676</v>
      </c>
      <c r="H83" s="6" t="n">
        <f aca="false">PL!H82*tax_f</f>
        <v>43.548348519288</v>
      </c>
      <c r="I83" s="6" t="n">
        <f aca="false">PL!I82*tax_f</f>
        <v>47.4750453507103</v>
      </c>
      <c r="J83" s="6" t="n">
        <f aca="false">PL!J82*tax_f</f>
        <v>51.1436855115909</v>
      </c>
      <c r="K83" s="6" t="n">
        <f aca="false">PL!K82*tax_f</f>
        <v>54.7186863389102</v>
      </c>
    </row>
    <row r="84" customFormat="false" ht="15" hidden="false" customHeight="false" outlineLevel="0" collapsed="false">
      <c r="A84" s="1" t="s">
        <v>925</v>
      </c>
      <c r="B84" s="0" t="s">
        <v>98</v>
      </c>
      <c r="D84" s="6" t="n">
        <f aca="false">PL!D82-PL!D83</f>
        <v>101.832</v>
      </c>
      <c r="E84" s="6" t="n">
        <f aca="false">PL!E82-PL!E83</f>
        <v>133.749</v>
      </c>
      <c r="F84" s="6" t="n">
        <f aca="false">PL!F82-PL!F83</f>
        <v>141.084366557223</v>
      </c>
      <c r="G84" s="6" t="n">
        <f aca="false">PL!G82-PL!G83</f>
        <v>157.83934818747</v>
      </c>
      <c r="H84" s="6" t="n">
        <f aca="false">PL!H82-PL!H83</f>
        <v>174.193394077152</v>
      </c>
      <c r="I84" s="6" t="n">
        <f aca="false">PL!I82-PL!I83</f>
        <v>189.900181402841</v>
      </c>
      <c r="J84" s="6" t="n">
        <f aca="false">PL!J82-PL!J83</f>
        <v>204.574742046364</v>
      </c>
      <c r="K84" s="6" t="n">
        <f aca="false">PL!K82-PL!K83</f>
        <v>218.874745355641</v>
      </c>
    </row>
    <row r="85" customFormat="false" ht="17.15" hidden="false" customHeight="false" outlineLevel="0" collapsed="false">
      <c r="A85" s="1" t="s">
        <v>926</v>
      </c>
      <c r="B85" s="1" t="s">
        <v>81</v>
      </c>
      <c r="D85" s="14" t="n">
        <f aca="false">Q!L31</f>
        <v>7.465</v>
      </c>
      <c r="E85" s="14" t="n">
        <f aca="false">Q!M31</f>
        <v>7.453</v>
      </c>
      <c r="F85" s="14" t="n">
        <f aca="false">CF!F72</f>
        <v>7.4735</v>
      </c>
      <c r="G85" s="14" t="n">
        <f aca="false">CF!G72</f>
        <v>7.51806599322388</v>
      </c>
      <c r="H85" s="14" t="n">
        <f aca="false">CF!H72</f>
        <v>7.54538357229772</v>
      </c>
      <c r="I85" s="14" t="n">
        <f aca="false">CF!I72</f>
        <v>7.55716440430503</v>
      </c>
      <c r="J85" s="14" t="n">
        <f aca="false">CF!J72</f>
        <v>7.57140591542291</v>
      </c>
      <c r="K85" s="14" t="n">
        <f aca="false">CF!K72</f>
        <v>7.58792583312465</v>
      </c>
    </row>
    <row r="86" customFormat="false" ht="17.15" hidden="false" customHeight="false" outlineLevel="0" collapsed="false">
      <c r="A86" s="0" t="s">
        <v>927</v>
      </c>
      <c r="B86" s="0" t="s">
        <v>75</v>
      </c>
      <c r="D86" s="8" t="n">
        <f aca="false">PL!D84/PL!D85</f>
        <v>13.641259209645</v>
      </c>
      <c r="E86" s="8" t="n">
        <f aca="false">PL!E84/PL!E85</f>
        <v>17.9456594659869</v>
      </c>
      <c r="F86" s="8" t="n">
        <f aca="false">PL!F84/PL!F85</f>
        <v>18.8779509677156</v>
      </c>
      <c r="G86" s="8" t="n">
        <f aca="false">PL!G84/PL!G85</f>
        <v>20.994674472096</v>
      </c>
      <c r="H86" s="8" t="n">
        <f aca="false">PL!H84/PL!H85</f>
        <v>23.0860886538213</v>
      </c>
      <c r="I86" s="8" t="n">
        <f aca="false">PL!I84/PL!I85</f>
        <v>25.1284967804409</v>
      </c>
      <c r="J86" s="8" t="n">
        <f aca="false">PL!J84/PL!J85</f>
        <v>27.0193864034744</v>
      </c>
      <c r="K86" s="8" t="n">
        <f aca="false">PL!K84/PL!K85</f>
        <v>28.8451350433811</v>
      </c>
      <c r="L86" s="1" t="s">
        <v>928</v>
      </c>
    </row>
    <row r="87" customFormat="false" ht="17.15" hidden="false" customHeight="false" outlineLevel="0" collapsed="false">
      <c r="A87" s="1" t="s">
        <v>929</v>
      </c>
      <c r="B87" s="0" t="s">
        <v>98</v>
      </c>
      <c r="D87" s="6" t="n">
        <f aca="false">PL!D84</f>
        <v>101.832</v>
      </c>
      <c r="E87" s="6" t="n">
        <f aca="false">PL!E84</f>
        <v>133.749</v>
      </c>
      <c r="F87" s="6" t="n">
        <f aca="false">PL!F84+PL!F77*(1-tax_f)</f>
        <v>148.523502936387</v>
      </c>
      <c r="G87" s="6" t="n">
        <f aca="false">PL!G84+PL!G77*(1-tax_f)</f>
        <v>176.987052476033</v>
      </c>
      <c r="H87" s="6" t="n">
        <f aca="false">PL!H84+PL!H77*(1-tax_f)</f>
        <v>206.27684943553</v>
      </c>
      <c r="I87" s="6" t="n">
        <f aca="false">PL!I84+PL!I77*(1-tax_f)</f>
        <v>233.84899605909</v>
      </c>
      <c r="J87" s="6" t="n">
        <f aca="false">PL!J84+PL!J77*(1-tax_f)</f>
        <v>256.939175855417</v>
      </c>
      <c r="K87" s="6" t="n">
        <f aca="false">PL!K84+PL!K77*(1-tax_f)</f>
        <v>276.074118158344</v>
      </c>
    </row>
    <row r="88" customFormat="false" ht="17.15" hidden="false" customHeight="false" outlineLevel="0" collapsed="false">
      <c r="A88" s="0" t="s">
        <v>930</v>
      </c>
      <c r="B88" s="0" t="s">
        <v>75</v>
      </c>
      <c r="D88" s="8" t="n">
        <f aca="false">PL!D87/PL!D85</f>
        <v>13.641259209645</v>
      </c>
      <c r="E88" s="8" t="n">
        <f aca="false">PL!E87/PL!E85</f>
        <v>17.9456594659869</v>
      </c>
      <c r="F88" s="8" t="n">
        <f aca="false">PL!F87/PL!F85</f>
        <v>19.8733529051163</v>
      </c>
      <c r="G88" s="8" t="n">
        <f aca="false">PL!G87/PL!G85</f>
        <v>23.541566758732</v>
      </c>
      <c r="H88" s="8" t="n">
        <f aca="false">PL!H87/PL!H85</f>
        <v>27.3381528532041</v>
      </c>
      <c r="I88" s="8" t="n">
        <f aca="false">PL!I87/PL!I85</f>
        <v>30.9440133293746</v>
      </c>
      <c r="J88" s="8" t="n">
        <f aca="false">PL!J87/PL!J85</f>
        <v>33.9354643940082</v>
      </c>
      <c r="K88" s="8" t="n">
        <f aca="false">PL!K87/PL!K85</f>
        <v>36.3833443064451</v>
      </c>
      <c r="L88" s="1" t="s">
        <v>931</v>
      </c>
    </row>
    <row r="89" customFormat="false" ht="17.15" hidden="false" customHeight="false" outlineLevel="0" collapsed="false">
      <c r="A89" s="0" t="s">
        <v>932</v>
      </c>
      <c r="B89" s="0" t="s">
        <v>129</v>
      </c>
      <c r="E89" s="7" t="n">
        <f aca="false">PL!E88/PL!D88-1</f>
        <v>0.315542736208578</v>
      </c>
      <c r="F89" s="7" t="n">
        <f aca="false">PL!F88/PL!E88-1</f>
        <v>0.107418367253825</v>
      </c>
      <c r="G89" s="7" t="n">
        <f aca="false">PL!G88/PL!F88-1</f>
        <v>0.184579515652405</v>
      </c>
      <c r="H89" s="7" t="n">
        <f aca="false">PL!H88/PL!G88-1</f>
        <v>0.161271598164295</v>
      </c>
      <c r="I89" s="7" t="n">
        <f aca="false">PL!I88/PL!H88-1</f>
        <v>0.131898467885984</v>
      </c>
      <c r="J89" s="7" t="n">
        <f aca="false">PL!J88/PL!I88-1</f>
        <v>0.0966730149962107</v>
      </c>
      <c r="K89" s="7" t="n">
        <f aca="false">PL!K88/PL!J88-1</f>
        <v>0.0721333848276187</v>
      </c>
    </row>
    <row r="90" customFormat="false" ht="17.15" hidden="false" customHeight="false" outlineLevel="0" collapsed="false">
      <c r="A90" s="3" t="s">
        <v>934</v>
      </c>
    </row>
    <row r="91" customFormat="false" ht="15" hidden="false" customHeight="false" outlineLevel="0" collapsed="false">
      <c r="A91" s="4" t="s">
        <v>43</v>
      </c>
      <c r="B91" s="4" t="s">
        <v>65</v>
      </c>
      <c r="C91" s="20" t="s">
        <v>799</v>
      </c>
      <c r="D91" s="20" t="s">
        <v>800</v>
      </c>
      <c r="E91" s="20" t="s">
        <v>801</v>
      </c>
      <c r="F91" s="20" t="s">
        <v>802</v>
      </c>
      <c r="G91" s="20" t="s">
        <v>803</v>
      </c>
      <c r="H91" s="20" t="s">
        <v>804</v>
      </c>
      <c r="I91" s="20" t="s">
        <v>805</v>
      </c>
      <c r="J91" s="20" t="s">
        <v>806</v>
      </c>
      <c r="K91" s="20" t="s">
        <v>807</v>
      </c>
      <c r="L91" s="4" t="s">
        <v>47</v>
      </c>
    </row>
    <row r="92" customFormat="false" ht="15" hidden="false" customHeight="false" outlineLevel="0" collapsed="false">
      <c r="A92" s="0" t="s">
        <v>877</v>
      </c>
      <c r="B92" s="0" t="s">
        <v>98</v>
      </c>
      <c r="D92" s="6" t="n">
        <f aca="false">Seg!D63</f>
        <v>72.61</v>
      </c>
      <c r="E92" s="6" t="n">
        <f aca="false">Seg!E63</f>
        <v>101.938</v>
      </c>
      <c r="F92" s="6" t="n">
        <f aca="false">Seg!F63</f>
        <v>140.741861125673</v>
      </c>
      <c r="G92" s="6" t="n">
        <f aca="false">Seg!G63</f>
        <v>182.176709135845</v>
      </c>
      <c r="H92" s="6" t="n">
        <f aca="false">Seg!H63</f>
        <v>219.167638189678</v>
      </c>
      <c r="I92" s="6" t="n">
        <f aca="false">Seg!I63</f>
        <v>259.639871266006</v>
      </c>
      <c r="J92" s="6" t="n">
        <f aca="false">Seg!J63</f>
        <v>291.525306025352</v>
      </c>
      <c r="K92" s="6" t="n">
        <f aca="false">Seg!K63</f>
        <v>315.009444849526</v>
      </c>
    </row>
    <row r="93" customFormat="false" ht="17.15" hidden="false" customHeight="false" outlineLevel="0" collapsed="false">
      <c r="A93" s="0" t="s">
        <v>874</v>
      </c>
      <c r="B93" s="0" t="s">
        <v>98</v>
      </c>
      <c r="D93" s="6" t="n">
        <f aca="false">Seg!D60</f>
        <v>12.9359794422418</v>
      </c>
      <c r="E93" s="6" t="n">
        <f aca="false">Seg!E60</f>
        <v>27.8095064661409</v>
      </c>
      <c r="F93" s="6" t="n">
        <f aca="false">Seg!F60</f>
        <v>50.6619113883066</v>
      </c>
      <c r="G93" s="6" t="n">
        <f aca="false">Seg!G60</f>
        <v>75.1482839325348</v>
      </c>
      <c r="H93" s="6" t="n">
        <f aca="false">Seg!H60</f>
        <v>94.895655604042</v>
      </c>
      <c r="I93" s="6" t="n">
        <f aca="false">Seg!I60</f>
        <v>118.706168884151</v>
      </c>
      <c r="J93" s="6" t="n">
        <f aca="false">Seg!J60</f>
        <v>135.50643871102</v>
      </c>
      <c r="K93" s="6" t="n">
        <f aca="false">Seg!K60</f>
        <v>146.509068150048</v>
      </c>
    </row>
    <row r="94" customFormat="false" ht="17.15" hidden="false" customHeight="false" outlineLevel="0" collapsed="false">
      <c r="A94" s="0" t="s">
        <v>902</v>
      </c>
      <c r="B94" s="0" t="s">
        <v>98</v>
      </c>
      <c r="D94" s="6" t="n">
        <f aca="false">Seg!D61</f>
        <v>59.6740205577583</v>
      </c>
      <c r="E94" s="6" t="n">
        <f aca="false">Seg!E61</f>
        <v>74.1284935338591</v>
      </c>
      <c r="F94" s="6" t="n">
        <f aca="false">Seg!F61</f>
        <v>90.0799497373663</v>
      </c>
      <c r="G94" s="6" t="n">
        <f aca="false">Seg!G61</f>
        <v>107.02842520331</v>
      </c>
      <c r="H94" s="6" t="n">
        <f aca="false">Seg!H61</f>
        <v>124.271982585636</v>
      </c>
      <c r="I94" s="6" t="n">
        <f aca="false">Seg!I61</f>
        <v>140.933702381855</v>
      </c>
      <c r="J94" s="6" t="n">
        <f aca="false">Seg!J61</f>
        <v>156.018867314332</v>
      </c>
      <c r="K94" s="6" t="n">
        <f aca="false">Seg!K61</f>
        <v>168.500376699478</v>
      </c>
    </row>
    <row r="95" customFormat="false" ht="15" hidden="false" customHeight="false" outlineLevel="0" collapsed="false">
      <c r="A95" s="0" t="s">
        <v>883</v>
      </c>
      <c r="B95" s="0" t="s">
        <v>98</v>
      </c>
      <c r="D95" s="6" t="n">
        <f aca="false">Seg!D68</f>
        <v>84.605</v>
      </c>
      <c r="E95" s="6" t="n">
        <f aca="false">Seg!E68</f>
        <v>100.299</v>
      </c>
      <c r="F95" s="6" t="n">
        <f aca="false">Seg!F68</f>
        <v>117.39238776686</v>
      </c>
      <c r="G95" s="6" t="n">
        <f aca="false">Seg!G68</f>
        <v>132.544168448684</v>
      </c>
      <c r="H95" s="6" t="n">
        <f aca="false">Seg!H68</f>
        <v>147.777359388781</v>
      </c>
      <c r="I95" s="6" t="n">
        <f aca="false">Seg!I68</f>
        <v>162.084028071957</v>
      </c>
      <c r="J95" s="6" t="n">
        <f aca="false">Seg!J68</f>
        <v>175.182702785465</v>
      </c>
      <c r="K95" s="6" t="n">
        <f aca="false">Seg!K68</f>
        <v>187.527991980448</v>
      </c>
    </row>
    <row r="96" customFormat="false" ht="17.15" hidden="false" customHeight="false" outlineLevel="0" collapsed="false">
      <c r="A96" s="0" t="s">
        <v>903</v>
      </c>
      <c r="B96" s="0" t="s">
        <v>98</v>
      </c>
      <c r="D96" s="6" t="n">
        <f aca="false">Seg!D66</f>
        <v>83.705</v>
      </c>
      <c r="E96" s="6" t="n">
        <f aca="false">Seg!E66</f>
        <v>95.049</v>
      </c>
      <c r="F96" s="6" t="n">
        <f aca="false">Seg!F66</f>
        <v>106.89238776686</v>
      </c>
      <c r="G96" s="6" t="n">
        <f aca="false">Seg!G66</f>
        <v>119.044168448684</v>
      </c>
      <c r="H96" s="6" t="n">
        <f aca="false">Seg!H66</f>
        <v>131.277359388781</v>
      </c>
      <c r="I96" s="6" t="n">
        <f aca="false">Seg!I66</f>
        <v>143.334028071957</v>
      </c>
      <c r="J96" s="6" t="n">
        <f aca="false">Seg!J66</f>
        <v>154.932702785465</v>
      </c>
      <c r="K96" s="6" t="n">
        <f aca="false">Seg!K66</f>
        <v>165.777991980448</v>
      </c>
    </row>
    <row r="97" customFormat="false" ht="17.15" hidden="false" customHeight="false" outlineLevel="0" collapsed="false">
      <c r="A97" s="0" t="s">
        <v>904</v>
      </c>
      <c r="B97" s="0" t="s">
        <v>98</v>
      </c>
      <c r="D97" s="6" t="n">
        <f aca="false">Seg!D65</f>
        <v>0.9</v>
      </c>
      <c r="E97" s="6" t="n">
        <f aca="false">Seg!E65</f>
        <v>5.25</v>
      </c>
      <c r="F97" s="6" t="n">
        <f aca="false">Seg!F65</f>
        <v>10.5</v>
      </c>
      <c r="G97" s="6" t="n">
        <f aca="false">Seg!G65</f>
        <v>13.5</v>
      </c>
      <c r="H97" s="6" t="n">
        <f aca="false">Seg!H65</f>
        <v>16.5</v>
      </c>
      <c r="I97" s="6" t="n">
        <f aca="false">Seg!I65</f>
        <v>18.75</v>
      </c>
      <c r="J97" s="6" t="n">
        <f aca="false">Seg!J65</f>
        <v>20.25</v>
      </c>
      <c r="K97" s="6" t="n">
        <f aca="false">Seg!K65</f>
        <v>21.75</v>
      </c>
    </row>
    <row r="98" customFormat="false" ht="15" hidden="false" customHeight="false" outlineLevel="0" collapsed="false">
      <c r="A98" s="0" t="s">
        <v>884</v>
      </c>
      <c r="B98" s="0" t="s">
        <v>98</v>
      </c>
      <c r="D98" s="6" t="n">
        <f aca="false">Seg!D69</f>
        <v>35.391</v>
      </c>
      <c r="E98" s="6" t="n">
        <f aca="false">Seg!E69</f>
        <v>37.285</v>
      </c>
      <c r="F98" s="6" t="n">
        <f aca="false">Seg!F69</f>
        <v>39.0720834331704</v>
      </c>
      <c r="G98" s="6" t="n">
        <f aca="false">Seg!G69</f>
        <v>40.726562953769</v>
      </c>
      <c r="H98" s="6" t="n">
        <f aca="false">Seg!H69</f>
        <v>42.2235987259198</v>
      </c>
      <c r="I98" s="6" t="n">
        <f aca="false">Seg!I69</f>
        <v>43.5397988077414</v>
      </c>
      <c r="J98" s="6" t="n">
        <f aca="false">Seg!J69</f>
        <v>44.653811225693</v>
      </c>
      <c r="K98" s="6" t="n">
        <f aca="false">Seg!K69</f>
        <v>45.5468874502068</v>
      </c>
    </row>
    <row r="99" customFormat="false" ht="15" hidden="false" customHeight="false" outlineLevel="0" collapsed="false">
      <c r="A99" s="0" t="s">
        <v>885</v>
      </c>
      <c r="B99" s="0" t="s">
        <v>98</v>
      </c>
      <c r="D99" s="6" t="n">
        <f aca="false">Seg!D71</f>
        <v>18.417</v>
      </c>
      <c r="E99" s="6" t="n">
        <f aca="false">Seg!E71</f>
        <v>20.345</v>
      </c>
      <c r="F99" s="6" t="n">
        <f aca="false">Seg!F71</f>
        <v>22.3572203267814</v>
      </c>
      <c r="G99" s="6" t="n">
        <f aca="false">Seg!G71</f>
        <v>24.4392124437232</v>
      </c>
      <c r="H99" s="6" t="n">
        <f aca="false">Seg!H71</f>
        <v>26.5738052080665</v>
      </c>
      <c r="I99" s="6" t="n">
        <f aca="false">Seg!I71</f>
        <v>28.7412169166967</v>
      </c>
      <c r="J99" s="6" t="n">
        <f aca="false">Seg!J71</f>
        <v>30.9192545395413</v>
      </c>
      <c r="K99" s="6" t="n">
        <f aca="false">Seg!K71</f>
        <v>33.0836023573092</v>
      </c>
    </row>
    <row r="100" customFormat="false" ht="15" hidden="false" customHeight="false" outlineLevel="0" collapsed="false">
      <c r="A100" s="0" t="s">
        <v>886</v>
      </c>
      <c r="B100" s="0" t="s">
        <v>98</v>
      </c>
      <c r="D100" s="6" t="n">
        <f aca="false">Seg!D73</f>
        <v>7.76</v>
      </c>
      <c r="E100" s="6" t="n">
        <f aca="false">Seg!E73</f>
        <v>8.26</v>
      </c>
      <c r="F100" s="6" t="n">
        <f aca="false">Seg!F73</f>
        <v>8.79988041237113</v>
      </c>
      <c r="G100" s="6" t="n">
        <f aca="false">Seg!G73</f>
        <v>9.38321269125306</v>
      </c>
      <c r="H100" s="6" t="n">
        <f aca="false">Seg!H73</f>
        <v>10.0139193587476</v>
      </c>
      <c r="I100" s="6" t="n">
        <f aca="false">Seg!I73</f>
        <v>10.6963111830911</v>
      </c>
      <c r="J100" s="6" t="n">
        <f aca="false">Seg!J73</f>
        <v>11.4351285534696</v>
      </c>
      <c r="K100" s="6" t="n">
        <f aca="false">Seg!K73</f>
        <v>12.2355875522124</v>
      </c>
    </row>
    <row r="101" customFormat="false" ht="15" hidden="false" customHeight="false" outlineLevel="0" collapsed="false">
      <c r="A101" s="0" t="s">
        <v>715</v>
      </c>
      <c r="B101" s="0" t="s">
        <v>98</v>
      </c>
      <c r="D101" s="6" t="n">
        <f aca="false">Seg!D75</f>
        <v>218.783</v>
      </c>
      <c r="E101" s="6" t="n">
        <f aca="false">Seg!E75</f>
        <v>268.127</v>
      </c>
      <c r="F101" s="6" t="n">
        <f aca="false">Seg!F75</f>
        <v>328.363433064856</v>
      </c>
      <c r="G101" s="6" t="n">
        <f aca="false">Seg!G75</f>
        <v>389.269865673274</v>
      </c>
      <c r="H101" s="6" t="n">
        <f aca="false">Seg!H75</f>
        <v>445.756320871193</v>
      </c>
      <c r="I101" s="6" t="n">
        <f aca="false">Seg!I75</f>
        <v>504.701226245492</v>
      </c>
      <c r="J101" s="6" t="n">
        <f aca="false">Seg!J75</f>
        <v>553.716203129521</v>
      </c>
      <c r="K101" s="6" t="n">
        <f aca="false">Seg!K75</f>
        <v>593.403514189702</v>
      </c>
    </row>
    <row r="102" customFormat="false" ht="15" hidden="false" customHeight="false" outlineLevel="0" collapsed="false">
      <c r="A102" s="0" t="s">
        <v>887</v>
      </c>
      <c r="B102" s="0" t="s">
        <v>98</v>
      </c>
      <c r="D102" s="6" t="n">
        <f aca="false">Seg!D76</f>
        <v>22.171</v>
      </c>
      <c r="E102" s="6" t="n">
        <f aca="false">Seg!E76</f>
        <v>24.835</v>
      </c>
      <c r="F102" s="6" t="n">
        <f aca="false">Seg!F76</f>
        <v>27.6114901218559</v>
      </c>
      <c r="G102" s="6" t="n">
        <f aca="false">Seg!G76</f>
        <v>30.4675667338515</v>
      </c>
      <c r="H102" s="6" t="n">
        <f aca="false">Seg!H76</f>
        <v>33.3643766955789</v>
      </c>
      <c r="I102" s="6" t="n">
        <f aca="false">Seg!I76</f>
        <v>36.2577016533691</v>
      </c>
      <c r="J102" s="6" t="n">
        <f aca="false">Seg!J76</f>
        <v>39.0988367952171</v>
      </c>
      <c r="K102" s="6" t="n">
        <f aca="false">Seg!K76</f>
        <v>41.8357553708823</v>
      </c>
    </row>
    <row r="103" customFormat="false" ht="15" hidden="false" customHeight="false" outlineLevel="0" collapsed="false">
      <c r="A103" s="0" t="s">
        <v>888</v>
      </c>
      <c r="B103" s="0" t="s">
        <v>98</v>
      </c>
      <c r="D103" s="6" t="n">
        <f aca="false">Seg!D78</f>
        <v>23.455</v>
      </c>
      <c r="E103" s="6" t="n">
        <f aca="false">Seg!E78</f>
        <v>21.79</v>
      </c>
      <c r="F103" s="6" t="n">
        <f aca="false">Seg!F78</f>
        <v>20.5736277908051</v>
      </c>
      <c r="G103" s="6" t="n">
        <f aca="false">Seg!G78</f>
        <v>19.7371452817919</v>
      </c>
      <c r="H103" s="6" t="n">
        <f aca="false">Seg!H78</f>
        <v>19.2339764043138</v>
      </c>
      <c r="I103" s="6" t="n">
        <f aca="false">Seg!I78</f>
        <v>19.0353086852681</v>
      </c>
      <c r="J103" s="6" t="n">
        <f aca="false">Seg!J78</f>
        <v>19.1273539319129</v>
      </c>
      <c r="K103" s="6" t="n">
        <f aca="false">Seg!K78</f>
        <v>19.5099010105511</v>
      </c>
    </row>
    <row r="104" customFormat="false" ht="15" hidden="false" customHeight="false" outlineLevel="0" collapsed="false">
      <c r="A104" s="0" t="s">
        <v>889</v>
      </c>
      <c r="B104" s="0" t="s">
        <v>98</v>
      </c>
      <c r="D104" s="6" t="n">
        <f aca="false">Seg!D80</f>
        <v>17.315</v>
      </c>
      <c r="E104" s="6" t="n">
        <f aca="false">Seg!E80</f>
        <v>17.087</v>
      </c>
      <c r="F104" s="6" t="n">
        <f aca="false">Seg!F80</f>
        <v>16.9564585436519</v>
      </c>
      <c r="G104" s="6" t="n">
        <f aca="false">Seg!G80</f>
        <v>16.9206490624268</v>
      </c>
      <c r="H104" s="6" t="n">
        <f aca="false">Seg!H80</f>
        <v>16.9784519149849</v>
      </c>
      <c r="I104" s="6" t="n">
        <f aca="false">Seg!I80</f>
        <v>17.1303084701817</v>
      </c>
      <c r="J104" s="6" t="n">
        <f aca="false">Seg!J80</f>
        <v>17.3782189407267</v>
      </c>
      <c r="K104" s="6" t="n">
        <f aca="false">Seg!K80</f>
        <v>17.7257833195413</v>
      </c>
    </row>
    <row r="105" customFormat="false" ht="15" hidden="false" customHeight="false" outlineLevel="0" collapsed="false">
      <c r="A105" s="0" t="s">
        <v>729</v>
      </c>
      <c r="B105" s="0" t="s">
        <v>98</v>
      </c>
      <c r="D105" s="6" t="n">
        <f aca="false">Seg!D82</f>
        <v>62.941</v>
      </c>
      <c r="E105" s="6" t="n">
        <f aca="false">Seg!E82</f>
        <v>63.712</v>
      </c>
      <c r="F105" s="6" t="n">
        <f aca="false">Seg!F82</f>
        <v>65.1415764563129</v>
      </c>
      <c r="G105" s="6" t="n">
        <f aca="false">Seg!G82</f>
        <v>67.1253610780702</v>
      </c>
      <c r="H105" s="6" t="n">
        <f aca="false">Seg!H82</f>
        <v>69.5768050148776</v>
      </c>
      <c r="I105" s="6" t="n">
        <f aca="false">Seg!I82</f>
        <v>72.4233188088189</v>
      </c>
      <c r="J105" s="6" t="n">
        <f aca="false">Seg!J82</f>
        <v>75.6044096678567</v>
      </c>
      <c r="K105" s="6" t="n">
        <f aca="false">Seg!K82</f>
        <v>79.0714397009747</v>
      </c>
    </row>
    <row r="106" customFormat="false" ht="15" hidden="false" customHeight="false" outlineLevel="0" collapsed="false">
      <c r="A106" s="1" t="s">
        <v>905</v>
      </c>
      <c r="B106" s="0" t="s">
        <v>98</v>
      </c>
      <c r="D106" s="6" t="n">
        <f aca="false">Seg!D83</f>
        <v>281.724</v>
      </c>
      <c r="E106" s="6" t="n">
        <f aca="false">Seg!E83</f>
        <v>331.839</v>
      </c>
      <c r="F106" s="6" t="n">
        <f aca="false">Seg!F83</f>
        <v>393.505009521169</v>
      </c>
      <c r="G106" s="6" t="n">
        <f aca="false">Seg!G83</f>
        <v>456.395226751344</v>
      </c>
      <c r="H106" s="6" t="n">
        <f aca="false">Seg!H83</f>
        <v>515.333125886071</v>
      </c>
      <c r="I106" s="6" t="n">
        <f aca="false">Seg!I83</f>
        <v>577.124545054311</v>
      </c>
      <c r="J106" s="6" t="n">
        <f aca="false">Seg!J83</f>
        <v>629.320612797378</v>
      </c>
      <c r="K106" s="6" t="n">
        <f aca="false">Seg!K83</f>
        <v>672.474953890677</v>
      </c>
    </row>
    <row r="107" customFormat="false" ht="15" hidden="false" customHeight="false" outlineLevel="0" collapsed="false">
      <c r="A107" s="1" t="s">
        <v>906</v>
      </c>
      <c r="B107" s="0" t="s">
        <v>129</v>
      </c>
      <c r="E107" s="7" t="n">
        <f aca="false">PL!E106/PL!D106-1</f>
        <v>0.177886867998467</v>
      </c>
      <c r="F107" s="7" t="n">
        <f aca="false">PL!F106/PL!E106-1</f>
        <v>0.185831109427067</v>
      </c>
      <c r="G107" s="7" t="n">
        <f aca="false">PL!G106/PL!F106-1</f>
        <v>0.159820626697237</v>
      </c>
      <c r="H107" s="7" t="n">
        <f aca="false">PL!H106/PL!G106-1</f>
        <v>0.129137851756801</v>
      </c>
      <c r="I107" s="7" t="n">
        <f aca="false">PL!I106/PL!H106-1</f>
        <v>0.119905777572508</v>
      </c>
      <c r="J107" s="7" t="n">
        <f aca="false">PL!J106/PL!I106-1</f>
        <v>0.0904416008474471</v>
      </c>
      <c r="K107" s="7" t="n">
        <f aca="false">PL!K106/PL!J106-1</f>
        <v>0.0685729026123501</v>
      </c>
    </row>
    <row r="108" customFormat="false" ht="17.15" hidden="false" customHeight="false" outlineLevel="0" collapsed="false">
      <c r="A108" s="23" t="s">
        <v>907</v>
      </c>
      <c r="B108" s="30" t="s">
        <v>98</v>
      </c>
      <c r="C108" s="30"/>
      <c r="D108" s="24" t="n">
        <f aca="false">(PL!D101+PL!D105-PL!D106)+(PL!D93+PL!D94-PL!D92)+(PL!D96+PL!D97-PL!D95)+(PL!D106-Q!L18)</f>
        <v>0</v>
      </c>
      <c r="E108" s="24" t="n">
        <f aca="false">(PL!E101+PL!E105-PL!E106)+(PL!E93+PL!E94-PL!E92)+(PL!E96+PL!E97-PL!E95)+(PL!E106-Q!M18)</f>
        <v>0</v>
      </c>
      <c r="F108" s="24" t="n">
        <f aca="false">(PL!F101+PL!F105-PL!F106)+(PL!F93+PL!F94-PL!F92)+(PL!F96+PL!F97-PL!F95)</f>
        <v>0</v>
      </c>
      <c r="G108" s="24" t="n">
        <f aca="false">(PL!G101+PL!G105-PL!G106)+(PL!G93+PL!G94-PL!G92)+(PL!G96+PL!G97-PL!G95)</f>
        <v>0</v>
      </c>
      <c r="H108" s="24" t="n">
        <f aca="false">(PL!H101+PL!H105-PL!H106)+(PL!H93+PL!H94-PL!H92)+(PL!H96+PL!H97-PL!H95)</f>
        <v>0</v>
      </c>
      <c r="I108" s="24" t="n">
        <f aca="false">(PL!I101+PL!I105-PL!I106)+(PL!I93+PL!I94-PL!I92)+(PL!I96+PL!I97-PL!I95)</f>
        <v>0</v>
      </c>
      <c r="J108" s="24" t="n">
        <f aca="false">(PL!J101+PL!J105-PL!J106)+(PL!J93+PL!J94-PL!J92)+(PL!J96+PL!J97-PL!J95)</f>
        <v>0</v>
      </c>
      <c r="K108" s="24" t="n">
        <f aca="false">(PL!K101+PL!K105-PL!K106)+(PL!K93+PL!K94-PL!K92)+(PL!K96+PL!K97-PL!K95)</f>
        <v>0</v>
      </c>
    </row>
    <row r="109" customFormat="false" ht="17.15" hidden="false" customHeight="false" outlineLevel="0" collapsed="false">
      <c r="A109" s="0" t="s">
        <v>908</v>
      </c>
      <c r="B109" s="0" t="s">
        <v>129</v>
      </c>
      <c r="E109" s="7" t="n">
        <f aca="false">(Q!M21+Thesis!E123+Thesis!E124+Thesis!E125+Thesis!E138-Thesis!E121)/(Q!M5-Thesis!E121)</f>
        <v>0.570957350878296</v>
      </c>
      <c r="F109" s="7" t="n">
        <f aca="false">PL!$E$109+dm_seg</f>
        <v>0.570957350878296</v>
      </c>
      <c r="G109" s="7" t="n">
        <f aca="false">PL!$E$109+dm_seg</f>
        <v>0.570957350878296</v>
      </c>
      <c r="H109" s="7" t="n">
        <f aca="false">PL!$E$109+dm_seg</f>
        <v>0.570957350878296</v>
      </c>
      <c r="I109" s="7" t="n">
        <f aca="false">PL!$E$109+dm_seg</f>
        <v>0.570957350878296</v>
      </c>
      <c r="J109" s="7" t="n">
        <f aca="false">PL!$E$109+dm_seg</f>
        <v>0.570957350878296</v>
      </c>
      <c r="K109" s="7" t="n">
        <f aca="false">PL!$E$109+dm_seg</f>
        <v>0.570957350878296</v>
      </c>
      <c r="L109" s="11" t="s">
        <v>909</v>
      </c>
    </row>
    <row r="110" customFormat="false" ht="17.15" hidden="false" customHeight="false" outlineLevel="0" collapsed="false">
      <c r="A110" s="0" t="s">
        <v>743</v>
      </c>
      <c r="B110" s="0" t="s">
        <v>98</v>
      </c>
      <c r="D110" s="6" t="n">
        <f aca="false">Q!L21</f>
        <v>110.814</v>
      </c>
      <c r="E110" s="6" t="n">
        <f aca="false">Q!M21</f>
        <v>136.365</v>
      </c>
      <c r="F110" s="6" t="n">
        <f aca="false">PL!F109*(Seg!F75-Thesis!F121)+Thesis!F121-(Thesis!F123+Thesis!F124+Thesis!F125)-Thesis!F138-CF!F80</f>
        <v>152.186475092494</v>
      </c>
      <c r="G110" s="6" t="n">
        <f aca="false">PL!G109*(Seg!G75-Thesis!G121)+Thesis!G121-(Thesis!G123+Thesis!G124+Thesis!G125)-Thesis!G138-CF!G80</f>
        <v>160.931055130096</v>
      </c>
      <c r="H110" s="6" t="n">
        <f aca="false">PL!H109*(Seg!H75-Thesis!H121)+Thesis!H121-(Thesis!H123+Thesis!H124+Thesis!H125)-Thesis!H138-CF!H80</f>
        <v>163.298235545219</v>
      </c>
      <c r="I110" s="6" t="n">
        <f aca="false">PL!I109*(Seg!I75-Thesis!I121)+Thesis!I121-(Thesis!I123+Thesis!I124+Thesis!I125)-Thesis!I138-CF!I80</f>
        <v>173.292804439477</v>
      </c>
      <c r="J110" s="6" t="n">
        <f aca="false">PL!J109*(Seg!J75-Thesis!J121)+Thesis!J121-(Thesis!J123+Thesis!J124+Thesis!J125)-Thesis!J138-CF!J80</f>
        <v>184.537843160141</v>
      </c>
      <c r="K110" s="6" t="n">
        <f aca="false">PL!K109*(Seg!K75-Thesis!K121)+Thesis!K121-(Thesis!K123+Thesis!K124+Thesis!K125)-Thesis!K138-CF!K80</f>
        <v>197.059058133604</v>
      </c>
      <c r="L110" s="1" t="s">
        <v>910</v>
      </c>
    </row>
    <row r="111" customFormat="false" ht="17.15" hidden="false" customHeight="false" outlineLevel="0" collapsed="false">
      <c r="A111" s="0" t="s">
        <v>911</v>
      </c>
      <c r="B111" s="0" t="s">
        <v>129</v>
      </c>
      <c r="E111" s="7" t="n">
        <f aca="false">Q!M22/Q!M12</f>
        <v>0.296207935710698</v>
      </c>
      <c r="F111" s="7" t="n">
        <f aca="false">PL!$E$111+dm_seg</f>
        <v>0.296207935710698</v>
      </c>
      <c r="G111" s="7" t="n">
        <f aca="false">PL!$E$111+dm_seg</f>
        <v>0.296207935710698</v>
      </c>
      <c r="H111" s="7" t="n">
        <f aca="false">PL!$E$111+dm_seg</f>
        <v>0.296207935710698</v>
      </c>
      <c r="I111" s="7" t="n">
        <f aca="false">PL!$E$111+dm_seg</f>
        <v>0.296207935710698</v>
      </c>
      <c r="J111" s="7" t="n">
        <f aca="false">PL!$E$111+dm_seg</f>
        <v>0.296207935710698</v>
      </c>
      <c r="K111" s="7" t="n">
        <f aca="false">PL!$E$111+dm_seg</f>
        <v>0.296207935710698</v>
      </c>
      <c r="L111" s="11" t="s">
        <v>912</v>
      </c>
    </row>
    <row r="112" customFormat="false" ht="17.15" hidden="false" customHeight="false" outlineLevel="0" collapsed="false">
      <c r="A112" s="0" t="s">
        <v>745</v>
      </c>
      <c r="B112" s="0" t="s">
        <v>98</v>
      </c>
      <c r="D112" s="6" t="n">
        <f aca="false">Q!L22</f>
        <v>17.714</v>
      </c>
      <c r="E112" s="6" t="n">
        <f aca="false">Q!M22</f>
        <v>18.872</v>
      </c>
      <c r="F112" s="6" t="n">
        <f aca="false">Seg!F82*PL!F111</f>
        <v>19.2954518910651</v>
      </c>
      <c r="G112" s="6" t="n">
        <f aca="false">Seg!G82*PL!G111</f>
        <v>19.8830646387704</v>
      </c>
      <c r="H112" s="6" t="n">
        <f aca="false">Seg!H82*PL!H111</f>
        <v>20.6092017868026</v>
      </c>
      <c r="I112" s="6" t="n">
        <f aca="false">Seg!I82*PL!I111</f>
        <v>21.452361761678</v>
      </c>
      <c r="J112" s="6" t="n">
        <f aca="false">Seg!J82*PL!J111</f>
        <v>22.3946261183418</v>
      </c>
      <c r="K112" s="6" t="n">
        <f aca="false">Seg!K82*PL!K111</f>
        <v>23.4215879274986</v>
      </c>
    </row>
    <row r="113" customFormat="false" ht="15" hidden="false" customHeight="false" outlineLevel="0" collapsed="false">
      <c r="A113" s="1" t="s">
        <v>913</v>
      </c>
      <c r="B113" s="0" t="s">
        <v>98</v>
      </c>
      <c r="D113" s="6" t="n">
        <f aca="false">PL!D110+PL!D112</f>
        <v>128.528</v>
      </c>
      <c r="E113" s="6" t="n">
        <f aca="false">PL!E110+PL!E112</f>
        <v>155.237</v>
      </c>
      <c r="F113" s="6" t="n">
        <f aca="false">PL!F110+PL!F112</f>
        <v>171.481926983559</v>
      </c>
      <c r="G113" s="6" t="n">
        <f aca="false">PL!G110+PL!G112</f>
        <v>180.814119768866</v>
      </c>
      <c r="H113" s="6" t="n">
        <f aca="false">PL!H110+PL!H112</f>
        <v>183.907437332021</v>
      </c>
      <c r="I113" s="6" t="n">
        <f aca="false">PL!I110+PL!I112</f>
        <v>194.745166201155</v>
      </c>
      <c r="J113" s="6" t="n">
        <f aca="false">PL!J110+PL!J112</f>
        <v>206.932469278483</v>
      </c>
      <c r="K113" s="6" t="n">
        <f aca="false">PL!K110+PL!K112</f>
        <v>220.480646061103</v>
      </c>
    </row>
    <row r="114" customFormat="false" ht="15" hidden="false" customHeight="false" outlineLevel="0" collapsed="false">
      <c r="A114" s="23" t="s">
        <v>914</v>
      </c>
      <c r="B114" s="30" t="s">
        <v>98</v>
      </c>
      <c r="C114" s="30"/>
      <c r="D114" s="24" t="n">
        <f aca="false">PL!D113-Q!L23</f>
        <v>0</v>
      </c>
      <c r="E114" s="24" t="n">
        <f aca="false">PL!E113-Q!M23</f>
        <v>0</v>
      </c>
      <c r="F114" s="30"/>
      <c r="G114" s="30"/>
      <c r="H114" s="30"/>
      <c r="I114" s="30"/>
      <c r="J114" s="30"/>
      <c r="K114" s="30"/>
    </row>
    <row r="115" customFormat="false" ht="15" hidden="false" customHeight="false" outlineLevel="0" collapsed="false">
      <c r="A115" s="1" t="s">
        <v>915</v>
      </c>
      <c r="B115" s="0" t="s">
        <v>129</v>
      </c>
      <c r="D115" s="7" t="n">
        <f aca="false">PL!D113/PL!D106</f>
        <v>0.456219562408598</v>
      </c>
      <c r="E115" s="7" t="n">
        <f aca="false">PL!E113/PL!E106</f>
        <v>0.467808184089272</v>
      </c>
      <c r="F115" s="7" t="n">
        <f aca="false">PL!F113/PL!F106</f>
        <v>0.435780797790159</v>
      </c>
      <c r="G115" s="7" t="n">
        <f aca="false">PL!G113/PL!G106</f>
        <v>0.396178814261304</v>
      </c>
      <c r="H115" s="7" t="n">
        <f aca="false">PL!H113/PL!H106</f>
        <v>0.356870979360794</v>
      </c>
      <c r="I115" s="7" t="n">
        <f aca="false">PL!I113/PL!I106</f>
        <v>0.337440450020763</v>
      </c>
      <c r="J115" s="7" t="n">
        <f aca="false">PL!J113/PL!J106</f>
        <v>0.328818832675212</v>
      </c>
      <c r="K115" s="7" t="n">
        <f aca="false">PL!K113/PL!K106</f>
        <v>0.327864472550967</v>
      </c>
    </row>
    <row r="116" customFormat="false" ht="17.15" hidden="false" customHeight="false" outlineLevel="0" collapsed="false">
      <c r="A116" s="1" t="s">
        <v>916</v>
      </c>
      <c r="B116" s="0" t="s">
        <v>98</v>
      </c>
      <c r="F116" s="6" t="n">
        <f aca="false">Thesis!F142</f>
        <v>10.1553565002727</v>
      </c>
      <c r="G116" s="6" t="n">
        <f aca="false">Thesis!G142</f>
        <v>26.5039384396555</v>
      </c>
      <c r="H116" s="6" t="n">
        <f aca="false">Thesis!H142</f>
        <v>44.38649932956</v>
      </c>
      <c r="I116" s="6" t="n">
        <f aca="false">Thesis!I142</f>
        <v>60.5028524913745</v>
      </c>
      <c r="J116" s="6" t="n">
        <f aca="false">Thesis!J142</f>
        <v>71.8788124586976</v>
      </c>
      <c r="K116" s="6" t="n">
        <f aca="false">Thesis!K142</f>
        <v>78.7789222270768</v>
      </c>
      <c r="L116" s="1" t="s">
        <v>917</v>
      </c>
    </row>
    <row r="117" customFormat="false" ht="17.15" hidden="false" customHeight="false" outlineLevel="0" collapsed="false">
      <c r="A117" s="1" t="s">
        <v>918</v>
      </c>
      <c r="B117" s="0" t="s">
        <v>98</v>
      </c>
      <c r="D117" s="6" t="n">
        <f aca="false">PL!D113</f>
        <v>128.528</v>
      </c>
      <c r="E117" s="6" t="n">
        <f aca="false">PL!E113</f>
        <v>155.237</v>
      </c>
      <c r="F117" s="6" t="n">
        <f aca="false">PL!F113+PL!F116</f>
        <v>181.637283483831</v>
      </c>
      <c r="G117" s="6" t="n">
        <f aca="false">PL!G113+PL!G116</f>
        <v>207.318058208522</v>
      </c>
      <c r="H117" s="6" t="n">
        <f aca="false">PL!H113+PL!H116</f>
        <v>228.293936661581</v>
      </c>
      <c r="I117" s="6" t="n">
        <f aca="false">PL!I113+PL!I116</f>
        <v>255.248018692529</v>
      </c>
      <c r="J117" s="6" t="n">
        <f aca="false">PL!J113+PL!J116</f>
        <v>278.81128173718</v>
      </c>
      <c r="K117" s="6" t="n">
        <f aca="false">PL!K113+PL!K116</f>
        <v>299.25956828818</v>
      </c>
    </row>
    <row r="118" customFormat="false" ht="17.15" hidden="false" customHeight="false" outlineLevel="0" collapsed="false">
      <c r="A118" s="1" t="s">
        <v>919</v>
      </c>
      <c r="B118" s="0" t="s">
        <v>98</v>
      </c>
      <c r="E118" s="6" t="n">
        <f aca="false">Thesis!E138</f>
        <v>16.3054059770833</v>
      </c>
      <c r="F118" s="6" t="n">
        <f aca="false">Thesis!F138</f>
        <v>34.0498873809555</v>
      </c>
      <c r="G118" s="6" t="n">
        <f aca="false">Thesis!G138</f>
        <v>59.1254371105111</v>
      </c>
      <c r="H118" s="6" t="n">
        <f aca="false">Thesis!H138</f>
        <v>86.3610198433111</v>
      </c>
      <c r="I118" s="6" t="n">
        <f aca="false">Thesis!I138</f>
        <v>110.605743832393</v>
      </c>
      <c r="J118" s="6" t="n">
        <f aca="false">Thesis!J138</f>
        <v>127.998322852843</v>
      </c>
      <c r="K118" s="6" t="n">
        <f aca="false">Thesis!K138</f>
        <v>139.131464044308</v>
      </c>
    </row>
    <row r="119" customFormat="false" ht="17.15" hidden="false" customHeight="false" outlineLevel="0" collapsed="false">
      <c r="A119" s="1" t="s">
        <v>920</v>
      </c>
      <c r="B119" s="0" t="s">
        <v>98</v>
      </c>
      <c r="E119" s="6" t="n">
        <f aca="false">CF!E79</f>
        <v>22.2285940229167</v>
      </c>
      <c r="F119" s="6" t="n">
        <f aca="false">CF!F79</f>
        <v>24.3924470334783</v>
      </c>
      <c r="G119" s="6" t="n">
        <f aca="false">CF!G79</f>
        <v>26.0234916871694</v>
      </c>
      <c r="H119" s="6" t="n">
        <f aca="false">CF!H79</f>
        <v>28.0272938828615</v>
      </c>
      <c r="I119" s="6" t="n">
        <f aca="false">CF!I79</f>
        <v>30.3469045257397</v>
      </c>
      <c r="J119" s="6" t="n">
        <f aca="false">CF!J79</f>
        <v>32.9078053982031</v>
      </c>
      <c r="K119" s="6" t="n">
        <f aca="false">CF!K79</f>
        <v>35.6263951325822</v>
      </c>
    </row>
    <row r="120" customFormat="false" ht="17.15" hidden="false" customHeight="false" outlineLevel="0" collapsed="false">
      <c r="A120" s="1" t="s">
        <v>921</v>
      </c>
      <c r="B120" s="0" t="s">
        <v>98</v>
      </c>
      <c r="D120" s="6" t="n">
        <f aca="false">Q!L27</f>
        <v>-4.901</v>
      </c>
      <c r="E120" s="6" t="n">
        <f aca="false">Q!M27</f>
        <v>10.697</v>
      </c>
      <c r="F120" s="6" t="n">
        <f aca="false">oie_f</f>
        <v>-0.4</v>
      </c>
      <c r="G120" s="6" t="n">
        <f aca="false">oie_f</f>
        <v>-0.4</v>
      </c>
      <c r="H120" s="6" t="n">
        <f aca="false">oie_f</f>
        <v>-0.4</v>
      </c>
      <c r="I120" s="6" t="n">
        <f aca="false">oie_f</f>
        <v>-0.4</v>
      </c>
      <c r="J120" s="6" t="n">
        <f aca="false">oie_f</f>
        <v>-0.4</v>
      </c>
      <c r="K120" s="6" t="n">
        <f aca="false">oie_f</f>
        <v>-0.4</v>
      </c>
      <c r="L120" s="11" t="s">
        <v>922</v>
      </c>
    </row>
    <row r="121" customFormat="false" ht="15" hidden="false" customHeight="false" outlineLevel="0" collapsed="false">
      <c r="A121" s="1" t="s">
        <v>923</v>
      </c>
      <c r="B121" s="0" t="s">
        <v>98</v>
      </c>
      <c r="D121" s="6" t="n">
        <f aca="false">PL!D113+PL!D120</f>
        <v>123.627</v>
      </c>
      <c r="E121" s="6" t="n">
        <f aca="false">PL!E113+PL!E120</f>
        <v>165.934</v>
      </c>
      <c r="F121" s="6" t="n">
        <f aca="false">PL!F113+PL!F120</f>
        <v>171.081926983559</v>
      </c>
      <c r="G121" s="6" t="n">
        <f aca="false">PL!G113+PL!G120</f>
        <v>180.414119768866</v>
      </c>
      <c r="H121" s="6" t="n">
        <f aca="false">PL!H113+PL!H120</f>
        <v>183.507437332021</v>
      </c>
      <c r="I121" s="6" t="n">
        <f aca="false">PL!I113+PL!I120</f>
        <v>194.345166201155</v>
      </c>
      <c r="J121" s="6" t="n">
        <f aca="false">PL!J113+PL!J120</f>
        <v>206.532469278483</v>
      </c>
      <c r="K121" s="6" t="n">
        <f aca="false">PL!K113+PL!K120</f>
        <v>220.080646061103</v>
      </c>
    </row>
    <row r="122" customFormat="false" ht="15" hidden="false" customHeight="false" outlineLevel="0" collapsed="false">
      <c r="A122" s="1" t="s">
        <v>924</v>
      </c>
      <c r="B122" s="0" t="s">
        <v>98</v>
      </c>
      <c r="D122" s="6" t="n">
        <f aca="false">Q!L29</f>
        <v>21.795</v>
      </c>
      <c r="E122" s="6" t="n">
        <f aca="false">Q!M29</f>
        <v>32.185</v>
      </c>
      <c r="F122" s="6" t="n">
        <f aca="false">PL!F121*tax_f</f>
        <v>34.2163853967118</v>
      </c>
      <c r="G122" s="6" t="n">
        <f aca="false">PL!G121*tax_f</f>
        <v>36.0828239537733</v>
      </c>
      <c r="H122" s="6" t="n">
        <f aca="false">PL!H121*tax_f</f>
        <v>36.7014874664042</v>
      </c>
      <c r="I122" s="6" t="n">
        <f aca="false">PL!I121*tax_f</f>
        <v>38.8690332402309</v>
      </c>
      <c r="J122" s="6" t="n">
        <f aca="false">PL!J121*tax_f</f>
        <v>41.3064938556965</v>
      </c>
      <c r="K122" s="6" t="n">
        <f aca="false">PL!K121*tax_f</f>
        <v>44.0161292122206</v>
      </c>
    </row>
    <row r="123" customFormat="false" ht="15" hidden="false" customHeight="false" outlineLevel="0" collapsed="false">
      <c r="A123" s="1" t="s">
        <v>925</v>
      </c>
      <c r="B123" s="0" t="s">
        <v>98</v>
      </c>
      <c r="D123" s="6" t="n">
        <f aca="false">PL!D121-PL!D122</f>
        <v>101.832</v>
      </c>
      <c r="E123" s="6" t="n">
        <f aca="false">PL!E121-PL!E122</f>
        <v>133.749</v>
      </c>
      <c r="F123" s="6" t="n">
        <f aca="false">PL!F121-PL!F122</f>
        <v>136.865541586847</v>
      </c>
      <c r="G123" s="6" t="n">
        <f aca="false">PL!G121-PL!G122</f>
        <v>144.331295815093</v>
      </c>
      <c r="H123" s="6" t="n">
        <f aca="false">PL!H121-PL!H122</f>
        <v>146.805949865617</v>
      </c>
      <c r="I123" s="6" t="n">
        <f aca="false">PL!I121-PL!I122</f>
        <v>155.476132960924</v>
      </c>
      <c r="J123" s="6" t="n">
        <f aca="false">PL!J121-PL!J122</f>
        <v>165.225975422786</v>
      </c>
      <c r="K123" s="6" t="n">
        <f aca="false">PL!K121-PL!K122</f>
        <v>176.064516848882</v>
      </c>
    </row>
    <row r="124" customFormat="false" ht="17.15" hidden="false" customHeight="false" outlineLevel="0" collapsed="false">
      <c r="A124" s="1" t="s">
        <v>926</v>
      </c>
      <c r="B124" s="1" t="s">
        <v>81</v>
      </c>
      <c r="D124" s="14" t="n">
        <f aca="false">Q!L31</f>
        <v>7.465</v>
      </c>
      <c r="E124" s="14" t="n">
        <f aca="false">Q!M31</f>
        <v>7.453</v>
      </c>
      <c r="F124" s="14" t="n">
        <f aca="false">CF!F103</f>
        <v>7.4735</v>
      </c>
      <c r="G124" s="14" t="n">
        <f aca="false">CF!G103</f>
        <v>7.5185</v>
      </c>
      <c r="H124" s="14" t="n">
        <f aca="false">CF!H103</f>
        <v>7.55846494605811</v>
      </c>
      <c r="I124" s="14" t="n">
        <f aca="false">CF!I103</f>
        <v>7.58245913827359</v>
      </c>
      <c r="J124" s="14" t="n">
        <f aca="false">CF!J103</f>
        <v>7.59670064939147</v>
      </c>
      <c r="K124" s="14" t="n">
        <f aca="false">CF!K103</f>
        <v>7.61322056709322</v>
      </c>
    </row>
    <row r="125" customFormat="false" ht="17.15" hidden="false" customHeight="false" outlineLevel="0" collapsed="false">
      <c r="A125" s="0" t="s">
        <v>927</v>
      </c>
      <c r="B125" s="0" t="s">
        <v>75</v>
      </c>
      <c r="D125" s="8" t="n">
        <f aca="false">PL!D123/PL!D124</f>
        <v>13.641259209645</v>
      </c>
      <c r="E125" s="8" t="n">
        <f aca="false">PL!E123/PL!E124</f>
        <v>17.9456594659869</v>
      </c>
      <c r="F125" s="8" t="n">
        <f aca="false">PL!F123/PL!F124</f>
        <v>18.3134463888201</v>
      </c>
      <c r="G125" s="8" t="n">
        <f aca="false">PL!G123/PL!G124</f>
        <v>19.1968206178218</v>
      </c>
      <c r="H125" s="8" t="n">
        <f aca="false">PL!H123/PL!H124</f>
        <v>19.4227202101637</v>
      </c>
      <c r="I125" s="8" t="n">
        <f aca="false">PL!I123/PL!I124</f>
        <v>20.504710955333</v>
      </c>
      <c r="J125" s="8" t="n">
        <f aca="false">PL!J123/PL!J124</f>
        <v>21.7497020151796</v>
      </c>
      <c r="K125" s="8" t="n">
        <f aca="false">PL!K123/PL!K124</f>
        <v>23.1261547327145</v>
      </c>
      <c r="L125" s="1" t="s">
        <v>928</v>
      </c>
    </row>
    <row r="126" customFormat="false" ht="17.15" hidden="false" customHeight="false" outlineLevel="0" collapsed="false">
      <c r="A126" s="1" t="s">
        <v>929</v>
      </c>
      <c r="B126" s="0" t="s">
        <v>98</v>
      </c>
      <c r="D126" s="6" t="n">
        <f aca="false">PL!D123</f>
        <v>101.832</v>
      </c>
      <c r="E126" s="6" t="n">
        <f aca="false">PL!E123</f>
        <v>133.749</v>
      </c>
      <c r="F126" s="6" t="n">
        <f aca="false">PL!F123+PL!F116*(1-tax_f)</f>
        <v>144.989826787065</v>
      </c>
      <c r="G126" s="6" t="n">
        <f aca="false">PL!G123+PL!G116*(1-tax_f)</f>
        <v>165.534446566818</v>
      </c>
      <c r="H126" s="6" t="n">
        <f aca="false">PL!H123+PL!H116*(1-tax_f)</f>
        <v>182.315149329265</v>
      </c>
      <c r="I126" s="6" t="n">
        <f aca="false">PL!I123+PL!I116*(1-tax_f)</f>
        <v>203.878414954023</v>
      </c>
      <c r="J126" s="6" t="n">
        <f aca="false">PL!J123+PL!J116*(1-tax_f)</f>
        <v>222.729025389744</v>
      </c>
      <c r="K126" s="6" t="n">
        <f aca="false">PL!K123+PL!K116*(1-tax_f)</f>
        <v>239.087654630544</v>
      </c>
    </row>
    <row r="127" customFormat="false" ht="17.15" hidden="false" customHeight="false" outlineLevel="0" collapsed="false">
      <c r="A127" s="0" t="s">
        <v>930</v>
      </c>
      <c r="B127" s="0" t="s">
        <v>75</v>
      </c>
      <c r="D127" s="8" t="n">
        <f aca="false">PL!D126/PL!D124</f>
        <v>13.641259209645</v>
      </c>
      <c r="E127" s="8" t="n">
        <f aca="false">PL!E126/PL!E124</f>
        <v>17.9456594659869</v>
      </c>
      <c r="F127" s="8" t="n">
        <f aca="false">PL!F126/PL!F124</f>
        <v>19.4005254281214</v>
      </c>
      <c r="G127" s="8" t="n">
        <f aca="false">PL!G126/PL!G124</f>
        <v>22.0169510629537</v>
      </c>
      <c r="H127" s="8" t="n">
        <f aca="false">PL!H126/PL!H124</f>
        <v>24.1206581799848</v>
      </c>
      <c r="I127" s="8" t="n">
        <f aca="false">PL!I126/PL!I124</f>
        <v>26.8881653347681</v>
      </c>
      <c r="J127" s="8" t="n">
        <f aca="false">PL!J126/PL!J124</f>
        <v>29.3191789000644</v>
      </c>
      <c r="K127" s="8" t="n">
        <f aca="false">PL!K126/PL!K124</f>
        <v>31.4042726758709</v>
      </c>
      <c r="L127" s="1" t="s">
        <v>931</v>
      </c>
    </row>
    <row r="128" customFormat="false" ht="17.15" hidden="false" customHeight="false" outlineLevel="0" collapsed="false">
      <c r="A128" s="0" t="s">
        <v>932</v>
      </c>
      <c r="B128" s="0" t="s">
        <v>129</v>
      </c>
      <c r="E128" s="7" t="n">
        <f aca="false">PL!E127/PL!D127-1</f>
        <v>0.315542736208578</v>
      </c>
      <c r="F128" s="7" t="n">
        <f aca="false">PL!F127/PL!E127-1</f>
        <v>0.08107063242184</v>
      </c>
      <c r="G128" s="7" t="n">
        <f aca="false">PL!G127/PL!F127-1</f>
        <v>0.134863648127786</v>
      </c>
      <c r="H128" s="7" t="n">
        <f aca="false">PL!H127/PL!G127-1</f>
        <v>0.0955494296651644</v>
      </c>
      <c r="I128" s="7" t="n">
        <f aca="false">PL!I127/PL!H127-1</f>
        <v>0.114735971719036</v>
      </c>
      <c r="J128" s="7" t="n">
        <f aca="false">PL!J127/PL!I127-1</f>
        <v>0.090412028304248</v>
      </c>
      <c r="K128" s="7" t="n">
        <f aca="false">PL!K127/PL!J127-1</f>
        <v>0.0711170590047416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935</v>
      </c>
    </row>
    <row r="2" customFormat="false" ht="17.15" hidden="false" customHeight="false" outlineLevel="0" collapsed="false">
      <c r="A2" s="1" t="s">
        <v>936</v>
      </c>
    </row>
    <row r="4" customFormat="false" ht="17.15" hidden="false" customHeight="false" outlineLevel="0" collapsed="false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</row>
    <row r="5" customFormat="false" ht="17.15" hidden="false" customHeight="false" outlineLevel="0" collapsed="false">
      <c r="A5" s="17" t="s">
        <v>937</v>
      </c>
      <c r="B5" s="31" t="n">
        <f aca="false">CF!$C$42</f>
        <v>375.58010128862</v>
      </c>
      <c r="C5" s="31" t="n">
        <f aca="false">CF!$C$73</f>
        <v>270.92548377809</v>
      </c>
      <c r="D5" s="31" t="n">
        <f aca="false">CF!$C$104</f>
        <v>148.317101199683</v>
      </c>
      <c r="E5" s="16" t="s">
        <v>938</v>
      </c>
    </row>
    <row r="6" customFormat="false" ht="17.15" hidden="false" customHeight="false" outlineLevel="0" collapsed="false">
      <c r="A6" s="1" t="s">
        <v>939</v>
      </c>
      <c r="B6" s="0" t="str">
        <f aca="false">CF!$C$44</f>
        <v>需要舉債 5.9 十億美元；回購較每年 22.3 的目標少 32.2 十億美元（2 年減少）</v>
      </c>
      <c r="C6" s="0" t="str">
        <f aca="false">CF!$C$75</f>
        <v>需要舉債 9.8 十億美元；回購較每年 22.3 的目標少 44.0 十億美元（2 年減少）</v>
      </c>
      <c r="D6" s="0" t="str">
        <f aca="false">CF!$C$106</f>
        <v>需要舉債 27.5 十億美元；回購較每年 22.3 的目標少 60.3 十億美元（3 年減少）</v>
      </c>
    </row>
    <row r="7" customFormat="false" ht="17.15" hidden="false" customHeight="false" outlineLevel="0" collapsed="false">
      <c r="A7" s="1" t="s">
        <v>940</v>
      </c>
      <c r="B7" s="6" t="n">
        <f aca="false">CF!F29</f>
        <v>5.06338904254167</v>
      </c>
      <c r="C7" s="6" t="n">
        <f aca="false">CF!F60</f>
        <v>1.23830146578308</v>
      </c>
      <c r="D7" s="6" t="n">
        <f aca="false">CF!F91</f>
        <v>-3.20115908627637</v>
      </c>
    </row>
    <row r="8" customFormat="false" ht="17.15" hidden="false" customHeight="false" outlineLevel="0" collapsed="false">
      <c r="A8" s="1" t="s">
        <v>941</v>
      </c>
      <c r="B8" s="6" t="n">
        <f aca="false">CF!H29</f>
        <v>94.3849170358102</v>
      </c>
      <c r="C8" s="6" t="n">
        <f aca="false">CF!H60</f>
        <v>70.4109053632819</v>
      </c>
      <c r="D8" s="6" t="n">
        <f aca="false">CF!H91</f>
        <v>42.2583580565023</v>
      </c>
    </row>
    <row r="9" customFormat="false" ht="17.15" hidden="false" customHeight="false" outlineLevel="0" collapsed="false">
      <c r="A9" s="1" t="s">
        <v>942</v>
      </c>
      <c r="B9" s="6" t="n">
        <f aca="false">CF!F26</f>
        <v>204.2</v>
      </c>
      <c r="C9" s="6" t="n">
        <f aca="false">CF!F57</f>
        <v>204.2</v>
      </c>
      <c r="D9" s="6" t="n">
        <f aca="false">CF!F88</f>
        <v>204.2</v>
      </c>
    </row>
    <row r="10" customFormat="false" ht="17.15" hidden="false" customHeight="false" outlineLevel="0" collapsed="false">
      <c r="A10" s="1" t="s">
        <v>943</v>
      </c>
      <c r="B10" s="6" t="n">
        <f aca="false">SUM(CF!F34:J34)</f>
        <v>79.1417281618228</v>
      </c>
      <c r="C10" s="6" t="n">
        <f aca="false">SUM(CF!F65:J65)</f>
        <v>67.3318756628328</v>
      </c>
      <c r="D10" s="6" t="n">
        <f aca="false">SUM(CF!F96:J96)</f>
        <v>51.0432171765023</v>
      </c>
    </row>
    <row r="11" customFormat="false" ht="17.15" hidden="false" customHeight="false" outlineLevel="0" collapsed="false">
      <c r="A11" s="1" t="s">
        <v>944</v>
      </c>
      <c r="B11" s="6" t="n">
        <f aca="false">SUM(CF!F35:J35)</f>
        <v>5.93756095745833</v>
      </c>
      <c r="C11" s="6" t="n">
        <f aca="false">SUM(CF!F66:J66)</f>
        <v>9.76264853421692</v>
      </c>
      <c r="D11" s="6" t="n">
        <f aca="false">SUM(CF!F97:J97)</f>
        <v>27.489162802079</v>
      </c>
    </row>
    <row r="12" customFormat="false" ht="15" hidden="false" customHeight="false" outlineLevel="0" collapsed="false">
      <c r="A12" s="23" t="s">
        <v>945</v>
      </c>
      <c r="B12" s="24" t="n">
        <f aca="false">B5-(CF!F32+CF!G32+CF!H32+CF!I32+CF!J32)</f>
        <v>0</v>
      </c>
      <c r="C12" s="24" t="n">
        <f aca="false">C5-(CF!F63+CF!G63+CF!H63+CF!I63+CF!J63)</f>
        <v>0</v>
      </c>
      <c r="D12" s="24" t="n">
        <f aca="false">D5-(CF!F94+CF!G94+CF!H94+CF!I94+CF!J94)</f>
        <v>0</v>
      </c>
      <c r="E12" s="30"/>
    </row>
    <row r="14" customFormat="false" ht="17.15" hidden="false" customHeight="false" outlineLevel="0" collapsed="false">
      <c r="A14" s="3" t="s">
        <v>946</v>
      </c>
    </row>
    <row r="15" customFormat="false" ht="15" hidden="false" customHeight="false" outlineLevel="0" collapsed="false">
      <c r="A15" s="4" t="s">
        <v>43</v>
      </c>
      <c r="B15" s="4" t="s">
        <v>65</v>
      </c>
      <c r="C15" s="20" t="s">
        <v>799</v>
      </c>
      <c r="D15" s="20" t="s">
        <v>800</v>
      </c>
      <c r="E15" s="20" t="s">
        <v>801</v>
      </c>
      <c r="F15" s="20" t="s">
        <v>802</v>
      </c>
      <c r="G15" s="20" t="s">
        <v>803</v>
      </c>
      <c r="H15" s="20" t="s">
        <v>804</v>
      </c>
      <c r="I15" s="20" t="s">
        <v>805</v>
      </c>
      <c r="J15" s="20" t="s">
        <v>806</v>
      </c>
      <c r="K15" s="20" t="s">
        <v>807</v>
      </c>
      <c r="L15" s="4" t="s">
        <v>47</v>
      </c>
    </row>
    <row r="16" customFormat="false" ht="15" hidden="false" customHeight="false" outlineLevel="0" collapsed="false">
      <c r="A16" s="1" t="s">
        <v>925</v>
      </c>
      <c r="B16" s="0" t="s">
        <v>98</v>
      </c>
      <c r="F16" s="6" t="n">
        <f aca="false">PL!F45</f>
        <v>144.716245502711</v>
      </c>
      <c r="G16" s="6" t="n">
        <f aca="false">PL!G45</f>
        <v>169.440432908311</v>
      </c>
      <c r="H16" s="6" t="n">
        <f aca="false">PL!H45</f>
        <v>197.58884160431</v>
      </c>
      <c r="I16" s="6" t="n">
        <f aca="false">PL!I45</f>
        <v>219.330590993914</v>
      </c>
      <c r="J16" s="6" t="n">
        <f aca="false">PL!J45</f>
        <v>238.223129125662</v>
      </c>
      <c r="K16" s="6" t="n">
        <f aca="false">PL!K45</f>
        <v>255.521744254433</v>
      </c>
    </row>
    <row r="17" customFormat="false" ht="17.15" hidden="false" customHeight="false" outlineLevel="0" collapsed="false">
      <c r="A17" s="1" t="s">
        <v>947</v>
      </c>
      <c r="B17" s="0" t="s">
        <v>98</v>
      </c>
      <c r="E17" s="6" t="n">
        <f aca="false">Q!M38-Thesis!E40</f>
        <v>22.2285940229167</v>
      </c>
      <c r="F17" s="6" t="n">
        <f aca="false">CF!E17*(1-1/life_nonai)+(CF!F24+CF!F25)/life_nonai</f>
        <v>24.3924470334783</v>
      </c>
      <c r="G17" s="6" t="n">
        <f aca="false">CF!F17*(1-1/life_nonai)+(CF!G24)/life_nonai</f>
        <v>26.1134916871694</v>
      </c>
      <c r="H17" s="6" t="n">
        <f aca="false">CF!G17*(1-1/life_nonai)+(CF!H24)/life_nonai</f>
        <v>28.2582938828615</v>
      </c>
      <c r="I17" s="6" t="n">
        <f aca="false">CF!H17*(1-1/life_nonai)+(CF!I24)/life_nonai</f>
        <v>30.7498045257397</v>
      </c>
      <c r="J17" s="6" t="n">
        <f aca="false">CF!I17*(1-1/life_nonai)+(CF!J24)/life_nonai</f>
        <v>33.4954153982031</v>
      </c>
      <c r="K17" s="6" t="n">
        <f aca="false">CF!J17*(1-1/life_nonai)+(CF!K24)/life_nonai</f>
        <v>36.4102441325822</v>
      </c>
      <c r="L17" s="11" t="s">
        <v>948</v>
      </c>
    </row>
    <row r="18" customFormat="false" ht="17.15" hidden="false" customHeight="false" outlineLevel="0" collapsed="false">
      <c r="A18" s="1" t="s">
        <v>949</v>
      </c>
      <c r="B18" s="0" t="s">
        <v>98</v>
      </c>
      <c r="F18" s="6" t="n">
        <f aca="false">CF!$F$25/life_nonai*(1-1/life_nonai)^(Thesis!F6-2027)</f>
        <v>0.813777689897088</v>
      </c>
      <c r="G18" s="6" t="n">
        <f aca="false">CF!$F$25/life_nonai*(1-1/life_nonai)^(Thesis!G6-2027)</f>
        <v>0.73239992090738</v>
      </c>
      <c r="H18" s="6" t="n">
        <f aca="false">CF!$F$25/life_nonai*(1-1/life_nonai)^(Thesis!H6-2027)</f>
        <v>0.659159928816642</v>
      </c>
      <c r="I18" s="6" t="n">
        <f aca="false">CF!$F$25/life_nonai*(1-1/life_nonai)^(Thesis!I6-2027)</f>
        <v>0.593243935934978</v>
      </c>
      <c r="J18" s="6" t="n">
        <f aca="false">CF!$F$25/life_nonai*(1-1/life_nonai)^(Thesis!J6-2027)</f>
        <v>0.53391954234148</v>
      </c>
      <c r="K18" s="6" t="n">
        <f aca="false">CF!$F$25/life_nonai*(1-1/life_nonai)^(Thesis!K6-2027)</f>
        <v>0.480527588107332</v>
      </c>
      <c r="L18" s="1" t="s">
        <v>950</v>
      </c>
    </row>
    <row r="19" customFormat="false" ht="17.15" hidden="false" customHeight="false" outlineLevel="0" collapsed="false">
      <c r="A19" s="1" t="s">
        <v>951</v>
      </c>
      <c r="B19" s="0" t="s">
        <v>98</v>
      </c>
      <c r="E19" s="6" t="n">
        <f aca="false">Thesis!E40+CF!E17</f>
        <v>38.534</v>
      </c>
      <c r="F19" s="6" t="n">
        <f aca="false">Thesis!F40+CF!F17</f>
        <v>58.4423344144339</v>
      </c>
      <c r="G19" s="6" t="n">
        <f aca="false">Thesis!G40+CF!G17</f>
        <v>85.2389287976805</v>
      </c>
      <c r="H19" s="6" t="n">
        <f aca="false">Thesis!H40+CF!H17</f>
        <v>114.619313726173</v>
      </c>
      <c r="I19" s="6" t="n">
        <f aca="false">Thesis!I40+CF!I17</f>
        <v>141.355548358132</v>
      </c>
      <c r="J19" s="6" t="n">
        <f aca="false">Thesis!J40+CF!J17</f>
        <v>161.493738251046</v>
      </c>
      <c r="K19" s="6" t="n">
        <f aca="false">Thesis!K40+CF!K17</f>
        <v>175.54170817689</v>
      </c>
    </row>
    <row r="20" customFormat="false" ht="17.15" hidden="false" customHeight="false" outlineLevel="0" collapsed="false">
      <c r="A20" s="1" t="s">
        <v>952</v>
      </c>
      <c r="B20" s="0" t="s">
        <v>98</v>
      </c>
      <c r="F20" s="6" t="n">
        <f aca="false">Seg!F29*sbc_r</f>
        <v>15.1240791253967</v>
      </c>
      <c r="G20" s="6" t="n">
        <f aca="false">Seg!G29*sbc_r</f>
        <v>18.3778786594202</v>
      </c>
      <c r="H20" s="6" t="n">
        <f aca="false">Seg!H29*sbc_r</f>
        <v>21.8771522065674</v>
      </c>
      <c r="I20" s="6" t="n">
        <f aca="false">Seg!I29*sbc_r</f>
        <v>24.8701515437869</v>
      </c>
      <c r="J20" s="6" t="n">
        <f aca="false">Seg!J29*sbc_r</f>
        <v>27.2967954795689</v>
      </c>
      <c r="K20" s="6" t="n">
        <f aca="false">Seg!K29*sbc_r</f>
        <v>29.260073931056</v>
      </c>
    </row>
    <row r="21" customFormat="false" ht="17.15" hidden="false" customHeight="false" outlineLevel="0" collapsed="false">
      <c r="A21" s="1" t="s">
        <v>953</v>
      </c>
      <c r="B21" s="0" t="s">
        <v>98</v>
      </c>
      <c r="F21" s="6" t="n">
        <f aca="false">wc27</f>
        <v>-4.895</v>
      </c>
      <c r="G21" s="6" t="n">
        <f aca="false">wc_f</f>
        <v>0</v>
      </c>
      <c r="H21" s="6" t="n">
        <f aca="false">wc_f</f>
        <v>0</v>
      </c>
      <c r="I21" s="6" t="n">
        <f aca="false">wc_f</f>
        <v>0</v>
      </c>
      <c r="J21" s="6" t="n">
        <f aca="false">wc_f</f>
        <v>0</v>
      </c>
      <c r="K21" s="6" t="n">
        <f aca="false">wc_f</f>
        <v>0</v>
      </c>
      <c r="L21" s="11" t="s">
        <v>954</v>
      </c>
    </row>
    <row r="22" customFormat="false" ht="15" hidden="false" customHeight="false" outlineLevel="0" collapsed="false">
      <c r="A22" s="1" t="s">
        <v>767</v>
      </c>
      <c r="B22" s="0" t="s">
        <v>98</v>
      </c>
      <c r="E22" s="6" t="n">
        <f aca="false">Q!M35</f>
        <v>182.935</v>
      </c>
      <c r="F22" s="6" t="n">
        <f aca="false">CF!F16+CF!F19+CF!F20+CF!F21</f>
        <v>213.387659042542</v>
      </c>
      <c r="G22" s="6" t="n">
        <f aca="false">CF!G16+CF!G19+CF!G20+CF!G21</f>
        <v>273.057240365412</v>
      </c>
      <c r="H22" s="6" t="n">
        <f aca="false">CF!H16+CF!H19+CF!H20+CF!H21</f>
        <v>334.08530753705</v>
      </c>
      <c r="I22" s="6" t="n">
        <f aca="false">CF!I16+CF!I19+CF!I20+CF!I21</f>
        <v>385.556290895833</v>
      </c>
      <c r="J22" s="6" t="n">
        <f aca="false">CF!J16+CF!J19+CF!J20+CF!J21</f>
        <v>427.013662856278</v>
      </c>
      <c r="K22" s="6" t="n">
        <f aca="false">CF!K16+CF!K19+CF!K20+CF!K21</f>
        <v>460.323526362379</v>
      </c>
    </row>
    <row r="23" customFormat="false" ht="17.15" hidden="false" customHeight="false" outlineLevel="0" collapsed="false">
      <c r="A23" s="0" t="s">
        <v>955</v>
      </c>
      <c r="B23" s="0" t="s">
        <v>98</v>
      </c>
      <c r="F23" s="6" t="n">
        <f aca="false">Thesis!F37</f>
        <v>160.332875871467</v>
      </c>
      <c r="G23" s="6" t="n">
        <f aca="false">Thesis!G37</f>
        <v>183.5741804832</v>
      </c>
      <c r="H23" s="6" t="n">
        <f aca="false">Thesis!H37</f>
        <v>188.0802859104</v>
      </c>
      <c r="I23" s="6" t="n">
        <f aca="false">Thesis!I37</f>
        <v>163.706669154245</v>
      </c>
      <c r="J23" s="6" t="n">
        <f aca="false">Thesis!J37</f>
        <v>127.181436594242</v>
      </c>
      <c r="K23" s="6" t="n">
        <f aca="false">Thesis!K37</f>
        <v>121.407415303591</v>
      </c>
    </row>
    <row r="24" customFormat="false" ht="17.15" hidden="false" customHeight="false" outlineLevel="0" collapsed="false">
      <c r="A24" s="1" t="s">
        <v>956</v>
      </c>
      <c r="B24" s="0" t="s">
        <v>98</v>
      </c>
      <c r="E24" s="6" t="n">
        <f aca="false">Seg!E7*cx_azo+Seg!E14*cx_m365+Seg!E15*cx_lic+(Seg!E17+Seg!E19)*cx_ind+Seg!E22*cx_srch+(Seg!E24+Seg!E26)*cx_dev</f>
        <v>30.1846587067718</v>
      </c>
      <c r="F24" s="6" t="n">
        <f aca="false">Seg!F7*cx_azo+Seg!F14*cx_m365+Seg!F15*cx_lic+(Seg!F17+Seg!F19)*cx_ind+Seg!F22*cx_srch+(Seg!F24+Seg!F26)*cx_dev</f>
        <v>35.7293472295625</v>
      </c>
      <c r="G24" s="6" t="n">
        <f aca="false">Seg!G7*cx_azo+Seg!G14*cx_m365+Seg!G15*cx_lic+(Seg!G17+Seg!G19)*cx_ind+Seg!G22*cx_srch+(Seg!G24+Seg!G26)*cx_dev</f>
        <v>41.6028935703892</v>
      </c>
      <c r="H24" s="6" t="n">
        <f aca="false">Seg!H7*cx_azo+Seg!H14*cx_m365+Seg!H15*cx_lic+(Seg!H17+Seg!H19)*cx_ind+Seg!H22*cx_srch+(Seg!H24+Seg!H26)*cx_dev</f>
        <v>47.5615136440897</v>
      </c>
      <c r="I24" s="6" t="n">
        <f aca="false">Seg!I7*cx_azo+Seg!I14*cx_m365+Seg!I15*cx_lic+(Seg!I17+Seg!I19)*cx_ind+Seg!I22*cx_srch+(Seg!I24+Seg!I26)*cx_dev</f>
        <v>53.1734003116439</v>
      </c>
      <c r="J24" s="6" t="n">
        <f aca="false">Seg!J7*cx_azo+Seg!J14*cx_m365+Seg!J15*cx_lic+(Seg!J17+Seg!J19)*cx_ind+Seg!J22*cx_srch+(Seg!J24+Seg!J26)*cx_dev</f>
        <v>58.2059132503738</v>
      </c>
      <c r="K24" s="6" t="n">
        <f aca="false">Seg!K7*cx_azo+Seg!K14*cx_m365+Seg!K15*cx_lic+(Seg!K17+Seg!K19)*cx_ind+Seg!K22*cx_srch+(Seg!K24+Seg!K26)*cx_dev</f>
        <v>62.643702741994</v>
      </c>
    </row>
    <row r="25" customFormat="false" ht="17.15" hidden="false" customHeight="false" outlineLevel="0" collapsed="false">
      <c r="A25" s="0" t="s">
        <v>957</v>
      </c>
      <c r="B25" s="0" t="s">
        <v>98</v>
      </c>
      <c r="F25" s="6" t="n">
        <f aca="false">Thesis!F35</f>
        <v>8.13777689897088</v>
      </c>
      <c r="L25" s="1" t="s">
        <v>958</v>
      </c>
    </row>
    <row r="26" customFormat="false" ht="17.15" hidden="false" customHeight="false" outlineLevel="0" collapsed="false">
      <c r="A26" s="1" t="s">
        <v>959</v>
      </c>
      <c r="B26" s="0" t="s">
        <v>98</v>
      </c>
      <c r="E26" s="6" t="n">
        <f aca="false">Q!M42</f>
        <v>145.3</v>
      </c>
      <c r="F26" s="6" t="n">
        <f aca="false">CF!F23+CF!F24+CF!F25</f>
        <v>204.2</v>
      </c>
      <c r="G26" s="6" t="n">
        <f aca="false">CF!G23+CF!G24</f>
        <v>225.177074053589</v>
      </c>
      <c r="H26" s="6" t="n">
        <f aca="false">CF!H23+CF!H24</f>
        <v>235.64179955449</v>
      </c>
      <c r="I26" s="6" t="n">
        <f aca="false">CF!I23+CF!I24</f>
        <v>216.880069465889</v>
      </c>
      <c r="J26" s="6" t="n">
        <f aca="false">CF!J23+CF!J24</f>
        <v>185.387349844616</v>
      </c>
      <c r="K26" s="6" t="n">
        <f aca="false">CF!K23+CF!K24</f>
        <v>184.051118045585</v>
      </c>
      <c r="L26" s="1" t="s">
        <v>960</v>
      </c>
    </row>
    <row r="27" customFormat="false" ht="15" hidden="false" customHeight="false" outlineLevel="0" collapsed="false">
      <c r="A27" s="1" t="s">
        <v>961</v>
      </c>
      <c r="B27" s="0" t="s">
        <v>98</v>
      </c>
      <c r="E27" s="6" t="n">
        <f aca="false">fl_liab</f>
        <v>66.594</v>
      </c>
      <c r="F27" s="6" t="n">
        <f aca="false">CF!E27-CF!F28</f>
        <v>62.46973</v>
      </c>
      <c r="G27" s="6" t="n">
        <f aca="false">CF!F27-CF!G28</f>
        <v>57.98686785</v>
      </c>
      <c r="H27" s="6" t="n">
        <f aca="false">CF!G27-CF!H28</f>
        <v>53.92827690325</v>
      </c>
      <c r="I27" s="6" t="n">
        <f aca="false">CF!H27-CF!I28</f>
        <v>49.7850493638962</v>
      </c>
      <c r="J27" s="6" t="n">
        <f aca="false">CF!I27-CF!J28</f>
        <v>45.4823765852716</v>
      </c>
      <c r="K27" s="6" t="n">
        <f aca="false">CF!J27-CF!K28</f>
        <v>40.9860835316088</v>
      </c>
    </row>
    <row r="28" customFormat="false" ht="15" hidden="false" customHeight="false" outlineLevel="0" collapsed="false">
      <c r="A28" s="1" t="s">
        <v>962</v>
      </c>
      <c r="B28" s="0" t="s">
        <v>98</v>
      </c>
      <c r="F28" s="6" t="n">
        <f aca="false">fl_pay_27-CF!E27*fl_rate</f>
        <v>4.12427</v>
      </c>
      <c r="G28" s="6" t="n">
        <f aca="false">fl_pay_28-CF!F27*fl_rate</f>
        <v>4.48286215</v>
      </c>
      <c r="H28" s="6" t="n">
        <f aca="false">fl_pay_29-CF!G27*fl_rate</f>
        <v>4.05859094675</v>
      </c>
      <c r="I28" s="6" t="n">
        <f aca="false">fl_pay_30-CF!H27*fl_rate</f>
        <v>4.14322753935375</v>
      </c>
      <c r="J28" s="6" t="n">
        <f aca="false">fl_pay_31-CF!I27*fl_rate</f>
        <v>4.30267277862467</v>
      </c>
      <c r="K28" s="6" t="n">
        <f aca="false">fl_pay_32-CF!J27*fl_rate</f>
        <v>4.49629305366278</v>
      </c>
    </row>
    <row r="29" customFormat="false" ht="17.15" hidden="false" customHeight="false" outlineLevel="0" collapsed="false">
      <c r="A29" s="1" t="s">
        <v>963</v>
      </c>
      <c r="B29" s="0" t="s">
        <v>98</v>
      </c>
      <c r="E29" s="6" t="n">
        <f aca="false">Q!M35-Q!M36-Q!M43</f>
        <v>63.886</v>
      </c>
      <c r="F29" s="6" t="n">
        <f aca="false">CF!F22-CF!F26-CF!F28</f>
        <v>5.06338904254167</v>
      </c>
      <c r="G29" s="6" t="n">
        <f aca="false">CF!G22-CF!G26-CF!G28</f>
        <v>43.3973041618228</v>
      </c>
      <c r="H29" s="6" t="n">
        <f aca="false">CF!H22-CF!H26-CF!H28</f>
        <v>94.3849170358102</v>
      </c>
      <c r="I29" s="6" t="n">
        <f aca="false">CF!I22-CF!I26-CF!I28</f>
        <v>164.53299389059</v>
      </c>
      <c r="J29" s="6" t="n">
        <f aca="false">CF!J22-CF!J26-CF!J28</f>
        <v>237.323640233037</v>
      </c>
      <c r="K29" s="6" t="n">
        <f aca="false">CF!K22-CF!K26-CF!K28</f>
        <v>271.776115263132</v>
      </c>
      <c r="L29" s="11" t="s">
        <v>964</v>
      </c>
    </row>
    <row r="30" customFormat="false" ht="15" hidden="false" customHeight="false" outlineLevel="0" collapsed="false">
      <c r="A30" s="1" t="s">
        <v>965</v>
      </c>
      <c r="B30" s="0" t="s">
        <v>75</v>
      </c>
      <c r="F30" s="8" t="n">
        <f aca="false">dps_27</f>
        <v>3.85</v>
      </c>
      <c r="G30" s="8" t="n">
        <f aca="false">CF!F30*(1+dps_g)</f>
        <v>4.158</v>
      </c>
      <c r="H30" s="8" t="n">
        <f aca="false">CF!G30*(1+dps_g)</f>
        <v>4.49064</v>
      </c>
      <c r="I30" s="8" t="n">
        <f aca="false">CF!H30*(1+dps_g)</f>
        <v>4.8498912</v>
      </c>
      <c r="J30" s="8" t="n">
        <f aca="false">CF!I30*(1+dps_g)</f>
        <v>5.237882496</v>
      </c>
      <c r="K30" s="8" t="n">
        <f aca="false">CF!J30*(1+dps_g)</f>
        <v>5.65691309568</v>
      </c>
    </row>
    <row r="31" customFormat="false" ht="17.15" hidden="false" customHeight="false" outlineLevel="0" collapsed="false">
      <c r="A31" s="1" t="s">
        <v>966</v>
      </c>
      <c r="B31" s="0" t="s">
        <v>98</v>
      </c>
      <c r="E31" s="6" t="n">
        <f aca="false">Q!M41</f>
        <v>26.445</v>
      </c>
      <c r="F31" s="6" t="n">
        <f aca="false">CF!F30*CF!E40</f>
        <v>28.59395</v>
      </c>
      <c r="G31" s="6" t="n">
        <f aca="false">CF!G30*CF!F40</f>
        <v>31.068576</v>
      </c>
      <c r="H31" s="6" t="n">
        <f aca="false">CF!H30*CF!G40</f>
        <v>33.6635240905814</v>
      </c>
      <c r="I31" s="6" t="n">
        <f aca="false">CF!I30*CF!H40</f>
        <v>36.4075452578274</v>
      </c>
      <c r="J31" s="6" t="n">
        <f aca="false">CF!J30*CF!I40</f>
        <v>39.388547726773</v>
      </c>
      <c r="K31" s="6" t="n">
        <f aca="false">CF!K30*CF!J40</f>
        <v>42.6268867702199</v>
      </c>
      <c r="L31" s="1" t="s">
        <v>967</v>
      </c>
    </row>
    <row r="32" customFormat="false" ht="15" hidden="false" customHeight="false" outlineLevel="0" collapsed="false">
      <c r="A32" s="1" t="s">
        <v>968</v>
      </c>
      <c r="B32" s="0" t="s">
        <v>98</v>
      </c>
      <c r="E32" s="6" t="n">
        <f aca="false">CF!E29-CF!E31</f>
        <v>37.441</v>
      </c>
      <c r="F32" s="6" t="n">
        <f aca="false">CF!F29-CF!F31</f>
        <v>-23.5305609574583</v>
      </c>
      <c r="G32" s="6" t="n">
        <f aca="false">CF!G29-CF!G31</f>
        <v>12.3287281618228</v>
      </c>
      <c r="H32" s="6" t="n">
        <f aca="false">CF!H29-CF!H31</f>
        <v>60.7213929452288</v>
      </c>
      <c r="I32" s="6" t="n">
        <f aca="false">CF!I29-CF!I31</f>
        <v>128.125448632763</v>
      </c>
      <c r="J32" s="6" t="n">
        <f aca="false">CF!J29-CF!J31</f>
        <v>197.935092506264</v>
      </c>
      <c r="K32" s="6" t="n">
        <f aca="false">CF!K29-CF!K31</f>
        <v>229.149228492912</v>
      </c>
    </row>
    <row r="33" customFormat="false" ht="15" hidden="false" customHeight="false" outlineLevel="0" collapsed="false">
      <c r="A33" s="1" t="s">
        <v>969</v>
      </c>
      <c r="B33" s="0" t="s">
        <v>98</v>
      </c>
      <c r="F33" s="6" t="n">
        <f aca="false">debt_mat_27</f>
        <v>9.25</v>
      </c>
      <c r="G33" s="6" t="n">
        <f aca="false">debt_mat_28</f>
        <v>0</v>
      </c>
      <c r="H33" s="6" t="n">
        <f aca="false">debt_mat_29</f>
        <v>2.001</v>
      </c>
      <c r="I33" s="6" t="n">
        <f aca="false">debt_mat_30</f>
        <v>0</v>
      </c>
      <c r="J33" s="6" t="n">
        <f aca="false">debt_mat_31</f>
        <v>0.5</v>
      </c>
      <c r="K33" s="6" t="n">
        <f aca="false">debt_mat_32</f>
        <v>0</v>
      </c>
    </row>
    <row r="34" customFormat="false" ht="15" hidden="false" customHeight="false" outlineLevel="0" collapsed="false">
      <c r="A34" s="1" t="s">
        <v>970</v>
      </c>
      <c r="B34" s="0" t="s">
        <v>98</v>
      </c>
      <c r="E34" s="6" t="n">
        <f aca="false">Q!M40</f>
        <v>22.271</v>
      </c>
      <c r="F34" s="6" t="n">
        <f aca="false">MAX(0,MIN(bb_target,CF!E36+CF!F32-CF!F33-min_cash))</f>
        <v>0</v>
      </c>
      <c r="G34" s="6" t="n">
        <f aca="false">MAX(0,MIN(bb_target,CF!F36+CF!G32-CF!G33-min_cash))</f>
        <v>12.3287281618228</v>
      </c>
      <c r="H34" s="6" t="n">
        <f aca="false">MAX(0,MIN(bb_target,CF!G36+CF!H32-CF!H33-min_cash))</f>
        <v>22.271</v>
      </c>
      <c r="I34" s="6" t="n">
        <f aca="false">MAX(0,MIN(bb_target,CF!H36+CF!I32-CF!I33-min_cash))</f>
        <v>22.271</v>
      </c>
      <c r="J34" s="6" t="n">
        <f aca="false">MAX(0,MIN(bb_target,CF!I36+CF!J32-CF!J33-min_cash))</f>
        <v>22.271</v>
      </c>
      <c r="K34" s="6" t="n">
        <f aca="false">MAX(0,MIN(bb_target,CF!J36+CF!K32-CF!K33-min_cash))</f>
        <v>22.271</v>
      </c>
    </row>
    <row r="35" customFormat="false" ht="15" hidden="false" customHeight="false" outlineLevel="0" collapsed="false">
      <c r="A35" s="1" t="s">
        <v>971</v>
      </c>
      <c r="B35" s="0" t="s">
        <v>98</v>
      </c>
      <c r="F35" s="6" t="n">
        <f aca="false">MAX(0,min_cash-(CF!E36+CF!F32-CF!F33-CF!F34))</f>
        <v>5.93756095745833</v>
      </c>
      <c r="G35" s="6" t="n">
        <f aca="false">MAX(0,min_cash-(CF!F36+CF!G32-CF!G33-CF!G34))</f>
        <v>0</v>
      </c>
      <c r="H35" s="6" t="n">
        <f aca="false">MAX(0,min_cash-(CF!G36+CF!H32-CF!H33-CF!H34))</f>
        <v>0</v>
      </c>
      <c r="I35" s="6" t="n">
        <f aca="false">MAX(0,min_cash-(CF!H36+CF!I32-CF!I33-CF!I34))</f>
        <v>0</v>
      </c>
      <c r="J35" s="6" t="n">
        <f aca="false">MAX(0,min_cash-(CF!I36+CF!J32-CF!J33-CF!J34))</f>
        <v>0</v>
      </c>
      <c r="K35" s="6" t="n">
        <f aca="false">MAX(0,min_cash-(CF!J36+CF!K32-CF!K33-CF!K34))</f>
        <v>0</v>
      </c>
    </row>
    <row r="36" customFormat="false" ht="15" hidden="false" customHeight="false" outlineLevel="0" collapsed="false">
      <c r="A36" s="1" t="s">
        <v>972</v>
      </c>
      <c r="B36" s="0" t="s">
        <v>98</v>
      </c>
      <c r="E36" s="6" t="n">
        <f aca="false">cash_open</f>
        <v>76.843</v>
      </c>
      <c r="F36" s="6" t="n">
        <f aca="false">CF!E36+CF!F32-CF!F33-CF!F34+CF!F35</f>
        <v>50</v>
      </c>
      <c r="G36" s="6" t="n">
        <f aca="false">CF!F36+CF!G32-CF!G33-CF!G34+CF!G35</f>
        <v>50</v>
      </c>
      <c r="H36" s="6" t="n">
        <f aca="false">CF!G36+CF!H32-CF!H33-CF!H34+CF!H35</f>
        <v>86.4493929452288</v>
      </c>
      <c r="I36" s="6" t="n">
        <f aca="false">CF!H36+CF!I32-CF!I33-CF!I34+CF!I35</f>
        <v>192.303841577992</v>
      </c>
      <c r="J36" s="6" t="n">
        <f aca="false">CF!I36+CF!J32-CF!J33-CF!J34+CF!J35</f>
        <v>367.467934084256</v>
      </c>
      <c r="K36" s="6" t="n">
        <f aca="false">CF!J36+CF!K32-CF!K33-CF!K34+CF!K35</f>
        <v>574.346162577167</v>
      </c>
    </row>
    <row r="37" customFormat="false" ht="15" hidden="false" customHeight="false" outlineLevel="0" collapsed="false">
      <c r="A37" s="1" t="s">
        <v>973</v>
      </c>
      <c r="B37" s="0" t="s">
        <v>98</v>
      </c>
      <c r="E37" s="6" t="n">
        <f aca="false">debt_face</f>
        <v>46.136</v>
      </c>
      <c r="F37" s="6" t="n">
        <f aca="false">CF!E37-CF!F33+CF!F35</f>
        <v>42.8235609574583</v>
      </c>
      <c r="G37" s="6" t="n">
        <f aca="false">CF!F37-CF!G33+CF!G35</f>
        <v>42.8235609574583</v>
      </c>
      <c r="H37" s="6" t="n">
        <f aca="false">CF!G37-CF!H33+CF!H35</f>
        <v>40.8225609574583</v>
      </c>
      <c r="I37" s="6" t="n">
        <f aca="false">CF!H37-CF!I33+CF!I35</f>
        <v>40.8225609574583</v>
      </c>
      <c r="J37" s="6" t="n">
        <f aca="false">CF!I37-CF!J33+CF!J35</f>
        <v>40.3225609574583</v>
      </c>
      <c r="K37" s="6" t="n">
        <f aca="false">CF!J37-CF!K33+CF!K35</f>
        <v>40.3225609574583</v>
      </c>
    </row>
    <row r="38" customFormat="false" ht="15" hidden="false" customHeight="false" outlineLevel="0" collapsed="false">
      <c r="A38" s="1" t="s">
        <v>974</v>
      </c>
      <c r="B38" s="0" t="s">
        <v>98</v>
      </c>
      <c r="E38" s="6" t="n">
        <f aca="false">CF!E36-CF!E37</f>
        <v>30.707</v>
      </c>
      <c r="F38" s="6" t="n">
        <f aca="false">CF!F36-CF!F37</f>
        <v>7.17643904254167</v>
      </c>
      <c r="G38" s="6" t="n">
        <f aca="false">CF!G36-CF!G37</f>
        <v>7.17643904254167</v>
      </c>
      <c r="H38" s="6" t="n">
        <f aca="false">CF!H36-CF!H37</f>
        <v>45.6268319877705</v>
      </c>
      <c r="I38" s="6" t="n">
        <f aca="false">CF!I36-CF!I37</f>
        <v>151.481280620533</v>
      </c>
      <c r="J38" s="6" t="n">
        <f aca="false">CF!J36-CF!J37</f>
        <v>327.145373126797</v>
      </c>
      <c r="K38" s="6" t="n">
        <f aca="false">CF!K36-CF!K37</f>
        <v>534.023601619709</v>
      </c>
    </row>
    <row r="39" customFormat="false" ht="15" hidden="false" customHeight="false" outlineLevel="0" collapsed="false">
      <c r="A39" s="1" t="s">
        <v>975</v>
      </c>
      <c r="B39" s="0" t="s">
        <v>75</v>
      </c>
      <c r="F39" s="29" t="n">
        <f aca="false">px*(1+bb_g)^(Thesis!F6-base_fy-mid_yr)</f>
        <v>553.494156066711</v>
      </c>
      <c r="G39" s="29" t="n">
        <f aca="false">px*(1+bb_g)^(Thesis!G6-base_fy-mid_yr)</f>
        <v>597.773688552047</v>
      </c>
      <c r="H39" s="29" t="n">
        <f aca="false">px*(1+bb_g)^(Thesis!H6-base_fy-mid_yr)</f>
        <v>645.595583636211</v>
      </c>
      <c r="I39" s="29" t="n">
        <f aca="false">px*(1+bb_g)^(Thesis!I6-base_fy-mid_yr)</f>
        <v>697.243230327108</v>
      </c>
      <c r="J39" s="29" t="n">
        <f aca="false">px*(1+bb_g)^(Thesis!J6-base_fy-mid_yr)</f>
        <v>753.022688753277</v>
      </c>
      <c r="K39" s="29" t="n">
        <f aca="false">px*(1+bb_g)^(Thesis!K6-base_fy-mid_yr)</f>
        <v>813.264503853539</v>
      </c>
    </row>
    <row r="40" customFormat="false" ht="15" hidden="false" customHeight="false" outlineLevel="0" collapsed="false">
      <c r="A40" s="1" t="s">
        <v>976</v>
      </c>
      <c r="B40" s="1" t="s">
        <v>81</v>
      </c>
      <c r="E40" s="14" t="n">
        <f aca="false">sh_out26</f>
        <v>7.427</v>
      </c>
      <c r="F40" s="14" t="n">
        <f aca="false">CF!E40+sh_iss-CF!F34/CF!F39</f>
        <v>7.472</v>
      </c>
      <c r="G40" s="14" t="n">
        <f aca="false">CF!F40+sh_iss-CF!G34/CF!G39</f>
        <v>7.49637559247265</v>
      </c>
      <c r="H40" s="14" t="n">
        <f aca="false">CF!G40+sh_iss-CF!H34/CF!H39</f>
        <v>7.50687876417256</v>
      </c>
      <c r="I40" s="14" t="n">
        <f aca="false">CF!H40+sh_iss-CF!I34/CF!I39</f>
        <v>7.51993725648728</v>
      </c>
      <c r="J40" s="14" t="n">
        <f aca="false">CF!I40+sh_iss-CF!J34/CF!J39</f>
        <v>7.53536178640832</v>
      </c>
      <c r="K40" s="14" t="n">
        <f aca="false">CF!J40+sh_iss-CF!K34/CF!K39</f>
        <v>7.55297709189077</v>
      </c>
    </row>
    <row r="41" customFormat="false" ht="15" hidden="false" customHeight="false" outlineLevel="0" collapsed="false">
      <c r="A41" s="1" t="s">
        <v>977</v>
      </c>
      <c r="B41" s="1" t="s">
        <v>81</v>
      </c>
      <c r="E41" s="14" t="n">
        <f aca="false">sh_dil26</f>
        <v>7.453</v>
      </c>
      <c r="F41" s="14" t="n">
        <f aca="false">(CF!E40+CF!F40)/2+dil_gap</f>
        <v>7.4735</v>
      </c>
      <c r="G41" s="14" t="n">
        <f aca="false">(CF!F40+CF!G40)/2+dil_gap</f>
        <v>7.50818779623633</v>
      </c>
      <c r="H41" s="14" t="n">
        <f aca="false">(CF!G40+CF!H40)/2+dil_gap</f>
        <v>7.5256271783226</v>
      </c>
      <c r="I41" s="14" t="n">
        <f aca="false">(CF!H40+CF!I40)/2+dil_gap</f>
        <v>7.53740801032992</v>
      </c>
      <c r="J41" s="14" t="n">
        <f aca="false">(CF!I40+CF!J40)/2+dil_gap</f>
        <v>7.5516495214478</v>
      </c>
      <c r="K41" s="14" t="n">
        <f aca="false">(CF!J40+CF!K40)/2+dil_gap</f>
        <v>7.56816943914954</v>
      </c>
    </row>
    <row r="42" customFormat="false" ht="17.15" hidden="false" customHeight="false" outlineLevel="0" collapsed="false">
      <c r="A42" s="1" t="s">
        <v>978</v>
      </c>
      <c r="B42" s="0" t="s">
        <v>98</v>
      </c>
      <c r="C42" s="6" t="n">
        <f aca="false">SUM(CF!F32:J32)</f>
        <v>375.58010128862</v>
      </c>
    </row>
    <row r="43" customFormat="false" ht="15" hidden="false" customHeight="false" outlineLevel="0" collapsed="false">
      <c r="A43" s="23" t="s">
        <v>945</v>
      </c>
      <c r="B43" s="30" t="s">
        <v>98</v>
      </c>
      <c r="C43" s="24" t="n">
        <f aca="false">CF!$C$42-(CF!F32+CF!G32+CF!H32+CF!I32+CF!J32)</f>
        <v>0</v>
      </c>
      <c r="D43" s="30"/>
      <c r="E43" s="30"/>
      <c r="F43" s="30"/>
      <c r="G43" s="30"/>
      <c r="H43" s="30"/>
      <c r="I43" s="30"/>
      <c r="J43" s="30"/>
      <c r="K43" s="30"/>
    </row>
    <row r="44" customFormat="false" ht="17.15" hidden="false" customHeight="false" outlineLevel="0" collapsed="false">
      <c r="A44" s="1" t="s">
        <v>939</v>
      </c>
      <c r="B44" s="1" t="s">
        <v>979</v>
      </c>
      <c r="C44" s="32" t="str">
        <f aca="false">IF(SUM(CF!F35:J35)&gt;0.05,"需要舉債 "&amp;TEXT(SUM(CF!F35:J35),"0.0")&amp;" 十億美元","不需舉債")&amp;"；"&amp;IF(SUM(CF!F34:J34)&lt;COUNT(CF!F34:J34)*bb_target-0.05,"回購較每年 "&amp;TEXT(bb_target,"0.0")&amp;" 的目標少 "&amp;TEXT(COUNT(CF!F34:J34)*bb_target-SUM(CF!F34:J34),"0.0")&amp;" 十億美元（"&amp;TEXT(COUNTIF(CF!F34:J34,"&lt;"&amp;(bb_target-0.05)),"0")&amp;" 年減少）","回購不減")</f>
        <v>需要舉債 5.9 十億美元；回購較每年 22.3 的目標少 32.2 十億美元（2 年減少）</v>
      </c>
    </row>
    <row r="45" customFormat="false" ht="17.15" hidden="false" customHeight="false" outlineLevel="0" collapsed="false">
      <c r="A45" s="3" t="s">
        <v>980</v>
      </c>
    </row>
    <row r="46" customFormat="false" ht="15" hidden="false" customHeight="false" outlineLevel="0" collapsed="false">
      <c r="A46" s="4" t="s">
        <v>43</v>
      </c>
      <c r="B46" s="4" t="s">
        <v>65</v>
      </c>
      <c r="C46" s="20" t="s">
        <v>799</v>
      </c>
      <c r="D46" s="20" t="s">
        <v>800</v>
      </c>
      <c r="E46" s="20" t="s">
        <v>801</v>
      </c>
      <c r="F46" s="20" t="s">
        <v>802</v>
      </c>
      <c r="G46" s="20" t="s">
        <v>803</v>
      </c>
      <c r="H46" s="20" t="s">
        <v>804</v>
      </c>
      <c r="I46" s="20" t="s">
        <v>805</v>
      </c>
      <c r="J46" s="20" t="s">
        <v>806</v>
      </c>
      <c r="K46" s="20" t="s">
        <v>807</v>
      </c>
      <c r="L46" s="4" t="s">
        <v>47</v>
      </c>
    </row>
    <row r="47" customFormat="false" ht="15" hidden="false" customHeight="false" outlineLevel="0" collapsed="false">
      <c r="A47" s="1" t="s">
        <v>925</v>
      </c>
      <c r="B47" s="0" t="s">
        <v>98</v>
      </c>
      <c r="F47" s="6" t="n">
        <f aca="false">PL!F84</f>
        <v>141.084366557223</v>
      </c>
      <c r="G47" s="6" t="n">
        <f aca="false">PL!G84</f>
        <v>157.83934818747</v>
      </c>
      <c r="H47" s="6" t="n">
        <f aca="false">PL!H84</f>
        <v>174.193394077152</v>
      </c>
      <c r="I47" s="6" t="n">
        <f aca="false">PL!I84</f>
        <v>189.900181402841</v>
      </c>
      <c r="J47" s="6" t="n">
        <f aca="false">PL!J84</f>
        <v>204.574742046364</v>
      </c>
      <c r="K47" s="6" t="n">
        <f aca="false">PL!K84</f>
        <v>218.874745355641</v>
      </c>
    </row>
    <row r="48" customFormat="false" ht="17.15" hidden="false" customHeight="false" outlineLevel="0" collapsed="false">
      <c r="A48" s="1" t="s">
        <v>947</v>
      </c>
      <c r="B48" s="0" t="s">
        <v>98</v>
      </c>
      <c r="E48" s="6" t="n">
        <f aca="false">Q!M38-Thesis!E89</f>
        <v>22.2285940229167</v>
      </c>
      <c r="F48" s="6" t="n">
        <f aca="false">CF!E48*(1-1/life_nonai)+(CF!F55+CF!F56)/life_nonai</f>
        <v>24.3924470334783</v>
      </c>
      <c r="G48" s="6" t="n">
        <f aca="false">CF!F48*(1-1/life_nonai)+(CF!G55)/life_nonai</f>
        <v>26.0684916871694</v>
      </c>
      <c r="H48" s="6" t="n">
        <f aca="false">CF!G48*(1-1/life_nonai)+(CF!H55)/life_nonai</f>
        <v>28.1427938828615</v>
      </c>
      <c r="I48" s="6" t="n">
        <f aca="false">CF!H48*(1-1/life_nonai)+(CF!I55)/life_nonai</f>
        <v>30.5483545257397</v>
      </c>
      <c r="J48" s="6" t="n">
        <f aca="false">CF!I48*(1-1/life_nonai)+(CF!J55)/life_nonai</f>
        <v>33.2016103982031</v>
      </c>
      <c r="K48" s="6" t="n">
        <f aca="false">CF!J48*(1-1/life_nonai)+(CF!K55)/life_nonai</f>
        <v>36.0183196325822</v>
      </c>
      <c r="L48" s="11" t="s">
        <v>948</v>
      </c>
    </row>
    <row r="49" customFormat="false" ht="17.15" hidden="false" customHeight="false" outlineLevel="0" collapsed="false">
      <c r="A49" s="1" t="s">
        <v>949</v>
      </c>
      <c r="B49" s="0" t="s">
        <v>98</v>
      </c>
      <c r="F49" s="6" t="n">
        <f aca="false">CF!$F$56/life_nonai*(1-1/life_nonai)^(Thesis!F55-2027)</f>
        <v>0.828777689897088</v>
      </c>
      <c r="G49" s="6" t="n">
        <f aca="false">CF!$F$56/life_nonai*(1-1/life_nonai)^(Thesis!G55-2027)</f>
        <v>0.745899920907379</v>
      </c>
      <c r="H49" s="6" t="n">
        <f aca="false">CF!$F$56/life_nonai*(1-1/life_nonai)^(Thesis!H55-2027)</f>
        <v>0.671309928816642</v>
      </c>
      <c r="I49" s="6" t="n">
        <f aca="false">CF!$F$56/life_nonai*(1-1/life_nonai)^(Thesis!I55-2027)</f>
        <v>0.604178935934977</v>
      </c>
      <c r="J49" s="6" t="n">
        <f aca="false">CF!$F$56/life_nonai*(1-1/life_nonai)^(Thesis!J55-2027)</f>
        <v>0.54376104234148</v>
      </c>
      <c r="K49" s="6" t="n">
        <f aca="false">CF!$F$56/life_nonai*(1-1/life_nonai)^(Thesis!K55-2027)</f>
        <v>0.489384938107332</v>
      </c>
      <c r="L49" s="1" t="s">
        <v>950</v>
      </c>
    </row>
    <row r="50" customFormat="false" ht="17.15" hidden="false" customHeight="false" outlineLevel="0" collapsed="false">
      <c r="A50" s="1" t="s">
        <v>951</v>
      </c>
      <c r="B50" s="0" t="s">
        <v>98</v>
      </c>
      <c r="E50" s="6" t="n">
        <f aca="false">Thesis!E89+CF!E48</f>
        <v>38.534</v>
      </c>
      <c r="F50" s="6" t="n">
        <f aca="false">Thesis!F89+CF!F48</f>
        <v>58.4423344144339</v>
      </c>
      <c r="G50" s="6" t="n">
        <f aca="false">Thesis!G89+CF!G48</f>
        <v>85.1939287976805</v>
      </c>
      <c r="H50" s="6" t="n">
        <f aca="false">Thesis!H89+CF!H48</f>
        <v>114.503813726173</v>
      </c>
      <c r="I50" s="6" t="n">
        <f aca="false">Thesis!I89+CF!I48</f>
        <v>141.154098358132</v>
      </c>
      <c r="J50" s="6" t="n">
        <f aca="false">Thesis!J89+CF!J48</f>
        <v>161.199933251046</v>
      </c>
      <c r="K50" s="6" t="n">
        <f aca="false">Thesis!K89+CF!K48</f>
        <v>175.14978367689</v>
      </c>
    </row>
    <row r="51" customFormat="false" ht="17.15" hidden="false" customHeight="false" outlineLevel="0" collapsed="false">
      <c r="A51" s="1" t="s">
        <v>952</v>
      </c>
      <c r="B51" s="0" t="s">
        <v>98</v>
      </c>
      <c r="F51" s="6" t="n">
        <f aca="false">Seg!F56*sbc_r</f>
        <v>14.9308704941267</v>
      </c>
      <c r="G51" s="6" t="n">
        <f aca="false">Seg!G56*sbc_r</f>
        <v>17.7641108812713</v>
      </c>
      <c r="H51" s="6" t="n">
        <f aca="false">Seg!H56*sbc_r</f>
        <v>20.6640880611968</v>
      </c>
      <c r="I51" s="6" t="n">
        <f aca="false">Seg!I56*sbc_r</f>
        <v>23.3389517385966</v>
      </c>
      <c r="J51" s="6" t="n">
        <f aca="false">Seg!J56*sbc_r</f>
        <v>25.5443980773879</v>
      </c>
      <c r="K51" s="6" t="n">
        <f aca="false">Seg!K56*sbc_r</f>
        <v>27.3434618223447</v>
      </c>
    </row>
    <row r="52" customFormat="false" ht="17.15" hidden="false" customHeight="false" outlineLevel="0" collapsed="false">
      <c r="A52" s="1" t="s">
        <v>953</v>
      </c>
      <c r="B52" s="0" t="s">
        <v>98</v>
      </c>
      <c r="F52" s="6" t="n">
        <f aca="false">wc27</f>
        <v>-4.895</v>
      </c>
      <c r="G52" s="6" t="n">
        <f aca="false">wc_f</f>
        <v>0</v>
      </c>
      <c r="H52" s="6" t="n">
        <f aca="false">wc_f</f>
        <v>0</v>
      </c>
      <c r="I52" s="6" t="n">
        <f aca="false">wc_f</f>
        <v>0</v>
      </c>
      <c r="J52" s="6" t="n">
        <f aca="false">wc_f</f>
        <v>0</v>
      </c>
      <c r="K52" s="6" t="n">
        <f aca="false">wc_f</f>
        <v>0</v>
      </c>
      <c r="L52" s="11" t="s">
        <v>954</v>
      </c>
    </row>
    <row r="53" customFormat="false" ht="15" hidden="false" customHeight="false" outlineLevel="0" collapsed="false">
      <c r="A53" s="1" t="s">
        <v>767</v>
      </c>
      <c r="B53" s="0" t="s">
        <v>98</v>
      </c>
      <c r="E53" s="6" t="n">
        <f aca="false">Q!M35</f>
        <v>182.935</v>
      </c>
      <c r="F53" s="6" t="n">
        <f aca="false">CF!F47+CF!F50+CF!F51+CF!F52</f>
        <v>209.562571465783</v>
      </c>
      <c r="G53" s="6" t="n">
        <f aca="false">CF!G47+CF!G50+CF!G51+CF!G52</f>
        <v>260.797387866422</v>
      </c>
      <c r="H53" s="6" t="n">
        <f aca="false">CF!H47+CF!H50+CF!H51+CF!H52</f>
        <v>309.361295864522</v>
      </c>
      <c r="I53" s="6" t="n">
        <f aca="false">CF!I47+CF!I50+CF!I51+CF!I52</f>
        <v>354.39323149957</v>
      </c>
      <c r="J53" s="6" t="n">
        <f aca="false">CF!J47+CF!J50+CF!J51+CF!J52</f>
        <v>391.319073374798</v>
      </c>
      <c r="K53" s="6" t="n">
        <f aca="false">CF!K47+CF!K50+CF!K51+CF!K52</f>
        <v>421.367990854876</v>
      </c>
    </row>
    <row r="54" customFormat="false" ht="17.15" hidden="false" customHeight="false" outlineLevel="0" collapsed="false">
      <c r="A54" s="0" t="s">
        <v>955</v>
      </c>
      <c r="B54" s="0" t="s">
        <v>98</v>
      </c>
      <c r="F54" s="6" t="n">
        <f aca="false">Thesis!F86</f>
        <v>160.332875871467</v>
      </c>
      <c r="G54" s="6" t="n">
        <f aca="false">Thesis!G86</f>
        <v>183.5741804832</v>
      </c>
      <c r="H54" s="6" t="n">
        <f aca="false">Thesis!H86</f>
        <v>188.0802859104</v>
      </c>
      <c r="I54" s="6" t="n">
        <f aca="false">Thesis!I86</f>
        <v>163.706669154245</v>
      </c>
      <c r="J54" s="6" t="n">
        <f aca="false">Thesis!J86</f>
        <v>127.181436594242</v>
      </c>
      <c r="K54" s="6" t="n">
        <f aca="false">Thesis!K86</f>
        <v>121.407415303591</v>
      </c>
    </row>
    <row r="55" customFormat="false" ht="17.15" hidden="false" customHeight="false" outlineLevel="0" collapsed="false">
      <c r="A55" s="1" t="s">
        <v>956</v>
      </c>
      <c r="B55" s="0" t="s">
        <v>98</v>
      </c>
      <c r="E55" s="6" t="n">
        <f aca="false">Seg!E34*cx_azo+Seg!E41*cx_m365+Seg!E42*cx_lic+(Seg!E44+Seg!E46)*cx_ind+Seg!E49*cx_srch+(Seg!E51+Seg!E53)*cx_dev</f>
        <v>30.1846587067718</v>
      </c>
      <c r="F55" s="6" t="n">
        <f aca="false">Seg!F34*cx_azo+Seg!F41*cx_m365+Seg!F42*cx_lic+(Seg!F44+Seg!F46)*cx_ind+Seg!F49*cx_srch+(Seg!F51+Seg!F53)*cx_dev</f>
        <v>35.5793472295625</v>
      </c>
      <c r="G55" s="6" t="n">
        <f aca="false">Seg!G34*cx_azo+Seg!G41*cx_m365+Seg!G42*cx_lic+(Seg!G44+Seg!G46)*cx_ind+Seg!G49*cx_srch+(Seg!G51+Seg!G53)*cx_dev</f>
        <v>41.1528935703892</v>
      </c>
      <c r="H55" s="6" t="n">
        <f aca="false">Seg!H34*cx_azo+Seg!H41*cx_m365+Seg!H42*cx_lic+(Seg!H44+Seg!H46)*cx_ind+Seg!H49*cx_srch+(Seg!H51+Seg!H53)*cx_dev</f>
        <v>46.8115136440897</v>
      </c>
      <c r="I55" s="6" t="n">
        <f aca="false">Seg!I34*cx_azo+Seg!I41*cx_m365+Seg!I42*cx_lic+(Seg!I44+Seg!I46)*cx_ind+Seg!I49*cx_srch+(Seg!I51+Seg!I53)*cx_dev</f>
        <v>52.1984003116439</v>
      </c>
      <c r="J55" s="6" t="n">
        <f aca="false">Seg!J34*cx_azo+Seg!J41*cx_m365+Seg!J42*cx_lic+(Seg!J44+Seg!J46)*cx_ind+Seg!J49*cx_srch+(Seg!J51+Seg!J53)*cx_dev</f>
        <v>57.0809132503738</v>
      </c>
      <c r="K55" s="6" t="n">
        <f aca="false">Seg!K34*cx_azo+Seg!K41*cx_m365+Seg!K42*cx_lic+(Seg!K44+Seg!K46)*cx_ind+Seg!K49*cx_srch+(Seg!K51+Seg!K53)*cx_dev</f>
        <v>61.368702741994</v>
      </c>
    </row>
    <row r="56" customFormat="false" ht="17.15" hidden="false" customHeight="false" outlineLevel="0" collapsed="false">
      <c r="A56" s="0" t="s">
        <v>957</v>
      </c>
      <c r="B56" s="0" t="s">
        <v>98</v>
      </c>
      <c r="F56" s="6" t="n">
        <f aca="false">Thesis!F84</f>
        <v>8.28777689897088</v>
      </c>
      <c r="L56" s="1" t="s">
        <v>958</v>
      </c>
    </row>
    <row r="57" customFormat="false" ht="17.15" hidden="false" customHeight="false" outlineLevel="0" collapsed="false">
      <c r="A57" s="1" t="s">
        <v>959</v>
      </c>
      <c r="B57" s="0" t="s">
        <v>98</v>
      </c>
      <c r="E57" s="6" t="n">
        <f aca="false">Q!M42</f>
        <v>145.3</v>
      </c>
      <c r="F57" s="6" t="n">
        <f aca="false">CF!F54+CF!F55+CF!F56</f>
        <v>204.2</v>
      </c>
      <c r="G57" s="6" t="n">
        <f aca="false">CF!G54+CF!G55</f>
        <v>224.727074053589</v>
      </c>
      <c r="H57" s="6" t="n">
        <f aca="false">CF!H54+CF!H55</f>
        <v>234.89179955449</v>
      </c>
      <c r="I57" s="6" t="n">
        <f aca="false">CF!I54+CF!I55</f>
        <v>215.905069465889</v>
      </c>
      <c r="J57" s="6" t="n">
        <f aca="false">CF!J54+CF!J55</f>
        <v>184.262349844616</v>
      </c>
      <c r="K57" s="6" t="n">
        <f aca="false">CF!K54+CF!K55</f>
        <v>182.776118045585</v>
      </c>
      <c r="L57" s="1" t="s">
        <v>960</v>
      </c>
    </row>
    <row r="58" customFormat="false" ht="15" hidden="false" customHeight="false" outlineLevel="0" collapsed="false">
      <c r="A58" s="1" t="s">
        <v>961</v>
      </c>
      <c r="B58" s="0" t="s">
        <v>98</v>
      </c>
      <c r="E58" s="6" t="n">
        <f aca="false">fl_liab</f>
        <v>66.594</v>
      </c>
      <c r="F58" s="6" t="n">
        <f aca="false">CF!E58-CF!F59</f>
        <v>62.46973</v>
      </c>
      <c r="G58" s="6" t="n">
        <f aca="false">CF!F58-CF!G59</f>
        <v>57.98686785</v>
      </c>
      <c r="H58" s="6" t="n">
        <f aca="false">CF!G58-CF!H59</f>
        <v>53.92827690325</v>
      </c>
      <c r="I58" s="6" t="n">
        <f aca="false">CF!H58-CF!I59</f>
        <v>49.7850493638962</v>
      </c>
      <c r="J58" s="6" t="n">
        <f aca="false">CF!I58-CF!J59</f>
        <v>45.4823765852716</v>
      </c>
      <c r="K58" s="6" t="n">
        <f aca="false">CF!J58-CF!K59</f>
        <v>40.9860835316088</v>
      </c>
    </row>
    <row r="59" customFormat="false" ht="15" hidden="false" customHeight="false" outlineLevel="0" collapsed="false">
      <c r="A59" s="1" t="s">
        <v>962</v>
      </c>
      <c r="B59" s="0" t="s">
        <v>98</v>
      </c>
      <c r="F59" s="6" t="n">
        <f aca="false">fl_pay_27-CF!E58*fl_rate</f>
        <v>4.12427</v>
      </c>
      <c r="G59" s="6" t="n">
        <f aca="false">fl_pay_28-CF!F58*fl_rate</f>
        <v>4.48286215</v>
      </c>
      <c r="H59" s="6" t="n">
        <f aca="false">fl_pay_29-CF!G58*fl_rate</f>
        <v>4.05859094675</v>
      </c>
      <c r="I59" s="6" t="n">
        <f aca="false">fl_pay_30-CF!H58*fl_rate</f>
        <v>4.14322753935375</v>
      </c>
      <c r="J59" s="6" t="n">
        <f aca="false">fl_pay_31-CF!I58*fl_rate</f>
        <v>4.30267277862467</v>
      </c>
      <c r="K59" s="6" t="n">
        <f aca="false">fl_pay_32-CF!J58*fl_rate</f>
        <v>4.49629305366278</v>
      </c>
    </row>
    <row r="60" customFormat="false" ht="17.15" hidden="false" customHeight="false" outlineLevel="0" collapsed="false">
      <c r="A60" s="1" t="s">
        <v>963</v>
      </c>
      <c r="B60" s="0" t="s">
        <v>98</v>
      </c>
      <c r="E60" s="6" t="n">
        <f aca="false">Q!M35-Q!M36-Q!M43</f>
        <v>63.886</v>
      </c>
      <c r="F60" s="6" t="n">
        <f aca="false">CF!F53-CF!F57-CF!F59</f>
        <v>1.23830146578308</v>
      </c>
      <c r="G60" s="6" t="n">
        <f aca="false">CF!G53-CF!G57-CF!G59</f>
        <v>31.5874516628328</v>
      </c>
      <c r="H60" s="6" t="n">
        <f aca="false">CF!H53-CF!H57-CF!H59</f>
        <v>70.4109053632819</v>
      </c>
      <c r="I60" s="6" t="n">
        <f aca="false">CF!I53-CF!I57-CF!I59</f>
        <v>134.344934494327</v>
      </c>
      <c r="J60" s="6" t="n">
        <f aca="false">CF!J53-CF!J57-CF!J59</f>
        <v>202.754050751557</v>
      </c>
      <c r="K60" s="6" t="n">
        <f aca="false">CF!K53-CF!K57-CF!K59</f>
        <v>234.095579755628</v>
      </c>
      <c r="L60" s="11" t="s">
        <v>964</v>
      </c>
    </row>
    <row r="61" customFormat="false" ht="15" hidden="false" customHeight="false" outlineLevel="0" collapsed="false">
      <c r="A61" s="1" t="s">
        <v>965</v>
      </c>
      <c r="B61" s="0" t="s">
        <v>75</v>
      </c>
      <c r="F61" s="8" t="n">
        <f aca="false">dps_27</f>
        <v>3.85</v>
      </c>
      <c r="G61" s="8" t="n">
        <f aca="false">CF!F61*(1+dps_g)</f>
        <v>4.158</v>
      </c>
      <c r="H61" s="8" t="n">
        <f aca="false">CF!G61*(1+dps_g)</f>
        <v>4.49064</v>
      </c>
      <c r="I61" s="8" t="n">
        <f aca="false">CF!H61*(1+dps_g)</f>
        <v>4.8498912</v>
      </c>
      <c r="J61" s="8" t="n">
        <f aca="false">CF!I61*(1+dps_g)</f>
        <v>5.237882496</v>
      </c>
      <c r="K61" s="8" t="n">
        <f aca="false">CF!J61*(1+dps_g)</f>
        <v>5.65691309568</v>
      </c>
    </row>
    <row r="62" customFormat="false" ht="17.15" hidden="false" customHeight="false" outlineLevel="0" collapsed="false">
      <c r="A62" s="1" t="s">
        <v>966</v>
      </c>
      <c r="B62" s="0" t="s">
        <v>98</v>
      </c>
      <c r="E62" s="6" t="n">
        <f aca="false">Q!M41</f>
        <v>26.445</v>
      </c>
      <c r="F62" s="6" t="n">
        <f aca="false">CF!F61*CF!E71</f>
        <v>28.59395</v>
      </c>
      <c r="G62" s="6" t="n">
        <f aca="false">CF!G61*CF!F71</f>
        <v>31.068576</v>
      </c>
      <c r="H62" s="6" t="n">
        <f aca="false">CF!H61*CF!G71</f>
        <v>33.7522429436218</v>
      </c>
      <c r="I62" s="6" t="n">
        <f aca="false">CF!I61*CF!H71</f>
        <v>36.503361619111</v>
      </c>
      <c r="J62" s="6" t="n">
        <f aca="false">CF!J61*CF!I71</f>
        <v>39.4920293969593</v>
      </c>
      <c r="K62" s="6" t="n">
        <f aca="false">CF!K61*CF!J71</f>
        <v>42.7386469740211</v>
      </c>
      <c r="L62" s="1" t="s">
        <v>967</v>
      </c>
    </row>
    <row r="63" customFormat="false" ht="15" hidden="false" customHeight="false" outlineLevel="0" collapsed="false">
      <c r="A63" s="1" t="s">
        <v>968</v>
      </c>
      <c r="B63" s="0" t="s">
        <v>98</v>
      </c>
      <c r="E63" s="6" t="n">
        <f aca="false">CF!E60-CF!E62</f>
        <v>37.441</v>
      </c>
      <c r="F63" s="6" t="n">
        <f aca="false">CF!F60-CF!F62</f>
        <v>-27.3556485342169</v>
      </c>
      <c r="G63" s="6" t="n">
        <f aca="false">CF!G60-CF!G62</f>
        <v>0.518875662832837</v>
      </c>
      <c r="H63" s="6" t="n">
        <f aca="false">CF!H60-CF!H62</f>
        <v>36.6586624196601</v>
      </c>
      <c r="I63" s="6" t="n">
        <f aca="false">CF!I60-CF!I62</f>
        <v>97.8415728752161</v>
      </c>
      <c r="J63" s="6" t="n">
        <f aca="false">CF!J60-CF!J62</f>
        <v>163.262021354598</v>
      </c>
      <c r="K63" s="6" t="n">
        <f aca="false">CF!K60-CF!K62</f>
        <v>191.356932781607</v>
      </c>
    </row>
    <row r="64" customFormat="false" ht="15" hidden="false" customHeight="false" outlineLevel="0" collapsed="false">
      <c r="A64" s="1" t="s">
        <v>969</v>
      </c>
      <c r="B64" s="0" t="s">
        <v>98</v>
      </c>
      <c r="F64" s="6" t="n">
        <f aca="false">debt_mat_27</f>
        <v>9.25</v>
      </c>
      <c r="G64" s="6" t="n">
        <f aca="false">debt_mat_28</f>
        <v>0</v>
      </c>
      <c r="H64" s="6" t="n">
        <f aca="false">debt_mat_29</f>
        <v>2.001</v>
      </c>
      <c r="I64" s="6" t="n">
        <f aca="false">debt_mat_30</f>
        <v>0</v>
      </c>
      <c r="J64" s="6" t="n">
        <f aca="false">debt_mat_31</f>
        <v>0.5</v>
      </c>
      <c r="K64" s="6" t="n">
        <f aca="false">debt_mat_32</f>
        <v>0</v>
      </c>
    </row>
    <row r="65" customFormat="false" ht="15" hidden="false" customHeight="false" outlineLevel="0" collapsed="false">
      <c r="A65" s="1" t="s">
        <v>970</v>
      </c>
      <c r="B65" s="0" t="s">
        <v>98</v>
      </c>
      <c r="E65" s="6" t="n">
        <f aca="false">Q!M40</f>
        <v>22.271</v>
      </c>
      <c r="F65" s="6" t="n">
        <f aca="false">MAX(0,MIN(bb_target,CF!E67+CF!F63-CF!F64-min_cash))</f>
        <v>0</v>
      </c>
      <c r="G65" s="6" t="n">
        <f aca="false">MAX(0,MIN(bb_target,CF!F67+CF!G63-CF!G64-min_cash))</f>
        <v>0.518875662832841</v>
      </c>
      <c r="H65" s="6" t="n">
        <f aca="false">MAX(0,MIN(bb_target,CF!G67+CF!H63-CF!H64-min_cash))</f>
        <v>22.271</v>
      </c>
      <c r="I65" s="6" t="n">
        <f aca="false">MAX(0,MIN(bb_target,CF!H67+CF!I63-CF!I64-min_cash))</f>
        <v>22.271</v>
      </c>
      <c r="J65" s="6" t="n">
        <f aca="false">MAX(0,MIN(bb_target,CF!I67+CF!J63-CF!J64-min_cash))</f>
        <v>22.271</v>
      </c>
      <c r="K65" s="6" t="n">
        <f aca="false">MAX(0,MIN(bb_target,CF!J67+CF!K63-CF!K64-min_cash))</f>
        <v>22.271</v>
      </c>
    </row>
    <row r="66" customFormat="false" ht="15" hidden="false" customHeight="false" outlineLevel="0" collapsed="false">
      <c r="A66" s="1" t="s">
        <v>971</v>
      </c>
      <c r="B66" s="0" t="s">
        <v>98</v>
      </c>
      <c r="F66" s="6" t="n">
        <f aca="false">MAX(0,min_cash-(CF!E67+CF!F63-CF!F64-CF!F65))</f>
        <v>9.76264853421692</v>
      </c>
      <c r="G66" s="6" t="n">
        <f aca="false">MAX(0,min_cash-(CF!F67+CF!G63-CF!G64-CF!G65))</f>
        <v>0</v>
      </c>
      <c r="H66" s="6" t="n">
        <f aca="false">MAX(0,min_cash-(CF!G67+CF!H63-CF!H64-CF!H65))</f>
        <v>0</v>
      </c>
      <c r="I66" s="6" t="n">
        <f aca="false">MAX(0,min_cash-(CF!H67+CF!I63-CF!I64-CF!I65))</f>
        <v>0</v>
      </c>
      <c r="J66" s="6" t="n">
        <f aca="false">MAX(0,min_cash-(CF!I67+CF!J63-CF!J64-CF!J65))</f>
        <v>0</v>
      </c>
      <c r="K66" s="6" t="n">
        <f aca="false">MAX(0,min_cash-(CF!J67+CF!K63-CF!K64-CF!K65))</f>
        <v>0</v>
      </c>
    </row>
    <row r="67" customFormat="false" ht="15" hidden="false" customHeight="false" outlineLevel="0" collapsed="false">
      <c r="A67" s="1" t="s">
        <v>972</v>
      </c>
      <c r="B67" s="0" t="s">
        <v>98</v>
      </c>
      <c r="E67" s="6" t="n">
        <f aca="false">cash_open</f>
        <v>76.843</v>
      </c>
      <c r="F67" s="6" t="n">
        <f aca="false">CF!E67+CF!F63-CF!F64-CF!F65+CF!F66</f>
        <v>50</v>
      </c>
      <c r="G67" s="6" t="n">
        <f aca="false">CF!F67+CF!G63-CF!G64-CF!G65+CF!G66</f>
        <v>50</v>
      </c>
      <c r="H67" s="6" t="n">
        <f aca="false">CF!G67+CF!H63-CF!H64-CF!H65+CF!H66</f>
        <v>62.3866624196601</v>
      </c>
      <c r="I67" s="6" t="n">
        <f aca="false">CF!H67+CF!I63-CF!I64-CF!I65+CF!I66</f>
        <v>137.957235294876</v>
      </c>
      <c r="J67" s="6" t="n">
        <f aca="false">CF!I67+CF!J63-CF!J64-CF!J65+CF!J66</f>
        <v>278.448256649474</v>
      </c>
      <c r="K67" s="6" t="n">
        <f aca="false">CF!J67+CF!K63-CF!K64-CF!K65+CF!K66</f>
        <v>447.534189431081</v>
      </c>
    </row>
    <row r="68" customFormat="false" ht="15" hidden="false" customHeight="false" outlineLevel="0" collapsed="false">
      <c r="A68" s="1" t="s">
        <v>973</v>
      </c>
      <c r="B68" s="0" t="s">
        <v>98</v>
      </c>
      <c r="E68" s="6" t="n">
        <f aca="false">debt_face</f>
        <v>46.136</v>
      </c>
      <c r="F68" s="6" t="n">
        <f aca="false">CF!E68-CF!F64+CF!F66</f>
        <v>46.6486485342169</v>
      </c>
      <c r="G68" s="6" t="n">
        <f aca="false">CF!F68-CF!G64+CF!G66</f>
        <v>46.6486485342169</v>
      </c>
      <c r="H68" s="6" t="n">
        <f aca="false">CF!G68-CF!H64+CF!H66</f>
        <v>44.6476485342169</v>
      </c>
      <c r="I68" s="6" t="n">
        <f aca="false">CF!H68-CF!I64+CF!I66</f>
        <v>44.6476485342169</v>
      </c>
      <c r="J68" s="6" t="n">
        <f aca="false">CF!I68-CF!J64+CF!J66</f>
        <v>44.1476485342169</v>
      </c>
      <c r="K68" s="6" t="n">
        <f aca="false">CF!J68-CF!K64+CF!K66</f>
        <v>44.1476485342169</v>
      </c>
    </row>
    <row r="69" customFormat="false" ht="15" hidden="false" customHeight="false" outlineLevel="0" collapsed="false">
      <c r="A69" s="1" t="s">
        <v>974</v>
      </c>
      <c r="B69" s="0" t="s">
        <v>98</v>
      </c>
      <c r="E69" s="6" t="n">
        <f aca="false">CF!E67-CF!E68</f>
        <v>30.707</v>
      </c>
      <c r="F69" s="6" t="n">
        <f aca="false">CF!F67-CF!F68</f>
        <v>3.35135146578308</v>
      </c>
      <c r="G69" s="6" t="n">
        <f aca="false">CF!G67-CF!G68</f>
        <v>3.35135146578308</v>
      </c>
      <c r="H69" s="6" t="n">
        <f aca="false">CF!H67-CF!H68</f>
        <v>17.7390138854432</v>
      </c>
      <c r="I69" s="6" t="n">
        <f aca="false">CF!I67-CF!I68</f>
        <v>93.3095867606592</v>
      </c>
      <c r="J69" s="6" t="n">
        <f aca="false">CF!J67-CF!J68</f>
        <v>234.300608115257</v>
      </c>
      <c r="K69" s="6" t="n">
        <f aca="false">CF!K67-CF!K68</f>
        <v>403.386540896865</v>
      </c>
    </row>
    <row r="70" customFormat="false" ht="15" hidden="false" customHeight="false" outlineLevel="0" collapsed="false">
      <c r="A70" s="1" t="s">
        <v>975</v>
      </c>
      <c r="B70" s="0" t="s">
        <v>75</v>
      </c>
      <c r="F70" s="29" t="n">
        <f aca="false">px*(1+bb_g)^(Thesis!F55-base_fy-mid_yr)</f>
        <v>553.494156066711</v>
      </c>
      <c r="G70" s="29" t="n">
        <f aca="false">px*(1+bb_g)^(Thesis!G55-base_fy-mid_yr)</f>
        <v>597.773688552047</v>
      </c>
      <c r="H70" s="29" t="n">
        <f aca="false">px*(1+bb_g)^(Thesis!H55-base_fy-mid_yr)</f>
        <v>645.595583636211</v>
      </c>
      <c r="I70" s="29" t="n">
        <f aca="false">px*(1+bb_g)^(Thesis!I55-base_fy-mid_yr)</f>
        <v>697.243230327108</v>
      </c>
      <c r="J70" s="29" t="n">
        <f aca="false">px*(1+bb_g)^(Thesis!J55-base_fy-mid_yr)</f>
        <v>753.022688753277</v>
      </c>
      <c r="K70" s="29" t="n">
        <f aca="false">px*(1+bb_g)^(Thesis!K55-base_fy-mid_yr)</f>
        <v>813.264503853539</v>
      </c>
    </row>
    <row r="71" customFormat="false" ht="15" hidden="false" customHeight="false" outlineLevel="0" collapsed="false">
      <c r="A71" s="1" t="s">
        <v>976</v>
      </c>
      <c r="B71" s="1" t="s">
        <v>81</v>
      </c>
      <c r="E71" s="14" t="n">
        <f aca="false">sh_out26</f>
        <v>7.427</v>
      </c>
      <c r="F71" s="14" t="n">
        <f aca="false">CF!E71+sh_iss-CF!F65/CF!F70</f>
        <v>7.472</v>
      </c>
      <c r="G71" s="14" t="n">
        <f aca="false">CF!F71+sh_iss-CF!G65/CF!G70</f>
        <v>7.51613198644776</v>
      </c>
      <c r="H71" s="14" t="n">
        <f aca="false">CF!G71+sh_iss-CF!H65/CF!H70</f>
        <v>7.52663515814767</v>
      </c>
      <c r="I71" s="14" t="n">
        <f aca="false">CF!H71+sh_iss-CF!I65/CF!I70</f>
        <v>7.53969365046239</v>
      </c>
      <c r="J71" s="14" t="n">
        <f aca="false">CF!I71+sh_iss-CF!J65/CF!J70</f>
        <v>7.55511818038343</v>
      </c>
      <c r="K71" s="14" t="n">
        <f aca="false">CF!J71+sh_iss-CF!K65/CF!K70</f>
        <v>7.57273348586588</v>
      </c>
    </row>
    <row r="72" customFormat="false" ht="15" hidden="false" customHeight="false" outlineLevel="0" collapsed="false">
      <c r="A72" s="1" t="s">
        <v>977</v>
      </c>
      <c r="B72" s="1" t="s">
        <v>81</v>
      </c>
      <c r="E72" s="14" t="n">
        <f aca="false">sh_dil26</f>
        <v>7.453</v>
      </c>
      <c r="F72" s="14" t="n">
        <f aca="false">(CF!E71+CF!F71)/2+dil_gap</f>
        <v>7.4735</v>
      </c>
      <c r="G72" s="14" t="n">
        <f aca="false">(CF!F71+CF!G71)/2+dil_gap</f>
        <v>7.51806599322388</v>
      </c>
      <c r="H72" s="14" t="n">
        <f aca="false">(CF!G71+CF!H71)/2+dil_gap</f>
        <v>7.54538357229772</v>
      </c>
      <c r="I72" s="14" t="n">
        <f aca="false">(CF!H71+CF!I71)/2+dil_gap</f>
        <v>7.55716440430503</v>
      </c>
      <c r="J72" s="14" t="n">
        <f aca="false">(CF!I71+CF!J71)/2+dil_gap</f>
        <v>7.57140591542291</v>
      </c>
      <c r="K72" s="14" t="n">
        <f aca="false">(CF!J71+CF!K71)/2+dil_gap</f>
        <v>7.58792583312465</v>
      </c>
    </row>
    <row r="73" customFormat="false" ht="17.15" hidden="false" customHeight="false" outlineLevel="0" collapsed="false">
      <c r="A73" s="1" t="s">
        <v>978</v>
      </c>
      <c r="B73" s="0" t="s">
        <v>98</v>
      </c>
      <c r="C73" s="6" t="n">
        <f aca="false">SUM(CF!F63:J63)</f>
        <v>270.92548377809</v>
      </c>
    </row>
    <row r="74" customFormat="false" ht="15" hidden="false" customHeight="false" outlineLevel="0" collapsed="false">
      <c r="A74" s="23" t="s">
        <v>945</v>
      </c>
      <c r="B74" s="30" t="s">
        <v>98</v>
      </c>
      <c r="C74" s="24" t="n">
        <f aca="false">CF!$C$73-(CF!F63+CF!G63+CF!H63+CF!I63+CF!J63)</f>
        <v>0</v>
      </c>
      <c r="D74" s="30"/>
      <c r="E74" s="30"/>
      <c r="F74" s="30"/>
      <c r="G74" s="30"/>
      <c r="H74" s="30"/>
      <c r="I74" s="30"/>
      <c r="J74" s="30"/>
      <c r="K74" s="30"/>
    </row>
    <row r="75" customFormat="false" ht="17.15" hidden="false" customHeight="false" outlineLevel="0" collapsed="false">
      <c r="A75" s="1" t="s">
        <v>939</v>
      </c>
      <c r="B75" s="1" t="s">
        <v>979</v>
      </c>
      <c r="C75" s="32" t="str">
        <f aca="false">IF(SUM(CF!F66:J66)&gt;0.05,"需要舉債 "&amp;TEXT(SUM(CF!F66:J66),"0.0")&amp;" 十億美元","不需舉債")&amp;"；"&amp;IF(SUM(CF!F65:J65)&lt;COUNT(CF!F65:J65)*bb_target-0.05,"回購較每年 "&amp;TEXT(bb_target,"0.0")&amp;" 的目標少 "&amp;TEXT(COUNT(CF!F65:J65)*bb_target-SUM(CF!F65:J65),"0.0")&amp;" 十億美元（"&amp;TEXT(COUNTIF(CF!F65:J65,"&lt;"&amp;(bb_target-0.05)),"0")&amp;" 年減少）","回購不減")</f>
        <v>需要舉債 9.8 十億美元；回購較每年 22.3 的目標少 44.0 十億美元（2 年減少）</v>
      </c>
    </row>
    <row r="76" customFormat="false" ht="17.15" hidden="false" customHeight="false" outlineLevel="0" collapsed="false">
      <c r="A76" s="3" t="s">
        <v>981</v>
      </c>
    </row>
    <row r="77" customFormat="false" ht="15" hidden="false" customHeight="false" outlineLevel="0" collapsed="false">
      <c r="A77" s="4" t="s">
        <v>43</v>
      </c>
      <c r="B77" s="4" t="s">
        <v>65</v>
      </c>
      <c r="C77" s="20" t="s">
        <v>799</v>
      </c>
      <c r="D77" s="20" t="s">
        <v>800</v>
      </c>
      <c r="E77" s="20" t="s">
        <v>801</v>
      </c>
      <c r="F77" s="20" t="s">
        <v>802</v>
      </c>
      <c r="G77" s="20" t="s">
        <v>803</v>
      </c>
      <c r="H77" s="20" t="s">
        <v>804</v>
      </c>
      <c r="I77" s="20" t="s">
        <v>805</v>
      </c>
      <c r="J77" s="20" t="s">
        <v>806</v>
      </c>
      <c r="K77" s="20" t="s">
        <v>807</v>
      </c>
      <c r="L77" s="4" t="s">
        <v>47</v>
      </c>
    </row>
    <row r="78" customFormat="false" ht="15" hidden="false" customHeight="false" outlineLevel="0" collapsed="false">
      <c r="A78" s="1" t="s">
        <v>925</v>
      </c>
      <c r="B78" s="0" t="s">
        <v>98</v>
      </c>
      <c r="F78" s="6" t="n">
        <f aca="false">PL!F123</f>
        <v>136.865541586847</v>
      </c>
      <c r="G78" s="6" t="n">
        <f aca="false">PL!G123</f>
        <v>144.331295815093</v>
      </c>
      <c r="H78" s="6" t="n">
        <f aca="false">PL!H123</f>
        <v>146.805949865617</v>
      </c>
      <c r="I78" s="6" t="n">
        <f aca="false">PL!I123</f>
        <v>155.476132960924</v>
      </c>
      <c r="J78" s="6" t="n">
        <f aca="false">PL!J123</f>
        <v>165.225975422786</v>
      </c>
      <c r="K78" s="6" t="n">
        <f aca="false">PL!K123</f>
        <v>176.064516848882</v>
      </c>
    </row>
    <row r="79" customFormat="false" ht="17.15" hidden="false" customHeight="false" outlineLevel="0" collapsed="false">
      <c r="A79" s="1" t="s">
        <v>947</v>
      </c>
      <c r="B79" s="0" t="s">
        <v>98</v>
      </c>
      <c r="E79" s="6" t="n">
        <f aca="false">Q!M38-Thesis!E138</f>
        <v>22.2285940229167</v>
      </c>
      <c r="F79" s="6" t="n">
        <f aca="false">CF!E79*(1-1/life_nonai)+(CF!F86+CF!F87)/life_nonai</f>
        <v>24.3924470334783</v>
      </c>
      <c r="G79" s="6" t="n">
        <f aca="false">CF!F79*(1-1/life_nonai)+(CF!G86)/life_nonai</f>
        <v>26.0234916871694</v>
      </c>
      <c r="H79" s="6" t="n">
        <f aca="false">CF!G79*(1-1/life_nonai)+(CF!H86)/life_nonai</f>
        <v>28.0272938828615</v>
      </c>
      <c r="I79" s="6" t="n">
        <f aca="false">CF!H79*(1-1/life_nonai)+(CF!I86)/life_nonai</f>
        <v>30.3469045257397</v>
      </c>
      <c r="J79" s="6" t="n">
        <f aca="false">CF!I79*(1-1/life_nonai)+(CF!J86)/life_nonai</f>
        <v>32.9078053982031</v>
      </c>
      <c r="K79" s="6" t="n">
        <f aca="false">CF!J79*(1-1/life_nonai)+(CF!K86)/life_nonai</f>
        <v>35.6263951325822</v>
      </c>
      <c r="L79" s="11" t="s">
        <v>948</v>
      </c>
    </row>
    <row r="80" customFormat="false" ht="17.15" hidden="false" customHeight="false" outlineLevel="0" collapsed="false">
      <c r="A80" s="1" t="s">
        <v>949</v>
      </c>
      <c r="B80" s="0" t="s">
        <v>98</v>
      </c>
      <c r="F80" s="6" t="n">
        <f aca="false">CF!$F$87/life_nonai*(1-1/life_nonai)^(Thesis!F104-2027)</f>
        <v>0.843777689897088</v>
      </c>
      <c r="G80" s="6" t="n">
        <f aca="false">CF!$F$87/life_nonai*(1-1/life_nonai)^(Thesis!G104-2027)</f>
        <v>0.759399920907379</v>
      </c>
      <c r="H80" s="6" t="n">
        <f aca="false">CF!$F$87/life_nonai*(1-1/life_nonai)^(Thesis!H104-2027)</f>
        <v>0.683459928816641</v>
      </c>
      <c r="I80" s="6" t="n">
        <f aca="false">CF!$F$87/life_nonai*(1-1/life_nonai)^(Thesis!I104-2027)</f>
        <v>0.615113935934977</v>
      </c>
      <c r="J80" s="6" t="n">
        <f aca="false">CF!$F$87/life_nonai*(1-1/life_nonai)^(Thesis!J104-2027)</f>
        <v>0.55360254234148</v>
      </c>
      <c r="K80" s="6" t="n">
        <f aca="false">CF!$F$87/life_nonai*(1-1/life_nonai)^(Thesis!K104-2027)</f>
        <v>0.498242288107332</v>
      </c>
      <c r="L80" s="1" t="s">
        <v>950</v>
      </c>
    </row>
    <row r="81" customFormat="false" ht="17.15" hidden="false" customHeight="false" outlineLevel="0" collapsed="false">
      <c r="A81" s="1" t="s">
        <v>951</v>
      </c>
      <c r="B81" s="0" t="s">
        <v>98</v>
      </c>
      <c r="E81" s="6" t="n">
        <f aca="false">Thesis!E138+CF!E79</f>
        <v>38.534</v>
      </c>
      <c r="F81" s="6" t="n">
        <f aca="false">Thesis!F138+CF!F79</f>
        <v>58.4423344144339</v>
      </c>
      <c r="G81" s="6" t="n">
        <f aca="false">Thesis!G138+CF!G79</f>
        <v>85.1489287976805</v>
      </c>
      <c r="H81" s="6" t="n">
        <f aca="false">Thesis!H138+CF!H79</f>
        <v>114.388313726173</v>
      </c>
      <c r="I81" s="6" t="n">
        <f aca="false">Thesis!I138+CF!I79</f>
        <v>140.952648358132</v>
      </c>
      <c r="J81" s="6" t="n">
        <f aca="false">Thesis!J138+CF!J79</f>
        <v>160.906128251046</v>
      </c>
      <c r="K81" s="6" t="n">
        <f aca="false">Thesis!K138+CF!K79</f>
        <v>174.75785917689</v>
      </c>
    </row>
    <row r="82" customFormat="false" ht="17.15" hidden="false" customHeight="false" outlineLevel="0" collapsed="false">
      <c r="A82" s="1" t="s">
        <v>952</v>
      </c>
      <c r="B82" s="0" t="s">
        <v>98</v>
      </c>
      <c r="F82" s="6" t="n">
        <f aca="false">Seg!F83*sbc_r</f>
        <v>14.7102349124428</v>
      </c>
      <c r="G82" s="6" t="n">
        <f aca="false">Seg!G83*sbc_r</f>
        <v>17.061233875013</v>
      </c>
      <c r="H82" s="6" t="n">
        <f aca="false">Seg!H83*sbc_r</f>
        <v>19.2644849659525</v>
      </c>
      <c r="I82" s="6" t="n">
        <f aca="false">Seg!I83*sbc_r</f>
        <v>21.5744080153289</v>
      </c>
      <c r="J82" s="6" t="n">
        <f aca="false">Seg!J83*sbc_r</f>
        <v>23.5256320135712</v>
      </c>
      <c r="K82" s="6" t="n">
        <f aca="false">Seg!K83*sbc_r</f>
        <v>25.1388528865318</v>
      </c>
    </row>
    <row r="83" customFormat="false" ht="17.15" hidden="false" customHeight="false" outlineLevel="0" collapsed="false">
      <c r="A83" s="1" t="s">
        <v>953</v>
      </c>
      <c r="B83" s="0" t="s">
        <v>98</v>
      </c>
      <c r="F83" s="6" t="n">
        <f aca="false">wc27</f>
        <v>-4.895</v>
      </c>
      <c r="G83" s="6" t="n">
        <f aca="false">wc_f</f>
        <v>0</v>
      </c>
      <c r="H83" s="6" t="n">
        <f aca="false">wc_f</f>
        <v>0</v>
      </c>
      <c r="I83" s="6" t="n">
        <f aca="false">wc_f</f>
        <v>0</v>
      </c>
      <c r="J83" s="6" t="n">
        <f aca="false">wc_f</f>
        <v>0</v>
      </c>
      <c r="K83" s="6" t="n">
        <f aca="false">wc_f</f>
        <v>0</v>
      </c>
      <c r="L83" s="11" t="s">
        <v>954</v>
      </c>
    </row>
    <row r="84" customFormat="false" ht="15" hidden="false" customHeight="false" outlineLevel="0" collapsed="false">
      <c r="A84" s="1" t="s">
        <v>767</v>
      </c>
      <c r="B84" s="0" t="s">
        <v>98</v>
      </c>
      <c r="E84" s="6" t="n">
        <f aca="false">Q!M35</f>
        <v>182.935</v>
      </c>
      <c r="F84" s="6" t="n">
        <f aca="false">CF!F78+CF!F81+CF!F82+CF!F83</f>
        <v>205.123110913724</v>
      </c>
      <c r="G84" s="6" t="n">
        <f aca="false">CF!G78+CF!G81+CF!G82+CF!G83</f>
        <v>246.541458487787</v>
      </c>
      <c r="H84" s="6" t="n">
        <f aca="false">CF!H78+CF!H81+CF!H82+CF!H83</f>
        <v>280.458748557742</v>
      </c>
      <c r="I84" s="6" t="n">
        <f aca="false">CF!I78+CF!I81+CF!I82+CF!I83</f>
        <v>318.003189334385</v>
      </c>
      <c r="J84" s="6" t="n">
        <f aca="false">CF!J78+CF!J81+CF!J82+CF!J83</f>
        <v>349.657735687404</v>
      </c>
      <c r="K84" s="6" t="n">
        <f aca="false">CF!K78+CF!K81+CF!K82+CF!K83</f>
        <v>375.961228912304</v>
      </c>
    </row>
    <row r="85" customFormat="false" ht="17.15" hidden="false" customHeight="false" outlineLevel="0" collapsed="false">
      <c r="A85" s="0" t="s">
        <v>955</v>
      </c>
      <c r="B85" s="0" t="s">
        <v>98</v>
      </c>
      <c r="F85" s="6" t="n">
        <f aca="false">Thesis!F135</f>
        <v>160.332875871467</v>
      </c>
      <c r="G85" s="6" t="n">
        <f aca="false">Thesis!G135</f>
        <v>183.5741804832</v>
      </c>
      <c r="H85" s="6" t="n">
        <f aca="false">Thesis!H135</f>
        <v>188.0802859104</v>
      </c>
      <c r="I85" s="6" t="n">
        <f aca="false">Thesis!I135</f>
        <v>163.706669154245</v>
      </c>
      <c r="J85" s="6" t="n">
        <f aca="false">Thesis!J135</f>
        <v>127.181436594242</v>
      </c>
      <c r="K85" s="6" t="n">
        <f aca="false">Thesis!K135</f>
        <v>121.407415303591</v>
      </c>
    </row>
    <row r="86" customFormat="false" ht="17.15" hidden="false" customHeight="false" outlineLevel="0" collapsed="false">
      <c r="A86" s="1" t="s">
        <v>956</v>
      </c>
      <c r="B86" s="0" t="s">
        <v>98</v>
      </c>
      <c r="E86" s="6" t="n">
        <f aca="false">Seg!E61*cx_azo+Seg!E68*cx_m365+Seg!E69*cx_lic+(Seg!E71+Seg!E73)*cx_ind+Seg!E76*cx_srch+(Seg!E78+Seg!E80)*cx_dev</f>
        <v>30.1846587067718</v>
      </c>
      <c r="F86" s="6" t="n">
        <f aca="false">Seg!F61*cx_azo+Seg!F68*cx_m365+Seg!F69*cx_lic+(Seg!F71+Seg!F73)*cx_ind+Seg!F76*cx_srch+(Seg!F78+Seg!F80)*cx_dev</f>
        <v>35.4293472295625</v>
      </c>
      <c r="G86" s="6" t="n">
        <f aca="false">Seg!G61*cx_azo+Seg!G68*cx_m365+Seg!G69*cx_lic+(Seg!G71+Seg!G73)*cx_ind+Seg!G76*cx_srch+(Seg!G78+Seg!G80)*cx_dev</f>
        <v>40.7028935703892</v>
      </c>
      <c r="H86" s="6" t="n">
        <f aca="false">Seg!H61*cx_azo+Seg!H68*cx_m365+Seg!H69*cx_lic+(Seg!H71+Seg!H73)*cx_ind+Seg!H76*cx_srch+(Seg!H78+Seg!H80)*cx_dev</f>
        <v>46.0615136440897</v>
      </c>
      <c r="I86" s="6" t="n">
        <f aca="false">Seg!I61*cx_azo+Seg!I68*cx_m365+Seg!I69*cx_lic+(Seg!I71+Seg!I73)*cx_ind+Seg!I76*cx_srch+(Seg!I78+Seg!I80)*cx_dev</f>
        <v>51.2234003116439</v>
      </c>
      <c r="J86" s="6" t="n">
        <f aca="false">Seg!J61*cx_azo+Seg!J68*cx_m365+Seg!J69*cx_lic+(Seg!J71+Seg!J73)*cx_ind+Seg!J76*cx_srch+(Seg!J78+Seg!J80)*cx_dev</f>
        <v>55.9559132503738</v>
      </c>
      <c r="K86" s="6" t="n">
        <f aca="false">Seg!K61*cx_azo+Seg!K68*cx_m365+Seg!K69*cx_lic+(Seg!K71+Seg!K73)*cx_ind+Seg!K76*cx_srch+(Seg!K78+Seg!K80)*cx_dev</f>
        <v>60.093702741994</v>
      </c>
    </row>
    <row r="87" customFormat="false" ht="17.15" hidden="false" customHeight="false" outlineLevel="0" collapsed="false">
      <c r="A87" s="0" t="s">
        <v>957</v>
      </c>
      <c r="B87" s="0" t="s">
        <v>98</v>
      </c>
      <c r="F87" s="6" t="n">
        <f aca="false">Thesis!F133</f>
        <v>8.43777689897088</v>
      </c>
      <c r="L87" s="1" t="s">
        <v>958</v>
      </c>
    </row>
    <row r="88" customFormat="false" ht="17.15" hidden="false" customHeight="false" outlineLevel="0" collapsed="false">
      <c r="A88" s="1" t="s">
        <v>959</v>
      </c>
      <c r="B88" s="0" t="s">
        <v>98</v>
      </c>
      <c r="E88" s="6" t="n">
        <f aca="false">Q!M42</f>
        <v>145.3</v>
      </c>
      <c r="F88" s="6" t="n">
        <f aca="false">CF!F85+CF!F86+CF!F87</f>
        <v>204.2</v>
      </c>
      <c r="G88" s="6" t="n">
        <f aca="false">CF!G85+CF!G86</f>
        <v>224.277074053589</v>
      </c>
      <c r="H88" s="6" t="n">
        <f aca="false">CF!H85+CF!H86</f>
        <v>234.14179955449</v>
      </c>
      <c r="I88" s="6" t="n">
        <f aca="false">CF!I85+CF!I86</f>
        <v>214.930069465889</v>
      </c>
      <c r="J88" s="6" t="n">
        <f aca="false">CF!J85+CF!J86</f>
        <v>183.137349844616</v>
      </c>
      <c r="K88" s="6" t="n">
        <f aca="false">CF!K85+CF!K86</f>
        <v>181.501118045585</v>
      </c>
      <c r="L88" s="1" t="s">
        <v>960</v>
      </c>
    </row>
    <row r="89" customFormat="false" ht="15" hidden="false" customHeight="false" outlineLevel="0" collapsed="false">
      <c r="A89" s="1" t="s">
        <v>961</v>
      </c>
      <c r="B89" s="0" t="s">
        <v>98</v>
      </c>
      <c r="E89" s="6" t="n">
        <f aca="false">fl_liab</f>
        <v>66.594</v>
      </c>
      <c r="F89" s="6" t="n">
        <f aca="false">CF!E89-CF!F90</f>
        <v>62.46973</v>
      </c>
      <c r="G89" s="6" t="n">
        <f aca="false">CF!F89-CF!G90</f>
        <v>57.98686785</v>
      </c>
      <c r="H89" s="6" t="n">
        <f aca="false">CF!G89-CF!H90</f>
        <v>53.92827690325</v>
      </c>
      <c r="I89" s="6" t="n">
        <f aca="false">CF!H89-CF!I90</f>
        <v>49.7850493638962</v>
      </c>
      <c r="J89" s="6" t="n">
        <f aca="false">CF!I89-CF!J90</f>
        <v>45.4823765852716</v>
      </c>
      <c r="K89" s="6" t="n">
        <f aca="false">CF!J89-CF!K90</f>
        <v>40.9860835316088</v>
      </c>
    </row>
    <row r="90" customFormat="false" ht="15" hidden="false" customHeight="false" outlineLevel="0" collapsed="false">
      <c r="A90" s="1" t="s">
        <v>962</v>
      </c>
      <c r="B90" s="0" t="s">
        <v>98</v>
      </c>
      <c r="F90" s="6" t="n">
        <f aca="false">fl_pay_27-CF!E89*fl_rate</f>
        <v>4.12427</v>
      </c>
      <c r="G90" s="6" t="n">
        <f aca="false">fl_pay_28-CF!F89*fl_rate</f>
        <v>4.48286215</v>
      </c>
      <c r="H90" s="6" t="n">
        <f aca="false">fl_pay_29-CF!G89*fl_rate</f>
        <v>4.05859094675</v>
      </c>
      <c r="I90" s="6" t="n">
        <f aca="false">fl_pay_30-CF!H89*fl_rate</f>
        <v>4.14322753935375</v>
      </c>
      <c r="J90" s="6" t="n">
        <f aca="false">fl_pay_31-CF!I89*fl_rate</f>
        <v>4.30267277862467</v>
      </c>
      <c r="K90" s="6" t="n">
        <f aca="false">fl_pay_32-CF!J89*fl_rate</f>
        <v>4.49629305366278</v>
      </c>
    </row>
    <row r="91" customFormat="false" ht="17.15" hidden="false" customHeight="false" outlineLevel="0" collapsed="false">
      <c r="A91" s="1" t="s">
        <v>963</v>
      </c>
      <c r="B91" s="0" t="s">
        <v>98</v>
      </c>
      <c r="E91" s="6" t="n">
        <f aca="false">Q!M35-Q!M36-Q!M43</f>
        <v>63.886</v>
      </c>
      <c r="F91" s="6" t="n">
        <f aca="false">CF!F84-CF!F88-CF!F90</f>
        <v>-3.20115908627637</v>
      </c>
      <c r="G91" s="6" t="n">
        <f aca="false">CF!G84-CF!G88-CF!G90</f>
        <v>17.7815222841974</v>
      </c>
      <c r="H91" s="6" t="n">
        <f aca="false">CF!H84-CF!H88-CF!H90</f>
        <v>42.2583580565023</v>
      </c>
      <c r="I91" s="6" t="n">
        <f aca="false">CF!I84-CF!I88-CF!I90</f>
        <v>98.9298923291419</v>
      </c>
      <c r="J91" s="6" t="n">
        <f aca="false">CF!J84-CF!J88-CF!J90</f>
        <v>162.217713064163</v>
      </c>
      <c r="K91" s="6" t="n">
        <f aca="false">CF!K84-CF!K88-CF!K90</f>
        <v>189.963817813057</v>
      </c>
      <c r="L91" s="11" t="s">
        <v>964</v>
      </c>
    </row>
    <row r="92" customFormat="false" ht="15" hidden="false" customHeight="false" outlineLevel="0" collapsed="false">
      <c r="A92" s="1" t="s">
        <v>965</v>
      </c>
      <c r="B92" s="0" t="s">
        <v>75</v>
      </c>
      <c r="F92" s="8" t="n">
        <f aca="false">dps_27</f>
        <v>3.85</v>
      </c>
      <c r="G92" s="8" t="n">
        <f aca="false">CF!F92*(1+dps_g)</f>
        <v>4.158</v>
      </c>
      <c r="H92" s="8" t="n">
        <f aca="false">CF!G92*(1+dps_g)</f>
        <v>4.49064</v>
      </c>
      <c r="I92" s="8" t="n">
        <f aca="false">CF!H92*(1+dps_g)</f>
        <v>4.8498912</v>
      </c>
      <c r="J92" s="8" t="n">
        <f aca="false">CF!I92*(1+dps_g)</f>
        <v>5.237882496</v>
      </c>
      <c r="K92" s="8" t="n">
        <f aca="false">CF!J92*(1+dps_g)</f>
        <v>5.65691309568</v>
      </c>
    </row>
    <row r="93" customFormat="false" ht="17.15" hidden="false" customHeight="false" outlineLevel="0" collapsed="false">
      <c r="A93" s="1" t="s">
        <v>966</v>
      </c>
      <c r="B93" s="0" t="s">
        <v>98</v>
      </c>
      <c r="E93" s="6" t="n">
        <f aca="false">Q!M41</f>
        <v>26.445</v>
      </c>
      <c r="F93" s="6" t="n">
        <f aca="false">CF!F92*CF!E102</f>
        <v>28.59395</v>
      </c>
      <c r="G93" s="6" t="n">
        <f aca="false">CF!G92*CF!F102</f>
        <v>31.068576</v>
      </c>
      <c r="H93" s="6" t="n">
        <f aca="false">CF!H92*CF!G102</f>
        <v>33.75614088</v>
      </c>
      <c r="I93" s="6" t="n">
        <f aca="false">CF!I92*CF!H102</f>
        <v>36.6260383267915</v>
      </c>
      <c r="J93" s="6" t="n">
        <f aca="false">CF!J92*CF!I102</f>
        <v>39.6245202412542</v>
      </c>
      <c r="K93" s="6" t="n">
        <f aca="false">CF!K92*CF!J102</f>
        <v>42.8817370858596</v>
      </c>
      <c r="L93" s="1" t="s">
        <v>967</v>
      </c>
    </row>
    <row r="94" customFormat="false" ht="15" hidden="false" customHeight="false" outlineLevel="0" collapsed="false">
      <c r="A94" s="1" t="s">
        <v>968</v>
      </c>
      <c r="B94" s="0" t="s">
        <v>98</v>
      </c>
      <c r="E94" s="6" t="n">
        <f aca="false">CF!E91-CF!E93</f>
        <v>37.441</v>
      </c>
      <c r="F94" s="6" t="n">
        <f aca="false">CF!F91-CF!F93</f>
        <v>-31.7951090862764</v>
      </c>
      <c r="G94" s="6" t="n">
        <f aca="false">CF!G91-CF!G93</f>
        <v>-13.2870537158026</v>
      </c>
      <c r="H94" s="6" t="n">
        <f aca="false">CF!H91-CF!H93</f>
        <v>8.50221717650231</v>
      </c>
      <c r="I94" s="6" t="n">
        <f aca="false">CF!I91-CF!I93</f>
        <v>62.3038540023504</v>
      </c>
      <c r="J94" s="6" t="n">
        <f aca="false">CF!J91-CF!J93</f>
        <v>122.593192822909</v>
      </c>
      <c r="K94" s="6" t="n">
        <f aca="false">CF!K91-CF!K93</f>
        <v>147.082080727197</v>
      </c>
    </row>
    <row r="95" customFormat="false" ht="15" hidden="false" customHeight="false" outlineLevel="0" collapsed="false">
      <c r="A95" s="1" t="s">
        <v>969</v>
      </c>
      <c r="B95" s="0" t="s">
        <v>98</v>
      </c>
      <c r="F95" s="6" t="n">
        <f aca="false">debt_mat_27</f>
        <v>9.25</v>
      </c>
      <c r="G95" s="6" t="n">
        <f aca="false">debt_mat_28</f>
        <v>0</v>
      </c>
      <c r="H95" s="6" t="n">
        <f aca="false">debt_mat_29</f>
        <v>2.001</v>
      </c>
      <c r="I95" s="6" t="n">
        <f aca="false">debt_mat_30</f>
        <v>0</v>
      </c>
      <c r="J95" s="6" t="n">
        <f aca="false">debt_mat_31</f>
        <v>0.5</v>
      </c>
      <c r="K95" s="6" t="n">
        <f aca="false">debt_mat_32</f>
        <v>0</v>
      </c>
    </row>
    <row r="96" customFormat="false" ht="15" hidden="false" customHeight="false" outlineLevel="0" collapsed="false">
      <c r="A96" s="1" t="s">
        <v>970</v>
      </c>
      <c r="B96" s="0" t="s">
        <v>98</v>
      </c>
      <c r="E96" s="6" t="n">
        <f aca="false">Q!M40</f>
        <v>22.271</v>
      </c>
      <c r="F96" s="6" t="n">
        <f aca="false">MAX(0,MIN(bb_target,CF!E98+CF!F94-CF!F95-min_cash))</f>
        <v>0</v>
      </c>
      <c r="G96" s="6" t="n">
        <f aca="false">MAX(0,MIN(bb_target,CF!F98+CF!G94-CF!G95-min_cash))</f>
        <v>0</v>
      </c>
      <c r="H96" s="6" t="n">
        <f aca="false">MAX(0,MIN(bb_target,CF!G98+CF!H94-CF!H95-min_cash))</f>
        <v>6.50121717650232</v>
      </c>
      <c r="I96" s="6" t="n">
        <f aca="false">MAX(0,MIN(bb_target,CF!H98+CF!I94-CF!I95-min_cash))</f>
        <v>22.271</v>
      </c>
      <c r="J96" s="6" t="n">
        <f aca="false">MAX(0,MIN(bb_target,CF!I98+CF!J94-CF!J95-min_cash))</f>
        <v>22.271</v>
      </c>
      <c r="K96" s="6" t="n">
        <f aca="false">MAX(0,MIN(bb_target,CF!J98+CF!K94-CF!K95-min_cash))</f>
        <v>22.271</v>
      </c>
    </row>
    <row r="97" customFormat="false" ht="15" hidden="false" customHeight="false" outlineLevel="0" collapsed="false">
      <c r="A97" s="1" t="s">
        <v>971</v>
      </c>
      <c r="B97" s="0" t="s">
        <v>98</v>
      </c>
      <c r="F97" s="6" t="n">
        <f aca="false">MAX(0,min_cash-(CF!E98+CF!F94-CF!F95-CF!F96))</f>
        <v>14.2021090862764</v>
      </c>
      <c r="G97" s="6" t="n">
        <f aca="false">MAX(0,min_cash-(CF!F98+CF!G94-CF!G95-CF!G96))</f>
        <v>13.2870537158026</v>
      </c>
      <c r="H97" s="6" t="n">
        <f aca="false">MAX(0,min_cash-(CF!G98+CF!H94-CF!H95-CF!H96))</f>
        <v>0</v>
      </c>
      <c r="I97" s="6" t="n">
        <f aca="false">MAX(0,min_cash-(CF!H98+CF!I94-CF!I95-CF!I96))</f>
        <v>0</v>
      </c>
      <c r="J97" s="6" t="n">
        <f aca="false">MAX(0,min_cash-(CF!I98+CF!J94-CF!J95-CF!J96))</f>
        <v>0</v>
      </c>
      <c r="K97" s="6" t="n">
        <f aca="false">MAX(0,min_cash-(CF!J98+CF!K94-CF!K95-CF!K96))</f>
        <v>0</v>
      </c>
    </row>
    <row r="98" customFormat="false" ht="15" hidden="false" customHeight="false" outlineLevel="0" collapsed="false">
      <c r="A98" s="1" t="s">
        <v>972</v>
      </c>
      <c r="B98" s="0" t="s">
        <v>98</v>
      </c>
      <c r="E98" s="6" t="n">
        <f aca="false">cash_open</f>
        <v>76.843</v>
      </c>
      <c r="F98" s="6" t="n">
        <f aca="false">CF!E98+CF!F94-CF!F95-CF!F96+CF!F97</f>
        <v>50</v>
      </c>
      <c r="G98" s="6" t="n">
        <f aca="false">CF!F98+CF!G94-CF!G95-CF!G96+CF!G97</f>
        <v>50</v>
      </c>
      <c r="H98" s="6" t="n">
        <f aca="false">CF!G98+CF!H94-CF!H95-CF!H96+CF!H97</f>
        <v>50</v>
      </c>
      <c r="I98" s="6" t="n">
        <f aca="false">CF!H98+CF!I94-CF!I95-CF!I96+CF!I97</f>
        <v>90.0328540023504</v>
      </c>
      <c r="J98" s="6" t="n">
        <f aca="false">CF!I98+CF!J94-CF!J95-CF!J96+CF!J97</f>
        <v>189.855046825259</v>
      </c>
      <c r="K98" s="6" t="n">
        <f aca="false">CF!J98+CF!K94-CF!K95-CF!K96+CF!K97</f>
        <v>314.666127552457</v>
      </c>
    </row>
    <row r="99" customFormat="false" ht="15" hidden="false" customHeight="false" outlineLevel="0" collapsed="false">
      <c r="A99" s="1" t="s">
        <v>973</v>
      </c>
      <c r="B99" s="0" t="s">
        <v>98</v>
      </c>
      <c r="E99" s="6" t="n">
        <f aca="false">debt_face</f>
        <v>46.136</v>
      </c>
      <c r="F99" s="6" t="n">
        <f aca="false">CF!E99-CF!F95+CF!F97</f>
        <v>51.0881090862764</v>
      </c>
      <c r="G99" s="6" t="n">
        <f aca="false">CF!F99-CF!G95+CF!G97</f>
        <v>64.375162802079</v>
      </c>
      <c r="H99" s="6" t="n">
        <f aca="false">CF!G99-CF!H95+CF!H97</f>
        <v>62.374162802079</v>
      </c>
      <c r="I99" s="6" t="n">
        <f aca="false">CF!H99-CF!I95+CF!I97</f>
        <v>62.374162802079</v>
      </c>
      <c r="J99" s="6" t="n">
        <f aca="false">CF!I99-CF!J95+CF!J97</f>
        <v>61.874162802079</v>
      </c>
      <c r="K99" s="6" t="n">
        <f aca="false">CF!J99-CF!K95+CF!K97</f>
        <v>61.874162802079</v>
      </c>
    </row>
    <row r="100" customFormat="false" ht="15" hidden="false" customHeight="false" outlineLevel="0" collapsed="false">
      <c r="A100" s="1" t="s">
        <v>974</v>
      </c>
      <c r="B100" s="0" t="s">
        <v>98</v>
      </c>
      <c r="E100" s="6" t="n">
        <f aca="false">CF!E98-CF!E99</f>
        <v>30.707</v>
      </c>
      <c r="F100" s="6" t="n">
        <f aca="false">CF!F98-CF!F99</f>
        <v>-1.08810908627637</v>
      </c>
      <c r="G100" s="6" t="n">
        <f aca="false">CF!G98-CF!G99</f>
        <v>-14.375162802079</v>
      </c>
      <c r="H100" s="6" t="n">
        <f aca="false">CF!H98-CF!H99</f>
        <v>-12.374162802079</v>
      </c>
      <c r="I100" s="6" t="n">
        <f aca="false">CF!I98-CF!I99</f>
        <v>27.6586912002714</v>
      </c>
      <c r="J100" s="6" t="n">
        <f aca="false">CF!J98-CF!J99</f>
        <v>127.98088402318</v>
      </c>
      <c r="K100" s="6" t="n">
        <f aca="false">CF!K98-CF!K99</f>
        <v>252.791964750378</v>
      </c>
    </row>
    <row r="101" customFormat="false" ht="15" hidden="false" customHeight="false" outlineLevel="0" collapsed="false">
      <c r="A101" s="1" t="s">
        <v>975</v>
      </c>
      <c r="B101" s="0" t="s">
        <v>75</v>
      </c>
      <c r="F101" s="29" t="n">
        <f aca="false">px*(1+bb_g)^(Thesis!F104-base_fy-mid_yr)</f>
        <v>553.494156066711</v>
      </c>
      <c r="G101" s="29" t="n">
        <f aca="false">px*(1+bb_g)^(Thesis!G104-base_fy-mid_yr)</f>
        <v>597.773688552047</v>
      </c>
      <c r="H101" s="29" t="n">
        <f aca="false">px*(1+bb_g)^(Thesis!H104-base_fy-mid_yr)</f>
        <v>645.595583636211</v>
      </c>
      <c r="I101" s="29" t="n">
        <f aca="false">px*(1+bb_g)^(Thesis!I104-base_fy-mid_yr)</f>
        <v>697.243230327108</v>
      </c>
      <c r="J101" s="29" t="n">
        <f aca="false">px*(1+bb_g)^(Thesis!J104-base_fy-mid_yr)</f>
        <v>753.022688753277</v>
      </c>
      <c r="K101" s="29" t="n">
        <f aca="false">px*(1+bb_g)^(Thesis!K104-base_fy-mid_yr)</f>
        <v>813.264503853539</v>
      </c>
    </row>
    <row r="102" customFormat="false" ht="15" hidden="false" customHeight="false" outlineLevel="0" collapsed="false">
      <c r="A102" s="1" t="s">
        <v>976</v>
      </c>
      <c r="B102" s="1" t="s">
        <v>81</v>
      </c>
      <c r="E102" s="14" t="n">
        <f aca="false">sh_out26</f>
        <v>7.427</v>
      </c>
      <c r="F102" s="14" t="n">
        <f aca="false">CF!E102+sh_iss-CF!F96/CF!F101</f>
        <v>7.472</v>
      </c>
      <c r="G102" s="14" t="n">
        <f aca="false">CF!F102+sh_iss-CF!G96/CF!G101</f>
        <v>7.517</v>
      </c>
      <c r="H102" s="14" t="n">
        <f aca="false">CF!G102+sh_iss-CF!H96/CF!H101</f>
        <v>7.55192989211623</v>
      </c>
      <c r="I102" s="14" t="n">
        <f aca="false">CF!H102+sh_iss-CF!I96/CF!I101</f>
        <v>7.56498838443095</v>
      </c>
      <c r="J102" s="14" t="n">
        <f aca="false">CF!I102+sh_iss-CF!J96/CF!J101</f>
        <v>7.58041291435199</v>
      </c>
      <c r="K102" s="14" t="n">
        <f aca="false">CF!J102+sh_iss-CF!K96/CF!K101</f>
        <v>7.59802821983444</v>
      </c>
    </row>
    <row r="103" customFormat="false" ht="15" hidden="false" customHeight="false" outlineLevel="0" collapsed="false">
      <c r="A103" s="1" t="s">
        <v>977</v>
      </c>
      <c r="B103" s="1" t="s">
        <v>81</v>
      </c>
      <c r="E103" s="14" t="n">
        <f aca="false">sh_dil26</f>
        <v>7.453</v>
      </c>
      <c r="F103" s="14" t="n">
        <f aca="false">(CF!E102+CF!F102)/2+dil_gap</f>
        <v>7.4735</v>
      </c>
      <c r="G103" s="14" t="n">
        <f aca="false">(CF!F102+CF!G102)/2+dil_gap</f>
        <v>7.5185</v>
      </c>
      <c r="H103" s="14" t="n">
        <f aca="false">(CF!G102+CF!H102)/2+dil_gap</f>
        <v>7.55846494605811</v>
      </c>
      <c r="I103" s="14" t="n">
        <f aca="false">(CF!H102+CF!I102)/2+dil_gap</f>
        <v>7.58245913827359</v>
      </c>
      <c r="J103" s="14" t="n">
        <f aca="false">(CF!I102+CF!J102)/2+dil_gap</f>
        <v>7.59670064939147</v>
      </c>
      <c r="K103" s="14" t="n">
        <f aca="false">(CF!J102+CF!K102)/2+dil_gap</f>
        <v>7.61322056709322</v>
      </c>
    </row>
    <row r="104" customFormat="false" ht="17.15" hidden="false" customHeight="false" outlineLevel="0" collapsed="false">
      <c r="A104" s="1" t="s">
        <v>978</v>
      </c>
      <c r="B104" s="0" t="s">
        <v>98</v>
      </c>
      <c r="C104" s="6" t="n">
        <f aca="false">SUM(CF!F94:J94)</f>
        <v>148.317101199683</v>
      </c>
    </row>
    <row r="105" customFormat="false" ht="15" hidden="false" customHeight="false" outlineLevel="0" collapsed="false">
      <c r="A105" s="23" t="s">
        <v>945</v>
      </c>
      <c r="B105" s="30" t="s">
        <v>98</v>
      </c>
      <c r="C105" s="24" t="n">
        <f aca="false">CF!$C$104-(CF!F94+CF!G94+CF!H94+CF!I94+CF!J94)</f>
        <v>0</v>
      </c>
      <c r="D105" s="30"/>
      <c r="E105" s="30"/>
      <c r="F105" s="30"/>
      <c r="G105" s="30"/>
      <c r="H105" s="30"/>
      <c r="I105" s="30"/>
      <c r="J105" s="30"/>
      <c r="K105" s="30"/>
    </row>
    <row r="106" customFormat="false" ht="17.15" hidden="false" customHeight="false" outlineLevel="0" collapsed="false">
      <c r="A106" s="1" t="s">
        <v>939</v>
      </c>
      <c r="B106" s="1" t="s">
        <v>979</v>
      </c>
      <c r="C106" s="32" t="str">
        <f aca="false">IF(SUM(CF!F97:J97)&gt;0.05,"需要舉債 "&amp;TEXT(SUM(CF!F97:J97),"0.0")&amp;" 十億美元","不需舉債")&amp;"；"&amp;IF(SUM(CF!F96:J96)&lt;COUNT(CF!F96:J96)*bb_target-0.05,"回購較每年 "&amp;TEXT(bb_target,"0.0")&amp;" 的目標少 "&amp;TEXT(COUNT(CF!F96:J96)*bb_target-SUM(CF!F96:J96),"0.0")&amp;" 十億美元（"&amp;TEXT(COUNTIF(CF!F96:J96,"&lt;"&amp;(bb_target-0.05)),"0")&amp;" 年減少）","回購不減")</f>
        <v>需要舉債 27.5 十億美元；回購較每年 22.3 的目標少 60.3 十億美元（3 年減少）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11" min="6" style="0" width="11"/>
    <col collapsed="false" customWidth="true" hidden="false" outlineLevel="0" max="12" min="12" style="0" width="60"/>
  </cols>
  <sheetData>
    <row r="1" customFormat="false" ht="17.15" hidden="false" customHeight="false" outlineLevel="0" collapsed="false">
      <c r="A1" s="0" t="s">
        <v>982</v>
      </c>
    </row>
    <row r="2" customFormat="false" ht="17.15" hidden="false" customHeight="false" outlineLevel="0" collapsed="false">
      <c r="A2" s="1" t="s">
        <v>983</v>
      </c>
    </row>
    <row r="4" customFormat="false" ht="17.15" hidden="false" customHeight="false" outlineLevel="0" collapsed="false">
      <c r="A4" s="9" t="s">
        <v>984</v>
      </c>
    </row>
    <row r="5" customFormat="false" ht="17.15" hidden="false" customHeight="false" outlineLevel="0" collapsed="false">
      <c r="A5" s="9" t="s">
        <v>985</v>
      </c>
    </row>
    <row r="6" customFormat="false" ht="17.15" hidden="false" customHeight="false" outlineLevel="0" collapsed="false">
      <c r="A6" s="4" t="s">
        <v>43</v>
      </c>
      <c r="B6" s="4" t="s">
        <v>44</v>
      </c>
      <c r="C6" s="4" t="s">
        <v>45</v>
      </c>
      <c r="D6" s="4" t="s">
        <v>46</v>
      </c>
      <c r="E6" s="4" t="s">
        <v>47</v>
      </c>
    </row>
    <row r="7" customFormat="false" ht="17.15" hidden="false" customHeight="false" outlineLevel="0" collapsed="false">
      <c r="A7" s="0" t="s">
        <v>986</v>
      </c>
      <c r="B7" s="6" t="n">
        <f aca="false">Val!$C$81</f>
        <v>2303.59443045138</v>
      </c>
      <c r="C7" s="6" t="n">
        <f aca="false">Val!$C$128</f>
        <v>2053.96836019562</v>
      </c>
      <c r="D7" s="6" t="n">
        <f aca="false">Val!$C$175</f>
        <v>1753.94463895121</v>
      </c>
      <c r="E7" s="11" t="s">
        <v>98</v>
      </c>
    </row>
    <row r="8" customFormat="false" ht="17.15" hidden="false" customHeight="false" outlineLevel="0" collapsed="false">
      <c r="A8" s="1" t="s">
        <v>987</v>
      </c>
      <c r="B8" s="7" t="n">
        <f aca="false">Val!$C$82</f>
        <v>0.741341278439803</v>
      </c>
      <c r="C8" s="7" t="n">
        <f aca="false">Val!$C$129</f>
        <v>0.748020513931073</v>
      </c>
      <c r="D8" s="7" t="n">
        <f aca="false">Val!$C$176</f>
        <v>0.758753332668092</v>
      </c>
      <c r="E8" s="1" t="s">
        <v>988</v>
      </c>
    </row>
    <row r="9" customFormat="false" ht="17.15" hidden="false" customHeight="false" outlineLevel="0" collapsed="false">
      <c r="A9" s="1" t="s">
        <v>989</v>
      </c>
      <c r="B9" s="6" t="n">
        <f aca="false">CF!E38</f>
        <v>30.707</v>
      </c>
      <c r="C9" s="6" t="n">
        <f aca="false">CF!E69</f>
        <v>30.707</v>
      </c>
      <c r="D9" s="6" t="n">
        <f aca="false">CF!E100</f>
        <v>30.707</v>
      </c>
    </row>
    <row r="10" customFormat="false" ht="17.15" hidden="false" customHeight="false" outlineLevel="0" collapsed="false">
      <c r="A10" s="1" t="s">
        <v>990</v>
      </c>
      <c r="B10" s="6" t="n">
        <f aca="false">CF!E27</f>
        <v>66.594</v>
      </c>
      <c r="C10" s="6" t="n">
        <f aca="false">CF!E58</f>
        <v>66.594</v>
      </c>
      <c r="D10" s="6" t="n">
        <f aca="false">CF!E89</f>
        <v>66.594</v>
      </c>
      <c r="E10" s="1" t="s">
        <v>991</v>
      </c>
    </row>
    <row r="11" customFormat="false" ht="17.15" hidden="false" customHeight="false" outlineLevel="0" collapsed="false">
      <c r="A11" s="1" t="s">
        <v>992</v>
      </c>
      <c r="B11" s="6" t="n">
        <f aca="false">oai_v</f>
        <v>170.4</v>
      </c>
      <c r="C11" s="6" t="n">
        <f aca="false">oai_v</f>
        <v>170.4</v>
      </c>
      <c r="D11" s="6" t="n">
        <f aca="false">oai_v</f>
        <v>170.4</v>
      </c>
      <c r="E11" s="11" t="s">
        <v>993</v>
      </c>
    </row>
    <row r="12" customFormat="false" ht="17.15" hidden="false" customHeight="false" outlineLevel="0" collapsed="false">
      <c r="A12" s="0" t="s">
        <v>994</v>
      </c>
      <c r="B12" s="5" t="n">
        <f aca="false">Val!$C$84</f>
        <v>327.131011733715</v>
      </c>
      <c r="C12" s="5" t="n">
        <f aca="false">Val!$C$131</f>
        <v>293.637643928032</v>
      </c>
      <c r="D12" s="5" t="n">
        <f aca="false">Val!$C$178</f>
        <v>253.382213732887</v>
      </c>
      <c r="E12" s="11" t="s">
        <v>995</v>
      </c>
    </row>
    <row r="13" customFormat="false" ht="17.15" hidden="false" customHeight="false" outlineLevel="0" collapsed="false">
      <c r="A13" s="0" t="s">
        <v>996</v>
      </c>
      <c r="B13" s="5" t="n">
        <f aca="false">Val!$C$86</f>
        <v>367.625505810519</v>
      </c>
      <c r="C13" s="5" t="n">
        <f aca="false">Val!$C$133</f>
        <v>329.485489562521</v>
      </c>
      <c r="D13" s="5" t="n">
        <f aca="false">Val!$C$180</f>
        <v>283.645287089587</v>
      </c>
      <c r="E13" s="11" t="s">
        <v>997</v>
      </c>
    </row>
    <row r="14" customFormat="false" ht="17.15" hidden="false" customHeight="false" outlineLevel="0" collapsed="false">
      <c r="A14" s="0" t="s">
        <v>998</v>
      </c>
      <c r="B14" s="33" t="n">
        <f aca="false">w_A*B13+w_B*C13+w_C*D13</f>
        <v>327.560443006287</v>
      </c>
      <c r="E14" s="11" t="s">
        <v>999</v>
      </c>
    </row>
    <row r="15" customFormat="false" ht="17.15" hidden="false" customHeight="false" outlineLevel="0" collapsed="false">
      <c r="A15" s="0" t="s">
        <v>1000</v>
      </c>
      <c r="B15" s="34" t="n">
        <f aca="false">wacc</f>
        <v>0.102934420092876</v>
      </c>
      <c r="C15" s="34" t="n">
        <f aca="false">g_tv</f>
        <v>0.03</v>
      </c>
      <c r="E15" s="11" t="s">
        <v>1001</v>
      </c>
    </row>
    <row r="17" customFormat="false" ht="17.15" hidden="false" customHeight="false" outlineLevel="0" collapsed="false">
      <c r="A17" s="9" t="s">
        <v>1002</v>
      </c>
    </row>
    <row r="18" customFormat="false" ht="17.15" hidden="false" customHeight="false" outlineLevel="0" collapsed="false">
      <c r="A18" s="4" t="s">
        <v>43</v>
      </c>
      <c r="B18" s="4" t="s">
        <v>44</v>
      </c>
      <c r="C18" s="4" t="s">
        <v>45</v>
      </c>
      <c r="D18" s="4" t="s">
        <v>46</v>
      </c>
      <c r="E18" s="4" t="s">
        <v>1003</v>
      </c>
    </row>
    <row r="19" customFormat="false" ht="17.15" hidden="false" customHeight="false" outlineLevel="0" collapsed="false">
      <c r="A19" s="0" t="s">
        <v>1004</v>
      </c>
      <c r="B19" s="6" t="n">
        <f aca="false">Val!$C$102</f>
        <v>425.310341738423</v>
      </c>
      <c r="C19" s="6" t="n">
        <f aca="false">Val!$C$149</f>
        <v>194.716829358755</v>
      </c>
      <c r="D19" s="6" t="n">
        <f aca="false">Val!$C$196</f>
        <v>-92.6297486746201</v>
      </c>
    </row>
    <row r="20" customFormat="false" ht="17.15" hidden="false" customHeight="false" outlineLevel="0" collapsed="false">
      <c r="A20" s="0" t="s">
        <v>1005</v>
      </c>
      <c r="B20" s="6" t="n">
        <f aca="false">Val!$C$104</f>
        <v>1068.81917370447</v>
      </c>
      <c r="C20" s="6" t="n">
        <f aca="false">Val!$C$151</f>
        <v>1063.6463501031</v>
      </c>
      <c r="D20" s="6" t="n">
        <f aca="false">Val!$C$198</f>
        <v>1056.83960927252</v>
      </c>
      <c r="E20" s="8" t="n">
        <f aca="false">m_cloud</f>
        <v>13.82</v>
      </c>
    </row>
    <row r="21" customFormat="false" ht="17.15" hidden="false" customHeight="false" outlineLevel="0" collapsed="false">
      <c r="A21" s="0" t="s">
        <v>1006</v>
      </c>
      <c r="B21" s="6" t="n">
        <f aca="false">Val!$C$105</f>
        <v>1127.71024611553</v>
      </c>
      <c r="C21" s="6" t="n">
        <f aca="false">Val!$C$152</f>
        <v>1087.29236439713</v>
      </c>
      <c r="D21" s="6" t="n">
        <f aca="false">Val!$C$199</f>
        <v>1046.81653016399</v>
      </c>
      <c r="E21" s="8" t="n">
        <f aca="false">m_sw</f>
        <v>10.8</v>
      </c>
    </row>
    <row r="22" customFormat="false" ht="17.15" hidden="false" customHeight="false" outlineLevel="0" collapsed="false">
      <c r="A22" s="0" t="s">
        <v>1007</v>
      </c>
      <c r="B22" s="6" t="n">
        <f aca="false">Val!$C$106</f>
        <v>379.927954212425</v>
      </c>
      <c r="C22" s="6" t="n">
        <f aca="false">Val!$C$153</f>
        <v>380.253466209432</v>
      </c>
      <c r="D22" s="6" t="n">
        <f aca="false">Val!$C$200</f>
        <v>380.588206114803</v>
      </c>
      <c r="E22" s="8" t="n">
        <f aca="false">m_sw</f>
        <v>10.8</v>
      </c>
    </row>
    <row r="23" customFormat="false" ht="17.15" hidden="false" customHeight="false" outlineLevel="0" collapsed="false">
      <c r="A23" s="0" t="s">
        <v>1008</v>
      </c>
      <c r="B23" s="6" t="n">
        <f aca="false">Val!$C$107</f>
        <v>109.537681746057</v>
      </c>
      <c r="C23" s="6" t="n">
        <f aca="false">Val!$C$154</f>
        <v>109.736759441964</v>
      </c>
      <c r="D23" s="6" t="n">
        <f aca="false">Val!$C$201</f>
        <v>109.941508211602</v>
      </c>
      <c r="E23" s="8" t="n">
        <f aca="false">m_sw</f>
        <v>10.8</v>
      </c>
    </row>
    <row r="24" customFormat="false" ht="17.15" hidden="false" customHeight="false" outlineLevel="0" collapsed="false">
      <c r="A24" s="0" t="s">
        <v>1009</v>
      </c>
      <c r="B24" s="6" t="n">
        <f aca="false">Val!$C$108</f>
        <v>41.7907416024197</v>
      </c>
      <c r="C24" s="6" t="n">
        <f aca="false">Val!$C$155</f>
        <v>41.8666036816175</v>
      </c>
      <c r="D24" s="6" t="n">
        <f aca="false">Val!$C$202</f>
        <v>41.944622711021</v>
      </c>
      <c r="E24" s="8" t="n">
        <f aca="false">m_sw</f>
        <v>10.8</v>
      </c>
    </row>
    <row r="25" customFormat="false" ht="17.15" hidden="false" customHeight="false" outlineLevel="0" collapsed="false">
      <c r="A25" s="0" t="s">
        <v>1010</v>
      </c>
      <c r="B25" s="6" t="n">
        <f aca="false">Val!$C$109</f>
        <v>115.467626729004</v>
      </c>
      <c r="C25" s="6" t="n">
        <f aca="false">Val!$C$156</f>
        <v>115.677576364297</v>
      </c>
      <c r="D25" s="6" t="n">
        <f aca="false">Val!$C$203</f>
        <v>115.893511108929</v>
      </c>
      <c r="E25" s="8" t="n">
        <f aca="false">m_ads</f>
        <v>9.11</v>
      </c>
    </row>
    <row r="26" customFormat="false" ht="17.15" hidden="false" customHeight="false" outlineLevel="0" collapsed="false">
      <c r="A26" s="0" t="s">
        <v>1011</v>
      </c>
      <c r="B26" s="6" t="n">
        <f aca="false">Val!$C$110</f>
        <v>98.0506984247457</v>
      </c>
      <c r="C26" s="6" t="n">
        <f aca="false">Val!$C$157</f>
        <v>98.230828142008</v>
      </c>
      <c r="D26" s="6" t="n">
        <f aca="false">Val!$C$204</f>
        <v>98.416032447421</v>
      </c>
      <c r="E26" s="8" t="n">
        <f aca="false">m_game</f>
        <v>12.63</v>
      </c>
    </row>
    <row r="27" customFormat="false" ht="17.15" hidden="false" customHeight="false" outlineLevel="0" collapsed="false">
      <c r="A27" s="0" t="s">
        <v>1012</v>
      </c>
      <c r="B27" s="6" t="n">
        <f aca="false">Val!$C$111</f>
        <v>97.2088080478016</v>
      </c>
      <c r="C27" s="6" t="n">
        <f aca="false">Val!$C$158</f>
        <v>97.3877156607214</v>
      </c>
      <c r="D27" s="6" t="n">
        <f aca="false">Val!$C$205</f>
        <v>97.5716783311641</v>
      </c>
      <c r="E27" s="8" t="n">
        <f aca="false">m_pc</f>
        <v>14.47</v>
      </c>
    </row>
    <row r="28" customFormat="false" ht="17.15" hidden="false" customHeight="false" outlineLevel="0" collapsed="false">
      <c r="A28" s="1" t="s">
        <v>1013</v>
      </c>
      <c r="B28" s="6" t="n">
        <f aca="false">Val!$C$112</f>
        <v>3463.82327232088</v>
      </c>
      <c r="C28" s="6" t="n">
        <f aca="false">Val!$C$159</f>
        <v>3188.80849335903</v>
      </c>
      <c r="D28" s="6" t="n">
        <f aca="false">Val!$C$206</f>
        <v>2855.38194968683</v>
      </c>
      <c r="E28" s="11" t="s">
        <v>98</v>
      </c>
    </row>
    <row r="29" customFormat="false" ht="17.15" hidden="false" customHeight="false" outlineLevel="0" collapsed="false">
      <c r="A29" s="1" t="s">
        <v>1014</v>
      </c>
      <c r="B29" s="6" t="n">
        <f aca="false">Val!$C$114</f>
        <v>163.066005497665</v>
      </c>
      <c r="C29" s="6" t="n">
        <f aca="false">Val!$C$161</f>
        <v>158.699306060314</v>
      </c>
      <c r="D29" s="6" t="n">
        <f aca="false">Val!$C$208</f>
        <v>153.718233647662</v>
      </c>
      <c r="E29" s="1" t="s">
        <v>1015</v>
      </c>
    </row>
    <row r="30" customFormat="false" ht="17.15" hidden="false" customHeight="false" outlineLevel="0" collapsed="false">
      <c r="A30" s="1" t="s">
        <v>1016</v>
      </c>
      <c r="B30" s="5" t="n">
        <f aca="false">Val!$C$115</f>
        <v>482.803786795431</v>
      </c>
      <c r="C30" s="5" t="n">
        <f aca="false">Val!$C$162</f>
        <v>445.533045280061</v>
      </c>
      <c r="D30" s="5" t="n">
        <f aca="false">Val!$C$209</f>
        <v>400.387952419223</v>
      </c>
      <c r="E30" s="11" t="s">
        <v>1017</v>
      </c>
    </row>
    <row r="31" customFormat="false" ht="17.15" hidden="false" customHeight="false" outlineLevel="0" collapsed="false">
      <c r="A31" s="0" t="s">
        <v>1018</v>
      </c>
      <c r="B31" s="33" t="n">
        <f aca="false">w_A*B30+w_B*C30+w_C*D30</f>
        <v>443.564457443694</v>
      </c>
      <c r="E31" s="1" t="s">
        <v>1019</v>
      </c>
    </row>
    <row r="32" customFormat="false" ht="17.15" hidden="false" customHeight="false" outlineLevel="0" collapsed="false">
      <c r="A32" s="1" t="s">
        <v>1020</v>
      </c>
      <c r="B32" s="6" t="n">
        <f aca="false">Val!$C$103</f>
        <v>551.711134531404</v>
      </c>
      <c r="C32" s="6" t="n">
        <f aca="false">Val!$C$150</f>
        <v>454.922440830797</v>
      </c>
      <c r="D32" s="6" t="n">
        <f aca="false">Val!$C$197</f>
        <v>338.776008390068</v>
      </c>
      <c r="E32" s="11" t="s">
        <v>1021</v>
      </c>
    </row>
    <row r="34" customFormat="false" ht="17.15" hidden="false" customHeight="false" outlineLevel="0" collapsed="false">
      <c r="A34" s="9" t="s">
        <v>1022</v>
      </c>
    </row>
    <row r="35" customFormat="false" ht="15" hidden="false" customHeight="false" outlineLevel="0" collapsed="false">
      <c r="A35" s="4" t="s">
        <v>43</v>
      </c>
      <c r="B35" s="4" t="s">
        <v>1023</v>
      </c>
      <c r="C35" s="4" t="s">
        <v>1024</v>
      </c>
      <c r="D35" s="4" t="s">
        <v>1024</v>
      </c>
      <c r="E35" s="4" t="s">
        <v>47</v>
      </c>
    </row>
    <row r="36" customFormat="false" ht="17.15" hidden="false" customHeight="false" outlineLevel="0" collapsed="false">
      <c r="A36" s="1" t="s">
        <v>1025</v>
      </c>
      <c r="B36" s="33" t="n">
        <f aca="false">w_dcf*$B$14+(1-w_dcf)*$B$31</f>
        <v>385.56245022499</v>
      </c>
      <c r="E36" s="11" t="s">
        <v>1026</v>
      </c>
    </row>
    <row r="37" customFormat="false" ht="17.15" hidden="false" customHeight="false" outlineLevel="0" collapsed="false">
      <c r="A37" s="0" t="s">
        <v>998</v>
      </c>
      <c r="B37" s="5" t="n">
        <f aca="false">$B$14</f>
        <v>327.560443006287</v>
      </c>
    </row>
    <row r="38" customFormat="false" ht="17.15" hidden="false" customHeight="false" outlineLevel="0" collapsed="false">
      <c r="A38" s="1" t="s">
        <v>1027</v>
      </c>
      <c r="B38" s="5" t="n">
        <f aca="false">cons_tp</f>
        <v>603.43</v>
      </c>
      <c r="C38" s="5" t="n">
        <f aca="false">cons_tp_lo</f>
        <v>440</v>
      </c>
      <c r="D38" s="5" t="n">
        <f aca="false">cons_tp_hi</f>
        <v>870</v>
      </c>
      <c r="E38" s="11" t="s">
        <v>1028</v>
      </c>
    </row>
    <row r="39" customFormat="false" ht="17.15" hidden="false" customHeight="false" outlineLevel="0" collapsed="false">
      <c r="A39" s="1" t="s">
        <v>74</v>
      </c>
      <c r="B39" s="5" t="n">
        <f aca="false">px</f>
        <v>532.6</v>
      </c>
      <c r="E39" s="11" t="s">
        <v>1029</v>
      </c>
    </row>
    <row r="40" customFormat="false" ht="17.15" hidden="false" customHeight="false" outlineLevel="0" collapsed="false">
      <c r="A40" s="1" t="s">
        <v>1030</v>
      </c>
      <c r="B40" s="7" t="n">
        <f aca="false">$B$36/px-1</f>
        <v>-0.276075008965471</v>
      </c>
      <c r="E40" s="1" t="s">
        <v>1031</v>
      </c>
    </row>
    <row r="41" customFormat="false" ht="17.15" hidden="false" customHeight="false" outlineLevel="0" collapsed="false">
      <c r="A41" s="1" t="s">
        <v>1032</v>
      </c>
      <c r="B41" s="7" t="n">
        <f aca="false">$B$31/px-1</f>
        <v>-0.16717150310985</v>
      </c>
    </row>
    <row r="42" customFormat="false" ht="17.15" hidden="false" customHeight="false" outlineLevel="0" collapsed="false">
      <c r="A42" s="1" t="s">
        <v>1033</v>
      </c>
      <c r="B42" s="32" t="str">
        <f aca="false">IF($B$40&gt;=0.5,"≥ +50%",IF($B$40&gt;=0.25,"+25%～+50%",IF($B$40&gt;=0,"0%～+25%",IF($B$40&gt;-0.25,"−25%～0%",IF($B$40&gt;-0.5,"−50%～−25%","≤ −50%")))))</f>
        <v>−50%～−25%</v>
      </c>
      <c r="E42" s="1" t="s">
        <v>1034</v>
      </c>
    </row>
    <row r="43" customFormat="false" ht="17.15" hidden="false" customHeight="false" outlineLevel="0" collapsed="false">
      <c r="A43" s="17" t="s">
        <v>1035</v>
      </c>
      <c r="B43" s="35" t="str">
        <f aca="false">IF($B$40&gt;=0.5,"強力買進",IF($B$40&gt;=0.25,"買進",IF($B$40&gt;-0.25,"中立",IF($B$40&gt;-0.5,"放空","強力放空"))))</f>
        <v>放空</v>
      </c>
      <c r="C43" s="16"/>
      <c r="D43" s="16"/>
      <c r="E43" s="17" t="s">
        <v>1036</v>
      </c>
    </row>
    <row r="44" customFormat="false" ht="17.15" hidden="false" customHeight="false" outlineLevel="0" collapsed="false">
      <c r="A44" s="1" t="s">
        <v>1037</v>
      </c>
      <c r="B44" s="5" t="n">
        <f aca="false">Val!$C$116</f>
        <v>425.214646302975</v>
      </c>
      <c r="C44" s="5" t="n">
        <f aca="false">Val!$C$163</f>
        <v>387.509267421291</v>
      </c>
      <c r="D44" s="5" t="n">
        <f aca="false">Val!$C$210</f>
        <v>342.016619754405</v>
      </c>
      <c r="E44" s="11" t="s">
        <v>1038</v>
      </c>
    </row>
    <row r="45" customFormat="false" ht="15" hidden="false" customHeight="false" outlineLevel="0" collapsed="false">
      <c r="A45" s="1" t="s">
        <v>1039</v>
      </c>
      <c r="B45" s="7" t="n">
        <f aca="false">B44/px-1</f>
        <v>-0.201624772243757</v>
      </c>
      <c r="C45" s="7" t="n">
        <f aca="false">C44/px-1</f>
        <v>-0.272419700673506</v>
      </c>
      <c r="D45" s="7" t="n">
        <f aca="false">D44/px-1</f>
        <v>-0.357835862271114</v>
      </c>
    </row>
    <row r="46" customFormat="false" ht="17.15" hidden="false" customHeight="false" outlineLevel="0" collapsed="false">
      <c r="A46" s="1" t="s">
        <v>1040</v>
      </c>
      <c r="C46" s="32" t="str">
        <f aca="false">IF(C45&gt;=0.5,"強力買進",IF(C45&gt;=0.25,"買進",IF(C45&gt;-0.25,"中立",IF(C45&gt;-0.5,"放空","強力放空"))))</f>
        <v>放空</v>
      </c>
      <c r="E46" s="1" t="s">
        <v>1041</v>
      </c>
    </row>
    <row r="47" customFormat="false" ht="17.15" hidden="false" customHeight="false" outlineLevel="0" collapsed="false">
      <c r="A47" s="1" t="s">
        <v>1042</v>
      </c>
      <c r="B47" s="5" t="n">
        <f aca="false">Sens!C4</f>
        <v>315.266407730284</v>
      </c>
      <c r="E47" s="11" t="s">
        <v>1043</v>
      </c>
    </row>
    <row r="48" customFormat="false" ht="17.15" hidden="false" customHeight="false" outlineLevel="0" collapsed="false">
      <c r="A48" s="1" t="s">
        <v>1044</v>
      </c>
      <c r="B48" s="7" t="n">
        <f aca="false">$B$47/px-1</f>
        <v>-0.408061570164695</v>
      </c>
    </row>
    <row r="49" customFormat="false" ht="17.15" hidden="false" customHeight="false" outlineLevel="0" collapsed="false">
      <c r="A49" s="1" t="s">
        <v>1045</v>
      </c>
      <c r="B49" s="0" t="str">
        <f aca="false">IF($B$48&gt;=0.5,"強力買進",IF($B$48&gt;=0.25,"買進",IF($B$48&gt;-0.25,"中立",IF($B$48&gt;-0.5,"放空","強力放空"))))</f>
        <v>放空</v>
      </c>
    </row>
    <row r="50" customFormat="false" ht="17.15" hidden="false" customHeight="false" outlineLevel="0" collapsed="false">
      <c r="A50" s="1" t="s">
        <v>1046</v>
      </c>
      <c r="B50" s="5" t="n">
        <f aca="false">D13</f>
        <v>283.645287089587</v>
      </c>
      <c r="E50" s="1" t="s">
        <v>1047</v>
      </c>
    </row>
    <row r="51" customFormat="false" ht="17.15" hidden="false" customHeight="false" outlineLevel="0" collapsed="false">
      <c r="A51" s="1" t="s">
        <v>1048</v>
      </c>
      <c r="B51" s="5" t="n">
        <f aca="false">D13</f>
        <v>283.645287089587</v>
      </c>
      <c r="C51" s="5" t="n">
        <f aca="false">B13</f>
        <v>367.625505810519</v>
      </c>
      <c r="E51" s="11" t="s">
        <v>1049</v>
      </c>
    </row>
    <row r="52" customFormat="false" ht="17.15" hidden="false" customHeight="false" outlineLevel="0" collapsed="false">
      <c r="A52" s="1" t="s">
        <v>1050</v>
      </c>
      <c r="B52" s="36" t="n">
        <f aca="false">px/PL!G49</f>
        <v>21.4378552335586</v>
      </c>
      <c r="C52" s="36" t="n">
        <f aca="false">px/PL!G88</f>
        <v>22.6238128268353</v>
      </c>
      <c r="D52" s="36" t="n">
        <f aca="false">px/PL!G127</f>
        <v>24.1904520965288</v>
      </c>
      <c r="E52" s="11" t="s">
        <v>1051</v>
      </c>
    </row>
    <row r="53" customFormat="false" ht="17.15" hidden="false" customHeight="false" outlineLevel="0" collapsed="false">
      <c r="A53" s="1" t="s">
        <v>1052</v>
      </c>
      <c r="B53" s="36" t="n">
        <f aca="false">$B$36/PL!G88</f>
        <v>16.3779434978336</v>
      </c>
    </row>
    <row r="54" customFormat="false" ht="17.15" hidden="false" customHeight="false" outlineLevel="0" collapsed="false">
      <c r="A54" s="1" t="s">
        <v>1053</v>
      </c>
      <c r="B54" s="0" t="s">
        <v>1054</v>
      </c>
    </row>
    <row r="56" customFormat="false" ht="17.15" hidden="false" customHeight="false" outlineLevel="0" collapsed="false">
      <c r="A56" s="9" t="s">
        <v>1055</v>
      </c>
    </row>
    <row r="70" customFormat="false" ht="17.15" hidden="false" customHeight="false" outlineLevel="0" collapsed="false">
      <c r="A70" s="3" t="s">
        <v>1056</v>
      </c>
    </row>
    <row r="71" customFormat="false" ht="15" hidden="false" customHeight="false" outlineLevel="0" collapsed="false">
      <c r="A71" s="4" t="s">
        <v>43</v>
      </c>
      <c r="B71" s="4" t="s">
        <v>65</v>
      </c>
      <c r="C71" s="20" t="s">
        <v>799</v>
      </c>
      <c r="D71" s="20" t="s">
        <v>800</v>
      </c>
      <c r="E71" s="20" t="s">
        <v>801</v>
      </c>
      <c r="F71" s="20" t="s">
        <v>802</v>
      </c>
      <c r="G71" s="20" t="s">
        <v>803</v>
      </c>
      <c r="H71" s="20" t="s">
        <v>804</v>
      </c>
      <c r="I71" s="20" t="s">
        <v>805</v>
      </c>
      <c r="J71" s="20" t="s">
        <v>806</v>
      </c>
      <c r="K71" s="20" t="s">
        <v>807</v>
      </c>
      <c r="L71" s="4" t="s">
        <v>47</v>
      </c>
    </row>
    <row r="72" customFormat="false" ht="15" hidden="false" customHeight="false" outlineLevel="0" collapsed="false">
      <c r="A72" s="1" t="s">
        <v>1057</v>
      </c>
      <c r="B72" s="1" t="s">
        <v>235</v>
      </c>
      <c r="F72" s="36" t="n">
        <f aca="false">Thesis!F6-base_fy-mid_yr</f>
        <v>0.5</v>
      </c>
      <c r="G72" s="36" t="n">
        <f aca="false">Thesis!G6-base_fy-mid_yr</f>
        <v>1.5</v>
      </c>
      <c r="H72" s="36" t="n">
        <f aca="false">Thesis!H6-base_fy-mid_yr</f>
        <v>2.5</v>
      </c>
      <c r="I72" s="36" t="n">
        <f aca="false">Thesis!I6-base_fy-mid_yr</f>
        <v>3.5</v>
      </c>
      <c r="J72" s="36" t="n">
        <f aca="false">Thesis!J6-base_fy-mid_yr</f>
        <v>4.5</v>
      </c>
      <c r="K72" s="36" t="n">
        <f aca="false">Thesis!K6-base_fy-mid_yr</f>
        <v>5.5</v>
      </c>
    </row>
    <row r="73" customFormat="false" ht="15" hidden="false" customHeight="false" outlineLevel="0" collapsed="false">
      <c r="A73" s="1" t="s">
        <v>1058</v>
      </c>
      <c r="B73" s="0" t="s">
        <v>185</v>
      </c>
      <c r="F73" s="14" t="n">
        <f aca="false">1/(1+wacc)^Val!F72</f>
        <v>0.952193373608246</v>
      </c>
      <c r="G73" s="14" t="n">
        <f aca="false">1/(1+wacc)^Val!G72</f>
        <v>0.863327280626589</v>
      </c>
      <c r="H73" s="14" t="n">
        <f aca="false">1/(1+wacc)^Val!H72</f>
        <v>0.782754862754115</v>
      </c>
      <c r="I73" s="14" t="n">
        <f aca="false">1/(1+wacc)^Val!I72</f>
        <v>0.709702089711011</v>
      </c>
      <c r="J73" s="14" t="n">
        <f aca="false">1/(1+wacc)^Val!J72</f>
        <v>0.643467169744551</v>
      </c>
      <c r="K73" s="14" t="n">
        <f aca="false">1/(1+wacc)^Val!K72</f>
        <v>0.583413807767797</v>
      </c>
    </row>
    <row r="74" customFormat="false" ht="17.15" hidden="false" customHeight="false" outlineLevel="0" collapsed="false">
      <c r="A74" s="1" t="s">
        <v>1059</v>
      </c>
      <c r="B74" s="0" t="s">
        <v>98</v>
      </c>
      <c r="F74" s="6" t="n">
        <f aca="false">CF!F22-CF!F20-CF!F26+Thesis!F44*(1-tax_f)</f>
        <v>0.8175674752552</v>
      </c>
      <c r="G74" s="6" t="n">
        <f aca="false">CF!G22-CF!G20-CF!G26+Thesis!G44*(1-tax_f)</f>
        <v>46.5945454778033</v>
      </c>
      <c r="H74" s="6" t="n">
        <f aca="false">CF!H22-CF!H20-CF!H26+Thesis!H44*(1-tax_f)</f>
        <v>105.224067029101</v>
      </c>
      <c r="I74" s="6" t="n">
        <f aca="false">CF!I22-CF!I20-CF!I26+Thesis!I44*(1-tax_f)</f>
        <v>183.301417205555</v>
      </c>
      <c r="J74" s="6" t="n">
        <f aca="false">CF!J22-CF!J20-CF!J26+Thesis!J44*(1-tax_f)</f>
        <v>261.555335183242</v>
      </c>
      <c r="K74" s="6" t="n">
        <f aca="false">CF!K22-CF!K20-CF!K26+Thesis!K44*(1-tax_f)</f>
        <v>298.387942209483</v>
      </c>
      <c r="L74" s="1" t="s">
        <v>1060</v>
      </c>
    </row>
    <row r="75" customFormat="false" ht="15" hidden="false" customHeight="false" outlineLevel="0" collapsed="false">
      <c r="A75" s="1" t="s">
        <v>1061</v>
      </c>
      <c r="B75" s="0" t="s">
        <v>98</v>
      </c>
      <c r="F75" s="6" t="n">
        <f aca="false">Val!F74*Val!F73</f>
        <v>0.778482332415625</v>
      </c>
      <c r="G75" s="6" t="n">
        <f aca="false">Val!G74*Val!G73</f>
        <v>40.2263422393839</v>
      </c>
      <c r="H75" s="6" t="n">
        <f aca="false">Val!H74*Val!H73</f>
        <v>82.364650145794</v>
      </c>
      <c r="I75" s="6" t="n">
        <f aca="false">Val!I74*Val!I73</f>
        <v>130.089398837772</v>
      </c>
      <c r="J75" s="6" t="n">
        <f aca="false">Val!J74*Val!J73</f>
        <v>168.302271261948</v>
      </c>
      <c r="K75" s="6" t="n">
        <f aca="false">Val!K74*Val!K73</f>
        <v>174.083645556432</v>
      </c>
    </row>
    <row r="76" customFormat="false" ht="17.15" hidden="false" customHeight="false" outlineLevel="0" collapsed="false">
      <c r="A76" s="1" t="s">
        <v>1062</v>
      </c>
      <c r="B76" s="0" t="s">
        <v>98</v>
      </c>
      <c r="C76" s="6" t="n">
        <f aca="false">SUM(Val!F75:K75)</f>
        <v>595.844790373745</v>
      </c>
    </row>
    <row r="77" customFormat="false" ht="17.15" hidden="false" customHeight="false" outlineLevel="0" collapsed="false">
      <c r="A77" s="1" t="s">
        <v>1063</v>
      </c>
      <c r="B77" s="0" t="s">
        <v>98</v>
      </c>
      <c r="C77" s="6" t="n">
        <f aca="false">PL!K39*(1+g_tv)*(1-tax_f)</f>
        <v>316.433872640522</v>
      </c>
    </row>
    <row r="78" customFormat="false" ht="17.15" hidden="false" customHeight="false" outlineLevel="0" collapsed="false">
      <c r="A78" s="1" t="s">
        <v>1064</v>
      </c>
      <c r="B78" s="0" t="s">
        <v>98</v>
      </c>
      <c r="C78" s="6" t="n">
        <f aca="false">Val!$C$77*(1-g_tv/(wacc+ronic_prem))</f>
        <v>224.209948217085</v>
      </c>
    </row>
    <row r="79" customFormat="false" ht="17.15" hidden="false" customHeight="false" outlineLevel="0" collapsed="false">
      <c r="A79" s="1" t="s">
        <v>1065</v>
      </c>
      <c r="B79" s="0" t="s">
        <v>98</v>
      </c>
      <c r="C79" s="6" t="n">
        <f aca="false">Val!$C$78/(wacc-g_tv)</f>
        <v>3074.13081411456</v>
      </c>
    </row>
    <row r="80" customFormat="false" ht="15" hidden="false" customHeight="false" outlineLevel="0" collapsed="false">
      <c r="A80" s="1" t="s">
        <v>1066</v>
      </c>
      <c r="B80" s="0" t="s">
        <v>98</v>
      </c>
      <c r="C80" s="6" t="n">
        <f aca="false">Val!$C$79/(1+wacc)^(Val!K72+mid_yr)</f>
        <v>1707.74964007764</v>
      </c>
    </row>
    <row r="81" customFormat="false" ht="17.15" hidden="false" customHeight="false" outlineLevel="0" collapsed="false">
      <c r="A81" s="0" t="s">
        <v>986</v>
      </c>
      <c r="B81" s="0" t="s">
        <v>98</v>
      </c>
      <c r="C81" s="6" t="n">
        <f aca="false">Val!$C$76+Val!$C$80</f>
        <v>2303.59443045138</v>
      </c>
    </row>
    <row r="82" customFormat="false" ht="15" hidden="false" customHeight="false" outlineLevel="0" collapsed="false">
      <c r="A82" s="1" t="s">
        <v>987</v>
      </c>
      <c r="B82" s="0" t="s">
        <v>129</v>
      </c>
      <c r="C82" s="7" t="n">
        <f aca="false">Val!$C$80/Val!$C$81</f>
        <v>0.741341278439803</v>
      </c>
    </row>
    <row r="83" customFormat="false" ht="17.15" hidden="false" customHeight="false" outlineLevel="0" collapsed="false">
      <c r="A83" s="1" t="s">
        <v>1067</v>
      </c>
      <c r="B83" s="0" t="s">
        <v>98</v>
      </c>
      <c r="C83" s="6" t="n">
        <f aca="false">Val!$C$81+CF!E38-CF!E27+oai_v</f>
        <v>2438.10743045138</v>
      </c>
    </row>
    <row r="84" customFormat="false" ht="17.15" hidden="false" customHeight="false" outlineLevel="0" collapsed="false">
      <c r="A84" s="0" t="s">
        <v>994</v>
      </c>
      <c r="B84" s="0" t="s">
        <v>75</v>
      </c>
      <c r="C84" s="5" t="n">
        <f aca="false">Val!$C$83/sh_dil26</f>
        <v>327.131011733715</v>
      </c>
    </row>
    <row r="85" customFormat="false" ht="15" hidden="false" customHeight="false" outlineLevel="0" collapsed="false">
      <c r="A85" s="1" t="s">
        <v>1068</v>
      </c>
      <c r="B85" s="0" t="s">
        <v>75</v>
      </c>
      <c r="C85" s="8" t="n">
        <f aca="false">dps_27+CF!G30*roll_div_q/q_per_yr</f>
        <v>4.8895</v>
      </c>
    </row>
    <row r="86" customFormat="false" ht="17.15" hidden="false" customHeight="false" outlineLevel="0" collapsed="false">
      <c r="A86" s="0" t="s">
        <v>1069</v>
      </c>
      <c r="B86" s="0" t="s">
        <v>75</v>
      </c>
      <c r="C86" s="5" t="n">
        <f aca="false">Val!$C$84*(1+wacc)^t_roll-Val!$C$85</f>
        <v>367.625505810519</v>
      </c>
    </row>
    <row r="87" customFormat="false" ht="17.15" hidden="false" customHeight="false" outlineLevel="0" collapsed="false">
      <c r="A87" s="1" t="s">
        <v>1070</v>
      </c>
      <c r="B87" s="0" t="s">
        <v>129</v>
      </c>
      <c r="F87" s="7" t="n">
        <f aca="false">CF!F17/(Seg!F29-Thesis!F23)</f>
        <v>0.0705303854989974</v>
      </c>
      <c r="G87" s="7" t="n">
        <f aca="false">CF!G17/(Seg!G29-Thesis!G23)</f>
        <v>0.0669153011130541</v>
      </c>
      <c r="H87" s="7" t="n">
        <f aca="false">CF!H17/(Seg!H29-Thesis!H23)</f>
        <v>0.0648963302688647</v>
      </c>
      <c r="I87" s="7" t="n">
        <f aca="false">CF!I17/(Seg!I29-Thesis!I23)</f>
        <v>0.0643411219550834</v>
      </c>
      <c r="J87" s="7" t="n">
        <f aca="false">CF!J17/(Seg!J29-Thesis!J23)</f>
        <v>0.0648740961982593</v>
      </c>
      <c r="K87" s="7" t="n">
        <f aca="false">CF!K17/(Seg!K29-Thesis!K23)</f>
        <v>0.0660244723636577</v>
      </c>
    </row>
    <row r="88" customFormat="false" ht="17.15" hidden="false" customHeight="false" outlineLevel="0" collapsed="false">
      <c r="A88" s="0" t="s">
        <v>1071</v>
      </c>
      <c r="B88" s="0" t="s">
        <v>98</v>
      </c>
      <c r="F88" s="6" t="n">
        <f aca="false">Seg!F14*(al_m365+Val!F87+sbc_r)</f>
        <v>85.2273329859862</v>
      </c>
      <c r="G88" s="6" t="n">
        <f aca="false">Seg!G14*(al_m365+Val!G87+sbc_r)</f>
        <v>99.6892587904979</v>
      </c>
      <c r="H88" s="6" t="n">
        <f aca="false">Seg!H14*(al_m365+Val!H87+sbc_r)</f>
        <v>114.315107566414</v>
      </c>
      <c r="I88" s="6" t="n">
        <f aca="false">Seg!I14*(al_m365+Val!I87+sbc_r)</f>
        <v>127.42181750834</v>
      </c>
      <c r="J88" s="6" t="n">
        <f aca="false">Seg!J14*(al_m365+Val!J87+sbc_r)</f>
        <v>138.823999012523</v>
      </c>
      <c r="K88" s="6" t="n">
        <f aca="false">Seg!K14*(al_m365+Val!K87+sbc_r)</f>
        <v>149.845393216552</v>
      </c>
      <c r="L88" s="11" t="s">
        <v>1072</v>
      </c>
    </row>
    <row r="89" customFormat="false" ht="17.15" hidden="false" customHeight="false" outlineLevel="0" collapsed="false">
      <c r="A89" s="0" t="s">
        <v>1073</v>
      </c>
      <c r="B89" s="0" t="s">
        <v>98</v>
      </c>
      <c r="F89" s="6" t="n">
        <f aca="false">Seg!F15*(al_lic+Val!F87+sbc_r)</f>
        <v>33.5204472060294</v>
      </c>
      <c r="G89" s="6" t="n">
        <f aca="false">Seg!G15*(al_lic+Val!G87+sbc_r)</f>
        <v>34.7926166862242</v>
      </c>
      <c r="H89" s="6" t="n">
        <f aca="false">Seg!H15*(al_lic+Val!H87+sbc_r)</f>
        <v>35.9862829687409</v>
      </c>
      <c r="I89" s="6" t="n">
        <f aca="false">Seg!I15*(al_lic+Val!I87+sbc_r)</f>
        <v>37.0838788899664</v>
      </c>
      <c r="J89" s="6" t="n">
        <f aca="false">Seg!J15*(al_lic+Val!J87+sbc_r)</f>
        <v>38.0565090086839</v>
      </c>
      <c r="K89" s="6" t="n">
        <f aca="false">Seg!K15*(al_lic+Val!K87+sbc_r)</f>
        <v>38.8700352425884</v>
      </c>
    </row>
    <row r="90" customFormat="false" ht="17.15" hidden="false" customHeight="false" outlineLevel="0" collapsed="false">
      <c r="A90" s="0" t="s">
        <v>1074</v>
      </c>
      <c r="B90" s="0" t="s">
        <v>98</v>
      </c>
      <c r="F90" s="6" t="n">
        <f aca="false">Seg!F17*(al_ind+Val!F87+sbc_r)</f>
        <v>9.11980018094294</v>
      </c>
      <c r="G90" s="6" t="n">
        <f aca="false">Seg!G17*(al_ind+Val!G87+sbc_r)</f>
        <v>9.88072195697034</v>
      </c>
      <c r="H90" s="6" t="n">
        <f aca="false">Seg!H17*(al_ind+Val!H87+sbc_r)</f>
        <v>10.6900815637922</v>
      </c>
      <c r="I90" s="6" t="n">
        <f aca="false">Seg!I17*(al_ind+Val!I87+sbc_r)</f>
        <v>11.5460282347577</v>
      </c>
      <c r="J90" s="6" t="n">
        <f aca="false">Seg!J17*(al_ind+Val!J87+sbc_r)</f>
        <v>12.4374767512513</v>
      </c>
      <c r="K90" s="6" t="n">
        <f aca="false">Seg!K17*(al_ind+Val!K87+sbc_r)</f>
        <v>13.3461587114563</v>
      </c>
    </row>
    <row r="91" customFormat="false" ht="17.15" hidden="false" customHeight="false" outlineLevel="0" collapsed="false">
      <c r="A91" s="0" t="s">
        <v>1075</v>
      </c>
      <c r="B91" s="0" t="s">
        <v>98</v>
      </c>
      <c r="F91" s="6" t="n">
        <f aca="false">Seg!F19*(al_fro+Val!F87+sbc_r)</f>
        <v>3.58958536902212</v>
      </c>
      <c r="G91" s="6" t="n">
        <f aca="false">Seg!G19*(al_fro+Val!G87+sbc_r)</f>
        <v>3.79361306665995</v>
      </c>
      <c r="H91" s="6" t="n">
        <f aca="false">Seg!H19*(al_fro+Val!H87+sbc_r)</f>
        <v>4.02838862857902</v>
      </c>
      <c r="I91" s="6" t="n">
        <f aca="false">Seg!I19*(al_fro+Val!I87+sbc_r)</f>
        <v>4.29696179134221</v>
      </c>
      <c r="J91" s="6" t="n">
        <f aca="false">Seg!J19*(al_fro+Val!J87+sbc_r)</f>
        <v>4.59985687395741</v>
      </c>
      <c r="K91" s="6" t="n">
        <f aca="false">Seg!K19*(al_fro+Val!K87+sbc_r)</f>
        <v>4.93592238342414</v>
      </c>
    </row>
    <row r="92" customFormat="false" ht="17.15" hidden="false" customHeight="false" outlineLevel="0" collapsed="false">
      <c r="A92" s="0" t="s">
        <v>1076</v>
      </c>
      <c r="B92" s="0" t="s">
        <v>98</v>
      </c>
      <c r="F92" s="6" t="n">
        <f aca="false">Seg!F22*(al_srch+Val!F87+sbc_r)</f>
        <v>11.2630849868114</v>
      </c>
      <c r="G92" s="6" t="n">
        <f aca="false">Seg!G22*(al_srch+Val!G87+sbc_r)</f>
        <v>12.3179728600437</v>
      </c>
      <c r="H92" s="6" t="n">
        <f aca="false">Seg!H22*(al_srch+Val!H87+sbc_r)</f>
        <v>13.4217853035424</v>
      </c>
      <c r="I92" s="6" t="n">
        <f aca="false">Seg!I22*(al_srch+Val!I87+sbc_r)</f>
        <v>14.565578354966</v>
      </c>
      <c r="J92" s="6" t="n">
        <f aca="false">Seg!J22*(al_srch+Val!J87+sbc_r)</f>
        <v>15.7277683722803</v>
      </c>
      <c r="K92" s="6" t="n">
        <f aca="false">Seg!K22*(al_srch+Val!K87+sbc_r)</f>
        <v>16.87683901418</v>
      </c>
    </row>
    <row r="93" customFormat="false" ht="17.15" hidden="false" customHeight="false" outlineLevel="0" collapsed="false">
      <c r="A93" s="0" t="s">
        <v>1077</v>
      </c>
      <c r="B93" s="0" t="s">
        <v>98</v>
      </c>
      <c r="F93" s="6" t="n">
        <f aca="false">Thesis!F29-Thesis!F30+Thesis!F44</f>
        <v>45.0374073018652</v>
      </c>
      <c r="G93" s="6" t="n">
        <f aca="false">Thesis!G29-Thesis!G30+Thesis!G44</f>
        <v>89.051993487491</v>
      </c>
      <c r="H93" s="6" t="n">
        <f aca="false">Thesis!H29-Thesis!H30+Thesis!H44</f>
        <v>140.728332825594</v>
      </c>
      <c r="I93" s="6" t="n">
        <f aca="false">Thesis!I29-Thesis!I30+Thesis!I44</f>
        <v>182.158665153016</v>
      </c>
      <c r="J93" s="6" t="n">
        <f aca="false">Thesis!J29-Thesis!J30+Thesis!J44</f>
        <v>211.722320149272</v>
      </c>
      <c r="K93" s="6" t="n">
        <f aca="false">Thesis!K29-Thesis!K30+Thesis!K44</f>
        <v>230.495012322217</v>
      </c>
    </row>
    <row r="94" customFormat="false" ht="17.15" hidden="false" customHeight="false" outlineLevel="0" collapsed="false">
      <c r="A94" s="0" t="s">
        <v>1078</v>
      </c>
      <c r="B94" s="0" t="s">
        <v>98</v>
      </c>
      <c r="F94" s="6" t="n">
        <f aca="false">PL!F32+Thesis!F44+Thesis!F40+Val!F87*(Seg!F21-Thesis!F23)+sbc_r*Seg!F21</f>
        <v>236.979131882557</v>
      </c>
      <c r="G94" s="6" t="n">
        <f aca="false">PL!G32+Thesis!G44+Thesis!G40+Val!G87*(Seg!G21-Thesis!G23)+sbc_r*Seg!G21</f>
        <v>310.298572894356</v>
      </c>
      <c r="H94" s="6" t="n">
        <f aca="false">PL!H32+Thesis!H44+Thesis!H40+Val!H87*(Seg!H21-Thesis!H23)+sbc_r*Seg!H21</f>
        <v>391.97921499404</v>
      </c>
      <c r="I94" s="6" t="n">
        <f aca="false">PL!I32+Thesis!I44+Thesis!I40+Val!I87*(Seg!I21-Thesis!I23)+sbc_r*Seg!I21</f>
        <v>461.338592490557</v>
      </c>
      <c r="J94" s="6" t="n">
        <f aca="false">PL!J32+Thesis!J44+Thesis!J40+Val!J87*(Seg!J21-Thesis!J23)+sbc_r*Seg!J21</f>
        <v>515.876034980991</v>
      </c>
      <c r="K94" s="6" t="n">
        <f aca="false">PL!K32+Thesis!K44+Thesis!K40+Val!K87*(Seg!K21-Thesis!K23)+sbc_r*Seg!K21</f>
        <v>557.225339287545</v>
      </c>
    </row>
    <row r="95" customFormat="false" ht="17.15" hidden="false" customHeight="false" outlineLevel="0" collapsed="false">
      <c r="A95" s="0" t="s">
        <v>1079</v>
      </c>
      <c r="B95" s="0" t="s">
        <v>98</v>
      </c>
      <c r="F95" s="6" t="n">
        <f aca="false">Val!F94-Val!F88-Val!F89-Val!F90-Val!F91-Val!F93</f>
        <v>60.4845588387112</v>
      </c>
      <c r="G95" s="6" t="n">
        <f aca="false">Val!G94-Val!G88-Val!G89-Val!G90-Val!G91-Val!G93</f>
        <v>73.090368906513</v>
      </c>
      <c r="H95" s="6" t="n">
        <f aca="false">Val!H94-Val!H88-Val!H89-Val!H90-Val!H91-Val!H93</f>
        <v>86.23102144092</v>
      </c>
      <c r="I95" s="6" t="n">
        <f aca="false">Val!I94-Val!I88-Val!I89-Val!I90-Val!I91-Val!I93</f>
        <v>98.8312409131349</v>
      </c>
      <c r="J95" s="6" t="n">
        <f aca="false">Val!J94-Val!J88-Val!J89-Val!J90-Val!J91-Val!J93</f>
        <v>110.235873185303</v>
      </c>
      <c r="K95" s="6" t="n">
        <f aca="false">Val!K94-Val!K88-Val!K89-Val!K90-Val!K91-Val!K93</f>
        <v>119.732817411307</v>
      </c>
    </row>
    <row r="96" customFormat="false" ht="17.15" hidden="false" customHeight="false" outlineLevel="0" collapsed="false">
      <c r="A96" s="0" t="s">
        <v>1080</v>
      </c>
      <c r="B96" s="0" t="s">
        <v>98</v>
      </c>
      <c r="F96" s="6" t="n">
        <f aca="false">PL!F34+Val!F87*Seg!F28+sbc_r*Seg!F28</f>
        <v>26.3250729833002</v>
      </c>
      <c r="G96" s="6" t="n">
        <f aca="false">PL!G34+Val!G87*Seg!G28+sbc_r*Seg!G28</f>
        <v>26.8840979798844</v>
      </c>
      <c r="H96" s="6" t="n">
        <f aca="false">PL!H34+Val!H87*Seg!H28+sbc_r*Seg!H28</f>
        <v>27.7254420104725</v>
      </c>
      <c r="I96" s="6" t="n">
        <f aca="false">PL!I34+Val!I87*Seg!I28+sbc_r*Seg!I28</f>
        <v>28.8195303030026</v>
      </c>
      <c r="J96" s="6" t="n">
        <f aca="false">PL!J34+Val!J87*Seg!J28+sbc_r*Seg!J28</f>
        <v>30.1256822206383</v>
      </c>
      <c r="K96" s="6" t="n">
        <f aca="false">PL!K34+Val!K87*Seg!K28+sbc_r*Seg!K28</f>
        <v>31.5981329181227</v>
      </c>
    </row>
    <row r="97" customFormat="false" ht="17.15" hidden="false" customHeight="false" outlineLevel="0" collapsed="false">
      <c r="A97" s="0" t="s">
        <v>1081</v>
      </c>
      <c r="B97" s="0" t="s">
        <v>98</v>
      </c>
      <c r="F97" s="6" t="n">
        <f aca="false">(Val!F96-Val!F92)*Seg!F24/(Seg!F24+Seg!F26)</f>
        <v>8.25683511803782</v>
      </c>
      <c r="G97" s="6" t="n">
        <f aca="false">(Val!G96-Val!G92)*Seg!G24/(Seg!G24+Seg!G26)</f>
        <v>7.84263572934781</v>
      </c>
      <c r="H97" s="6" t="n">
        <f aca="false">(Val!H96-Val!H92)*Seg!H24/(Seg!H24+Seg!H26)</f>
        <v>7.59728657715786</v>
      </c>
      <c r="I97" s="6" t="n">
        <f aca="false">(Val!I96-Val!I92)*Seg!I24/(Seg!I24+Seg!I26)</f>
        <v>7.50238476920254</v>
      </c>
      <c r="J97" s="6" t="n">
        <f aca="false">(Val!J96-Val!J92)*Seg!J24/(Seg!J24+Seg!J26)</f>
        <v>7.54388912124533</v>
      </c>
      <c r="K97" s="6" t="n">
        <f aca="false">(Val!K96-Val!K92)*Seg!K24/(Seg!K24+Seg!K26)</f>
        <v>7.71332639591206</v>
      </c>
    </row>
    <row r="98" customFormat="false" ht="17.15" hidden="false" customHeight="false" outlineLevel="0" collapsed="false">
      <c r="A98" s="0" t="s">
        <v>1082</v>
      </c>
      <c r="B98" s="0" t="s">
        <v>98</v>
      </c>
      <c r="F98" s="6" t="n">
        <f aca="false">Val!F96-Val!F92-Val!F97</f>
        <v>6.80515287845105</v>
      </c>
      <c r="G98" s="6" t="n">
        <f aca="false">Val!G96-Val!G92-Val!G97</f>
        <v>6.72348939049287</v>
      </c>
      <c r="H98" s="6" t="n">
        <f aca="false">Val!H96-Val!H92-Val!H97</f>
        <v>6.70637012977225</v>
      </c>
      <c r="I98" s="6" t="n">
        <f aca="false">Val!I96-Val!I92-Val!I97</f>
        <v>6.75156717883416</v>
      </c>
      <c r="J98" s="6" t="n">
        <f aca="false">Val!J96-Val!J92-Val!J97</f>
        <v>6.85402472711273</v>
      </c>
      <c r="K98" s="6" t="n">
        <f aca="false">Val!K96-Val!K92-Val!K97</f>
        <v>7.00796750803058</v>
      </c>
    </row>
    <row r="99" customFormat="false" ht="17.15" hidden="false" customHeight="false" outlineLevel="0" collapsed="false">
      <c r="A99" s="0" t="s">
        <v>1083</v>
      </c>
      <c r="B99" s="0" t="s">
        <v>98</v>
      </c>
      <c r="F99" s="6" t="n">
        <f aca="false">Val!F93-tax_f*(Val!F93-Thesis!F40)-Thesis!F37</f>
        <v>-117.492972553783</v>
      </c>
      <c r="G99" s="6" t="n">
        <f aca="false">Val!G93-tax_f*(Val!G93-Thesis!G40)-Thesis!G37</f>
        <v>-100.507498271105</v>
      </c>
      <c r="H99" s="6" t="n">
        <f aca="false">Val!H93-tax_f*(Val!H93-Thesis!H40)-Thesis!H37</f>
        <v>-58.2254156812621</v>
      </c>
      <c r="I99" s="6" t="n">
        <f aca="false">Val!I93-tax_f*(Val!I93-Thesis!I40)-Thesis!I37</f>
        <v>4.14141173464586</v>
      </c>
      <c r="J99" s="6" t="n">
        <f aca="false">Val!J93-tax_f*(Val!J93-Thesis!J40)-Thesis!J37</f>
        <v>67.7960840957439</v>
      </c>
      <c r="K99" s="6" t="n">
        <f aca="false">Val!K93-tax_f*(Val!K93-Thesis!K40)-Thesis!K37</f>
        <v>90.8148873630444</v>
      </c>
    </row>
    <row r="100" customFormat="false" ht="17.15" hidden="false" customHeight="false" outlineLevel="0" collapsed="false">
      <c r="A100" s="0" t="s">
        <v>1084</v>
      </c>
      <c r="B100" s="0" t="s">
        <v>98</v>
      </c>
      <c r="G100" s="6" t="n">
        <f aca="false">Val!G99/(1+wacc)^(Val!G72-(Val!F72+mid_yr))</f>
        <v>-95.7025738516884</v>
      </c>
      <c r="H100" s="6" t="n">
        <f aca="false">Val!H99/(1+wacc)^(Val!H72-(Val!F72+mid_yr))</f>
        <v>-50.2675897834568</v>
      </c>
      <c r="I100" s="6" t="n">
        <f aca="false">Val!I99/(1+wacc)^(Val!I72-(Val!F72+mid_yr))</f>
        <v>3.241710173961</v>
      </c>
      <c r="J100" s="6" t="n">
        <f aca="false">Val!J99/(1+wacc)^(Val!J72-(Val!F72+mid_yr))</f>
        <v>48.1150225569729</v>
      </c>
      <c r="K100" s="6" t="n">
        <f aca="false">Val!K99/(1+wacc)^(Val!K72-(Val!F72+mid_yr))</f>
        <v>58.4363985421684</v>
      </c>
      <c r="L100" s="1" t="s">
        <v>1085</v>
      </c>
    </row>
    <row r="101" customFormat="false" ht="17.15" hidden="false" customHeight="false" outlineLevel="0" collapsed="false">
      <c r="A101" s="0" t="s">
        <v>1086</v>
      </c>
      <c r="B101" s="0" t="s">
        <v>98</v>
      </c>
      <c r="C101" s="6" t="n">
        <f aca="false">(Val!K93-Thesis!K40)*(1-tax_f)*(1+g_tv)*(1-g_tv/(wacc+ronic_prem))/(wacc-g_tv)/(1+wacc)^(Val!K72+mid_yr-(Val!F72+mid_yr))</f>
        <v>448.116665852667</v>
      </c>
    </row>
    <row r="102" customFormat="false" ht="17.15" hidden="false" customHeight="false" outlineLevel="0" collapsed="false">
      <c r="A102" s="1" t="s">
        <v>1087</v>
      </c>
      <c r="B102" s="0" t="s">
        <v>98</v>
      </c>
      <c r="C102" s="6" t="n">
        <f aca="false">(SUM(Val!G100:K100)+Val!$C$101)*(1+wacc)^(t_roll-(Val!F72+mid_yr))</f>
        <v>425.310341738423</v>
      </c>
      <c r="L102" s="11" t="s">
        <v>1088</v>
      </c>
    </row>
    <row r="103" customFormat="false" ht="17.15" hidden="false" customHeight="false" outlineLevel="0" collapsed="false">
      <c r="A103" s="1" t="s">
        <v>1089</v>
      </c>
      <c r="B103" s="0" t="s">
        <v>98</v>
      </c>
      <c r="C103" s="6" t="n">
        <f aca="false">(w_ntm28*Thesis!G29+(1-w_ntm28)*Thesis!H29)*m_ai</f>
        <v>551.711134531404</v>
      </c>
    </row>
    <row r="104" customFormat="false" ht="17.15" hidden="false" customHeight="false" outlineLevel="0" collapsed="false">
      <c r="A104" s="1" t="s">
        <v>1090</v>
      </c>
      <c r="B104" s="0" t="s">
        <v>98</v>
      </c>
      <c r="C104" s="6" t="n">
        <f aca="false">(w_ntm28*Val!G95+(1-w_ntm28)*Val!H95)*m_cloud</f>
        <v>1068.81917370447</v>
      </c>
    </row>
    <row r="105" customFormat="false" ht="17.15" hidden="false" customHeight="false" outlineLevel="0" collapsed="false">
      <c r="A105" s="1" t="s">
        <v>1091</v>
      </c>
      <c r="B105" s="0" t="s">
        <v>98</v>
      </c>
      <c r="C105" s="6" t="n">
        <f aca="false">(w_ntm28*Val!G88+(1-w_ntm28)*Val!H88)*m_sw</f>
        <v>1127.71024611553</v>
      </c>
    </row>
    <row r="106" customFormat="false" ht="17.15" hidden="false" customHeight="false" outlineLevel="0" collapsed="false">
      <c r="A106" s="1" t="s">
        <v>1092</v>
      </c>
      <c r="B106" s="0" t="s">
        <v>98</v>
      </c>
      <c r="C106" s="6" t="n">
        <f aca="false">(w_ntm28*Val!G89+(1-w_ntm28)*Val!H89)*m_sw</f>
        <v>379.927954212425</v>
      </c>
    </row>
    <row r="107" customFormat="false" ht="17.15" hidden="false" customHeight="false" outlineLevel="0" collapsed="false">
      <c r="A107" s="1" t="s">
        <v>1093</v>
      </c>
      <c r="B107" s="0" t="s">
        <v>98</v>
      </c>
      <c r="C107" s="6" t="n">
        <f aca="false">(w_ntm28*Val!G90+(1-w_ntm28)*Val!H90)*m_sw</f>
        <v>109.537681746057</v>
      </c>
    </row>
    <row r="108" customFormat="false" ht="17.15" hidden="false" customHeight="false" outlineLevel="0" collapsed="false">
      <c r="A108" s="1" t="s">
        <v>1094</v>
      </c>
      <c r="B108" s="0" t="s">
        <v>98</v>
      </c>
      <c r="C108" s="6" t="n">
        <f aca="false">(w_ntm28*Val!G91+(1-w_ntm28)*Val!H91)*m_sw</f>
        <v>41.7907416024197</v>
      </c>
    </row>
    <row r="109" customFormat="false" ht="17.15" hidden="false" customHeight="false" outlineLevel="0" collapsed="false">
      <c r="A109" s="1" t="s">
        <v>1095</v>
      </c>
      <c r="B109" s="0" t="s">
        <v>98</v>
      </c>
      <c r="C109" s="6" t="n">
        <f aca="false">(w_ntm28*Val!G92+(1-w_ntm28)*Val!H92)*m_ads</f>
        <v>115.467626729004</v>
      </c>
    </row>
    <row r="110" customFormat="false" ht="17.15" hidden="false" customHeight="false" outlineLevel="0" collapsed="false">
      <c r="A110" s="1" t="s">
        <v>1096</v>
      </c>
      <c r="B110" s="0" t="s">
        <v>98</v>
      </c>
      <c r="C110" s="6" t="n">
        <f aca="false">(w_ntm28*Val!G97+(1-w_ntm28)*Val!H97)*m_game</f>
        <v>98.0506984247457</v>
      </c>
    </row>
    <row r="111" customFormat="false" ht="17.15" hidden="false" customHeight="false" outlineLevel="0" collapsed="false">
      <c r="A111" s="1" t="s">
        <v>1097</v>
      </c>
      <c r="B111" s="0" t="s">
        <v>98</v>
      </c>
      <c r="C111" s="6" t="n">
        <f aca="false">(w_ntm28*Val!G98+(1-w_ntm28)*Val!H98)*m_pc</f>
        <v>97.2088080478016</v>
      </c>
    </row>
    <row r="112" customFormat="false" ht="17.15" hidden="false" customHeight="false" outlineLevel="0" collapsed="false">
      <c r="A112" s="1" t="s">
        <v>1098</v>
      </c>
      <c r="B112" s="0" t="s">
        <v>98</v>
      </c>
      <c r="C112" s="6" t="n">
        <f aca="false">Val!$C$102+Val!$C$104+Val!$C$105+Val!$C$106+Val!$C$107+Val!$C$108+Val!$C$109+Val!$C$110+Val!$C$111</f>
        <v>3463.82327232088</v>
      </c>
    </row>
    <row r="113" customFormat="false" ht="17.15" hidden="false" customHeight="false" outlineLevel="0" collapsed="false">
      <c r="A113" s="1" t="s">
        <v>1099</v>
      </c>
      <c r="B113" s="0" t="s">
        <v>98</v>
      </c>
      <c r="C113" s="6" t="n">
        <f aca="false">(Val!G74-Val!G99)*t_stub</f>
        <v>47.9592964551235</v>
      </c>
      <c r="L113" s="1" t="s">
        <v>1100</v>
      </c>
    </row>
    <row r="114" customFormat="false" ht="17.15" hidden="false" customHeight="false" outlineLevel="0" collapsed="false">
      <c r="A114" s="1" t="s">
        <v>1014</v>
      </c>
      <c r="B114" s="0" t="s">
        <v>98</v>
      </c>
      <c r="C114" s="6" t="n">
        <f aca="false">CF!F38+oai_v-CF!F27+Val!$C$113</f>
        <v>163.066005497665</v>
      </c>
      <c r="L114" s="1" t="s">
        <v>1101</v>
      </c>
    </row>
    <row r="115" customFormat="false" ht="17.15" hidden="false" customHeight="false" outlineLevel="0" collapsed="false">
      <c r="A115" s="1" t="s">
        <v>1102</v>
      </c>
      <c r="B115" s="0" t="s">
        <v>75</v>
      </c>
      <c r="C115" s="5" t="n">
        <f aca="false">(Val!$C$112+Val!$C$114)/(CF!F40+dil_gap)-CF!G30*roll_div_q/q_per_yr</f>
        <v>482.803786795431</v>
      </c>
      <c r="L115" s="1" t="s">
        <v>1103</v>
      </c>
    </row>
    <row r="116" customFormat="false" ht="17.15" hidden="false" customHeight="false" outlineLevel="0" collapsed="false">
      <c r="A116" s="1" t="s">
        <v>1104</v>
      </c>
      <c r="B116" s="0" t="s">
        <v>75</v>
      </c>
      <c r="C116" s="5" t="n">
        <f aca="false">w_dcf*Val!$C$86+(1-w_dcf)*Val!$C$115</f>
        <v>425.214646302975</v>
      </c>
    </row>
    <row r="117" customFormat="false" ht="17.15" hidden="false" customHeight="false" outlineLevel="0" collapsed="false">
      <c r="A117" s="3" t="s">
        <v>1105</v>
      </c>
    </row>
    <row r="118" customFormat="false" ht="15" hidden="false" customHeight="false" outlineLevel="0" collapsed="false">
      <c r="A118" s="4" t="s">
        <v>43</v>
      </c>
      <c r="B118" s="4" t="s">
        <v>65</v>
      </c>
      <c r="C118" s="20" t="s">
        <v>799</v>
      </c>
      <c r="D118" s="20" t="s">
        <v>800</v>
      </c>
      <c r="E118" s="20" t="s">
        <v>801</v>
      </c>
      <c r="F118" s="20" t="s">
        <v>802</v>
      </c>
      <c r="G118" s="20" t="s">
        <v>803</v>
      </c>
      <c r="H118" s="20" t="s">
        <v>804</v>
      </c>
      <c r="I118" s="20" t="s">
        <v>805</v>
      </c>
      <c r="J118" s="20" t="s">
        <v>806</v>
      </c>
      <c r="K118" s="20" t="s">
        <v>807</v>
      </c>
      <c r="L118" s="4" t="s">
        <v>47</v>
      </c>
    </row>
    <row r="119" customFormat="false" ht="15" hidden="false" customHeight="false" outlineLevel="0" collapsed="false">
      <c r="A119" s="1" t="s">
        <v>1057</v>
      </c>
      <c r="B119" s="1" t="s">
        <v>235</v>
      </c>
      <c r="F119" s="36" t="n">
        <f aca="false">Thesis!F55-base_fy-mid_yr</f>
        <v>0.5</v>
      </c>
      <c r="G119" s="36" t="n">
        <f aca="false">Thesis!G55-base_fy-mid_yr</f>
        <v>1.5</v>
      </c>
      <c r="H119" s="36" t="n">
        <f aca="false">Thesis!H55-base_fy-mid_yr</f>
        <v>2.5</v>
      </c>
      <c r="I119" s="36" t="n">
        <f aca="false">Thesis!I55-base_fy-mid_yr</f>
        <v>3.5</v>
      </c>
      <c r="J119" s="36" t="n">
        <f aca="false">Thesis!J55-base_fy-mid_yr</f>
        <v>4.5</v>
      </c>
      <c r="K119" s="36" t="n">
        <f aca="false">Thesis!K55-base_fy-mid_yr</f>
        <v>5.5</v>
      </c>
    </row>
    <row r="120" customFormat="false" ht="15" hidden="false" customHeight="false" outlineLevel="0" collapsed="false">
      <c r="A120" s="1" t="s">
        <v>1058</v>
      </c>
      <c r="B120" s="0" t="s">
        <v>185</v>
      </c>
      <c r="F120" s="14" t="n">
        <f aca="false">1/(1+wacc)^Val!F119</f>
        <v>0.952193373608246</v>
      </c>
      <c r="G120" s="14" t="n">
        <f aca="false">1/(1+wacc)^Val!G119</f>
        <v>0.863327280626589</v>
      </c>
      <c r="H120" s="14" t="n">
        <f aca="false">1/(1+wacc)^Val!H119</f>
        <v>0.782754862754115</v>
      </c>
      <c r="I120" s="14" t="n">
        <f aca="false">1/(1+wacc)^Val!I119</f>
        <v>0.709702089711011</v>
      </c>
      <c r="J120" s="14" t="n">
        <f aca="false">1/(1+wacc)^Val!J119</f>
        <v>0.643467169744551</v>
      </c>
      <c r="K120" s="14" t="n">
        <f aca="false">1/(1+wacc)^Val!K119</f>
        <v>0.583413807767797</v>
      </c>
    </row>
    <row r="121" customFormat="false" ht="17.15" hidden="false" customHeight="false" outlineLevel="0" collapsed="false">
      <c r="A121" s="1" t="s">
        <v>1059</v>
      </c>
      <c r="B121" s="0" t="s">
        <v>98</v>
      </c>
      <c r="F121" s="6" t="n">
        <f aca="false">CF!F53-CF!F51-CF!F57+Thesis!F93*(1-tax_f)</f>
        <v>-2.12916264917943</v>
      </c>
      <c r="G121" s="6" t="n">
        <f aca="false">CF!G53-CF!G51-CF!G57+Thesis!G93*(1-tax_f)</f>
        <v>37.4539072201241</v>
      </c>
      <c r="H121" s="6" t="n">
        <f aca="false">CF!H53-CF!H51-CF!H57+Thesis!H93*(1-tax_f)</f>
        <v>85.8888636072133</v>
      </c>
      <c r="I121" s="6" t="n">
        <f aca="false">CF!I53-CF!I51-CF!I57+Thesis!I93*(1-tax_f)</f>
        <v>159.098024951333</v>
      </c>
      <c r="J121" s="6" t="n">
        <f aca="false">CF!J53-CF!J51-CF!J57+Thesis!J93*(1-tax_f)</f>
        <v>233.876759261847</v>
      </c>
      <c r="K121" s="6" t="n">
        <f aca="false">CF!K53-CF!K51-CF!K57+Thesis!K93*(1-tax_f)</f>
        <v>268.447783789649</v>
      </c>
      <c r="L121" s="1" t="s">
        <v>1060</v>
      </c>
    </row>
    <row r="122" customFormat="false" ht="15" hidden="false" customHeight="false" outlineLevel="0" collapsed="false">
      <c r="A122" s="1" t="s">
        <v>1061</v>
      </c>
      <c r="B122" s="0" t="s">
        <v>98</v>
      </c>
      <c r="F122" s="6" t="n">
        <f aca="false">Val!F121*Val!F120</f>
        <v>-2.02737456588283</v>
      </c>
      <c r="G122" s="6" t="n">
        <f aca="false">Val!G121*Val!G120</f>
        <v>32.3349798691903</v>
      </c>
      <c r="H122" s="6" t="n">
        <f aca="false">Val!H121*Val!H120</f>
        <v>67.2299256449712</v>
      </c>
      <c r="I122" s="6" t="n">
        <f aca="false">Val!I121*Val!I120</f>
        <v>112.912200776856</v>
      </c>
      <c r="J122" s="6" t="n">
        <f aca="false">Val!J121*Val!J120</f>
        <v>150.492016351249</v>
      </c>
      <c r="K122" s="6" t="n">
        <f aca="false">Val!K121*Val!K120</f>
        <v>156.616143727545</v>
      </c>
    </row>
    <row r="123" customFormat="false" ht="17.15" hidden="false" customHeight="false" outlineLevel="0" collapsed="false">
      <c r="A123" s="1" t="s">
        <v>1062</v>
      </c>
      <c r="B123" s="0" t="s">
        <v>98</v>
      </c>
      <c r="C123" s="6" t="n">
        <f aca="false">SUM(Val!F122:K122)</f>
        <v>517.557891803928</v>
      </c>
    </row>
    <row r="124" customFormat="false" ht="17.15" hidden="false" customHeight="false" outlineLevel="0" collapsed="false">
      <c r="A124" s="1" t="s">
        <v>1063</v>
      </c>
      <c r="B124" s="0" t="s">
        <v>98</v>
      </c>
      <c r="C124" s="6" t="n">
        <f aca="false">PL!K78*(1+g_tv)*(1-tax_f)</f>
        <v>284.685941703094</v>
      </c>
    </row>
    <row r="125" customFormat="false" ht="17.15" hidden="false" customHeight="false" outlineLevel="0" collapsed="false">
      <c r="A125" s="1" t="s">
        <v>1064</v>
      </c>
      <c r="B125" s="0" t="s">
        <v>98</v>
      </c>
      <c r="C125" s="6" t="n">
        <f aca="false">Val!$C$124*(1-g_tv/(wacc+ronic_prem))</f>
        <v>201.714878735169</v>
      </c>
    </row>
    <row r="126" customFormat="false" ht="17.15" hidden="false" customHeight="false" outlineLevel="0" collapsed="false">
      <c r="A126" s="1" t="s">
        <v>1065</v>
      </c>
      <c r="B126" s="0" t="s">
        <v>98</v>
      </c>
      <c r="C126" s="6" t="n">
        <f aca="false">Val!$C$125/(wacc-g_tv)</f>
        <v>2765.70209893083</v>
      </c>
    </row>
    <row r="127" customFormat="false" ht="15" hidden="false" customHeight="false" outlineLevel="0" collapsed="false">
      <c r="A127" s="1" t="s">
        <v>1066</v>
      </c>
      <c r="B127" s="0" t="s">
        <v>98</v>
      </c>
      <c r="C127" s="6" t="n">
        <f aca="false">Val!$C$126/(1+wacc)^(Val!K119+mid_yr)</f>
        <v>1536.41046839169</v>
      </c>
    </row>
    <row r="128" customFormat="false" ht="17.15" hidden="false" customHeight="false" outlineLevel="0" collapsed="false">
      <c r="A128" s="0" t="s">
        <v>986</v>
      </c>
      <c r="B128" s="0" t="s">
        <v>98</v>
      </c>
      <c r="C128" s="6" t="n">
        <f aca="false">Val!$C$123+Val!$C$127</f>
        <v>2053.96836019562</v>
      </c>
    </row>
    <row r="129" customFormat="false" ht="15" hidden="false" customHeight="false" outlineLevel="0" collapsed="false">
      <c r="A129" s="1" t="s">
        <v>987</v>
      </c>
      <c r="B129" s="0" t="s">
        <v>129</v>
      </c>
      <c r="C129" s="7" t="n">
        <f aca="false">Val!$C$127/Val!$C$128</f>
        <v>0.748020513931073</v>
      </c>
    </row>
    <row r="130" customFormat="false" ht="17.15" hidden="false" customHeight="false" outlineLevel="0" collapsed="false">
      <c r="A130" s="1" t="s">
        <v>1067</v>
      </c>
      <c r="B130" s="0" t="s">
        <v>98</v>
      </c>
      <c r="C130" s="6" t="n">
        <f aca="false">Val!$C$128+CF!E69-CF!E58+oai_v</f>
        <v>2188.48136019562</v>
      </c>
    </row>
    <row r="131" customFormat="false" ht="17.15" hidden="false" customHeight="false" outlineLevel="0" collapsed="false">
      <c r="A131" s="0" t="s">
        <v>994</v>
      </c>
      <c r="B131" s="0" t="s">
        <v>75</v>
      </c>
      <c r="C131" s="5" t="n">
        <f aca="false">Val!$C$130/sh_dil26</f>
        <v>293.637643928032</v>
      </c>
    </row>
    <row r="132" customFormat="false" ht="15" hidden="false" customHeight="false" outlineLevel="0" collapsed="false">
      <c r="A132" s="1" t="s">
        <v>1068</v>
      </c>
      <c r="B132" s="0" t="s">
        <v>75</v>
      </c>
      <c r="C132" s="8" t="n">
        <f aca="false">dps_27+CF!G61*roll_div_q/q_per_yr</f>
        <v>4.8895</v>
      </c>
    </row>
    <row r="133" customFormat="false" ht="17.15" hidden="false" customHeight="false" outlineLevel="0" collapsed="false">
      <c r="A133" s="0" t="s">
        <v>1069</v>
      </c>
      <c r="B133" s="0" t="s">
        <v>75</v>
      </c>
      <c r="C133" s="5" t="n">
        <f aca="false">Val!$C$131*(1+wacc)^t_roll-Val!$C$132</f>
        <v>329.485489562521</v>
      </c>
    </row>
    <row r="134" customFormat="false" ht="17.15" hidden="false" customHeight="false" outlineLevel="0" collapsed="false">
      <c r="A134" s="1" t="s">
        <v>1070</v>
      </c>
      <c r="B134" s="0" t="s">
        <v>129</v>
      </c>
      <c r="F134" s="7" t="n">
        <f aca="false">CF!F48/(Seg!F56-Thesis!F72)</f>
        <v>0.0708376243512414</v>
      </c>
      <c r="G134" s="7" t="n">
        <f aca="false">CF!G48/(Seg!G56-Thesis!G72)</f>
        <v>0.0675792567445289</v>
      </c>
      <c r="H134" s="7" t="n">
        <f aca="false">CF!H48/(Seg!H56-Thesis!H72)</f>
        <v>0.0657637992399081</v>
      </c>
      <c r="I134" s="7" t="n">
        <f aca="false">CF!I48/(Seg!I56-Thesis!I72)</f>
        <v>0.0652507860006261</v>
      </c>
      <c r="J134" s="7" t="n">
        <f aca="false">CF!J48/(Seg!J56-Thesis!J72)</f>
        <v>0.0657374094257698</v>
      </c>
      <c r="K134" s="7" t="n">
        <f aca="false">CF!K48/(Seg!K56-Thesis!K72)</f>
        <v>0.0668595832904836</v>
      </c>
    </row>
    <row r="135" customFormat="false" ht="17.15" hidden="false" customHeight="false" outlineLevel="0" collapsed="false">
      <c r="A135" s="0" t="s">
        <v>1071</v>
      </c>
      <c r="B135" s="0" t="s">
        <v>98</v>
      </c>
      <c r="F135" s="6" t="n">
        <f aca="false">Seg!F41*(al_m365+Val!F134+sbc_r)</f>
        <v>84.2019918892952</v>
      </c>
      <c r="G135" s="6" t="n">
        <f aca="false">Seg!G41*(al_m365+Val!G134+sbc_r)</f>
        <v>96.61090954529</v>
      </c>
      <c r="H135" s="6" t="n">
        <f aca="false">Seg!H41*(al_m365+Val!H134+sbc_r)</f>
        <v>109.18271398457</v>
      </c>
      <c r="I135" s="6" t="n">
        <f aca="false">Seg!I41*(al_m365+Val!I134+sbc_r)</f>
        <v>120.736322591613</v>
      </c>
      <c r="J135" s="6" t="n">
        <f aca="false">Seg!J41*(al_m365+Val!J134+sbc_r)</f>
        <v>131.084561154645</v>
      </c>
      <c r="K135" s="6" t="n">
        <f aca="false">Seg!K41*(al_m365+Val!K134+sbc_r)</f>
        <v>141.044207560217</v>
      </c>
      <c r="L135" s="11" t="s">
        <v>1072</v>
      </c>
    </row>
    <row r="136" customFormat="false" ht="17.15" hidden="false" customHeight="false" outlineLevel="0" collapsed="false">
      <c r="A136" s="0" t="s">
        <v>1073</v>
      </c>
      <c r="B136" s="0" t="s">
        <v>98</v>
      </c>
      <c r="F136" s="6" t="n">
        <f aca="false">Seg!F42*(al_lic+Val!F134+sbc_r)</f>
        <v>33.5324516680982</v>
      </c>
      <c r="G136" s="6" t="n">
        <f aca="false">Seg!G42*(al_lic+Val!G134+sbc_r)</f>
        <v>34.819657317048</v>
      </c>
      <c r="H136" s="6" t="n">
        <f aca="false">Seg!H42*(al_lic+Val!H134+sbc_r)</f>
        <v>36.0229106304815</v>
      </c>
      <c r="I136" s="6" t="n">
        <f aca="false">Seg!I42*(al_lic+Val!I134+sbc_r)</f>
        <v>37.1234854794919</v>
      </c>
      <c r="J136" s="6" t="n">
        <f aca="false">Seg!J42*(al_lic+Val!J134+sbc_r)</f>
        <v>38.0950592345738</v>
      </c>
      <c r="K136" s="6" t="n">
        <f aca="false">Seg!K42*(al_lic+Val!K134+sbc_r)</f>
        <v>38.9080719459809</v>
      </c>
    </row>
    <row r="137" customFormat="false" ht="17.15" hidden="false" customHeight="false" outlineLevel="0" collapsed="false">
      <c r="A137" s="0" t="s">
        <v>1074</v>
      </c>
      <c r="B137" s="0" t="s">
        <v>98</v>
      </c>
      <c r="F137" s="6" t="n">
        <f aca="false">Seg!F44*(al_ind+Val!F134+sbc_r)</f>
        <v>9.12666918765551</v>
      </c>
      <c r="G137" s="6" t="n">
        <f aca="false">Seg!G44*(al_ind+Val!G134+sbc_r)</f>
        <v>9.89694850970116</v>
      </c>
      <c r="H137" s="6" t="n">
        <f aca="false">Seg!H44*(al_ind+Val!H134+sbc_r)</f>
        <v>10.7131335152527</v>
      </c>
      <c r="I137" s="6" t="n">
        <f aca="false">Seg!I44*(al_ind+Val!I134+sbc_r)</f>
        <v>11.5721730864119</v>
      </c>
      <c r="J137" s="6" t="n">
        <f aca="false">Seg!J44*(al_ind+Val!J134+sbc_r)</f>
        <v>12.4641697526801</v>
      </c>
      <c r="K137" s="6" t="n">
        <f aca="false">Seg!K44*(al_ind+Val!K134+sbc_r)</f>
        <v>13.3737871892836</v>
      </c>
    </row>
    <row r="138" customFormat="false" ht="17.15" hidden="false" customHeight="false" outlineLevel="0" collapsed="false">
      <c r="A138" s="0" t="s">
        <v>1075</v>
      </c>
      <c r="B138" s="0" t="s">
        <v>98</v>
      </c>
      <c r="F138" s="6" t="n">
        <f aca="false">Seg!F46*(al_fro+Val!F134+sbc_r)</f>
        <v>3.5922890341799</v>
      </c>
      <c r="G138" s="6" t="n">
        <f aca="false">Seg!G46*(al_fro+Val!G134+sbc_r)</f>
        <v>3.79984310356763</v>
      </c>
      <c r="H138" s="6" t="n">
        <f aca="false">Seg!H46*(al_fro+Val!H134+sbc_r)</f>
        <v>4.03707539290126</v>
      </c>
      <c r="I138" s="6" t="n">
        <f aca="false">Seg!I46*(al_fro+Val!I134+sbc_r)</f>
        <v>4.30669184104541</v>
      </c>
      <c r="J138" s="6" t="n">
        <f aca="false">Seg!J46*(al_fro+Val!J134+sbc_r)</f>
        <v>4.6097289716959</v>
      </c>
      <c r="K138" s="6" t="n">
        <f aca="false">Seg!K46*(al_fro+Val!K134+sbc_r)</f>
        <v>4.94614045628512</v>
      </c>
    </row>
    <row r="139" customFormat="false" ht="17.15" hidden="false" customHeight="false" outlineLevel="0" collapsed="false">
      <c r="A139" s="0" t="s">
        <v>1076</v>
      </c>
      <c r="B139" s="0" t="s">
        <v>98</v>
      </c>
      <c r="F139" s="6" t="n">
        <f aca="false">Seg!F49*(al_srch+Val!F134+sbc_r)</f>
        <v>11.2715683093452</v>
      </c>
      <c r="G139" s="6" t="n">
        <f aca="false">Seg!G49*(al_srch+Val!G134+sbc_r)</f>
        <v>12.338201972554</v>
      </c>
      <c r="H139" s="6" t="n">
        <f aca="false">Seg!H49*(al_srch+Val!H134+sbc_r)</f>
        <v>13.450727865064</v>
      </c>
      <c r="I139" s="6" t="n">
        <f aca="false">Seg!I49*(al_srch+Val!I134+sbc_r)</f>
        <v>14.598560682534</v>
      </c>
      <c r="J139" s="6" t="n">
        <f aca="false">Seg!J49*(al_srch+Val!J134+sbc_r)</f>
        <v>15.7615229152659</v>
      </c>
      <c r="K139" s="6" t="n">
        <f aca="false">Seg!K49*(al_srch+Val!K134+sbc_r)</f>
        <v>16.9117765106222</v>
      </c>
    </row>
    <row r="140" customFormat="false" ht="17.15" hidden="false" customHeight="false" outlineLevel="0" collapsed="false">
      <c r="A140" s="0" t="s">
        <v>1077</v>
      </c>
      <c r="B140" s="0" t="s">
        <v>98</v>
      </c>
      <c r="F140" s="6" t="n">
        <f aca="false">Thesis!F78-Thesis!F79+Thesis!F93</f>
        <v>42.2254306726393</v>
      </c>
      <c r="G140" s="6" t="n">
        <f aca="false">Thesis!G78-Thesis!G79+Thesis!G93</f>
        <v>79.7027537443441</v>
      </c>
      <c r="H140" s="6" t="n">
        <f aca="false">Thesis!H78-Thesis!H79+Thesis!H93</f>
        <v>120.060533679822</v>
      </c>
      <c r="I140" s="6" t="n">
        <f aca="false">Thesis!I78-Thesis!I79+Thesis!I93</f>
        <v>156.515256506302</v>
      </c>
      <c r="J140" s="6" t="n">
        <f aca="false">Thesis!J78-Thesis!J79+Thesis!J93</f>
        <v>182.51821819491</v>
      </c>
      <c r="K140" s="6" t="n">
        <f aca="false">Thesis!K78-Thesis!K79+Thesis!K93</f>
        <v>199.254533496123</v>
      </c>
    </row>
    <row r="141" customFormat="false" ht="17.15" hidden="false" customHeight="false" outlineLevel="0" collapsed="false">
      <c r="A141" s="0" t="s">
        <v>1078</v>
      </c>
      <c r="B141" s="0" t="s">
        <v>98</v>
      </c>
      <c r="F141" s="6" t="n">
        <f aca="false">PL!F71+Thesis!F93+Thesis!F89+Val!F134*(Seg!F48-Thesis!F72)+sbc_r*Seg!F48</f>
        <v>233.08249657256</v>
      </c>
      <c r="G141" s="6" t="n">
        <f aca="false">PL!G71+Thesis!G93+Thesis!G89+Val!G134*(Seg!G48-Thesis!G72)+sbc_r*Seg!G48</f>
        <v>297.663189032606</v>
      </c>
      <c r="H141" s="6" t="n">
        <f aca="false">PL!H71+Thesis!H93+Thesis!H89+Val!H134*(Seg!H48-Thesis!H72)+sbc_r*Seg!H48</f>
        <v>365.628165851855</v>
      </c>
      <c r="I141" s="6" t="n">
        <f aca="false">PL!I71+Thesis!I93+Thesis!I89+Val!I134*(Seg!I48-Thesis!I72)+sbc_r*Seg!I48</f>
        <v>428.31888397841</v>
      </c>
      <c r="J141" s="6" t="n">
        <f aca="false">PL!J71+Thesis!J93+Thesis!J89+Val!J134*(Seg!J48-Thesis!J72)+sbc_r*Seg!J48</f>
        <v>478.127348640143</v>
      </c>
      <c r="K141" s="6" t="n">
        <f aca="false">PL!K71+Thesis!K93+Thesis!K89+Val!K134*(Seg!K48-Thesis!K72)+sbc_r*Seg!K48</f>
        <v>516.321726855748</v>
      </c>
    </row>
    <row r="142" customFormat="false" ht="17.15" hidden="false" customHeight="false" outlineLevel="0" collapsed="false">
      <c r="A142" s="0" t="s">
        <v>1079</v>
      </c>
      <c r="B142" s="0" t="s">
        <v>98</v>
      </c>
      <c r="F142" s="6" t="n">
        <f aca="false">Val!F141-Val!F135-Val!F136-Val!F137-Val!F138-Val!F140</f>
        <v>60.4036641206917</v>
      </c>
      <c r="G142" s="6" t="n">
        <f aca="false">Val!G141-Val!G135-Val!G136-Val!G137-Val!G138-Val!G140</f>
        <v>72.8330768126549</v>
      </c>
      <c r="H142" s="6" t="n">
        <f aca="false">Val!H141-Val!H135-Val!H136-Val!H137-Val!H138-Val!H140</f>
        <v>85.6117986488275</v>
      </c>
      <c r="I142" s="6" t="n">
        <f aca="false">Val!I141-Val!I135-Val!I136-Val!I137-Val!I138-Val!I140</f>
        <v>98.0649544735462</v>
      </c>
      <c r="J142" s="6" t="n">
        <f aca="false">Val!J141-Val!J135-Val!J136-Val!J137-Val!J138-Val!J140</f>
        <v>109.355611331638</v>
      </c>
      <c r="K142" s="6" t="n">
        <f aca="false">Val!K141-Val!K135-Val!K136-Val!K137-Val!K138-Val!K140</f>
        <v>118.794986207857</v>
      </c>
    </row>
    <row r="143" customFormat="false" ht="17.15" hidden="false" customHeight="false" outlineLevel="0" collapsed="false">
      <c r="A143" s="0" t="s">
        <v>1080</v>
      </c>
      <c r="B143" s="0" t="s">
        <v>98</v>
      </c>
      <c r="F143" s="6" t="n">
        <f aca="false">PL!F73+Val!F134*Seg!F55+sbc_r*Seg!F55</f>
        <v>26.345087006484</v>
      </c>
      <c r="G143" s="6" t="n">
        <f aca="false">PL!G73+Val!G134*Seg!G55+sbc_r*Seg!G55</f>
        <v>26.928666241387</v>
      </c>
      <c r="H143" s="6" t="n">
        <f aca="false">PL!H73+Val!H134*Seg!H55+sbc_r*Seg!H55</f>
        <v>27.7857977299272</v>
      </c>
      <c r="I143" s="6" t="n">
        <f aca="false">PL!I73+Val!I134*Seg!I55+sbc_r*Seg!I55</f>
        <v>28.8854111921819</v>
      </c>
      <c r="J143" s="6" t="n">
        <f aca="false">PL!J73+Val!J134*Seg!J55+sbc_r*Seg!J55</f>
        <v>30.1909525075627</v>
      </c>
      <c r="K143" s="6" t="n">
        <f aca="false">PL!K73+Val!K134*Seg!K55+sbc_r*Seg!K55</f>
        <v>31.6641663414168</v>
      </c>
    </row>
    <row r="144" customFormat="false" ht="17.15" hidden="false" customHeight="false" outlineLevel="0" collapsed="false">
      <c r="A144" s="0" t="s">
        <v>1081</v>
      </c>
      <c r="B144" s="0" t="s">
        <v>98</v>
      </c>
      <c r="F144" s="6" t="n">
        <f aca="false">(Val!F143-Val!F139)*Seg!F51/(Seg!F51+Seg!F53)</f>
        <v>8.26315613582677</v>
      </c>
      <c r="G144" s="6" t="n">
        <f aca="false">(Val!G143-Val!G139)*Seg!G51/(Seg!G51+Seg!G53)</f>
        <v>7.85574031810689</v>
      </c>
      <c r="H144" s="6" t="n">
        <f aca="false">(Val!H143-Val!H139)*Seg!H51/(Seg!H51+Seg!H53)</f>
        <v>7.61397145487838</v>
      </c>
      <c r="I144" s="6" t="n">
        <f aca="false">(Val!I143-Val!I139)*Seg!I51/(Seg!I51+Seg!I53)</f>
        <v>7.51970050510933</v>
      </c>
      <c r="J144" s="6" t="n">
        <f aca="false">(Val!J143-Val!J139)*Seg!J51/(Seg!J51+Seg!J53)</f>
        <v>7.56040201890202</v>
      </c>
      <c r="K144" s="6" t="n">
        <f aca="false">(Val!K143-Val!K139)*Seg!K51/(Seg!K51+Seg!K53)</f>
        <v>7.72961932742727</v>
      </c>
    </row>
    <row r="145" customFormat="false" ht="17.15" hidden="false" customHeight="false" outlineLevel="0" collapsed="false">
      <c r="A145" s="0" t="s">
        <v>1082</v>
      </c>
      <c r="B145" s="0" t="s">
        <v>98</v>
      </c>
      <c r="F145" s="6" t="n">
        <f aca="false">Val!F143-Val!F139-Val!F144</f>
        <v>6.81036256131213</v>
      </c>
      <c r="G145" s="6" t="n">
        <f aca="false">Val!G143-Val!G139-Val!G144</f>
        <v>6.73472395072608</v>
      </c>
      <c r="H145" s="6" t="n">
        <f aca="false">Val!H143-Val!H139-Val!H144</f>
        <v>6.72109840998485</v>
      </c>
      <c r="I145" s="6" t="n">
        <f aca="false">Val!I143-Val!I139-Val!I144</f>
        <v>6.76715000453853</v>
      </c>
      <c r="J145" s="6" t="n">
        <f aca="false">Val!J143-Val!J139-Val!J144</f>
        <v>6.86902757339483</v>
      </c>
      <c r="K145" s="6" t="n">
        <f aca="false">Val!K143-Val!K139-Val!K144</f>
        <v>7.02277050336727</v>
      </c>
    </row>
    <row r="146" customFormat="false" ht="17.15" hidden="false" customHeight="false" outlineLevel="0" collapsed="false">
      <c r="A146" s="0" t="s">
        <v>1083</v>
      </c>
      <c r="B146" s="0" t="s">
        <v>98</v>
      </c>
      <c r="F146" s="6" t="n">
        <f aca="false">Val!F140-tax_f*(Val!F140-Thesis!F89)-Thesis!F86</f>
        <v>-119.742553857164</v>
      </c>
      <c r="G146" s="6" t="n">
        <f aca="false">Val!G140-tax_f*(Val!G140-Thesis!G89)-Thesis!G86</f>
        <v>-107.986890065622</v>
      </c>
      <c r="H146" s="6" t="n">
        <f aca="false">Val!H140-tax_f*(Val!H140-Thesis!H89)-Thesis!H86</f>
        <v>-74.7596549978803</v>
      </c>
      <c r="I146" s="6" t="n">
        <f aca="false">Val!I140-tax_f*(Val!I140-Thesis!I89)-Thesis!I86</f>
        <v>-16.3733151827256</v>
      </c>
      <c r="J146" s="6" t="n">
        <f aca="false">Val!J140-tax_f*(Val!J140-Thesis!J89)-Thesis!J86</f>
        <v>44.4328025322546</v>
      </c>
      <c r="K146" s="6" t="n">
        <f aca="false">Val!K140-tax_f*(Val!K140-Thesis!K89)-Thesis!K86</f>
        <v>65.8225043021697</v>
      </c>
    </row>
    <row r="147" customFormat="false" ht="17.15" hidden="false" customHeight="false" outlineLevel="0" collapsed="false">
      <c r="A147" s="0" t="s">
        <v>1084</v>
      </c>
      <c r="B147" s="0" t="s">
        <v>98</v>
      </c>
      <c r="G147" s="6" t="n">
        <f aca="false">Val!G146/(1+wacc)^(Val!G119-(Val!F119+mid_yr))</f>
        <v>-102.824401157048</v>
      </c>
      <c r="H147" s="6" t="n">
        <f aca="false">Val!H146/(1+wacc)^(Val!H119-(Val!F119+mid_yr))</f>
        <v>-64.5420496499019</v>
      </c>
      <c r="I147" s="6" t="n">
        <f aca="false">Val!I146/(1+wacc)^(Val!I119-(Val!F119+mid_yr))</f>
        <v>-12.8162920786843</v>
      </c>
      <c r="J147" s="6" t="n">
        <f aca="false">Val!J146/(1+wacc)^(Val!J119-(Val!F119+mid_yr))</f>
        <v>31.5340528088578</v>
      </c>
      <c r="K147" s="6" t="n">
        <f aca="false">Val!K146/(1+wacc)^(Val!K119-(Val!F119+mid_yr))</f>
        <v>42.3546205488157</v>
      </c>
      <c r="L147" s="1" t="s">
        <v>1085</v>
      </c>
    </row>
    <row r="148" customFormat="false" ht="17.15" hidden="false" customHeight="false" outlineLevel="0" collapsed="false">
      <c r="A148" s="0" t="s">
        <v>1086</v>
      </c>
      <c r="B148" s="0" t="s">
        <v>98</v>
      </c>
      <c r="C148" s="6" t="n">
        <f aca="false">(Val!K140-Thesis!K89)*(1-tax_f)*(1+g_tv)*(1-g_tv/(wacc+ronic_prem))/(wacc-g_tv)/(1+wacc)^(Val!K119+mid_yr-(Val!F119+mid_yr))</f>
        <v>294.889481980532</v>
      </c>
    </row>
    <row r="149" customFormat="false" ht="17.15" hidden="false" customHeight="false" outlineLevel="0" collapsed="false">
      <c r="A149" s="1" t="s">
        <v>1087</v>
      </c>
      <c r="B149" s="0" t="s">
        <v>98</v>
      </c>
      <c r="C149" s="6" t="n">
        <f aca="false">(SUM(Val!G147:K147)+Val!$C$148)*(1+wacc)^(t_roll-(Val!F119+mid_yr))</f>
        <v>194.716829358755</v>
      </c>
      <c r="L149" s="11" t="s">
        <v>1088</v>
      </c>
    </row>
    <row r="150" customFormat="false" ht="17.15" hidden="false" customHeight="false" outlineLevel="0" collapsed="false">
      <c r="A150" s="1" t="s">
        <v>1089</v>
      </c>
      <c r="B150" s="0" t="s">
        <v>98</v>
      </c>
      <c r="C150" s="6" t="n">
        <f aca="false">(w_ntm28*Thesis!G78+(1-w_ntm28)*Thesis!H78)*m_ai</f>
        <v>454.922440830797</v>
      </c>
    </row>
    <row r="151" customFormat="false" ht="17.15" hidden="false" customHeight="false" outlineLevel="0" collapsed="false">
      <c r="A151" s="1" t="s">
        <v>1090</v>
      </c>
      <c r="B151" s="0" t="s">
        <v>98</v>
      </c>
      <c r="C151" s="6" t="n">
        <f aca="false">(w_ntm28*Val!G142+(1-w_ntm28)*Val!H142)*m_cloud</f>
        <v>1063.6463501031</v>
      </c>
    </row>
    <row r="152" customFormat="false" ht="17.15" hidden="false" customHeight="false" outlineLevel="0" collapsed="false">
      <c r="A152" s="1" t="s">
        <v>1091</v>
      </c>
      <c r="B152" s="0" t="s">
        <v>98</v>
      </c>
      <c r="C152" s="6" t="n">
        <f aca="false">(w_ntm28*Val!G135+(1-w_ntm28)*Val!H135)*m_sw</f>
        <v>1087.29236439713</v>
      </c>
    </row>
    <row r="153" customFormat="false" ht="17.15" hidden="false" customHeight="false" outlineLevel="0" collapsed="false">
      <c r="A153" s="1" t="s">
        <v>1092</v>
      </c>
      <c r="B153" s="0" t="s">
        <v>98</v>
      </c>
      <c r="C153" s="6" t="n">
        <f aca="false">(w_ntm28*Val!G136+(1-w_ntm28)*Val!H136)*m_sw</f>
        <v>380.253466209432</v>
      </c>
    </row>
    <row r="154" customFormat="false" ht="17.15" hidden="false" customHeight="false" outlineLevel="0" collapsed="false">
      <c r="A154" s="1" t="s">
        <v>1093</v>
      </c>
      <c r="B154" s="0" t="s">
        <v>98</v>
      </c>
      <c r="C154" s="6" t="n">
        <f aca="false">(w_ntm28*Val!G137+(1-w_ntm28)*Val!H137)*m_sw</f>
        <v>109.736759441964</v>
      </c>
    </row>
    <row r="155" customFormat="false" ht="17.15" hidden="false" customHeight="false" outlineLevel="0" collapsed="false">
      <c r="A155" s="1" t="s">
        <v>1094</v>
      </c>
      <c r="B155" s="0" t="s">
        <v>98</v>
      </c>
      <c r="C155" s="6" t="n">
        <f aca="false">(w_ntm28*Val!G138+(1-w_ntm28)*Val!H138)*m_sw</f>
        <v>41.8666036816175</v>
      </c>
    </row>
    <row r="156" customFormat="false" ht="17.15" hidden="false" customHeight="false" outlineLevel="0" collapsed="false">
      <c r="A156" s="1" t="s">
        <v>1095</v>
      </c>
      <c r="B156" s="0" t="s">
        <v>98</v>
      </c>
      <c r="C156" s="6" t="n">
        <f aca="false">(w_ntm28*Val!G139+(1-w_ntm28)*Val!H139)*m_ads</f>
        <v>115.677576364297</v>
      </c>
    </row>
    <row r="157" customFormat="false" ht="17.15" hidden="false" customHeight="false" outlineLevel="0" collapsed="false">
      <c r="A157" s="1" t="s">
        <v>1096</v>
      </c>
      <c r="B157" s="0" t="s">
        <v>98</v>
      </c>
      <c r="C157" s="6" t="n">
        <f aca="false">(w_ntm28*Val!G144+(1-w_ntm28)*Val!H144)*m_game</f>
        <v>98.230828142008</v>
      </c>
    </row>
    <row r="158" customFormat="false" ht="17.15" hidden="false" customHeight="false" outlineLevel="0" collapsed="false">
      <c r="A158" s="1" t="s">
        <v>1097</v>
      </c>
      <c r="B158" s="0" t="s">
        <v>98</v>
      </c>
      <c r="C158" s="6" t="n">
        <f aca="false">(w_ntm28*Val!G145+(1-w_ntm28)*Val!H145)*m_pc</f>
        <v>97.3877156607214</v>
      </c>
    </row>
    <row r="159" customFormat="false" ht="17.15" hidden="false" customHeight="false" outlineLevel="0" collapsed="false">
      <c r="A159" s="1" t="s">
        <v>1098</v>
      </c>
      <c r="B159" s="0" t="s">
        <v>98</v>
      </c>
      <c r="C159" s="6" t="n">
        <f aca="false">Val!$C$149+Val!$C$151+Val!$C$152+Val!$C$153+Val!$C$154+Val!$C$155+Val!$C$156+Val!$C$157+Val!$C$158</f>
        <v>3188.80849335903</v>
      </c>
    </row>
    <row r="160" customFormat="false" ht="17.15" hidden="false" customHeight="false" outlineLevel="0" collapsed="false">
      <c r="A160" s="1" t="s">
        <v>1099</v>
      </c>
      <c r="B160" s="0" t="s">
        <v>98</v>
      </c>
      <c r="C160" s="6" t="n">
        <f aca="false">(Val!G121-Val!G146)*t_stub</f>
        <v>47.417684594531</v>
      </c>
      <c r="L160" s="1" t="s">
        <v>1100</v>
      </c>
    </row>
    <row r="161" customFormat="false" ht="17.15" hidden="false" customHeight="false" outlineLevel="0" collapsed="false">
      <c r="A161" s="1" t="s">
        <v>1014</v>
      </c>
      <c r="B161" s="0" t="s">
        <v>98</v>
      </c>
      <c r="C161" s="6" t="n">
        <f aca="false">CF!F69+oai_v-CF!F58+Val!$C$160</f>
        <v>158.699306060314</v>
      </c>
      <c r="L161" s="1" t="s">
        <v>1101</v>
      </c>
    </row>
    <row r="162" customFormat="false" ht="17.15" hidden="false" customHeight="false" outlineLevel="0" collapsed="false">
      <c r="A162" s="1" t="s">
        <v>1102</v>
      </c>
      <c r="B162" s="0" t="s">
        <v>75</v>
      </c>
      <c r="C162" s="5" t="n">
        <f aca="false">(Val!$C$159+Val!$C$161)/(CF!F71+dil_gap)-CF!G61*roll_div_q/q_per_yr</f>
        <v>445.533045280061</v>
      </c>
      <c r="L162" s="1" t="s">
        <v>1103</v>
      </c>
    </row>
    <row r="163" customFormat="false" ht="17.15" hidden="false" customHeight="false" outlineLevel="0" collapsed="false">
      <c r="A163" s="1" t="s">
        <v>1104</v>
      </c>
      <c r="B163" s="0" t="s">
        <v>75</v>
      </c>
      <c r="C163" s="5" t="n">
        <f aca="false">w_dcf*Val!$C$133+(1-w_dcf)*Val!$C$162</f>
        <v>387.509267421291</v>
      </c>
    </row>
    <row r="164" customFormat="false" ht="17.15" hidden="false" customHeight="false" outlineLevel="0" collapsed="false">
      <c r="A164" s="3" t="s">
        <v>1106</v>
      </c>
    </row>
    <row r="165" customFormat="false" ht="15" hidden="false" customHeight="false" outlineLevel="0" collapsed="false">
      <c r="A165" s="4" t="s">
        <v>43</v>
      </c>
      <c r="B165" s="4" t="s">
        <v>65</v>
      </c>
      <c r="C165" s="20" t="s">
        <v>799</v>
      </c>
      <c r="D165" s="20" t="s">
        <v>800</v>
      </c>
      <c r="E165" s="20" t="s">
        <v>801</v>
      </c>
      <c r="F165" s="20" t="s">
        <v>802</v>
      </c>
      <c r="G165" s="20" t="s">
        <v>803</v>
      </c>
      <c r="H165" s="20" t="s">
        <v>804</v>
      </c>
      <c r="I165" s="20" t="s">
        <v>805</v>
      </c>
      <c r="J165" s="20" t="s">
        <v>806</v>
      </c>
      <c r="K165" s="20" t="s">
        <v>807</v>
      </c>
      <c r="L165" s="4" t="s">
        <v>47</v>
      </c>
    </row>
    <row r="166" customFormat="false" ht="15" hidden="false" customHeight="false" outlineLevel="0" collapsed="false">
      <c r="A166" s="1" t="s">
        <v>1057</v>
      </c>
      <c r="B166" s="1" t="s">
        <v>235</v>
      </c>
      <c r="F166" s="36" t="n">
        <f aca="false">Thesis!F104-base_fy-mid_yr</f>
        <v>0.5</v>
      </c>
      <c r="G166" s="36" t="n">
        <f aca="false">Thesis!G104-base_fy-mid_yr</f>
        <v>1.5</v>
      </c>
      <c r="H166" s="36" t="n">
        <f aca="false">Thesis!H104-base_fy-mid_yr</f>
        <v>2.5</v>
      </c>
      <c r="I166" s="36" t="n">
        <f aca="false">Thesis!I104-base_fy-mid_yr</f>
        <v>3.5</v>
      </c>
      <c r="J166" s="36" t="n">
        <f aca="false">Thesis!J104-base_fy-mid_yr</f>
        <v>4.5</v>
      </c>
      <c r="K166" s="36" t="n">
        <f aca="false">Thesis!K104-base_fy-mid_yr</f>
        <v>5.5</v>
      </c>
    </row>
    <row r="167" customFormat="false" ht="15" hidden="false" customHeight="false" outlineLevel="0" collapsed="false">
      <c r="A167" s="1" t="s">
        <v>1058</v>
      </c>
      <c r="B167" s="0" t="s">
        <v>185</v>
      </c>
      <c r="F167" s="14" t="n">
        <f aca="false">1/(1+wacc)^Val!F166</f>
        <v>0.952193373608246</v>
      </c>
      <c r="G167" s="14" t="n">
        <f aca="false">1/(1+wacc)^Val!G166</f>
        <v>0.863327280626589</v>
      </c>
      <c r="H167" s="14" t="n">
        <f aca="false">1/(1+wacc)^Val!H166</f>
        <v>0.782754862754115</v>
      </c>
      <c r="I167" s="14" t="n">
        <f aca="false">1/(1+wacc)^Val!I166</f>
        <v>0.709702089711011</v>
      </c>
      <c r="J167" s="14" t="n">
        <f aca="false">1/(1+wacc)^Val!J166</f>
        <v>0.643467169744551</v>
      </c>
      <c r="K167" s="14" t="n">
        <f aca="false">1/(1+wacc)^Val!K166</f>
        <v>0.583413807767797</v>
      </c>
    </row>
    <row r="168" customFormat="false" ht="17.15" hidden="false" customHeight="false" outlineLevel="0" collapsed="false">
      <c r="A168" s="1" t="s">
        <v>1059</v>
      </c>
      <c r="B168" s="0" t="s">
        <v>98</v>
      </c>
      <c r="F168" s="6" t="n">
        <f aca="false">CF!F84-CF!F82-CF!F88+Thesis!F142*(1-tax_f)</f>
        <v>-5.66283879850096</v>
      </c>
      <c r="G168" s="6" t="n">
        <f aca="false">CF!G84-CF!G82-CF!G88+Thesis!G142*(1-tax_f)</f>
        <v>26.4063013109088</v>
      </c>
      <c r="H168" s="6" t="n">
        <f aca="false">CF!H84-CF!H82-CF!H88+Thesis!H142*(1-tax_f)</f>
        <v>62.5616635009479</v>
      </c>
      <c r="I168" s="6" t="n">
        <f aca="false">CF!I84-CF!I82-CF!I88+Thesis!I142*(1-tax_f)</f>
        <v>129.900993846266</v>
      </c>
      <c r="J168" s="6" t="n">
        <f aca="false">CF!J84-CF!J82-CF!J88+Thesis!J142*(1-tax_f)</f>
        <v>200.497803796175</v>
      </c>
      <c r="K168" s="6" t="n">
        <f aca="false">CF!K84-CF!K82-CF!K88+Thesis!K142*(1-tax_f)</f>
        <v>232.344395761849</v>
      </c>
      <c r="L168" s="1" t="s">
        <v>1060</v>
      </c>
    </row>
    <row r="169" customFormat="false" ht="15" hidden="false" customHeight="false" outlineLevel="0" collapsed="false">
      <c r="A169" s="1" t="s">
        <v>1061</v>
      </c>
      <c r="B169" s="0" t="s">
        <v>98</v>
      </c>
      <c r="F169" s="6" t="n">
        <f aca="false">Val!F168*Val!F167</f>
        <v>-5.3921175797443</v>
      </c>
      <c r="G169" s="6" t="n">
        <f aca="false">Val!G168*Val!G167</f>
        <v>22.7972803021532</v>
      </c>
      <c r="H169" s="6" t="n">
        <f aca="false">Val!H168*Val!H167</f>
        <v>48.9704463273536</v>
      </c>
      <c r="I169" s="6" t="n">
        <f aca="false">Val!I168*Val!I167</f>
        <v>92.1910067882323</v>
      </c>
      <c r="J169" s="6" t="n">
        <f aca="false">Val!J168*Val!J167</f>
        <v>129.013754348723</v>
      </c>
      <c r="K169" s="6" t="n">
        <f aca="false">Val!K168*Val!K167</f>
        <v>135.552928644928</v>
      </c>
    </row>
    <row r="170" customFormat="false" ht="17.15" hidden="false" customHeight="false" outlineLevel="0" collapsed="false">
      <c r="A170" s="1" t="s">
        <v>1062</v>
      </c>
      <c r="B170" s="0" t="s">
        <v>98</v>
      </c>
      <c r="C170" s="6" t="n">
        <f aca="false">SUM(Val!F169:K169)</f>
        <v>423.133298831646</v>
      </c>
    </row>
    <row r="171" customFormat="false" ht="17.15" hidden="false" customHeight="false" outlineLevel="0" collapsed="false">
      <c r="A171" s="1" t="s">
        <v>1063</v>
      </c>
      <c r="B171" s="0" t="s">
        <v>98</v>
      </c>
      <c r="C171" s="6" t="n">
        <f aca="false">PL!K117*(1+g_tv)*(1-tax_f)</f>
        <v>246.58988426946</v>
      </c>
    </row>
    <row r="172" customFormat="false" ht="17.15" hidden="false" customHeight="false" outlineLevel="0" collapsed="false">
      <c r="A172" s="1" t="s">
        <v>1064</v>
      </c>
      <c r="B172" s="0" t="s">
        <v>98</v>
      </c>
      <c r="C172" s="6" t="n">
        <f aca="false">Val!$C$171*(1-g_tv/(wacc+ronic_prem))</f>
        <v>174.721829624483</v>
      </c>
    </row>
    <row r="173" customFormat="false" ht="17.15" hidden="false" customHeight="false" outlineLevel="0" collapsed="false">
      <c r="A173" s="1" t="s">
        <v>1065</v>
      </c>
      <c r="B173" s="0" t="s">
        <v>98</v>
      </c>
      <c r="C173" s="6" t="n">
        <f aca="false">Val!$C$172/(wacc-g_tv)</f>
        <v>2395.60182149923</v>
      </c>
    </row>
    <row r="174" customFormat="false" ht="15" hidden="false" customHeight="false" outlineLevel="0" collapsed="false">
      <c r="A174" s="1" t="s">
        <v>1066</v>
      </c>
      <c r="B174" s="0" t="s">
        <v>98</v>
      </c>
      <c r="C174" s="6" t="n">
        <f aca="false">Val!$C$173/(1+wacc)^(Val!K166+mid_yr)</f>
        <v>1330.81134011956</v>
      </c>
    </row>
    <row r="175" customFormat="false" ht="17.15" hidden="false" customHeight="false" outlineLevel="0" collapsed="false">
      <c r="A175" s="0" t="s">
        <v>986</v>
      </c>
      <c r="B175" s="0" t="s">
        <v>98</v>
      </c>
      <c r="C175" s="6" t="n">
        <f aca="false">Val!$C$170+Val!$C$174</f>
        <v>1753.94463895121</v>
      </c>
    </row>
    <row r="176" customFormat="false" ht="15" hidden="false" customHeight="false" outlineLevel="0" collapsed="false">
      <c r="A176" s="1" t="s">
        <v>987</v>
      </c>
      <c r="B176" s="0" t="s">
        <v>129</v>
      </c>
      <c r="C176" s="7" t="n">
        <f aca="false">Val!$C$174/Val!$C$175</f>
        <v>0.758753332668092</v>
      </c>
    </row>
    <row r="177" customFormat="false" ht="17.15" hidden="false" customHeight="false" outlineLevel="0" collapsed="false">
      <c r="A177" s="1" t="s">
        <v>1067</v>
      </c>
      <c r="B177" s="0" t="s">
        <v>98</v>
      </c>
      <c r="C177" s="6" t="n">
        <f aca="false">Val!$C$175+CF!E100-CF!E89+oai_v</f>
        <v>1888.45763895121</v>
      </c>
    </row>
    <row r="178" customFormat="false" ht="17.15" hidden="false" customHeight="false" outlineLevel="0" collapsed="false">
      <c r="A178" s="0" t="s">
        <v>994</v>
      </c>
      <c r="B178" s="0" t="s">
        <v>75</v>
      </c>
      <c r="C178" s="5" t="n">
        <f aca="false">Val!$C$177/sh_dil26</f>
        <v>253.382213732887</v>
      </c>
    </row>
    <row r="179" customFormat="false" ht="15" hidden="false" customHeight="false" outlineLevel="0" collapsed="false">
      <c r="A179" s="1" t="s">
        <v>1068</v>
      </c>
      <c r="B179" s="0" t="s">
        <v>75</v>
      </c>
      <c r="C179" s="8" t="n">
        <f aca="false">dps_27+CF!G92*roll_div_q/q_per_yr</f>
        <v>4.8895</v>
      </c>
    </row>
    <row r="180" customFormat="false" ht="17.15" hidden="false" customHeight="false" outlineLevel="0" collapsed="false">
      <c r="A180" s="0" t="s">
        <v>1069</v>
      </c>
      <c r="B180" s="0" t="s">
        <v>75</v>
      </c>
      <c r="C180" s="5" t="n">
        <f aca="false">Val!$C$178*(1+wacc)^t_roll-Val!$C$179</f>
        <v>283.645287089587</v>
      </c>
    </row>
    <row r="181" customFormat="false" ht="17.15" hidden="false" customHeight="false" outlineLevel="0" collapsed="false">
      <c r="A181" s="1" t="s">
        <v>1070</v>
      </c>
      <c r="B181" s="0" t="s">
        <v>129</v>
      </c>
      <c r="F181" s="7" t="n">
        <f aca="false">CF!F79/(Seg!F83-Thesis!F121)</f>
        <v>0.0711475516535717</v>
      </c>
      <c r="G181" s="7" t="n">
        <f aca="false">CF!G79/(Seg!G83-Thesis!G121)</f>
        <v>0.0682588862083999</v>
      </c>
      <c r="H181" s="7" t="n">
        <f aca="false">CF!H79/(Seg!H83-Thesis!H121)</f>
        <v>0.0666622170094897</v>
      </c>
      <c r="I181" s="7" t="n">
        <f aca="false">CF!I79/(Seg!I83-Thesis!I121)</f>
        <v>0.0661991449367101</v>
      </c>
      <c r="J181" s="7" t="n">
        <f aca="false">CF!J79/(Seg!J83-Thesis!J121)</f>
        <v>0.0666400583966394</v>
      </c>
      <c r="K181" s="7" t="n">
        <f aca="false">CF!K79/(Seg!K83-Thesis!K121)</f>
        <v>0.0677351822588561</v>
      </c>
    </row>
    <row r="182" customFormat="false" ht="17.15" hidden="false" customHeight="false" outlineLevel="0" collapsed="false">
      <c r="A182" s="0" t="s">
        <v>1071</v>
      </c>
      <c r="B182" s="0" t="s">
        <v>98</v>
      </c>
      <c r="F182" s="6" t="n">
        <f aca="false">Seg!F68*(al_m365+Val!F181+sbc_r)</f>
        <v>83.1760446796226</v>
      </c>
      <c r="G182" s="6" t="n">
        <f aca="false">Seg!G68*(al_m365+Val!G181+sbc_r)</f>
        <v>93.5286621744803</v>
      </c>
      <c r="H182" s="6" t="n">
        <f aca="false">Seg!H68*(al_m365+Val!H181+sbc_r)</f>
        <v>104.041881899886</v>
      </c>
      <c r="I182" s="6" t="n">
        <f aca="false">Seg!I68*(al_m365+Val!I181+sbc_r)</f>
        <v>114.039361049722</v>
      </c>
      <c r="J182" s="6" t="n">
        <f aca="false">Seg!J68*(al_m365+Val!J181+sbc_r)</f>
        <v>123.332589690985</v>
      </c>
      <c r="K182" s="6" t="n">
        <f aca="false">Seg!K68*(al_m365+Val!K181+sbc_r)</f>
        <v>132.229319216379</v>
      </c>
      <c r="L182" s="11" t="s">
        <v>1072</v>
      </c>
    </row>
    <row r="183" customFormat="false" ht="17.15" hidden="false" customHeight="false" outlineLevel="0" collapsed="false">
      <c r="A183" s="0" t="s">
        <v>1073</v>
      </c>
      <c r="B183" s="0" t="s">
        <v>98</v>
      </c>
      <c r="F183" s="6" t="n">
        <f aca="false">Seg!F69*(al_lic+Val!F181+sbc_r)</f>
        <v>33.5445611735131</v>
      </c>
      <c r="G183" s="6" t="n">
        <f aca="false">Seg!G69*(al_lic+Val!G181+sbc_r)</f>
        <v>34.8473362891936</v>
      </c>
      <c r="H183" s="6" t="n">
        <f aca="false">Seg!H69*(al_lic+Val!H181+sbc_r)</f>
        <v>36.0608450618725</v>
      </c>
      <c r="I183" s="6" t="n">
        <f aca="false">Seg!I69*(al_lic+Val!I181+sbc_r)</f>
        <v>37.1647768367666</v>
      </c>
      <c r="J183" s="6" t="n">
        <f aca="false">Seg!J69*(al_lic+Val!J181+sbc_r)</f>
        <v>38.1353659513221</v>
      </c>
      <c r="K183" s="6" t="n">
        <f aca="false">Seg!K69*(al_lic+Val!K181+sbc_r)</f>
        <v>38.9479527536449</v>
      </c>
    </row>
    <row r="184" customFormat="false" ht="17.15" hidden="false" customHeight="false" outlineLevel="0" collapsed="false">
      <c r="A184" s="0" t="s">
        <v>1074</v>
      </c>
      <c r="B184" s="0" t="s">
        <v>98</v>
      </c>
      <c r="F184" s="6" t="n">
        <f aca="false">Seg!F71*(al_ind+Val!F181+sbc_r)</f>
        <v>9.13359830063899</v>
      </c>
      <c r="G184" s="6" t="n">
        <f aca="false">Seg!G71*(al_ind+Val!G181+sbc_r)</f>
        <v>9.91355811855172</v>
      </c>
      <c r="H184" s="6" t="n">
        <f aca="false">Seg!H71*(al_ind+Val!H181+sbc_r)</f>
        <v>10.737007894057</v>
      </c>
      <c r="I184" s="6" t="n">
        <f aca="false">Seg!I71*(al_ind+Val!I181+sbc_r)</f>
        <v>11.5994300763088</v>
      </c>
      <c r="J184" s="6" t="n">
        <f aca="false">Seg!J71*(al_ind+Val!J181+sbc_r)</f>
        <v>12.4920789859702</v>
      </c>
      <c r="K184" s="6" t="n">
        <f aca="false">Seg!K71*(al_ind+Val!K181+sbc_r)</f>
        <v>13.4027551573777</v>
      </c>
    </row>
    <row r="185" customFormat="false" ht="17.15" hidden="false" customHeight="false" outlineLevel="0" collapsed="false">
      <c r="A185" s="0" t="s">
        <v>1075</v>
      </c>
      <c r="B185" s="0" t="s">
        <v>98</v>
      </c>
      <c r="F185" s="6" t="n">
        <f aca="false">Seg!F73*(al_fro+Val!F181+sbc_r)</f>
        <v>3.59501635737694</v>
      </c>
      <c r="G185" s="6" t="n">
        <f aca="false">Seg!G73*(al_fro+Val!G181+sbc_r)</f>
        <v>3.80622021137838</v>
      </c>
      <c r="H185" s="6" t="n">
        <f aca="false">Seg!H73*(al_fro+Val!H181+sbc_r)</f>
        <v>4.04607207599632</v>
      </c>
      <c r="I185" s="6" t="n">
        <f aca="false">Seg!I73*(al_fro+Val!I181+sbc_r)</f>
        <v>4.31683578333903</v>
      </c>
      <c r="J185" s="6" t="n">
        <f aca="false">Seg!J73*(al_fro+Val!J181+sbc_r)</f>
        <v>4.62005087871645</v>
      </c>
      <c r="K185" s="6" t="n">
        <f aca="false">Seg!K73*(al_fro+Val!K181+sbc_r)</f>
        <v>4.95685392412327</v>
      </c>
    </row>
    <row r="186" customFormat="false" ht="17.15" hidden="false" customHeight="false" outlineLevel="0" collapsed="false">
      <c r="A186" s="0" t="s">
        <v>1076</v>
      </c>
      <c r="B186" s="0" t="s">
        <v>98</v>
      </c>
      <c r="F186" s="6" t="n">
        <f aca="false">Seg!F76*(al_srch+Val!F181+sbc_r)</f>
        <v>11.2801258639919</v>
      </c>
      <c r="G186" s="6" t="n">
        <f aca="false">Seg!G76*(al_srch+Val!G181+sbc_r)</f>
        <v>12.3589086285988</v>
      </c>
      <c r="H186" s="6" t="n">
        <f aca="false">Seg!H76*(al_srch+Val!H181+sbc_r)</f>
        <v>13.4807030139583</v>
      </c>
      <c r="I186" s="6" t="n">
        <f aca="false">Seg!I76*(al_srch+Val!I181+sbc_r)</f>
        <v>14.6329459978989</v>
      </c>
      <c r="J186" s="6" t="n">
        <f aca="false">Seg!J76*(al_srch+Val!J181+sbc_r)</f>
        <v>15.7968154400613</v>
      </c>
      <c r="K186" s="6" t="n">
        <f aca="false">Seg!K76*(al_srch+Val!K181+sbc_r)</f>
        <v>16.9484078548661</v>
      </c>
    </row>
    <row r="187" customFormat="false" ht="17.15" hidden="false" customHeight="false" outlineLevel="0" collapsed="false">
      <c r="A187" s="0" t="s">
        <v>1077</v>
      </c>
      <c r="B187" s="0" t="s">
        <v>98</v>
      </c>
      <c r="F187" s="6" t="n">
        <f aca="false">Thesis!F127-Thesis!F128+Thesis!F142</f>
        <v>38.6797715123049</v>
      </c>
      <c r="G187" s="6" t="n">
        <f aca="false">Thesis!G127-Thesis!G128+Thesis!G142</f>
        <v>67.9698044367775</v>
      </c>
      <c r="H187" s="6" t="n">
        <f aca="false">Thesis!H127-Thesis!H128+Thesis!H142</f>
        <v>94.4027386785771</v>
      </c>
      <c r="I187" s="6" t="n">
        <f aca="false">Thesis!I127-Thesis!I128+Thesis!I142</f>
        <v>124.629799296032</v>
      </c>
      <c r="J187" s="6" t="n">
        <f aca="false">Thesis!J127-Thesis!J128+Thesis!J142</f>
        <v>146.1886418102</v>
      </c>
      <c r="K187" s="6" t="n">
        <f aca="false">Thesis!K127-Thesis!K128+Thesis!K142</f>
        <v>160.310017660072</v>
      </c>
    </row>
    <row r="188" customFormat="false" ht="17.15" hidden="false" customHeight="false" outlineLevel="0" collapsed="false">
      <c r="A188" s="0" t="s">
        <v>1078</v>
      </c>
      <c r="B188" s="0" t="s">
        <v>98</v>
      </c>
      <c r="F188" s="6" t="n">
        <f aca="false">PL!F110+Thesis!F142+Thesis!F138+Val!F181*(Seg!F75-Thesis!F121)+sbc_r*Seg!F75</f>
        <v>228.424576651163</v>
      </c>
      <c r="G188" s="6" t="n">
        <f aca="false">PL!G110+Thesis!G142+Thesis!G138+Val!G181*(Seg!G75-Thesis!G121)+sbc_r*Seg!G75</f>
        <v>282.553934266667</v>
      </c>
      <c r="H188" s="6" t="n">
        <f aca="false">PL!H110+Thesis!H142+Thesis!H138+Val!H181*(Seg!H75-Thesis!H121)+sbc_r*Seg!H75</f>
        <v>334.098428585803</v>
      </c>
      <c r="I188" s="6" t="n">
        <f aca="false">PL!I110+Thesis!I142+Thesis!I138+Val!I181*(Seg!I75-Thesis!I121)+sbc_r*Seg!I75</f>
        <v>388.820980572235</v>
      </c>
      <c r="J188" s="6" t="n">
        <f aca="false">PL!J110+Thesis!J142+Thesis!J138+Val!J181*(Seg!J75-Thesis!J121)+sbc_r*Seg!J75</f>
        <v>432.983845251655</v>
      </c>
      <c r="K188" s="6" t="n">
        <f aca="false">PL!K110+Thesis!K142+Thesis!K138+Val!K181*(Seg!K75-Thesis!K121)+sbc_r*Seg!K75</f>
        <v>467.422879139155</v>
      </c>
    </row>
    <row r="189" customFormat="false" ht="17.15" hidden="false" customHeight="false" outlineLevel="0" collapsed="false">
      <c r="A189" s="0" t="s">
        <v>1079</v>
      </c>
      <c r="B189" s="0" t="s">
        <v>98</v>
      </c>
      <c r="F189" s="6" t="n">
        <f aca="false">Val!F188-Val!F182-Val!F183-Val!F184-Val!F185-Val!F187</f>
        <v>60.2955846277069</v>
      </c>
      <c r="G189" s="6" t="n">
        <f aca="false">Val!G188-Val!G182-Val!G183-Val!G184-Val!G185-Val!G187</f>
        <v>72.4883530362854</v>
      </c>
      <c r="H189" s="6" t="n">
        <f aca="false">Val!H188-Val!H182-Val!H183-Val!H184-Val!H185-Val!H187</f>
        <v>84.8098829754144</v>
      </c>
      <c r="I189" s="6" t="n">
        <f aca="false">Val!I188-Val!I182-Val!I183-Val!I184-Val!I185-Val!I187</f>
        <v>97.0707775300671</v>
      </c>
      <c r="J189" s="6" t="n">
        <f aca="false">Val!J188-Val!J182-Val!J183-Val!J184-Val!J185-Val!J187</f>
        <v>108.215117934462</v>
      </c>
      <c r="K189" s="6" t="n">
        <f aca="false">Val!K188-Val!K182-Val!K183-Val!K184-Val!K185-Val!K187</f>
        <v>117.575980427559</v>
      </c>
    </row>
    <row r="190" customFormat="false" ht="17.15" hidden="false" customHeight="false" outlineLevel="0" collapsed="false">
      <c r="A190" s="0" t="s">
        <v>1080</v>
      </c>
      <c r="B190" s="0" t="s">
        <v>98</v>
      </c>
      <c r="F190" s="6" t="n">
        <f aca="false">PL!F112+Val!F181*Seg!F82+sbc_r*Seg!F82</f>
        <v>26.3652761595447</v>
      </c>
      <c r="G190" s="6" t="n">
        <f aca="false">PL!G112+Val!G181*Seg!G82+sbc_r*Seg!G82</f>
        <v>26.9742866145486</v>
      </c>
      <c r="H190" s="6" t="n">
        <f aca="false">PL!H112+Val!H181*Seg!H82+sbc_r*Seg!H82</f>
        <v>27.8483067679033</v>
      </c>
      <c r="I190" s="6" t="n">
        <f aca="false">PL!I112+Val!I181*Seg!I82+sbc_r*Seg!I82</f>
        <v>28.9540944937551</v>
      </c>
      <c r="J190" s="6" t="n">
        <f aca="false">PL!J112+Val!J181*Seg!J82+sbc_r*Seg!J82</f>
        <v>30.2591967501426</v>
      </c>
      <c r="K190" s="6" t="n">
        <f aca="false">PL!K112+Val!K181*Seg!K82+sbc_r*Seg!K82</f>
        <v>31.7334012124467</v>
      </c>
    </row>
    <row r="191" customFormat="false" ht="17.15" hidden="false" customHeight="false" outlineLevel="0" collapsed="false">
      <c r="A191" s="0" t="s">
        <v>1081</v>
      </c>
      <c r="B191" s="0" t="s">
        <v>98</v>
      </c>
      <c r="F191" s="6" t="n">
        <f aca="false">(Val!F190-Val!F186)*Seg!F78/(Seg!F78+Seg!F80)</f>
        <v>8.26953246478712</v>
      </c>
      <c r="G191" s="6" t="n">
        <f aca="false">(Val!G190-Val!G186)*Seg!G78/(Seg!G78+Seg!G80)</f>
        <v>7.8691542635731</v>
      </c>
      <c r="H191" s="6" t="n">
        <f aca="false">(Val!H190-Val!H186)*Seg!H78/(Seg!H78+Seg!H80)</f>
        <v>7.63125160105973</v>
      </c>
      <c r="I191" s="6" t="n">
        <f aca="false">(Val!I190-Val!I186)*Seg!I78/(Seg!I78+Seg!I80)</f>
        <v>7.53775281020212</v>
      </c>
      <c r="J191" s="6" t="n">
        <f aca="false">(Val!J190-Val!J186)*Seg!J78/(Seg!J78+Seg!J80)</f>
        <v>7.57766730524412</v>
      </c>
      <c r="K191" s="6" t="n">
        <f aca="false">(Val!K190-Val!K186)*Seg!K78/(Seg!K78+Seg!K80)</f>
        <v>7.74670217662515</v>
      </c>
    </row>
    <row r="192" customFormat="false" ht="17.15" hidden="false" customHeight="false" outlineLevel="0" collapsed="false">
      <c r="A192" s="0" t="s">
        <v>1082</v>
      </c>
      <c r="B192" s="0" t="s">
        <v>98</v>
      </c>
      <c r="F192" s="6" t="n">
        <f aca="false">Val!F190-Val!F186-Val!F191</f>
        <v>6.81561783076564</v>
      </c>
      <c r="G192" s="6" t="n">
        <f aca="false">Val!G190-Val!G186-Val!G191</f>
        <v>6.74622372237672</v>
      </c>
      <c r="H192" s="6" t="n">
        <f aca="false">Val!H190-Val!H186-Val!H191</f>
        <v>6.73635215288526</v>
      </c>
      <c r="I192" s="6" t="n">
        <f aca="false">Val!I190-Val!I186-Val!I191</f>
        <v>6.78339568565411</v>
      </c>
      <c r="J192" s="6" t="n">
        <f aca="false">Val!J190-Val!J186-Val!J191</f>
        <v>6.88471400483723</v>
      </c>
      <c r="K192" s="6" t="n">
        <f aca="false">Val!K190-Val!K186-Val!K191</f>
        <v>7.03829118095546</v>
      </c>
    </row>
    <row r="193" customFormat="false" ht="17.15" hidden="false" customHeight="false" outlineLevel="0" collapsed="false">
      <c r="A193" s="0" t="s">
        <v>1083</v>
      </c>
      <c r="B193" s="0" t="s">
        <v>98</v>
      </c>
      <c r="F193" s="6" t="n">
        <f aca="false">Val!F187-tax_f*(Val!F187-Thesis!F138)-Thesis!F135</f>
        <v>-122.579081185432</v>
      </c>
      <c r="G193" s="6" t="n">
        <f aca="false">Val!G187-tax_f*(Val!G187-Thesis!G138)-Thesis!G135</f>
        <v>-117.373249511676</v>
      </c>
      <c r="H193" s="6" t="n">
        <f aca="false">Val!H187-tax_f*(Val!H187-Thesis!H138)-Thesis!H135</f>
        <v>-95.285890998876</v>
      </c>
      <c r="I193" s="6" t="n">
        <f aca="false">Val!I187-tax_f*(Val!I187-Thesis!I138)-Thesis!I135</f>
        <v>-41.8816809509416</v>
      </c>
      <c r="J193" s="6" t="n">
        <f aca="false">Val!J187-tax_f*(Val!J187-Thesis!J138)-Thesis!J135</f>
        <v>15.3691414244864</v>
      </c>
      <c r="K193" s="6" t="n">
        <f aca="false">Val!K187-tax_f*(Val!K187-Thesis!K138)-Thesis!K135</f>
        <v>34.6668916333283</v>
      </c>
    </row>
    <row r="194" customFormat="false" ht="17.15" hidden="false" customHeight="false" outlineLevel="0" collapsed="false">
      <c r="A194" s="0" t="s">
        <v>1084</v>
      </c>
      <c r="B194" s="0" t="s">
        <v>98</v>
      </c>
      <c r="G194" s="6" t="n">
        <f aca="false">Val!G193/(1+wacc)^(Val!G166-(Val!F166+mid_yr))</f>
        <v>-111.762030423885</v>
      </c>
      <c r="H194" s="6" t="n">
        <f aca="false">Val!H193/(1+wacc)^(Val!H166-(Val!F166+mid_yr))</f>
        <v>-82.2629091581412</v>
      </c>
      <c r="I194" s="6" t="n">
        <f aca="false">Val!I193/(1+wacc)^(Val!I166-(Val!F166+mid_yr))</f>
        <v>-32.7830894246659</v>
      </c>
      <c r="J194" s="6" t="n">
        <f aca="false">Val!J193/(1+wacc)^(Val!J166-(Val!F166+mid_yr))</f>
        <v>10.907511786022</v>
      </c>
      <c r="K194" s="6" t="n">
        <f aca="false">Val!K193/(1+wacc)^(Val!K166-(Val!F166+mid_yr))</f>
        <v>22.3070066431388</v>
      </c>
      <c r="L194" s="1" t="s">
        <v>1085</v>
      </c>
    </row>
    <row r="195" customFormat="false" ht="17.15" hidden="false" customHeight="false" outlineLevel="0" collapsed="false">
      <c r="A195" s="0" t="s">
        <v>1086</v>
      </c>
      <c r="B195" s="0" t="s">
        <v>98</v>
      </c>
      <c r="C195" s="6" t="n">
        <f aca="false">(Val!K187-Thesis!K138)*(1-tax_f)*(1+g_tv)*(1-g_tv/(wacc+ronic_prem))/(wacc-g_tv)/(1+wacc)^(Val!K166+mid_yr-(Val!F166+mid_yr))</f>
        <v>103.875812758606</v>
      </c>
    </row>
    <row r="196" customFormat="false" ht="17.15" hidden="false" customHeight="false" outlineLevel="0" collapsed="false">
      <c r="A196" s="1" t="s">
        <v>1087</v>
      </c>
      <c r="B196" s="0" t="s">
        <v>98</v>
      </c>
      <c r="C196" s="6" t="n">
        <f aca="false">(SUM(Val!G194:K194)+Val!$C$195)*(1+wacc)^(t_roll-(Val!F166+mid_yr))</f>
        <v>-92.6297486746201</v>
      </c>
      <c r="L196" s="11" t="s">
        <v>1088</v>
      </c>
    </row>
    <row r="197" customFormat="false" ht="17.15" hidden="false" customHeight="false" outlineLevel="0" collapsed="false">
      <c r="A197" s="1" t="s">
        <v>1089</v>
      </c>
      <c r="B197" s="0" t="s">
        <v>98</v>
      </c>
      <c r="C197" s="6" t="n">
        <f aca="false">(w_ntm28*Thesis!G127+(1-w_ntm28)*Thesis!H127)*m_ai</f>
        <v>338.776008390068</v>
      </c>
    </row>
    <row r="198" customFormat="false" ht="17.15" hidden="false" customHeight="false" outlineLevel="0" collapsed="false">
      <c r="A198" s="1" t="s">
        <v>1090</v>
      </c>
      <c r="B198" s="0" t="s">
        <v>98</v>
      </c>
      <c r="C198" s="6" t="n">
        <f aca="false">(w_ntm28*Val!G189+(1-w_ntm28)*Val!H189)*m_cloud</f>
        <v>1056.83960927252</v>
      </c>
    </row>
    <row r="199" customFormat="false" ht="17.15" hidden="false" customHeight="false" outlineLevel="0" collapsed="false">
      <c r="A199" s="1" t="s">
        <v>1091</v>
      </c>
      <c r="B199" s="0" t="s">
        <v>98</v>
      </c>
      <c r="C199" s="6" t="n">
        <f aca="false">(w_ntm28*Val!G182+(1-w_ntm28)*Val!H182)*m_sw</f>
        <v>1046.81653016399</v>
      </c>
    </row>
    <row r="200" customFormat="false" ht="17.15" hidden="false" customHeight="false" outlineLevel="0" collapsed="false">
      <c r="A200" s="1" t="s">
        <v>1092</v>
      </c>
      <c r="B200" s="0" t="s">
        <v>98</v>
      </c>
      <c r="C200" s="6" t="n">
        <f aca="false">(w_ntm28*Val!G183+(1-w_ntm28)*Val!H183)*m_sw</f>
        <v>380.588206114803</v>
      </c>
    </row>
    <row r="201" customFormat="false" ht="17.15" hidden="false" customHeight="false" outlineLevel="0" collapsed="false">
      <c r="A201" s="1" t="s">
        <v>1093</v>
      </c>
      <c r="B201" s="0" t="s">
        <v>98</v>
      </c>
      <c r="C201" s="6" t="n">
        <f aca="false">(w_ntm28*Val!G184+(1-w_ntm28)*Val!H184)*m_sw</f>
        <v>109.941508211602</v>
      </c>
    </row>
    <row r="202" customFormat="false" ht="17.15" hidden="false" customHeight="false" outlineLevel="0" collapsed="false">
      <c r="A202" s="1" t="s">
        <v>1094</v>
      </c>
      <c r="B202" s="0" t="s">
        <v>98</v>
      </c>
      <c r="C202" s="6" t="n">
        <f aca="false">(w_ntm28*Val!G185+(1-w_ntm28)*Val!H185)*m_sw</f>
        <v>41.944622711021</v>
      </c>
    </row>
    <row r="203" customFormat="false" ht="17.15" hidden="false" customHeight="false" outlineLevel="0" collapsed="false">
      <c r="A203" s="1" t="s">
        <v>1095</v>
      </c>
      <c r="B203" s="0" t="s">
        <v>98</v>
      </c>
      <c r="C203" s="6" t="n">
        <f aca="false">(w_ntm28*Val!G186+(1-w_ntm28)*Val!H186)*m_ads</f>
        <v>115.893511108929</v>
      </c>
    </row>
    <row r="204" customFormat="false" ht="17.15" hidden="false" customHeight="false" outlineLevel="0" collapsed="false">
      <c r="A204" s="1" t="s">
        <v>1096</v>
      </c>
      <c r="B204" s="0" t="s">
        <v>98</v>
      </c>
      <c r="C204" s="6" t="n">
        <f aca="false">(w_ntm28*Val!G191+(1-w_ntm28)*Val!H191)*m_game</f>
        <v>98.416032447421</v>
      </c>
    </row>
    <row r="205" customFormat="false" ht="17.15" hidden="false" customHeight="false" outlineLevel="0" collapsed="false">
      <c r="A205" s="1" t="s">
        <v>1097</v>
      </c>
      <c r="B205" s="0" t="s">
        <v>98</v>
      </c>
      <c r="C205" s="6" t="n">
        <f aca="false">(w_ntm28*Val!G192+(1-w_ntm28)*Val!H192)*m_pc</f>
        <v>97.5716783311641</v>
      </c>
    </row>
    <row r="206" customFormat="false" ht="17.15" hidden="false" customHeight="false" outlineLevel="0" collapsed="false">
      <c r="A206" s="1" t="s">
        <v>1098</v>
      </c>
      <c r="B206" s="0" t="s">
        <v>98</v>
      </c>
      <c r="C206" s="6" t="n">
        <f aca="false">Val!$C$196+Val!$C$198+Val!$C$199+Val!$C$200+Val!$C$201+Val!$C$202+Val!$C$203+Val!$C$204+Val!$C$205</f>
        <v>2855.38194968683</v>
      </c>
    </row>
    <row r="207" customFormat="false" ht="17.15" hidden="false" customHeight="false" outlineLevel="0" collapsed="false">
      <c r="A207" s="1" t="s">
        <v>1099</v>
      </c>
      <c r="B207" s="0" t="s">
        <v>98</v>
      </c>
      <c r="C207" s="6" t="n">
        <f aca="false">(Val!G168-Val!G193)*t_stub</f>
        <v>46.8760727339385</v>
      </c>
      <c r="L207" s="1" t="s">
        <v>1100</v>
      </c>
    </row>
    <row r="208" customFormat="false" ht="17.15" hidden="false" customHeight="false" outlineLevel="0" collapsed="false">
      <c r="A208" s="1" t="s">
        <v>1014</v>
      </c>
      <c r="B208" s="0" t="s">
        <v>98</v>
      </c>
      <c r="C208" s="6" t="n">
        <f aca="false">CF!F100+oai_v-CF!F89+Val!$C$207</f>
        <v>153.718233647662</v>
      </c>
      <c r="L208" s="1" t="s">
        <v>1101</v>
      </c>
    </row>
    <row r="209" customFormat="false" ht="17.15" hidden="false" customHeight="false" outlineLevel="0" collapsed="false">
      <c r="A209" s="1" t="s">
        <v>1102</v>
      </c>
      <c r="B209" s="0" t="s">
        <v>75</v>
      </c>
      <c r="C209" s="5" t="n">
        <f aca="false">(Val!$C$206+Val!$C$208)/(CF!F102+dil_gap)-CF!G92*roll_div_q/q_per_yr</f>
        <v>400.387952419223</v>
      </c>
      <c r="L209" s="1" t="s">
        <v>1103</v>
      </c>
    </row>
    <row r="210" customFormat="false" ht="17.15" hidden="false" customHeight="false" outlineLevel="0" collapsed="false">
      <c r="A210" s="1" t="s">
        <v>1104</v>
      </c>
      <c r="B210" s="0" t="s">
        <v>75</v>
      </c>
      <c r="C210" s="5" t="n">
        <f aca="false">w_dcf*Val!$C$180+(1-w_dcf)*Val!$C$209</f>
        <v>342.016619754405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5" min="2" style="0" width="13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1107</v>
      </c>
    </row>
    <row r="3" customFormat="false" ht="17.15" hidden="false" customHeight="false" outlineLevel="0" collapsed="false">
      <c r="A3" s="4" t="s">
        <v>43</v>
      </c>
      <c r="B3" s="4" t="s">
        <v>1108</v>
      </c>
      <c r="C3" s="4" t="s">
        <v>1109</v>
      </c>
      <c r="D3" s="4" t="s">
        <v>1110</v>
      </c>
      <c r="E3" s="4" t="s">
        <v>1111</v>
      </c>
      <c r="F3" s="4" t="s">
        <v>47</v>
      </c>
    </row>
    <row r="4" customFormat="false" ht="17.15" hidden="false" customHeight="false" outlineLevel="0" collapsed="false">
      <c r="A4" s="9" t="s">
        <v>1112</v>
      </c>
    </row>
    <row r="5" customFormat="false" ht="17.15" hidden="false" customHeight="false" outlineLevel="0" collapsed="false">
      <c r="A5" s="1" t="s">
        <v>1113</v>
      </c>
      <c r="B5" s="6" t="n">
        <f aca="false">Seg!F56</f>
        <v>399.407104707821</v>
      </c>
      <c r="C5" s="6" t="n">
        <f aca="false">cons_rev27</f>
        <v>391.6</v>
      </c>
      <c r="D5" s="6" t="n">
        <f aca="false">B5-C5</f>
        <v>7.80710470782049</v>
      </c>
      <c r="E5" s="37" t="n">
        <f aca="false">B5/C5-1</f>
        <v>0.0199364267309001</v>
      </c>
      <c r="F5" s="1" t="s">
        <v>1114</v>
      </c>
    </row>
    <row r="6" customFormat="false" ht="17.15" hidden="false" customHeight="false" outlineLevel="0" collapsed="false">
      <c r="A6" s="1" t="s">
        <v>1115</v>
      </c>
      <c r="B6" s="6" t="n">
        <f aca="false">Seg!G56</f>
        <v>475.197484137863</v>
      </c>
      <c r="C6" s="6" t="n">
        <f aca="false">cons_rev28</f>
        <v>467.955</v>
      </c>
      <c r="D6" s="6" t="n">
        <f aca="false">B6-C6</f>
        <v>7.24248413786307</v>
      </c>
      <c r="E6" s="37" t="n">
        <f aca="false">B6/C6-1</f>
        <v>0.0154768816186666</v>
      </c>
      <c r="F6" s="11" t="s">
        <v>87</v>
      </c>
    </row>
    <row r="7" customFormat="false" ht="17.15" hidden="false" customHeight="false" outlineLevel="0" collapsed="false">
      <c r="A7" s="1" t="s">
        <v>1116</v>
      </c>
      <c r="B7" s="6" t="n">
        <f aca="false">Seg!H56</f>
        <v>552.773101018903</v>
      </c>
      <c r="C7" s="6" t="n">
        <f aca="false">cons_rev29</f>
        <v>569.502</v>
      </c>
      <c r="D7" s="6" t="n">
        <f aca="false">B7-C7</f>
        <v>-16.7288989810975</v>
      </c>
      <c r="E7" s="37" t="n">
        <f aca="false">B7/C7-1</f>
        <v>-0.0293746097135699</v>
      </c>
      <c r="F7" s="11" t="s">
        <v>87</v>
      </c>
    </row>
    <row r="8" customFormat="false" ht="17.15" hidden="false" customHeight="false" outlineLevel="0" collapsed="false">
      <c r="A8" s="1" t="s">
        <v>1117</v>
      </c>
      <c r="B8" s="6" t="n">
        <f aca="false">PL!F74</f>
        <v>176.755458196528</v>
      </c>
      <c r="C8" s="6" t="n">
        <f aca="false">cons_ebit27</f>
        <v>182.305</v>
      </c>
      <c r="D8" s="6" t="n">
        <f aca="false">B8-C8</f>
        <v>-5.54954180347187</v>
      </c>
      <c r="E8" s="37" t="n">
        <f aca="false">B8/C8-1</f>
        <v>-0.0304409742106463</v>
      </c>
      <c r="F8" s="1" t="s">
        <v>1118</v>
      </c>
    </row>
    <row r="9" customFormat="false" ht="17.15" hidden="false" customHeight="false" outlineLevel="0" collapsed="false">
      <c r="A9" s="1" t="s">
        <v>1119</v>
      </c>
      <c r="B9" s="6" t="n">
        <f aca="false">PL!G74</f>
        <v>197.699185234338</v>
      </c>
      <c r="C9" s="6" t="n">
        <f aca="false">cons_ebit28</f>
        <v>217.245</v>
      </c>
      <c r="D9" s="6" t="n">
        <f aca="false">B9-C9</f>
        <v>-19.5458147656622</v>
      </c>
      <c r="E9" s="37" t="n">
        <f aca="false">B9/C9-1</f>
        <v>-0.0899712986060082</v>
      </c>
      <c r="F9" s="1" t="s">
        <v>1120</v>
      </c>
    </row>
    <row r="10" customFormat="false" ht="17.15" hidden="false" customHeight="false" outlineLevel="0" collapsed="false">
      <c r="A10" s="1" t="s">
        <v>1121</v>
      </c>
      <c r="B10" s="6" t="n">
        <f aca="false">PL!H74</f>
        <v>218.14174259644</v>
      </c>
      <c r="C10" s="6" t="n">
        <f aca="false">cons_ebit29</f>
        <v>262.608</v>
      </c>
      <c r="D10" s="6" t="n">
        <f aca="false">B10-C10</f>
        <v>-44.4662574035598</v>
      </c>
      <c r="E10" s="37" t="n">
        <f aca="false">B10/C10-1</f>
        <v>-0.169325600909187</v>
      </c>
      <c r="F10" s="1" t="s">
        <v>1120</v>
      </c>
    </row>
    <row r="11" customFormat="false" ht="17.15" hidden="false" customHeight="false" outlineLevel="0" collapsed="false">
      <c r="A11" s="0" t="s">
        <v>1122</v>
      </c>
      <c r="B11" s="8" t="n">
        <f aca="false">PL!F86</f>
        <v>18.8779509677156</v>
      </c>
      <c r="C11" s="8" t="n">
        <f aca="false">cons_eps27</f>
        <v>19.76</v>
      </c>
      <c r="D11" s="8" t="n">
        <f aca="false">B11-C11</f>
        <v>-0.882049032284407</v>
      </c>
      <c r="E11" s="37" t="n">
        <f aca="false">B11/C11-1</f>
        <v>-0.0446381089212756</v>
      </c>
      <c r="F11" s="1" t="s">
        <v>1123</v>
      </c>
    </row>
    <row r="12" customFormat="false" ht="17.15" hidden="false" customHeight="false" outlineLevel="0" collapsed="false">
      <c r="A12" s="0" t="s">
        <v>1124</v>
      </c>
      <c r="B12" s="8" t="n">
        <f aca="false">PL!G86</f>
        <v>20.994674472096</v>
      </c>
      <c r="C12" s="8" t="n">
        <f aca="false">cons_eps28</f>
        <v>23.6</v>
      </c>
      <c r="D12" s="8" t="n">
        <f aca="false">B12-C12</f>
        <v>-2.60532552790404</v>
      </c>
      <c r="E12" s="37" t="n">
        <f aca="false">B12/C12-1</f>
        <v>-0.110395149487459</v>
      </c>
      <c r="F12" s="11" t="s">
        <v>87</v>
      </c>
    </row>
    <row r="13" customFormat="false" ht="15" hidden="false" customHeight="false" outlineLevel="0" collapsed="false">
      <c r="A13" s="0" t="s">
        <v>1125</v>
      </c>
      <c r="B13" s="8" t="n">
        <f aca="false">PL!H86</f>
        <v>23.0860886538213</v>
      </c>
      <c r="C13" s="8" t="n">
        <f aca="false">cons_eps29</f>
        <v>29.03</v>
      </c>
      <c r="D13" s="8" t="n">
        <f aca="false">B13-C13</f>
        <v>-5.94391134617867</v>
      </c>
      <c r="E13" s="37" t="n">
        <f aca="false">B13/C13-1</f>
        <v>-0.204750649196647</v>
      </c>
      <c r="F13" s="11" t="s">
        <v>87</v>
      </c>
    </row>
    <row r="14" customFormat="false" ht="17.15" hidden="false" customHeight="false" outlineLevel="0" collapsed="false">
      <c r="A14" s="1" t="s">
        <v>1126</v>
      </c>
      <c r="B14" s="6" t="n">
        <f aca="false">CF!F57</f>
        <v>204.2</v>
      </c>
      <c r="C14" s="6" t="n">
        <f aca="false">cons_cx27</f>
        <v>192.827</v>
      </c>
      <c r="D14" s="6" t="n">
        <f aca="false">B14-C14</f>
        <v>11.373</v>
      </c>
      <c r="E14" s="37" t="n">
        <f aca="false">B14/C14-1</f>
        <v>0.0589803295181692</v>
      </c>
      <c r="F14" s="1" t="s">
        <v>1127</v>
      </c>
    </row>
    <row r="15" customFormat="false" ht="17.15" hidden="false" customHeight="false" outlineLevel="0" collapsed="false">
      <c r="A15" s="1" t="s">
        <v>1128</v>
      </c>
      <c r="B15" s="6" t="n">
        <f aca="false">CF!G57</f>
        <v>224.727074053589</v>
      </c>
      <c r="C15" s="6" t="n">
        <f aca="false">cons_cx28</f>
        <v>216.787</v>
      </c>
      <c r="D15" s="6" t="n">
        <f aca="false">B15-C15</f>
        <v>7.94007405358923</v>
      </c>
      <c r="E15" s="37" t="n">
        <f aca="false">B15/C15-1</f>
        <v>0.0366261540294817</v>
      </c>
      <c r="F15" s="1" t="s">
        <v>1129</v>
      </c>
    </row>
    <row r="16" customFormat="false" ht="17.15" hidden="false" customHeight="false" outlineLevel="0" collapsed="false">
      <c r="A16" s="1" t="s">
        <v>1130</v>
      </c>
      <c r="B16" s="6" t="n">
        <f aca="false">CF!H57</f>
        <v>234.89179955449</v>
      </c>
      <c r="C16" s="6" t="n">
        <f aca="false">cons_cx29</f>
        <v>251.173</v>
      </c>
      <c r="D16" s="6" t="n">
        <f aca="false">B16-C16</f>
        <v>-16.2812004455104</v>
      </c>
      <c r="E16" s="37" t="n">
        <f aca="false">B16/C16-1</f>
        <v>-0.0648206632301658</v>
      </c>
      <c r="F16" s="1" t="s">
        <v>1129</v>
      </c>
    </row>
    <row r="17" customFormat="false" ht="17.15" hidden="false" customHeight="false" outlineLevel="0" collapsed="false">
      <c r="A17" s="9" t="s">
        <v>1131</v>
      </c>
    </row>
    <row r="18" customFormat="false" ht="17.15" hidden="false" customHeight="false" outlineLevel="0" collapsed="false">
      <c r="A18" s="0" t="s">
        <v>1132</v>
      </c>
      <c r="B18" s="6" t="n">
        <f aca="false">Seg!F48/4</f>
        <v>83.5663820628769</v>
      </c>
      <c r="C18" s="6" t="n">
        <f aca="false">g_q1_ai</f>
        <v>75.45</v>
      </c>
      <c r="D18" s="6" t="n">
        <f aca="false">B18-C18</f>
        <v>8.1163820628769</v>
      </c>
      <c r="E18" s="37" t="n">
        <f aca="false">B18/C18-1</f>
        <v>0.10757298956762</v>
      </c>
      <c r="F18" s="1" t="s">
        <v>1133</v>
      </c>
    </row>
    <row r="19" customFormat="false" ht="17.15" hidden="false" customHeight="false" outlineLevel="0" collapsed="false">
      <c r="A19" s="0" t="s">
        <v>1134</v>
      </c>
      <c r="B19" s="6" t="n">
        <f aca="false">Seg!F55/4</f>
        <v>16.2853941140782</v>
      </c>
      <c r="C19" s="6" t="n">
        <f aca="false">g_q1_dc</f>
        <v>14.95</v>
      </c>
      <c r="D19" s="6" t="n">
        <f aca="false">B19-C19</f>
        <v>1.33539411407823</v>
      </c>
      <c r="E19" s="37" t="n">
        <f aca="false">B19/C19-1</f>
        <v>0.0893240210085771</v>
      </c>
      <c r="F19" s="11" t="s">
        <v>1135</v>
      </c>
    </row>
    <row r="20" customFormat="false" ht="17.15" hidden="false" customHeight="false" outlineLevel="0" collapsed="false">
      <c r="A20" s="1" t="s">
        <v>1136</v>
      </c>
      <c r="B20" s="6" t="n">
        <f aca="false">Seg!F56/4</f>
        <v>99.8517761769551</v>
      </c>
      <c r="C20" s="6" t="n">
        <f aca="false">g_q1_rev</f>
        <v>90.4</v>
      </c>
      <c r="D20" s="6" t="n">
        <f aca="false">B20-C20</f>
        <v>9.45177617695512</v>
      </c>
      <c r="E20" s="37" t="n">
        <f aca="false">B20/C20-1</f>
        <v>0.104555046205256</v>
      </c>
      <c r="F20" s="11" t="s">
        <v>87</v>
      </c>
    </row>
    <row r="21" customFormat="false" ht="17.15" hidden="false" customHeight="false" outlineLevel="0" collapsed="false">
      <c r="A21" s="0" t="s">
        <v>1137</v>
      </c>
      <c r="B21" s="7" t="n">
        <f aca="false">Seg!F36/Seg!E36-1</f>
        <v>0.42384543852464</v>
      </c>
      <c r="C21" s="7" t="n">
        <f aca="false">g_q1_az</f>
        <v>0.445</v>
      </c>
      <c r="D21" s="7" t="n">
        <f aca="false">B21-C21</f>
        <v>-0.0211545614753596</v>
      </c>
      <c r="F21" s="1" t="s">
        <v>1138</v>
      </c>
    </row>
    <row r="22" customFormat="false" ht="17.15" hidden="false" customHeight="false" outlineLevel="0" collapsed="false">
      <c r="A22" s="1" t="s">
        <v>1139</v>
      </c>
      <c r="B22" s="7" t="n">
        <f aca="false">PL!F76-PL!E76</f>
        <v>-0.0252635820701605</v>
      </c>
      <c r="C22" s="7" t="n">
        <f aca="false">g_fy27_opm</f>
        <v>-0.01</v>
      </c>
      <c r="D22" s="7" t="n">
        <f aca="false">B22-C22</f>
        <v>-0.0152635820701605</v>
      </c>
      <c r="F22" s="1" t="s">
        <v>1140</v>
      </c>
    </row>
    <row r="23" customFormat="false" ht="17.15" hidden="false" customHeight="false" outlineLevel="0" collapsed="false">
      <c r="A23" s="1" t="s">
        <v>1141</v>
      </c>
      <c r="B23" s="6" t="n">
        <f aca="false">CF!F57/4</f>
        <v>51.05</v>
      </c>
      <c r="C23" s="6" t="n">
        <f aca="false">g_q1_cx</f>
        <v>50</v>
      </c>
      <c r="D23" s="6" t="n">
        <f aca="false">B23-C23</f>
        <v>1.05</v>
      </c>
      <c r="E23" s="37" t="n">
        <f aca="false">B23/C23-1</f>
        <v>0.0210000000000001</v>
      </c>
      <c r="F23" s="11" t="s">
        <v>87</v>
      </c>
    </row>
    <row r="24" customFormat="false" ht="17.15" hidden="false" customHeight="false" outlineLevel="0" collapsed="false">
      <c r="A24" s="9" t="s">
        <v>1142</v>
      </c>
    </row>
    <row r="25" customFormat="false" ht="17.15" hidden="false" customHeight="false" outlineLevel="0" collapsed="false">
      <c r="A25" s="0" t="s">
        <v>1143</v>
      </c>
      <c r="B25" s="6" t="n">
        <f aca="false">Thesis!E72+Seg!E38</f>
        <v>33.0595064661409</v>
      </c>
      <c r="C25" s="6" t="n">
        <f aca="false">ai_runrate</f>
        <v>37</v>
      </c>
      <c r="D25" s="6" t="n">
        <f aca="false">B25-C25</f>
        <v>-3.94049353385914</v>
      </c>
      <c r="E25" s="37" t="n">
        <f aca="false">B25/C25-1</f>
        <v>-0.106499825239436</v>
      </c>
      <c r="F25" s="1" t="s">
        <v>1144</v>
      </c>
    </row>
    <row r="26" customFormat="false" ht="17.15" hidden="false" customHeight="false" outlineLevel="0" collapsed="false">
      <c r="A26" s="0" t="s">
        <v>1145</v>
      </c>
      <c r="B26" s="7" t="n">
        <f aca="false">Thesis!E72/Seg!E36</f>
        <v>0.272808044754075</v>
      </c>
      <c r="F26" s="1" t="s">
        <v>1146</v>
      </c>
    </row>
    <row r="27" customFormat="false" ht="17.15" hidden="false" customHeight="false" outlineLevel="0" collapsed="false">
      <c r="A27" s="0" t="s">
        <v>1147</v>
      </c>
      <c r="B27" s="6" t="n">
        <f aca="false">Seg!E38</f>
        <v>5.25</v>
      </c>
      <c r="F27" s="1" t="s">
        <v>1148</v>
      </c>
    </row>
    <row r="28" customFormat="false" ht="17.15" hidden="false" customHeight="false" outlineLevel="0" collapsed="false">
      <c r="A28" s="9" t="s">
        <v>1149</v>
      </c>
    </row>
    <row r="29" customFormat="false" ht="17.15" hidden="false" customHeight="false" outlineLevel="0" collapsed="false">
      <c r="A29" s="0" t="s">
        <v>1150</v>
      </c>
      <c r="B29" s="6" t="n">
        <f aca="false">Seg!F36</f>
        <v>145.143956312325</v>
      </c>
      <c r="F29" s="1" t="s">
        <v>1151</v>
      </c>
    </row>
    <row r="30" customFormat="false" ht="17.15" hidden="false" customHeight="false" outlineLevel="0" collapsed="false">
      <c r="A30" s="0" t="s">
        <v>1152</v>
      </c>
      <c r="B30" s="6" t="n">
        <f aca="false">Seg!F41</f>
        <v>118.89238776686</v>
      </c>
      <c r="F30" s="1" t="s">
        <v>1151</v>
      </c>
    </row>
    <row r="31" customFormat="false" ht="17.15" hidden="false" customHeight="false" outlineLevel="0" collapsed="false">
      <c r="A31" s="0" t="s">
        <v>1153</v>
      </c>
      <c r="B31" s="6" t="n">
        <f aca="false">Seg!F42</f>
        <v>39.0720834331704</v>
      </c>
      <c r="F31" s="1" t="s">
        <v>1151</v>
      </c>
    </row>
    <row r="32" customFormat="false" ht="17.15" hidden="false" customHeight="false" outlineLevel="0" collapsed="false">
      <c r="A32" s="0" t="s">
        <v>1154</v>
      </c>
      <c r="B32" s="6" t="n">
        <f aca="false">Seg!F44</f>
        <v>22.3572203267814</v>
      </c>
      <c r="F32" s="1" t="s">
        <v>1151</v>
      </c>
    </row>
    <row r="33" customFormat="false" ht="17.15" hidden="false" customHeight="false" outlineLevel="0" collapsed="false">
      <c r="A33" s="0" t="s">
        <v>1155</v>
      </c>
      <c r="B33" s="6" t="n">
        <f aca="false">Seg!F46</f>
        <v>8.79988041237113</v>
      </c>
      <c r="F33" s="1" t="s">
        <v>1151</v>
      </c>
    </row>
    <row r="34" customFormat="false" ht="17.15" hidden="false" customHeight="false" outlineLevel="0" collapsed="false">
      <c r="A34" s="0" t="s">
        <v>1156</v>
      </c>
      <c r="B34" s="6" t="n">
        <f aca="false">Seg!F49</f>
        <v>27.6114901218559</v>
      </c>
      <c r="F34" s="1" t="s">
        <v>1151</v>
      </c>
    </row>
    <row r="35" customFormat="false" ht="17.15" hidden="false" customHeight="false" outlineLevel="0" collapsed="false">
      <c r="A35" s="0" t="s">
        <v>1157</v>
      </c>
      <c r="B35" s="6" t="n">
        <f aca="false">Seg!F51</f>
        <v>20.5736277908051</v>
      </c>
      <c r="F35" s="1" t="s">
        <v>1151</v>
      </c>
    </row>
    <row r="36" customFormat="false" ht="17.15" hidden="false" customHeight="false" outlineLevel="0" collapsed="false">
      <c r="A36" s="0" t="s">
        <v>1158</v>
      </c>
      <c r="B36" s="6" t="n">
        <f aca="false">Seg!F53</f>
        <v>16.9564585436519</v>
      </c>
      <c r="F36" s="1" t="s">
        <v>1151</v>
      </c>
    </row>
    <row r="37" customFormat="false" ht="17.15" hidden="false" customHeight="false" outlineLevel="0" collapsed="false">
      <c r="A37" s="9" t="s">
        <v>1159</v>
      </c>
    </row>
    <row r="38" customFormat="false" ht="17.15" hidden="false" customHeight="false" outlineLevel="0" collapsed="false">
      <c r="A38" s="0" t="s">
        <v>1160</v>
      </c>
      <c r="B38" s="6" t="n">
        <f aca="false">old_tp</f>
        <v>359.06</v>
      </c>
      <c r="F38" s="11" t="s">
        <v>693</v>
      </c>
    </row>
    <row r="39" customFormat="false" ht="17.15" hidden="false" customHeight="false" outlineLevel="0" collapsed="false">
      <c r="A39" s="1" t="s">
        <v>1161</v>
      </c>
      <c r="B39" s="6" t="n">
        <f aca="false">w_dcf*old_dcf+(1-w_dcf)*old_ev-old_tp</f>
        <v>-3.17500000000001</v>
      </c>
      <c r="F39" s="1" t="s">
        <v>1162</v>
      </c>
    </row>
    <row r="40" customFormat="false" ht="17.15" hidden="false" customHeight="false" outlineLevel="0" collapsed="false">
      <c r="A40" s="0" t="s">
        <v>1163</v>
      </c>
      <c r="B40" s="6" t="n">
        <f aca="false">w_dcf*(Val!$C$13-old_dcf)</f>
        <v>2.67774478126032</v>
      </c>
      <c r="F40" s="1" t="s">
        <v>1164</v>
      </c>
    </row>
    <row r="41" customFormat="false" ht="17.15" hidden="false" customHeight="false" outlineLevel="0" collapsed="false">
      <c r="A41" s="1" t="s">
        <v>1165</v>
      </c>
      <c r="B41" s="6" t="n">
        <f aca="false">(1-w_dcf)*(Val!$C$30-old_ev)</f>
        <v>28.9465226400307</v>
      </c>
      <c r="F41" s="1" t="s">
        <v>1166</v>
      </c>
    </row>
    <row r="42" customFormat="false" ht="17.15" hidden="false" customHeight="false" outlineLevel="0" collapsed="false">
      <c r="A42" s="1" t="s">
        <v>1167</v>
      </c>
      <c r="B42" s="6" t="n">
        <f aca="false">Val!$B$36-Val!$C$44</f>
        <v>-1.94681719630051</v>
      </c>
      <c r="F42" s="11" t="s">
        <v>1168</v>
      </c>
    </row>
    <row r="43" customFormat="false" ht="17.15" hidden="false" customHeight="false" outlineLevel="0" collapsed="false">
      <c r="A43" s="0" t="s">
        <v>1169</v>
      </c>
      <c r="B43" s="6" t="n">
        <f aca="false">Val!$B$36</f>
        <v>385.56245022499</v>
      </c>
      <c r="F43" s="11" t="s">
        <v>87</v>
      </c>
    </row>
    <row r="44" customFormat="false" ht="17.15" hidden="false" customHeight="false" outlineLevel="0" collapsed="false">
      <c r="A44" s="23" t="s">
        <v>1170</v>
      </c>
      <c r="B44" s="24" t="n">
        <f aca="false">B38+B39+B40+B41+B42-B43</f>
        <v>0</v>
      </c>
      <c r="C44" s="30"/>
      <c r="D44" s="30"/>
      <c r="E44" s="30"/>
      <c r="F44" s="30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7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50"/>
    <col collapsed="false" customWidth="true" hidden="false" outlineLevel="0" max="11" min="7" style="0" width="11"/>
    <col collapsed="false" customWidth="true" hidden="false" outlineLevel="0" max="12" min="12" style="0" width="50"/>
  </cols>
  <sheetData>
    <row r="1" customFormat="false" ht="17.15" hidden="false" customHeight="false" outlineLevel="0" collapsed="false">
      <c r="A1" s="0" t="s">
        <v>1171</v>
      </c>
    </row>
    <row r="3" customFormat="false" ht="17.15" hidden="false" customHeight="false" outlineLevel="0" collapsed="false">
      <c r="A3" s="4" t="s">
        <v>1172</v>
      </c>
      <c r="B3" s="4" t="s">
        <v>1173</v>
      </c>
      <c r="C3" s="4" t="s">
        <v>1174</v>
      </c>
      <c r="D3" s="4" t="s">
        <v>1175</v>
      </c>
      <c r="E3" s="4" t="s">
        <v>1176</v>
      </c>
      <c r="F3" s="4" t="s">
        <v>47</v>
      </c>
    </row>
    <row r="4" customFormat="false" ht="17.15" hidden="false" customHeight="false" outlineLevel="0" collapsed="false">
      <c r="A4" s="1" t="s">
        <v>1177</v>
      </c>
      <c r="B4" s="1" t="s">
        <v>1178</v>
      </c>
      <c r="C4" s="5" t="n">
        <f aca="false">w_dcf*(w_A*Sens!$C$242+w_B*Sens!$C$435+w_C*Sens!$C$628)+(1-w_dcf)*(w_A*Sens!$C$271+w_B*Sens!$C$464+w_C*Sens!$C$657)</f>
        <v>315.266407730284</v>
      </c>
      <c r="D4" s="38" t="n">
        <f aca="false">C4-Val!$B$36</f>
        <v>-70.2960424947069</v>
      </c>
      <c r="E4" s="37" t="n">
        <f aca="false">C4/Val!$B$36-1</f>
        <v>-0.182320769187161</v>
      </c>
      <c r="F4" s="11" t="s">
        <v>1179</v>
      </c>
    </row>
    <row r="5" customFormat="false" ht="17.15" hidden="false" customHeight="false" outlineLevel="0" collapsed="false">
      <c r="A5" s="0" t="s">
        <v>1180</v>
      </c>
      <c r="B5" s="1" t="s">
        <v>1181</v>
      </c>
      <c r="C5" s="5" t="n">
        <f aca="false">w_dcf*(w_A*Sens!$C$821+w_B*Sens!$C$1014+w_C*Sens!$C$1207)+(1-w_dcf)*(w_A*Sens!$C$850+w_B*Sens!$C$1043+w_C*Sens!$C$1236)</f>
        <v>355.427232641281</v>
      </c>
      <c r="D5" s="38" t="n">
        <f aca="false">C5-Val!$B$36</f>
        <v>-30.1352175837093</v>
      </c>
      <c r="E5" s="37" t="n">
        <f aca="false">C5/Val!$B$36-1</f>
        <v>-0.0781591090266293</v>
      </c>
      <c r="F5" s="1" t="s">
        <v>1182</v>
      </c>
    </row>
    <row r="6" customFormat="false" ht="17.15" hidden="false" customHeight="false" outlineLevel="0" collapsed="false">
      <c r="A6" s="0" t="s">
        <v>1183</v>
      </c>
      <c r="B6" s="1" t="s">
        <v>1181</v>
      </c>
      <c r="C6" s="5" t="n">
        <f aca="false">w_dcf*(w_A*Sens!$C$1400+w_B*Sens!$C$1593+w_C*Sens!$C$1786)+(1-w_dcf)*(w_A*Sens!$C$1429+w_B*Sens!$C$1622+w_C*Sens!$C$1815)</f>
        <v>415.69624039092</v>
      </c>
      <c r="D6" s="38" t="n">
        <f aca="false">C6-Val!$B$36</f>
        <v>30.13379016593</v>
      </c>
      <c r="E6" s="37" t="n">
        <f aca="false">C6/Val!$B$36-1</f>
        <v>0.0781554068565178</v>
      </c>
      <c r="F6" s="1" t="s">
        <v>1184</v>
      </c>
    </row>
    <row r="7" customFormat="false" ht="17.15" hidden="false" customHeight="false" outlineLevel="0" collapsed="false">
      <c r="A7" s="1" t="s">
        <v>1185</v>
      </c>
      <c r="B7" s="1" t="s">
        <v>1186</v>
      </c>
      <c r="C7" s="5" t="n">
        <f aca="false">w_dcf*(w_A*Sens!$C$1979+w_B*Sens!$C$2172+w_C*Sens!$C$2365)+(1-w_dcf)*(w_A*Sens!$C$2008+w_B*Sens!$C$2201+w_C*Sens!$C$2394)</f>
        <v>388.156396293352</v>
      </c>
      <c r="D7" s="38" t="n">
        <f aca="false">C7-Val!$B$36</f>
        <v>2.59394606836116</v>
      </c>
      <c r="E7" s="37" t="n">
        <f aca="false">C7/Val!$B$36-1</f>
        <v>0.0067276937026608</v>
      </c>
      <c r="F7" s="1" t="s">
        <v>1187</v>
      </c>
    </row>
    <row r="8" customFormat="false" ht="17.15" hidden="false" customHeight="false" outlineLevel="0" collapsed="false">
      <c r="A8" s="1" t="s">
        <v>1188</v>
      </c>
      <c r="B8" s="1" t="s">
        <v>1186</v>
      </c>
      <c r="C8" s="5" t="n">
        <f aca="false">w_dcf*(w_A*Sens!$C$2558+w_B*Sens!$C$2751+w_C*Sens!$C$2944)+(1-w_dcf)*(w_A*Sens!$C$2587+w_B*Sens!$C$2780+w_C*Sens!$C$2973)</f>
        <v>379.065113231972</v>
      </c>
      <c r="D8" s="38" t="n">
        <f aca="false">C8-Val!$B$36</f>
        <v>-6.49733699301868</v>
      </c>
      <c r="E8" s="37" t="n">
        <f aca="false">C8/Val!$B$36-1</f>
        <v>-0.0168515813436376</v>
      </c>
      <c r="F8" s="11" t="s">
        <v>1189</v>
      </c>
    </row>
    <row r="9" customFormat="false" ht="17.15" hidden="false" customHeight="false" outlineLevel="0" collapsed="false">
      <c r="A9" s="0" t="s">
        <v>1190</v>
      </c>
      <c r="B9" s="1" t="s">
        <v>1191</v>
      </c>
      <c r="C9" s="5" t="n">
        <f aca="false">w_dcf*(w_A*Sens!$C$3137+w_B*Sens!$C$3330+w_C*Sens!$C$3523)+(1-w_dcf)*(w_A*Sens!$C$3166+w_B*Sens!$C$3359+w_C*Sens!$C$3552)</f>
        <v>352.382906518878</v>
      </c>
      <c r="D9" s="38" t="n">
        <f aca="false">C9-Val!$B$36</f>
        <v>-33.1795437061123</v>
      </c>
      <c r="E9" s="37" t="n">
        <f aca="false">C9/Val!$B$36-1</f>
        <v>-0.0860549145456222</v>
      </c>
      <c r="F9" s="1" t="s">
        <v>1192</v>
      </c>
    </row>
    <row r="10" customFormat="false" ht="17.15" hidden="false" customHeight="false" outlineLevel="0" collapsed="false">
      <c r="A10" s="0" t="s">
        <v>1193</v>
      </c>
      <c r="B10" s="1" t="s">
        <v>1191</v>
      </c>
      <c r="C10" s="5" t="n">
        <f aca="false">w_dcf*(w_A*Sens!$C$3716+w_B*Sens!$C$3909+w_C*Sens!$C$4102)+(1-w_dcf)*(w_A*Sens!$C$3745+w_B*Sens!$C$3938+w_C*Sens!$C$4131)</f>
        <v>391.057123236127</v>
      </c>
      <c r="D10" s="38" t="n">
        <f aca="false">C10-Val!$B$36</f>
        <v>5.49467301113663</v>
      </c>
      <c r="E10" s="37" t="n">
        <f aca="false">C10/Val!$B$36-1</f>
        <v>0.0142510584418434</v>
      </c>
      <c r="F10" s="11" t="s">
        <v>1194</v>
      </c>
    </row>
    <row r="11" customFormat="false" ht="17.15" hidden="false" customHeight="false" outlineLevel="0" collapsed="false">
      <c r="A11" s="0" t="s">
        <v>1195</v>
      </c>
      <c r="B11" s="1" t="s">
        <v>1196</v>
      </c>
      <c r="C11" s="5" t="n">
        <f aca="false">w_dcf*(w_A*Sens!$C$4295+w_B*Sens!$C$4488+w_C*Sens!$C$4681)+(1-w_dcf)*(w_A*Sens!$C$4324+w_B*Sens!$C$4517+w_C*Sens!$C$4710)</f>
        <v>364.719960728174</v>
      </c>
      <c r="D11" s="38" t="n">
        <f aca="false">C11-Val!$B$36</f>
        <v>-20.8424894968164</v>
      </c>
      <c r="E11" s="37" t="n">
        <f aca="false">C11/Val!$B$36-1</f>
        <v>-0.0540573634301111</v>
      </c>
      <c r="F11" s="1" t="s">
        <v>1197</v>
      </c>
    </row>
    <row r="12" customFormat="false" ht="17.15" hidden="false" customHeight="false" outlineLevel="0" collapsed="false">
      <c r="A12" s="0" t="s">
        <v>1198</v>
      </c>
      <c r="B12" s="1" t="s">
        <v>1196</v>
      </c>
      <c r="C12" s="5" t="n">
        <f aca="false">w_dcf*(w_A*Sens!$C$4874+w_B*Sens!$C$5067+w_C*Sens!$C$5260)+(1-w_dcf)*(w_A*Sens!$C$4903+w_B*Sens!$C$5096+w_C*Sens!$C$5289)</f>
        <v>399.722718294063</v>
      </c>
      <c r="D12" s="38" t="n">
        <f aca="false">C12-Val!$B$36</f>
        <v>14.1602680690725</v>
      </c>
      <c r="E12" s="37" t="n">
        <f aca="false">C12/Val!$B$36-1</f>
        <v>0.0367262633091199</v>
      </c>
      <c r="F12" s="11" t="s">
        <v>87</v>
      </c>
    </row>
    <row r="13" customFormat="false" ht="17.15" hidden="false" customHeight="false" outlineLevel="0" collapsed="false">
      <c r="A13" s="0" t="s">
        <v>1199</v>
      </c>
      <c r="B13" s="1" t="s">
        <v>1200</v>
      </c>
      <c r="C13" s="5" t="n">
        <f aca="false">w_dcf*(w_A*Sens!$C$5453+w_B*Sens!$C$5646+w_C*Sens!$C$5839)+(1-w_dcf)*(w_A*Sens!$C$5482+w_B*Sens!$C$5675+w_C*Sens!$C$5868)</f>
        <v>386.796553520729</v>
      </c>
      <c r="D13" s="38" t="n">
        <f aca="false">C13-Val!$B$36</f>
        <v>1.23410329573903</v>
      </c>
      <c r="E13" s="37" t="n">
        <f aca="false">C13/Val!$B$36-1</f>
        <v>0.003200787045053</v>
      </c>
      <c r="F13" s="1" t="s">
        <v>1201</v>
      </c>
    </row>
    <row r="14" customFormat="false" ht="17.15" hidden="false" customHeight="false" outlineLevel="0" collapsed="false">
      <c r="A14" s="0" t="s">
        <v>1202</v>
      </c>
      <c r="B14" s="1" t="s">
        <v>1200</v>
      </c>
      <c r="C14" s="5" t="n">
        <f aca="false">w_dcf*(w_A*Sens!$C$6032+w_B*Sens!$C$6225+w_C*Sens!$C$6418)+(1-w_dcf)*(w_A*Sens!$C$6061+w_B*Sens!$C$6254+w_C*Sens!$C$6447)</f>
        <v>384.328942666471</v>
      </c>
      <c r="D14" s="38" t="n">
        <f aca="false">C14-Val!$B$36</f>
        <v>-1.23350755851976</v>
      </c>
      <c r="E14" s="37" t="n">
        <f aca="false">C14/Val!$B$36-1</f>
        <v>-0.00319924193292154</v>
      </c>
      <c r="F14" s="11" t="s">
        <v>87</v>
      </c>
    </row>
    <row r="15" customFormat="false" ht="17.15" hidden="false" customHeight="false" outlineLevel="0" collapsed="false">
      <c r="A15" s="0" t="s">
        <v>1203</v>
      </c>
      <c r="B15" s="1" t="s">
        <v>1204</v>
      </c>
      <c r="C15" s="5" t="n">
        <f aca="false">w_dcf*(w_A*Sens!$C$6611+w_B*Sens!$C$6804+w_C*Sens!$C$6997)+(1-w_dcf)*(w_A*Sens!$C$6640+w_B*Sens!$C$6833+w_C*Sens!$C$7026)</f>
        <v>385.864674613803</v>
      </c>
      <c r="D15" s="38" t="n">
        <f aca="false">C15-Val!$B$36</f>
        <v>0.302224388812476</v>
      </c>
      <c r="E15" s="37" t="n">
        <f aca="false">C15/Val!$B$36-1</f>
        <v>0.000783853273668367</v>
      </c>
      <c r="F15" s="1" t="s">
        <v>1205</v>
      </c>
    </row>
    <row r="16" customFormat="false" ht="17.15" hidden="false" customHeight="false" outlineLevel="0" collapsed="false">
      <c r="A16" s="0" t="s">
        <v>1206</v>
      </c>
      <c r="B16" s="1" t="s">
        <v>1204</v>
      </c>
      <c r="C16" s="5" t="n">
        <f aca="false">w_dcf*(w_A*Sens!$C$7190+w_B*Sens!$C$7383+w_C*Sens!$C$7576)+(1-w_dcf)*(w_A*Sens!$C$7219+w_B*Sens!$C$7412+w_C*Sens!$C$7605)</f>
        <v>385.346920272316</v>
      </c>
      <c r="D16" s="38" t="n">
        <f aca="false">C16-Val!$B$36</f>
        <v>-0.21552995267399</v>
      </c>
      <c r="E16" s="37" t="n">
        <f aca="false">C16/Val!$B$36-1</f>
        <v>-0.000559001408327542</v>
      </c>
      <c r="F16" s="11" t="s">
        <v>87</v>
      </c>
    </row>
    <row r="17" customFormat="false" ht="17.15" hidden="false" customHeight="false" outlineLevel="0" collapsed="false">
      <c r="A17" s="0" t="s">
        <v>1207</v>
      </c>
      <c r="B17" s="1" t="s">
        <v>1208</v>
      </c>
      <c r="C17" s="5" t="n">
        <f aca="false">w_dcf*(w_A*Sens!$C$7769+w_B*Sens!$C$7962+w_C*Sens!$C$8155)+(1-w_dcf)*(w_A*Sens!$C$7798+w_B*Sens!$C$7991+w_C*Sens!$C$8184)</f>
        <v>380.927317783725</v>
      </c>
      <c r="D17" s="38" t="n">
        <f aca="false">C17-Val!$B$36</f>
        <v>-4.63513244126528</v>
      </c>
      <c r="E17" s="37" t="n">
        <f aca="false">C17/Val!$B$36-1</f>
        <v>-0.0120217423625162</v>
      </c>
      <c r="F17" s="1" t="s">
        <v>1209</v>
      </c>
    </row>
    <row r="18" customFormat="false" ht="17.15" hidden="false" customHeight="false" outlineLevel="0" collapsed="false">
      <c r="A18" s="0" t="s">
        <v>1210</v>
      </c>
      <c r="B18" s="1" t="s">
        <v>1208</v>
      </c>
      <c r="C18" s="5" t="n">
        <f aca="false">w_dcf*(w_A*Sens!$C$8348+w_B*Sens!$C$8541+w_C*Sens!$C$8734)+(1-w_dcf)*(w_A*Sens!$C$8377+w_B*Sens!$C$8570+w_C*Sens!$C$8763)</f>
        <v>392.153966407371</v>
      </c>
      <c r="D18" s="38" t="n">
        <f aca="false">C18-Val!$B$36</f>
        <v>6.59151618238042</v>
      </c>
      <c r="E18" s="37" t="n">
        <f aca="false">C18/Val!$B$36-1</f>
        <v>0.0170958457664485</v>
      </c>
      <c r="F18" s="11" t="s">
        <v>87</v>
      </c>
    </row>
    <row r="19" customFormat="false" ht="17.15" hidden="false" customHeight="false" outlineLevel="0" collapsed="false">
      <c r="A19" s="1" t="s">
        <v>1211</v>
      </c>
      <c r="B19" s="1" t="s">
        <v>1212</v>
      </c>
      <c r="C19" s="5" t="n">
        <f aca="false">w_dcf*(w_A*Sens!$C$8927+w_B*Sens!$C$9120+w_C*Sens!$C$9313)+(1-w_dcf)*(w_A*Sens!$C$8956+w_B*Sens!$C$9149+w_C*Sens!$C$9342)</f>
        <v>384.968994906696</v>
      </c>
      <c r="D19" s="38" t="n">
        <f aca="false">C19-Val!$B$36</f>
        <v>-0.593455318294048</v>
      </c>
      <c r="E19" s="37" t="n">
        <f aca="false">C19/Val!$B$36-1</f>
        <v>-0.00153919376212008</v>
      </c>
      <c r="F19" s="1" t="s">
        <v>1213</v>
      </c>
    </row>
    <row r="20" customFormat="false" ht="17.15" hidden="false" customHeight="false" outlineLevel="0" collapsed="false">
      <c r="A20" s="1" t="s">
        <v>1214</v>
      </c>
      <c r="B20" s="1" t="s">
        <v>1212</v>
      </c>
      <c r="C20" s="5" t="n">
        <f aca="false">w_dcf*(w_A*Sens!$C$9506+w_B*Sens!$C$9699+w_C*Sens!$C$9892)+(1-w_dcf)*(w_A*Sens!$C$9535+w_B*Sens!$C$9728+w_C*Sens!$C$9921)</f>
        <v>386.1926928153</v>
      </c>
      <c r="D20" s="38" t="n">
        <f aca="false">C20-Val!$B$36</f>
        <v>0.630242590309251</v>
      </c>
      <c r="E20" s="37" t="n">
        <f aca="false">C20/Val!$B$36-1</f>
        <v>0.00163460572973717</v>
      </c>
      <c r="F20" s="11" t="s">
        <v>87</v>
      </c>
    </row>
    <row r="21" customFormat="false" ht="17.15" hidden="false" customHeight="false" outlineLevel="0" collapsed="false">
      <c r="A21" s="0" t="s">
        <v>1215</v>
      </c>
      <c r="B21" s="1" t="s">
        <v>1216</v>
      </c>
      <c r="C21" s="5" t="n">
        <f aca="false">w_dcf*(w_A*Sens!$C$10085+w_B*Sens!$C$10278+w_C*Sens!$C$10471)+(1-w_dcf)*(w_A*Sens!$C$10114+w_B*Sens!$C$10307+w_C*Sens!$C$10500)</f>
        <v>385.065198394019</v>
      </c>
      <c r="D21" s="38" t="n">
        <f aca="false">C21-Val!$B$36</f>
        <v>-0.497251830971891</v>
      </c>
      <c r="E21" s="37" t="n">
        <f aca="false">C21/Val!$B$36-1</f>
        <v>-0.00128967909266509</v>
      </c>
      <c r="F21" s="1" t="s">
        <v>1217</v>
      </c>
    </row>
    <row r="22" customFormat="false" ht="17.15" hidden="false" customHeight="false" outlineLevel="0" collapsed="false">
      <c r="A22" s="0" t="s">
        <v>1218</v>
      </c>
      <c r="B22" s="1" t="s">
        <v>1216</v>
      </c>
      <c r="C22" s="5" t="n">
        <f aca="false">w_dcf*(w_A*Sens!$C$10664+w_B*Sens!$C$10857+w_C*Sens!$C$11050)+(1-w_dcf)*(w_A*Sens!$C$10693+w_B*Sens!$C$10886+w_C*Sens!$C$11079)</f>
        <v>385.960936570034</v>
      </c>
      <c r="D22" s="38" t="n">
        <f aca="false">C22-Val!$B$36</f>
        <v>0.398486345043636</v>
      </c>
      <c r="E22" s="37" t="n">
        <f aca="false">C22/Val!$B$36-1</f>
        <v>0.00103351958887887</v>
      </c>
      <c r="F22" s="11" t="s">
        <v>87</v>
      </c>
    </row>
    <row r="23" customFormat="false" ht="17.15" hidden="false" customHeight="false" outlineLevel="0" collapsed="false">
      <c r="A23" s="1" t="s">
        <v>1219</v>
      </c>
      <c r="B23" s="1" t="s">
        <v>1220</v>
      </c>
      <c r="C23" s="5" t="n">
        <f aca="false">w_dcf*(w_A*Sens!$C$11243+w_B*Sens!$C$11436+w_C*Sens!$C$11629)+(1-w_dcf)*(w_A*Sens!$C$11272+w_B*Sens!$C$11465+w_C*Sens!$C$11658)</f>
        <v>372.25258661123</v>
      </c>
      <c r="D23" s="38" t="n">
        <f aca="false">C23-Val!$B$36</f>
        <v>-13.3098636137602</v>
      </c>
      <c r="E23" s="37" t="n">
        <f aca="false">C23/Val!$B$36-1</f>
        <v>-0.0345206427804196</v>
      </c>
      <c r="F23" s="11" t="s">
        <v>1221</v>
      </c>
    </row>
    <row r="24" customFormat="false" ht="17.15" hidden="false" customHeight="false" outlineLevel="0" collapsed="false">
      <c r="A24" s="1" t="s">
        <v>1222</v>
      </c>
      <c r="B24" s="1" t="s">
        <v>1220</v>
      </c>
      <c r="C24" s="5" t="n">
        <f aca="false">w_dcf*(w_A*Sens!$C$11822+w_B*Sens!$C$12015+w_C*Sens!$C$12208)+(1-w_dcf)*(w_A*Sens!$C$11851+w_B*Sens!$C$12044+w_C*Sens!$C$12237)</f>
        <v>398.872313838751</v>
      </c>
      <c r="D24" s="38" t="n">
        <f aca="false">C24-Val!$B$36</f>
        <v>13.3098636137601</v>
      </c>
      <c r="E24" s="37" t="n">
        <f aca="false">C24/Val!$B$36-1</f>
        <v>0.0345206427804192</v>
      </c>
      <c r="F24" s="11" t="s">
        <v>87</v>
      </c>
    </row>
    <row r="25" customFormat="false" ht="17.15" hidden="false" customHeight="false" outlineLevel="0" collapsed="false">
      <c r="A25" s="0" t="s">
        <v>1223</v>
      </c>
      <c r="B25" s="1" t="s">
        <v>1224</v>
      </c>
      <c r="C25" s="5" t="n">
        <f aca="false">w_dcf*(w_A*Sens!$C$12255+w_B*Sens!$C$12302+w_C*Sens!$C$12349)+(1-w_dcf)*(w_A*Sens!$C$12284+w_B*Sens!$C$12331+w_C*Sens!$C$12378)</f>
        <v>407.803028775378</v>
      </c>
      <c r="D25" s="38" t="n">
        <f aca="false">C25-Val!$B$36</f>
        <v>22.2405785503879</v>
      </c>
      <c r="E25" s="37" t="n">
        <f aca="false">C25/Val!$B$36-1</f>
        <v>0.0576834661606949</v>
      </c>
      <c r="F25" s="1" t="s">
        <v>1225</v>
      </c>
    </row>
    <row r="26" customFormat="false" ht="17.15" hidden="false" customHeight="false" outlineLevel="0" collapsed="false">
      <c r="A26" s="0" t="s">
        <v>1226</v>
      </c>
      <c r="B26" s="1" t="s">
        <v>1224</v>
      </c>
      <c r="C26" s="5" t="n">
        <f aca="false">w_dcf*(w_A*Sens!$C$12396+w_B*Sens!$C$12443+w_C*Sens!$C$12490)+(1-w_dcf)*(w_A*Sens!$C$12425+w_B*Sens!$C$12472+w_C*Sens!$C$12519)</f>
        <v>367.400724899398</v>
      </c>
      <c r="D26" s="38" t="n">
        <f aca="false">C26-Val!$B$36</f>
        <v>-18.1617253255923</v>
      </c>
      <c r="E26" s="37" t="n">
        <f aca="false">C26/Val!$B$36-1</f>
        <v>-0.0471044971184155</v>
      </c>
      <c r="F26" s="11" t="s">
        <v>87</v>
      </c>
    </row>
    <row r="27" customFormat="false" ht="15" hidden="false" customHeight="false" outlineLevel="0" collapsed="false">
      <c r="A27" s="0" t="s">
        <v>1227</v>
      </c>
      <c r="B27" s="1" t="s">
        <v>1228</v>
      </c>
      <c r="C27" s="5" t="n">
        <f aca="false">w_dcf*(w_A*Sens!$C$12537+w_B*Sens!$C$12584+w_C*Sens!$C$12631)+(1-w_dcf)*(w_A*Sens!$C$12566+w_B*Sens!$C$12613+w_C*Sens!$C$12660)</f>
        <v>384.238408008829</v>
      </c>
      <c r="D27" s="38" t="n">
        <f aca="false">C27-Val!$B$36</f>
        <v>-1.32404221616116</v>
      </c>
      <c r="E27" s="37" t="n">
        <f aca="false">C27/Val!$B$36-1</f>
        <v>-0.00343405384883444</v>
      </c>
      <c r="F27" s="11" t="s">
        <v>87</v>
      </c>
    </row>
    <row r="28" customFormat="false" ht="15" hidden="false" customHeight="false" outlineLevel="0" collapsed="false">
      <c r="A28" s="0" t="s">
        <v>1229</v>
      </c>
      <c r="B28" s="1" t="s">
        <v>1228</v>
      </c>
      <c r="C28" s="5" t="n">
        <f aca="false">w_dcf*(w_A*Sens!$C$12678+w_B*Sens!$C$12725+w_C*Sens!$C$12772)+(1-w_dcf)*(w_A*Sens!$C$12707+w_B*Sens!$C$12754+w_C*Sens!$C$12801)</f>
        <v>386.886492441152</v>
      </c>
      <c r="D28" s="38" t="n">
        <f aca="false">C28-Val!$B$36</f>
        <v>1.32404221616122</v>
      </c>
      <c r="E28" s="37" t="n">
        <f aca="false">C28/Val!$B$36-1</f>
        <v>0.00343405384883466</v>
      </c>
      <c r="F28" s="11" t="s">
        <v>87</v>
      </c>
    </row>
    <row r="29" customFormat="false" ht="17.15" hidden="false" customHeight="false" outlineLevel="0" collapsed="false">
      <c r="A29" s="0" t="s">
        <v>1230</v>
      </c>
      <c r="B29" s="1" t="s">
        <v>1231</v>
      </c>
      <c r="C29" s="5" t="n">
        <f aca="false">w_dcf*(w_A*Sens!$C$12819+w_B*Sens!$C$12866+w_C*Sens!$C$12913)+(1-w_dcf)*(w_A*Sens!$C$12848+w_B*Sens!$C$12895+w_C*Sens!$C$12942)</f>
        <v>396.779376452737</v>
      </c>
      <c r="D29" s="38" t="n">
        <f aca="false">C29-Val!$B$36</f>
        <v>11.2169262277467</v>
      </c>
      <c r="E29" s="37" t="n">
        <f aca="false">C29/Val!$B$36-1</f>
        <v>0.0290923719911034</v>
      </c>
      <c r="F29" s="1" t="s">
        <v>1232</v>
      </c>
    </row>
    <row r="30" customFormat="false" ht="15" hidden="false" customHeight="false" outlineLevel="0" collapsed="false">
      <c r="A30" s="0" t="s">
        <v>1233</v>
      </c>
      <c r="B30" s="1" t="s">
        <v>1231</v>
      </c>
      <c r="C30" s="5" t="n">
        <f aca="false">w_dcf*(w_A*Sens!$C$12960+w_B*Sens!$C$13007+w_C*Sens!$C$13054)+(1-w_dcf)*(w_A*Sens!$C$12989+w_B*Sens!$C$13036+w_C*Sens!$C$13083)</f>
        <v>366.391462465921</v>
      </c>
      <c r="D30" s="38" t="n">
        <f aca="false">C30-Val!$B$36</f>
        <v>-19.1709877590698</v>
      </c>
      <c r="E30" s="37" t="n">
        <f aca="false">C30/Val!$B$36-1</f>
        <v>-0.0497221338537577</v>
      </c>
      <c r="F30" s="11" t="s">
        <v>87</v>
      </c>
    </row>
    <row r="31" customFormat="false" ht="17.15" hidden="false" customHeight="false" outlineLevel="0" collapsed="false">
      <c r="A31" s="1" t="s">
        <v>1234</v>
      </c>
      <c r="B31" s="1" t="s">
        <v>1235</v>
      </c>
      <c r="C31" s="5" t="n">
        <f aca="false">w_dcf*(w_A*Sens!$C$13101+w_B*Sens!$C$13148+w_C*Sens!$C$13195)+(1-w_dcf)*(w_A*Sens!$C$13130+w_B*Sens!$C$13177+w_C*Sens!$C$13224)</f>
        <v>403.902163493451</v>
      </c>
      <c r="D31" s="38" t="n">
        <f aca="false">C31-Val!$B$36</f>
        <v>18.3397132684601</v>
      </c>
      <c r="E31" s="37" t="n">
        <f aca="false">C31/Val!$B$36-1</f>
        <v>0.0475661290609553</v>
      </c>
      <c r="F31" s="11" t="s">
        <v>1236</v>
      </c>
    </row>
    <row r="32" customFormat="false" ht="17.15" hidden="false" customHeight="false" outlineLevel="0" collapsed="false">
      <c r="A32" s="0" t="s">
        <v>1237</v>
      </c>
      <c r="B32" s="1" t="s">
        <v>1238</v>
      </c>
      <c r="C32" s="5" t="n">
        <f aca="false">w_dcf*(w_A*Sens!$C$13242+w_B*Sens!$C$13289+w_C*Sens!$C$13336)+(1-w_dcf)*(w_A*Sens!$C$13271+w_B*Sens!$C$13318+w_C*Sens!$C$13365)</f>
        <v>345.625457305619</v>
      </c>
      <c r="D32" s="38" t="n">
        <f aca="false">C32-Val!$B$36</f>
        <v>-39.9369929193718</v>
      </c>
      <c r="E32" s="37" t="n">
        <f aca="false">C32/Val!$B$36-1</f>
        <v>-0.103581126471385</v>
      </c>
      <c r="F32" s="1" t="s">
        <v>1239</v>
      </c>
    </row>
    <row r="33" customFormat="false" ht="17.15" hidden="false" customHeight="false" outlineLevel="0" collapsed="false">
      <c r="A33" s="0" t="s">
        <v>1240</v>
      </c>
      <c r="B33" s="1" t="s">
        <v>1238</v>
      </c>
      <c r="C33" s="5" t="n">
        <f aca="false">w_dcf*(w_A*Sens!$C$13383+w_B*Sens!$C$13430+w_C*Sens!$C$13477)+(1-w_dcf)*(w_A*Sens!$C$13412+w_B*Sens!$C$13459+w_C*Sens!$C$13506)</f>
        <v>425.499443144362</v>
      </c>
      <c r="D33" s="38" t="n">
        <f aca="false">C33-Val!$B$36</f>
        <v>39.9369929193718</v>
      </c>
      <c r="E33" s="37" t="n">
        <f aca="false">C33/Val!$B$36-1</f>
        <v>0.103581126471385</v>
      </c>
      <c r="F33" s="11" t="s">
        <v>87</v>
      </c>
    </row>
    <row r="35" customFormat="false" ht="17.15" hidden="false" customHeight="false" outlineLevel="0" collapsed="false">
      <c r="A35" s="3" t="s">
        <v>1241</v>
      </c>
    </row>
    <row r="36" customFormat="false" ht="17.15" hidden="false" customHeight="false" outlineLevel="0" collapsed="false">
      <c r="A36" s="4" t="s">
        <v>1242</v>
      </c>
      <c r="B36" s="4" t="s">
        <v>1243</v>
      </c>
      <c r="C36" s="4" t="s">
        <v>1174</v>
      </c>
      <c r="D36" s="4" t="s">
        <v>1175</v>
      </c>
      <c r="E36" s="4" t="s">
        <v>1176</v>
      </c>
      <c r="F36" s="4" t="s">
        <v>47</v>
      </c>
    </row>
    <row r="37" customFormat="false" ht="17.15" hidden="false" customHeight="false" outlineLevel="0" collapsed="false">
      <c r="A37" s="0" t="s">
        <v>1244</v>
      </c>
      <c r="B37" s="0" t="s">
        <v>1245</v>
      </c>
      <c r="C37" s="5" t="n">
        <f aca="false">w_dcf*(w_A*Val!$C$86+w_B*Val!$C$133+w_C*Sens!$C$13670)+(1-w_dcf)*(w_A*Val!$C$115+w_B*Val!$C$162+w_C*Sens!$C$13699)</f>
        <v>383.68998939988</v>
      </c>
      <c r="D37" s="38" t="n">
        <f aca="false">C37-Val!$B$36</f>
        <v>-1.87246082511052</v>
      </c>
      <c r="E37" s="37" t="n">
        <f aca="false">C37/Val!$B$36-1</f>
        <v>-0.00485643979079875</v>
      </c>
    </row>
    <row r="38" customFormat="false" ht="17.15" hidden="false" customHeight="false" outlineLevel="0" collapsed="false">
      <c r="A38" s="0" t="s">
        <v>1246</v>
      </c>
      <c r="B38" s="0" t="s">
        <v>1245</v>
      </c>
      <c r="C38" s="5" t="n">
        <f aca="false">w_dcf*(w_A*Val!$C$86+w_B*Val!$C$133+w_C*Sens!$C$13863)+(1-w_dcf)*(w_A*Val!$C$115+w_B*Val!$C$162+w_C*Sens!$C$13892)</f>
        <v>367.109036509678</v>
      </c>
      <c r="D38" s="38" t="n">
        <f aca="false">C38-Val!$B$36</f>
        <v>-18.4534137153129</v>
      </c>
      <c r="E38" s="37" t="n">
        <f aca="false">C38/Val!$B$36-1</f>
        <v>-0.0478610240819475</v>
      </c>
    </row>
    <row r="39" customFormat="false" ht="17.15" hidden="false" customHeight="false" outlineLevel="0" collapsed="false">
      <c r="A39" s="1" t="s">
        <v>1247</v>
      </c>
      <c r="B39" s="1" t="s">
        <v>1248</v>
      </c>
      <c r="C39" s="5" t="n">
        <f aca="false">w_dcf*(w_A*Sens!$C$13910+w_B*Sens!$C$13957+w_C*Sens!$C$14004)+(1-w_dcf)*(w_A*Sens!$C$13939+w_B*Sens!$C$13986+w_C*Sens!$C$14033)</f>
        <v>428.809668584822</v>
      </c>
      <c r="D39" s="38" t="n">
        <f aca="false">C39-Val!$B$36</f>
        <v>43.247218359832</v>
      </c>
      <c r="E39" s="37" t="n">
        <f aca="false">C39/Val!$B$36-1</f>
        <v>0.112166572067886</v>
      </c>
    </row>
    <row r="40" customFormat="false" ht="17.15" hidden="false" customHeight="false" outlineLevel="0" collapsed="false">
      <c r="A40" s="1" t="s">
        <v>1249</v>
      </c>
      <c r="B40" s="1" t="s">
        <v>1248</v>
      </c>
      <c r="C40" s="5" t="n">
        <f aca="false">w_dcf*(w_A*Sens!$C$14051+w_B*Sens!$C$14098+w_C*Sens!$C$14145)+(1-w_dcf)*(w_A*Sens!$C$14080+w_B*Sens!$C$14127+w_C*Sens!$C$14174)</f>
        <v>451.428292113466</v>
      </c>
      <c r="D40" s="38" t="n">
        <f aca="false">C40-Val!$B$36</f>
        <v>65.8658418884753</v>
      </c>
      <c r="E40" s="37" t="n">
        <f aca="false">C40/Val!$B$36-1</f>
        <v>0.170830540811327</v>
      </c>
    </row>
    <row r="41" customFormat="false" ht="17.15" hidden="false" customHeight="false" outlineLevel="0" collapsed="false">
      <c r="A41" s="1" t="s">
        <v>1250</v>
      </c>
      <c r="B41" s="1" t="s">
        <v>1248</v>
      </c>
      <c r="C41" s="5" t="n">
        <f aca="false">w_dcf*(w_A*Sens!$C$14338+w_B*Sens!$C$14531+w_C*Sens!$C$14724)+(1-w_dcf)*(w_A*Sens!$C$14367+w_B*Sens!$C$14560+w_C*Sens!$C$14753)</f>
        <v>351.027222605972</v>
      </c>
      <c r="D41" s="38" t="n">
        <f aca="false">C41-Val!$B$36</f>
        <v>-34.5352276190186</v>
      </c>
      <c r="E41" s="37" t="n">
        <f aca="false">C41/Val!$B$36-1</f>
        <v>-0.0895710347282677</v>
      </c>
    </row>
    <row r="42" customFormat="false" ht="17.15" hidden="false" customHeight="false" outlineLevel="0" collapsed="false">
      <c r="A42" s="1" t="s">
        <v>1251</v>
      </c>
      <c r="B42" s="1" t="s">
        <v>1248</v>
      </c>
      <c r="C42" s="5" t="n">
        <f aca="false">w_dcf*(w_A*Sens!$C$14917+w_B*Sens!$C$15110+w_C*Sens!$C$15303)+(1-w_dcf)*(w_A*Sens!$C$14946+w_B*Sens!$C$15139+w_C*Sens!$C$15332)</f>
        <v>378.930001833593</v>
      </c>
      <c r="D42" s="38" t="n">
        <f aca="false">C42-Val!$B$36</f>
        <v>-6.63244839139753</v>
      </c>
      <c r="E42" s="37" t="n">
        <f aca="false">C42/Val!$B$36-1</f>
        <v>-0.0172020080988884</v>
      </c>
    </row>
    <row r="43" customFormat="false" ht="17.15" hidden="false" customHeight="false" outlineLevel="0" collapsed="false">
      <c r="A43" s="0" t="s">
        <v>1252</v>
      </c>
      <c r="B43" s="1" t="s">
        <v>1248</v>
      </c>
      <c r="C43" s="5" t="n">
        <f aca="false">w_dcf*(w_A*Sens!$C$15496+w_B*Sens!$C$15689+w_C*Sens!$C$15882)+(1-w_dcf)*(w_A*Sens!$C$15525+w_B*Sens!$C$15718+w_C*Sens!$C$15911)</f>
        <v>386.91871586033</v>
      </c>
      <c r="D43" s="38" t="n">
        <f aca="false">C43-Val!$B$36</f>
        <v>1.35626563533907</v>
      </c>
      <c r="E43" s="37" t="n">
        <f aca="false">C43/Val!$B$36-1</f>
        <v>0.00351762894583652</v>
      </c>
    </row>
    <row r="44" customFormat="false" ht="17.15" hidden="false" customHeight="false" outlineLevel="0" collapsed="false">
      <c r="A44" s="0" t="s">
        <v>1253</v>
      </c>
      <c r="B44" s="1" t="s">
        <v>1248</v>
      </c>
      <c r="C44" s="5" t="n">
        <f aca="false">w_dcf*(w_A*Sens!$C$16075+w_B*Sens!$C$16268+w_C*Sens!$C$16461)+(1-w_dcf)*(w_A*Sens!$C$16104+w_B*Sens!$C$16297+w_C*Sens!$C$16490)</f>
        <v>385.001447968583</v>
      </c>
      <c r="D44" s="38" t="n">
        <f aca="false">C44-Val!$B$36</f>
        <v>-0.561002256407278</v>
      </c>
      <c r="E44" s="37" t="n">
        <f aca="false">C44/Val!$B$36-1</f>
        <v>-0.00145502306067391</v>
      </c>
    </row>
    <row r="45" customFormat="false" ht="17.15" hidden="false" customHeight="false" outlineLevel="0" collapsed="false">
      <c r="A45" s="0" t="s">
        <v>1254</v>
      </c>
      <c r="B45" s="1" t="s">
        <v>1248</v>
      </c>
      <c r="C45" s="5" t="n">
        <f aca="false">w_dcf*(w_A*Sens!$C$16508+w_B*Sens!$C$16555+w_C*Sens!$C$16602)+(1-w_dcf)*(w_A*Sens!$C$16537+w_B*Sens!$C$16584+w_C*Sens!$C$16631)</f>
        <v>387.513142232246</v>
      </c>
      <c r="D45" s="38" t="n">
        <f aca="false">C45-Val!$B$36</f>
        <v>1.9506920072551</v>
      </c>
      <c r="E45" s="37" t="n">
        <f aca="false">C45/Val!$B$36-1</f>
        <v>0.00505934124580021</v>
      </c>
    </row>
    <row r="46" customFormat="false" ht="17.15" hidden="false" customHeight="false" outlineLevel="0" collapsed="false">
      <c r="A46" s="0" t="s">
        <v>1255</v>
      </c>
      <c r="B46" s="1" t="s">
        <v>1248</v>
      </c>
      <c r="C46" s="5" t="n">
        <f aca="false">w_dcf*(w_A*Sens!$C$16649+w_B*Sens!$C$16696+w_C*Sens!$C$16743)+(1-w_dcf)*(w_A*Sens!$C$16678+w_B*Sens!$C$16725+w_C*Sens!$C$16772)</f>
        <v>394.096727756732</v>
      </c>
      <c r="D46" s="38" t="n">
        <f aca="false">C46-Val!$B$36</f>
        <v>8.53427753174123</v>
      </c>
      <c r="E46" s="37" t="n">
        <f aca="false">C46/Val!$B$36-1</f>
        <v>0.0221346179503765</v>
      </c>
    </row>
    <row r="47" customFormat="false" ht="17.15" hidden="false" customHeight="false" outlineLevel="0" collapsed="false">
      <c r="A47" s="0" t="s">
        <v>1256</v>
      </c>
      <c r="B47" s="1" t="s">
        <v>1257</v>
      </c>
      <c r="C47" s="5" t="n">
        <f aca="false">0.3*Val!$B$14+0.7*Val!$B$31</f>
        <v>408.763253112472</v>
      </c>
      <c r="D47" s="38" t="n">
        <f aca="false">C47-Val!$B$36</f>
        <v>23.2008028874814</v>
      </c>
      <c r="E47" s="37" t="n">
        <f aca="false">C47/Val!$B$36-1</f>
        <v>0.0601739170241886</v>
      </c>
    </row>
    <row r="48" customFormat="false" ht="17.15" hidden="false" customHeight="false" outlineLevel="0" collapsed="false">
      <c r="A48" s="0" t="s">
        <v>1258</v>
      </c>
      <c r="B48" s="1" t="s">
        <v>1257</v>
      </c>
      <c r="C48" s="5" t="n">
        <f aca="false">0.7*Val!$B$14+0.3*Val!$B$31</f>
        <v>362.361647337509</v>
      </c>
      <c r="D48" s="38" t="n">
        <f aca="false">C48-Val!$B$36</f>
        <v>-23.2008028874814</v>
      </c>
      <c r="E48" s="37" t="n">
        <f aca="false">C48/Val!$B$36-1</f>
        <v>-0.0601739170241886</v>
      </c>
    </row>
    <row r="49" customFormat="false" ht="17.15" hidden="false" customHeight="false" outlineLevel="0" collapsed="false">
      <c r="A49" s="1" t="s">
        <v>1259</v>
      </c>
      <c r="B49" s="1" t="s">
        <v>1257</v>
      </c>
      <c r="C49" s="5" t="n">
        <f aca="false">w_dcf*(0.3*Val!$B$13+0.5*Val!$C$13+0.2*Val!$D$13)+(1-w_dcf)*(0.3*Val!$B$30+0.5*Val!$C$30+0.2*Val!$D$30)</f>
        <v>389.722351552419</v>
      </c>
      <c r="D49" s="38" t="n">
        <f aca="false">C49-Val!$B$36</f>
        <v>4.15990132742849</v>
      </c>
      <c r="E49" s="37" t="n">
        <f aca="false">C49/Val!$B$36-1</f>
        <v>0.0107891765004633</v>
      </c>
    </row>
    <row r="50" customFormat="false" ht="17.15" hidden="false" customHeight="false" outlineLevel="0" collapsed="false">
      <c r="A50" s="1" t="s">
        <v>1260</v>
      </c>
      <c r="B50" s="1" t="s">
        <v>1257</v>
      </c>
      <c r="C50" s="5" t="n">
        <f aca="false">Val!$C$44</f>
        <v>387.509267421291</v>
      </c>
      <c r="D50" s="38" t="n">
        <f aca="false">C50-Val!$B$36</f>
        <v>1.94681719630051</v>
      </c>
      <c r="E50" s="37" t="n">
        <f aca="false">C50/Val!$B$36-1</f>
        <v>0.00504929148355737</v>
      </c>
    </row>
    <row r="52" customFormat="false" ht="17.15" hidden="false" customHeight="false" outlineLevel="0" collapsed="false">
      <c r="A52" s="3" t="s">
        <v>1261</v>
      </c>
    </row>
    <row r="80" customFormat="false" ht="17.15" hidden="false" customHeight="false" outlineLevel="0" collapsed="false">
      <c r="A80" s="3" t="s">
        <v>1262</v>
      </c>
    </row>
    <row r="81" customFormat="false" ht="15" hidden="false" customHeight="false" outlineLevel="0" collapsed="false">
      <c r="A81" s="4" t="s">
        <v>43</v>
      </c>
      <c r="B81" s="4" t="s">
        <v>65</v>
      </c>
      <c r="C81" s="20" t="s">
        <v>799</v>
      </c>
      <c r="D81" s="20" t="s">
        <v>800</v>
      </c>
      <c r="E81" s="20" t="s">
        <v>801</v>
      </c>
      <c r="F81" s="20" t="s">
        <v>802</v>
      </c>
      <c r="G81" s="20" t="s">
        <v>803</v>
      </c>
      <c r="H81" s="20" t="s">
        <v>804</v>
      </c>
      <c r="I81" s="20" t="s">
        <v>805</v>
      </c>
      <c r="J81" s="20" t="s">
        <v>806</v>
      </c>
      <c r="K81" s="20" t="s">
        <v>807</v>
      </c>
      <c r="L81" s="4" t="s">
        <v>47</v>
      </c>
    </row>
    <row r="82" customFormat="false" ht="17.15" hidden="false" customHeight="false" outlineLevel="0" collapsed="false">
      <c r="A82" s="1" t="s">
        <v>808</v>
      </c>
      <c r="B82" s="1" t="s">
        <v>235</v>
      </c>
      <c r="C82" s="28" t="n">
        <v>2024</v>
      </c>
      <c r="D82" s="28" t="n">
        <v>2025</v>
      </c>
      <c r="E82" s="28" t="n">
        <v>2026</v>
      </c>
      <c r="F82" s="28" t="n">
        <v>2027</v>
      </c>
      <c r="G82" s="28" t="n">
        <v>2028</v>
      </c>
      <c r="H82" s="28" t="n">
        <v>2029</v>
      </c>
      <c r="I82" s="28" t="n">
        <v>2030</v>
      </c>
      <c r="J82" s="28" t="n">
        <v>2031</v>
      </c>
      <c r="K82" s="28" t="n">
        <v>2032</v>
      </c>
    </row>
    <row r="83" customFormat="false" ht="17.15" hidden="false" customHeight="false" outlineLevel="0" collapsed="false">
      <c r="A83" s="1" t="s">
        <v>809</v>
      </c>
      <c r="B83" s="0" t="s">
        <v>399</v>
      </c>
      <c r="F83" s="29" t="n">
        <f aca="false">pace</f>
        <v>2527.2</v>
      </c>
      <c r="G83" s="29" t="n">
        <f aca="false">pace</f>
        <v>2527.2</v>
      </c>
      <c r="H83" s="29" t="n">
        <f aca="false">pace</f>
        <v>2527.2</v>
      </c>
      <c r="I83" s="29" t="n">
        <f aca="false">pace+(g_tv*Sens!H84-pace)*MIN(1,(Sens!I82-pace_y0)/(pace_y1-pace_y0))</f>
        <v>1793.116</v>
      </c>
      <c r="J83" s="29" t="n">
        <f aca="false">pace+(g_tv*Sens!I84-pace)*MIN(1,(Sens!J82-pace_y0)/(pace_y1-pace_y0))</f>
        <v>1094.89432</v>
      </c>
      <c r="K83" s="29" t="n">
        <f aca="false">pace+(g_tv*Sens!J84-pace)*MIN(1,(Sens!K82-pace_y0)/(pace_y1-pace_y0))</f>
        <v>411.5883096</v>
      </c>
      <c r="L83" s="11" t="s">
        <v>810</v>
      </c>
    </row>
    <row r="84" customFormat="false" ht="17.15" hidden="false" customHeight="false" outlineLevel="0" collapsed="false">
      <c r="A84" s="1" t="s">
        <v>811</v>
      </c>
      <c r="B84" s="0" t="s">
        <v>399</v>
      </c>
      <c r="C84" s="29" t="n">
        <f aca="false">mw_ext_24</f>
        <v>640</v>
      </c>
      <c r="D84" s="29" t="n">
        <f aca="false">mw_ext_25</f>
        <v>1630</v>
      </c>
      <c r="E84" s="29" t="n">
        <f aca="false">mw_ext_26</f>
        <v>3250</v>
      </c>
      <c r="F84" s="29" t="n">
        <f aca="false">Sens!E84+Sens!F83</f>
        <v>5777.2</v>
      </c>
      <c r="G84" s="29" t="n">
        <f aca="false">Sens!F84+Sens!G83</f>
        <v>8304.4</v>
      </c>
      <c r="H84" s="29" t="n">
        <f aca="false">Sens!G84+Sens!H83</f>
        <v>10831.6</v>
      </c>
      <c r="I84" s="29" t="n">
        <f aca="false">Sens!H84+Sens!I83</f>
        <v>12624.716</v>
      </c>
      <c r="J84" s="29" t="n">
        <f aca="false">Sens!I84+Sens!J83</f>
        <v>13719.61032</v>
      </c>
      <c r="K84" s="29" t="n">
        <f aca="false">Sens!J84+Sens!K83</f>
        <v>14131.1986296</v>
      </c>
      <c r="L84" s="1" t="s">
        <v>812</v>
      </c>
    </row>
    <row r="85" customFormat="false" ht="17.15" hidden="false" customHeight="false" outlineLevel="0" collapsed="false">
      <c r="A85" s="1" t="s">
        <v>813</v>
      </c>
      <c r="B85" s="0" t="s">
        <v>399</v>
      </c>
      <c r="C85" s="29" t="n">
        <f aca="false">rent_ext_24</f>
        <v>150</v>
      </c>
      <c r="D85" s="29" t="n">
        <f aca="false">rent_ext_25</f>
        <v>400</v>
      </c>
      <c r="E85" s="29" t="n">
        <f aca="false">rent_ext_26</f>
        <v>550</v>
      </c>
      <c r="F85" s="29" t="n">
        <f aca="false">rent_ext_f</f>
        <v>756</v>
      </c>
      <c r="G85" s="29" t="n">
        <f aca="false">rent_ext_f</f>
        <v>756</v>
      </c>
      <c r="H85" s="29" t="n">
        <f aca="false">rent_ext_f</f>
        <v>756</v>
      </c>
      <c r="I85" s="29" t="n">
        <f aca="false">rent_ext_f</f>
        <v>756</v>
      </c>
      <c r="J85" s="29" t="n">
        <f aca="false">rent_ext_f</f>
        <v>756</v>
      </c>
      <c r="K85" s="29" t="n">
        <f aca="false">rent_ext_f</f>
        <v>756</v>
      </c>
      <c r="L85" s="1" t="s">
        <v>814</v>
      </c>
    </row>
    <row r="86" customFormat="false" ht="17.15" hidden="false" customHeight="false" outlineLevel="0" collapsed="false">
      <c r="A86" s="1" t="s">
        <v>815</v>
      </c>
      <c r="B86" s="0" t="s">
        <v>399</v>
      </c>
      <c r="C86" s="29" t="n">
        <f aca="false">Sens!C84-Sens!C85</f>
        <v>490</v>
      </c>
      <c r="D86" s="29" t="n">
        <f aca="false">Sens!D84-Sens!D85</f>
        <v>1230</v>
      </c>
      <c r="E86" s="29" t="n">
        <f aca="false">Sens!E84-Sens!E85</f>
        <v>2700</v>
      </c>
      <c r="F86" s="29" t="n">
        <f aca="false">Sens!F84-Sens!F85</f>
        <v>5021.2</v>
      </c>
      <c r="G86" s="29" t="n">
        <f aca="false">Sens!G84-Sens!G85</f>
        <v>7548.4</v>
      </c>
      <c r="H86" s="29" t="n">
        <f aca="false">Sens!H84-Sens!H85</f>
        <v>10075.6</v>
      </c>
      <c r="I86" s="29" t="n">
        <f aca="false">Sens!I84-Sens!I85</f>
        <v>11868.716</v>
      </c>
      <c r="J86" s="29" t="n">
        <f aca="false">Sens!J84-Sens!J85</f>
        <v>12963.61032</v>
      </c>
      <c r="K86" s="29" t="n">
        <f aca="false">Sens!K84-Sens!K85</f>
        <v>13375.1986296</v>
      </c>
    </row>
    <row r="87" customFormat="false" ht="17.15" hidden="false" customHeight="false" outlineLevel="0" collapsed="false">
      <c r="A87" s="1" t="s">
        <v>816</v>
      </c>
      <c r="B87" s="0" t="s">
        <v>399</v>
      </c>
      <c r="C87" s="29" t="n">
        <f aca="false">Sens!C86/ext_sh</f>
        <v>816.666666666667</v>
      </c>
      <c r="D87" s="29" t="n">
        <f aca="false">Sens!D86/ext_sh</f>
        <v>2050</v>
      </c>
      <c r="E87" s="29" t="n">
        <f aca="false">Sens!E86/ext_sh</f>
        <v>4500</v>
      </c>
      <c r="F87" s="29" t="n">
        <f aca="false">Sens!F86/ext_sh</f>
        <v>8368.66666666667</v>
      </c>
      <c r="G87" s="29" t="n">
        <f aca="false">Sens!G86/ext_sh</f>
        <v>12580.6666666667</v>
      </c>
      <c r="H87" s="29" t="n">
        <f aca="false">Sens!H86/ext_sh</f>
        <v>16792.6666666667</v>
      </c>
      <c r="I87" s="29" t="n">
        <f aca="false">Sens!I86/ext_sh</f>
        <v>19781.1933333333</v>
      </c>
      <c r="J87" s="29" t="n">
        <f aca="false">Sens!J86/ext_sh</f>
        <v>21606.0172</v>
      </c>
      <c r="K87" s="29" t="n">
        <f aca="false">Sens!K86/ext_sh</f>
        <v>22291.997716</v>
      </c>
      <c r="L87" s="1" t="s">
        <v>817</v>
      </c>
    </row>
    <row r="88" customFormat="false" ht="17.15" hidden="false" customHeight="false" outlineLevel="0" collapsed="false">
      <c r="A88" s="1" t="s">
        <v>818</v>
      </c>
      <c r="B88" s="0" t="s">
        <v>399</v>
      </c>
      <c r="C88" s="29" t="n">
        <f aca="false">Sens!C87-Sens!C86</f>
        <v>326.666666666667</v>
      </c>
      <c r="D88" s="29" t="n">
        <f aca="false">Sens!D87-Sens!D86</f>
        <v>820</v>
      </c>
      <c r="E88" s="29" t="n">
        <f aca="false">Sens!E87-Sens!E86</f>
        <v>1800</v>
      </c>
      <c r="F88" s="29" t="n">
        <f aca="false">Sens!F87-Sens!F86</f>
        <v>3347.46666666667</v>
      </c>
      <c r="G88" s="29" t="n">
        <f aca="false">Sens!G87-Sens!G86</f>
        <v>5032.26666666667</v>
      </c>
      <c r="H88" s="29" t="n">
        <f aca="false">Sens!H87-Sens!H86</f>
        <v>6717.06666666667</v>
      </c>
      <c r="I88" s="29" t="n">
        <f aca="false">Sens!I87-Sens!I86</f>
        <v>7912.47733333333</v>
      </c>
      <c r="J88" s="29" t="n">
        <f aca="false">Sens!J87-Sens!J86</f>
        <v>8642.40688</v>
      </c>
      <c r="K88" s="29" t="n">
        <f aca="false">Sens!K87-Sens!K86</f>
        <v>8916.7990864</v>
      </c>
    </row>
    <row r="89" customFormat="false" ht="17.15" hidden="false" customHeight="false" outlineLevel="0" collapsed="false">
      <c r="A89" s="1" t="s">
        <v>819</v>
      </c>
      <c r="B89" s="0" t="s">
        <v>399</v>
      </c>
      <c r="C89" s="29" t="n">
        <f aca="false">Sens!C87</f>
        <v>816.666666666667</v>
      </c>
      <c r="D89" s="29" t="n">
        <f aca="false">Sens!D87-Sens!C87</f>
        <v>1233.33333333333</v>
      </c>
      <c r="E89" s="29" t="n">
        <f aca="false">Sens!E87-Sens!D87</f>
        <v>2450</v>
      </c>
      <c r="F89" s="29" t="n">
        <f aca="false">Sens!F87-Sens!E87</f>
        <v>3868.66666666667</v>
      </c>
      <c r="G89" s="29" t="n">
        <f aca="false">Sens!G87-Sens!F87</f>
        <v>4212</v>
      </c>
      <c r="H89" s="29" t="n">
        <f aca="false">Sens!H87-Sens!G87</f>
        <v>4212</v>
      </c>
      <c r="I89" s="29" t="n">
        <f aca="false">Sens!I87-Sens!H87</f>
        <v>2988.52666666667</v>
      </c>
      <c r="J89" s="29" t="n">
        <f aca="false">Sens!J87-Sens!I87</f>
        <v>1824.82386666667</v>
      </c>
      <c r="K89" s="29" t="n">
        <f aca="false">Sens!K87-Sens!J87</f>
        <v>685.980516</v>
      </c>
    </row>
    <row r="90" customFormat="false" ht="17.15" hidden="false" customHeight="false" outlineLevel="0" collapsed="false">
      <c r="A90" s="1" t="s">
        <v>820</v>
      </c>
      <c r="B90" s="0" t="s">
        <v>399</v>
      </c>
      <c r="D90" s="29" t="n">
        <f aca="false">Sens!D84-Sens!C84</f>
        <v>990</v>
      </c>
      <c r="E90" s="29" t="n">
        <f aca="false">Sens!E84-Sens!D84</f>
        <v>1620</v>
      </c>
      <c r="F90" s="29" t="n">
        <f aca="false">Sens!F84-Sens!E84</f>
        <v>2527.2</v>
      </c>
      <c r="G90" s="29" t="n">
        <f aca="false">Sens!G84-Sens!F84</f>
        <v>2527.2</v>
      </c>
      <c r="H90" s="29" t="n">
        <f aca="false">Sens!H84-Sens!G84</f>
        <v>2527.2</v>
      </c>
      <c r="I90" s="29" t="n">
        <f aca="false">Sens!I84-Sens!H84</f>
        <v>1793.116</v>
      </c>
      <c r="J90" s="29" t="n">
        <f aca="false">Sens!J84-Sens!I84</f>
        <v>1094.89432</v>
      </c>
      <c r="K90" s="29" t="n">
        <f aca="false">Sens!K84-Sens!J84</f>
        <v>411.5883096</v>
      </c>
    </row>
    <row r="91" customFormat="false" ht="17.15" hidden="false" customHeight="false" outlineLevel="0" collapsed="false">
      <c r="A91" s="1" t="s">
        <v>821</v>
      </c>
      <c r="B91" s="0" t="s">
        <v>399</v>
      </c>
      <c r="F91" s="29" t="n">
        <f aca="false">Sens!F108*ext_sh</f>
        <v>0</v>
      </c>
      <c r="G91" s="29" t="n">
        <f aca="false">Sens!G108*ext_sh</f>
        <v>0</v>
      </c>
      <c r="H91" s="29" t="n">
        <f aca="false">Sens!H108*ext_sh</f>
        <v>0</v>
      </c>
      <c r="I91" s="29" t="n">
        <f aca="false">Sens!I108*ext_sh</f>
        <v>490</v>
      </c>
      <c r="J91" s="29" t="n">
        <f aca="false">Sens!J108*ext_sh</f>
        <v>740</v>
      </c>
      <c r="K91" s="29" t="n">
        <f aca="false">Sens!K108*ext_sh</f>
        <v>1470</v>
      </c>
      <c r="L91" s="1" t="s">
        <v>822</v>
      </c>
    </row>
    <row r="92" customFormat="false" ht="17.15" hidden="false" customHeight="false" outlineLevel="0" collapsed="false">
      <c r="A92" s="1" t="s">
        <v>823</v>
      </c>
      <c r="B92" s="0" t="s">
        <v>399</v>
      </c>
      <c r="C92" s="29" t="n">
        <f aca="false">mix_h*Sens!C84</f>
        <v>128</v>
      </c>
      <c r="D92" s="29" t="n">
        <f aca="false">mix_h*Sens!D84</f>
        <v>326</v>
      </c>
      <c r="E92" s="29" t="n">
        <f aca="false">mix_h*Sens!E84</f>
        <v>650</v>
      </c>
      <c r="F92" s="29" t="n">
        <f aca="false">Sens!E92-Sens!F91*mix_h</f>
        <v>650</v>
      </c>
      <c r="G92" s="29" t="n">
        <f aca="false">Sens!F92-Sens!G91*mix_h</f>
        <v>650</v>
      </c>
      <c r="H92" s="29" t="n">
        <f aca="false">Sens!G92-Sens!H91*mix_h</f>
        <v>650</v>
      </c>
      <c r="I92" s="29" t="n">
        <f aca="false">Sens!H92-Sens!I91*mix_h</f>
        <v>552</v>
      </c>
      <c r="J92" s="29" t="n">
        <f aca="false">Sens!I92-Sens!J91*mix_h</f>
        <v>404</v>
      </c>
      <c r="K92" s="29" t="n">
        <f aca="false">Sens!J92-Sens!K91*mix_h</f>
        <v>110</v>
      </c>
    </row>
    <row r="93" customFormat="false" ht="17.15" hidden="false" customHeight="false" outlineLevel="0" collapsed="false">
      <c r="A93" s="1" t="s">
        <v>824</v>
      </c>
      <c r="B93" s="0" t="s">
        <v>399</v>
      </c>
      <c r="C93" s="29" t="n">
        <f aca="false">mix_g2*Sens!C84</f>
        <v>288</v>
      </c>
      <c r="D93" s="29" t="n">
        <f aca="false">mix_g2*Sens!D84</f>
        <v>733.5</v>
      </c>
      <c r="E93" s="29" t="n">
        <f aca="false">mix_g2*Sens!E84</f>
        <v>1462.5</v>
      </c>
      <c r="F93" s="29" t="n">
        <f aca="false">Sens!E93-Sens!F91*mix_g2</f>
        <v>1462.5</v>
      </c>
      <c r="G93" s="29" t="n">
        <f aca="false">Sens!F93-Sens!G91*mix_g2</f>
        <v>1462.5</v>
      </c>
      <c r="H93" s="29" t="n">
        <f aca="false">Sens!G93-Sens!H91*mix_g2</f>
        <v>1462.5</v>
      </c>
      <c r="I93" s="29" t="n">
        <f aca="false">Sens!H93-Sens!I91*mix_g2</f>
        <v>1242</v>
      </c>
      <c r="J93" s="29" t="n">
        <f aca="false">Sens!I93-Sens!J91*mix_g2</f>
        <v>909</v>
      </c>
      <c r="K93" s="29" t="n">
        <f aca="false">Sens!J93-Sens!K91*mix_g2</f>
        <v>247.5</v>
      </c>
    </row>
    <row r="94" customFormat="false" ht="17.15" hidden="false" customHeight="false" outlineLevel="0" collapsed="false">
      <c r="A94" s="1" t="s">
        <v>825</v>
      </c>
      <c r="B94" s="0" t="s">
        <v>399</v>
      </c>
      <c r="C94" s="29" t="n">
        <f aca="false">mix_g3*Sens!C84</f>
        <v>224</v>
      </c>
      <c r="D94" s="29" t="n">
        <f aca="false">mix_g3*Sens!D84</f>
        <v>570.5</v>
      </c>
      <c r="E94" s="29" t="n">
        <f aca="false">mix_g3*Sens!E84</f>
        <v>1137.5</v>
      </c>
      <c r="F94" s="29" t="n">
        <f aca="false">Sens!E94+(Sens!F90+Sens!F91)*a_g3_27-Sens!F91*mix_g3</f>
        <v>2906.54</v>
      </c>
      <c r="G94" s="29" t="n">
        <f aca="false">Sens!F94+(Sens!G90+Sens!G91)*a_g3_28-Sens!G91*mix_g3</f>
        <v>3664.7</v>
      </c>
      <c r="H94" s="29" t="n">
        <f aca="false">Sens!G94+(Sens!H90+Sens!H91)*a_g3_29-Sens!H91*mix_g3</f>
        <v>3917.42</v>
      </c>
      <c r="I94" s="29" t="n">
        <f aca="false">Sens!H94+(Sens!I90+Sens!I91)*a_g3_29-Sens!I91*mix_g3</f>
        <v>3974.2316</v>
      </c>
      <c r="J94" s="29" t="n">
        <f aca="false">Sens!I94+(Sens!J90+Sens!J91)*a_g3_29-Sens!J91*mix_g3</f>
        <v>3898.721032</v>
      </c>
      <c r="K94" s="29" t="n">
        <f aca="false">Sens!J94+(Sens!K90+Sens!K91)*a_g3_29-Sens!K91*mix_g3</f>
        <v>3572.37986296</v>
      </c>
    </row>
    <row r="95" customFormat="false" ht="17.15" hidden="false" customHeight="false" outlineLevel="0" collapsed="false">
      <c r="A95" s="1" t="s">
        <v>826</v>
      </c>
      <c r="B95" s="0" t="s">
        <v>399</v>
      </c>
      <c r="C95" s="29" t="n">
        <v>0</v>
      </c>
      <c r="D95" s="29" t="n">
        <v>0</v>
      </c>
      <c r="E95" s="29" t="n">
        <v>0</v>
      </c>
      <c r="F95" s="29" t="n">
        <f aca="false">Sens!E95+(Sens!F90+Sens!F91)*(1-a_g3_27)</f>
        <v>758.16</v>
      </c>
      <c r="G95" s="29" t="n">
        <f aca="false">Sens!F95+(Sens!G90+Sens!G91)*(1-a_g3_28)</f>
        <v>2527.2</v>
      </c>
      <c r="H95" s="29" t="n">
        <f aca="false">Sens!G95+(Sens!H90+Sens!H91)*(1-a_g3_29)</f>
        <v>4801.68</v>
      </c>
      <c r="I95" s="29" t="n">
        <f aca="false">Sens!H95+(Sens!I90+Sens!I91)*(1-a_g3_29)</f>
        <v>6856.4844</v>
      </c>
      <c r="J95" s="29" t="n">
        <f aca="false">Sens!I95+(Sens!J90+Sens!J91)*(1-a_g3_29)</f>
        <v>8507.889288</v>
      </c>
      <c r="K95" s="29" t="n">
        <f aca="false">Sens!J95+(Sens!K90+Sens!K91)*(1-a_g3_29)</f>
        <v>10201.31876664</v>
      </c>
    </row>
    <row r="96" customFormat="false" ht="17.15" hidden="false" customHeight="false" outlineLevel="0" collapsed="false">
      <c r="A96" s="1" t="s">
        <v>827</v>
      </c>
      <c r="B96" s="0" t="s">
        <v>346</v>
      </c>
      <c r="C96" s="14" t="n">
        <f aca="false">(Sens!C92*tk_hold_h100+Sens!C93*tk_hold_gb200+Sens!C94*tk_hold_gb300+Sens!C95*tk_hold_vr200)/Sens!C84</f>
        <v>9.7235358126469</v>
      </c>
      <c r="D96" s="14" t="n">
        <f aca="false">(Sens!D92*tk_hold_h100+Sens!D93*tk_hold_gb200+Sens!D94*tk_hold_gb300+Sens!D95*tk_hold_vr200)/Sens!D84</f>
        <v>9.7235358126469</v>
      </c>
      <c r="E96" s="14" t="n">
        <f aca="false">(Sens!E92*tk_hold_h100+Sens!E93*tk_hold_gb200+Sens!E94*tk_hold_gb300+Sens!E95*tk_hold_vr200)/Sens!E84</f>
        <v>9.7235358126469</v>
      </c>
      <c r="F96" s="14" t="n">
        <f aca="false">(Sens!F92*tk_hold_h100+Sens!F93*tk_hold_gb200+Sens!F94*tk_hold_gb300+Sens!F95*tk_hold_vr200)/Sens!F84</f>
        <v>10.4079573161931</v>
      </c>
      <c r="G96" s="14" t="n">
        <f aca="false">(Sens!G92*tk_hold_h100+Sens!G93*tk_hold_gb200+Sens!G94*tk_hold_gb300+Sens!G95*tk_hold_vr200)/Sens!G84</f>
        <v>10.8388131109316</v>
      </c>
      <c r="H96" s="14" t="n">
        <f aca="false">(Sens!H92*tk_hold_h100+Sens!H93*tk_hold_gb200+Sens!H94*tk_hold_gb300+Sens!H95*tk_hold_vr200)/Sens!H84</f>
        <v>11.1311018388216</v>
      </c>
      <c r="I96" s="14" t="n">
        <f aca="false">(Sens!I92*tk_hold_h100+Sens!I93*tk_hold_gb200+Sens!I94*tk_hold_gb300+Sens!I95*tk_hold_vr200)/Sens!I84</f>
        <v>11.3594282560989</v>
      </c>
      <c r="J96" s="14" t="n">
        <f aca="false">(Sens!J92*tk_hold_h100+Sens!J93*tk_hold_gb200+Sens!J94*tk_hold_gb300+Sens!J95*tk_hold_vr200)/Sens!J84</f>
        <v>11.5455817917599</v>
      </c>
      <c r="K96" s="14" t="n">
        <f aca="false">(Sens!K92*tk_hold_h100+Sens!K93*tk_hold_gb200+Sens!K94*tk_hold_gb300+Sens!K95*tk_hold_vr200)/Sens!K84</f>
        <v>11.8078187977246</v>
      </c>
    </row>
    <row r="97" customFormat="false" ht="17.15" hidden="false" customHeight="false" outlineLevel="0" collapsed="false">
      <c r="A97" s="0" t="s">
        <v>828</v>
      </c>
      <c r="B97" s="0" t="s">
        <v>185</v>
      </c>
      <c r="C97" s="14" t="n">
        <f aca="false">k_B</f>
        <v>1.17213932619116</v>
      </c>
      <c r="D97" s="14" t="n">
        <f aca="false">k_B</f>
        <v>1.17213932619116</v>
      </c>
      <c r="E97" s="14" t="n">
        <f aca="false">k_B</f>
        <v>1.17213932619116</v>
      </c>
      <c r="F97" s="14" t="n">
        <f aca="false">(k_B+((ls_A*k_long+(1-ls_A)*k_spot)-k_B)*MIN(1,(Sens!F82-base_fy)/k_ramp))</f>
        <v>1.25022828131298</v>
      </c>
      <c r="G97" s="14" t="n">
        <f aca="false">(k_B+((ls_A*k_long+(1-ls_A)*k_spot)-k_B)*MIN(1,(Sens!G82-base_fy)/k_ramp))</f>
        <v>1.3283172364348</v>
      </c>
      <c r="H97" s="14" t="n">
        <f aca="false">(k_B+((ls_A*k_long+(1-ls_A)*k_spot)-k_B)*MIN(1,(Sens!H82-base_fy)/k_ramp))</f>
        <v>1.40640619155662</v>
      </c>
      <c r="I97" s="14" t="n">
        <f aca="false">(k_B+((ls_A*k_long+(1-ls_A)*k_spot)-k_B)*MIN(1,(Sens!I82-base_fy)/k_ramp))</f>
        <v>1.40640619155662</v>
      </c>
      <c r="J97" s="14" t="n">
        <f aca="false">(k_B+((ls_A*k_long+(1-ls_A)*k_spot)-k_B)*MIN(1,(Sens!J82-base_fy)/k_ramp))</f>
        <v>1.40640619155662</v>
      </c>
      <c r="K97" s="14" t="n">
        <f aca="false">(k_B+((ls_A*k_long+(1-ls_A)*k_spot)-k_B)*MIN(1,(Sens!K82-base_fy)/k_ramp))</f>
        <v>1.40640619155662</v>
      </c>
      <c r="L97" s="1" t="s">
        <v>829</v>
      </c>
    </row>
    <row r="98" customFormat="false" ht="17.15" hidden="false" customHeight="false" outlineLevel="0" collapsed="false">
      <c r="A98" s="1" t="s">
        <v>830</v>
      </c>
      <c r="B98" s="0" t="s">
        <v>346</v>
      </c>
      <c r="C98" s="14" t="n">
        <f aca="false">Sens!C96*Sens!C97*chip_f</f>
        <v>11.3973387156315</v>
      </c>
      <c r="D98" s="14" t="n">
        <f aca="false">Sens!D96*Sens!D97*chip_f</f>
        <v>11.3973387156315</v>
      </c>
      <c r="E98" s="14" t="n">
        <f aca="false">Sens!E96*Sens!E97*chip_f</f>
        <v>11.3973387156315</v>
      </c>
      <c r="F98" s="14" t="n">
        <f aca="false">Sens!F96*Sens!F97*chip_f</f>
        <v>13.0123225874029</v>
      </c>
      <c r="G98" s="14" t="n">
        <f aca="false">Sens!G96*Sens!G97*chip_f</f>
        <v>14.3973822777458</v>
      </c>
      <c r="H98" s="14" t="n">
        <f aca="false">Sens!H96*Sens!H97*chip_f</f>
        <v>15.6548505449659</v>
      </c>
      <c r="I98" s="14" t="n">
        <f aca="false">Sens!I96*Sens!I97*chip_f</f>
        <v>15.9759702319207</v>
      </c>
      <c r="J98" s="14" t="n">
        <f aca="false">Sens!J96*Sens!J97*chip_f</f>
        <v>16.2377777170545</v>
      </c>
      <c r="K98" s="14" t="n">
        <f aca="false">Sens!K96*Sens!K97*chip_f</f>
        <v>16.6065894658985</v>
      </c>
      <c r="L98" s="1" t="s">
        <v>831</v>
      </c>
    </row>
    <row r="99" customFormat="false" ht="17.15" hidden="false" customHeight="false" outlineLevel="0" collapsed="false">
      <c r="A99" s="0" t="s">
        <v>832</v>
      </c>
      <c r="B99" s="0" t="s">
        <v>98</v>
      </c>
      <c r="D99" s="6" t="n">
        <f aca="false">(Sens!C84+Sens!D84)/2*Sens!D98/1000</f>
        <v>12.9359794422418</v>
      </c>
      <c r="E99" s="6" t="n">
        <f aca="false">(Sens!D84+Sens!E84)/2*Sens!E98/1000</f>
        <v>27.8095064661409</v>
      </c>
      <c r="F99" s="6" t="n">
        <f aca="false">(Sens!E84+Sens!F84)/2*Sens!F98/1000</f>
        <v>58.7324192305018</v>
      </c>
      <c r="G99" s="6" t="n">
        <f aca="false">(Sens!F84+Sens!G84)/2*Sens!G98/1000</f>
        <v>101.369089141153</v>
      </c>
      <c r="H99" s="6" t="n">
        <f aca="false">(Sens!G84+Sens!H84)/2*Sens!H98/1000</f>
        <v>149.785610014234</v>
      </c>
      <c r="I99" s="6" t="n">
        <f aca="false">(Sens!H84+Sens!I84)/2*Sens!I98/1000</f>
        <v>187.368703083263</v>
      </c>
      <c r="J99" s="6" t="n">
        <f aca="false">(Sens!I84+Sens!J84)/2*Sens!J98/1000</f>
        <v>213.886657444854</v>
      </c>
      <c r="K99" s="6" t="n">
        <f aca="false">(Sens!J84+Sens!K84)/2*Sens!K98/1000</f>
        <v>231.253475259589</v>
      </c>
      <c r="L99" s="11" t="s">
        <v>833</v>
      </c>
    </row>
    <row r="100" customFormat="false" ht="17.15" hidden="false" customHeight="false" outlineLevel="0" collapsed="false">
      <c r="A100" s="1" t="s">
        <v>834</v>
      </c>
      <c r="B100" s="0" t="s">
        <v>346</v>
      </c>
      <c r="C100" s="14" t="n">
        <f aca="false">(Sens!C92*tk_opex_h100+Sens!C93*tk_opex_gb200+Sens!C94*tk_opex_gb300+Sens!C95*tk_opex_vr200)/Sens!C84</f>
        <v>1.88636041306092</v>
      </c>
      <c r="D100" s="14" t="n">
        <f aca="false">(Sens!D92*tk_opex_h100+Sens!D93*tk_opex_gb200+Sens!D94*tk_opex_gb300+Sens!D95*tk_opex_vr200)/Sens!D84</f>
        <v>1.88636041306092</v>
      </c>
      <c r="E100" s="14" t="n">
        <f aca="false">(Sens!E92*tk_opex_h100+Sens!E93*tk_opex_gb200+Sens!E94*tk_opex_gb300+Sens!E95*tk_opex_vr200)/Sens!E84</f>
        <v>1.88636041306092</v>
      </c>
      <c r="F100" s="14" t="n">
        <f aca="false">(Sens!F92*tk_opex_h100+Sens!F93*tk_opex_gb200+Sens!F94*tk_opex_gb300+Sens!F95*tk_opex_vr200)/Sens!F84</f>
        <v>1.9430236476499</v>
      </c>
      <c r="G100" s="14" t="n">
        <f aca="false">(Sens!G92*tk_opex_h100+Sens!G93*tk_opex_gb200+Sens!G94*tk_opex_gb300+Sens!G95*tk_opex_vr200)/Sens!G84</f>
        <v>1.9786941852423</v>
      </c>
      <c r="H100" s="14" t="n">
        <f aca="false">(Sens!H92*tk_opex_h100+Sens!H93*tk_opex_gb200+Sens!H94*tk_opex_gb300+Sens!H95*tk_opex_vr200)/Sens!H84</f>
        <v>2.00289275976156</v>
      </c>
      <c r="I100" s="14" t="n">
        <f aca="false">(Sens!I92*tk_opex_h100+Sens!I93*tk_opex_gb200+Sens!I94*tk_opex_gb300+Sens!I95*tk_opex_vr200)/Sens!I84</f>
        <v>2.02179589661219</v>
      </c>
      <c r="J100" s="14" t="n">
        <f aca="false">(Sens!J92*tk_opex_h100+Sens!J93*tk_opex_gb200+Sens!J94*tk_opex_gb300+Sens!J95*tk_opex_vr200)/Sens!J84</f>
        <v>2.03720754193029</v>
      </c>
      <c r="K100" s="14" t="n">
        <f aca="false">(Sens!K92*tk_opex_h100+Sens!K93*tk_opex_gb200+Sens!K94*tk_opex_gb300+Sens!K95*tk_opex_vr200)/Sens!K84</f>
        <v>2.0589181353437</v>
      </c>
    </row>
    <row r="101" customFormat="false" ht="17.15" hidden="false" customHeight="false" outlineLevel="0" collapsed="false">
      <c r="A101" s="0" t="s">
        <v>835</v>
      </c>
      <c r="B101" s="0" t="s">
        <v>98</v>
      </c>
      <c r="D101" s="6" t="n">
        <f aca="false">(Sens!C87+Sens!D87)/2*Sens!D100/1000</f>
        <v>2.70378325872065</v>
      </c>
      <c r="E101" s="6" t="n">
        <f aca="false">(Sens!D87+Sens!E87)/2*Sens!E100/1000</f>
        <v>6.17783035277451</v>
      </c>
      <c r="F101" s="6" t="n">
        <f aca="false">(Sens!E87+Sens!F87)/2*Sens!F100/1000</f>
        <v>12.5020618235287</v>
      </c>
      <c r="G101" s="6" t="n">
        <f aca="false">(Sens!F87+Sens!G87)/2*Sens!G100/1000</f>
        <v>20.7261620256847</v>
      </c>
      <c r="H101" s="6" t="n">
        <f aca="false">(Sens!G87+Sens!H87)/2*Sens!H100/1000</f>
        <v>29.4158183316982</v>
      </c>
      <c r="I101" s="6" t="n">
        <f aca="false">(Sens!H87+Sens!I87)/2*Sens!I100/1000</f>
        <v>36.9724400356344</v>
      </c>
      <c r="J101" s="6" t="n">
        <f aca="false">(Sens!I87+Sens!J87)/2*Sens!J100/1000</f>
        <v>42.1571687189816</v>
      </c>
      <c r="K101" s="6" t="n">
        <f aca="false">(Sens!J87+Sens!K87)/2*Sens!K100/1000</f>
        <v>45.1912095080704</v>
      </c>
    </row>
    <row r="102" customFormat="false" ht="17.15" hidden="false" customHeight="false" outlineLevel="0" collapsed="false">
      <c r="A102" s="0" t="s">
        <v>836</v>
      </c>
      <c r="B102" s="0" t="s">
        <v>98</v>
      </c>
      <c r="D102" s="6" t="n">
        <f aca="false">(Sens!C85+Sens!D85)/2*rent_mw/1000</f>
        <v>2.44475</v>
      </c>
      <c r="E102" s="6" t="n">
        <f aca="false">(Sens!D85+Sens!E85)/2*rent_mw/1000</f>
        <v>4.22275</v>
      </c>
      <c r="F102" s="6" t="n">
        <f aca="false">(Sens!E85+Sens!F85)/2*rent_mw/1000</f>
        <v>5.80517</v>
      </c>
      <c r="G102" s="6" t="n">
        <f aca="false">(Sens!F85+Sens!G85)/2*rent_mw/1000</f>
        <v>6.72084</v>
      </c>
      <c r="H102" s="6" t="n">
        <f aca="false">(Sens!G85+Sens!H85)/2*rent_mw/1000</f>
        <v>6.72084</v>
      </c>
      <c r="I102" s="6" t="n">
        <f aca="false">(Sens!H85+Sens!I85)/2*rent_mw/1000</f>
        <v>6.72084</v>
      </c>
      <c r="J102" s="6" t="n">
        <f aca="false">(Sens!I85+Sens!J85)/2*rent_mw/1000</f>
        <v>6.72084</v>
      </c>
      <c r="K102" s="6" t="n">
        <f aca="false">(Sens!J85+Sens!K85)/2*rent_mw/1000</f>
        <v>6.72084</v>
      </c>
    </row>
    <row r="103" customFormat="false" ht="17.15" hidden="false" customHeight="false" outlineLevel="0" collapsed="false">
      <c r="A103" s="0" t="s">
        <v>837</v>
      </c>
      <c r="B103" s="0" t="s">
        <v>98</v>
      </c>
      <c r="D103" s="6" t="n">
        <f aca="false">(Sens!C87+Sens!D87)/2*(1-self_build)*fac_rent/1000</f>
        <v>0.853242375631075</v>
      </c>
      <c r="E103" s="6" t="n">
        <f aca="false">(Sens!D87+Sens!E87)/2*(1-self_build)*fac_rent/1000</f>
        <v>1.94955961408728</v>
      </c>
      <c r="F103" s="6" t="n">
        <f aca="false">(Sens!E87+Sens!F87)/2*(1-self_build)*fac_rent/1000</f>
        <v>3.83026455274573</v>
      </c>
      <c r="G103" s="6" t="n">
        <f aca="false">(Sens!F87+Sens!G87)/2*(1-self_build)*fac_rent/1000</f>
        <v>6.23541590972812</v>
      </c>
      <c r="H103" s="6" t="n">
        <f aca="false">(Sens!G87+Sens!H87)/2*(1-self_build)*fac_rent/1000</f>
        <v>8.74275792332679</v>
      </c>
      <c r="I103" s="6" t="n">
        <f aca="false">(Sens!H87+Sens!I87)/2*(1-self_build)*fac_rent/1000</f>
        <v>10.8859420438599</v>
      </c>
      <c r="J103" s="6" t="n">
        <f aca="false">(Sens!I87+Sens!J87)/2*(1-self_build)*fac_rent/1000</f>
        <v>12.3186006405366</v>
      </c>
      <c r="K103" s="6" t="n">
        <f aca="false">(Sens!J87+Sens!K87)/2*(1-self_build)*fac_rent/1000</f>
        <v>13.0659232089824</v>
      </c>
      <c r="L103" s="11" t="s">
        <v>838</v>
      </c>
    </row>
    <row r="104" customFormat="false" ht="17.15" hidden="false" customHeight="false" outlineLevel="0" collapsed="false">
      <c r="A104" s="1" t="s">
        <v>839</v>
      </c>
      <c r="B104" s="0" t="s">
        <v>129</v>
      </c>
      <c r="D104" s="7" t="n">
        <f aca="false">(Sens!C86+Sens!D86)/(Sens!C87+Sens!D87)</f>
        <v>0.6</v>
      </c>
      <c r="E104" s="7" t="n">
        <f aca="false">(Sens!D86+Sens!E86)/(Sens!D87+Sens!E87)</f>
        <v>0.6</v>
      </c>
      <c r="F104" s="7" t="n">
        <f aca="false">(Sens!E86+Sens!F86)/(Sens!E87+Sens!F87)</f>
        <v>0.6</v>
      </c>
      <c r="G104" s="7" t="n">
        <f aca="false">(Sens!F86+Sens!G86)/(Sens!F87+Sens!G87)</f>
        <v>0.6</v>
      </c>
      <c r="H104" s="7" t="n">
        <f aca="false">(Sens!G86+Sens!H86)/(Sens!G87+Sens!H87)</f>
        <v>0.6</v>
      </c>
      <c r="I104" s="7" t="n">
        <f aca="false">(Sens!H86+Sens!I86)/(Sens!H87+Sens!I87)</f>
        <v>0.6</v>
      </c>
      <c r="J104" s="7" t="n">
        <f aca="false">(Sens!I86+Sens!J86)/(Sens!I87+Sens!J87)</f>
        <v>0.6</v>
      </c>
      <c r="K104" s="7" t="n">
        <f aca="false">(Sens!J86+Sens!K86)/(Sens!J87+Sens!K87)</f>
        <v>0.6</v>
      </c>
    </row>
    <row r="105" customFormat="false" ht="17.15" hidden="false" customHeight="false" outlineLevel="0" collapsed="false">
      <c r="A105" s="0" t="s">
        <v>840</v>
      </c>
      <c r="B105" s="0" t="s">
        <v>98</v>
      </c>
      <c r="D105" s="6" t="n">
        <f aca="false">Sens!D99-Sens!D104*(Sens!D101+Sens!D103)-Sens!D102</f>
        <v>8.35701406163072</v>
      </c>
      <c r="E105" s="6" t="n">
        <f aca="false">Sens!E99-Sens!E104*(Sens!E101+Sens!E103)-Sens!E102</f>
        <v>18.7103224860238</v>
      </c>
      <c r="F105" s="6" t="n">
        <f aca="false">Sens!F99-Sens!F104*(Sens!F101+Sens!F103)-Sens!F102</f>
        <v>43.1278534047371</v>
      </c>
      <c r="G105" s="6" t="n">
        <f aca="false">Sens!G99-Sens!G104*(Sens!G101+Sens!G103)-Sens!G102</f>
        <v>78.4713023799053</v>
      </c>
      <c r="H105" s="6" t="n">
        <f aca="false">Sens!H99-Sens!H104*(Sens!H101+Sens!H103)-Sens!H102</f>
        <v>120.169624261219</v>
      </c>
      <c r="I105" s="6" t="n">
        <f aca="false">Sens!I99-Sens!I104*(Sens!I101+Sens!I103)-Sens!I102</f>
        <v>151.932833835566</v>
      </c>
      <c r="J105" s="6" t="n">
        <f aca="false">Sens!J99-Sens!J104*(Sens!J101+Sens!J103)-Sens!J102</f>
        <v>174.480355829143</v>
      </c>
      <c r="K105" s="6" t="n">
        <f aca="false">Sens!K99-Sens!K104*(Sens!K101+Sens!K103)-Sens!K102</f>
        <v>189.578355629358</v>
      </c>
    </row>
    <row r="106" customFormat="false" ht="17.15" hidden="false" customHeight="false" outlineLevel="0" collapsed="false">
      <c r="A106" s="1" t="s">
        <v>841</v>
      </c>
      <c r="B106" s="0" t="s">
        <v>98</v>
      </c>
      <c r="D106" s="6" t="n">
        <f aca="false">(1-Sens!D104)*(Sens!D101+Sens!D103)</f>
        <v>1.42281025374069</v>
      </c>
      <c r="E106" s="6" t="n">
        <f aca="false">(1-Sens!E104)*(Sens!E101+Sens!E103)</f>
        <v>3.25095598674472</v>
      </c>
      <c r="F106" s="6" t="n">
        <f aca="false">(1-Sens!F104)*(Sens!F101+Sens!F103)</f>
        <v>6.53293055050977</v>
      </c>
      <c r="G106" s="6" t="n">
        <f aca="false">(1-Sens!G104)*(Sens!G101+Sens!G103)</f>
        <v>10.7846311741651</v>
      </c>
      <c r="H106" s="6" t="n">
        <f aca="false">(1-Sens!H104)*(Sens!H101+Sens!H103)</f>
        <v>15.26343050201</v>
      </c>
      <c r="I106" s="6" t="n">
        <f aca="false">(1-Sens!I104)*(Sens!I101+Sens!I103)</f>
        <v>19.1433528317977</v>
      </c>
      <c r="J106" s="6" t="n">
        <f aca="false">(1-Sens!J104)*(Sens!J101+Sens!J103)</f>
        <v>21.7903077438073</v>
      </c>
      <c r="K106" s="6" t="n">
        <f aca="false">(1-Sens!K104)*(Sens!K101+Sens!K103)</f>
        <v>23.3028530868211</v>
      </c>
    </row>
    <row r="107" customFormat="false" ht="17.15" hidden="false" customHeight="false" outlineLevel="0" collapsed="false">
      <c r="A107" s="1" t="s">
        <v>842</v>
      </c>
      <c r="B107" s="0" t="s">
        <v>357</v>
      </c>
      <c r="C107" s="8" t="n">
        <f aca="false">cxit_open</f>
        <v>27.5918995</v>
      </c>
      <c r="D107" s="8" t="n">
        <f aca="false">cxit_open</f>
        <v>27.5918995</v>
      </c>
      <c r="E107" s="8" t="n">
        <f aca="false">cxit_open</f>
        <v>27.5918995</v>
      </c>
      <c r="F107" s="8" t="n">
        <f aca="false">(a_g3_27*tk_cxit_gb300+(1-a_g3_27)*tk_cxit_vr200)</f>
        <v>33.8419624</v>
      </c>
      <c r="G107" s="8" t="n">
        <f aca="false">(a_g3_28*tk_cxit_gb300+(1-a_g3_28)*tk_cxit_vr200)</f>
        <v>35.9816136</v>
      </c>
      <c r="H107" s="8" t="n">
        <f aca="false">(a_g3_29*tk_cxit_gb300+(1-a_g3_29)*tk_cxit_vr200)</f>
        <v>37.0514392</v>
      </c>
      <c r="I107" s="8" t="n">
        <f aca="false">(a_g3_29*tk_cxit_gb300+(1-a_g3_29)*tk_cxit_vr200)</f>
        <v>37.0514392</v>
      </c>
      <c r="J107" s="8" t="n">
        <f aca="false">(a_g3_29*tk_cxit_gb300+(1-a_g3_29)*tk_cxit_vr200)</f>
        <v>37.0514392</v>
      </c>
      <c r="K107" s="8" t="n">
        <f aca="false">(a_g3_29*tk_cxit_gb300+(1-a_g3_29)*tk_cxit_vr200)</f>
        <v>37.0514392</v>
      </c>
      <c r="L107" s="11" t="s">
        <v>843</v>
      </c>
    </row>
    <row r="108" customFormat="false" ht="17.15" hidden="false" customHeight="false" outlineLevel="0" collapsed="false">
      <c r="A108" s="0" t="s">
        <v>844</v>
      </c>
      <c r="B108" s="0" t="s">
        <v>399</v>
      </c>
      <c r="F108" s="29" t="n">
        <f aca="false">Sens!C89*IF(Sens!F82-Sens!C82=life_it,1,0)+Sens!D89*IF(Sens!F82-Sens!D82=life_it,1,0)+Sens!E89*IF(Sens!F82-Sens!E82=life_it,1,0)</f>
        <v>0</v>
      </c>
      <c r="G108" s="29" t="n">
        <f aca="false">Sens!C89*IF(Sens!G82-Sens!C82=life_it,1,0)+Sens!D89*IF(Sens!G82-Sens!D82=life_it,1,0)+Sens!E89*IF(Sens!G82-Sens!E82=life_it,1,0)+Sens!F89*IF(Sens!G82-Sens!F82=life_it,1,0)</f>
        <v>0</v>
      </c>
      <c r="H108" s="29" t="n">
        <f aca="false">Sens!C89*IF(Sens!H82-Sens!C82=life_it,1,0)+Sens!D89*IF(Sens!H82-Sens!D82=life_it,1,0)+Sens!E89*IF(Sens!H82-Sens!E82=life_it,1,0)+Sens!F89*IF(Sens!H82-Sens!F82=life_it,1,0)+Sens!G89*IF(Sens!H82-Sens!G82=life_it,1,0)</f>
        <v>0</v>
      </c>
      <c r="I108" s="29" t="n">
        <f aca="false">Sens!C89*IF(Sens!I82-Sens!C82=life_it,1,0)+Sens!D89*IF(Sens!I82-Sens!D82=life_it,1,0)+Sens!E89*IF(Sens!I82-Sens!E82=life_it,1,0)+Sens!F89*IF(Sens!I82-Sens!F82=life_it,1,0)+Sens!G89*IF(Sens!I82-Sens!G82=life_it,1,0)+Sens!H89*IF(Sens!I82-Sens!H82=life_it,1,0)</f>
        <v>816.666666666667</v>
      </c>
      <c r="J108" s="29" t="n">
        <f aca="false">Sens!C89*IF(Sens!J82-Sens!C82=life_it,1,0)+Sens!D89*IF(Sens!J82-Sens!D82=life_it,1,0)+Sens!E89*IF(Sens!J82-Sens!E82=life_it,1,0)+Sens!F89*IF(Sens!J82-Sens!F82=life_it,1,0)+Sens!G89*IF(Sens!J82-Sens!G82=life_it,1,0)+Sens!H89*IF(Sens!J82-Sens!H82=life_it,1,0)+Sens!I89*IF(Sens!J82-Sens!I82=life_it,1,0)</f>
        <v>1233.33333333333</v>
      </c>
      <c r="K108" s="29" t="n">
        <f aca="false">Sens!C89*IF(Sens!K82-Sens!C82=life_it,1,0)+Sens!D89*IF(Sens!K82-Sens!D82=life_it,1,0)+Sens!E89*IF(Sens!K82-Sens!E82=life_it,1,0)+Sens!F89*IF(Sens!K82-Sens!F82=life_it,1,0)+Sens!G89*IF(Sens!K82-Sens!G82=life_it,1,0)+Sens!H89*IF(Sens!K82-Sens!H82=life_it,1,0)+Sens!I89*IF(Sens!K82-Sens!I82=life_it,1,0)+Sens!J89*IF(Sens!K82-Sens!J82=life_it,1,0)</f>
        <v>2450</v>
      </c>
      <c r="L108" s="1" t="s">
        <v>845</v>
      </c>
    </row>
    <row r="109" customFormat="false" ht="17.15" hidden="false" customHeight="false" outlineLevel="0" collapsed="false">
      <c r="A109" s="0" t="s">
        <v>846</v>
      </c>
      <c r="B109" s="0" t="s">
        <v>98</v>
      </c>
      <c r="C109" s="6" t="n">
        <f aca="false">Sens!C89*Sens!C107/1000</f>
        <v>22.5333845916667</v>
      </c>
      <c r="D109" s="6" t="n">
        <f aca="false">Sens!D89*Sens!D107/1000</f>
        <v>34.0300093833333</v>
      </c>
      <c r="E109" s="6" t="n">
        <f aca="false">Sens!E89*Sens!E107/1000</f>
        <v>67.600153775</v>
      </c>
      <c r="F109" s="6" t="n">
        <f aca="false">(Sens!F89+Sens!F108)*Sens!F107/1000</f>
        <v>130.923271871467</v>
      </c>
      <c r="G109" s="6" t="n">
        <f aca="false">(Sens!G89+Sens!G108)*Sens!G107/1000</f>
        <v>151.5545564832</v>
      </c>
      <c r="H109" s="6" t="n">
        <f aca="false">(Sens!H89+Sens!H108)*Sens!H107/1000</f>
        <v>156.0606619104</v>
      </c>
      <c r="I109" s="6" t="n">
        <f aca="false">(Sens!I89+Sens!I108)*Sens!I107/1000</f>
        <v>140.987889434245</v>
      </c>
      <c r="J109" s="6" t="n">
        <f aca="false">(Sens!J89+Sens!J108)*Sens!J107/1000</f>
        <v>113.309125559842</v>
      </c>
      <c r="K109" s="6" t="n">
        <f aca="false">(Sens!K89+Sens!K108)*Sens!K107/1000</f>
        <v>116.192591420959</v>
      </c>
    </row>
    <row r="110" customFormat="false" ht="17.15" hidden="false" customHeight="false" outlineLevel="0" collapsed="false">
      <c r="A110" s="0" t="s">
        <v>847</v>
      </c>
      <c r="B110" s="0" t="s">
        <v>98</v>
      </c>
      <c r="C110" s="6" t="n">
        <f aca="false">Sens!C89*self_build*tk_cxfac/1000</f>
        <v>6.2083</v>
      </c>
      <c r="D110" s="6" t="n">
        <f aca="false">Sens!D89*self_build*tk_cxfac/1000</f>
        <v>9.3758</v>
      </c>
      <c r="E110" s="6" t="n">
        <f aca="false">Sens!E89*self_build*tk_cxfac/1000</f>
        <v>18.6249</v>
      </c>
      <c r="F110" s="6" t="n">
        <f aca="false">Sens!F89*self_build*tk_cxfac/1000</f>
        <v>29.409604</v>
      </c>
      <c r="G110" s="6" t="n">
        <f aca="false">Sens!G89*self_build*tk_cxfac/1000</f>
        <v>32.019624</v>
      </c>
      <c r="H110" s="6" t="n">
        <f aca="false">Sens!H89*self_build*tk_cxfac/1000</f>
        <v>32.019624</v>
      </c>
      <c r="I110" s="6" t="n">
        <f aca="false">Sens!I89*self_build*tk_cxfac/1000</f>
        <v>22.71877972</v>
      </c>
      <c r="J110" s="6" t="n">
        <f aca="false">Sens!J89*self_build*tk_cxfac/1000</f>
        <v>13.8723110344</v>
      </c>
      <c r="K110" s="6" t="n">
        <f aca="false">Sens!K89*self_build*tk_cxfac/1000</f>
        <v>5.214823882632</v>
      </c>
    </row>
    <row r="111" customFormat="false" ht="17.15" hidden="false" customHeight="false" outlineLevel="0" collapsed="false">
      <c r="A111" s="0" t="s">
        <v>848</v>
      </c>
      <c r="B111" s="0" t="s">
        <v>98</v>
      </c>
      <c r="F111" s="6" t="n">
        <f aca="false">MAX(0,capex_floor27-Sens!F109-Sens!F110-Sens!F205)</f>
        <v>8.13777689897088</v>
      </c>
    </row>
    <row r="112" customFormat="false" ht="17.15" hidden="false" customHeight="false" outlineLevel="0" collapsed="false">
      <c r="A112" s="0" t="s">
        <v>849</v>
      </c>
      <c r="B112" s="0" t="s">
        <v>98</v>
      </c>
      <c r="C112" s="6" t="n">
        <f aca="false">Sens!C109</f>
        <v>22.5333845916667</v>
      </c>
      <c r="D112" s="6" t="n">
        <f aca="false">Sens!D109</f>
        <v>34.0300093833333</v>
      </c>
      <c r="E112" s="6" t="n">
        <f aca="false">Sens!E109</f>
        <v>67.600153775</v>
      </c>
      <c r="F112" s="6" t="n">
        <f aca="false">Sens!F109</f>
        <v>130.923271871467</v>
      </c>
      <c r="G112" s="6" t="n">
        <f aca="false">Sens!G109</f>
        <v>151.5545564832</v>
      </c>
      <c r="H112" s="6" t="n">
        <f aca="false">Sens!H109</f>
        <v>156.0606619104</v>
      </c>
      <c r="I112" s="6" t="n">
        <f aca="false">Sens!I109</f>
        <v>140.987889434245</v>
      </c>
      <c r="J112" s="6" t="n">
        <f aca="false">Sens!J109</f>
        <v>113.309125559842</v>
      </c>
      <c r="K112" s="6" t="n">
        <f aca="false">Sens!K109</f>
        <v>116.192591420959</v>
      </c>
    </row>
    <row r="113" customFormat="false" ht="17.15" hidden="false" customHeight="false" outlineLevel="0" collapsed="false">
      <c r="A113" s="0" t="s">
        <v>850</v>
      </c>
      <c r="B113" s="0" t="s">
        <v>98</v>
      </c>
      <c r="C113" s="6" t="n">
        <f aca="false">Sens!C112+Sens!C110</f>
        <v>28.7416845916667</v>
      </c>
      <c r="D113" s="6" t="n">
        <f aca="false">Sens!D112+Sens!D110</f>
        <v>43.4058093833333</v>
      </c>
      <c r="E113" s="6" t="n">
        <f aca="false">Sens!E112+Sens!E110</f>
        <v>86.225053775</v>
      </c>
      <c r="F113" s="6" t="n">
        <f aca="false">Sens!F112+Sens!F110</f>
        <v>160.332875871467</v>
      </c>
      <c r="G113" s="6" t="n">
        <f aca="false">Sens!G112+Sens!G110</f>
        <v>183.5741804832</v>
      </c>
      <c r="H113" s="6" t="n">
        <f aca="false">Sens!H112+Sens!H110</f>
        <v>188.0802859104</v>
      </c>
      <c r="I113" s="6" t="n">
        <f aca="false">Sens!I112+Sens!I110</f>
        <v>163.706669154245</v>
      </c>
      <c r="J113" s="6" t="n">
        <f aca="false">Sens!J112+Sens!J110</f>
        <v>127.181436594242</v>
      </c>
      <c r="K113" s="6" t="n">
        <f aca="false">Sens!K112+Sens!K110</f>
        <v>121.407415303591</v>
      </c>
      <c r="L113" s="11" t="s">
        <v>851</v>
      </c>
    </row>
    <row r="114" customFormat="false" ht="17.15" hidden="false" customHeight="false" outlineLevel="0" collapsed="false">
      <c r="A114" s="0" t="s">
        <v>852</v>
      </c>
      <c r="B114" s="0" t="s">
        <v>98</v>
      </c>
      <c r="E114" s="6" t="n">
        <f aca="false">(Sens!C112*IF(2&lt;life_it,1,IF(2=life_it,0.5,0))+Sens!D112*IF(1&lt;life_it,1,IF(1=life_it,0.5,0))+Sens!E112*0.5)/life_it</f>
        <v>15.0605784770833</v>
      </c>
      <c r="F114" s="6" t="n">
        <f aca="false">(Sens!C112*IF(3&lt;life_it,1,IF(3=life_it,0.5,0))+Sens!D112*IF(2&lt;life_it,1,IF(2=life_it,0.5,0))+Sens!E112*IF(1&lt;life_it,1,IF(1=life_it,0.5,0))+Sens!F112*0.5)/life_it</f>
        <v>31.6041972809556</v>
      </c>
      <c r="G114" s="6" t="n">
        <f aca="false">(Sens!C112*IF(4&lt;life_it,1,IF(4=life_it,0.5,0))+Sens!D112*IF(3&lt;life_it,1,IF(3=life_it,0.5,0))+Sens!E112*IF(2&lt;life_it,1,IF(2=life_it,0.5,0))+Sens!F112*IF(1&lt;life_it,1,IF(1=life_it,0.5,0))+Sens!G112*0.5)/life_it</f>
        <v>55.1440163105111</v>
      </c>
      <c r="H114" s="6" t="n">
        <f aca="false">(Sens!C112*IF(5&lt;life_it,1,IF(5=life_it,0.5,0))+Sens!D112*IF(4&lt;life_it,1,IF(4=life_it,0.5,0))+Sens!E112*IF(3&lt;life_it,1,IF(3=life_it,0.5,0))+Sens!F112*IF(2&lt;life_it,1,IF(2=life_it,0.5,0))+Sens!G112*IF(1&lt;life_it,1,IF(1=life_it,0.5,0))+Sens!H112*0.5)/life_it</f>
        <v>80.7786178433111</v>
      </c>
      <c r="I114" s="6" t="n">
        <f aca="false">(Sens!C112*IF(6&lt;life_it,1,IF(6=life_it,0.5,0))+Sens!D112*IF(5&lt;life_it,1,IF(5=life_it,0.5,0))+Sens!E112*IF(4&lt;life_it,1,IF(4=life_it,0.5,0))+Sens!F112*IF(3&lt;life_it,1,IF(3=life_it,0.5,0))+Sens!G112*IF(2&lt;life_it,1,IF(2=life_it,0.5,0))+Sens!H112*IF(1&lt;life_it,1,IF(1=life_it,0.5,0))+Sens!I112*0.5)/life_it</f>
        <v>103.654881739393</v>
      </c>
      <c r="J114" s="6" t="n">
        <f aca="false">(Sens!C112*IF(7&lt;life_it,1,IF(7=life_it,0.5,0))+Sens!D112*IF(6&lt;life_it,1,IF(6=life_it,0.5,0))+Sens!E112*IF(5&lt;life_it,1,IF(5=life_it,0.5,0))+Sens!F112*IF(4&lt;life_it,1,IF(4=life_it,0.5,0))+Sens!G112*IF(3&lt;life_it,1,IF(3=life_it,0.5,0))+Sens!H112*IF(2&lt;life_it,1,IF(2=life_it,0.5,0))+Sens!I112*IF(1&lt;life_it,1,IF(1=life_it,0.5,0))+Sens!J112*0.5)/life_it</f>
        <v>120.132683490983</v>
      </c>
      <c r="K114" s="6" t="n">
        <f aca="false">(Sens!C112*IF(8&lt;life_it,1,IF(8=life_it,0.5,0))+Sens!D112*IF(7&lt;life_it,1,IF(7=life_it,0.5,0))+Sens!E112*IF(6&lt;life_it,1,IF(6=life_it,0.5,0))+Sens!F112*IF(5&lt;life_it,1,IF(5=life_it,0.5,0))+Sens!G112*IF(4&lt;life_it,1,IF(4=life_it,0.5,0))+Sens!H112*IF(3&lt;life_it,1,IF(3=life_it,0.5,0))+Sens!I112*IF(2&lt;life_it,1,IF(2=life_it,0.5,0))+Sens!J112*IF(1&lt;life_it,1,IF(1=life_it,0.5,0))+Sens!K112*0.5)/life_it</f>
        <v>130.788646309522</v>
      </c>
    </row>
    <row r="115" customFormat="false" ht="17.15" hidden="false" customHeight="false" outlineLevel="0" collapsed="false">
      <c r="A115" s="0" t="s">
        <v>853</v>
      </c>
      <c r="B115" s="0" t="s">
        <v>98</v>
      </c>
      <c r="E115" s="6" t="n">
        <f aca="false">(Sens!C110*IF(2&lt;life_fac,1,IF(2=life_fac,0.5,0))+Sens!D110*IF(1&lt;life_fac,1,IF(1=life_fac,0.5,0))+Sens!E110*0.5)/life_fac</f>
        <v>1.2448275</v>
      </c>
      <c r="F115" s="6" t="n">
        <f aca="false">(Sens!C110*IF(3&lt;life_fac,1,IF(3=life_fac,0.5,0))+Sens!D110*IF(2&lt;life_fac,1,IF(2=life_fac,0.5,0))+Sens!E110*IF(1&lt;life_fac,1,IF(1=life_fac,0.5,0))+Sens!F110*0.5)/life_fac</f>
        <v>2.4456901</v>
      </c>
      <c r="G115" s="6" t="n">
        <f aca="false">(Sens!C110*IF(4&lt;life_fac,1,IF(4=life_fac,0.5,0))+Sens!D110*IF(3&lt;life_fac,1,IF(3=life_fac,0.5,0))+Sens!E110*IF(2&lt;life_fac,1,IF(2=life_fac,0.5,0))+Sens!F110*IF(1&lt;life_fac,1,IF(1=life_fac,0.5,0))+Sens!G110*0.5)/life_fac</f>
        <v>3.9814208</v>
      </c>
      <c r="H115" s="6" t="n">
        <f aca="false">(Sens!C110*IF(5&lt;life_fac,1,IF(5=life_fac,0.5,0))+Sens!D110*IF(4&lt;life_fac,1,IF(4=life_fac,0.5,0))+Sens!E110*IF(3&lt;life_fac,1,IF(3=life_fac,0.5,0))+Sens!F110*IF(2&lt;life_fac,1,IF(2=life_fac,0.5,0))+Sens!G110*IF(1&lt;life_fac,1,IF(1=life_fac,0.5,0))+Sens!H110*0.5)/life_fac</f>
        <v>5.582402</v>
      </c>
      <c r="I115" s="6" t="n">
        <f aca="false">(Sens!C110*IF(6&lt;life_fac,1,IF(6=life_fac,0.5,0))+Sens!D110*IF(5&lt;life_fac,1,IF(5=life_fac,0.5,0))+Sens!E110*IF(4&lt;life_fac,1,IF(4=life_fac,0.5,0))+Sens!F110*IF(3&lt;life_fac,1,IF(3=life_fac,0.5,0))+Sens!G110*IF(2&lt;life_fac,1,IF(2=life_fac,0.5,0))+Sens!H110*IF(1&lt;life_fac,1,IF(1=life_fac,0.5,0))+Sens!I110*0.5)/life_fac</f>
        <v>6.950862093</v>
      </c>
      <c r="J115" s="6" t="n">
        <f aca="false">(Sens!C110*IF(7&lt;life_fac,1,IF(7=life_fac,0.5,0))+Sens!D110*IF(6&lt;life_fac,1,IF(6=life_fac,0.5,0))+Sens!E110*IF(5&lt;life_fac,1,IF(5=life_fac,0.5,0))+Sens!F110*IF(4&lt;life_fac,1,IF(4=life_fac,0.5,0))+Sens!G110*IF(3&lt;life_fac,1,IF(3=life_fac,0.5,0))+Sens!H110*IF(2&lt;life_fac,1,IF(2=life_fac,0.5,0))+Sens!I110*IF(1&lt;life_fac,1,IF(1=life_fac,0.5,0))+Sens!J110*0.5)/life_fac</f>
        <v>7.86563936186</v>
      </c>
      <c r="K115" s="6" t="n">
        <f aca="false">(Sens!C110*IF(8&lt;life_fac,1,IF(8=life_fac,0.5,0))+Sens!D110*IF(7&lt;life_fac,1,IF(7=life_fac,0.5,0))+Sens!E110*IF(6&lt;life_fac,1,IF(6=life_fac,0.5,0))+Sens!F110*IF(5&lt;life_fac,1,IF(5=life_fac,0.5,0))+Sens!G110*IF(4&lt;life_fac,1,IF(4=life_fac,0.5,0))+Sens!H110*IF(3&lt;life_fac,1,IF(3=life_fac,0.5,0))+Sens!I110*IF(2&lt;life_fac,1,IF(2=life_fac,0.5,0))+Sens!J110*IF(1&lt;life_fac,1,IF(1=life_fac,0.5,0))+Sens!K110*0.5)/life_fac</f>
        <v>8.3428177347858</v>
      </c>
    </row>
    <row r="116" customFormat="false" ht="17.15" hidden="false" customHeight="false" outlineLevel="0" collapsed="false">
      <c r="A116" s="0" t="s">
        <v>854</v>
      </c>
      <c r="B116" s="0" t="s">
        <v>98</v>
      </c>
      <c r="E116" s="6" t="n">
        <f aca="false">Sens!E114+Sens!E115</f>
        <v>16.3054059770833</v>
      </c>
      <c r="F116" s="6" t="n">
        <f aca="false">Sens!F114+Sens!F115</f>
        <v>34.0498873809555</v>
      </c>
      <c r="G116" s="6" t="n">
        <f aca="false">Sens!G114+Sens!G115</f>
        <v>59.1254371105111</v>
      </c>
      <c r="H116" s="6" t="n">
        <f aca="false">Sens!H114+Sens!H115</f>
        <v>86.3610198433111</v>
      </c>
      <c r="I116" s="6" t="n">
        <f aca="false">Sens!I114+Sens!I115</f>
        <v>110.605743832393</v>
      </c>
      <c r="J116" s="6" t="n">
        <f aca="false">Sens!J114+Sens!J115</f>
        <v>127.998322852843</v>
      </c>
      <c r="K116" s="6" t="n">
        <f aca="false">Sens!K114+Sens!K115</f>
        <v>139.131464044308</v>
      </c>
    </row>
    <row r="117" customFormat="false" ht="17.15" hidden="false" customHeight="false" outlineLevel="0" collapsed="false">
      <c r="A117" s="0" t="s">
        <v>855</v>
      </c>
      <c r="B117" s="0" t="s">
        <v>98</v>
      </c>
      <c r="E117" s="6" t="n">
        <f aca="false">Sens!E105-Sens!E104*Sens!E116</f>
        <v>8.92707889977379</v>
      </c>
      <c r="F117" s="6" t="n">
        <f aca="false">Sens!F105-Sens!F104*Sens!F116</f>
        <v>22.6979209761638</v>
      </c>
      <c r="G117" s="6" t="n">
        <f aca="false">Sens!G105-Sens!G104*Sens!G116</f>
        <v>42.9960401135986</v>
      </c>
      <c r="H117" s="6" t="n">
        <f aca="false">Sens!H105-Sens!H104*Sens!H116</f>
        <v>68.3530123552322</v>
      </c>
      <c r="I117" s="6" t="n">
        <f aca="false">Sens!I105-Sens!I104*Sens!I116</f>
        <v>85.5693875361303</v>
      </c>
      <c r="J117" s="6" t="n">
        <f aca="false">Sens!J105-Sens!J104*Sens!J116</f>
        <v>97.6813621174372</v>
      </c>
      <c r="K117" s="6" t="n">
        <f aca="false">Sens!K105-Sens!K104*Sens!K116</f>
        <v>106.099477202773</v>
      </c>
    </row>
    <row r="118" customFormat="false" ht="17.15" hidden="false" customHeight="false" outlineLevel="0" collapsed="false">
      <c r="A118" s="3" t="s">
        <v>1263</v>
      </c>
    </row>
    <row r="119" customFormat="false" ht="15" hidden="false" customHeight="false" outlineLevel="0" collapsed="false">
      <c r="A119" s="4" t="s">
        <v>43</v>
      </c>
      <c r="B119" s="4" t="s">
        <v>65</v>
      </c>
      <c r="C119" s="20" t="s">
        <v>799</v>
      </c>
      <c r="D119" s="20" t="s">
        <v>800</v>
      </c>
      <c r="E119" s="20" t="s">
        <v>801</v>
      </c>
      <c r="F119" s="20" t="s">
        <v>802</v>
      </c>
      <c r="G119" s="20" t="s">
        <v>803</v>
      </c>
      <c r="H119" s="20" t="s">
        <v>804</v>
      </c>
      <c r="I119" s="20" t="s">
        <v>805</v>
      </c>
      <c r="J119" s="20" t="s">
        <v>806</v>
      </c>
      <c r="K119" s="20" t="s">
        <v>807</v>
      </c>
      <c r="L119" s="4" t="s">
        <v>47</v>
      </c>
    </row>
    <row r="120" customFormat="false" ht="17.15" hidden="false" customHeight="false" outlineLevel="0" collapsed="false">
      <c r="A120" s="0" t="s">
        <v>874</v>
      </c>
      <c r="B120" s="0" t="s">
        <v>98</v>
      </c>
      <c r="D120" s="6" t="n">
        <f aca="false">Sens!D99</f>
        <v>12.9359794422418</v>
      </c>
      <c r="E120" s="6" t="n">
        <f aca="false">Sens!E99</f>
        <v>27.8095064661409</v>
      </c>
      <c r="F120" s="6" t="n">
        <f aca="false">Sens!F99</f>
        <v>58.7324192305018</v>
      </c>
      <c r="G120" s="6" t="n">
        <f aca="false">Sens!G99</f>
        <v>101.369089141153</v>
      </c>
      <c r="H120" s="6" t="n">
        <f aca="false">Sens!H99</f>
        <v>149.785610014234</v>
      </c>
      <c r="I120" s="6" t="n">
        <f aca="false">Sens!I99</f>
        <v>187.368703083263</v>
      </c>
      <c r="J120" s="6" t="n">
        <f aca="false">Sens!J99</f>
        <v>213.886657444854</v>
      </c>
      <c r="K120" s="6" t="n">
        <f aca="false">Sens!K99</f>
        <v>231.253475259589</v>
      </c>
    </row>
    <row r="121" customFormat="false" ht="17.15" hidden="false" customHeight="false" outlineLevel="0" collapsed="false">
      <c r="A121" s="0" t="s">
        <v>875</v>
      </c>
      <c r="B121" s="0" t="s">
        <v>98</v>
      </c>
      <c r="D121" s="6" t="n">
        <f aca="false">Q!L6-Sens!D120</f>
        <v>59.6740205577583</v>
      </c>
      <c r="E121" s="6" t="n">
        <f aca="false">Q!M6-Sens!E120</f>
        <v>74.1284935338591</v>
      </c>
      <c r="F121" s="6" t="n">
        <f aca="false">Sens!E121*(1+Sens!F122)</f>
        <v>90.0799497373663</v>
      </c>
      <c r="G121" s="6" t="n">
        <f aca="false">Sens!F121*(1+Sens!G122)</f>
        <v>107.02842520331</v>
      </c>
      <c r="H121" s="6" t="n">
        <f aca="false">Sens!G121*(1+Sens!H122)</f>
        <v>124.271982585636</v>
      </c>
      <c r="I121" s="6" t="n">
        <f aca="false">Sens!H121*(1+Sens!I122)</f>
        <v>140.933702381855</v>
      </c>
      <c r="J121" s="6" t="n">
        <f aca="false">Sens!I121*(1+Sens!J122)</f>
        <v>156.018867314332</v>
      </c>
      <c r="K121" s="6" t="n">
        <f aca="false">Sens!J121*(1+Sens!K122)</f>
        <v>168.500376699478</v>
      </c>
    </row>
    <row r="122" customFormat="false" ht="15" hidden="false" customHeight="false" outlineLevel="0" collapsed="false">
      <c r="A122" s="1" t="s">
        <v>876</v>
      </c>
      <c r="B122" s="0" t="s">
        <v>129</v>
      </c>
      <c r="E122" s="7" t="n">
        <f aca="false">Sens!E121/Sens!D121-1</f>
        <v>0.242223883039864</v>
      </c>
      <c r="F122" s="7" t="n">
        <f aca="false">Sens!$E$122+(glt_azo-Sens!$E$122)*MIN(1,(Sens!F82-base_fy)/n_conv)</f>
        <v>0.215186569199887</v>
      </c>
      <c r="G122" s="7" t="n">
        <f aca="false">Sens!$E$122+(glt_azo-Sens!$E$122)*MIN(1,(Sens!G82-base_fy)/n_conv)</f>
        <v>0.18814925535991</v>
      </c>
      <c r="H122" s="7" t="n">
        <f aca="false">Sens!$E$122+(glt_azo-Sens!$E$122)*MIN(1,(Sens!H82-base_fy)/n_conv)</f>
        <v>0.161111941519932</v>
      </c>
      <c r="I122" s="7" t="n">
        <f aca="false">Sens!$E$122+(glt_azo-Sens!$E$122)*MIN(1,(Sens!I82-base_fy)/n_conv)</f>
        <v>0.134074627679955</v>
      </c>
      <c r="J122" s="7" t="n">
        <f aca="false">Sens!$E$122+(glt_azo-Sens!$E$122)*MIN(1,(Sens!J82-base_fy)/n_conv)</f>
        <v>0.107037313839977</v>
      </c>
      <c r="K122" s="7" t="n">
        <f aca="false">Sens!$E$122+(glt_azo-Sens!$E$122)*MIN(1,(Sens!K82-base_fy)/n_conv)</f>
        <v>0.08</v>
      </c>
    </row>
    <row r="123" customFormat="false" ht="15" hidden="false" customHeight="false" outlineLevel="0" collapsed="false">
      <c r="A123" s="0" t="s">
        <v>877</v>
      </c>
      <c r="B123" s="0" t="s">
        <v>98</v>
      </c>
      <c r="D123" s="6" t="n">
        <f aca="false">Sens!D120+Sens!D121</f>
        <v>72.61</v>
      </c>
      <c r="E123" s="6" t="n">
        <f aca="false">Sens!E120+Sens!E121</f>
        <v>101.938</v>
      </c>
      <c r="F123" s="6" t="n">
        <f aca="false">Sens!F120+Sens!F121</f>
        <v>148.812368967868</v>
      </c>
      <c r="G123" s="6" t="n">
        <f aca="false">Sens!G120+Sens!G121</f>
        <v>208.397514344463</v>
      </c>
      <c r="H123" s="6" t="n">
        <f aca="false">Sens!H120+Sens!H121</f>
        <v>274.05759259987</v>
      </c>
      <c r="I123" s="6" t="n">
        <f aca="false">Sens!I120+Sens!I121</f>
        <v>328.302405465117</v>
      </c>
      <c r="J123" s="6" t="n">
        <f aca="false">Sens!J120+Sens!J121</f>
        <v>369.905524759186</v>
      </c>
      <c r="K123" s="6" t="n">
        <f aca="false">Sens!K120+Sens!K121</f>
        <v>399.753851959067</v>
      </c>
    </row>
    <row r="124" customFormat="false" ht="17.15" hidden="false" customHeight="false" outlineLevel="0" collapsed="false">
      <c r="A124" s="0" t="s">
        <v>878</v>
      </c>
      <c r="B124" s="1" t="s">
        <v>528</v>
      </c>
      <c r="C124" s="29" t="n">
        <f aca="false">cop_s24</f>
        <v>1</v>
      </c>
      <c r="D124" s="29" t="n">
        <f aca="false">cop_s25</f>
        <v>5</v>
      </c>
      <c r="E124" s="29" t="n">
        <f aca="false">cop_s26</f>
        <v>30</v>
      </c>
      <c r="F124" s="29" t="n">
        <f aca="false">Sens!E124+cop_add_A</f>
        <v>60</v>
      </c>
      <c r="G124" s="29" t="n">
        <f aca="false">Sens!F124+cop_add_A</f>
        <v>90</v>
      </c>
      <c r="H124" s="29" t="n">
        <f aca="false">Sens!G124+cop_add_A</f>
        <v>120</v>
      </c>
      <c r="I124" s="29" t="n">
        <f aca="false">Sens!H124+cop_add_A*cop_tail</f>
        <v>135</v>
      </c>
      <c r="J124" s="29" t="n">
        <f aca="false">Sens!I124+cop_add_A*cop_tail</f>
        <v>150</v>
      </c>
      <c r="K124" s="29" t="n">
        <f aca="false">Sens!J124+cop_add_A*cop_tail</f>
        <v>165</v>
      </c>
      <c r="L124" s="11" t="s">
        <v>879</v>
      </c>
    </row>
    <row r="125" customFormat="false" ht="17.15" hidden="false" customHeight="false" outlineLevel="0" collapsed="false">
      <c r="A125" s="0" t="s">
        <v>880</v>
      </c>
      <c r="B125" s="0" t="s">
        <v>98</v>
      </c>
      <c r="D125" s="6" t="n">
        <f aca="false">(Sens!C124+Sens!D124)/2*cop_px*12/1000</f>
        <v>0.9</v>
      </c>
      <c r="E125" s="6" t="n">
        <f aca="false">(Sens!D124+Sens!E124)/2*cop_px*12/1000</f>
        <v>5.25</v>
      </c>
      <c r="F125" s="6" t="n">
        <f aca="false">(Sens!E124+Sens!F124)/2*cop_px*12/1000</f>
        <v>13.5</v>
      </c>
      <c r="G125" s="6" t="n">
        <f aca="false">(Sens!F124+Sens!G124)/2*cop_px*12/1000</f>
        <v>22.5</v>
      </c>
      <c r="H125" s="6" t="n">
        <f aca="false">(Sens!G124+Sens!H124)/2*cop_px*12/1000</f>
        <v>31.5</v>
      </c>
      <c r="I125" s="6" t="n">
        <f aca="false">(Sens!H124+Sens!I124)/2*cop_px*12/1000</f>
        <v>38.25</v>
      </c>
      <c r="J125" s="6" t="n">
        <f aca="false">(Sens!I124+Sens!J124)/2*cop_px*12/1000</f>
        <v>42.75</v>
      </c>
      <c r="K125" s="6" t="n">
        <f aca="false">(Sens!J124+Sens!K124)/2*cop_px*12/1000</f>
        <v>47.25</v>
      </c>
      <c r="L125" s="1" t="s">
        <v>881</v>
      </c>
    </row>
    <row r="126" customFormat="false" ht="17.15" hidden="false" customHeight="false" outlineLevel="0" collapsed="false">
      <c r="A126" s="0" t="s">
        <v>882</v>
      </c>
      <c r="B126" s="0" t="s">
        <v>98</v>
      </c>
      <c r="D126" s="6" t="n">
        <f aca="false">Q!L7-Sens!D125</f>
        <v>83.705</v>
      </c>
      <c r="E126" s="6" t="n">
        <f aca="false">Q!M7-Sens!E125</f>
        <v>95.049</v>
      </c>
      <c r="F126" s="6" t="n">
        <f aca="false">Sens!E126*(1+Sens!F127)</f>
        <v>106.89238776686</v>
      </c>
      <c r="G126" s="6" t="n">
        <f aca="false">Sens!F126*(1+Sens!G127)</f>
        <v>119.044168448684</v>
      </c>
      <c r="H126" s="6" t="n">
        <f aca="false">Sens!G126*(1+Sens!H127)</f>
        <v>131.277359388781</v>
      </c>
      <c r="I126" s="6" t="n">
        <f aca="false">Sens!H126*(1+Sens!I127)</f>
        <v>143.334028071957</v>
      </c>
      <c r="J126" s="6" t="n">
        <f aca="false">Sens!I126*(1+Sens!J127)</f>
        <v>154.932702785465</v>
      </c>
      <c r="K126" s="6" t="n">
        <f aca="false">Sens!J126*(1+Sens!K127)</f>
        <v>165.777991980448</v>
      </c>
    </row>
    <row r="127" customFormat="false" ht="15" hidden="false" customHeight="false" outlineLevel="0" collapsed="false">
      <c r="A127" s="1" t="s">
        <v>876</v>
      </c>
      <c r="B127" s="0" t="s">
        <v>129</v>
      </c>
      <c r="E127" s="7" t="n">
        <f aca="false">Sens!E126/Sens!D126-1</f>
        <v>0.135523564900544</v>
      </c>
      <c r="F127" s="7" t="n">
        <f aca="false">Sens!$E$127+(glt_m365b-Sens!$E$127)*MIN(1,(Sens!F82-base_fy)/n_conv)</f>
        <v>0.124602970750453</v>
      </c>
      <c r="G127" s="7" t="n">
        <f aca="false">Sens!$E$127+(glt_m365b-Sens!$E$127)*MIN(1,(Sens!G82-base_fy)/n_conv)</f>
        <v>0.113682376600363</v>
      </c>
      <c r="H127" s="7" t="n">
        <f aca="false">Sens!$E$127+(glt_m365b-Sens!$E$127)*MIN(1,(Sens!H82-base_fy)/n_conv)</f>
        <v>0.102761782450272</v>
      </c>
      <c r="I127" s="7" t="n">
        <f aca="false">Sens!$E$127+(glt_m365b-Sens!$E$127)*MIN(1,(Sens!I82-base_fy)/n_conv)</f>
        <v>0.0918411883001813</v>
      </c>
      <c r="J127" s="7" t="n">
        <f aca="false">Sens!$E$127+(glt_m365b-Sens!$E$127)*MIN(1,(Sens!J82-base_fy)/n_conv)</f>
        <v>0.0809205941500906</v>
      </c>
      <c r="K127" s="7" t="n">
        <f aca="false">Sens!$E$127+(glt_m365b-Sens!$E$127)*MIN(1,(Sens!K82-base_fy)/n_conv)</f>
        <v>0.07</v>
      </c>
    </row>
    <row r="128" customFormat="false" ht="15" hidden="false" customHeight="false" outlineLevel="0" collapsed="false">
      <c r="A128" s="0" t="s">
        <v>883</v>
      </c>
      <c r="B128" s="0" t="s">
        <v>98</v>
      </c>
      <c r="D128" s="6" t="n">
        <f aca="false">Sens!D126+Sens!D125</f>
        <v>84.605</v>
      </c>
      <c r="E128" s="6" t="n">
        <f aca="false">Sens!E126+Sens!E125</f>
        <v>100.299</v>
      </c>
      <c r="F128" s="6" t="n">
        <f aca="false">Sens!F126+Sens!F125</f>
        <v>120.39238776686</v>
      </c>
      <c r="G128" s="6" t="n">
        <f aca="false">Sens!G126+Sens!G125</f>
        <v>141.544168448684</v>
      </c>
      <c r="H128" s="6" t="n">
        <f aca="false">Sens!H126+Sens!H125</f>
        <v>162.777359388781</v>
      </c>
      <c r="I128" s="6" t="n">
        <f aca="false">Sens!I126+Sens!I125</f>
        <v>181.584028071957</v>
      </c>
      <c r="J128" s="6" t="n">
        <f aca="false">Sens!J126+Sens!J125</f>
        <v>197.682702785465</v>
      </c>
      <c r="K128" s="6" t="n">
        <f aca="false">Sens!K126+Sens!K125</f>
        <v>213.027991980448</v>
      </c>
    </row>
    <row r="129" customFormat="false" ht="15" hidden="false" customHeight="false" outlineLevel="0" collapsed="false">
      <c r="A129" s="0" t="s">
        <v>884</v>
      </c>
      <c r="B129" s="0" t="s">
        <v>98</v>
      </c>
      <c r="D129" s="6" t="n">
        <f aca="false">Q!L8</f>
        <v>35.391</v>
      </c>
      <c r="E129" s="6" t="n">
        <f aca="false">Q!M8</f>
        <v>37.285</v>
      </c>
      <c r="F129" s="6" t="n">
        <f aca="false">Sens!E129*(1+Sens!F130)</f>
        <v>39.0720834331704</v>
      </c>
      <c r="G129" s="6" t="n">
        <f aca="false">Sens!F129*(1+Sens!G130)</f>
        <v>40.726562953769</v>
      </c>
      <c r="H129" s="6" t="n">
        <f aca="false">Sens!G129*(1+Sens!H130)</f>
        <v>42.2235987259198</v>
      </c>
      <c r="I129" s="6" t="n">
        <f aca="false">Sens!H129*(1+Sens!I130)</f>
        <v>43.5397988077414</v>
      </c>
      <c r="J129" s="6" t="n">
        <f aca="false">Sens!I129*(1+Sens!J130)</f>
        <v>44.653811225693</v>
      </c>
      <c r="K129" s="6" t="n">
        <f aca="false">Sens!J129*(1+Sens!K130)</f>
        <v>45.5468874502068</v>
      </c>
    </row>
    <row r="130" customFormat="false" ht="15" hidden="false" customHeight="false" outlineLevel="0" collapsed="false">
      <c r="A130" s="1" t="s">
        <v>876</v>
      </c>
      <c r="B130" s="0" t="s">
        <v>129</v>
      </c>
      <c r="E130" s="7" t="n">
        <f aca="false">Sens!E129/Sens!D129-1</f>
        <v>0.0535164307309768</v>
      </c>
      <c r="F130" s="7" t="n">
        <f aca="false">Sens!$E$130+(glt_lic-Sens!$E$130)*MIN(1,(Sens!F82-base_fy)/n_conv)</f>
        <v>0.0479303589424807</v>
      </c>
      <c r="G130" s="7" t="n">
        <f aca="false">Sens!$E$130+(glt_lic-Sens!$E$130)*MIN(1,(Sens!G82-base_fy)/n_conv)</f>
        <v>0.0423442871539845</v>
      </c>
      <c r="H130" s="7" t="n">
        <f aca="false">Sens!$E$130+(glt_lic-Sens!$E$130)*MIN(1,(Sens!H82-base_fy)/n_conv)</f>
        <v>0.0367582153654884</v>
      </c>
      <c r="I130" s="7" t="n">
        <f aca="false">Sens!$E$130+(glt_lic-Sens!$E$130)*MIN(1,(Sens!I82-base_fy)/n_conv)</f>
        <v>0.0311721435769923</v>
      </c>
      <c r="J130" s="7" t="n">
        <f aca="false">Sens!$E$130+(glt_lic-Sens!$E$130)*MIN(1,(Sens!J82-base_fy)/n_conv)</f>
        <v>0.0255860717884961</v>
      </c>
      <c r="K130" s="7" t="n">
        <f aca="false">Sens!$E$130+(glt_lic-Sens!$E$130)*MIN(1,(Sens!K82-base_fy)/n_conv)</f>
        <v>0.02</v>
      </c>
    </row>
    <row r="131" customFormat="false" ht="15" hidden="false" customHeight="false" outlineLevel="0" collapsed="false">
      <c r="A131" s="0" t="s">
        <v>885</v>
      </c>
      <c r="B131" s="0" t="s">
        <v>98</v>
      </c>
      <c r="D131" s="6" t="n">
        <f aca="false">Q!L9</f>
        <v>18.417</v>
      </c>
      <c r="E131" s="6" t="n">
        <f aca="false">Q!M9</f>
        <v>20.345</v>
      </c>
      <c r="F131" s="6" t="n">
        <f aca="false">Sens!E131*(1+Sens!F132)</f>
        <v>22.3572203267814</v>
      </c>
      <c r="G131" s="6" t="n">
        <f aca="false">Sens!F131*(1+Sens!G132)</f>
        <v>24.4392124437232</v>
      </c>
      <c r="H131" s="6" t="n">
        <f aca="false">Sens!G131*(1+Sens!H132)</f>
        <v>26.5738052080665</v>
      </c>
      <c r="I131" s="6" t="n">
        <f aca="false">Sens!H131*(1+Sens!I132)</f>
        <v>28.7412169166967</v>
      </c>
      <c r="J131" s="6" t="n">
        <f aca="false">Sens!I131*(1+Sens!J132)</f>
        <v>30.9192545395413</v>
      </c>
      <c r="K131" s="6" t="n">
        <f aca="false">Sens!J131*(1+Sens!K132)</f>
        <v>33.0836023573092</v>
      </c>
    </row>
    <row r="132" customFormat="false" ht="15" hidden="false" customHeight="false" outlineLevel="0" collapsed="false">
      <c r="A132" s="1" t="s">
        <v>876</v>
      </c>
      <c r="B132" s="0" t="s">
        <v>129</v>
      </c>
      <c r="E132" s="7" t="n">
        <f aca="false">Sens!E131/Sens!D131-1</f>
        <v>0.104685888038225</v>
      </c>
      <c r="F132" s="7" t="n">
        <f aca="false">Sens!$E$132+(glt_ind-Sens!$E$132)*MIN(1,(Sens!F82-base_fy)/n_conv)</f>
        <v>0.0989049066985211</v>
      </c>
      <c r="G132" s="7" t="n">
        <f aca="false">Sens!$E$132+(glt_ind-Sens!$E$132)*MIN(1,(Sens!G82-base_fy)/n_conv)</f>
        <v>0.0931239253588169</v>
      </c>
      <c r="H132" s="7" t="n">
        <f aca="false">Sens!$E$132+(glt_ind-Sens!$E$132)*MIN(1,(Sens!H82-base_fy)/n_conv)</f>
        <v>0.0873429440191127</v>
      </c>
      <c r="I132" s="7" t="n">
        <f aca="false">Sens!$E$132+(glt_ind-Sens!$E$132)*MIN(1,(Sens!I82-base_fy)/n_conv)</f>
        <v>0.0815619626794085</v>
      </c>
      <c r="J132" s="7" t="n">
        <f aca="false">Sens!$E$132+(glt_ind-Sens!$E$132)*MIN(1,(Sens!J82-base_fy)/n_conv)</f>
        <v>0.0757809813397042</v>
      </c>
      <c r="K132" s="7" t="n">
        <f aca="false">Sens!$E$132+(glt_ind-Sens!$E$132)*MIN(1,(Sens!K82-base_fy)/n_conv)</f>
        <v>0.07</v>
      </c>
    </row>
    <row r="133" customFormat="false" ht="15" hidden="false" customHeight="false" outlineLevel="0" collapsed="false">
      <c r="A133" s="0" t="s">
        <v>886</v>
      </c>
      <c r="B133" s="0" t="s">
        <v>98</v>
      </c>
      <c r="D133" s="6" t="n">
        <f aca="false">Q!L10</f>
        <v>7.76</v>
      </c>
      <c r="E133" s="6" t="n">
        <f aca="false">Q!M10</f>
        <v>8.26</v>
      </c>
      <c r="F133" s="6" t="n">
        <f aca="false">Sens!E133*(1+Sens!F134)</f>
        <v>8.79988041237113</v>
      </c>
      <c r="G133" s="6" t="n">
        <f aca="false">Sens!F133*(1+Sens!G134)</f>
        <v>9.38321269125306</v>
      </c>
      <c r="H133" s="6" t="n">
        <f aca="false">Sens!G133*(1+Sens!H134)</f>
        <v>10.0139193587476</v>
      </c>
      <c r="I133" s="6" t="n">
        <f aca="false">Sens!H133*(1+Sens!I134)</f>
        <v>10.6963111830911</v>
      </c>
      <c r="J133" s="6" t="n">
        <f aca="false">Sens!I133*(1+Sens!J134)</f>
        <v>11.4351285534696</v>
      </c>
      <c r="K133" s="6" t="n">
        <f aca="false">Sens!J133*(1+Sens!K134)</f>
        <v>12.2355875522124</v>
      </c>
    </row>
    <row r="134" customFormat="false" ht="15" hidden="false" customHeight="false" outlineLevel="0" collapsed="false">
      <c r="A134" s="1" t="s">
        <v>876</v>
      </c>
      <c r="B134" s="0" t="s">
        <v>129</v>
      </c>
      <c r="E134" s="7" t="n">
        <f aca="false">Sens!E133/Sens!D133-1</f>
        <v>0.0644329896907216</v>
      </c>
      <c r="F134" s="7" t="n">
        <f aca="false">Sens!$E$134+(glt_fro-Sens!$E$134)*MIN(1,(Sens!F82-base_fy)/n_conv)</f>
        <v>0.065360824742268</v>
      </c>
      <c r="G134" s="7" t="n">
        <f aca="false">Sens!$E$134+(glt_fro-Sens!$E$134)*MIN(1,(Sens!G82-base_fy)/n_conv)</f>
        <v>0.0662886597938144</v>
      </c>
      <c r="H134" s="7" t="n">
        <f aca="false">Sens!$E$134+(glt_fro-Sens!$E$134)*MIN(1,(Sens!H82-base_fy)/n_conv)</f>
        <v>0.0672164948453608</v>
      </c>
      <c r="I134" s="7" t="n">
        <f aca="false">Sens!$E$134+(glt_fro-Sens!$E$134)*MIN(1,(Sens!I82-base_fy)/n_conv)</f>
        <v>0.0681443298969072</v>
      </c>
      <c r="J134" s="7" t="n">
        <f aca="false">Sens!$E$134+(glt_fro-Sens!$E$134)*MIN(1,(Sens!J82-base_fy)/n_conv)</f>
        <v>0.0690721649484536</v>
      </c>
      <c r="K134" s="7" t="n">
        <f aca="false">Sens!$E$134+(glt_fro-Sens!$E$134)*MIN(1,(Sens!K82-base_fy)/n_conv)</f>
        <v>0.07</v>
      </c>
    </row>
    <row r="135" customFormat="false" ht="15" hidden="false" customHeight="false" outlineLevel="0" collapsed="false">
      <c r="A135" s="0" t="s">
        <v>715</v>
      </c>
      <c r="B135" s="0" t="s">
        <v>98</v>
      </c>
      <c r="D135" s="6" t="n">
        <f aca="false">Sens!D123+Sens!D128+Sens!D129+Sens!D131+Sens!D133</f>
        <v>218.783</v>
      </c>
      <c r="E135" s="6" t="n">
        <f aca="false">Sens!E123+Sens!E128+Sens!E129+Sens!E131+Sens!E133</f>
        <v>268.127</v>
      </c>
      <c r="F135" s="6" t="n">
        <f aca="false">Sens!F123+Sens!F128+Sens!F129+Sens!F131+Sens!F133</f>
        <v>339.433940907051</v>
      </c>
      <c r="G135" s="6" t="n">
        <f aca="false">Sens!G123+Sens!G128+Sens!G129+Sens!G131+Sens!G133</f>
        <v>424.490670881892</v>
      </c>
      <c r="H135" s="6" t="n">
        <f aca="false">Sens!H123+Sens!H128+Sens!H129+Sens!H131+Sens!H133</f>
        <v>515.646275281385</v>
      </c>
      <c r="I135" s="6" t="n">
        <f aca="false">Sens!I123+Sens!I128+Sens!I129+Sens!I131+Sens!I133</f>
        <v>592.863760444604</v>
      </c>
      <c r="J135" s="6" t="n">
        <f aca="false">Sens!J123+Sens!J128+Sens!J129+Sens!J131+Sens!J133</f>
        <v>654.596421863355</v>
      </c>
      <c r="K135" s="6" t="n">
        <f aca="false">Sens!K123+Sens!K128+Sens!K129+Sens!K131+Sens!K133</f>
        <v>703.647921299244</v>
      </c>
    </row>
    <row r="136" customFormat="false" ht="15" hidden="false" customHeight="false" outlineLevel="0" collapsed="false">
      <c r="A136" s="0" t="s">
        <v>887</v>
      </c>
      <c r="B136" s="0" t="s">
        <v>98</v>
      </c>
      <c r="D136" s="6" t="n">
        <f aca="false">Q!L13</f>
        <v>22.171</v>
      </c>
      <c r="E136" s="6" t="n">
        <f aca="false">Q!M13</f>
        <v>24.835</v>
      </c>
      <c r="F136" s="6" t="n">
        <f aca="false">Sens!E136*(1+Sens!F137)</f>
        <v>27.6114901218559</v>
      </c>
      <c r="G136" s="6" t="n">
        <f aca="false">Sens!F136*(1+Sens!G137)</f>
        <v>30.4675667338515</v>
      </c>
      <c r="H136" s="6" t="n">
        <f aca="false">Sens!G136*(1+Sens!H137)</f>
        <v>33.3643766955789</v>
      </c>
      <c r="I136" s="6" t="n">
        <f aca="false">Sens!H136*(1+Sens!I137)</f>
        <v>36.2577016533691</v>
      </c>
      <c r="J136" s="6" t="n">
        <f aca="false">Sens!I136*(1+Sens!J137)</f>
        <v>39.0988367952171</v>
      </c>
      <c r="K136" s="6" t="n">
        <f aca="false">Sens!J136*(1+Sens!K137)</f>
        <v>41.8357553708823</v>
      </c>
    </row>
    <row r="137" customFormat="false" ht="15" hidden="false" customHeight="false" outlineLevel="0" collapsed="false">
      <c r="A137" s="1" t="s">
        <v>876</v>
      </c>
      <c r="B137" s="0" t="s">
        <v>129</v>
      </c>
      <c r="E137" s="7" t="n">
        <f aca="false">Sens!E136/Sens!D136-1</f>
        <v>0.120156961796942</v>
      </c>
      <c r="F137" s="7" t="n">
        <f aca="false">Sens!$E$137+(glt_srch-Sens!$E$137)*MIN(1,(Sens!F82-base_fy)/n_conv)</f>
        <v>0.111797468164118</v>
      </c>
      <c r="G137" s="7" t="n">
        <f aca="false">Sens!$E$137+(glt_srch-Sens!$E$137)*MIN(1,(Sens!G82-base_fy)/n_conv)</f>
        <v>0.103437974531295</v>
      </c>
      <c r="H137" s="7" t="n">
        <f aca="false">Sens!$E$137+(glt_srch-Sens!$E$137)*MIN(1,(Sens!H82-base_fy)/n_conv)</f>
        <v>0.095078480898471</v>
      </c>
      <c r="I137" s="7" t="n">
        <f aca="false">Sens!$E$137+(glt_srch-Sens!$E$137)*MIN(1,(Sens!I82-base_fy)/n_conv)</f>
        <v>0.0867189872656474</v>
      </c>
      <c r="J137" s="7" t="n">
        <f aca="false">Sens!$E$137+(glt_srch-Sens!$E$137)*MIN(1,(Sens!J82-base_fy)/n_conv)</f>
        <v>0.0783594936328237</v>
      </c>
      <c r="K137" s="7" t="n">
        <f aca="false">Sens!$E$137+(glt_srch-Sens!$E$137)*MIN(1,(Sens!K82-base_fy)/n_conv)</f>
        <v>0.07</v>
      </c>
    </row>
    <row r="138" customFormat="false" ht="15" hidden="false" customHeight="false" outlineLevel="0" collapsed="false">
      <c r="A138" s="0" t="s">
        <v>888</v>
      </c>
      <c r="B138" s="0" t="s">
        <v>98</v>
      </c>
      <c r="D138" s="6" t="n">
        <f aca="false">Q!L14</f>
        <v>23.455</v>
      </c>
      <c r="E138" s="6" t="n">
        <f aca="false">Q!M14</f>
        <v>21.79</v>
      </c>
      <c r="F138" s="6" t="n">
        <f aca="false">Sens!E138*(1+Sens!F139)</f>
        <v>20.5736277908051</v>
      </c>
      <c r="G138" s="6" t="n">
        <f aca="false">Sens!F138*(1+Sens!G139)</f>
        <v>19.7371452817919</v>
      </c>
      <c r="H138" s="6" t="n">
        <f aca="false">Sens!G138*(1+Sens!H139)</f>
        <v>19.2339764043138</v>
      </c>
      <c r="I138" s="6" t="n">
        <f aca="false">Sens!H138*(1+Sens!I139)</f>
        <v>19.0353086852681</v>
      </c>
      <c r="J138" s="6" t="n">
        <f aca="false">Sens!I138*(1+Sens!J139)</f>
        <v>19.1273539319129</v>
      </c>
      <c r="K138" s="6" t="n">
        <f aca="false">Sens!J138*(1+Sens!K139)</f>
        <v>19.5099010105511</v>
      </c>
    </row>
    <row r="139" customFormat="false" ht="15" hidden="false" customHeight="false" outlineLevel="0" collapsed="false">
      <c r="A139" s="1" t="s">
        <v>876</v>
      </c>
      <c r="B139" s="0" t="s">
        <v>129</v>
      </c>
      <c r="E139" s="7" t="n">
        <f aca="false">Sens!E138/Sens!D138-1</f>
        <v>-0.0709869963760392</v>
      </c>
      <c r="F139" s="7" t="n">
        <f aca="false">Sens!$E$139+(glt_xbox-Sens!$E$139)*MIN(1,(Sens!F82-base_fy)/n_conv)</f>
        <v>-0.0558224969800327</v>
      </c>
      <c r="G139" s="7" t="n">
        <f aca="false">Sens!$E$139+(glt_xbox-Sens!$E$139)*MIN(1,(Sens!G82-base_fy)/n_conv)</f>
        <v>-0.0406579975840262</v>
      </c>
      <c r="H139" s="7" t="n">
        <f aca="false">Sens!$E$139+(glt_xbox-Sens!$E$139)*MIN(1,(Sens!H82-base_fy)/n_conv)</f>
        <v>-0.0254934981880196</v>
      </c>
      <c r="I139" s="7" t="n">
        <f aca="false">Sens!$E$139+(glt_xbox-Sens!$E$139)*MIN(1,(Sens!I82-base_fy)/n_conv)</f>
        <v>-0.0103289987920131</v>
      </c>
      <c r="J139" s="7" t="n">
        <f aca="false">Sens!$E$139+(glt_xbox-Sens!$E$139)*MIN(1,(Sens!J82-base_fy)/n_conv)</f>
        <v>0.00483550060399347</v>
      </c>
      <c r="K139" s="7" t="n">
        <f aca="false">Sens!$E$139+(glt_xbox-Sens!$E$139)*MIN(1,(Sens!K82-base_fy)/n_conv)</f>
        <v>0.02</v>
      </c>
    </row>
    <row r="140" customFormat="false" ht="15" hidden="false" customHeight="false" outlineLevel="0" collapsed="false">
      <c r="A140" s="0" t="s">
        <v>889</v>
      </c>
      <c r="B140" s="0" t="s">
        <v>98</v>
      </c>
      <c r="D140" s="6" t="n">
        <f aca="false">Q!L15</f>
        <v>17.315</v>
      </c>
      <c r="E140" s="6" t="n">
        <f aca="false">Q!M15</f>
        <v>17.087</v>
      </c>
      <c r="F140" s="6" t="n">
        <f aca="false">Sens!E140*(1+Sens!F141)</f>
        <v>16.9564585436519</v>
      </c>
      <c r="G140" s="6" t="n">
        <f aca="false">Sens!F140*(1+Sens!G141)</f>
        <v>16.9206490624268</v>
      </c>
      <c r="H140" s="6" t="n">
        <f aca="false">Sens!G140*(1+Sens!H141)</f>
        <v>16.9784519149849</v>
      </c>
      <c r="I140" s="6" t="n">
        <f aca="false">Sens!H140*(1+Sens!I141)</f>
        <v>17.1303084701817</v>
      </c>
      <c r="J140" s="6" t="n">
        <f aca="false">Sens!I140*(1+Sens!J141)</f>
        <v>17.3782189407267</v>
      </c>
      <c r="K140" s="6" t="n">
        <f aca="false">Sens!J140*(1+Sens!K141)</f>
        <v>17.7257833195413</v>
      </c>
    </row>
    <row r="141" customFormat="false" ht="15" hidden="false" customHeight="false" outlineLevel="0" collapsed="false">
      <c r="A141" s="1" t="s">
        <v>876</v>
      </c>
      <c r="B141" s="0" t="s">
        <v>129</v>
      </c>
      <c r="E141" s="7" t="n">
        <f aca="false">Sens!E140/Sens!D140-1</f>
        <v>-0.0131677736066995</v>
      </c>
      <c r="F141" s="7" t="n">
        <f aca="false">Sens!$E$141+(glt_win-Sens!$E$141)*MIN(1,(Sens!F82-base_fy)/n_conv)</f>
        <v>-0.00763981133891627</v>
      </c>
      <c r="G141" s="7" t="n">
        <f aca="false">Sens!$E$141+(glt_win-Sens!$E$141)*MIN(1,(Sens!G82-base_fy)/n_conv)</f>
        <v>-0.00211184907113301</v>
      </c>
      <c r="H141" s="7" t="n">
        <f aca="false">Sens!$E$141+(glt_win-Sens!$E$141)*MIN(1,(Sens!H82-base_fy)/n_conv)</f>
        <v>0.00341611319665024</v>
      </c>
      <c r="I141" s="7" t="n">
        <f aca="false">Sens!$E$141+(glt_win-Sens!$E$141)*MIN(1,(Sens!I82-base_fy)/n_conv)</f>
        <v>0.00894407546443349</v>
      </c>
      <c r="J141" s="7" t="n">
        <f aca="false">Sens!$E$141+(glt_win-Sens!$E$141)*MIN(1,(Sens!J82-base_fy)/n_conv)</f>
        <v>0.0144720377322168</v>
      </c>
      <c r="K141" s="7" t="n">
        <f aca="false">Sens!$E$141+(glt_win-Sens!$E$141)*MIN(1,(Sens!K82-base_fy)/n_conv)</f>
        <v>0.02</v>
      </c>
    </row>
    <row r="142" customFormat="false" ht="15" hidden="false" customHeight="false" outlineLevel="0" collapsed="false">
      <c r="A142" s="0" t="s">
        <v>729</v>
      </c>
      <c r="B142" s="0" t="s">
        <v>98</v>
      </c>
      <c r="D142" s="6" t="n">
        <f aca="false">Sens!D136+Sens!D138+Sens!D140</f>
        <v>62.941</v>
      </c>
      <c r="E142" s="6" t="n">
        <f aca="false">Sens!E136+Sens!E138+Sens!E140</f>
        <v>63.712</v>
      </c>
      <c r="F142" s="6" t="n">
        <f aca="false">Sens!F136+Sens!F138+Sens!F140</f>
        <v>65.1415764563129</v>
      </c>
      <c r="G142" s="6" t="n">
        <f aca="false">Sens!G136+Sens!G138+Sens!G140</f>
        <v>67.1253610780702</v>
      </c>
      <c r="H142" s="6" t="n">
        <f aca="false">Sens!H136+Sens!H138+Sens!H140</f>
        <v>69.5768050148776</v>
      </c>
      <c r="I142" s="6" t="n">
        <f aca="false">Sens!I136+Sens!I138+Sens!I140</f>
        <v>72.4233188088189</v>
      </c>
      <c r="J142" s="6" t="n">
        <f aca="false">Sens!J136+Sens!J138+Sens!J140</f>
        <v>75.6044096678567</v>
      </c>
      <c r="K142" s="6" t="n">
        <f aca="false">Sens!K136+Sens!K138+Sens!K140</f>
        <v>79.0714397009747</v>
      </c>
    </row>
    <row r="143" customFormat="false" ht="15" hidden="false" customHeight="false" outlineLevel="0" collapsed="false">
      <c r="A143" s="1" t="s">
        <v>890</v>
      </c>
      <c r="B143" s="0" t="s">
        <v>98</v>
      </c>
      <c r="D143" s="6" t="n">
        <f aca="false">Sens!D135+Sens!D142</f>
        <v>281.724</v>
      </c>
      <c r="E143" s="6" t="n">
        <f aca="false">Sens!E135+Sens!E142</f>
        <v>331.839</v>
      </c>
      <c r="F143" s="6" t="n">
        <f aca="false">Sens!F135+Sens!F142</f>
        <v>404.575517363364</v>
      </c>
      <c r="G143" s="6" t="n">
        <f aca="false">Sens!G135+Sens!G142</f>
        <v>491.616031959962</v>
      </c>
      <c r="H143" s="6" t="n">
        <f aca="false">Sens!H135+Sens!H142</f>
        <v>585.223080296262</v>
      </c>
      <c r="I143" s="6" t="n">
        <f aca="false">Sens!I135+Sens!I142</f>
        <v>665.287079253422</v>
      </c>
      <c r="J143" s="6" t="n">
        <f aca="false">Sens!J135+Sens!J142</f>
        <v>730.200831531211</v>
      </c>
      <c r="K143" s="6" t="n">
        <f aca="false">Sens!K135+Sens!K142</f>
        <v>782.719361000218</v>
      </c>
    </row>
    <row r="144" customFormat="false" ht="15" hidden="false" customHeight="false" outlineLevel="0" collapsed="false">
      <c r="A144" s="23" t="s">
        <v>891</v>
      </c>
      <c r="B144" s="30" t="s">
        <v>98</v>
      </c>
      <c r="C144" s="30"/>
      <c r="D144" s="24" t="n">
        <f aca="false">(Sens!D123+Sens!D128+Sens!D129+Sens!D131+Sens!D133-Sens!D135)+(Sens!D136+Sens!D138+Sens!D140-Sens!D142)+(Sens!D135-Q!L5)+(Sens!D142-Q!L12)+(Sens!D123-Q!L6)+(Sens!D128-Q!L7)</f>
        <v>0</v>
      </c>
      <c r="E144" s="24" t="n">
        <f aca="false">(Sens!E123+Sens!E128+Sens!E129+Sens!E131+Sens!E133-Sens!E135)+(Sens!E136+Sens!E138+Sens!E140-Sens!E142)+(Sens!E135-Q!M5)+(Sens!E142-Q!M12)+(Sens!E123-Q!M6)+(Sens!E128-Q!M7)</f>
        <v>0</v>
      </c>
      <c r="F144" s="24" t="n">
        <f aca="false">(Sens!F123+Sens!F128+Sens!F129+Sens!F131+Sens!F133-Sens!F135)+(Sens!F136+Sens!F138+Sens!F140-Sens!F142)</f>
        <v>0</v>
      </c>
      <c r="G144" s="24" t="n">
        <f aca="false">(Sens!G123+Sens!G128+Sens!G129+Sens!G131+Sens!G133-Sens!G135)+(Sens!G136+Sens!G138+Sens!G140-Sens!G142)</f>
        <v>0</v>
      </c>
      <c r="H144" s="24" t="n">
        <f aca="false">(Sens!H123+Sens!H128+Sens!H129+Sens!H131+Sens!H133-Sens!H135)+(Sens!H136+Sens!H138+Sens!H140-Sens!H142)</f>
        <v>0</v>
      </c>
      <c r="I144" s="24" t="n">
        <f aca="false">(Sens!I123+Sens!I128+Sens!I129+Sens!I131+Sens!I133-Sens!I135)+(Sens!I136+Sens!I138+Sens!I140-Sens!I142)</f>
        <v>0</v>
      </c>
      <c r="J144" s="24" t="n">
        <f aca="false">(Sens!J123+Sens!J128+Sens!J129+Sens!J131+Sens!J133-Sens!J135)+(Sens!J136+Sens!J138+Sens!J140-Sens!J142)</f>
        <v>0</v>
      </c>
      <c r="K144" s="24" t="n">
        <f aca="false">(Sens!K123+Sens!K128+Sens!K129+Sens!K131+Sens!K133-Sens!K135)+(Sens!K136+Sens!K138+Sens!K140-Sens!K142)</f>
        <v>0</v>
      </c>
    </row>
    <row r="145" customFormat="false" ht="17.15" hidden="false" customHeight="false" outlineLevel="0" collapsed="false">
      <c r="A145" s="3" t="s">
        <v>1264</v>
      </c>
    </row>
    <row r="146" customFormat="false" ht="15" hidden="false" customHeight="false" outlineLevel="0" collapsed="false">
      <c r="A146" s="4" t="s">
        <v>43</v>
      </c>
      <c r="B146" s="4" t="s">
        <v>65</v>
      </c>
      <c r="C146" s="20" t="s">
        <v>799</v>
      </c>
      <c r="D146" s="20" t="s">
        <v>800</v>
      </c>
      <c r="E146" s="20" t="s">
        <v>801</v>
      </c>
      <c r="F146" s="20" t="s">
        <v>802</v>
      </c>
      <c r="G146" s="20" t="s">
        <v>803</v>
      </c>
      <c r="H146" s="20" t="s">
        <v>804</v>
      </c>
      <c r="I146" s="20" t="s">
        <v>805</v>
      </c>
      <c r="J146" s="20" t="s">
        <v>806</v>
      </c>
      <c r="K146" s="20" t="s">
        <v>807</v>
      </c>
      <c r="L146" s="4" t="s">
        <v>47</v>
      </c>
    </row>
    <row r="147" customFormat="false" ht="15" hidden="false" customHeight="false" outlineLevel="0" collapsed="false">
      <c r="A147" s="0" t="s">
        <v>877</v>
      </c>
      <c r="B147" s="0" t="s">
        <v>98</v>
      </c>
      <c r="D147" s="6" t="n">
        <f aca="false">Sens!D123</f>
        <v>72.61</v>
      </c>
      <c r="E147" s="6" t="n">
        <f aca="false">Sens!E123</f>
        <v>101.938</v>
      </c>
      <c r="F147" s="6" t="n">
        <f aca="false">Sens!F123</f>
        <v>148.812368967868</v>
      </c>
      <c r="G147" s="6" t="n">
        <f aca="false">Sens!G123</f>
        <v>208.397514344463</v>
      </c>
      <c r="H147" s="6" t="n">
        <f aca="false">Sens!H123</f>
        <v>274.05759259987</v>
      </c>
      <c r="I147" s="6" t="n">
        <f aca="false">Sens!I123</f>
        <v>328.302405465117</v>
      </c>
      <c r="J147" s="6" t="n">
        <f aca="false">Sens!J123</f>
        <v>369.905524759186</v>
      </c>
      <c r="K147" s="6" t="n">
        <f aca="false">Sens!K123</f>
        <v>399.753851959067</v>
      </c>
    </row>
    <row r="148" customFormat="false" ht="17.15" hidden="false" customHeight="false" outlineLevel="0" collapsed="false">
      <c r="A148" s="0" t="s">
        <v>874</v>
      </c>
      <c r="B148" s="0" t="s">
        <v>98</v>
      </c>
      <c r="D148" s="6" t="n">
        <f aca="false">Sens!D120</f>
        <v>12.9359794422418</v>
      </c>
      <c r="E148" s="6" t="n">
        <f aca="false">Sens!E120</f>
        <v>27.8095064661409</v>
      </c>
      <c r="F148" s="6" t="n">
        <f aca="false">Sens!F120</f>
        <v>58.7324192305018</v>
      </c>
      <c r="G148" s="6" t="n">
        <f aca="false">Sens!G120</f>
        <v>101.369089141153</v>
      </c>
      <c r="H148" s="6" t="n">
        <f aca="false">Sens!H120</f>
        <v>149.785610014234</v>
      </c>
      <c r="I148" s="6" t="n">
        <f aca="false">Sens!I120</f>
        <v>187.368703083263</v>
      </c>
      <c r="J148" s="6" t="n">
        <f aca="false">Sens!J120</f>
        <v>213.886657444854</v>
      </c>
      <c r="K148" s="6" t="n">
        <f aca="false">Sens!K120</f>
        <v>231.253475259589</v>
      </c>
    </row>
    <row r="149" customFormat="false" ht="17.15" hidden="false" customHeight="false" outlineLevel="0" collapsed="false">
      <c r="A149" s="0" t="s">
        <v>902</v>
      </c>
      <c r="B149" s="0" t="s">
        <v>98</v>
      </c>
      <c r="D149" s="6" t="n">
        <f aca="false">Sens!D121</f>
        <v>59.6740205577583</v>
      </c>
      <c r="E149" s="6" t="n">
        <f aca="false">Sens!E121</f>
        <v>74.1284935338591</v>
      </c>
      <c r="F149" s="6" t="n">
        <f aca="false">Sens!F121</f>
        <v>90.0799497373663</v>
      </c>
      <c r="G149" s="6" t="n">
        <f aca="false">Sens!G121</f>
        <v>107.02842520331</v>
      </c>
      <c r="H149" s="6" t="n">
        <f aca="false">Sens!H121</f>
        <v>124.271982585636</v>
      </c>
      <c r="I149" s="6" t="n">
        <f aca="false">Sens!I121</f>
        <v>140.933702381855</v>
      </c>
      <c r="J149" s="6" t="n">
        <f aca="false">Sens!J121</f>
        <v>156.018867314332</v>
      </c>
      <c r="K149" s="6" t="n">
        <f aca="false">Sens!K121</f>
        <v>168.500376699478</v>
      </c>
    </row>
    <row r="150" customFormat="false" ht="15" hidden="false" customHeight="false" outlineLevel="0" collapsed="false">
      <c r="A150" s="0" t="s">
        <v>883</v>
      </c>
      <c r="B150" s="0" t="s">
        <v>98</v>
      </c>
      <c r="D150" s="6" t="n">
        <f aca="false">Sens!D128</f>
        <v>84.605</v>
      </c>
      <c r="E150" s="6" t="n">
        <f aca="false">Sens!E128</f>
        <v>100.299</v>
      </c>
      <c r="F150" s="6" t="n">
        <f aca="false">Sens!F128</f>
        <v>120.39238776686</v>
      </c>
      <c r="G150" s="6" t="n">
        <f aca="false">Sens!G128</f>
        <v>141.544168448684</v>
      </c>
      <c r="H150" s="6" t="n">
        <f aca="false">Sens!H128</f>
        <v>162.777359388781</v>
      </c>
      <c r="I150" s="6" t="n">
        <f aca="false">Sens!I128</f>
        <v>181.584028071957</v>
      </c>
      <c r="J150" s="6" t="n">
        <f aca="false">Sens!J128</f>
        <v>197.682702785465</v>
      </c>
      <c r="K150" s="6" t="n">
        <f aca="false">Sens!K128</f>
        <v>213.027991980448</v>
      </c>
    </row>
    <row r="151" customFormat="false" ht="17.15" hidden="false" customHeight="false" outlineLevel="0" collapsed="false">
      <c r="A151" s="0" t="s">
        <v>903</v>
      </c>
      <c r="B151" s="0" t="s">
        <v>98</v>
      </c>
      <c r="D151" s="6" t="n">
        <f aca="false">Sens!D126</f>
        <v>83.705</v>
      </c>
      <c r="E151" s="6" t="n">
        <f aca="false">Sens!E126</f>
        <v>95.049</v>
      </c>
      <c r="F151" s="6" t="n">
        <f aca="false">Sens!F126</f>
        <v>106.89238776686</v>
      </c>
      <c r="G151" s="6" t="n">
        <f aca="false">Sens!G126</f>
        <v>119.044168448684</v>
      </c>
      <c r="H151" s="6" t="n">
        <f aca="false">Sens!H126</f>
        <v>131.277359388781</v>
      </c>
      <c r="I151" s="6" t="n">
        <f aca="false">Sens!I126</f>
        <v>143.334028071957</v>
      </c>
      <c r="J151" s="6" t="n">
        <f aca="false">Sens!J126</f>
        <v>154.932702785465</v>
      </c>
      <c r="K151" s="6" t="n">
        <f aca="false">Sens!K126</f>
        <v>165.777991980448</v>
      </c>
    </row>
    <row r="152" customFormat="false" ht="17.15" hidden="false" customHeight="false" outlineLevel="0" collapsed="false">
      <c r="A152" s="0" t="s">
        <v>904</v>
      </c>
      <c r="B152" s="0" t="s">
        <v>98</v>
      </c>
      <c r="D152" s="6" t="n">
        <f aca="false">Sens!D125</f>
        <v>0.9</v>
      </c>
      <c r="E152" s="6" t="n">
        <f aca="false">Sens!E125</f>
        <v>5.25</v>
      </c>
      <c r="F152" s="6" t="n">
        <f aca="false">Sens!F125</f>
        <v>13.5</v>
      </c>
      <c r="G152" s="6" t="n">
        <f aca="false">Sens!G125</f>
        <v>22.5</v>
      </c>
      <c r="H152" s="6" t="n">
        <f aca="false">Sens!H125</f>
        <v>31.5</v>
      </c>
      <c r="I152" s="6" t="n">
        <f aca="false">Sens!I125</f>
        <v>38.25</v>
      </c>
      <c r="J152" s="6" t="n">
        <f aca="false">Sens!J125</f>
        <v>42.75</v>
      </c>
      <c r="K152" s="6" t="n">
        <f aca="false">Sens!K125</f>
        <v>47.25</v>
      </c>
    </row>
    <row r="153" customFormat="false" ht="15" hidden="false" customHeight="false" outlineLevel="0" collapsed="false">
      <c r="A153" s="0" t="s">
        <v>884</v>
      </c>
      <c r="B153" s="0" t="s">
        <v>98</v>
      </c>
      <c r="D153" s="6" t="n">
        <f aca="false">Sens!D129</f>
        <v>35.391</v>
      </c>
      <c r="E153" s="6" t="n">
        <f aca="false">Sens!E129</f>
        <v>37.285</v>
      </c>
      <c r="F153" s="6" t="n">
        <f aca="false">Sens!F129</f>
        <v>39.0720834331704</v>
      </c>
      <c r="G153" s="6" t="n">
        <f aca="false">Sens!G129</f>
        <v>40.726562953769</v>
      </c>
      <c r="H153" s="6" t="n">
        <f aca="false">Sens!H129</f>
        <v>42.2235987259198</v>
      </c>
      <c r="I153" s="6" t="n">
        <f aca="false">Sens!I129</f>
        <v>43.5397988077414</v>
      </c>
      <c r="J153" s="6" t="n">
        <f aca="false">Sens!J129</f>
        <v>44.653811225693</v>
      </c>
      <c r="K153" s="6" t="n">
        <f aca="false">Sens!K129</f>
        <v>45.5468874502068</v>
      </c>
    </row>
    <row r="154" customFormat="false" ht="15" hidden="false" customHeight="false" outlineLevel="0" collapsed="false">
      <c r="A154" s="0" t="s">
        <v>885</v>
      </c>
      <c r="B154" s="0" t="s">
        <v>98</v>
      </c>
      <c r="D154" s="6" t="n">
        <f aca="false">Sens!D131</f>
        <v>18.417</v>
      </c>
      <c r="E154" s="6" t="n">
        <f aca="false">Sens!E131</f>
        <v>20.345</v>
      </c>
      <c r="F154" s="6" t="n">
        <f aca="false">Sens!F131</f>
        <v>22.3572203267814</v>
      </c>
      <c r="G154" s="6" t="n">
        <f aca="false">Sens!G131</f>
        <v>24.4392124437232</v>
      </c>
      <c r="H154" s="6" t="n">
        <f aca="false">Sens!H131</f>
        <v>26.5738052080665</v>
      </c>
      <c r="I154" s="6" t="n">
        <f aca="false">Sens!I131</f>
        <v>28.7412169166967</v>
      </c>
      <c r="J154" s="6" t="n">
        <f aca="false">Sens!J131</f>
        <v>30.9192545395413</v>
      </c>
      <c r="K154" s="6" t="n">
        <f aca="false">Sens!K131</f>
        <v>33.0836023573092</v>
      </c>
    </row>
    <row r="155" customFormat="false" ht="15" hidden="false" customHeight="false" outlineLevel="0" collapsed="false">
      <c r="A155" s="0" t="s">
        <v>886</v>
      </c>
      <c r="B155" s="0" t="s">
        <v>98</v>
      </c>
      <c r="D155" s="6" t="n">
        <f aca="false">Sens!D133</f>
        <v>7.76</v>
      </c>
      <c r="E155" s="6" t="n">
        <f aca="false">Sens!E133</f>
        <v>8.26</v>
      </c>
      <c r="F155" s="6" t="n">
        <f aca="false">Sens!F133</f>
        <v>8.79988041237113</v>
      </c>
      <c r="G155" s="6" t="n">
        <f aca="false">Sens!G133</f>
        <v>9.38321269125306</v>
      </c>
      <c r="H155" s="6" t="n">
        <f aca="false">Sens!H133</f>
        <v>10.0139193587476</v>
      </c>
      <c r="I155" s="6" t="n">
        <f aca="false">Sens!I133</f>
        <v>10.6963111830911</v>
      </c>
      <c r="J155" s="6" t="n">
        <f aca="false">Sens!J133</f>
        <v>11.4351285534696</v>
      </c>
      <c r="K155" s="6" t="n">
        <f aca="false">Sens!K133</f>
        <v>12.2355875522124</v>
      </c>
    </row>
    <row r="156" customFormat="false" ht="15" hidden="false" customHeight="false" outlineLevel="0" collapsed="false">
      <c r="A156" s="0" t="s">
        <v>715</v>
      </c>
      <c r="B156" s="0" t="s">
        <v>98</v>
      </c>
      <c r="D156" s="6" t="n">
        <f aca="false">Sens!D135</f>
        <v>218.783</v>
      </c>
      <c r="E156" s="6" t="n">
        <f aca="false">Sens!E135</f>
        <v>268.127</v>
      </c>
      <c r="F156" s="6" t="n">
        <f aca="false">Sens!F135</f>
        <v>339.433940907051</v>
      </c>
      <c r="G156" s="6" t="n">
        <f aca="false">Sens!G135</f>
        <v>424.490670881892</v>
      </c>
      <c r="H156" s="6" t="n">
        <f aca="false">Sens!H135</f>
        <v>515.646275281385</v>
      </c>
      <c r="I156" s="6" t="n">
        <f aca="false">Sens!I135</f>
        <v>592.863760444604</v>
      </c>
      <c r="J156" s="6" t="n">
        <f aca="false">Sens!J135</f>
        <v>654.596421863355</v>
      </c>
      <c r="K156" s="6" t="n">
        <f aca="false">Sens!K135</f>
        <v>703.647921299244</v>
      </c>
    </row>
    <row r="157" customFormat="false" ht="15" hidden="false" customHeight="false" outlineLevel="0" collapsed="false">
      <c r="A157" s="0" t="s">
        <v>887</v>
      </c>
      <c r="B157" s="0" t="s">
        <v>98</v>
      </c>
      <c r="D157" s="6" t="n">
        <f aca="false">Sens!D136</f>
        <v>22.171</v>
      </c>
      <c r="E157" s="6" t="n">
        <f aca="false">Sens!E136</f>
        <v>24.835</v>
      </c>
      <c r="F157" s="6" t="n">
        <f aca="false">Sens!F136</f>
        <v>27.6114901218559</v>
      </c>
      <c r="G157" s="6" t="n">
        <f aca="false">Sens!G136</f>
        <v>30.4675667338515</v>
      </c>
      <c r="H157" s="6" t="n">
        <f aca="false">Sens!H136</f>
        <v>33.3643766955789</v>
      </c>
      <c r="I157" s="6" t="n">
        <f aca="false">Sens!I136</f>
        <v>36.2577016533691</v>
      </c>
      <c r="J157" s="6" t="n">
        <f aca="false">Sens!J136</f>
        <v>39.0988367952171</v>
      </c>
      <c r="K157" s="6" t="n">
        <f aca="false">Sens!K136</f>
        <v>41.8357553708823</v>
      </c>
    </row>
    <row r="158" customFormat="false" ht="15" hidden="false" customHeight="false" outlineLevel="0" collapsed="false">
      <c r="A158" s="0" t="s">
        <v>888</v>
      </c>
      <c r="B158" s="0" t="s">
        <v>98</v>
      </c>
      <c r="D158" s="6" t="n">
        <f aca="false">Sens!D138</f>
        <v>23.455</v>
      </c>
      <c r="E158" s="6" t="n">
        <f aca="false">Sens!E138</f>
        <v>21.79</v>
      </c>
      <c r="F158" s="6" t="n">
        <f aca="false">Sens!F138</f>
        <v>20.5736277908051</v>
      </c>
      <c r="G158" s="6" t="n">
        <f aca="false">Sens!G138</f>
        <v>19.7371452817919</v>
      </c>
      <c r="H158" s="6" t="n">
        <f aca="false">Sens!H138</f>
        <v>19.2339764043138</v>
      </c>
      <c r="I158" s="6" t="n">
        <f aca="false">Sens!I138</f>
        <v>19.0353086852681</v>
      </c>
      <c r="J158" s="6" t="n">
        <f aca="false">Sens!J138</f>
        <v>19.1273539319129</v>
      </c>
      <c r="K158" s="6" t="n">
        <f aca="false">Sens!K138</f>
        <v>19.5099010105511</v>
      </c>
    </row>
    <row r="159" customFormat="false" ht="15" hidden="false" customHeight="false" outlineLevel="0" collapsed="false">
      <c r="A159" s="0" t="s">
        <v>889</v>
      </c>
      <c r="B159" s="0" t="s">
        <v>98</v>
      </c>
      <c r="D159" s="6" t="n">
        <f aca="false">Sens!D140</f>
        <v>17.315</v>
      </c>
      <c r="E159" s="6" t="n">
        <f aca="false">Sens!E140</f>
        <v>17.087</v>
      </c>
      <c r="F159" s="6" t="n">
        <f aca="false">Sens!F140</f>
        <v>16.9564585436519</v>
      </c>
      <c r="G159" s="6" t="n">
        <f aca="false">Sens!G140</f>
        <v>16.9206490624268</v>
      </c>
      <c r="H159" s="6" t="n">
        <f aca="false">Sens!H140</f>
        <v>16.9784519149849</v>
      </c>
      <c r="I159" s="6" t="n">
        <f aca="false">Sens!I140</f>
        <v>17.1303084701817</v>
      </c>
      <c r="J159" s="6" t="n">
        <f aca="false">Sens!J140</f>
        <v>17.3782189407267</v>
      </c>
      <c r="K159" s="6" t="n">
        <f aca="false">Sens!K140</f>
        <v>17.7257833195413</v>
      </c>
    </row>
    <row r="160" customFormat="false" ht="15" hidden="false" customHeight="false" outlineLevel="0" collapsed="false">
      <c r="A160" s="0" t="s">
        <v>729</v>
      </c>
      <c r="B160" s="0" t="s">
        <v>98</v>
      </c>
      <c r="D160" s="6" t="n">
        <f aca="false">Sens!D142</f>
        <v>62.941</v>
      </c>
      <c r="E160" s="6" t="n">
        <f aca="false">Sens!E142</f>
        <v>63.712</v>
      </c>
      <c r="F160" s="6" t="n">
        <f aca="false">Sens!F142</f>
        <v>65.1415764563129</v>
      </c>
      <c r="G160" s="6" t="n">
        <f aca="false">Sens!G142</f>
        <v>67.1253610780702</v>
      </c>
      <c r="H160" s="6" t="n">
        <f aca="false">Sens!H142</f>
        <v>69.5768050148776</v>
      </c>
      <c r="I160" s="6" t="n">
        <f aca="false">Sens!I142</f>
        <v>72.4233188088189</v>
      </c>
      <c r="J160" s="6" t="n">
        <f aca="false">Sens!J142</f>
        <v>75.6044096678567</v>
      </c>
      <c r="K160" s="6" t="n">
        <f aca="false">Sens!K142</f>
        <v>79.0714397009747</v>
      </c>
    </row>
    <row r="161" customFormat="false" ht="15" hidden="false" customHeight="false" outlineLevel="0" collapsed="false">
      <c r="A161" s="1" t="s">
        <v>905</v>
      </c>
      <c r="B161" s="0" t="s">
        <v>98</v>
      </c>
      <c r="D161" s="6" t="n">
        <f aca="false">Sens!D143</f>
        <v>281.724</v>
      </c>
      <c r="E161" s="6" t="n">
        <f aca="false">Sens!E143</f>
        <v>331.839</v>
      </c>
      <c r="F161" s="6" t="n">
        <f aca="false">Sens!F143</f>
        <v>404.575517363364</v>
      </c>
      <c r="G161" s="6" t="n">
        <f aca="false">Sens!G143</f>
        <v>491.616031959962</v>
      </c>
      <c r="H161" s="6" t="n">
        <f aca="false">Sens!H143</f>
        <v>585.223080296262</v>
      </c>
      <c r="I161" s="6" t="n">
        <f aca="false">Sens!I143</f>
        <v>665.287079253422</v>
      </c>
      <c r="J161" s="6" t="n">
        <f aca="false">Sens!J143</f>
        <v>730.200831531211</v>
      </c>
      <c r="K161" s="6" t="n">
        <f aca="false">Sens!K143</f>
        <v>782.719361000218</v>
      </c>
    </row>
    <row r="162" customFormat="false" ht="15" hidden="false" customHeight="false" outlineLevel="0" collapsed="false">
      <c r="A162" s="1" t="s">
        <v>906</v>
      </c>
      <c r="B162" s="0" t="s">
        <v>129</v>
      </c>
      <c r="E162" s="7" t="n">
        <f aca="false">Sens!E161/Sens!D161-1</f>
        <v>0.177886867998467</v>
      </c>
      <c r="F162" s="7" t="n">
        <f aca="false">Sens!F161/Sens!E161-1</f>
        <v>0.219192190680914</v>
      </c>
      <c r="G162" s="7" t="n">
        <f aca="false">Sens!G161/Sens!F161-1</f>
        <v>0.215140340581766</v>
      </c>
      <c r="H162" s="7" t="n">
        <f aca="false">Sens!H161/Sens!G161-1</f>
        <v>0.19040682616291</v>
      </c>
      <c r="I162" s="7" t="n">
        <f aca="false">Sens!I161/Sens!H161-1</f>
        <v>0.13680936663781</v>
      </c>
      <c r="J162" s="7" t="n">
        <f aca="false">Sens!J161/Sens!I161-1</f>
        <v>0.0975725431953893</v>
      </c>
      <c r="K162" s="7" t="n">
        <f aca="false">Sens!K161/Sens!J161-1</f>
        <v>0.0719234040844312</v>
      </c>
    </row>
    <row r="163" customFormat="false" ht="17.15" hidden="false" customHeight="false" outlineLevel="0" collapsed="false">
      <c r="A163" s="23" t="s">
        <v>907</v>
      </c>
      <c r="B163" s="30" t="s">
        <v>98</v>
      </c>
      <c r="C163" s="30"/>
      <c r="D163" s="24" t="n">
        <f aca="false">(Sens!D156+Sens!D160-Sens!D161)+(Sens!D148+Sens!D149-Sens!D147)+(Sens!D151+Sens!D152-Sens!D150)+(Sens!D161-Q!L18)</f>
        <v>0</v>
      </c>
      <c r="E163" s="24" t="n">
        <f aca="false">(Sens!E156+Sens!E160-Sens!E161)+(Sens!E148+Sens!E149-Sens!E147)+(Sens!E151+Sens!E152-Sens!E150)+(Sens!E161-Q!M18)</f>
        <v>0</v>
      </c>
      <c r="F163" s="24" t="n">
        <f aca="false">(Sens!F156+Sens!F160-Sens!F161)+(Sens!F148+Sens!F149-Sens!F147)+(Sens!F151+Sens!F152-Sens!F150)</f>
        <v>0</v>
      </c>
      <c r="G163" s="24" t="n">
        <f aca="false">(Sens!G156+Sens!G160-Sens!G161)+(Sens!G148+Sens!G149-Sens!G147)+(Sens!G151+Sens!G152-Sens!G150)</f>
        <v>0</v>
      </c>
      <c r="H163" s="24" t="n">
        <f aca="false">(Sens!H156+Sens!H160-Sens!H161)+(Sens!H148+Sens!H149-Sens!H147)+(Sens!H151+Sens!H152-Sens!H150)</f>
        <v>0</v>
      </c>
      <c r="I163" s="24" t="n">
        <f aca="false">(Sens!I156+Sens!I160-Sens!I161)+(Sens!I148+Sens!I149-Sens!I147)+(Sens!I151+Sens!I152-Sens!I150)</f>
        <v>0</v>
      </c>
      <c r="J163" s="24" t="n">
        <f aca="false">(Sens!J156+Sens!J160-Sens!J161)+(Sens!J148+Sens!J149-Sens!J147)+(Sens!J151+Sens!J152-Sens!J150)</f>
        <v>0</v>
      </c>
      <c r="K163" s="24" t="n">
        <f aca="false">(Sens!K156+Sens!K160-Sens!K161)+(Sens!K148+Sens!K149-Sens!K147)+(Sens!K151+Sens!K152-Sens!K150)</f>
        <v>0</v>
      </c>
    </row>
    <row r="164" customFormat="false" ht="17.15" hidden="false" customHeight="false" outlineLevel="0" collapsed="false">
      <c r="A164" s="0" t="s">
        <v>908</v>
      </c>
      <c r="B164" s="0" t="s">
        <v>129</v>
      </c>
      <c r="E164" s="7" t="n">
        <f aca="false">(Q!M21+Sens!E101+Sens!E102+Sens!E103+Sens!E116-Sens!E99)/(Q!M5-Sens!E99)</f>
        <v>0.570957350878296</v>
      </c>
      <c r="F164" s="7" t="n">
        <f aca="false">Sens!$E$164+dm_seg</f>
        <v>0.570957350878296</v>
      </c>
      <c r="G164" s="7" t="n">
        <f aca="false">Sens!$E$164+dm_seg</f>
        <v>0.570957350878296</v>
      </c>
      <c r="H164" s="7" t="n">
        <f aca="false">Sens!$E$164+dm_seg</f>
        <v>0.570957350878296</v>
      </c>
      <c r="I164" s="7" t="n">
        <f aca="false">Sens!$E$164+dm_seg</f>
        <v>0.570957350878296</v>
      </c>
      <c r="J164" s="7" t="n">
        <f aca="false">Sens!$E$164+dm_seg</f>
        <v>0.570957350878296</v>
      </c>
      <c r="K164" s="7" t="n">
        <f aca="false">Sens!$E$164+dm_seg</f>
        <v>0.570957350878296</v>
      </c>
      <c r="L164" s="11" t="s">
        <v>909</v>
      </c>
    </row>
    <row r="165" customFormat="false" ht="17.15" hidden="false" customHeight="false" outlineLevel="0" collapsed="false">
      <c r="A165" s="0" t="s">
        <v>743</v>
      </c>
      <c r="B165" s="0" t="s">
        <v>98</v>
      </c>
      <c r="D165" s="6" t="n">
        <f aca="false">Q!L21</f>
        <v>110.814</v>
      </c>
      <c r="E165" s="6" t="n">
        <f aca="false">Q!M21</f>
        <v>136.365</v>
      </c>
      <c r="F165" s="6" t="n">
        <f aca="false">Sens!F164*(Sens!F135-Sens!F99)+Sens!F99-(Sens!F101+Sens!F102+Sens!F103)-Sens!F116-Sens!F199</f>
        <v>161.999854987324</v>
      </c>
      <c r="G165" s="6" t="n">
        <f aca="false">Sens!G164*(Sens!G135-Sens!G99)+Sens!G99-(Sens!G101+Sens!G102+Sens!G103)-Sens!G116-Sens!G199</f>
        <v>192.317476496619</v>
      </c>
      <c r="H165" s="6" t="n">
        <f aca="false">Sens!H164*(Sens!H135-Sens!H99)+Sens!H99-(Sens!H101+Sens!H102+Sens!H103)-Sens!H116-Sens!H199</f>
        <v>226.776850218585</v>
      </c>
      <c r="I165" s="6" t="n">
        <f aca="false">Sens!I164*(Sens!I135-Sens!I99)+Sens!I99-(Sens!I101+Sens!I102+Sens!I103)-Sens!I116-Sens!I199</f>
        <v>253.110876980714</v>
      </c>
      <c r="J165" s="6" t="n">
        <f aca="false">Sens!J164*(Sens!J135-Sens!J99)+Sens!J99-(Sens!J101+Sens!J102+Sens!J103)-Sens!J116-Sens!J199</f>
        <v>275.784285288736</v>
      </c>
      <c r="K165" s="6" t="n">
        <f aca="false">Sens!K164*(Sens!K135-Sens!K99)+Sens!K99-(Sens!K101+Sens!K102+Sens!K103)-Sens!K116-Sens!K199</f>
        <v>296.380592390542</v>
      </c>
      <c r="L165" s="1" t="s">
        <v>910</v>
      </c>
    </row>
    <row r="166" customFormat="false" ht="17.15" hidden="false" customHeight="false" outlineLevel="0" collapsed="false">
      <c r="A166" s="0" t="s">
        <v>911</v>
      </c>
      <c r="B166" s="0" t="s">
        <v>129</v>
      </c>
      <c r="E166" s="7" t="n">
        <f aca="false">Q!M22/Q!M12</f>
        <v>0.296207935710698</v>
      </c>
      <c r="F166" s="7" t="n">
        <f aca="false">Sens!$E$166+dm_seg</f>
        <v>0.296207935710698</v>
      </c>
      <c r="G166" s="7" t="n">
        <f aca="false">Sens!$E$166+dm_seg</f>
        <v>0.296207935710698</v>
      </c>
      <c r="H166" s="7" t="n">
        <f aca="false">Sens!$E$166+dm_seg</f>
        <v>0.296207935710698</v>
      </c>
      <c r="I166" s="7" t="n">
        <f aca="false">Sens!$E$166+dm_seg</f>
        <v>0.296207935710698</v>
      </c>
      <c r="J166" s="7" t="n">
        <f aca="false">Sens!$E$166+dm_seg</f>
        <v>0.296207935710698</v>
      </c>
      <c r="K166" s="7" t="n">
        <f aca="false">Sens!$E$166+dm_seg</f>
        <v>0.296207935710698</v>
      </c>
      <c r="L166" s="11" t="s">
        <v>912</v>
      </c>
    </row>
    <row r="167" customFormat="false" ht="17.15" hidden="false" customHeight="false" outlineLevel="0" collapsed="false">
      <c r="A167" s="0" t="s">
        <v>745</v>
      </c>
      <c r="B167" s="0" t="s">
        <v>98</v>
      </c>
      <c r="D167" s="6" t="n">
        <f aca="false">Q!L22</f>
        <v>17.714</v>
      </c>
      <c r="E167" s="6" t="n">
        <f aca="false">Q!M22</f>
        <v>18.872</v>
      </c>
      <c r="F167" s="6" t="n">
        <f aca="false">Sens!F142*Sens!F166</f>
        <v>19.2954518910651</v>
      </c>
      <c r="G167" s="6" t="n">
        <f aca="false">Sens!G142*Sens!G166</f>
        <v>19.8830646387704</v>
      </c>
      <c r="H167" s="6" t="n">
        <f aca="false">Sens!H142*Sens!H166</f>
        <v>20.6092017868026</v>
      </c>
      <c r="I167" s="6" t="n">
        <f aca="false">Sens!I142*Sens!I166</f>
        <v>21.452361761678</v>
      </c>
      <c r="J167" s="6" t="n">
        <f aca="false">Sens!J142*Sens!J166</f>
        <v>22.3946261183418</v>
      </c>
      <c r="K167" s="6" t="n">
        <f aca="false">Sens!K142*Sens!K166</f>
        <v>23.4215879274986</v>
      </c>
    </row>
    <row r="168" customFormat="false" ht="15" hidden="false" customHeight="false" outlineLevel="0" collapsed="false">
      <c r="A168" s="1" t="s">
        <v>913</v>
      </c>
      <c r="B168" s="0" t="s">
        <v>98</v>
      </c>
      <c r="D168" s="6" t="n">
        <f aca="false">Sens!D165+Sens!D167</f>
        <v>128.528</v>
      </c>
      <c r="E168" s="6" t="n">
        <f aca="false">Sens!E165+Sens!E167</f>
        <v>155.237</v>
      </c>
      <c r="F168" s="6" t="n">
        <f aca="false">Sens!F165+Sens!F167</f>
        <v>181.295306878389</v>
      </c>
      <c r="G168" s="6" t="n">
        <f aca="false">Sens!G165+Sens!G167</f>
        <v>212.200541135389</v>
      </c>
      <c r="H168" s="6" t="n">
        <f aca="false">Sens!H165+Sens!H167</f>
        <v>247.386052005387</v>
      </c>
      <c r="I168" s="6" t="n">
        <f aca="false">Sens!I165+Sens!I167</f>
        <v>274.563238742392</v>
      </c>
      <c r="J168" s="6" t="n">
        <f aca="false">Sens!J165+Sens!J167</f>
        <v>298.178911407078</v>
      </c>
      <c r="K168" s="6" t="n">
        <f aca="false">Sens!K165+Sens!K167</f>
        <v>319.802180318041</v>
      </c>
    </row>
    <row r="169" customFormat="false" ht="15" hidden="false" customHeight="false" outlineLevel="0" collapsed="false">
      <c r="A169" s="23" t="s">
        <v>914</v>
      </c>
      <c r="B169" s="30" t="s">
        <v>98</v>
      </c>
      <c r="C169" s="30"/>
      <c r="D169" s="24" t="n">
        <f aca="false">Sens!D168-Q!L23</f>
        <v>0</v>
      </c>
      <c r="E169" s="24" t="n">
        <f aca="false">Sens!E168-Q!M23</f>
        <v>0</v>
      </c>
      <c r="F169" s="30"/>
      <c r="G169" s="30"/>
      <c r="H169" s="30"/>
      <c r="I169" s="30"/>
      <c r="J169" s="30"/>
      <c r="K169" s="30"/>
    </row>
    <row r="170" customFormat="false" ht="15" hidden="false" customHeight="false" outlineLevel="0" collapsed="false">
      <c r="A170" s="1" t="s">
        <v>915</v>
      </c>
      <c r="B170" s="0" t="s">
        <v>129</v>
      </c>
      <c r="D170" s="7" t="n">
        <f aca="false">Sens!D168/Sens!D161</f>
        <v>0.456219562408598</v>
      </c>
      <c r="E170" s="7" t="n">
        <f aca="false">Sens!E168/Sens!E161</f>
        <v>0.467808184089272</v>
      </c>
      <c r="F170" s="7" t="n">
        <f aca="false">Sens!F168/Sens!F161</f>
        <v>0.448112402005683</v>
      </c>
      <c r="G170" s="7" t="n">
        <f aca="false">Sens!G168/Sens!G161</f>
        <v>0.431638773636803</v>
      </c>
      <c r="H170" s="7" t="n">
        <f aca="false">Sens!H168/Sens!H161</f>
        <v>0.422720942380043</v>
      </c>
      <c r="I170" s="7" t="n">
        <f aca="false">Sens!I168/Sens!I161</f>
        <v>0.41269888940351</v>
      </c>
      <c r="J170" s="7" t="n">
        <f aca="false">Sens!J168/Sens!J161</f>
        <v>0.408351919816093</v>
      </c>
      <c r="K170" s="7" t="n">
        <f aca="false">Sens!K168/Sens!K161</f>
        <v>0.408578343979346</v>
      </c>
    </row>
    <row r="171" customFormat="false" ht="17.15" hidden="false" customHeight="false" outlineLevel="0" collapsed="false">
      <c r="A171" s="1" t="s">
        <v>916</v>
      </c>
      <c r="B171" s="0" t="s">
        <v>98</v>
      </c>
      <c r="F171" s="6" t="n">
        <f aca="false">Sens!F186</f>
        <v>0</v>
      </c>
      <c r="G171" s="6" t="n">
        <f aca="false">Sens!G186</f>
        <v>0</v>
      </c>
      <c r="H171" s="6" t="n">
        <f aca="false">Sens!H186</f>
        <v>0</v>
      </c>
      <c r="I171" s="6" t="n">
        <f aca="false">Sens!I186</f>
        <v>0</v>
      </c>
      <c r="J171" s="6" t="n">
        <f aca="false">Sens!J186</f>
        <v>0</v>
      </c>
      <c r="K171" s="6" t="n">
        <f aca="false">Sens!K186</f>
        <v>0</v>
      </c>
      <c r="L171" s="1" t="s">
        <v>917</v>
      </c>
    </row>
    <row r="172" customFormat="false" ht="17.15" hidden="false" customHeight="false" outlineLevel="0" collapsed="false">
      <c r="A172" s="1" t="s">
        <v>918</v>
      </c>
      <c r="B172" s="0" t="s">
        <v>98</v>
      </c>
      <c r="D172" s="6" t="n">
        <f aca="false">Sens!D168</f>
        <v>128.528</v>
      </c>
      <c r="E172" s="6" t="n">
        <f aca="false">Sens!E168</f>
        <v>155.237</v>
      </c>
      <c r="F172" s="6" t="n">
        <f aca="false">Sens!F168+Sens!F171</f>
        <v>181.295306878389</v>
      </c>
      <c r="G172" s="6" t="n">
        <f aca="false">Sens!G168+Sens!G171</f>
        <v>212.200541135389</v>
      </c>
      <c r="H172" s="6" t="n">
        <f aca="false">Sens!H168+Sens!H171</f>
        <v>247.386052005387</v>
      </c>
      <c r="I172" s="6" t="n">
        <f aca="false">Sens!I168+Sens!I171</f>
        <v>274.563238742392</v>
      </c>
      <c r="J172" s="6" t="n">
        <f aca="false">Sens!J168+Sens!J171</f>
        <v>298.178911407078</v>
      </c>
      <c r="K172" s="6" t="n">
        <f aca="false">Sens!K168+Sens!K171</f>
        <v>319.802180318041</v>
      </c>
    </row>
    <row r="173" customFormat="false" ht="17.15" hidden="false" customHeight="false" outlineLevel="0" collapsed="false">
      <c r="A173" s="1" t="s">
        <v>919</v>
      </c>
      <c r="B173" s="0" t="s">
        <v>98</v>
      </c>
      <c r="E173" s="6" t="n">
        <f aca="false">Sens!E116</f>
        <v>16.3054059770833</v>
      </c>
      <c r="F173" s="6" t="n">
        <f aca="false">Sens!F116</f>
        <v>34.0498873809555</v>
      </c>
      <c r="G173" s="6" t="n">
        <f aca="false">Sens!G116</f>
        <v>59.1254371105111</v>
      </c>
      <c r="H173" s="6" t="n">
        <f aca="false">Sens!H116</f>
        <v>86.3610198433111</v>
      </c>
      <c r="I173" s="6" t="n">
        <f aca="false">Sens!I116</f>
        <v>110.605743832393</v>
      </c>
      <c r="J173" s="6" t="n">
        <f aca="false">Sens!J116</f>
        <v>127.998322852843</v>
      </c>
      <c r="K173" s="6" t="n">
        <f aca="false">Sens!K116</f>
        <v>139.131464044308</v>
      </c>
    </row>
    <row r="174" customFormat="false" ht="17.15" hidden="false" customHeight="false" outlineLevel="0" collapsed="false">
      <c r="A174" s="1" t="s">
        <v>920</v>
      </c>
      <c r="B174" s="0" t="s">
        <v>98</v>
      </c>
      <c r="E174" s="6" t="n">
        <f aca="false">Sens!E198</f>
        <v>22.2285940229167</v>
      </c>
      <c r="F174" s="6" t="n">
        <f aca="false">Sens!F198</f>
        <v>24.3924470334783</v>
      </c>
      <c r="G174" s="6" t="n">
        <f aca="false">Sens!G198</f>
        <v>26.1134916871694</v>
      </c>
      <c r="H174" s="6" t="n">
        <f aca="false">Sens!H198</f>
        <v>28.2582938828615</v>
      </c>
      <c r="I174" s="6" t="n">
        <f aca="false">Sens!I198</f>
        <v>30.7498045257397</v>
      </c>
      <c r="J174" s="6" t="n">
        <f aca="false">Sens!J198</f>
        <v>33.4954153982031</v>
      </c>
      <c r="K174" s="6" t="n">
        <f aca="false">Sens!K198</f>
        <v>36.4102441325822</v>
      </c>
    </row>
    <row r="175" customFormat="false" ht="17.15" hidden="false" customHeight="false" outlineLevel="0" collapsed="false">
      <c r="A175" s="1" t="s">
        <v>921</v>
      </c>
      <c r="B175" s="0" t="s">
        <v>98</v>
      </c>
      <c r="D175" s="6" t="n">
        <f aca="false">Q!L27</f>
        <v>-4.901</v>
      </c>
      <c r="E175" s="6" t="n">
        <f aca="false">Q!M27</f>
        <v>10.697</v>
      </c>
      <c r="F175" s="6" t="n">
        <f aca="false">oie_f</f>
        <v>-0.4</v>
      </c>
      <c r="G175" s="6" t="n">
        <f aca="false">oie_f</f>
        <v>-0.4</v>
      </c>
      <c r="H175" s="6" t="n">
        <f aca="false">oie_f</f>
        <v>-0.4</v>
      </c>
      <c r="I175" s="6" t="n">
        <f aca="false">oie_f</f>
        <v>-0.4</v>
      </c>
      <c r="J175" s="6" t="n">
        <f aca="false">oie_f</f>
        <v>-0.4</v>
      </c>
      <c r="K175" s="6" t="n">
        <f aca="false">oie_f</f>
        <v>-0.4</v>
      </c>
      <c r="L175" s="11" t="s">
        <v>922</v>
      </c>
    </row>
    <row r="176" customFormat="false" ht="15" hidden="false" customHeight="false" outlineLevel="0" collapsed="false">
      <c r="A176" s="1" t="s">
        <v>923</v>
      </c>
      <c r="B176" s="0" t="s">
        <v>98</v>
      </c>
      <c r="D176" s="6" t="n">
        <f aca="false">Sens!D168+Sens!D175</f>
        <v>123.627</v>
      </c>
      <c r="E176" s="6" t="n">
        <f aca="false">Sens!E168+Sens!E175</f>
        <v>165.934</v>
      </c>
      <c r="F176" s="6" t="n">
        <f aca="false">Sens!F168+Sens!F175</f>
        <v>180.895306878389</v>
      </c>
      <c r="G176" s="6" t="n">
        <f aca="false">Sens!G168+Sens!G175</f>
        <v>211.800541135389</v>
      </c>
      <c r="H176" s="6" t="n">
        <f aca="false">Sens!H168+Sens!H175</f>
        <v>246.986052005387</v>
      </c>
      <c r="I176" s="6" t="n">
        <f aca="false">Sens!I168+Sens!I175</f>
        <v>274.163238742393</v>
      </c>
      <c r="J176" s="6" t="n">
        <f aca="false">Sens!J168+Sens!J175</f>
        <v>297.778911407078</v>
      </c>
      <c r="K176" s="6" t="n">
        <f aca="false">Sens!K168+Sens!K175</f>
        <v>319.402180318041</v>
      </c>
    </row>
    <row r="177" customFormat="false" ht="15" hidden="false" customHeight="false" outlineLevel="0" collapsed="false">
      <c r="A177" s="1" t="s">
        <v>924</v>
      </c>
      <c r="B177" s="0" t="s">
        <v>98</v>
      </c>
      <c r="D177" s="6" t="n">
        <f aca="false">Q!L29</f>
        <v>21.795</v>
      </c>
      <c r="E177" s="6" t="n">
        <f aca="false">Q!M29</f>
        <v>32.185</v>
      </c>
      <c r="F177" s="6" t="n">
        <f aca="false">Sens!F176*tax_f</f>
        <v>36.1790613756778</v>
      </c>
      <c r="G177" s="6" t="n">
        <f aca="false">Sens!G176*tax_f</f>
        <v>42.3601082270778</v>
      </c>
      <c r="H177" s="6" t="n">
        <f aca="false">Sens!H176*tax_f</f>
        <v>49.3972104010775</v>
      </c>
      <c r="I177" s="6" t="n">
        <f aca="false">Sens!I176*tax_f</f>
        <v>54.8326477484785</v>
      </c>
      <c r="J177" s="6" t="n">
        <f aca="false">Sens!J176*tax_f</f>
        <v>59.5557822814156</v>
      </c>
      <c r="K177" s="6" t="n">
        <f aca="false">Sens!K176*tax_f</f>
        <v>63.8804360636082</v>
      </c>
    </row>
    <row r="178" customFormat="false" ht="15" hidden="false" customHeight="false" outlineLevel="0" collapsed="false">
      <c r="A178" s="1" t="s">
        <v>925</v>
      </c>
      <c r="B178" s="0" t="s">
        <v>98</v>
      </c>
      <c r="D178" s="6" t="n">
        <f aca="false">Sens!D176-Sens!D177</f>
        <v>101.832</v>
      </c>
      <c r="E178" s="6" t="n">
        <f aca="false">Sens!E176-Sens!E177</f>
        <v>133.749</v>
      </c>
      <c r="F178" s="6" t="n">
        <f aca="false">Sens!F176-Sens!F177</f>
        <v>144.716245502711</v>
      </c>
      <c r="G178" s="6" t="n">
        <f aca="false">Sens!G176-Sens!G177</f>
        <v>169.440432908311</v>
      </c>
      <c r="H178" s="6" t="n">
        <f aca="false">Sens!H176-Sens!H177</f>
        <v>197.58884160431</v>
      </c>
      <c r="I178" s="6" t="n">
        <f aca="false">Sens!I176-Sens!I177</f>
        <v>219.330590993914</v>
      </c>
      <c r="J178" s="6" t="n">
        <f aca="false">Sens!J176-Sens!J177</f>
        <v>238.223129125662</v>
      </c>
      <c r="K178" s="6" t="n">
        <f aca="false">Sens!K176-Sens!K177</f>
        <v>255.521744254433</v>
      </c>
    </row>
    <row r="179" customFormat="false" ht="17.15" hidden="false" customHeight="false" outlineLevel="0" collapsed="false">
      <c r="A179" s="1" t="s">
        <v>926</v>
      </c>
      <c r="B179" s="1" t="s">
        <v>81</v>
      </c>
      <c r="D179" s="14" t="n">
        <f aca="false">Q!L31</f>
        <v>7.465</v>
      </c>
      <c r="E179" s="14" t="n">
        <f aca="false">Q!M31</f>
        <v>7.453</v>
      </c>
      <c r="F179" s="14" t="n">
        <f aca="false">Sens!F222</f>
        <v>7.4735</v>
      </c>
      <c r="G179" s="14" t="n">
        <f aca="false">Sens!G222</f>
        <v>7.50818779623633</v>
      </c>
      <c r="H179" s="14" t="n">
        <f aca="false">Sens!H222</f>
        <v>7.5256271783226</v>
      </c>
      <c r="I179" s="14" t="n">
        <f aca="false">Sens!I222</f>
        <v>7.53740801032992</v>
      </c>
      <c r="J179" s="14" t="n">
        <f aca="false">Sens!J222</f>
        <v>7.5516495214478</v>
      </c>
      <c r="K179" s="14" t="n">
        <f aca="false">Sens!K222</f>
        <v>7.56816943914954</v>
      </c>
    </row>
    <row r="180" customFormat="false" ht="17.15" hidden="false" customHeight="false" outlineLevel="0" collapsed="false">
      <c r="A180" s="0" t="s">
        <v>927</v>
      </c>
      <c r="B180" s="0" t="s">
        <v>75</v>
      </c>
      <c r="D180" s="8" t="n">
        <f aca="false">Sens!D178/Sens!D179</f>
        <v>13.641259209645</v>
      </c>
      <c r="E180" s="8" t="n">
        <f aca="false">Sens!E178/Sens!E179</f>
        <v>17.9456594659869</v>
      </c>
      <c r="F180" s="8" t="n">
        <f aca="false">Sens!F178/Sens!F179</f>
        <v>19.3639185793418</v>
      </c>
      <c r="G180" s="8" t="n">
        <f aca="false">Sens!G178/Sens!G179</f>
        <v>22.567420728774</v>
      </c>
      <c r="H180" s="8" t="n">
        <f aca="false">Sens!H178/Sens!H179</f>
        <v>26.2554650824931</v>
      </c>
      <c r="I180" s="8" t="n">
        <f aca="false">Sens!I178/Sens!I179</f>
        <v>29.098941001114</v>
      </c>
      <c r="J180" s="8" t="n">
        <f aca="false">Sens!J178/Sens!J179</f>
        <v>31.5458402100195</v>
      </c>
      <c r="K180" s="8" t="n">
        <f aca="false">Sens!K178/Sens!K179</f>
        <v>33.7626880990057</v>
      </c>
      <c r="L180" s="1" t="s">
        <v>928</v>
      </c>
    </row>
    <row r="181" customFormat="false" ht="17.15" hidden="false" customHeight="false" outlineLevel="0" collapsed="false">
      <c r="A181" s="1" t="s">
        <v>929</v>
      </c>
      <c r="B181" s="0" t="s">
        <v>98</v>
      </c>
      <c r="D181" s="6" t="n">
        <f aca="false">Sens!D178</f>
        <v>101.832</v>
      </c>
      <c r="E181" s="6" t="n">
        <f aca="false">Sens!E178</f>
        <v>133.749</v>
      </c>
      <c r="F181" s="6" t="n">
        <f aca="false">Sens!F178+Sens!F171*(1-tax_f)</f>
        <v>144.716245502711</v>
      </c>
      <c r="G181" s="6" t="n">
        <f aca="false">Sens!G178+Sens!G171*(1-tax_f)</f>
        <v>169.440432908311</v>
      </c>
      <c r="H181" s="6" t="n">
        <f aca="false">Sens!H178+Sens!H171*(1-tax_f)</f>
        <v>197.58884160431</v>
      </c>
      <c r="I181" s="6" t="n">
        <f aca="false">Sens!I178+Sens!I171*(1-tax_f)</f>
        <v>219.330590993914</v>
      </c>
      <c r="J181" s="6" t="n">
        <f aca="false">Sens!J178+Sens!J171*(1-tax_f)</f>
        <v>238.223129125662</v>
      </c>
      <c r="K181" s="6" t="n">
        <f aca="false">Sens!K178+Sens!K171*(1-tax_f)</f>
        <v>255.521744254433</v>
      </c>
    </row>
    <row r="182" customFormat="false" ht="17.15" hidden="false" customHeight="false" outlineLevel="0" collapsed="false">
      <c r="A182" s="0" t="s">
        <v>930</v>
      </c>
      <c r="B182" s="0" t="s">
        <v>75</v>
      </c>
      <c r="D182" s="8" t="n">
        <f aca="false">Sens!D181/Sens!D179</f>
        <v>13.641259209645</v>
      </c>
      <c r="E182" s="8" t="n">
        <f aca="false">Sens!E181/Sens!E179</f>
        <v>17.9456594659869</v>
      </c>
      <c r="F182" s="8" t="n">
        <f aca="false">Sens!F181/Sens!F179</f>
        <v>19.3639185793418</v>
      </c>
      <c r="G182" s="8" t="n">
        <f aca="false">Sens!G181/Sens!G179</f>
        <v>22.567420728774</v>
      </c>
      <c r="H182" s="8" t="n">
        <f aca="false">Sens!H181/Sens!H179</f>
        <v>26.2554650824931</v>
      </c>
      <c r="I182" s="8" t="n">
        <f aca="false">Sens!I181/Sens!I179</f>
        <v>29.098941001114</v>
      </c>
      <c r="J182" s="8" t="n">
        <f aca="false">Sens!J181/Sens!J179</f>
        <v>31.5458402100195</v>
      </c>
      <c r="K182" s="8" t="n">
        <f aca="false">Sens!K181/Sens!K179</f>
        <v>33.7626880990057</v>
      </c>
      <c r="L182" s="1" t="s">
        <v>931</v>
      </c>
    </row>
    <row r="183" customFormat="false" ht="17.15" hidden="false" customHeight="false" outlineLevel="0" collapsed="false">
      <c r="A183" s="0" t="s">
        <v>932</v>
      </c>
      <c r="B183" s="0" t="s">
        <v>129</v>
      </c>
      <c r="E183" s="7" t="n">
        <f aca="false">Sens!E182/Sens!D182-1</f>
        <v>0.315542736208578</v>
      </c>
      <c r="F183" s="7" t="n">
        <f aca="false">Sens!F182/Sens!E182-1</f>
        <v>0.079030760393233</v>
      </c>
      <c r="G183" s="7" t="n">
        <f aca="false">Sens!G182/Sens!F182-1</f>
        <v>0.165436666979677</v>
      </c>
      <c r="H183" s="7" t="n">
        <f aca="false">Sens!H182/Sens!G182-1</f>
        <v>0.1634233879912</v>
      </c>
      <c r="I183" s="7" t="n">
        <f aca="false">Sens!I182/Sens!H182-1</f>
        <v>0.108300344697261</v>
      </c>
      <c r="J183" s="7" t="n">
        <f aca="false">Sens!J182/Sens!I182-1</f>
        <v>0.0840889436083547</v>
      </c>
      <c r="K183" s="7" t="n">
        <f aca="false">Sens!K182/Sens!J182-1</f>
        <v>0.0702738577963795</v>
      </c>
    </row>
    <row r="184" customFormat="false" ht="17.15" hidden="false" customHeight="false" outlineLevel="0" collapsed="false">
      <c r="A184" s="0" t="s">
        <v>856</v>
      </c>
      <c r="B184" s="0" t="s">
        <v>98</v>
      </c>
      <c r="E184" s="6" t="n">
        <f aca="false">Sens!E125</f>
        <v>5.25</v>
      </c>
      <c r="F184" s="6" t="n">
        <f aca="false">Sens!F125</f>
        <v>13.5</v>
      </c>
      <c r="G184" s="6" t="n">
        <f aca="false">Sens!G125</f>
        <v>22.5</v>
      </c>
      <c r="H184" s="6" t="n">
        <f aca="false">Sens!H125</f>
        <v>31.5</v>
      </c>
      <c r="I184" s="6" t="n">
        <f aca="false">Sens!I125</f>
        <v>38.25</v>
      </c>
      <c r="J184" s="6" t="n">
        <f aca="false">Sens!J125</f>
        <v>42.75</v>
      </c>
      <c r="K184" s="6" t="n">
        <f aca="false">Sens!K125</f>
        <v>47.25</v>
      </c>
    </row>
    <row r="185" customFormat="false" ht="17.15" hidden="false" customHeight="false" outlineLevel="0" collapsed="false">
      <c r="A185" s="1" t="s">
        <v>857</v>
      </c>
      <c r="B185" s="0" t="s">
        <v>98</v>
      </c>
      <c r="F185" s="6" t="n">
        <f aca="false">MAX(0,((Sens!E88+Sens!F88)/2-(shadow_base*(Sens!$D$88+Sens!$E$88)/2+(1-shadow_base)*Sens!$E$88))*Sens!F96/1000-(Sens!F184-Sens!$E$184)*Sens!F164)</f>
        <v>8.44248444763781</v>
      </c>
      <c r="G185" s="6" t="n">
        <f aca="false">MAX(0,((Sens!F88+Sens!G88)/2-(shadow_base*(Sens!$D$88+Sens!$E$88)/2+(1-shadow_base)*Sens!$E$88))*Sens!G96/1000-(Sens!G184-Sens!$E$184)*Sens!G164)</f>
        <v>21.3653222817508</v>
      </c>
      <c r="H185" s="6" t="n">
        <f aca="false">MAX(0,((Sens!G88+Sens!H88)/2-(shadow_base*(Sens!$D$88+Sens!$E$88)/2+(1-shadow_base)*Sens!$E$88))*Sens!H96/1000-(Sens!H184-Sens!$E$184)*Sens!H164)</f>
        <v>35.8221390663856</v>
      </c>
      <c r="I185" s="6" t="n">
        <f aca="false">MAX(0,((Sens!H88+Sens!I88)/2-(shadow_base*(Sens!$D$88+Sens!$E$88)/2+(1-shadow_base)*Sens!$E$88))*Sens!I96/1000-(Sens!I184-Sens!$E$184)*Sens!I164)</f>
        <v>49.3691841492478</v>
      </c>
      <c r="J185" s="6" t="n">
        <f aca="false">MAX(0,((Sens!I88+Sens!J88)/2-(shadow_base*(Sens!$D$88+Sens!$E$88)/2+(1-shadow_base)*Sens!$E$88))*Sens!J96/1000-(Sens!J184-Sens!$E$184)*Sens!J164)</f>
        <v>59.0322720639359</v>
      </c>
      <c r="K185" s="6" t="n">
        <f aca="false">MAX(0,((Sens!J88+Sens!K88)/2-(shadow_base*(Sens!$D$88+Sens!$E$88)/2+(1-shadow_base)*Sens!$E$88))*Sens!K96/1000-(Sens!K184-Sens!$E$184)*Sens!K164)</f>
        <v>64.2195097796802</v>
      </c>
      <c r="L185" s="1" t="s">
        <v>858</v>
      </c>
    </row>
    <row r="186" customFormat="false" ht="17.15" hidden="false" customHeight="false" outlineLevel="0" collapsed="false">
      <c r="A186" s="1" t="s">
        <v>859</v>
      </c>
      <c r="B186" s="0" t="s">
        <v>98</v>
      </c>
      <c r="F186" s="6" t="n">
        <f aca="false">IF(1=2,1,0)*Sens!F185</f>
        <v>0</v>
      </c>
      <c r="G186" s="6" t="n">
        <f aca="false">IF(1=2,1,0)*Sens!G185</f>
        <v>0</v>
      </c>
      <c r="H186" s="6" t="n">
        <f aca="false">IF(1=2,1,0)*Sens!H185</f>
        <v>0</v>
      </c>
      <c r="I186" s="6" t="n">
        <f aca="false">IF(1=2,1,0)*Sens!I185</f>
        <v>0</v>
      </c>
      <c r="J186" s="6" t="n">
        <f aca="false">IF(1=2,1,0)*Sens!J185</f>
        <v>0</v>
      </c>
      <c r="K186" s="6" t="n">
        <f aca="false">IF(1=2,1,0)*Sens!K185</f>
        <v>0</v>
      </c>
    </row>
    <row r="187" customFormat="false" ht="17.15" hidden="false" customHeight="false" outlineLevel="0" collapsed="false">
      <c r="A187" s="0" t="s">
        <v>860</v>
      </c>
      <c r="B187" s="0" t="s">
        <v>98</v>
      </c>
      <c r="F187" s="6" t="n">
        <f aca="false">Sens!F105+Sens!F184*Sens!F164+Sens!F186-Sens!F106-Sens!F116</f>
        <v>10.2529597101288</v>
      </c>
      <c r="G187" s="6" t="n">
        <f aca="false">Sens!G105+Sens!G184*Sens!G164+Sens!G186-Sens!G106-Sens!G116</f>
        <v>21.4077744899907</v>
      </c>
      <c r="H187" s="6" t="n">
        <f aca="false">Sens!H105+Sens!H184*Sens!H164+Sens!H186-Sens!H106-Sens!H116</f>
        <v>36.5303304685641</v>
      </c>
      <c r="I187" s="6" t="n">
        <f aca="false">Sens!I105+Sens!I184*Sens!I164+Sens!I186-Sens!I106-Sens!I116</f>
        <v>44.0228558424703</v>
      </c>
      <c r="J187" s="6" t="n">
        <f aca="false">Sens!J105+Sens!J184*Sens!J164+Sens!J186-Sens!J106-Sens!J116</f>
        <v>49.1001519825398</v>
      </c>
      <c r="K187" s="6" t="n">
        <f aca="false">Sens!K105+Sens!K184*Sens!K164+Sens!K186-Sens!K106-Sens!K116</f>
        <v>54.1217733272279</v>
      </c>
    </row>
    <row r="188" customFormat="false" ht="17.15" hidden="false" customHeight="false" outlineLevel="0" collapsed="false">
      <c r="A188" s="0" t="s">
        <v>861</v>
      </c>
      <c r="B188" s="0" t="s">
        <v>98</v>
      </c>
      <c r="E188" s="6" t="n">
        <f aca="false">Sens!E87*(cxit_open+self_build*tk_cxfac)/1000*ai_net_open</f>
        <v>126.6980382</v>
      </c>
      <c r="F188" s="6" t="n">
        <f aca="false">Sens!E188+Sens!F113-Sens!F116</f>
        <v>252.981026690511</v>
      </c>
      <c r="G188" s="6" t="n">
        <f aca="false">Sens!F188+Sens!G113-Sens!G116</f>
        <v>377.4297700632</v>
      </c>
      <c r="H188" s="6" t="n">
        <f aca="false">Sens!G188+Sens!H113-Sens!H116</f>
        <v>479.149036130289</v>
      </c>
      <c r="I188" s="6" t="n">
        <f aca="false">Sens!H188+Sens!I113-Sens!I116</f>
        <v>532.249961452141</v>
      </c>
      <c r="J188" s="6" t="n">
        <f aca="false">Sens!I188+Sens!J113-Sens!J116</f>
        <v>531.43307519354</v>
      </c>
      <c r="K188" s="6" t="n">
        <f aca="false">Sens!J188+Sens!K113-Sens!K116</f>
        <v>513.709026452823</v>
      </c>
      <c r="L188" s="1" t="s">
        <v>862</v>
      </c>
    </row>
    <row r="189" customFormat="false" ht="17.15" hidden="false" customHeight="false" outlineLevel="0" collapsed="false">
      <c r="A189" s="0" t="s">
        <v>863</v>
      </c>
      <c r="B189" s="0" t="s">
        <v>129</v>
      </c>
      <c r="F189" s="7" t="n">
        <f aca="false">Sens!F187*(1-tax_f)/((Sens!E188+Sens!F188)/2)</f>
        <v>0.0432068477121243</v>
      </c>
      <c r="G189" s="7" t="n">
        <f aca="false">Sens!G187*(1-tax_f)/((Sens!F188+Sens!G188)/2)</f>
        <v>0.0543335224592717</v>
      </c>
      <c r="H189" s="7" t="n">
        <f aca="false">Sens!H187*(1-tax_f)/((Sens!G188+Sens!H188)/2)</f>
        <v>0.06823485279707</v>
      </c>
      <c r="I189" s="7" t="n">
        <f aca="false">Sens!I187*(1-tax_f)/((Sens!H188+Sens!I188)/2)</f>
        <v>0.0696427122395006</v>
      </c>
      <c r="J189" s="7" t="n">
        <f aca="false">Sens!J187*(1-tax_f)/((Sens!I188+Sens!J188)/2)</f>
        <v>0.0738568168011806</v>
      </c>
      <c r="K189" s="7" t="n">
        <f aca="false">Sens!K187*(1-tax_f)/((Sens!J188+Sens!K188)/2)</f>
        <v>0.0828546062656513</v>
      </c>
    </row>
    <row r="190" customFormat="false" ht="17.15" hidden="false" customHeight="false" outlineLevel="0" collapsed="false">
      <c r="A190" s="1" t="s">
        <v>864</v>
      </c>
      <c r="B190" s="0" t="s">
        <v>129</v>
      </c>
      <c r="F190" s="7" t="n">
        <f aca="false">(Sens!F187-Sens!F186)*(1-tax_f)/((Sens!E188+Sens!F188)/2)</f>
        <v>0.0432068477121243</v>
      </c>
      <c r="G190" s="7" t="n">
        <f aca="false">(Sens!G187-Sens!G186)*(1-tax_f)/((Sens!F188+Sens!G188)/2)</f>
        <v>0.0543335224592717</v>
      </c>
      <c r="H190" s="7" t="n">
        <f aca="false">(Sens!H187-Sens!H186)*(1-tax_f)/((Sens!G188+Sens!H188)/2)</f>
        <v>0.06823485279707</v>
      </c>
      <c r="I190" s="7" t="n">
        <f aca="false">(Sens!I187-Sens!I186)*(1-tax_f)/((Sens!H188+Sens!I188)/2)</f>
        <v>0.0696427122395006</v>
      </c>
      <c r="J190" s="7" t="n">
        <f aca="false">(Sens!J187-Sens!J186)*(1-tax_f)/((Sens!I188+Sens!J188)/2)</f>
        <v>0.0738568168011806</v>
      </c>
      <c r="K190" s="7" t="n">
        <f aca="false">(Sens!K187-Sens!K186)*(1-tax_f)/((Sens!J188+Sens!K188)/2)</f>
        <v>0.0828546062656513</v>
      </c>
    </row>
    <row r="191" customFormat="false" ht="17.15" hidden="false" customHeight="false" outlineLevel="0" collapsed="false">
      <c r="A191" s="1" t="s">
        <v>865</v>
      </c>
      <c r="B191" s="0" t="s">
        <v>129</v>
      </c>
      <c r="F191" s="7" t="n">
        <f aca="false">(Sens!F187-Sens!F186+Sens!F185)*(1-tax_f)/((Sens!E188+Sens!F188)/2)</f>
        <v>0.0787841980727922</v>
      </c>
      <c r="G191" s="7" t="n">
        <f aca="false">(Sens!G187-Sens!G186+Sens!G185)*(1-tax_f)/((Sens!F188+Sens!G188)/2)</f>
        <v>0.108559300042451</v>
      </c>
      <c r="H191" s="7" t="n">
        <f aca="false">(Sens!H187-Sens!H186+Sens!H185)*(1-tax_f)/((Sens!G188+Sens!H188)/2)</f>
        <v>0.135146877810762</v>
      </c>
      <c r="I191" s="7" t="n">
        <f aca="false">(Sens!I187-Sens!I186+Sens!I185)*(1-tax_f)/((Sens!H188+Sens!I188)/2)</f>
        <v>0.147743140287788</v>
      </c>
      <c r="J191" s="7" t="n">
        <f aca="false">(Sens!J187-Sens!J186+Sens!J185)*(1-tax_f)/((Sens!I188+Sens!J188)/2)</f>
        <v>0.162653603107137</v>
      </c>
      <c r="K191" s="7" t="n">
        <f aca="false">(Sens!K187-Sens!K186+Sens!K185)*(1-tax_f)/((Sens!J188+Sens!K188)/2)</f>
        <v>0.181167759554213</v>
      </c>
    </row>
    <row r="192" customFormat="false" ht="17.15" hidden="false" customHeight="false" outlineLevel="0" collapsed="false">
      <c r="A192" s="1" t="s">
        <v>866</v>
      </c>
      <c r="B192" s="0" t="s">
        <v>129</v>
      </c>
      <c r="F192" s="7" t="n">
        <f aca="false">Sens!F117*(1-tax_f)/(Sens!F104*(Sens!E188+Sens!F188)/2)</f>
        <v>0.159418295257403</v>
      </c>
      <c r="G192" s="7" t="n">
        <f aca="false">Sens!G117*(1-tax_f)/(Sens!G104*(Sens!F188+Sens!G188)/2)</f>
        <v>0.181875227327983</v>
      </c>
      <c r="H192" s="7" t="n">
        <f aca="false">Sens!H117*(1-tax_f)/(Sens!H104*(Sens!G188+Sens!H188)/2)</f>
        <v>0.212793847216411</v>
      </c>
      <c r="I192" s="7" t="n">
        <f aca="false">Sens!I117*(1-tax_f)/(Sens!I104*(Sens!H188+Sens!I188)/2)</f>
        <v>0.225613268329429</v>
      </c>
      <c r="J192" s="7" t="n">
        <f aca="false">Sens!J117*(1-tax_f)/(Sens!J104*(Sens!I188+Sens!J188)/2)</f>
        <v>0.24488839563955</v>
      </c>
      <c r="K192" s="7" t="n">
        <f aca="false">Sens!K117*(1-tax_f)/(Sens!K104*(Sens!J188+Sens!K188)/2)</f>
        <v>0.270711455180788</v>
      </c>
    </row>
    <row r="193" customFormat="false" ht="17.15" hidden="false" customHeight="false" outlineLevel="0" collapsed="false">
      <c r="A193" s="0" t="s">
        <v>867</v>
      </c>
      <c r="B193" s="0" t="s">
        <v>209</v>
      </c>
      <c r="F193" s="7" t="n">
        <f aca="false">Sens!F189-wacc</f>
        <v>-0.0597275723807515</v>
      </c>
      <c r="G193" s="7" t="n">
        <f aca="false">Sens!G189-wacc</f>
        <v>-0.0486008976336041</v>
      </c>
      <c r="H193" s="7" t="n">
        <f aca="false">Sens!H189-wacc</f>
        <v>-0.0346995672958058</v>
      </c>
      <c r="I193" s="7" t="n">
        <f aca="false">Sens!I189-wacc</f>
        <v>-0.0332917078533751</v>
      </c>
      <c r="J193" s="7" t="n">
        <f aca="false">Sens!J189-wacc</f>
        <v>-0.0290776032916951</v>
      </c>
      <c r="K193" s="7" t="n">
        <f aca="false">Sens!K189-wacc</f>
        <v>-0.0200798138272244</v>
      </c>
    </row>
    <row r="194" customFormat="false" ht="17.15" hidden="false" customHeight="false" outlineLevel="0" collapsed="false">
      <c r="A194" s="0" t="s">
        <v>868</v>
      </c>
      <c r="B194" s="0" t="s">
        <v>98</v>
      </c>
      <c r="F194" s="6" t="n">
        <f aca="false">Sens!F187*(1-tax_f)-wacc*(Sens!E188+Sens!F188)/2</f>
        <v>-11.338654414852</v>
      </c>
      <c r="G194" s="6" t="n">
        <f aca="false">Sens!G187*(1-tax_f)-wacc*(Sens!F188+Sens!G188)/2</f>
        <v>-15.319265300073</v>
      </c>
      <c r="H194" s="6" t="n">
        <f aca="false">Sens!H187*(1-tax_f)-wacc*(Sens!G188+Sens!H188)/2</f>
        <v>-14.861456964836</v>
      </c>
      <c r="I194" s="6" t="n">
        <f aca="false">Sens!I187*(1-tax_f)-wacc*(Sens!H188+Sens!I188)/2</f>
        <v>-16.8355999753554</v>
      </c>
      <c r="J194" s="6" t="n">
        <f aca="false">Sens!J187*(1-tax_f)-wacc*(Sens!I188+Sens!J188)/2</f>
        <v>-15.4646766838444</v>
      </c>
      <c r="K194" s="6" t="n">
        <f aca="false">Sens!K187*(1-tax_f)-wacc*(Sens!J188+Sens!K188)/2</f>
        <v>-10.4931294120265</v>
      </c>
    </row>
    <row r="195" customFormat="false" ht="17.15" hidden="false" customHeight="false" outlineLevel="0" collapsed="false">
      <c r="A195" s="3" t="s">
        <v>1265</v>
      </c>
    </row>
    <row r="196" customFormat="false" ht="15" hidden="false" customHeight="false" outlineLevel="0" collapsed="false">
      <c r="A196" s="4" t="s">
        <v>43</v>
      </c>
      <c r="B196" s="4" t="s">
        <v>65</v>
      </c>
      <c r="C196" s="20" t="s">
        <v>799</v>
      </c>
      <c r="D196" s="20" t="s">
        <v>800</v>
      </c>
      <c r="E196" s="20" t="s">
        <v>801</v>
      </c>
      <c r="F196" s="20" t="s">
        <v>802</v>
      </c>
      <c r="G196" s="20" t="s">
        <v>803</v>
      </c>
      <c r="H196" s="20" t="s">
        <v>804</v>
      </c>
      <c r="I196" s="20" t="s">
        <v>805</v>
      </c>
      <c r="J196" s="20" t="s">
        <v>806</v>
      </c>
      <c r="K196" s="20" t="s">
        <v>807</v>
      </c>
      <c r="L196" s="4" t="s">
        <v>47</v>
      </c>
    </row>
    <row r="197" customFormat="false" ht="15" hidden="false" customHeight="false" outlineLevel="0" collapsed="false">
      <c r="A197" s="1" t="s">
        <v>925</v>
      </c>
      <c r="B197" s="0" t="s">
        <v>98</v>
      </c>
      <c r="F197" s="6" t="n">
        <f aca="false">Sens!F178</f>
        <v>144.716245502711</v>
      </c>
      <c r="G197" s="6" t="n">
        <f aca="false">Sens!G178</f>
        <v>169.440432908311</v>
      </c>
      <c r="H197" s="6" t="n">
        <f aca="false">Sens!H178</f>
        <v>197.58884160431</v>
      </c>
      <c r="I197" s="6" t="n">
        <f aca="false">Sens!I178</f>
        <v>219.330590993914</v>
      </c>
      <c r="J197" s="6" t="n">
        <f aca="false">Sens!J178</f>
        <v>238.223129125662</v>
      </c>
      <c r="K197" s="6" t="n">
        <f aca="false">Sens!K178</f>
        <v>255.521744254433</v>
      </c>
    </row>
    <row r="198" customFormat="false" ht="17.15" hidden="false" customHeight="false" outlineLevel="0" collapsed="false">
      <c r="A198" s="1" t="s">
        <v>947</v>
      </c>
      <c r="B198" s="0" t="s">
        <v>98</v>
      </c>
      <c r="E198" s="6" t="n">
        <f aca="false">Q!M38-Sens!E116</f>
        <v>22.2285940229167</v>
      </c>
      <c r="F198" s="6" t="n">
        <f aca="false">Sens!E198*(1-1/life_nonai)+(Sens!F205+Sens!F206)/life_nonai</f>
        <v>24.3924470334783</v>
      </c>
      <c r="G198" s="6" t="n">
        <f aca="false">Sens!F198*(1-1/life_nonai)+(Sens!G205)/life_nonai</f>
        <v>26.1134916871694</v>
      </c>
      <c r="H198" s="6" t="n">
        <f aca="false">Sens!G198*(1-1/life_nonai)+(Sens!H205)/life_nonai</f>
        <v>28.2582938828615</v>
      </c>
      <c r="I198" s="6" t="n">
        <f aca="false">Sens!H198*(1-1/life_nonai)+(Sens!I205)/life_nonai</f>
        <v>30.7498045257397</v>
      </c>
      <c r="J198" s="6" t="n">
        <f aca="false">Sens!I198*(1-1/life_nonai)+(Sens!J205)/life_nonai</f>
        <v>33.4954153982031</v>
      </c>
      <c r="K198" s="6" t="n">
        <f aca="false">Sens!J198*(1-1/life_nonai)+(Sens!K205)/life_nonai</f>
        <v>36.4102441325822</v>
      </c>
      <c r="L198" s="11" t="s">
        <v>948</v>
      </c>
    </row>
    <row r="199" customFormat="false" ht="17.15" hidden="false" customHeight="false" outlineLevel="0" collapsed="false">
      <c r="A199" s="1" t="s">
        <v>949</v>
      </c>
      <c r="B199" s="0" t="s">
        <v>98</v>
      </c>
      <c r="F199" s="6" t="n">
        <f aca="false">Sens!$F$206/life_nonai*(1-1/life_nonai)^(Sens!F82-2027)</f>
        <v>0.813777689897088</v>
      </c>
      <c r="G199" s="6" t="n">
        <f aca="false">Sens!$F$206/life_nonai*(1-1/life_nonai)^(Sens!G82-2027)</f>
        <v>0.73239992090738</v>
      </c>
      <c r="H199" s="6" t="n">
        <f aca="false">Sens!$F$206/life_nonai*(1-1/life_nonai)^(Sens!H82-2027)</f>
        <v>0.659159928816642</v>
      </c>
      <c r="I199" s="6" t="n">
        <f aca="false">Sens!$F$206/life_nonai*(1-1/life_nonai)^(Sens!I82-2027)</f>
        <v>0.593243935934978</v>
      </c>
      <c r="J199" s="6" t="n">
        <f aca="false">Sens!$F$206/life_nonai*(1-1/life_nonai)^(Sens!J82-2027)</f>
        <v>0.53391954234148</v>
      </c>
      <c r="K199" s="6" t="n">
        <f aca="false">Sens!$F$206/life_nonai*(1-1/life_nonai)^(Sens!K82-2027)</f>
        <v>0.480527588107332</v>
      </c>
      <c r="L199" s="1" t="s">
        <v>950</v>
      </c>
    </row>
    <row r="200" customFormat="false" ht="17.15" hidden="false" customHeight="false" outlineLevel="0" collapsed="false">
      <c r="A200" s="1" t="s">
        <v>951</v>
      </c>
      <c r="B200" s="0" t="s">
        <v>98</v>
      </c>
      <c r="E200" s="6" t="n">
        <f aca="false">Sens!E116+Sens!E198</f>
        <v>38.534</v>
      </c>
      <c r="F200" s="6" t="n">
        <f aca="false">Sens!F116+Sens!F198</f>
        <v>58.4423344144339</v>
      </c>
      <c r="G200" s="6" t="n">
        <f aca="false">Sens!G116+Sens!G198</f>
        <v>85.2389287976805</v>
      </c>
      <c r="H200" s="6" t="n">
        <f aca="false">Sens!H116+Sens!H198</f>
        <v>114.619313726173</v>
      </c>
      <c r="I200" s="6" t="n">
        <f aca="false">Sens!I116+Sens!I198</f>
        <v>141.355548358132</v>
      </c>
      <c r="J200" s="6" t="n">
        <f aca="false">Sens!J116+Sens!J198</f>
        <v>161.493738251046</v>
      </c>
      <c r="K200" s="6" t="n">
        <f aca="false">Sens!K116+Sens!K198</f>
        <v>175.54170817689</v>
      </c>
    </row>
    <row r="201" customFormat="false" ht="17.15" hidden="false" customHeight="false" outlineLevel="0" collapsed="false">
      <c r="A201" s="1" t="s">
        <v>952</v>
      </c>
      <c r="B201" s="0" t="s">
        <v>98</v>
      </c>
      <c r="F201" s="6" t="n">
        <f aca="false">Sens!F143*sbc_r</f>
        <v>15.1240791253967</v>
      </c>
      <c r="G201" s="6" t="n">
        <f aca="false">Sens!G143*sbc_r</f>
        <v>18.3778786594202</v>
      </c>
      <c r="H201" s="6" t="n">
        <f aca="false">Sens!H143*sbc_r</f>
        <v>21.8771522065674</v>
      </c>
      <c r="I201" s="6" t="n">
        <f aca="false">Sens!I143*sbc_r</f>
        <v>24.8701515437869</v>
      </c>
      <c r="J201" s="6" t="n">
        <f aca="false">Sens!J143*sbc_r</f>
        <v>27.2967954795689</v>
      </c>
      <c r="K201" s="6" t="n">
        <f aca="false">Sens!K143*sbc_r</f>
        <v>29.260073931056</v>
      </c>
    </row>
    <row r="202" customFormat="false" ht="17.15" hidden="false" customHeight="false" outlineLevel="0" collapsed="false">
      <c r="A202" s="1" t="s">
        <v>953</v>
      </c>
      <c r="B202" s="0" t="s">
        <v>98</v>
      </c>
      <c r="F202" s="6" t="n">
        <f aca="false">wc27</f>
        <v>-4.895</v>
      </c>
      <c r="G202" s="6" t="n">
        <f aca="false">wc_f</f>
        <v>0</v>
      </c>
      <c r="H202" s="6" t="n">
        <f aca="false">wc_f</f>
        <v>0</v>
      </c>
      <c r="I202" s="6" t="n">
        <f aca="false">wc_f</f>
        <v>0</v>
      </c>
      <c r="J202" s="6" t="n">
        <f aca="false">wc_f</f>
        <v>0</v>
      </c>
      <c r="K202" s="6" t="n">
        <f aca="false">wc_f</f>
        <v>0</v>
      </c>
      <c r="L202" s="11" t="s">
        <v>954</v>
      </c>
    </row>
    <row r="203" customFormat="false" ht="15" hidden="false" customHeight="false" outlineLevel="0" collapsed="false">
      <c r="A203" s="1" t="s">
        <v>767</v>
      </c>
      <c r="B203" s="0" t="s">
        <v>98</v>
      </c>
      <c r="E203" s="6" t="n">
        <f aca="false">Q!M35</f>
        <v>182.935</v>
      </c>
      <c r="F203" s="6" t="n">
        <f aca="false">Sens!F197+Sens!F200+Sens!F201+Sens!F202</f>
        <v>213.387659042542</v>
      </c>
      <c r="G203" s="6" t="n">
        <f aca="false">Sens!G197+Sens!G200+Sens!G201+Sens!G202</f>
        <v>273.057240365412</v>
      </c>
      <c r="H203" s="6" t="n">
        <f aca="false">Sens!H197+Sens!H200+Sens!H201+Sens!H202</f>
        <v>334.08530753705</v>
      </c>
      <c r="I203" s="6" t="n">
        <f aca="false">Sens!I197+Sens!I200+Sens!I201+Sens!I202</f>
        <v>385.556290895833</v>
      </c>
      <c r="J203" s="6" t="n">
        <f aca="false">Sens!J197+Sens!J200+Sens!J201+Sens!J202</f>
        <v>427.013662856278</v>
      </c>
      <c r="K203" s="6" t="n">
        <f aca="false">Sens!K197+Sens!K200+Sens!K201+Sens!K202</f>
        <v>460.323526362379</v>
      </c>
    </row>
    <row r="204" customFormat="false" ht="17.15" hidden="false" customHeight="false" outlineLevel="0" collapsed="false">
      <c r="A204" s="0" t="s">
        <v>955</v>
      </c>
      <c r="B204" s="0" t="s">
        <v>98</v>
      </c>
      <c r="F204" s="6" t="n">
        <f aca="false">Sens!F113</f>
        <v>160.332875871467</v>
      </c>
      <c r="G204" s="6" t="n">
        <f aca="false">Sens!G113</f>
        <v>183.5741804832</v>
      </c>
      <c r="H204" s="6" t="n">
        <f aca="false">Sens!H113</f>
        <v>188.0802859104</v>
      </c>
      <c r="I204" s="6" t="n">
        <f aca="false">Sens!I113</f>
        <v>163.706669154245</v>
      </c>
      <c r="J204" s="6" t="n">
        <f aca="false">Sens!J113</f>
        <v>127.181436594242</v>
      </c>
      <c r="K204" s="6" t="n">
        <f aca="false">Sens!K113</f>
        <v>121.407415303591</v>
      </c>
    </row>
    <row r="205" customFormat="false" ht="17.15" hidden="false" customHeight="false" outlineLevel="0" collapsed="false">
      <c r="A205" s="1" t="s">
        <v>956</v>
      </c>
      <c r="B205" s="0" t="s">
        <v>98</v>
      </c>
      <c r="E205" s="6" t="n">
        <f aca="false">Sens!E121*cx_azo+Sens!E128*cx_m365+Sens!E129*cx_lic+(Sens!E131+Sens!E133)*cx_ind+Sens!E136*cx_srch+(Sens!E138+Sens!E140)*cx_dev</f>
        <v>30.1846587067718</v>
      </c>
      <c r="F205" s="6" t="n">
        <f aca="false">Sens!F121*cx_azo+Sens!F128*cx_m365+Sens!F129*cx_lic+(Sens!F131+Sens!F133)*cx_ind+Sens!F136*cx_srch+(Sens!F138+Sens!F140)*cx_dev</f>
        <v>35.7293472295625</v>
      </c>
      <c r="G205" s="6" t="n">
        <f aca="false">Sens!G121*cx_azo+Sens!G128*cx_m365+Sens!G129*cx_lic+(Sens!G131+Sens!G133)*cx_ind+Sens!G136*cx_srch+(Sens!G138+Sens!G140)*cx_dev</f>
        <v>41.6028935703892</v>
      </c>
      <c r="H205" s="6" t="n">
        <f aca="false">Sens!H121*cx_azo+Sens!H128*cx_m365+Sens!H129*cx_lic+(Sens!H131+Sens!H133)*cx_ind+Sens!H136*cx_srch+(Sens!H138+Sens!H140)*cx_dev</f>
        <v>47.5615136440897</v>
      </c>
      <c r="I205" s="6" t="n">
        <f aca="false">Sens!I121*cx_azo+Sens!I128*cx_m365+Sens!I129*cx_lic+(Sens!I131+Sens!I133)*cx_ind+Sens!I136*cx_srch+(Sens!I138+Sens!I140)*cx_dev</f>
        <v>53.1734003116439</v>
      </c>
      <c r="J205" s="6" t="n">
        <f aca="false">Sens!J121*cx_azo+Sens!J128*cx_m365+Sens!J129*cx_lic+(Sens!J131+Sens!J133)*cx_ind+Sens!J136*cx_srch+(Sens!J138+Sens!J140)*cx_dev</f>
        <v>58.2059132503738</v>
      </c>
      <c r="K205" s="6" t="n">
        <f aca="false">Sens!K121*cx_azo+Sens!K128*cx_m365+Sens!K129*cx_lic+(Sens!K131+Sens!K133)*cx_ind+Sens!K136*cx_srch+(Sens!K138+Sens!K140)*cx_dev</f>
        <v>62.643702741994</v>
      </c>
    </row>
    <row r="206" customFormat="false" ht="17.15" hidden="false" customHeight="false" outlineLevel="0" collapsed="false">
      <c r="A206" s="0" t="s">
        <v>957</v>
      </c>
      <c r="B206" s="0" t="s">
        <v>98</v>
      </c>
      <c r="F206" s="6" t="n">
        <f aca="false">Sens!F111</f>
        <v>8.13777689897088</v>
      </c>
      <c r="L206" s="1" t="s">
        <v>958</v>
      </c>
    </row>
    <row r="207" customFormat="false" ht="17.15" hidden="false" customHeight="false" outlineLevel="0" collapsed="false">
      <c r="A207" s="1" t="s">
        <v>959</v>
      </c>
      <c r="B207" s="0" t="s">
        <v>98</v>
      </c>
      <c r="E207" s="6" t="n">
        <f aca="false">Q!M42</f>
        <v>145.3</v>
      </c>
      <c r="F207" s="6" t="n">
        <f aca="false">Sens!F204+Sens!F205+Sens!F206</f>
        <v>204.2</v>
      </c>
      <c r="G207" s="6" t="n">
        <f aca="false">Sens!G204+Sens!G205</f>
        <v>225.177074053589</v>
      </c>
      <c r="H207" s="6" t="n">
        <f aca="false">Sens!H204+Sens!H205</f>
        <v>235.64179955449</v>
      </c>
      <c r="I207" s="6" t="n">
        <f aca="false">Sens!I204+Sens!I205</f>
        <v>216.880069465889</v>
      </c>
      <c r="J207" s="6" t="n">
        <f aca="false">Sens!J204+Sens!J205</f>
        <v>185.387349844616</v>
      </c>
      <c r="K207" s="6" t="n">
        <f aca="false">Sens!K204+Sens!K205</f>
        <v>184.051118045585</v>
      </c>
      <c r="L207" s="1" t="s">
        <v>960</v>
      </c>
    </row>
    <row r="208" customFormat="false" ht="15" hidden="false" customHeight="false" outlineLevel="0" collapsed="false">
      <c r="A208" s="1" t="s">
        <v>961</v>
      </c>
      <c r="B208" s="0" t="s">
        <v>98</v>
      </c>
      <c r="E208" s="6" t="n">
        <f aca="false">fl_liab</f>
        <v>66.594</v>
      </c>
      <c r="F208" s="6" t="n">
        <f aca="false">Sens!E208-Sens!F209</f>
        <v>62.46973</v>
      </c>
      <c r="G208" s="6" t="n">
        <f aca="false">Sens!F208-Sens!G209</f>
        <v>57.98686785</v>
      </c>
      <c r="H208" s="6" t="n">
        <f aca="false">Sens!G208-Sens!H209</f>
        <v>53.92827690325</v>
      </c>
      <c r="I208" s="6" t="n">
        <f aca="false">Sens!H208-Sens!I209</f>
        <v>49.7850493638962</v>
      </c>
      <c r="J208" s="6" t="n">
        <f aca="false">Sens!I208-Sens!J209</f>
        <v>45.4823765852716</v>
      </c>
      <c r="K208" s="6" t="n">
        <f aca="false">Sens!J208-Sens!K209</f>
        <v>40.9860835316088</v>
      </c>
    </row>
    <row r="209" customFormat="false" ht="15" hidden="false" customHeight="false" outlineLevel="0" collapsed="false">
      <c r="A209" s="1" t="s">
        <v>962</v>
      </c>
      <c r="B209" s="0" t="s">
        <v>98</v>
      </c>
      <c r="F209" s="6" t="n">
        <f aca="false">fl_pay_27-Sens!E208*fl_rate</f>
        <v>4.12427</v>
      </c>
      <c r="G209" s="6" t="n">
        <f aca="false">fl_pay_28-Sens!F208*fl_rate</f>
        <v>4.48286215</v>
      </c>
      <c r="H209" s="6" t="n">
        <f aca="false">fl_pay_29-Sens!G208*fl_rate</f>
        <v>4.05859094675</v>
      </c>
      <c r="I209" s="6" t="n">
        <f aca="false">fl_pay_30-Sens!H208*fl_rate</f>
        <v>4.14322753935375</v>
      </c>
      <c r="J209" s="6" t="n">
        <f aca="false">fl_pay_31-Sens!I208*fl_rate</f>
        <v>4.30267277862467</v>
      </c>
      <c r="K209" s="6" t="n">
        <f aca="false">fl_pay_32-Sens!J208*fl_rate</f>
        <v>4.49629305366278</v>
      </c>
    </row>
    <row r="210" customFormat="false" ht="17.15" hidden="false" customHeight="false" outlineLevel="0" collapsed="false">
      <c r="A210" s="1" t="s">
        <v>963</v>
      </c>
      <c r="B210" s="0" t="s">
        <v>98</v>
      </c>
      <c r="E210" s="6" t="n">
        <f aca="false">Q!M35-Q!M36-Q!M43</f>
        <v>63.886</v>
      </c>
      <c r="F210" s="6" t="n">
        <f aca="false">Sens!F203-Sens!F207-Sens!F209</f>
        <v>5.06338904254167</v>
      </c>
      <c r="G210" s="6" t="n">
        <f aca="false">Sens!G203-Sens!G207-Sens!G209</f>
        <v>43.3973041618228</v>
      </c>
      <c r="H210" s="6" t="n">
        <f aca="false">Sens!H203-Sens!H207-Sens!H209</f>
        <v>94.3849170358102</v>
      </c>
      <c r="I210" s="6" t="n">
        <f aca="false">Sens!I203-Sens!I207-Sens!I209</f>
        <v>164.53299389059</v>
      </c>
      <c r="J210" s="6" t="n">
        <f aca="false">Sens!J203-Sens!J207-Sens!J209</f>
        <v>237.323640233037</v>
      </c>
      <c r="K210" s="6" t="n">
        <f aca="false">Sens!K203-Sens!K207-Sens!K209</f>
        <v>271.776115263132</v>
      </c>
      <c r="L210" s="11" t="s">
        <v>964</v>
      </c>
    </row>
    <row r="211" customFormat="false" ht="15" hidden="false" customHeight="false" outlineLevel="0" collapsed="false">
      <c r="A211" s="1" t="s">
        <v>965</v>
      </c>
      <c r="B211" s="0" t="s">
        <v>75</v>
      </c>
      <c r="F211" s="8" t="n">
        <f aca="false">dps_27</f>
        <v>3.85</v>
      </c>
      <c r="G211" s="8" t="n">
        <f aca="false">Sens!F211*(1+dps_g)</f>
        <v>4.158</v>
      </c>
      <c r="H211" s="8" t="n">
        <f aca="false">Sens!G211*(1+dps_g)</f>
        <v>4.49064</v>
      </c>
      <c r="I211" s="8" t="n">
        <f aca="false">Sens!H211*(1+dps_g)</f>
        <v>4.8498912</v>
      </c>
      <c r="J211" s="8" t="n">
        <f aca="false">Sens!I211*(1+dps_g)</f>
        <v>5.237882496</v>
      </c>
      <c r="K211" s="8" t="n">
        <f aca="false">Sens!J211*(1+dps_g)</f>
        <v>5.65691309568</v>
      </c>
    </row>
    <row r="212" customFormat="false" ht="17.15" hidden="false" customHeight="false" outlineLevel="0" collapsed="false">
      <c r="A212" s="1" t="s">
        <v>966</v>
      </c>
      <c r="B212" s="0" t="s">
        <v>98</v>
      </c>
      <c r="E212" s="6" t="n">
        <f aca="false">Q!M41</f>
        <v>26.445</v>
      </c>
      <c r="F212" s="6" t="n">
        <f aca="false">Sens!F211*Sens!E221</f>
        <v>28.59395</v>
      </c>
      <c r="G212" s="6" t="n">
        <f aca="false">Sens!G211*Sens!F221</f>
        <v>31.068576</v>
      </c>
      <c r="H212" s="6" t="n">
        <f aca="false">Sens!H211*Sens!G221</f>
        <v>33.6635240905814</v>
      </c>
      <c r="I212" s="6" t="n">
        <f aca="false">Sens!I211*Sens!H221</f>
        <v>36.4075452578274</v>
      </c>
      <c r="J212" s="6" t="n">
        <f aca="false">Sens!J211*Sens!I221</f>
        <v>39.388547726773</v>
      </c>
      <c r="K212" s="6" t="n">
        <f aca="false">Sens!K211*Sens!J221</f>
        <v>42.6268867702199</v>
      </c>
      <c r="L212" s="1" t="s">
        <v>967</v>
      </c>
    </row>
    <row r="213" customFormat="false" ht="15" hidden="false" customHeight="false" outlineLevel="0" collapsed="false">
      <c r="A213" s="1" t="s">
        <v>968</v>
      </c>
      <c r="B213" s="0" t="s">
        <v>98</v>
      </c>
      <c r="E213" s="6" t="n">
        <f aca="false">Sens!E210-Sens!E212</f>
        <v>37.441</v>
      </c>
      <c r="F213" s="6" t="n">
        <f aca="false">Sens!F210-Sens!F212</f>
        <v>-23.5305609574583</v>
      </c>
      <c r="G213" s="6" t="n">
        <f aca="false">Sens!G210-Sens!G212</f>
        <v>12.3287281618228</v>
      </c>
      <c r="H213" s="6" t="n">
        <f aca="false">Sens!H210-Sens!H212</f>
        <v>60.7213929452288</v>
      </c>
      <c r="I213" s="6" t="n">
        <f aca="false">Sens!I210-Sens!I212</f>
        <v>128.125448632763</v>
      </c>
      <c r="J213" s="6" t="n">
        <f aca="false">Sens!J210-Sens!J212</f>
        <v>197.935092506264</v>
      </c>
      <c r="K213" s="6" t="n">
        <f aca="false">Sens!K210-Sens!K212</f>
        <v>229.149228492912</v>
      </c>
    </row>
    <row r="214" customFormat="false" ht="15" hidden="false" customHeight="false" outlineLevel="0" collapsed="false">
      <c r="A214" s="1" t="s">
        <v>969</v>
      </c>
      <c r="B214" s="0" t="s">
        <v>98</v>
      </c>
      <c r="F214" s="6" t="n">
        <f aca="false">debt_mat_27</f>
        <v>9.25</v>
      </c>
      <c r="G214" s="6" t="n">
        <f aca="false">debt_mat_28</f>
        <v>0</v>
      </c>
      <c r="H214" s="6" t="n">
        <f aca="false">debt_mat_29</f>
        <v>2.001</v>
      </c>
      <c r="I214" s="6" t="n">
        <f aca="false">debt_mat_30</f>
        <v>0</v>
      </c>
      <c r="J214" s="6" t="n">
        <f aca="false">debt_mat_31</f>
        <v>0.5</v>
      </c>
      <c r="K214" s="6" t="n">
        <f aca="false">debt_mat_32</f>
        <v>0</v>
      </c>
    </row>
    <row r="215" customFormat="false" ht="15" hidden="false" customHeight="false" outlineLevel="0" collapsed="false">
      <c r="A215" s="1" t="s">
        <v>970</v>
      </c>
      <c r="B215" s="0" t="s">
        <v>98</v>
      </c>
      <c r="E215" s="6" t="n">
        <f aca="false">Q!M40</f>
        <v>22.271</v>
      </c>
      <c r="F215" s="6" t="n">
        <f aca="false">MAX(0,MIN(bb_target,Sens!E217+Sens!F213-Sens!F214-min_cash))</f>
        <v>0</v>
      </c>
      <c r="G215" s="6" t="n">
        <f aca="false">MAX(0,MIN(bb_target,Sens!F217+Sens!G213-Sens!G214-min_cash))</f>
        <v>12.3287281618228</v>
      </c>
      <c r="H215" s="6" t="n">
        <f aca="false">MAX(0,MIN(bb_target,Sens!G217+Sens!H213-Sens!H214-min_cash))</f>
        <v>22.271</v>
      </c>
      <c r="I215" s="6" t="n">
        <f aca="false">MAX(0,MIN(bb_target,Sens!H217+Sens!I213-Sens!I214-min_cash))</f>
        <v>22.271</v>
      </c>
      <c r="J215" s="6" t="n">
        <f aca="false">MAX(0,MIN(bb_target,Sens!I217+Sens!J213-Sens!J214-min_cash))</f>
        <v>22.271</v>
      </c>
      <c r="K215" s="6" t="n">
        <f aca="false">MAX(0,MIN(bb_target,Sens!J217+Sens!K213-Sens!K214-min_cash))</f>
        <v>22.271</v>
      </c>
    </row>
    <row r="216" customFormat="false" ht="15" hidden="false" customHeight="false" outlineLevel="0" collapsed="false">
      <c r="A216" s="1" t="s">
        <v>971</v>
      </c>
      <c r="B216" s="0" t="s">
        <v>98</v>
      </c>
      <c r="F216" s="6" t="n">
        <f aca="false">MAX(0,min_cash-(Sens!E217+Sens!F213-Sens!F214-Sens!F215))</f>
        <v>5.93756095745833</v>
      </c>
      <c r="G216" s="6" t="n">
        <f aca="false">MAX(0,min_cash-(Sens!F217+Sens!G213-Sens!G214-Sens!G215))</f>
        <v>0</v>
      </c>
      <c r="H216" s="6" t="n">
        <f aca="false">MAX(0,min_cash-(Sens!G217+Sens!H213-Sens!H214-Sens!H215))</f>
        <v>0</v>
      </c>
      <c r="I216" s="6" t="n">
        <f aca="false">MAX(0,min_cash-(Sens!H217+Sens!I213-Sens!I214-Sens!I215))</f>
        <v>0</v>
      </c>
      <c r="J216" s="6" t="n">
        <f aca="false">MAX(0,min_cash-(Sens!I217+Sens!J213-Sens!J214-Sens!J215))</f>
        <v>0</v>
      </c>
      <c r="K216" s="6" t="n">
        <f aca="false">MAX(0,min_cash-(Sens!J217+Sens!K213-Sens!K214-Sens!K215))</f>
        <v>0</v>
      </c>
    </row>
    <row r="217" customFormat="false" ht="15" hidden="false" customHeight="false" outlineLevel="0" collapsed="false">
      <c r="A217" s="1" t="s">
        <v>972</v>
      </c>
      <c r="B217" s="0" t="s">
        <v>98</v>
      </c>
      <c r="E217" s="6" t="n">
        <f aca="false">cash_open</f>
        <v>76.843</v>
      </c>
      <c r="F217" s="6" t="n">
        <f aca="false">Sens!E217+Sens!F213-Sens!F214-Sens!F215+Sens!F216</f>
        <v>50</v>
      </c>
      <c r="G217" s="6" t="n">
        <f aca="false">Sens!F217+Sens!G213-Sens!G214-Sens!G215+Sens!G216</f>
        <v>50</v>
      </c>
      <c r="H217" s="6" t="n">
        <f aca="false">Sens!G217+Sens!H213-Sens!H214-Sens!H215+Sens!H216</f>
        <v>86.4493929452288</v>
      </c>
      <c r="I217" s="6" t="n">
        <f aca="false">Sens!H217+Sens!I213-Sens!I214-Sens!I215+Sens!I216</f>
        <v>192.303841577992</v>
      </c>
      <c r="J217" s="6" t="n">
        <f aca="false">Sens!I217+Sens!J213-Sens!J214-Sens!J215+Sens!J216</f>
        <v>367.467934084256</v>
      </c>
      <c r="K217" s="6" t="n">
        <f aca="false">Sens!J217+Sens!K213-Sens!K214-Sens!K215+Sens!K216</f>
        <v>574.346162577167</v>
      </c>
    </row>
    <row r="218" customFormat="false" ht="15" hidden="false" customHeight="false" outlineLevel="0" collapsed="false">
      <c r="A218" s="1" t="s">
        <v>973</v>
      </c>
      <c r="B218" s="0" t="s">
        <v>98</v>
      </c>
      <c r="E218" s="6" t="n">
        <f aca="false">debt_face</f>
        <v>46.136</v>
      </c>
      <c r="F218" s="6" t="n">
        <f aca="false">Sens!E218-Sens!F214+Sens!F216</f>
        <v>42.8235609574583</v>
      </c>
      <c r="G218" s="6" t="n">
        <f aca="false">Sens!F218-Sens!G214+Sens!G216</f>
        <v>42.8235609574583</v>
      </c>
      <c r="H218" s="6" t="n">
        <f aca="false">Sens!G218-Sens!H214+Sens!H216</f>
        <v>40.8225609574583</v>
      </c>
      <c r="I218" s="6" t="n">
        <f aca="false">Sens!H218-Sens!I214+Sens!I216</f>
        <v>40.8225609574583</v>
      </c>
      <c r="J218" s="6" t="n">
        <f aca="false">Sens!I218-Sens!J214+Sens!J216</f>
        <v>40.3225609574583</v>
      </c>
      <c r="K218" s="6" t="n">
        <f aca="false">Sens!J218-Sens!K214+Sens!K216</f>
        <v>40.3225609574583</v>
      </c>
    </row>
    <row r="219" customFormat="false" ht="15" hidden="false" customHeight="false" outlineLevel="0" collapsed="false">
      <c r="A219" s="1" t="s">
        <v>974</v>
      </c>
      <c r="B219" s="0" t="s">
        <v>98</v>
      </c>
      <c r="E219" s="6" t="n">
        <f aca="false">Sens!E217-Sens!E218</f>
        <v>30.707</v>
      </c>
      <c r="F219" s="6" t="n">
        <f aca="false">Sens!F217-Sens!F218</f>
        <v>7.17643904254167</v>
      </c>
      <c r="G219" s="6" t="n">
        <f aca="false">Sens!G217-Sens!G218</f>
        <v>7.17643904254167</v>
      </c>
      <c r="H219" s="6" t="n">
        <f aca="false">Sens!H217-Sens!H218</f>
        <v>45.6268319877705</v>
      </c>
      <c r="I219" s="6" t="n">
        <f aca="false">Sens!I217-Sens!I218</f>
        <v>151.481280620533</v>
      </c>
      <c r="J219" s="6" t="n">
        <f aca="false">Sens!J217-Sens!J218</f>
        <v>327.145373126797</v>
      </c>
      <c r="K219" s="6" t="n">
        <f aca="false">Sens!K217-Sens!K218</f>
        <v>534.023601619709</v>
      </c>
    </row>
    <row r="220" customFormat="false" ht="15" hidden="false" customHeight="false" outlineLevel="0" collapsed="false">
      <c r="A220" s="1" t="s">
        <v>975</v>
      </c>
      <c r="B220" s="0" t="s">
        <v>75</v>
      </c>
      <c r="F220" s="29" t="n">
        <f aca="false">px*(1+bb_g)^(Sens!F82-base_fy-mid_yr)</f>
        <v>553.494156066711</v>
      </c>
      <c r="G220" s="29" t="n">
        <f aca="false">px*(1+bb_g)^(Sens!G82-base_fy-mid_yr)</f>
        <v>597.773688552047</v>
      </c>
      <c r="H220" s="29" t="n">
        <f aca="false">px*(1+bb_g)^(Sens!H82-base_fy-mid_yr)</f>
        <v>645.595583636211</v>
      </c>
      <c r="I220" s="29" t="n">
        <f aca="false">px*(1+bb_g)^(Sens!I82-base_fy-mid_yr)</f>
        <v>697.243230327108</v>
      </c>
      <c r="J220" s="29" t="n">
        <f aca="false">px*(1+bb_g)^(Sens!J82-base_fy-mid_yr)</f>
        <v>753.022688753277</v>
      </c>
      <c r="K220" s="29" t="n">
        <f aca="false">px*(1+bb_g)^(Sens!K82-base_fy-mid_yr)</f>
        <v>813.264503853539</v>
      </c>
    </row>
    <row r="221" customFormat="false" ht="15" hidden="false" customHeight="false" outlineLevel="0" collapsed="false">
      <c r="A221" s="1" t="s">
        <v>976</v>
      </c>
      <c r="B221" s="1" t="s">
        <v>81</v>
      </c>
      <c r="E221" s="14" t="n">
        <f aca="false">sh_out26</f>
        <v>7.427</v>
      </c>
      <c r="F221" s="14" t="n">
        <f aca="false">Sens!E221+sh_iss-Sens!F215/Sens!F220</f>
        <v>7.472</v>
      </c>
      <c r="G221" s="14" t="n">
        <f aca="false">Sens!F221+sh_iss-Sens!G215/Sens!G220</f>
        <v>7.49637559247265</v>
      </c>
      <c r="H221" s="14" t="n">
        <f aca="false">Sens!G221+sh_iss-Sens!H215/Sens!H220</f>
        <v>7.50687876417256</v>
      </c>
      <c r="I221" s="14" t="n">
        <f aca="false">Sens!H221+sh_iss-Sens!I215/Sens!I220</f>
        <v>7.51993725648728</v>
      </c>
      <c r="J221" s="14" t="n">
        <f aca="false">Sens!I221+sh_iss-Sens!J215/Sens!J220</f>
        <v>7.53536178640832</v>
      </c>
      <c r="K221" s="14" t="n">
        <f aca="false">Sens!J221+sh_iss-Sens!K215/Sens!K220</f>
        <v>7.55297709189077</v>
      </c>
    </row>
    <row r="222" customFormat="false" ht="15" hidden="false" customHeight="false" outlineLevel="0" collapsed="false">
      <c r="A222" s="1" t="s">
        <v>977</v>
      </c>
      <c r="B222" s="1" t="s">
        <v>81</v>
      </c>
      <c r="E222" s="14" t="n">
        <f aca="false">sh_dil26</f>
        <v>7.453</v>
      </c>
      <c r="F222" s="14" t="n">
        <f aca="false">(Sens!E221+Sens!F221)/2+dil_gap</f>
        <v>7.4735</v>
      </c>
      <c r="G222" s="14" t="n">
        <f aca="false">(Sens!F221+Sens!G221)/2+dil_gap</f>
        <v>7.50818779623633</v>
      </c>
      <c r="H222" s="14" t="n">
        <f aca="false">(Sens!G221+Sens!H221)/2+dil_gap</f>
        <v>7.5256271783226</v>
      </c>
      <c r="I222" s="14" t="n">
        <f aca="false">(Sens!H221+Sens!I221)/2+dil_gap</f>
        <v>7.53740801032992</v>
      </c>
      <c r="J222" s="14" t="n">
        <f aca="false">(Sens!I221+Sens!J221)/2+dil_gap</f>
        <v>7.5516495214478</v>
      </c>
      <c r="K222" s="14" t="n">
        <f aca="false">(Sens!J221+Sens!K221)/2+dil_gap</f>
        <v>7.56816943914954</v>
      </c>
    </row>
    <row r="223" customFormat="false" ht="17.15" hidden="false" customHeight="false" outlineLevel="0" collapsed="false">
      <c r="A223" s="1" t="s">
        <v>978</v>
      </c>
      <c r="B223" s="0" t="s">
        <v>98</v>
      </c>
      <c r="C223" s="6" t="n">
        <f aca="false">SUM(Sens!F213:J213)</f>
        <v>375.58010128862</v>
      </c>
    </row>
    <row r="224" customFormat="false" ht="15" hidden="false" customHeight="false" outlineLevel="0" collapsed="false">
      <c r="A224" s="23" t="s">
        <v>945</v>
      </c>
      <c r="B224" s="30" t="s">
        <v>98</v>
      </c>
      <c r="C224" s="24" t="n">
        <f aca="false">Sens!$C$223-(Sens!F213+Sens!G213+Sens!H213+Sens!I213+Sens!J213)</f>
        <v>0</v>
      </c>
      <c r="D224" s="30"/>
      <c r="E224" s="30"/>
      <c r="F224" s="30"/>
      <c r="G224" s="30"/>
      <c r="H224" s="30"/>
      <c r="I224" s="30"/>
      <c r="J224" s="30"/>
      <c r="K224" s="30"/>
    </row>
    <row r="225" customFormat="false" ht="17.15" hidden="false" customHeight="false" outlineLevel="0" collapsed="false">
      <c r="A225" s="1" t="s">
        <v>939</v>
      </c>
      <c r="B225" s="1" t="s">
        <v>979</v>
      </c>
      <c r="C225" s="32" t="str">
        <f aca="false">IF(SUM(Sens!F216:J216)&gt;0.05,"需要舉債 "&amp;TEXT(SUM(Sens!F216:J216),"0.0")&amp;" 十億美元","不需舉債")&amp;"；"&amp;IF(SUM(Sens!F215:J215)&lt;COUNT(Sens!F215:J215)*bb_target-0.05,"回購較每年 "&amp;TEXT(bb_target,"0.0")&amp;" 的目標少 "&amp;TEXT(COUNT(Sens!F215:J215)*bb_target-SUM(Sens!F215:J215),"0.0")&amp;" 十億美元（"&amp;TEXT(COUNTIF(Sens!F215:J215,"&lt;"&amp;(bb_target-0.05)),"0")&amp;" 年減少）","回購不減")</f>
        <v>需要舉債 5.9 十億美元；回購較每年 22.3 的目標少 32.2 十億美元（2 年減少）</v>
      </c>
    </row>
    <row r="226" customFormat="false" ht="17.15" hidden="false" customHeight="false" outlineLevel="0" collapsed="false">
      <c r="A226" s="3" t="s">
        <v>1266</v>
      </c>
    </row>
    <row r="227" customFormat="false" ht="15" hidden="false" customHeight="false" outlineLevel="0" collapsed="false">
      <c r="A227" s="4" t="s">
        <v>43</v>
      </c>
      <c r="B227" s="4" t="s">
        <v>65</v>
      </c>
      <c r="C227" s="20" t="s">
        <v>799</v>
      </c>
      <c r="D227" s="20" t="s">
        <v>800</v>
      </c>
      <c r="E227" s="20" t="s">
        <v>801</v>
      </c>
      <c r="F227" s="20" t="s">
        <v>802</v>
      </c>
      <c r="G227" s="20" t="s">
        <v>803</v>
      </c>
      <c r="H227" s="20" t="s">
        <v>804</v>
      </c>
      <c r="I227" s="20" t="s">
        <v>805</v>
      </c>
      <c r="J227" s="20" t="s">
        <v>806</v>
      </c>
      <c r="K227" s="20" t="s">
        <v>807</v>
      </c>
      <c r="L227" s="4" t="s">
        <v>47</v>
      </c>
    </row>
    <row r="228" customFormat="false" ht="15" hidden="false" customHeight="false" outlineLevel="0" collapsed="false">
      <c r="A228" s="1" t="s">
        <v>1057</v>
      </c>
      <c r="B228" s="1" t="s">
        <v>235</v>
      </c>
      <c r="F228" s="36" t="n">
        <f aca="false">Sens!F82-base_fy-mid_yr</f>
        <v>0.5</v>
      </c>
      <c r="G228" s="36" t="n">
        <f aca="false">Sens!G82-base_fy-mid_yr</f>
        <v>1.5</v>
      </c>
      <c r="H228" s="36" t="n">
        <f aca="false">Sens!H82-base_fy-mid_yr</f>
        <v>2.5</v>
      </c>
      <c r="I228" s="36" t="n">
        <f aca="false">Sens!I82-base_fy-mid_yr</f>
        <v>3.5</v>
      </c>
      <c r="J228" s="36" t="n">
        <f aca="false">Sens!J82-base_fy-mid_yr</f>
        <v>4.5</v>
      </c>
      <c r="K228" s="36" t="n">
        <f aca="false">Sens!K82-base_fy-mid_yr</f>
        <v>5.5</v>
      </c>
    </row>
    <row r="229" customFormat="false" ht="15" hidden="false" customHeight="false" outlineLevel="0" collapsed="false">
      <c r="A229" s="1" t="s">
        <v>1058</v>
      </c>
      <c r="B229" s="0" t="s">
        <v>185</v>
      </c>
      <c r="F229" s="14" t="n">
        <f aca="false">1/(1+wacc)^Sens!F228</f>
        <v>0.952193373608246</v>
      </c>
      <c r="G229" s="14" t="n">
        <f aca="false">1/(1+wacc)^Sens!G228</f>
        <v>0.863327280626589</v>
      </c>
      <c r="H229" s="14" t="n">
        <f aca="false">1/(1+wacc)^Sens!H228</f>
        <v>0.782754862754115</v>
      </c>
      <c r="I229" s="14" t="n">
        <f aca="false">1/(1+wacc)^Sens!I228</f>
        <v>0.709702089711011</v>
      </c>
      <c r="J229" s="14" t="n">
        <f aca="false">1/(1+wacc)^Sens!J228</f>
        <v>0.643467169744551</v>
      </c>
      <c r="K229" s="14" t="n">
        <f aca="false">1/(1+wacc)^Sens!K228</f>
        <v>0.583413807767797</v>
      </c>
    </row>
    <row r="230" customFormat="false" ht="17.15" hidden="false" customHeight="false" outlineLevel="0" collapsed="false">
      <c r="A230" s="1" t="s">
        <v>1059</v>
      </c>
      <c r="B230" s="0" t="s">
        <v>98</v>
      </c>
      <c r="F230" s="6" t="n">
        <f aca="false">Sens!F203-Sens!F201-Sens!F207+Sens!F186*(1-tax_f)</f>
        <v>-5.93642008285505</v>
      </c>
      <c r="G230" s="6" t="n">
        <f aca="false">Sens!G203-Sens!G201-Sens!G207+Sens!G186*(1-tax_f)</f>
        <v>29.5022876524027</v>
      </c>
      <c r="H230" s="6" t="n">
        <f aca="false">Sens!H203-Sens!H201-Sens!H207+Sens!H186*(1-tax_f)</f>
        <v>76.5663557759928</v>
      </c>
      <c r="I230" s="6" t="n">
        <f aca="false">Sens!I203-Sens!I201-Sens!I207+Sens!I186*(1-tax_f)</f>
        <v>143.806069886157</v>
      </c>
      <c r="J230" s="6" t="n">
        <f aca="false">Sens!J203-Sens!J201-Sens!J207+Sens!J186*(1-tax_f)</f>
        <v>214.329517532093</v>
      </c>
      <c r="K230" s="6" t="n">
        <f aca="false">Sens!K203-Sens!K201-Sens!K207+Sens!K186*(1-tax_f)</f>
        <v>247.012334385738</v>
      </c>
      <c r="L230" s="1" t="s">
        <v>1060</v>
      </c>
    </row>
    <row r="231" customFormat="false" ht="15" hidden="false" customHeight="false" outlineLevel="0" collapsed="false">
      <c r="A231" s="1" t="s">
        <v>1061</v>
      </c>
      <c r="B231" s="0" t="s">
        <v>98</v>
      </c>
      <c r="F231" s="6" t="n">
        <f aca="false">Sens!F230*Sens!F229</f>
        <v>-5.6526198658495</v>
      </c>
      <c r="G231" s="6" t="n">
        <f aca="false">Sens!G230*Sens!G229</f>
        <v>25.4701297712122</v>
      </c>
      <c r="H231" s="6" t="n">
        <f aca="false">Sens!H230*Sens!H229</f>
        <v>59.93268730702</v>
      </c>
      <c r="I231" s="6" t="n">
        <f aca="false">Sens!I230*Sens!I229</f>
        <v>102.059468311333</v>
      </c>
      <c r="J231" s="6" t="n">
        <f aca="false">Sens!J230*Sens!J229</f>
        <v>137.914008039091</v>
      </c>
      <c r="K231" s="6" t="n">
        <f aca="false">Sens!K230*Sens!K229</f>
        <v>144.110406569596</v>
      </c>
    </row>
    <row r="232" customFormat="false" ht="17.15" hidden="false" customHeight="false" outlineLevel="0" collapsed="false">
      <c r="A232" s="1" t="s">
        <v>1062</v>
      </c>
      <c r="B232" s="0" t="s">
        <v>98</v>
      </c>
      <c r="C232" s="6" t="n">
        <f aca="false">SUM(Sens!F231:K231)</f>
        <v>463.834080132403</v>
      </c>
    </row>
    <row r="233" customFormat="false" ht="17.15" hidden="false" customHeight="false" outlineLevel="0" collapsed="false">
      <c r="A233" s="1" t="s">
        <v>1063</v>
      </c>
      <c r="B233" s="0" t="s">
        <v>98</v>
      </c>
      <c r="C233" s="6" t="n">
        <f aca="false">Sens!K172*(1+g_tv)*(1-tax_f)</f>
        <v>263.516996582066</v>
      </c>
    </row>
    <row r="234" customFormat="false" ht="17.15" hidden="false" customHeight="false" outlineLevel="0" collapsed="false">
      <c r="A234" s="1" t="s">
        <v>1064</v>
      </c>
      <c r="B234" s="0" t="s">
        <v>98</v>
      </c>
      <c r="C234" s="6" t="n">
        <f aca="false">Sens!$C$233*(1-g_tv/(wacc+ronic_prem))</f>
        <v>186.715573983784</v>
      </c>
    </row>
    <row r="235" customFormat="false" ht="17.15" hidden="false" customHeight="false" outlineLevel="0" collapsed="false">
      <c r="A235" s="1" t="s">
        <v>1065</v>
      </c>
      <c r="B235" s="0" t="s">
        <v>98</v>
      </c>
      <c r="C235" s="6" t="n">
        <f aca="false">Sens!$C$234/(wacc-g_tv)</f>
        <v>2560.04741994271</v>
      </c>
    </row>
    <row r="236" customFormat="false" ht="15" hidden="false" customHeight="false" outlineLevel="0" collapsed="false">
      <c r="A236" s="1" t="s">
        <v>1066</v>
      </c>
      <c r="B236" s="0" t="s">
        <v>98</v>
      </c>
      <c r="C236" s="6" t="n">
        <f aca="false">Sens!$C$235/(1+wacc)^(Sens!K228+mid_yr)</f>
        <v>1422.16461313735</v>
      </c>
    </row>
    <row r="237" customFormat="false" ht="17.15" hidden="false" customHeight="false" outlineLevel="0" collapsed="false">
      <c r="A237" s="0" t="s">
        <v>986</v>
      </c>
      <c r="B237" s="0" t="s">
        <v>98</v>
      </c>
      <c r="C237" s="6" t="n">
        <f aca="false">Sens!$C$232+Sens!$C$236</f>
        <v>1885.99869326975</v>
      </c>
    </row>
    <row r="238" customFormat="false" ht="15" hidden="false" customHeight="false" outlineLevel="0" collapsed="false">
      <c r="A238" s="1" t="s">
        <v>987</v>
      </c>
      <c r="B238" s="0" t="s">
        <v>129</v>
      </c>
      <c r="C238" s="7" t="n">
        <f aca="false">Sens!$C$236/Sens!$C$237</f>
        <v>0.754064474282189</v>
      </c>
    </row>
    <row r="239" customFormat="false" ht="17.15" hidden="false" customHeight="false" outlineLevel="0" collapsed="false">
      <c r="A239" s="1" t="s">
        <v>1067</v>
      </c>
      <c r="B239" s="0" t="s">
        <v>98</v>
      </c>
      <c r="C239" s="6" t="n">
        <f aca="false">Sens!$C$237+Sens!E219-Sens!E208+oai_v</f>
        <v>2020.51169326975</v>
      </c>
    </row>
    <row r="240" customFormat="false" ht="17.15" hidden="false" customHeight="false" outlineLevel="0" collapsed="false">
      <c r="A240" s="0" t="s">
        <v>994</v>
      </c>
      <c r="B240" s="0" t="s">
        <v>75</v>
      </c>
      <c r="C240" s="5" t="n">
        <f aca="false">Sens!$C$239/sh_dil26</f>
        <v>271.100455289112</v>
      </c>
    </row>
    <row r="241" customFormat="false" ht="15" hidden="false" customHeight="false" outlineLevel="0" collapsed="false">
      <c r="A241" s="1" t="s">
        <v>1068</v>
      </c>
      <c r="B241" s="0" t="s">
        <v>75</v>
      </c>
      <c r="C241" s="8" t="n">
        <f aca="false">dps_27+Sens!G211*roll_div_q/q_per_yr</f>
        <v>4.8895</v>
      </c>
    </row>
    <row r="242" customFormat="false" ht="17.15" hidden="false" customHeight="false" outlineLevel="0" collapsed="false">
      <c r="A242" s="0" t="s">
        <v>1069</v>
      </c>
      <c r="B242" s="0" t="s">
        <v>75</v>
      </c>
      <c r="C242" s="5" t="n">
        <f aca="false">Sens!$C$240*(1+wacc)^t_roll-Sens!$C$241</f>
        <v>303.821640353343</v>
      </c>
    </row>
    <row r="243" customFormat="false" ht="17.15" hidden="false" customHeight="false" outlineLevel="0" collapsed="false">
      <c r="A243" s="1" t="s">
        <v>1070</v>
      </c>
      <c r="B243" s="0" t="s">
        <v>129</v>
      </c>
      <c r="F243" s="7" t="n">
        <f aca="false">Sens!F198/(Sens!F143-Sens!F99)</f>
        <v>0.0705303854989974</v>
      </c>
      <c r="G243" s="7" t="n">
        <f aca="false">Sens!G198/(Sens!G143-Sens!G99)</f>
        <v>0.0669153011130541</v>
      </c>
      <c r="H243" s="7" t="n">
        <f aca="false">Sens!H198/(Sens!H143-Sens!H99)</f>
        <v>0.0648963302688647</v>
      </c>
      <c r="I243" s="7" t="n">
        <f aca="false">Sens!I198/(Sens!I143-Sens!I99)</f>
        <v>0.0643411219550834</v>
      </c>
      <c r="J243" s="7" t="n">
        <f aca="false">Sens!J198/(Sens!J143-Sens!J99)</f>
        <v>0.0648740961982593</v>
      </c>
      <c r="K243" s="7" t="n">
        <f aca="false">Sens!K198/(Sens!K143-Sens!K99)</f>
        <v>0.0660244723636577</v>
      </c>
    </row>
    <row r="244" customFormat="false" ht="17.15" hidden="false" customHeight="false" outlineLevel="0" collapsed="false">
      <c r="A244" s="0" t="s">
        <v>1071</v>
      </c>
      <c r="B244" s="0" t="s">
        <v>98</v>
      </c>
      <c r="F244" s="6" t="n">
        <f aca="false">Sens!F128*(al_m365+Sens!F243+sbc_r)</f>
        <v>85.2273329859862</v>
      </c>
      <c r="G244" s="6" t="n">
        <f aca="false">Sens!G128*(al_m365+Sens!G243+sbc_r)</f>
        <v>99.6892587904979</v>
      </c>
      <c r="H244" s="6" t="n">
        <f aca="false">Sens!H128*(al_m365+Sens!H243+sbc_r)</f>
        <v>114.315107566414</v>
      </c>
      <c r="I244" s="6" t="n">
        <f aca="false">Sens!I128*(al_m365+Sens!I243+sbc_r)</f>
        <v>127.42181750834</v>
      </c>
      <c r="J244" s="6" t="n">
        <f aca="false">Sens!J128*(al_m365+Sens!J243+sbc_r)</f>
        <v>138.823999012523</v>
      </c>
      <c r="K244" s="6" t="n">
        <f aca="false">Sens!K128*(al_m365+Sens!K243+sbc_r)</f>
        <v>149.845393216552</v>
      </c>
      <c r="L244" s="11" t="s">
        <v>1072</v>
      </c>
    </row>
    <row r="245" customFormat="false" ht="17.15" hidden="false" customHeight="false" outlineLevel="0" collapsed="false">
      <c r="A245" s="0" t="s">
        <v>1073</v>
      </c>
      <c r="B245" s="0" t="s">
        <v>98</v>
      </c>
      <c r="F245" s="6" t="n">
        <f aca="false">Sens!F129*(al_lic+Sens!F243+sbc_r)</f>
        <v>33.5204472060294</v>
      </c>
      <c r="G245" s="6" t="n">
        <f aca="false">Sens!G129*(al_lic+Sens!G243+sbc_r)</f>
        <v>34.7926166862242</v>
      </c>
      <c r="H245" s="6" t="n">
        <f aca="false">Sens!H129*(al_lic+Sens!H243+sbc_r)</f>
        <v>35.9862829687409</v>
      </c>
      <c r="I245" s="6" t="n">
        <f aca="false">Sens!I129*(al_lic+Sens!I243+sbc_r)</f>
        <v>37.0838788899664</v>
      </c>
      <c r="J245" s="6" t="n">
        <f aca="false">Sens!J129*(al_lic+Sens!J243+sbc_r)</f>
        <v>38.0565090086839</v>
      </c>
      <c r="K245" s="6" t="n">
        <f aca="false">Sens!K129*(al_lic+Sens!K243+sbc_r)</f>
        <v>38.8700352425884</v>
      </c>
    </row>
    <row r="246" customFormat="false" ht="17.15" hidden="false" customHeight="false" outlineLevel="0" collapsed="false">
      <c r="A246" s="0" t="s">
        <v>1074</v>
      </c>
      <c r="B246" s="0" t="s">
        <v>98</v>
      </c>
      <c r="F246" s="6" t="n">
        <f aca="false">Sens!F131*(al_ind+Sens!F243+sbc_r)</f>
        <v>9.11980018094294</v>
      </c>
      <c r="G246" s="6" t="n">
        <f aca="false">Sens!G131*(al_ind+Sens!G243+sbc_r)</f>
        <v>9.88072195697034</v>
      </c>
      <c r="H246" s="6" t="n">
        <f aca="false">Sens!H131*(al_ind+Sens!H243+sbc_r)</f>
        <v>10.6900815637922</v>
      </c>
      <c r="I246" s="6" t="n">
        <f aca="false">Sens!I131*(al_ind+Sens!I243+sbc_r)</f>
        <v>11.5460282347577</v>
      </c>
      <c r="J246" s="6" t="n">
        <f aca="false">Sens!J131*(al_ind+Sens!J243+sbc_r)</f>
        <v>12.4374767512513</v>
      </c>
      <c r="K246" s="6" t="n">
        <f aca="false">Sens!K131*(al_ind+Sens!K243+sbc_r)</f>
        <v>13.3461587114563</v>
      </c>
    </row>
    <row r="247" customFormat="false" ht="17.15" hidden="false" customHeight="false" outlineLevel="0" collapsed="false">
      <c r="A247" s="0" t="s">
        <v>1075</v>
      </c>
      <c r="B247" s="0" t="s">
        <v>98</v>
      </c>
      <c r="F247" s="6" t="n">
        <f aca="false">Sens!F133*(al_fro+Sens!F243+sbc_r)</f>
        <v>3.58958536902212</v>
      </c>
      <c r="G247" s="6" t="n">
        <f aca="false">Sens!G133*(al_fro+Sens!G243+sbc_r)</f>
        <v>3.79361306665995</v>
      </c>
      <c r="H247" s="6" t="n">
        <f aca="false">Sens!H133*(al_fro+Sens!H243+sbc_r)</f>
        <v>4.02838862857902</v>
      </c>
      <c r="I247" s="6" t="n">
        <f aca="false">Sens!I133*(al_fro+Sens!I243+sbc_r)</f>
        <v>4.29696179134221</v>
      </c>
      <c r="J247" s="6" t="n">
        <f aca="false">Sens!J133*(al_fro+Sens!J243+sbc_r)</f>
        <v>4.59985687395741</v>
      </c>
      <c r="K247" s="6" t="n">
        <f aca="false">Sens!K133*(al_fro+Sens!K243+sbc_r)</f>
        <v>4.93592238342414</v>
      </c>
    </row>
    <row r="248" customFormat="false" ht="17.15" hidden="false" customHeight="false" outlineLevel="0" collapsed="false">
      <c r="A248" s="0" t="s">
        <v>1076</v>
      </c>
      <c r="B248" s="0" t="s">
        <v>98</v>
      </c>
      <c r="F248" s="6" t="n">
        <f aca="false">Sens!F136*(al_srch+Sens!F243+sbc_r)</f>
        <v>11.2630849868114</v>
      </c>
      <c r="G248" s="6" t="n">
        <f aca="false">Sens!G136*(al_srch+Sens!G243+sbc_r)</f>
        <v>12.3179728600437</v>
      </c>
      <c r="H248" s="6" t="n">
        <f aca="false">Sens!H136*(al_srch+Sens!H243+sbc_r)</f>
        <v>13.4217853035424</v>
      </c>
      <c r="I248" s="6" t="n">
        <f aca="false">Sens!I136*(al_srch+Sens!I243+sbc_r)</f>
        <v>14.565578354966</v>
      </c>
      <c r="J248" s="6" t="n">
        <f aca="false">Sens!J136*(al_srch+Sens!J243+sbc_r)</f>
        <v>15.7277683722803</v>
      </c>
      <c r="K248" s="6" t="n">
        <f aca="false">Sens!K136*(al_srch+Sens!K243+sbc_r)</f>
        <v>16.87683901418</v>
      </c>
    </row>
    <row r="249" customFormat="false" ht="17.15" hidden="false" customHeight="false" outlineLevel="0" collapsed="false">
      <c r="A249" s="0" t="s">
        <v>1077</v>
      </c>
      <c r="B249" s="0" t="s">
        <v>98</v>
      </c>
      <c r="F249" s="6" t="n">
        <f aca="false">Sens!F105-Sens!F106+Sens!F186</f>
        <v>36.5949228542273</v>
      </c>
      <c r="G249" s="6" t="n">
        <f aca="false">Sens!G105-Sens!G106+Sens!G186</f>
        <v>67.6866712057401</v>
      </c>
      <c r="H249" s="6" t="n">
        <f aca="false">Sens!H105-Sens!H106+Sens!H186</f>
        <v>104.906193759209</v>
      </c>
      <c r="I249" s="6" t="n">
        <f aca="false">Sens!I105-Sens!I106+Sens!I186</f>
        <v>132.789481003768</v>
      </c>
      <c r="J249" s="6" t="n">
        <f aca="false">Sens!J105-Sens!J106+Sens!J186</f>
        <v>152.690048085336</v>
      </c>
      <c r="K249" s="6" t="n">
        <f aca="false">Sens!K105-Sens!K106+Sens!K186</f>
        <v>166.275502542537</v>
      </c>
    </row>
    <row r="250" customFormat="false" ht="17.15" hidden="false" customHeight="false" outlineLevel="0" collapsed="false">
      <c r="A250" s="0" t="s">
        <v>1078</v>
      </c>
      <c r="B250" s="0" t="s">
        <v>98</v>
      </c>
      <c r="F250" s="6" t="n">
        <f aca="false">Sens!F165+Sens!F186+Sens!F116+Sens!F243*(Sens!F135-Sens!F99)+sbc_r*Sens!F135</f>
        <v>228.536647434919</v>
      </c>
      <c r="G250" s="6" t="n">
        <f aca="false">Sens!G165+Sens!G186+Sens!G116+Sens!G243*(Sens!G135-Sens!G99)+sbc_r*Sens!G135</f>
        <v>288.933250612606</v>
      </c>
      <c r="H250" s="6" t="n">
        <f aca="false">Sens!H165+Sens!H186+Sens!H116+Sens!H243*(Sens!H135-Sens!H99)+sbc_r*Sens!H135</f>
        <v>356.157075927655</v>
      </c>
      <c r="I250" s="6" t="n">
        <f aca="false">Sens!I165+Sens!I186+Sens!I116+Sens!I243*(Sens!I135-Sens!I99)+sbc_r*Sens!I135</f>
        <v>411.969408341309</v>
      </c>
      <c r="J250" s="6" t="n">
        <f aca="false">Sens!J165+Sens!J186+Sens!J116+Sens!J243*(Sens!J135-Sens!J99)+sbc_r*Sens!J135</f>
        <v>456.843762917055</v>
      </c>
      <c r="K250" s="6" t="n">
        <f aca="false">Sens!K165+Sens!K186+Sens!K116+Sens!K243*(Sens!K135-Sens!K99)+sbc_r*Sens!K135</f>
        <v>493.005829507865</v>
      </c>
    </row>
    <row r="251" customFormat="false" ht="17.15" hidden="false" customHeight="false" outlineLevel="0" collapsed="false">
      <c r="A251" s="0" t="s">
        <v>1079</v>
      </c>
      <c r="B251" s="0" t="s">
        <v>98</v>
      </c>
      <c r="F251" s="6" t="n">
        <f aca="false">Sens!F250-Sens!F244-Sens!F245-Sens!F246-Sens!F247-Sens!F249</f>
        <v>60.4845588387112</v>
      </c>
      <c r="G251" s="6" t="n">
        <f aca="false">Sens!G250-Sens!G244-Sens!G245-Sens!G246-Sens!G247-Sens!G249</f>
        <v>73.090368906513</v>
      </c>
      <c r="H251" s="6" t="n">
        <f aca="false">Sens!H250-Sens!H244-Sens!H245-Sens!H246-Sens!H247-Sens!H249</f>
        <v>86.2310214409199</v>
      </c>
      <c r="I251" s="6" t="n">
        <f aca="false">Sens!I250-Sens!I244-Sens!I245-Sens!I246-Sens!I247-Sens!I249</f>
        <v>98.8312409131349</v>
      </c>
      <c r="J251" s="6" t="n">
        <f aca="false">Sens!J250-Sens!J244-Sens!J245-Sens!J246-Sens!J247-Sens!J249</f>
        <v>110.235873185303</v>
      </c>
      <c r="K251" s="6" t="n">
        <f aca="false">Sens!K250-Sens!K244-Sens!K245-Sens!K246-Sens!K247-Sens!K249</f>
        <v>119.732817411307</v>
      </c>
    </row>
    <row r="252" customFormat="false" ht="17.15" hidden="false" customHeight="false" outlineLevel="0" collapsed="false">
      <c r="A252" s="0" t="s">
        <v>1080</v>
      </c>
      <c r="B252" s="0" t="s">
        <v>98</v>
      </c>
      <c r="F252" s="6" t="n">
        <f aca="false">Sens!F167+Sens!F243*Sens!F142+sbc_r*Sens!F142</f>
        <v>26.3250729833002</v>
      </c>
      <c r="G252" s="6" t="n">
        <f aca="false">Sens!G167+Sens!G243*Sens!G142+sbc_r*Sens!G142</f>
        <v>26.8840979798844</v>
      </c>
      <c r="H252" s="6" t="n">
        <f aca="false">Sens!H167+Sens!H243*Sens!H142+sbc_r*Sens!H142</f>
        <v>27.7254420104725</v>
      </c>
      <c r="I252" s="6" t="n">
        <f aca="false">Sens!I167+Sens!I243*Sens!I142+sbc_r*Sens!I142</f>
        <v>28.8195303030026</v>
      </c>
      <c r="J252" s="6" t="n">
        <f aca="false">Sens!J167+Sens!J243*Sens!J142+sbc_r*Sens!J142</f>
        <v>30.1256822206383</v>
      </c>
      <c r="K252" s="6" t="n">
        <f aca="false">Sens!K167+Sens!K243*Sens!K142+sbc_r*Sens!K142</f>
        <v>31.5981329181227</v>
      </c>
    </row>
    <row r="253" customFormat="false" ht="17.15" hidden="false" customHeight="false" outlineLevel="0" collapsed="false">
      <c r="A253" s="0" t="s">
        <v>1081</v>
      </c>
      <c r="B253" s="0" t="s">
        <v>98</v>
      </c>
      <c r="F253" s="6" t="n">
        <f aca="false">(Sens!F252-Sens!F248)*Sens!F138/(Sens!F138+Sens!F140)</f>
        <v>8.25683511803782</v>
      </c>
      <c r="G253" s="6" t="n">
        <f aca="false">(Sens!G252-Sens!G248)*Sens!G138/(Sens!G138+Sens!G140)</f>
        <v>7.84263572934781</v>
      </c>
      <c r="H253" s="6" t="n">
        <f aca="false">(Sens!H252-Sens!H248)*Sens!H138/(Sens!H138+Sens!H140)</f>
        <v>7.59728657715786</v>
      </c>
      <c r="I253" s="6" t="n">
        <f aca="false">(Sens!I252-Sens!I248)*Sens!I138/(Sens!I138+Sens!I140)</f>
        <v>7.50238476920254</v>
      </c>
      <c r="J253" s="6" t="n">
        <f aca="false">(Sens!J252-Sens!J248)*Sens!J138/(Sens!J138+Sens!J140)</f>
        <v>7.54388912124533</v>
      </c>
      <c r="K253" s="6" t="n">
        <f aca="false">(Sens!K252-Sens!K248)*Sens!K138/(Sens!K138+Sens!K140)</f>
        <v>7.71332639591206</v>
      </c>
    </row>
    <row r="254" customFormat="false" ht="17.15" hidden="false" customHeight="false" outlineLevel="0" collapsed="false">
      <c r="A254" s="0" t="s">
        <v>1082</v>
      </c>
      <c r="B254" s="0" t="s">
        <v>98</v>
      </c>
      <c r="F254" s="6" t="n">
        <f aca="false">Sens!F252-Sens!F248-Sens!F253</f>
        <v>6.80515287845105</v>
      </c>
      <c r="G254" s="6" t="n">
        <f aca="false">Sens!G252-Sens!G248-Sens!G253</f>
        <v>6.72348939049287</v>
      </c>
      <c r="H254" s="6" t="n">
        <f aca="false">Sens!H252-Sens!H248-Sens!H253</f>
        <v>6.70637012977225</v>
      </c>
      <c r="I254" s="6" t="n">
        <f aca="false">Sens!I252-Sens!I248-Sens!I253</f>
        <v>6.75156717883416</v>
      </c>
      <c r="J254" s="6" t="n">
        <f aca="false">Sens!J252-Sens!J248-Sens!J253</f>
        <v>6.85402472711273</v>
      </c>
      <c r="K254" s="6" t="n">
        <f aca="false">Sens!K252-Sens!K248-Sens!K253</f>
        <v>7.00796750803058</v>
      </c>
    </row>
    <row r="255" customFormat="false" ht="17.15" hidden="false" customHeight="false" outlineLevel="0" collapsed="false">
      <c r="A255" s="0" t="s">
        <v>1083</v>
      </c>
      <c r="B255" s="0" t="s">
        <v>98</v>
      </c>
      <c r="F255" s="6" t="n">
        <f aca="false">Sens!F249-tax_f*(Sens!F249-Sens!F116)-Sens!F113</f>
        <v>-124.246960111894</v>
      </c>
      <c r="G255" s="6" t="n">
        <f aca="false">Sens!G249-tax_f*(Sens!G249-Sens!G116)-Sens!G113</f>
        <v>-117.599756096506</v>
      </c>
      <c r="H255" s="6" t="n">
        <f aca="false">Sens!H249-tax_f*(Sens!H249-Sens!H116)-Sens!H113</f>
        <v>-86.8831269343706</v>
      </c>
      <c r="I255" s="6" t="n">
        <f aca="false">Sens!I249-tax_f*(Sens!I249-Sens!I116)-Sens!I113</f>
        <v>-35.3539355847524</v>
      </c>
      <c r="J255" s="6" t="n">
        <f aca="false">Sens!J249-tax_f*(Sens!J249-Sens!J116)-Sens!J113</f>
        <v>20.5702664445952</v>
      </c>
      <c r="K255" s="6" t="n">
        <f aca="false">Sens!K249-tax_f*(Sens!K249-Sens!K116)-Sens!K113</f>
        <v>39.4392795393002</v>
      </c>
    </row>
    <row r="256" customFormat="false" ht="17.15" hidden="false" customHeight="false" outlineLevel="0" collapsed="false">
      <c r="A256" s="0" t="s">
        <v>1084</v>
      </c>
      <c r="B256" s="0" t="s">
        <v>98</v>
      </c>
      <c r="G256" s="6" t="n">
        <f aca="false">Sens!G255/(1+wacc)^(Sens!G228-(Sens!F228+mid_yr))</f>
        <v>-111.977708493039</v>
      </c>
      <c r="H256" s="6" t="n">
        <f aca="false">Sens!H255/(1+wacc)^(Sens!H228-(Sens!F228+mid_yr))</f>
        <v>-75.0085737085849</v>
      </c>
      <c r="I256" s="6" t="n">
        <f aca="false">Sens!I255/(1+wacc)^(Sens!I228-(Sens!F228+mid_yr))</f>
        <v>-27.6734649964607</v>
      </c>
      <c r="J256" s="6" t="n">
        <f aca="false">Sens!J255/(1+wacc)^(Sens!J228-(Sens!F228+mid_yr))</f>
        <v>14.5987610816415</v>
      </c>
      <c r="K256" s="6" t="n">
        <f aca="false">Sens!K255/(1+wacc)^(Sens!K228-(Sens!F228+mid_yr))</f>
        <v>25.3778815819177</v>
      </c>
      <c r="L256" s="1" t="s">
        <v>1085</v>
      </c>
    </row>
    <row r="257" customFormat="false" ht="17.15" hidden="false" customHeight="false" outlineLevel="0" collapsed="false">
      <c r="A257" s="0" t="s">
        <v>1086</v>
      </c>
      <c r="B257" s="0" t="s">
        <v>98</v>
      </c>
      <c r="C257" s="6" t="n">
        <f aca="false">(Sens!K249-Sens!K116)*(1-tax_f)*(1+g_tv)*(1-g_tv/(wacc+ronic_prem))/(wacc-g_tv)/(1+wacc)^(Sens!K228+mid_yr-(Sens!F228+mid_yr))</f>
        <v>133.135109777076</v>
      </c>
    </row>
    <row r="258" customFormat="false" ht="17.15" hidden="false" customHeight="false" outlineLevel="0" collapsed="false">
      <c r="A258" s="1" t="s">
        <v>1087</v>
      </c>
      <c r="B258" s="0" t="s">
        <v>98</v>
      </c>
      <c r="C258" s="6" t="n">
        <f aca="false">(SUM(Sens!G256:K256)+Sens!$C$257)*(1+wacc)^(t_roll-(Sens!F228+mid_yr))</f>
        <v>-42.8965567092953</v>
      </c>
      <c r="L258" s="11" t="s">
        <v>1088</v>
      </c>
    </row>
    <row r="259" customFormat="false" ht="17.15" hidden="false" customHeight="false" outlineLevel="0" collapsed="false">
      <c r="A259" s="1" t="s">
        <v>1089</v>
      </c>
      <c r="B259" s="0" t="s">
        <v>98</v>
      </c>
      <c r="C259" s="6" t="n">
        <f aca="false">(w_ntm28*Sens!G105+(1-w_ntm28)*Sens!H105)*m_ai</f>
        <v>551.711134531404</v>
      </c>
    </row>
    <row r="260" customFormat="false" ht="17.15" hidden="false" customHeight="false" outlineLevel="0" collapsed="false">
      <c r="A260" s="1" t="s">
        <v>1090</v>
      </c>
      <c r="B260" s="0" t="s">
        <v>98</v>
      </c>
      <c r="C260" s="6" t="n">
        <f aca="false">(w_ntm28*Sens!G251+(1-w_ntm28)*Sens!H251)*m_cloud</f>
        <v>1068.81917370447</v>
      </c>
    </row>
    <row r="261" customFormat="false" ht="17.15" hidden="false" customHeight="false" outlineLevel="0" collapsed="false">
      <c r="A261" s="1" t="s">
        <v>1091</v>
      </c>
      <c r="B261" s="0" t="s">
        <v>98</v>
      </c>
      <c r="C261" s="6" t="n">
        <f aca="false">(w_ntm28*Sens!G244+(1-w_ntm28)*Sens!H244)*m_sw</f>
        <v>1127.71024611553</v>
      </c>
    </row>
    <row r="262" customFormat="false" ht="17.15" hidden="false" customHeight="false" outlineLevel="0" collapsed="false">
      <c r="A262" s="1" t="s">
        <v>1092</v>
      </c>
      <c r="B262" s="0" t="s">
        <v>98</v>
      </c>
      <c r="C262" s="6" t="n">
        <f aca="false">(w_ntm28*Sens!G245+(1-w_ntm28)*Sens!H245)*m_sw</f>
        <v>379.927954212425</v>
      </c>
    </row>
    <row r="263" customFormat="false" ht="17.15" hidden="false" customHeight="false" outlineLevel="0" collapsed="false">
      <c r="A263" s="1" t="s">
        <v>1093</v>
      </c>
      <c r="B263" s="0" t="s">
        <v>98</v>
      </c>
      <c r="C263" s="6" t="n">
        <f aca="false">(w_ntm28*Sens!G246+(1-w_ntm28)*Sens!H246)*m_sw</f>
        <v>109.537681746057</v>
      </c>
    </row>
    <row r="264" customFormat="false" ht="17.15" hidden="false" customHeight="false" outlineLevel="0" collapsed="false">
      <c r="A264" s="1" t="s">
        <v>1094</v>
      </c>
      <c r="B264" s="0" t="s">
        <v>98</v>
      </c>
      <c r="C264" s="6" t="n">
        <f aca="false">(w_ntm28*Sens!G247+(1-w_ntm28)*Sens!H247)*m_sw</f>
        <v>41.7907416024197</v>
      </c>
    </row>
    <row r="265" customFormat="false" ht="17.15" hidden="false" customHeight="false" outlineLevel="0" collapsed="false">
      <c r="A265" s="1" t="s">
        <v>1095</v>
      </c>
      <c r="B265" s="0" t="s">
        <v>98</v>
      </c>
      <c r="C265" s="6" t="n">
        <f aca="false">(w_ntm28*Sens!G248+(1-w_ntm28)*Sens!H248)*m_ads</f>
        <v>115.467626729004</v>
      </c>
    </row>
    <row r="266" customFormat="false" ht="17.15" hidden="false" customHeight="false" outlineLevel="0" collapsed="false">
      <c r="A266" s="1" t="s">
        <v>1096</v>
      </c>
      <c r="B266" s="0" t="s">
        <v>98</v>
      </c>
      <c r="C266" s="6" t="n">
        <f aca="false">(w_ntm28*Sens!G253+(1-w_ntm28)*Sens!H253)*m_game</f>
        <v>98.0506984247457</v>
      </c>
    </row>
    <row r="267" customFormat="false" ht="17.15" hidden="false" customHeight="false" outlineLevel="0" collapsed="false">
      <c r="A267" s="1" t="s">
        <v>1097</v>
      </c>
      <c r="B267" s="0" t="s">
        <v>98</v>
      </c>
      <c r="C267" s="6" t="n">
        <f aca="false">(w_ntm28*Sens!G254+(1-w_ntm28)*Sens!H254)*m_pc</f>
        <v>97.2088080478016</v>
      </c>
    </row>
    <row r="268" customFormat="false" ht="17.15" hidden="false" customHeight="false" outlineLevel="0" collapsed="false">
      <c r="A268" s="1" t="s">
        <v>1098</v>
      </c>
      <c r="B268" s="0" t="s">
        <v>98</v>
      </c>
      <c r="C268" s="6" t="n">
        <f aca="false">Sens!$C$258+Sens!$C$260+Sens!$C$261+Sens!$C$262+Sens!$C$263+Sens!$C$264+Sens!$C$265+Sens!$C$266+Sens!$C$267</f>
        <v>2995.61637387317</v>
      </c>
    </row>
    <row r="269" customFormat="false" ht="17.15" hidden="false" customHeight="false" outlineLevel="0" collapsed="false">
      <c r="A269" s="1" t="s">
        <v>1099</v>
      </c>
      <c r="B269" s="0" t="s">
        <v>98</v>
      </c>
      <c r="C269" s="6" t="n">
        <f aca="false">(Sens!G230-Sens!G255)*t_stub</f>
        <v>47.9592964551235</v>
      </c>
      <c r="L269" s="1" t="s">
        <v>1100</v>
      </c>
    </row>
    <row r="270" customFormat="false" ht="17.15" hidden="false" customHeight="false" outlineLevel="0" collapsed="false">
      <c r="A270" s="1" t="s">
        <v>1014</v>
      </c>
      <c r="B270" s="0" t="s">
        <v>98</v>
      </c>
      <c r="C270" s="6" t="n">
        <f aca="false">Sens!F219+oai_v-Sens!F208+Sens!$C$269</f>
        <v>163.066005497665</v>
      </c>
      <c r="L270" s="1" t="s">
        <v>1101</v>
      </c>
    </row>
    <row r="271" customFormat="false" ht="17.15" hidden="false" customHeight="false" outlineLevel="0" collapsed="false">
      <c r="A271" s="1" t="s">
        <v>1102</v>
      </c>
      <c r="B271" s="0" t="s">
        <v>75</v>
      </c>
      <c r="C271" s="5" t="n">
        <f aca="false">(Sens!$C$268+Sens!$C$270)/(Sens!F221+dil_gap)-Sens!G211*roll_div_q/q_per_yr</f>
        <v>420.342887856301</v>
      </c>
      <c r="L271" s="1" t="s">
        <v>1103</v>
      </c>
    </row>
    <row r="272" customFormat="false" ht="17.15" hidden="false" customHeight="false" outlineLevel="0" collapsed="false">
      <c r="A272" s="1" t="s">
        <v>1104</v>
      </c>
      <c r="B272" s="0" t="s">
        <v>75</v>
      </c>
      <c r="C272" s="5" t="n">
        <f aca="false">w_dcf*Sens!$C$242+(1-w_dcf)*Sens!$C$271</f>
        <v>362.082264104822</v>
      </c>
    </row>
    <row r="273" customFormat="false" ht="17.15" hidden="false" customHeight="false" outlineLevel="0" collapsed="false">
      <c r="A273" s="3" t="s">
        <v>1267</v>
      </c>
    </row>
    <row r="274" customFormat="false" ht="15" hidden="false" customHeight="false" outlineLevel="0" collapsed="false">
      <c r="A274" s="4" t="s">
        <v>43</v>
      </c>
      <c r="B274" s="4" t="s">
        <v>65</v>
      </c>
      <c r="C274" s="20" t="s">
        <v>799</v>
      </c>
      <c r="D274" s="20" t="s">
        <v>800</v>
      </c>
      <c r="E274" s="20" t="s">
        <v>801</v>
      </c>
      <c r="F274" s="20" t="s">
        <v>802</v>
      </c>
      <c r="G274" s="20" t="s">
        <v>803</v>
      </c>
      <c r="H274" s="20" t="s">
        <v>804</v>
      </c>
      <c r="I274" s="20" t="s">
        <v>805</v>
      </c>
      <c r="J274" s="20" t="s">
        <v>806</v>
      </c>
      <c r="K274" s="20" t="s">
        <v>807</v>
      </c>
      <c r="L274" s="4" t="s">
        <v>47</v>
      </c>
    </row>
    <row r="275" customFormat="false" ht="17.15" hidden="false" customHeight="false" outlineLevel="0" collapsed="false">
      <c r="A275" s="1" t="s">
        <v>808</v>
      </c>
      <c r="B275" s="1" t="s">
        <v>235</v>
      </c>
      <c r="C275" s="28" t="n">
        <v>2024</v>
      </c>
      <c r="D275" s="28" t="n">
        <v>2025</v>
      </c>
      <c r="E275" s="28" t="n">
        <v>2026</v>
      </c>
      <c r="F275" s="28" t="n">
        <v>2027</v>
      </c>
      <c r="G275" s="28" t="n">
        <v>2028</v>
      </c>
      <c r="H275" s="28" t="n">
        <v>2029</v>
      </c>
      <c r="I275" s="28" t="n">
        <v>2030</v>
      </c>
      <c r="J275" s="28" t="n">
        <v>2031</v>
      </c>
      <c r="K275" s="28" t="n">
        <v>2032</v>
      </c>
    </row>
    <row r="276" customFormat="false" ht="17.15" hidden="false" customHeight="false" outlineLevel="0" collapsed="false">
      <c r="A276" s="1" t="s">
        <v>809</v>
      </c>
      <c r="B276" s="0" t="s">
        <v>399</v>
      </c>
      <c r="F276" s="29" t="n">
        <f aca="false">pace</f>
        <v>2527.2</v>
      </c>
      <c r="G276" s="29" t="n">
        <f aca="false">pace</f>
        <v>2527.2</v>
      </c>
      <c r="H276" s="29" t="n">
        <f aca="false">pace</f>
        <v>2527.2</v>
      </c>
      <c r="I276" s="29" t="n">
        <f aca="false">pace+(g_tv*Sens!H277-pace)*MIN(1,(Sens!I275-pace_y0)/(pace_y1-pace_y0))</f>
        <v>1793.116</v>
      </c>
      <c r="J276" s="29" t="n">
        <f aca="false">pace+(g_tv*Sens!I277-pace)*MIN(1,(Sens!J275-pace_y0)/(pace_y1-pace_y0))</f>
        <v>1094.89432</v>
      </c>
      <c r="K276" s="29" t="n">
        <f aca="false">pace+(g_tv*Sens!J277-pace)*MIN(1,(Sens!K275-pace_y0)/(pace_y1-pace_y0))</f>
        <v>411.5883096</v>
      </c>
      <c r="L276" s="11" t="s">
        <v>810</v>
      </c>
    </row>
    <row r="277" customFormat="false" ht="17.15" hidden="false" customHeight="false" outlineLevel="0" collapsed="false">
      <c r="A277" s="1" t="s">
        <v>811</v>
      </c>
      <c r="B277" s="0" t="s">
        <v>399</v>
      </c>
      <c r="C277" s="29" t="n">
        <f aca="false">mw_ext_24</f>
        <v>640</v>
      </c>
      <c r="D277" s="29" t="n">
        <f aca="false">mw_ext_25</f>
        <v>1630</v>
      </c>
      <c r="E277" s="29" t="n">
        <f aca="false">mw_ext_26</f>
        <v>3250</v>
      </c>
      <c r="F277" s="29" t="n">
        <f aca="false">Sens!E277+Sens!F276</f>
        <v>5777.2</v>
      </c>
      <c r="G277" s="29" t="n">
        <f aca="false">Sens!F277+Sens!G276</f>
        <v>8304.4</v>
      </c>
      <c r="H277" s="29" t="n">
        <f aca="false">Sens!G277+Sens!H276</f>
        <v>10831.6</v>
      </c>
      <c r="I277" s="29" t="n">
        <f aca="false">Sens!H277+Sens!I276</f>
        <v>12624.716</v>
      </c>
      <c r="J277" s="29" t="n">
        <f aca="false">Sens!I277+Sens!J276</f>
        <v>13719.61032</v>
      </c>
      <c r="K277" s="29" t="n">
        <f aca="false">Sens!J277+Sens!K276</f>
        <v>14131.1986296</v>
      </c>
      <c r="L277" s="1" t="s">
        <v>812</v>
      </c>
    </row>
    <row r="278" customFormat="false" ht="17.15" hidden="false" customHeight="false" outlineLevel="0" collapsed="false">
      <c r="A278" s="1" t="s">
        <v>813</v>
      </c>
      <c r="B278" s="0" t="s">
        <v>399</v>
      </c>
      <c r="C278" s="29" t="n">
        <f aca="false">rent_ext_24</f>
        <v>150</v>
      </c>
      <c r="D278" s="29" t="n">
        <f aca="false">rent_ext_25</f>
        <v>400</v>
      </c>
      <c r="E278" s="29" t="n">
        <f aca="false">rent_ext_26</f>
        <v>550</v>
      </c>
      <c r="F278" s="29" t="n">
        <f aca="false">rent_ext_f</f>
        <v>756</v>
      </c>
      <c r="G278" s="29" t="n">
        <f aca="false">rent_ext_f</f>
        <v>756</v>
      </c>
      <c r="H278" s="29" t="n">
        <f aca="false">rent_ext_f</f>
        <v>756</v>
      </c>
      <c r="I278" s="29" t="n">
        <f aca="false">rent_ext_f</f>
        <v>756</v>
      </c>
      <c r="J278" s="29" t="n">
        <f aca="false">rent_ext_f</f>
        <v>756</v>
      </c>
      <c r="K278" s="29" t="n">
        <f aca="false">rent_ext_f</f>
        <v>756</v>
      </c>
      <c r="L278" s="1" t="s">
        <v>814</v>
      </c>
    </row>
    <row r="279" customFormat="false" ht="17.15" hidden="false" customHeight="false" outlineLevel="0" collapsed="false">
      <c r="A279" s="1" t="s">
        <v>815</v>
      </c>
      <c r="B279" s="0" t="s">
        <v>399</v>
      </c>
      <c r="C279" s="29" t="n">
        <f aca="false">Sens!C277-Sens!C278</f>
        <v>490</v>
      </c>
      <c r="D279" s="29" t="n">
        <f aca="false">Sens!D277-Sens!D278</f>
        <v>1230</v>
      </c>
      <c r="E279" s="29" t="n">
        <f aca="false">Sens!E277-Sens!E278</f>
        <v>2700</v>
      </c>
      <c r="F279" s="29" t="n">
        <f aca="false">Sens!F277-Sens!F278</f>
        <v>5021.2</v>
      </c>
      <c r="G279" s="29" t="n">
        <f aca="false">Sens!G277-Sens!G278</f>
        <v>7548.4</v>
      </c>
      <c r="H279" s="29" t="n">
        <f aca="false">Sens!H277-Sens!H278</f>
        <v>10075.6</v>
      </c>
      <c r="I279" s="29" t="n">
        <f aca="false">Sens!I277-Sens!I278</f>
        <v>11868.716</v>
      </c>
      <c r="J279" s="29" t="n">
        <f aca="false">Sens!J277-Sens!J278</f>
        <v>12963.61032</v>
      </c>
      <c r="K279" s="29" t="n">
        <f aca="false">Sens!K277-Sens!K278</f>
        <v>13375.1986296</v>
      </c>
    </row>
    <row r="280" customFormat="false" ht="17.15" hidden="false" customHeight="false" outlineLevel="0" collapsed="false">
      <c r="A280" s="1" t="s">
        <v>816</v>
      </c>
      <c r="B280" s="0" t="s">
        <v>399</v>
      </c>
      <c r="C280" s="29" t="n">
        <f aca="false">Sens!C279/ext_sh</f>
        <v>816.666666666667</v>
      </c>
      <c r="D280" s="29" t="n">
        <f aca="false">Sens!D279/ext_sh</f>
        <v>2050</v>
      </c>
      <c r="E280" s="29" t="n">
        <f aca="false">Sens!E279/ext_sh</f>
        <v>4500</v>
      </c>
      <c r="F280" s="29" t="n">
        <f aca="false">Sens!F279/ext_sh</f>
        <v>8368.66666666667</v>
      </c>
      <c r="G280" s="29" t="n">
        <f aca="false">Sens!G279/ext_sh</f>
        <v>12580.6666666667</v>
      </c>
      <c r="H280" s="29" t="n">
        <f aca="false">Sens!H279/ext_sh</f>
        <v>16792.6666666667</v>
      </c>
      <c r="I280" s="29" t="n">
        <f aca="false">Sens!I279/ext_sh</f>
        <v>19781.1933333333</v>
      </c>
      <c r="J280" s="29" t="n">
        <f aca="false">Sens!J279/ext_sh</f>
        <v>21606.0172</v>
      </c>
      <c r="K280" s="29" t="n">
        <f aca="false">Sens!K279/ext_sh</f>
        <v>22291.997716</v>
      </c>
      <c r="L280" s="1" t="s">
        <v>817</v>
      </c>
    </row>
    <row r="281" customFormat="false" ht="17.15" hidden="false" customHeight="false" outlineLevel="0" collapsed="false">
      <c r="A281" s="1" t="s">
        <v>818</v>
      </c>
      <c r="B281" s="0" t="s">
        <v>399</v>
      </c>
      <c r="C281" s="29" t="n">
        <f aca="false">Sens!C280-Sens!C279</f>
        <v>326.666666666667</v>
      </c>
      <c r="D281" s="29" t="n">
        <f aca="false">Sens!D280-Sens!D279</f>
        <v>820</v>
      </c>
      <c r="E281" s="29" t="n">
        <f aca="false">Sens!E280-Sens!E279</f>
        <v>1800</v>
      </c>
      <c r="F281" s="29" t="n">
        <f aca="false">Sens!F280-Sens!F279</f>
        <v>3347.46666666667</v>
      </c>
      <c r="G281" s="29" t="n">
        <f aca="false">Sens!G280-Sens!G279</f>
        <v>5032.26666666667</v>
      </c>
      <c r="H281" s="29" t="n">
        <f aca="false">Sens!H280-Sens!H279</f>
        <v>6717.06666666667</v>
      </c>
      <c r="I281" s="29" t="n">
        <f aca="false">Sens!I280-Sens!I279</f>
        <v>7912.47733333333</v>
      </c>
      <c r="J281" s="29" t="n">
        <f aca="false">Sens!J280-Sens!J279</f>
        <v>8642.40688</v>
      </c>
      <c r="K281" s="29" t="n">
        <f aca="false">Sens!K280-Sens!K279</f>
        <v>8916.7990864</v>
      </c>
    </row>
    <row r="282" customFormat="false" ht="17.15" hidden="false" customHeight="false" outlineLevel="0" collapsed="false">
      <c r="A282" s="1" t="s">
        <v>819</v>
      </c>
      <c r="B282" s="0" t="s">
        <v>399</v>
      </c>
      <c r="C282" s="29" t="n">
        <f aca="false">Sens!C280</f>
        <v>816.666666666667</v>
      </c>
      <c r="D282" s="29" t="n">
        <f aca="false">Sens!D280-Sens!C280</f>
        <v>1233.33333333333</v>
      </c>
      <c r="E282" s="29" t="n">
        <f aca="false">Sens!E280-Sens!D280</f>
        <v>2450</v>
      </c>
      <c r="F282" s="29" t="n">
        <f aca="false">Sens!F280-Sens!E280</f>
        <v>3868.66666666667</v>
      </c>
      <c r="G282" s="29" t="n">
        <f aca="false">Sens!G280-Sens!F280</f>
        <v>4212</v>
      </c>
      <c r="H282" s="29" t="n">
        <f aca="false">Sens!H280-Sens!G280</f>
        <v>4212</v>
      </c>
      <c r="I282" s="29" t="n">
        <f aca="false">Sens!I280-Sens!H280</f>
        <v>2988.52666666667</v>
      </c>
      <c r="J282" s="29" t="n">
        <f aca="false">Sens!J280-Sens!I280</f>
        <v>1824.82386666667</v>
      </c>
      <c r="K282" s="29" t="n">
        <f aca="false">Sens!K280-Sens!J280</f>
        <v>685.980516</v>
      </c>
    </row>
    <row r="283" customFormat="false" ht="17.15" hidden="false" customHeight="false" outlineLevel="0" collapsed="false">
      <c r="A283" s="1" t="s">
        <v>820</v>
      </c>
      <c r="B283" s="0" t="s">
        <v>399</v>
      </c>
      <c r="D283" s="29" t="n">
        <f aca="false">Sens!D277-Sens!C277</f>
        <v>990</v>
      </c>
      <c r="E283" s="29" t="n">
        <f aca="false">Sens!E277-Sens!D277</f>
        <v>1620</v>
      </c>
      <c r="F283" s="29" t="n">
        <f aca="false">Sens!F277-Sens!E277</f>
        <v>2527.2</v>
      </c>
      <c r="G283" s="29" t="n">
        <f aca="false">Sens!G277-Sens!F277</f>
        <v>2527.2</v>
      </c>
      <c r="H283" s="29" t="n">
        <f aca="false">Sens!H277-Sens!G277</f>
        <v>2527.2</v>
      </c>
      <c r="I283" s="29" t="n">
        <f aca="false">Sens!I277-Sens!H277</f>
        <v>1793.116</v>
      </c>
      <c r="J283" s="29" t="n">
        <f aca="false">Sens!J277-Sens!I277</f>
        <v>1094.89432</v>
      </c>
      <c r="K283" s="29" t="n">
        <f aca="false">Sens!K277-Sens!J277</f>
        <v>411.5883096</v>
      </c>
    </row>
    <row r="284" customFormat="false" ht="17.15" hidden="false" customHeight="false" outlineLevel="0" collapsed="false">
      <c r="A284" s="1" t="s">
        <v>821</v>
      </c>
      <c r="B284" s="0" t="s">
        <v>399</v>
      </c>
      <c r="F284" s="29" t="n">
        <f aca="false">Sens!F301*ext_sh</f>
        <v>0</v>
      </c>
      <c r="G284" s="29" t="n">
        <f aca="false">Sens!G301*ext_sh</f>
        <v>0</v>
      </c>
      <c r="H284" s="29" t="n">
        <f aca="false">Sens!H301*ext_sh</f>
        <v>0</v>
      </c>
      <c r="I284" s="29" t="n">
        <f aca="false">Sens!I301*ext_sh</f>
        <v>490</v>
      </c>
      <c r="J284" s="29" t="n">
        <f aca="false">Sens!J301*ext_sh</f>
        <v>740</v>
      </c>
      <c r="K284" s="29" t="n">
        <f aca="false">Sens!K301*ext_sh</f>
        <v>1470</v>
      </c>
      <c r="L284" s="1" t="s">
        <v>822</v>
      </c>
    </row>
    <row r="285" customFormat="false" ht="17.15" hidden="false" customHeight="false" outlineLevel="0" collapsed="false">
      <c r="A285" s="1" t="s">
        <v>823</v>
      </c>
      <c r="B285" s="0" t="s">
        <v>399</v>
      </c>
      <c r="C285" s="29" t="n">
        <f aca="false">mix_h*Sens!C277</f>
        <v>128</v>
      </c>
      <c r="D285" s="29" t="n">
        <f aca="false">mix_h*Sens!D277</f>
        <v>326</v>
      </c>
      <c r="E285" s="29" t="n">
        <f aca="false">mix_h*Sens!E277</f>
        <v>650</v>
      </c>
      <c r="F285" s="29" t="n">
        <f aca="false">Sens!E285-Sens!F284*mix_h</f>
        <v>650</v>
      </c>
      <c r="G285" s="29" t="n">
        <f aca="false">Sens!F285-Sens!G284*mix_h</f>
        <v>650</v>
      </c>
      <c r="H285" s="29" t="n">
        <f aca="false">Sens!G285-Sens!H284*mix_h</f>
        <v>650</v>
      </c>
      <c r="I285" s="29" t="n">
        <f aca="false">Sens!H285-Sens!I284*mix_h</f>
        <v>552</v>
      </c>
      <c r="J285" s="29" t="n">
        <f aca="false">Sens!I285-Sens!J284*mix_h</f>
        <v>404</v>
      </c>
      <c r="K285" s="29" t="n">
        <f aca="false">Sens!J285-Sens!K284*mix_h</f>
        <v>110</v>
      </c>
    </row>
    <row r="286" customFormat="false" ht="17.15" hidden="false" customHeight="false" outlineLevel="0" collapsed="false">
      <c r="A286" s="1" t="s">
        <v>824</v>
      </c>
      <c r="B286" s="0" t="s">
        <v>399</v>
      </c>
      <c r="C286" s="29" t="n">
        <f aca="false">mix_g2*Sens!C277</f>
        <v>288</v>
      </c>
      <c r="D286" s="29" t="n">
        <f aca="false">mix_g2*Sens!D277</f>
        <v>733.5</v>
      </c>
      <c r="E286" s="29" t="n">
        <f aca="false">mix_g2*Sens!E277</f>
        <v>1462.5</v>
      </c>
      <c r="F286" s="29" t="n">
        <f aca="false">Sens!E286-Sens!F284*mix_g2</f>
        <v>1462.5</v>
      </c>
      <c r="G286" s="29" t="n">
        <f aca="false">Sens!F286-Sens!G284*mix_g2</f>
        <v>1462.5</v>
      </c>
      <c r="H286" s="29" t="n">
        <f aca="false">Sens!G286-Sens!H284*mix_g2</f>
        <v>1462.5</v>
      </c>
      <c r="I286" s="29" t="n">
        <f aca="false">Sens!H286-Sens!I284*mix_g2</f>
        <v>1242</v>
      </c>
      <c r="J286" s="29" t="n">
        <f aca="false">Sens!I286-Sens!J284*mix_g2</f>
        <v>909</v>
      </c>
      <c r="K286" s="29" t="n">
        <f aca="false">Sens!J286-Sens!K284*mix_g2</f>
        <v>247.5</v>
      </c>
    </row>
    <row r="287" customFormat="false" ht="17.15" hidden="false" customHeight="false" outlineLevel="0" collapsed="false">
      <c r="A287" s="1" t="s">
        <v>825</v>
      </c>
      <c r="B287" s="0" t="s">
        <v>399</v>
      </c>
      <c r="C287" s="29" t="n">
        <f aca="false">mix_g3*Sens!C277</f>
        <v>224</v>
      </c>
      <c r="D287" s="29" t="n">
        <f aca="false">mix_g3*Sens!D277</f>
        <v>570.5</v>
      </c>
      <c r="E287" s="29" t="n">
        <f aca="false">mix_g3*Sens!E277</f>
        <v>1137.5</v>
      </c>
      <c r="F287" s="29" t="n">
        <f aca="false">Sens!E287+(Sens!F283+Sens!F284)*a_g3_27-Sens!F284*mix_g3</f>
        <v>2906.54</v>
      </c>
      <c r="G287" s="29" t="n">
        <f aca="false">Sens!F287+(Sens!G283+Sens!G284)*a_g3_28-Sens!G284*mix_g3</f>
        <v>3664.7</v>
      </c>
      <c r="H287" s="29" t="n">
        <f aca="false">Sens!G287+(Sens!H283+Sens!H284)*a_g3_29-Sens!H284*mix_g3</f>
        <v>3917.42</v>
      </c>
      <c r="I287" s="29" t="n">
        <f aca="false">Sens!H287+(Sens!I283+Sens!I284)*a_g3_29-Sens!I284*mix_g3</f>
        <v>3974.2316</v>
      </c>
      <c r="J287" s="29" t="n">
        <f aca="false">Sens!I287+(Sens!J283+Sens!J284)*a_g3_29-Sens!J284*mix_g3</f>
        <v>3898.721032</v>
      </c>
      <c r="K287" s="29" t="n">
        <f aca="false">Sens!J287+(Sens!K283+Sens!K284)*a_g3_29-Sens!K284*mix_g3</f>
        <v>3572.37986296</v>
      </c>
    </row>
    <row r="288" customFormat="false" ht="17.15" hidden="false" customHeight="false" outlineLevel="0" collapsed="false">
      <c r="A288" s="1" t="s">
        <v>826</v>
      </c>
      <c r="B288" s="0" t="s">
        <v>399</v>
      </c>
      <c r="C288" s="29" t="n">
        <v>0</v>
      </c>
      <c r="D288" s="29" t="n">
        <v>0</v>
      </c>
      <c r="E288" s="29" t="n">
        <v>0</v>
      </c>
      <c r="F288" s="29" t="n">
        <f aca="false">Sens!E288+(Sens!F283+Sens!F284)*(1-a_g3_27)</f>
        <v>758.16</v>
      </c>
      <c r="G288" s="29" t="n">
        <f aca="false">Sens!F288+(Sens!G283+Sens!G284)*(1-a_g3_28)</f>
        <v>2527.2</v>
      </c>
      <c r="H288" s="29" t="n">
        <f aca="false">Sens!G288+(Sens!H283+Sens!H284)*(1-a_g3_29)</f>
        <v>4801.68</v>
      </c>
      <c r="I288" s="29" t="n">
        <f aca="false">Sens!H288+(Sens!I283+Sens!I284)*(1-a_g3_29)</f>
        <v>6856.4844</v>
      </c>
      <c r="J288" s="29" t="n">
        <f aca="false">Sens!I288+(Sens!J283+Sens!J284)*(1-a_g3_29)</f>
        <v>8507.889288</v>
      </c>
      <c r="K288" s="29" t="n">
        <f aca="false">Sens!J288+(Sens!K283+Sens!K284)*(1-a_g3_29)</f>
        <v>10201.31876664</v>
      </c>
    </row>
    <row r="289" customFormat="false" ht="17.15" hidden="false" customHeight="false" outlineLevel="0" collapsed="false">
      <c r="A289" s="1" t="s">
        <v>827</v>
      </c>
      <c r="B289" s="0" t="s">
        <v>346</v>
      </c>
      <c r="C289" s="14" t="n">
        <f aca="false">(Sens!C285*tk_hold_h100+Sens!C286*tk_hold_gb200+Sens!C287*tk_hold_gb300+Sens!C288*tk_hold_vr200)/Sens!C277</f>
        <v>9.7235358126469</v>
      </c>
      <c r="D289" s="14" t="n">
        <f aca="false">(Sens!D285*tk_hold_h100+Sens!D286*tk_hold_gb200+Sens!D287*tk_hold_gb300+Sens!D288*tk_hold_vr200)/Sens!D277</f>
        <v>9.7235358126469</v>
      </c>
      <c r="E289" s="14" t="n">
        <f aca="false">(Sens!E285*tk_hold_h100+Sens!E286*tk_hold_gb200+Sens!E287*tk_hold_gb300+Sens!E288*tk_hold_vr200)/Sens!E277</f>
        <v>9.7235358126469</v>
      </c>
      <c r="F289" s="14" t="n">
        <f aca="false">(Sens!F285*tk_hold_h100+Sens!F286*tk_hold_gb200+Sens!F287*tk_hold_gb300+Sens!F288*tk_hold_vr200)/Sens!F277</f>
        <v>10.4079573161931</v>
      </c>
      <c r="G289" s="14" t="n">
        <f aca="false">(Sens!G285*tk_hold_h100+Sens!G286*tk_hold_gb200+Sens!G287*tk_hold_gb300+Sens!G288*tk_hold_vr200)/Sens!G277</f>
        <v>10.8388131109316</v>
      </c>
      <c r="H289" s="14" t="n">
        <f aca="false">(Sens!H285*tk_hold_h100+Sens!H286*tk_hold_gb200+Sens!H287*tk_hold_gb300+Sens!H288*tk_hold_vr200)/Sens!H277</f>
        <v>11.1311018388216</v>
      </c>
      <c r="I289" s="14" t="n">
        <f aca="false">(Sens!I285*tk_hold_h100+Sens!I286*tk_hold_gb200+Sens!I287*tk_hold_gb300+Sens!I288*tk_hold_vr200)/Sens!I277</f>
        <v>11.3594282560989</v>
      </c>
      <c r="J289" s="14" t="n">
        <f aca="false">(Sens!J285*tk_hold_h100+Sens!J286*tk_hold_gb200+Sens!J287*tk_hold_gb300+Sens!J288*tk_hold_vr200)/Sens!J277</f>
        <v>11.5455817917599</v>
      </c>
      <c r="K289" s="14" t="n">
        <f aca="false">(Sens!K285*tk_hold_h100+Sens!K286*tk_hold_gb200+Sens!K287*tk_hold_gb300+Sens!K288*tk_hold_vr200)/Sens!K277</f>
        <v>11.8078187977246</v>
      </c>
    </row>
    <row r="290" customFormat="false" ht="17.15" hidden="false" customHeight="false" outlineLevel="0" collapsed="false">
      <c r="A290" s="0" t="s">
        <v>828</v>
      </c>
      <c r="B290" s="0" t="s">
        <v>185</v>
      </c>
      <c r="C290" s="14" t="n">
        <f aca="false">k_B</f>
        <v>1.17213932619116</v>
      </c>
      <c r="D290" s="14" t="n">
        <f aca="false">k_B</f>
        <v>1.17213932619116</v>
      </c>
      <c r="E290" s="14" t="n">
        <f aca="false">k_B</f>
        <v>1.17213932619116</v>
      </c>
      <c r="F290" s="14" t="n">
        <f aca="false">(k_B+((ls_B*k_long+(1-ls_B)*k_spot)-k_B)*MIN(1,(Sens!F275-base_fy)/k_ramp))</f>
        <v>1.17213932619116</v>
      </c>
      <c r="G290" s="14" t="n">
        <f aca="false">(k_B+((ls_B*k_long+(1-ls_B)*k_spot)-k_B)*MIN(1,(Sens!G275-base_fy)/k_ramp))</f>
        <v>1.17213932619116</v>
      </c>
      <c r="H290" s="14" t="n">
        <f aca="false">(k_B+((ls_B*k_long+(1-ls_B)*k_spot)-k_B)*MIN(1,(Sens!H275-base_fy)/k_ramp))</f>
        <v>1.17213932619116</v>
      </c>
      <c r="I290" s="14" t="n">
        <f aca="false">(k_B+((ls_B*k_long+(1-ls_B)*k_spot)-k_B)*MIN(1,(Sens!I275-base_fy)/k_ramp))</f>
        <v>1.17213932619116</v>
      </c>
      <c r="J290" s="14" t="n">
        <f aca="false">(k_B+((ls_B*k_long+(1-ls_B)*k_spot)-k_B)*MIN(1,(Sens!J275-base_fy)/k_ramp))</f>
        <v>1.17213932619116</v>
      </c>
      <c r="K290" s="14" t="n">
        <f aca="false">(k_B+((ls_B*k_long+(1-ls_B)*k_spot)-k_B)*MIN(1,(Sens!K275-base_fy)/k_ramp))</f>
        <v>1.17213932619116</v>
      </c>
      <c r="L290" s="1" t="s">
        <v>829</v>
      </c>
    </row>
    <row r="291" customFormat="false" ht="17.15" hidden="false" customHeight="false" outlineLevel="0" collapsed="false">
      <c r="A291" s="1" t="s">
        <v>830</v>
      </c>
      <c r="B291" s="0" t="s">
        <v>346</v>
      </c>
      <c r="C291" s="14" t="n">
        <f aca="false">Sens!C289*Sens!C290*chip_f</f>
        <v>11.3973387156315</v>
      </c>
      <c r="D291" s="14" t="n">
        <f aca="false">Sens!D289*Sens!D290*chip_f</f>
        <v>11.3973387156315</v>
      </c>
      <c r="E291" s="14" t="n">
        <f aca="false">Sens!E289*Sens!E290*chip_f</f>
        <v>11.3973387156315</v>
      </c>
      <c r="F291" s="14" t="n">
        <f aca="false">Sens!F289*Sens!F290*chip_f</f>
        <v>12.1995760756289</v>
      </c>
      <c r="G291" s="14" t="n">
        <f aca="false">Sens!G289*Sens!G290*chip_f</f>
        <v>12.7045990965592</v>
      </c>
      <c r="H291" s="14" t="n">
        <f aca="false">Sens!H289*Sens!H290*chip_f</f>
        <v>13.0472022091214</v>
      </c>
      <c r="I291" s="14" t="n">
        <f aca="false">Sens!I289*Sens!I290*chip_f</f>
        <v>13.3148325820205</v>
      </c>
      <c r="J291" s="14" t="n">
        <f aca="false">Sens!J289*Sens!J290*chip_f</f>
        <v>13.5330304618783</v>
      </c>
      <c r="K291" s="14" t="n">
        <f aca="false">Sens!K289*Sens!K290*chip_f</f>
        <v>13.8404087693522</v>
      </c>
      <c r="L291" s="1" t="s">
        <v>831</v>
      </c>
    </row>
    <row r="292" customFormat="false" ht="17.15" hidden="false" customHeight="false" outlineLevel="0" collapsed="false">
      <c r="A292" s="0" t="s">
        <v>832</v>
      </c>
      <c r="B292" s="0" t="s">
        <v>98</v>
      </c>
      <c r="D292" s="6" t="n">
        <f aca="false">(Sens!C277+Sens!D277)/2*Sens!D291/1000</f>
        <v>12.9359794422418</v>
      </c>
      <c r="E292" s="6" t="n">
        <f aca="false">(Sens!D277+Sens!E277)/2*Sens!E291/1000</f>
        <v>27.8095064661409</v>
      </c>
      <c r="F292" s="6" t="n">
        <f aca="false">(Sens!E277+Sens!F277)/2*Sens!F291/1000</f>
        <v>55.0640065749585</v>
      </c>
      <c r="G292" s="6" t="n">
        <f aca="false">(Sens!F277+Sens!G277)/2*Sens!G291/1000</f>
        <v>89.4505413190538</v>
      </c>
      <c r="H292" s="6" t="n">
        <f aca="false">(Sens!G277+Sens!H277)/2*Sens!H291/1000</f>
        <v>124.835630736874</v>
      </c>
      <c r="I292" s="6" t="n">
        <f aca="false">(Sens!H277+Sens!I277)/2*Sens!I291/1000</f>
        <v>156.158460265485</v>
      </c>
      <c r="J292" s="6" t="n">
        <f aca="false">(Sens!I277+Sens!J277)/2*Sens!J291/1000</f>
        <v>178.259285293112</v>
      </c>
      <c r="K292" s="6" t="n">
        <f aca="false">(Sens!J277+Sens!K277)/2*Sens!K291/1000</f>
        <v>192.733290209798</v>
      </c>
      <c r="L292" s="11" t="s">
        <v>833</v>
      </c>
    </row>
    <row r="293" customFormat="false" ht="17.15" hidden="false" customHeight="false" outlineLevel="0" collapsed="false">
      <c r="A293" s="1" t="s">
        <v>834</v>
      </c>
      <c r="B293" s="0" t="s">
        <v>346</v>
      </c>
      <c r="C293" s="14" t="n">
        <f aca="false">(Sens!C285*tk_opex_h100+Sens!C286*tk_opex_gb200+Sens!C287*tk_opex_gb300+Sens!C288*tk_opex_vr200)/Sens!C277</f>
        <v>1.88636041306092</v>
      </c>
      <c r="D293" s="14" t="n">
        <f aca="false">(Sens!D285*tk_opex_h100+Sens!D286*tk_opex_gb200+Sens!D287*tk_opex_gb300+Sens!D288*tk_opex_vr200)/Sens!D277</f>
        <v>1.88636041306092</v>
      </c>
      <c r="E293" s="14" t="n">
        <f aca="false">(Sens!E285*tk_opex_h100+Sens!E286*tk_opex_gb200+Sens!E287*tk_opex_gb300+Sens!E288*tk_opex_vr200)/Sens!E277</f>
        <v>1.88636041306092</v>
      </c>
      <c r="F293" s="14" t="n">
        <f aca="false">(Sens!F285*tk_opex_h100+Sens!F286*tk_opex_gb200+Sens!F287*tk_opex_gb300+Sens!F288*tk_opex_vr200)/Sens!F277</f>
        <v>1.9430236476499</v>
      </c>
      <c r="G293" s="14" t="n">
        <f aca="false">(Sens!G285*tk_opex_h100+Sens!G286*tk_opex_gb200+Sens!G287*tk_opex_gb300+Sens!G288*tk_opex_vr200)/Sens!G277</f>
        <v>1.9786941852423</v>
      </c>
      <c r="H293" s="14" t="n">
        <f aca="false">(Sens!H285*tk_opex_h100+Sens!H286*tk_opex_gb200+Sens!H287*tk_opex_gb300+Sens!H288*tk_opex_vr200)/Sens!H277</f>
        <v>2.00289275976156</v>
      </c>
      <c r="I293" s="14" t="n">
        <f aca="false">(Sens!I285*tk_opex_h100+Sens!I286*tk_opex_gb200+Sens!I287*tk_opex_gb300+Sens!I288*tk_opex_vr200)/Sens!I277</f>
        <v>2.02179589661219</v>
      </c>
      <c r="J293" s="14" t="n">
        <f aca="false">(Sens!J285*tk_opex_h100+Sens!J286*tk_opex_gb200+Sens!J287*tk_opex_gb300+Sens!J288*tk_opex_vr200)/Sens!J277</f>
        <v>2.03720754193029</v>
      </c>
      <c r="K293" s="14" t="n">
        <f aca="false">(Sens!K285*tk_opex_h100+Sens!K286*tk_opex_gb200+Sens!K287*tk_opex_gb300+Sens!K288*tk_opex_vr200)/Sens!K277</f>
        <v>2.0589181353437</v>
      </c>
    </row>
    <row r="294" customFormat="false" ht="17.15" hidden="false" customHeight="false" outlineLevel="0" collapsed="false">
      <c r="A294" s="0" t="s">
        <v>835</v>
      </c>
      <c r="B294" s="0" t="s">
        <v>98</v>
      </c>
      <c r="D294" s="6" t="n">
        <f aca="false">(Sens!C280+Sens!D280)/2*Sens!D293/1000</f>
        <v>2.70378325872065</v>
      </c>
      <c r="E294" s="6" t="n">
        <f aca="false">(Sens!D280+Sens!E280)/2*Sens!E293/1000</f>
        <v>6.17783035277451</v>
      </c>
      <c r="F294" s="6" t="n">
        <f aca="false">(Sens!E280+Sens!F280)/2*Sens!F293/1000</f>
        <v>12.5020618235287</v>
      </c>
      <c r="G294" s="6" t="n">
        <f aca="false">(Sens!F280+Sens!G280)/2*Sens!G293/1000</f>
        <v>20.7261620256847</v>
      </c>
      <c r="H294" s="6" t="n">
        <f aca="false">(Sens!G280+Sens!H280)/2*Sens!H293/1000</f>
        <v>29.4158183316982</v>
      </c>
      <c r="I294" s="6" t="n">
        <f aca="false">(Sens!H280+Sens!I280)/2*Sens!I293/1000</f>
        <v>36.9724400356344</v>
      </c>
      <c r="J294" s="6" t="n">
        <f aca="false">(Sens!I280+Sens!J280)/2*Sens!J293/1000</f>
        <v>42.1571687189816</v>
      </c>
      <c r="K294" s="6" t="n">
        <f aca="false">(Sens!J280+Sens!K280)/2*Sens!K293/1000</f>
        <v>45.1912095080704</v>
      </c>
    </row>
    <row r="295" customFormat="false" ht="17.15" hidden="false" customHeight="false" outlineLevel="0" collapsed="false">
      <c r="A295" s="0" t="s">
        <v>836</v>
      </c>
      <c r="B295" s="0" t="s">
        <v>98</v>
      </c>
      <c r="D295" s="6" t="n">
        <f aca="false">(Sens!C278+Sens!D278)/2*rent_mw/1000</f>
        <v>2.44475</v>
      </c>
      <c r="E295" s="6" t="n">
        <f aca="false">(Sens!D278+Sens!E278)/2*rent_mw/1000</f>
        <v>4.22275</v>
      </c>
      <c r="F295" s="6" t="n">
        <f aca="false">(Sens!E278+Sens!F278)/2*rent_mw/1000</f>
        <v>5.80517</v>
      </c>
      <c r="G295" s="6" t="n">
        <f aca="false">(Sens!F278+Sens!G278)/2*rent_mw/1000</f>
        <v>6.72084</v>
      </c>
      <c r="H295" s="6" t="n">
        <f aca="false">(Sens!G278+Sens!H278)/2*rent_mw/1000</f>
        <v>6.72084</v>
      </c>
      <c r="I295" s="6" t="n">
        <f aca="false">(Sens!H278+Sens!I278)/2*rent_mw/1000</f>
        <v>6.72084</v>
      </c>
      <c r="J295" s="6" t="n">
        <f aca="false">(Sens!I278+Sens!J278)/2*rent_mw/1000</f>
        <v>6.72084</v>
      </c>
      <c r="K295" s="6" t="n">
        <f aca="false">(Sens!J278+Sens!K278)/2*rent_mw/1000</f>
        <v>6.72084</v>
      </c>
    </row>
    <row r="296" customFormat="false" ht="17.15" hidden="false" customHeight="false" outlineLevel="0" collapsed="false">
      <c r="A296" s="0" t="s">
        <v>837</v>
      </c>
      <c r="B296" s="0" t="s">
        <v>98</v>
      </c>
      <c r="D296" s="6" t="n">
        <f aca="false">(Sens!C280+Sens!D280)/2*(1-self_build)*fac_rent/1000</f>
        <v>0.853242375631075</v>
      </c>
      <c r="E296" s="6" t="n">
        <f aca="false">(Sens!D280+Sens!E280)/2*(1-self_build)*fac_rent/1000</f>
        <v>1.94955961408728</v>
      </c>
      <c r="F296" s="6" t="n">
        <f aca="false">(Sens!E280+Sens!F280)/2*(1-self_build)*fac_rent/1000</f>
        <v>3.83026455274573</v>
      </c>
      <c r="G296" s="6" t="n">
        <f aca="false">(Sens!F280+Sens!G280)/2*(1-self_build)*fac_rent/1000</f>
        <v>6.23541590972812</v>
      </c>
      <c r="H296" s="6" t="n">
        <f aca="false">(Sens!G280+Sens!H280)/2*(1-self_build)*fac_rent/1000</f>
        <v>8.74275792332679</v>
      </c>
      <c r="I296" s="6" t="n">
        <f aca="false">(Sens!H280+Sens!I280)/2*(1-self_build)*fac_rent/1000</f>
        <v>10.8859420438599</v>
      </c>
      <c r="J296" s="6" t="n">
        <f aca="false">(Sens!I280+Sens!J280)/2*(1-self_build)*fac_rent/1000</f>
        <v>12.3186006405366</v>
      </c>
      <c r="K296" s="6" t="n">
        <f aca="false">(Sens!J280+Sens!K280)/2*(1-self_build)*fac_rent/1000</f>
        <v>13.0659232089824</v>
      </c>
      <c r="L296" s="11" t="s">
        <v>838</v>
      </c>
    </row>
    <row r="297" customFormat="false" ht="17.15" hidden="false" customHeight="false" outlineLevel="0" collapsed="false">
      <c r="A297" s="1" t="s">
        <v>839</v>
      </c>
      <c r="B297" s="0" t="s">
        <v>129</v>
      </c>
      <c r="D297" s="7" t="n">
        <f aca="false">(Sens!C279+Sens!D279)/(Sens!C280+Sens!D280)</f>
        <v>0.6</v>
      </c>
      <c r="E297" s="7" t="n">
        <f aca="false">(Sens!D279+Sens!E279)/(Sens!D280+Sens!E280)</f>
        <v>0.6</v>
      </c>
      <c r="F297" s="7" t="n">
        <f aca="false">(Sens!E279+Sens!F279)/(Sens!E280+Sens!F280)</f>
        <v>0.6</v>
      </c>
      <c r="G297" s="7" t="n">
        <f aca="false">(Sens!F279+Sens!G279)/(Sens!F280+Sens!G280)</f>
        <v>0.6</v>
      </c>
      <c r="H297" s="7" t="n">
        <f aca="false">(Sens!G279+Sens!H279)/(Sens!G280+Sens!H280)</f>
        <v>0.6</v>
      </c>
      <c r="I297" s="7" t="n">
        <f aca="false">(Sens!H279+Sens!I279)/(Sens!H280+Sens!I280)</f>
        <v>0.6</v>
      </c>
      <c r="J297" s="7" t="n">
        <f aca="false">(Sens!I279+Sens!J279)/(Sens!I280+Sens!J280)</f>
        <v>0.6</v>
      </c>
      <c r="K297" s="7" t="n">
        <f aca="false">(Sens!J279+Sens!K279)/(Sens!J280+Sens!K280)</f>
        <v>0.6</v>
      </c>
    </row>
    <row r="298" customFormat="false" ht="17.15" hidden="false" customHeight="false" outlineLevel="0" collapsed="false">
      <c r="A298" s="0" t="s">
        <v>840</v>
      </c>
      <c r="B298" s="0" t="s">
        <v>98</v>
      </c>
      <c r="D298" s="6" t="n">
        <f aca="false">Sens!D292-Sens!D297*(Sens!D294+Sens!D296)-Sens!D295</f>
        <v>8.35701406163072</v>
      </c>
      <c r="E298" s="6" t="n">
        <f aca="false">Sens!E292-Sens!E297*(Sens!E294+Sens!E296)-Sens!E295</f>
        <v>18.7103224860238</v>
      </c>
      <c r="F298" s="6" t="n">
        <f aca="false">Sens!F292-Sens!F297*(Sens!F294+Sens!F296)-Sens!F295</f>
        <v>39.4594407491938</v>
      </c>
      <c r="G298" s="6" t="n">
        <f aca="false">Sens!G292-Sens!G297*(Sens!G294+Sens!G296)-Sens!G295</f>
        <v>66.5527545578061</v>
      </c>
      <c r="H298" s="6" t="n">
        <f aca="false">Sens!H292-Sens!H297*(Sens!H294+Sens!H296)-Sens!H295</f>
        <v>95.219644983859</v>
      </c>
      <c r="I298" s="6" t="n">
        <f aca="false">Sens!I292-Sens!I297*(Sens!I294+Sens!I296)-Sens!I295</f>
        <v>120.722591017788</v>
      </c>
      <c r="J298" s="6" t="n">
        <f aca="false">Sens!J292-Sens!J297*(Sens!J294+Sens!J296)-Sens!J295</f>
        <v>138.852983677401</v>
      </c>
      <c r="K298" s="6" t="n">
        <f aca="false">Sens!K292-Sens!K297*(Sens!K294+Sens!K296)-Sens!K295</f>
        <v>151.058170579566</v>
      </c>
    </row>
    <row r="299" customFormat="false" ht="17.15" hidden="false" customHeight="false" outlineLevel="0" collapsed="false">
      <c r="A299" s="1" t="s">
        <v>841</v>
      </c>
      <c r="B299" s="0" t="s">
        <v>98</v>
      </c>
      <c r="D299" s="6" t="n">
        <f aca="false">(1-Sens!D297)*(Sens!D294+Sens!D296)</f>
        <v>1.42281025374069</v>
      </c>
      <c r="E299" s="6" t="n">
        <f aca="false">(1-Sens!E297)*(Sens!E294+Sens!E296)</f>
        <v>3.25095598674472</v>
      </c>
      <c r="F299" s="6" t="n">
        <f aca="false">(1-Sens!F297)*(Sens!F294+Sens!F296)</f>
        <v>6.53293055050977</v>
      </c>
      <c r="G299" s="6" t="n">
        <f aca="false">(1-Sens!G297)*(Sens!G294+Sens!G296)</f>
        <v>10.7846311741651</v>
      </c>
      <c r="H299" s="6" t="n">
        <f aca="false">(1-Sens!H297)*(Sens!H294+Sens!H296)</f>
        <v>15.26343050201</v>
      </c>
      <c r="I299" s="6" t="n">
        <f aca="false">(1-Sens!I297)*(Sens!I294+Sens!I296)</f>
        <v>19.1433528317977</v>
      </c>
      <c r="J299" s="6" t="n">
        <f aca="false">(1-Sens!J297)*(Sens!J294+Sens!J296)</f>
        <v>21.7903077438073</v>
      </c>
      <c r="K299" s="6" t="n">
        <f aca="false">(1-Sens!K297)*(Sens!K294+Sens!K296)</f>
        <v>23.3028530868211</v>
      </c>
    </row>
    <row r="300" customFormat="false" ht="17.15" hidden="false" customHeight="false" outlineLevel="0" collapsed="false">
      <c r="A300" s="1" t="s">
        <v>842</v>
      </c>
      <c r="B300" s="0" t="s">
        <v>357</v>
      </c>
      <c r="C300" s="8" t="n">
        <f aca="false">cxit_open</f>
        <v>27.5918995</v>
      </c>
      <c r="D300" s="8" t="n">
        <f aca="false">cxit_open</f>
        <v>27.5918995</v>
      </c>
      <c r="E300" s="8" t="n">
        <f aca="false">cxit_open</f>
        <v>27.5918995</v>
      </c>
      <c r="F300" s="8" t="n">
        <f aca="false">(a_g3_27*tk_cxit_gb300+(1-a_g3_27)*tk_cxit_vr200)</f>
        <v>33.8419624</v>
      </c>
      <c r="G300" s="8" t="n">
        <f aca="false">(a_g3_28*tk_cxit_gb300+(1-a_g3_28)*tk_cxit_vr200)</f>
        <v>35.9816136</v>
      </c>
      <c r="H300" s="8" t="n">
        <f aca="false">(a_g3_29*tk_cxit_gb300+(1-a_g3_29)*tk_cxit_vr200)</f>
        <v>37.0514392</v>
      </c>
      <c r="I300" s="8" t="n">
        <f aca="false">(a_g3_29*tk_cxit_gb300+(1-a_g3_29)*tk_cxit_vr200)</f>
        <v>37.0514392</v>
      </c>
      <c r="J300" s="8" t="n">
        <f aca="false">(a_g3_29*tk_cxit_gb300+(1-a_g3_29)*tk_cxit_vr200)</f>
        <v>37.0514392</v>
      </c>
      <c r="K300" s="8" t="n">
        <f aca="false">(a_g3_29*tk_cxit_gb300+(1-a_g3_29)*tk_cxit_vr200)</f>
        <v>37.0514392</v>
      </c>
      <c r="L300" s="11" t="s">
        <v>843</v>
      </c>
    </row>
    <row r="301" customFormat="false" ht="17.15" hidden="false" customHeight="false" outlineLevel="0" collapsed="false">
      <c r="A301" s="0" t="s">
        <v>844</v>
      </c>
      <c r="B301" s="0" t="s">
        <v>399</v>
      </c>
      <c r="F301" s="29" t="n">
        <f aca="false">Sens!C282*IF(Sens!F275-Sens!C275=life_it,1,0)+Sens!D282*IF(Sens!F275-Sens!D275=life_it,1,0)+Sens!E282*IF(Sens!F275-Sens!E275=life_it,1,0)</f>
        <v>0</v>
      </c>
      <c r="G301" s="29" t="n">
        <f aca="false">Sens!C282*IF(Sens!G275-Sens!C275=life_it,1,0)+Sens!D282*IF(Sens!G275-Sens!D275=life_it,1,0)+Sens!E282*IF(Sens!G275-Sens!E275=life_it,1,0)+Sens!F282*IF(Sens!G275-Sens!F275=life_it,1,0)</f>
        <v>0</v>
      </c>
      <c r="H301" s="29" t="n">
        <f aca="false">Sens!C282*IF(Sens!H275-Sens!C275=life_it,1,0)+Sens!D282*IF(Sens!H275-Sens!D275=life_it,1,0)+Sens!E282*IF(Sens!H275-Sens!E275=life_it,1,0)+Sens!F282*IF(Sens!H275-Sens!F275=life_it,1,0)+Sens!G282*IF(Sens!H275-Sens!G275=life_it,1,0)</f>
        <v>0</v>
      </c>
      <c r="I301" s="29" t="n">
        <f aca="false">Sens!C282*IF(Sens!I275-Sens!C275=life_it,1,0)+Sens!D282*IF(Sens!I275-Sens!D275=life_it,1,0)+Sens!E282*IF(Sens!I275-Sens!E275=life_it,1,0)+Sens!F282*IF(Sens!I275-Sens!F275=life_it,1,0)+Sens!G282*IF(Sens!I275-Sens!G275=life_it,1,0)+Sens!H282*IF(Sens!I275-Sens!H275=life_it,1,0)</f>
        <v>816.666666666667</v>
      </c>
      <c r="J301" s="29" t="n">
        <f aca="false">Sens!C282*IF(Sens!J275-Sens!C275=life_it,1,0)+Sens!D282*IF(Sens!J275-Sens!D275=life_it,1,0)+Sens!E282*IF(Sens!J275-Sens!E275=life_it,1,0)+Sens!F282*IF(Sens!J275-Sens!F275=life_it,1,0)+Sens!G282*IF(Sens!J275-Sens!G275=life_it,1,0)+Sens!H282*IF(Sens!J275-Sens!H275=life_it,1,0)+Sens!I282*IF(Sens!J275-Sens!I275=life_it,1,0)</f>
        <v>1233.33333333333</v>
      </c>
      <c r="K301" s="29" t="n">
        <f aca="false">Sens!C282*IF(Sens!K275-Sens!C275=life_it,1,0)+Sens!D282*IF(Sens!K275-Sens!D275=life_it,1,0)+Sens!E282*IF(Sens!K275-Sens!E275=life_it,1,0)+Sens!F282*IF(Sens!K275-Sens!F275=life_it,1,0)+Sens!G282*IF(Sens!K275-Sens!G275=life_it,1,0)+Sens!H282*IF(Sens!K275-Sens!H275=life_it,1,0)+Sens!I282*IF(Sens!K275-Sens!I275=life_it,1,0)+Sens!J282*IF(Sens!K275-Sens!J275=life_it,1,0)</f>
        <v>2450</v>
      </c>
      <c r="L301" s="1" t="s">
        <v>845</v>
      </c>
    </row>
    <row r="302" customFormat="false" ht="17.15" hidden="false" customHeight="false" outlineLevel="0" collapsed="false">
      <c r="A302" s="0" t="s">
        <v>846</v>
      </c>
      <c r="B302" s="0" t="s">
        <v>98</v>
      </c>
      <c r="C302" s="6" t="n">
        <f aca="false">Sens!C282*Sens!C300/1000</f>
        <v>22.5333845916667</v>
      </c>
      <c r="D302" s="6" t="n">
        <f aca="false">Sens!D282*Sens!D300/1000</f>
        <v>34.0300093833333</v>
      </c>
      <c r="E302" s="6" t="n">
        <f aca="false">Sens!E282*Sens!E300/1000</f>
        <v>67.600153775</v>
      </c>
      <c r="F302" s="6" t="n">
        <f aca="false">(Sens!F282+Sens!F301)*Sens!F300/1000</f>
        <v>130.923271871467</v>
      </c>
      <c r="G302" s="6" t="n">
        <f aca="false">(Sens!G282+Sens!G301)*Sens!G300/1000</f>
        <v>151.5545564832</v>
      </c>
      <c r="H302" s="6" t="n">
        <f aca="false">(Sens!H282+Sens!H301)*Sens!H300/1000</f>
        <v>156.0606619104</v>
      </c>
      <c r="I302" s="6" t="n">
        <f aca="false">(Sens!I282+Sens!I301)*Sens!I300/1000</f>
        <v>140.987889434245</v>
      </c>
      <c r="J302" s="6" t="n">
        <f aca="false">(Sens!J282+Sens!J301)*Sens!J300/1000</f>
        <v>113.309125559842</v>
      </c>
      <c r="K302" s="6" t="n">
        <f aca="false">(Sens!K282+Sens!K301)*Sens!K300/1000</f>
        <v>116.192591420959</v>
      </c>
    </row>
    <row r="303" customFormat="false" ht="17.15" hidden="false" customHeight="false" outlineLevel="0" collapsed="false">
      <c r="A303" s="0" t="s">
        <v>847</v>
      </c>
      <c r="B303" s="0" t="s">
        <v>98</v>
      </c>
      <c r="C303" s="6" t="n">
        <f aca="false">Sens!C282*self_build*tk_cxfac/1000</f>
        <v>6.2083</v>
      </c>
      <c r="D303" s="6" t="n">
        <f aca="false">Sens!D282*self_build*tk_cxfac/1000</f>
        <v>9.3758</v>
      </c>
      <c r="E303" s="6" t="n">
        <f aca="false">Sens!E282*self_build*tk_cxfac/1000</f>
        <v>18.6249</v>
      </c>
      <c r="F303" s="6" t="n">
        <f aca="false">Sens!F282*self_build*tk_cxfac/1000</f>
        <v>29.409604</v>
      </c>
      <c r="G303" s="6" t="n">
        <f aca="false">Sens!G282*self_build*tk_cxfac/1000</f>
        <v>32.019624</v>
      </c>
      <c r="H303" s="6" t="n">
        <f aca="false">Sens!H282*self_build*tk_cxfac/1000</f>
        <v>32.019624</v>
      </c>
      <c r="I303" s="6" t="n">
        <f aca="false">Sens!I282*self_build*tk_cxfac/1000</f>
        <v>22.71877972</v>
      </c>
      <c r="J303" s="6" t="n">
        <f aca="false">Sens!J282*self_build*tk_cxfac/1000</f>
        <v>13.8723110344</v>
      </c>
      <c r="K303" s="6" t="n">
        <f aca="false">Sens!K282*self_build*tk_cxfac/1000</f>
        <v>5.214823882632</v>
      </c>
    </row>
    <row r="304" customFormat="false" ht="17.15" hidden="false" customHeight="false" outlineLevel="0" collapsed="false">
      <c r="A304" s="0" t="s">
        <v>848</v>
      </c>
      <c r="B304" s="0" t="s">
        <v>98</v>
      </c>
      <c r="F304" s="6" t="n">
        <f aca="false">MAX(0,capex_floor27-Sens!F302-Sens!F303-Sens!F398)</f>
        <v>8.28777689897088</v>
      </c>
    </row>
    <row r="305" customFormat="false" ht="17.15" hidden="false" customHeight="false" outlineLevel="0" collapsed="false">
      <c r="A305" s="0" t="s">
        <v>849</v>
      </c>
      <c r="B305" s="0" t="s">
        <v>98</v>
      </c>
      <c r="C305" s="6" t="n">
        <f aca="false">Sens!C302</f>
        <v>22.5333845916667</v>
      </c>
      <c r="D305" s="6" t="n">
        <f aca="false">Sens!D302</f>
        <v>34.0300093833333</v>
      </c>
      <c r="E305" s="6" t="n">
        <f aca="false">Sens!E302</f>
        <v>67.600153775</v>
      </c>
      <c r="F305" s="6" t="n">
        <f aca="false">Sens!F302</f>
        <v>130.923271871467</v>
      </c>
      <c r="G305" s="6" t="n">
        <f aca="false">Sens!G302</f>
        <v>151.5545564832</v>
      </c>
      <c r="H305" s="6" t="n">
        <f aca="false">Sens!H302</f>
        <v>156.0606619104</v>
      </c>
      <c r="I305" s="6" t="n">
        <f aca="false">Sens!I302</f>
        <v>140.987889434245</v>
      </c>
      <c r="J305" s="6" t="n">
        <f aca="false">Sens!J302</f>
        <v>113.309125559842</v>
      </c>
      <c r="K305" s="6" t="n">
        <f aca="false">Sens!K302</f>
        <v>116.192591420959</v>
      </c>
    </row>
    <row r="306" customFormat="false" ht="17.15" hidden="false" customHeight="false" outlineLevel="0" collapsed="false">
      <c r="A306" s="0" t="s">
        <v>850</v>
      </c>
      <c r="B306" s="0" t="s">
        <v>98</v>
      </c>
      <c r="C306" s="6" t="n">
        <f aca="false">Sens!C305+Sens!C303</f>
        <v>28.7416845916667</v>
      </c>
      <c r="D306" s="6" t="n">
        <f aca="false">Sens!D305+Sens!D303</f>
        <v>43.4058093833333</v>
      </c>
      <c r="E306" s="6" t="n">
        <f aca="false">Sens!E305+Sens!E303</f>
        <v>86.225053775</v>
      </c>
      <c r="F306" s="6" t="n">
        <f aca="false">Sens!F305+Sens!F303</f>
        <v>160.332875871467</v>
      </c>
      <c r="G306" s="6" t="n">
        <f aca="false">Sens!G305+Sens!G303</f>
        <v>183.5741804832</v>
      </c>
      <c r="H306" s="6" t="n">
        <f aca="false">Sens!H305+Sens!H303</f>
        <v>188.0802859104</v>
      </c>
      <c r="I306" s="6" t="n">
        <f aca="false">Sens!I305+Sens!I303</f>
        <v>163.706669154245</v>
      </c>
      <c r="J306" s="6" t="n">
        <f aca="false">Sens!J305+Sens!J303</f>
        <v>127.181436594242</v>
      </c>
      <c r="K306" s="6" t="n">
        <f aca="false">Sens!K305+Sens!K303</f>
        <v>121.407415303591</v>
      </c>
      <c r="L306" s="11" t="s">
        <v>851</v>
      </c>
    </row>
    <row r="307" customFormat="false" ht="17.15" hidden="false" customHeight="false" outlineLevel="0" collapsed="false">
      <c r="A307" s="0" t="s">
        <v>852</v>
      </c>
      <c r="B307" s="0" t="s">
        <v>98</v>
      </c>
      <c r="E307" s="6" t="n">
        <f aca="false">(Sens!C305*IF(2&lt;life_it,1,IF(2=life_it,0.5,0))+Sens!D305*IF(1&lt;life_it,1,IF(1=life_it,0.5,0))+Sens!E305*0.5)/life_it</f>
        <v>15.0605784770833</v>
      </c>
      <c r="F307" s="6" t="n">
        <f aca="false">(Sens!C305*IF(3&lt;life_it,1,IF(3=life_it,0.5,0))+Sens!D305*IF(2&lt;life_it,1,IF(2=life_it,0.5,0))+Sens!E305*IF(1&lt;life_it,1,IF(1=life_it,0.5,0))+Sens!F305*0.5)/life_it</f>
        <v>31.6041972809556</v>
      </c>
      <c r="G307" s="6" t="n">
        <f aca="false">(Sens!C305*IF(4&lt;life_it,1,IF(4=life_it,0.5,0))+Sens!D305*IF(3&lt;life_it,1,IF(3=life_it,0.5,0))+Sens!E305*IF(2&lt;life_it,1,IF(2=life_it,0.5,0))+Sens!F305*IF(1&lt;life_it,1,IF(1=life_it,0.5,0))+Sens!G305*0.5)/life_it</f>
        <v>55.1440163105111</v>
      </c>
      <c r="H307" s="6" t="n">
        <f aca="false">(Sens!C305*IF(5&lt;life_it,1,IF(5=life_it,0.5,0))+Sens!D305*IF(4&lt;life_it,1,IF(4=life_it,0.5,0))+Sens!E305*IF(3&lt;life_it,1,IF(3=life_it,0.5,0))+Sens!F305*IF(2&lt;life_it,1,IF(2=life_it,0.5,0))+Sens!G305*IF(1&lt;life_it,1,IF(1=life_it,0.5,0))+Sens!H305*0.5)/life_it</f>
        <v>80.7786178433111</v>
      </c>
      <c r="I307" s="6" t="n">
        <f aca="false">(Sens!C305*IF(6&lt;life_it,1,IF(6=life_it,0.5,0))+Sens!D305*IF(5&lt;life_it,1,IF(5=life_it,0.5,0))+Sens!E305*IF(4&lt;life_it,1,IF(4=life_it,0.5,0))+Sens!F305*IF(3&lt;life_it,1,IF(3=life_it,0.5,0))+Sens!G305*IF(2&lt;life_it,1,IF(2=life_it,0.5,0))+Sens!H305*IF(1&lt;life_it,1,IF(1=life_it,0.5,0))+Sens!I305*0.5)/life_it</f>
        <v>103.654881739393</v>
      </c>
      <c r="J307" s="6" t="n">
        <f aca="false">(Sens!C305*IF(7&lt;life_it,1,IF(7=life_it,0.5,0))+Sens!D305*IF(6&lt;life_it,1,IF(6=life_it,0.5,0))+Sens!E305*IF(5&lt;life_it,1,IF(5=life_it,0.5,0))+Sens!F305*IF(4&lt;life_it,1,IF(4=life_it,0.5,0))+Sens!G305*IF(3&lt;life_it,1,IF(3=life_it,0.5,0))+Sens!H305*IF(2&lt;life_it,1,IF(2=life_it,0.5,0))+Sens!I305*IF(1&lt;life_it,1,IF(1=life_it,0.5,0))+Sens!J305*0.5)/life_it</f>
        <v>120.132683490983</v>
      </c>
      <c r="K307" s="6" t="n">
        <f aca="false">(Sens!C305*IF(8&lt;life_it,1,IF(8=life_it,0.5,0))+Sens!D305*IF(7&lt;life_it,1,IF(7=life_it,0.5,0))+Sens!E305*IF(6&lt;life_it,1,IF(6=life_it,0.5,0))+Sens!F305*IF(5&lt;life_it,1,IF(5=life_it,0.5,0))+Sens!G305*IF(4&lt;life_it,1,IF(4=life_it,0.5,0))+Sens!H305*IF(3&lt;life_it,1,IF(3=life_it,0.5,0))+Sens!I305*IF(2&lt;life_it,1,IF(2=life_it,0.5,0))+Sens!J305*IF(1&lt;life_it,1,IF(1=life_it,0.5,0))+Sens!K305*0.5)/life_it</f>
        <v>130.788646309522</v>
      </c>
    </row>
    <row r="308" customFormat="false" ht="17.15" hidden="false" customHeight="false" outlineLevel="0" collapsed="false">
      <c r="A308" s="0" t="s">
        <v>853</v>
      </c>
      <c r="B308" s="0" t="s">
        <v>98</v>
      </c>
      <c r="E308" s="6" t="n">
        <f aca="false">(Sens!C303*IF(2&lt;life_fac,1,IF(2=life_fac,0.5,0))+Sens!D303*IF(1&lt;life_fac,1,IF(1=life_fac,0.5,0))+Sens!E303*0.5)/life_fac</f>
        <v>1.2448275</v>
      </c>
      <c r="F308" s="6" t="n">
        <f aca="false">(Sens!C303*IF(3&lt;life_fac,1,IF(3=life_fac,0.5,0))+Sens!D303*IF(2&lt;life_fac,1,IF(2=life_fac,0.5,0))+Sens!E303*IF(1&lt;life_fac,1,IF(1=life_fac,0.5,0))+Sens!F303*0.5)/life_fac</f>
        <v>2.4456901</v>
      </c>
      <c r="G308" s="6" t="n">
        <f aca="false">(Sens!C303*IF(4&lt;life_fac,1,IF(4=life_fac,0.5,0))+Sens!D303*IF(3&lt;life_fac,1,IF(3=life_fac,0.5,0))+Sens!E303*IF(2&lt;life_fac,1,IF(2=life_fac,0.5,0))+Sens!F303*IF(1&lt;life_fac,1,IF(1=life_fac,0.5,0))+Sens!G303*0.5)/life_fac</f>
        <v>3.9814208</v>
      </c>
      <c r="H308" s="6" t="n">
        <f aca="false">(Sens!C303*IF(5&lt;life_fac,1,IF(5=life_fac,0.5,0))+Sens!D303*IF(4&lt;life_fac,1,IF(4=life_fac,0.5,0))+Sens!E303*IF(3&lt;life_fac,1,IF(3=life_fac,0.5,0))+Sens!F303*IF(2&lt;life_fac,1,IF(2=life_fac,0.5,0))+Sens!G303*IF(1&lt;life_fac,1,IF(1=life_fac,0.5,0))+Sens!H303*0.5)/life_fac</f>
        <v>5.582402</v>
      </c>
      <c r="I308" s="6" t="n">
        <f aca="false">(Sens!C303*IF(6&lt;life_fac,1,IF(6=life_fac,0.5,0))+Sens!D303*IF(5&lt;life_fac,1,IF(5=life_fac,0.5,0))+Sens!E303*IF(4&lt;life_fac,1,IF(4=life_fac,0.5,0))+Sens!F303*IF(3&lt;life_fac,1,IF(3=life_fac,0.5,0))+Sens!G303*IF(2&lt;life_fac,1,IF(2=life_fac,0.5,0))+Sens!H303*IF(1&lt;life_fac,1,IF(1=life_fac,0.5,0))+Sens!I303*0.5)/life_fac</f>
        <v>6.950862093</v>
      </c>
      <c r="J308" s="6" t="n">
        <f aca="false">(Sens!C303*IF(7&lt;life_fac,1,IF(7=life_fac,0.5,0))+Sens!D303*IF(6&lt;life_fac,1,IF(6=life_fac,0.5,0))+Sens!E303*IF(5&lt;life_fac,1,IF(5=life_fac,0.5,0))+Sens!F303*IF(4&lt;life_fac,1,IF(4=life_fac,0.5,0))+Sens!G303*IF(3&lt;life_fac,1,IF(3=life_fac,0.5,0))+Sens!H303*IF(2&lt;life_fac,1,IF(2=life_fac,0.5,0))+Sens!I303*IF(1&lt;life_fac,1,IF(1=life_fac,0.5,0))+Sens!J303*0.5)/life_fac</f>
        <v>7.86563936186</v>
      </c>
      <c r="K308" s="6" t="n">
        <f aca="false">(Sens!C303*IF(8&lt;life_fac,1,IF(8=life_fac,0.5,0))+Sens!D303*IF(7&lt;life_fac,1,IF(7=life_fac,0.5,0))+Sens!E303*IF(6&lt;life_fac,1,IF(6=life_fac,0.5,0))+Sens!F303*IF(5&lt;life_fac,1,IF(5=life_fac,0.5,0))+Sens!G303*IF(4&lt;life_fac,1,IF(4=life_fac,0.5,0))+Sens!H303*IF(3&lt;life_fac,1,IF(3=life_fac,0.5,0))+Sens!I303*IF(2&lt;life_fac,1,IF(2=life_fac,0.5,0))+Sens!J303*IF(1&lt;life_fac,1,IF(1=life_fac,0.5,0))+Sens!K303*0.5)/life_fac</f>
        <v>8.3428177347858</v>
      </c>
    </row>
    <row r="309" customFormat="false" ht="17.15" hidden="false" customHeight="false" outlineLevel="0" collapsed="false">
      <c r="A309" s="0" t="s">
        <v>854</v>
      </c>
      <c r="B309" s="0" t="s">
        <v>98</v>
      </c>
      <c r="E309" s="6" t="n">
        <f aca="false">Sens!E307+Sens!E308</f>
        <v>16.3054059770833</v>
      </c>
      <c r="F309" s="6" t="n">
        <f aca="false">Sens!F307+Sens!F308</f>
        <v>34.0498873809555</v>
      </c>
      <c r="G309" s="6" t="n">
        <f aca="false">Sens!G307+Sens!G308</f>
        <v>59.1254371105111</v>
      </c>
      <c r="H309" s="6" t="n">
        <f aca="false">Sens!H307+Sens!H308</f>
        <v>86.3610198433111</v>
      </c>
      <c r="I309" s="6" t="n">
        <f aca="false">Sens!I307+Sens!I308</f>
        <v>110.605743832393</v>
      </c>
      <c r="J309" s="6" t="n">
        <f aca="false">Sens!J307+Sens!J308</f>
        <v>127.998322852843</v>
      </c>
      <c r="K309" s="6" t="n">
        <f aca="false">Sens!K307+Sens!K308</f>
        <v>139.131464044308</v>
      </c>
    </row>
    <row r="310" customFormat="false" ht="17.15" hidden="false" customHeight="false" outlineLevel="0" collapsed="false">
      <c r="A310" s="0" t="s">
        <v>855</v>
      </c>
      <c r="B310" s="0" t="s">
        <v>98</v>
      </c>
      <c r="E310" s="6" t="n">
        <f aca="false">Sens!E298-Sens!E297*Sens!E309</f>
        <v>8.92707889977379</v>
      </c>
      <c r="F310" s="6" t="n">
        <f aca="false">Sens!F298-Sens!F297*Sens!F309</f>
        <v>19.0295083206205</v>
      </c>
      <c r="G310" s="6" t="n">
        <f aca="false">Sens!G298-Sens!G297*Sens!G309</f>
        <v>31.0774922914994</v>
      </c>
      <c r="H310" s="6" t="n">
        <f aca="false">Sens!H298-Sens!H297*Sens!H309</f>
        <v>43.4030330778723</v>
      </c>
      <c r="I310" s="6" t="n">
        <f aca="false">Sens!I298-Sens!I297*Sens!I309</f>
        <v>54.3591447183526</v>
      </c>
      <c r="J310" s="6" t="n">
        <f aca="false">Sens!J298-Sens!J297*Sens!J309</f>
        <v>62.0539899656947</v>
      </c>
      <c r="K310" s="6" t="n">
        <f aca="false">Sens!K298-Sens!K297*Sens!K309</f>
        <v>67.5792921529812</v>
      </c>
    </row>
    <row r="311" customFormat="false" ht="17.15" hidden="false" customHeight="false" outlineLevel="0" collapsed="false">
      <c r="A311" s="3" t="s">
        <v>1268</v>
      </c>
    </row>
    <row r="312" customFormat="false" ht="15" hidden="false" customHeight="false" outlineLevel="0" collapsed="false">
      <c r="A312" s="4" t="s">
        <v>43</v>
      </c>
      <c r="B312" s="4" t="s">
        <v>65</v>
      </c>
      <c r="C312" s="20" t="s">
        <v>799</v>
      </c>
      <c r="D312" s="20" t="s">
        <v>800</v>
      </c>
      <c r="E312" s="20" t="s">
        <v>801</v>
      </c>
      <c r="F312" s="20" t="s">
        <v>802</v>
      </c>
      <c r="G312" s="20" t="s">
        <v>803</v>
      </c>
      <c r="H312" s="20" t="s">
        <v>804</v>
      </c>
      <c r="I312" s="20" t="s">
        <v>805</v>
      </c>
      <c r="J312" s="20" t="s">
        <v>806</v>
      </c>
      <c r="K312" s="20" t="s">
        <v>807</v>
      </c>
      <c r="L312" s="4" t="s">
        <v>47</v>
      </c>
    </row>
    <row r="313" customFormat="false" ht="17.15" hidden="false" customHeight="false" outlineLevel="0" collapsed="false">
      <c r="A313" s="0" t="s">
        <v>874</v>
      </c>
      <c r="B313" s="0" t="s">
        <v>98</v>
      </c>
      <c r="D313" s="6" t="n">
        <f aca="false">Sens!D292</f>
        <v>12.9359794422418</v>
      </c>
      <c r="E313" s="6" t="n">
        <f aca="false">Sens!E292</f>
        <v>27.8095064661409</v>
      </c>
      <c r="F313" s="6" t="n">
        <f aca="false">Sens!F292</f>
        <v>55.0640065749585</v>
      </c>
      <c r="G313" s="6" t="n">
        <f aca="false">Sens!G292</f>
        <v>89.4505413190538</v>
      </c>
      <c r="H313" s="6" t="n">
        <f aca="false">Sens!H292</f>
        <v>124.835630736874</v>
      </c>
      <c r="I313" s="6" t="n">
        <f aca="false">Sens!I292</f>
        <v>156.158460265485</v>
      </c>
      <c r="J313" s="6" t="n">
        <f aca="false">Sens!J292</f>
        <v>178.259285293112</v>
      </c>
      <c r="K313" s="6" t="n">
        <f aca="false">Sens!K292</f>
        <v>192.733290209798</v>
      </c>
    </row>
    <row r="314" customFormat="false" ht="17.15" hidden="false" customHeight="false" outlineLevel="0" collapsed="false">
      <c r="A314" s="0" t="s">
        <v>875</v>
      </c>
      <c r="B314" s="0" t="s">
        <v>98</v>
      </c>
      <c r="D314" s="6" t="n">
        <f aca="false">Q!L6-Sens!D313</f>
        <v>59.6740205577583</v>
      </c>
      <c r="E314" s="6" t="n">
        <f aca="false">Q!M6-Sens!E313</f>
        <v>74.1284935338591</v>
      </c>
      <c r="F314" s="6" t="n">
        <f aca="false">Sens!E314*(1+Sens!F315)</f>
        <v>90.0799497373663</v>
      </c>
      <c r="G314" s="6" t="n">
        <f aca="false">Sens!F314*(1+Sens!G315)</f>
        <v>107.02842520331</v>
      </c>
      <c r="H314" s="6" t="n">
        <f aca="false">Sens!G314*(1+Sens!H315)</f>
        <v>124.271982585636</v>
      </c>
      <c r="I314" s="6" t="n">
        <f aca="false">Sens!H314*(1+Sens!I315)</f>
        <v>140.933702381855</v>
      </c>
      <c r="J314" s="6" t="n">
        <f aca="false">Sens!I314*(1+Sens!J315)</f>
        <v>156.018867314332</v>
      </c>
      <c r="K314" s="6" t="n">
        <f aca="false">Sens!J314*(1+Sens!K315)</f>
        <v>168.500376699478</v>
      </c>
    </row>
    <row r="315" customFormat="false" ht="15" hidden="false" customHeight="false" outlineLevel="0" collapsed="false">
      <c r="A315" s="1" t="s">
        <v>876</v>
      </c>
      <c r="B315" s="0" t="s">
        <v>129</v>
      </c>
      <c r="E315" s="7" t="n">
        <f aca="false">Sens!E314/Sens!D314-1</f>
        <v>0.242223883039864</v>
      </c>
      <c r="F315" s="7" t="n">
        <f aca="false">Sens!$E$315+(glt_azo-Sens!$E$315)*MIN(1,(Sens!F275-base_fy)/n_conv)</f>
        <v>0.215186569199887</v>
      </c>
      <c r="G315" s="7" t="n">
        <f aca="false">Sens!$E$315+(glt_azo-Sens!$E$315)*MIN(1,(Sens!G275-base_fy)/n_conv)</f>
        <v>0.18814925535991</v>
      </c>
      <c r="H315" s="7" t="n">
        <f aca="false">Sens!$E$315+(glt_azo-Sens!$E$315)*MIN(1,(Sens!H275-base_fy)/n_conv)</f>
        <v>0.161111941519932</v>
      </c>
      <c r="I315" s="7" t="n">
        <f aca="false">Sens!$E$315+(glt_azo-Sens!$E$315)*MIN(1,(Sens!I275-base_fy)/n_conv)</f>
        <v>0.134074627679955</v>
      </c>
      <c r="J315" s="7" t="n">
        <f aca="false">Sens!$E$315+(glt_azo-Sens!$E$315)*MIN(1,(Sens!J275-base_fy)/n_conv)</f>
        <v>0.107037313839977</v>
      </c>
      <c r="K315" s="7" t="n">
        <f aca="false">Sens!$E$315+(glt_azo-Sens!$E$315)*MIN(1,(Sens!K275-base_fy)/n_conv)</f>
        <v>0.08</v>
      </c>
    </row>
    <row r="316" customFormat="false" ht="15" hidden="false" customHeight="false" outlineLevel="0" collapsed="false">
      <c r="A316" s="0" t="s">
        <v>877</v>
      </c>
      <c r="B316" s="0" t="s">
        <v>98</v>
      </c>
      <c r="D316" s="6" t="n">
        <f aca="false">Sens!D313+Sens!D314</f>
        <v>72.61</v>
      </c>
      <c r="E316" s="6" t="n">
        <f aca="false">Sens!E313+Sens!E314</f>
        <v>101.938</v>
      </c>
      <c r="F316" s="6" t="n">
        <f aca="false">Sens!F313+Sens!F314</f>
        <v>145.143956312325</v>
      </c>
      <c r="G316" s="6" t="n">
        <f aca="false">Sens!G313+Sens!G314</f>
        <v>196.478966522364</v>
      </c>
      <c r="H316" s="6" t="n">
        <f aca="false">Sens!H313+Sens!H314</f>
        <v>249.10761332251</v>
      </c>
      <c r="I316" s="6" t="n">
        <f aca="false">Sens!I313+Sens!I314</f>
        <v>297.09216264734</v>
      </c>
      <c r="J316" s="6" t="n">
        <f aca="false">Sens!J313+Sens!J314</f>
        <v>334.278152607443</v>
      </c>
      <c r="K316" s="6" t="n">
        <f aca="false">Sens!K313+Sens!K314</f>
        <v>361.233666909276</v>
      </c>
    </row>
    <row r="317" customFormat="false" ht="17.15" hidden="false" customHeight="false" outlineLevel="0" collapsed="false">
      <c r="A317" s="0" t="s">
        <v>878</v>
      </c>
      <c r="B317" s="1" t="s">
        <v>528</v>
      </c>
      <c r="C317" s="29" t="n">
        <f aca="false">cop_s24</f>
        <v>1</v>
      </c>
      <c r="D317" s="29" t="n">
        <f aca="false">cop_s25</f>
        <v>5</v>
      </c>
      <c r="E317" s="29" t="n">
        <f aca="false">cop_s26</f>
        <v>30</v>
      </c>
      <c r="F317" s="29" t="n">
        <f aca="false">Sens!E317+cop_add_B</f>
        <v>50</v>
      </c>
      <c r="G317" s="29" t="n">
        <f aca="false">Sens!F317+cop_add_B</f>
        <v>70</v>
      </c>
      <c r="H317" s="29" t="n">
        <f aca="false">Sens!G317+cop_add_B</f>
        <v>90</v>
      </c>
      <c r="I317" s="29" t="n">
        <f aca="false">Sens!H317+cop_add_B*cop_tail</f>
        <v>100</v>
      </c>
      <c r="J317" s="29" t="n">
        <f aca="false">Sens!I317+cop_add_B*cop_tail</f>
        <v>110</v>
      </c>
      <c r="K317" s="29" t="n">
        <f aca="false">Sens!J317+cop_add_B*cop_tail</f>
        <v>120</v>
      </c>
      <c r="L317" s="11" t="s">
        <v>879</v>
      </c>
    </row>
    <row r="318" customFormat="false" ht="17.15" hidden="false" customHeight="false" outlineLevel="0" collapsed="false">
      <c r="A318" s="0" t="s">
        <v>880</v>
      </c>
      <c r="B318" s="0" t="s">
        <v>98</v>
      </c>
      <c r="D318" s="6" t="n">
        <f aca="false">(Sens!C317+Sens!D317)/2*cop_px*12/1000</f>
        <v>0.9</v>
      </c>
      <c r="E318" s="6" t="n">
        <f aca="false">(Sens!D317+Sens!E317)/2*cop_px*12/1000</f>
        <v>5.25</v>
      </c>
      <c r="F318" s="6" t="n">
        <f aca="false">(Sens!E317+Sens!F317)/2*cop_px*12/1000</f>
        <v>12</v>
      </c>
      <c r="G318" s="6" t="n">
        <f aca="false">(Sens!F317+Sens!G317)/2*cop_px*12/1000</f>
        <v>18</v>
      </c>
      <c r="H318" s="6" t="n">
        <f aca="false">(Sens!G317+Sens!H317)/2*cop_px*12/1000</f>
        <v>24</v>
      </c>
      <c r="I318" s="6" t="n">
        <f aca="false">(Sens!H317+Sens!I317)/2*cop_px*12/1000</f>
        <v>28.5</v>
      </c>
      <c r="J318" s="6" t="n">
        <f aca="false">(Sens!I317+Sens!J317)/2*cop_px*12/1000</f>
        <v>31.5</v>
      </c>
      <c r="K318" s="6" t="n">
        <f aca="false">(Sens!J317+Sens!K317)/2*cop_px*12/1000</f>
        <v>34.5</v>
      </c>
      <c r="L318" s="1" t="s">
        <v>881</v>
      </c>
    </row>
    <row r="319" customFormat="false" ht="17.15" hidden="false" customHeight="false" outlineLevel="0" collapsed="false">
      <c r="A319" s="0" t="s">
        <v>882</v>
      </c>
      <c r="B319" s="0" t="s">
        <v>98</v>
      </c>
      <c r="D319" s="6" t="n">
        <f aca="false">Q!L7-Sens!D318</f>
        <v>83.705</v>
      </c>
      <c r="E319" s="6" t="n">
        <f aca="false">Q!M7-Sens!E318</f>
        <v>95.049</v>
      </c>
      <c r="F319" s="6" t="n">
        <f aca="false">Sens!E319*(1+Sens!F320)</f>
        <v>106.89238776686</v>
      </c>
      <c r="G319" s="6" t="n">
        <f aca="false">Sens!F319*(1+Sens!G320)</f>
        <v>119.044168448684</v>
      </c>
      <c r="H319" s="6" t="n">
        <f aca="false">Sens!G319*(1+Sens!H320)</f>
        <v>131.277359388781</v>
      </c>
      <c r="I319" s="6" t="n">
        <f aca="false">Sens!H319*(1+Sens!I320)</f>
        <v>143.334028071957</v>
      </c>
      <c r="J319" s="6" t="n">
        <f aca="false">Sens!I319*(1+Sens!J320)</f>
        <v>154.932702785465</v>
      </c>
      <c r="K319" s="6" t="n">
        <f aca="false">Sens!J319*(1+Sens!K320)</f>
        <v>165.777991980448</v>
      </c>
    </row>
    <row r="320" customFormat="false" ht="15" hidden="false" customHeight="false" outlineLevel="0" collapsed="false">
      <c r="A320" s="1" t="s">
        <v>876</v>
      </c>
      <c r="B320" s="0" t="s">
        <v>129</v>
      </c>
      <c r="E320" s="7" t="n">
        <f aca="false">Sens!E319/Sens!D319-1</f>
        <v>0.135523564900544</v>
      </c>
      <c r="F320" s="7" t="n">
        <f aca="false">Sens!$E$320+(glt_m365b-Sens!$E$320)*MIN(1,(Sens!F275-base_fy)/n_conv)</f>
        <v>0.124602970750453</v>
      </c>
      <c r="G320" s="7" t="n">
        <f aca="false">Sens!$E$320+(glt_m365b-Sens!$E$320)*MIN(1,(Sens!G275-base_fy)/n_conv)</f>
        <v>0.113682376600363</v>
      </c>
      <c r="H320" s="7" t="n">
        <f aca="false">Sens!$E$320+(glt_m365b-Sens!$E$320)*MIN(1,(Sens!H275-base_fy)/n_conv)</f>
        <v>0.102761782450272</v>
      </c>
      <c r="I320" s="7" t="n">
        <f aca="false">Sens!$E$320+(glt_m365b-Sens!$E$320)*MIN(1,(Sens!I275-base_fy)/n_conv)</f>
        <v>0.0918411883001813</v>
      </c>
      <c r="J320" s="7" t="n">
        <f aca="false">Sens!$E$320+(glt_m365b-Sens!$E$320)*MIN(1,(Sens!J275-base_fy)/n_conv)</f>
        <v>0.0809205941500906</v>
      </c>
      <c r="K320" s="7" t="n">
        <f aca="false">Sens!$E$320+(glt_m365b-Sens!$E$320)*MIN(1,(Sens!K275-base_fy)/n_conv)</f>
        <v>0.07</v>
      </c>
    </row>
    <row r="321" customFormat="false" ht="15" hidden="false" customHeight="false" outlineLevel="0" collapsed="false">
      <c r="A321" s="0" t="s">
        <v>883</v>
      </c>
      <c r="B321" s="0" t="s">
        <v>98</v>
      </c>
      <c r="D321" s="6" t="n">
        <f aca="false">Sens!D319+Sens!D318</f>
        <v>84.605</v>
      </c>
      <c r="E321" s="6" t="n">
        <f aca="false">Sens!E319+Sens!E318</f>
        <v>100.299</v>
      </c>
      <c r="F321" s="6" t="n">
        <f aca="false">Sens!F319+Sens!F318</f>
        <v>118.89238776686</v>
      </c>
      <c r="G321" s="6" t="n">
        <f aca="false">Sens!G319+Sens!G318</f>
        <v>137.044168448684</v>
      </c>
      <c r="H321" s="6" t="n">
        <f aca="false">Sens!H319+Sens!H318</f>
        <v>155.277359388781</v>
      </c>
      <c r="I321" s="6" t="n">
        <f aca="false">Sens!I319+Sens!I318</f>
        <v>171.834028071957</v>
      </c>
      <c r="J321" s="6" t="n">
        <f aca="false">Sens!J319+Sens!J318</f>
        <v>186.432702785465</v>
      </c>
      <c r="K321" s="6" t="n">
        <f aca="false">Sens!K319+Sens!K318</f>
        <v>200.277991980448</v>
      </c>
    </row>
    <row r="322" customFormat="false" ht="15" hidden="false" customHeight="false" outlineLevel="0" collapsed="false">
      <c r="A322" s="0" t="s">
        <v>884</v>
      </c>
      <c r="B322" s="0" t="s">
        <v>98</v>
      </c>
      <c r="D322" s="6" t="n">
        <f aca="false">Q!L8</f>
        <v>35.391</v>
      </c>
      <c r="E322" s="6" t="n">
        <f aca="false">Q!M8</f>
        <v>37.285</v>
      </c>
      <c r="F322" s="6" t="n">
        <f aca="false">Sens!E322*(1+Sens!F323)</f>
        <v>39.0720834331704</v>
      </c>
      <c r="G322" s="6" t="n">
        <f aca="false">Sens!F322*(1+Sens!G323)</f>
        <v>40.726562953769</v>
      </c>
      <c r="H322" s="6" t="n">
        <f aca="false">Sens!G322*(1+Sens!H323)</f>
        <v>42.2235987259198</v>
      </c>
      <c r="I322" s="6" t="n">
        <f aca="false">Sens!H322*(1+Sens!I323)</f>
        <v>43.5397988077414</v>
      </c>
      <c r="J322" s="6" t="n">
        <f aca="false">Sens!I322*(1+Sens!J323)</f>
        <v>44.653811225693</v>
      </c>
      <c r="K322" s="6" t="n">
        <f aca="false">Sens!J322*(1+Sens!K323)</f>
        <v>45.5468874502068</v>
      </c>
    </row>
    <row r="323" customFormat="false" ht="15" hidden="false" customHeight="false" outlineLevel="0" collapsed="false">
      <c r="A323" s="1" t="s">
        <v>876</v>
      </c>
      <c r="B323" s="0" t="s">
        <v>129</v>
      </c>
      <c r="E323" s="7" t="n">
        <f aca="false">Sens!E322/Sens!D322-1</f>
        <v>0.0535164307309768</v>
      </c>
      <c r="F323" s="7" t="n">
        <f aca="false">Sens!$E$323+(glt_lic-Sens!$E$323)*MIN(1,(Sens!F275-base_fy)/n_conv)</f>
        <v>0.0479303589424807</v>
      </c>
      <c r="G323" s="7" t="n">
        <f aca="false">Sens!$E$323+(glt_lic-Sens!$E$323)*MIN(1,(Sens!G275-base_fy)/n_conv)</f>
        <v>0.0423442871539845</v>
      </c>
      <c r="H323" s="7" t="n">
        <f aca="false">Sens!$E$323+(glt_lic-Sens!$E$323)*MIN(1,(Sens!H275-base_fy)/n_conv)</f>
        <v>0.0367582153654884</v>
      </c>
      <c r="I323" s="7" t="n">
        <f aca="false">Sens!$E$323+(glt_lic-Sens!$E$323)*MIN(1,(Sens!I275-base_fy)/n_conv)</f>
        <v>0.0311721435769923</v>
      </c>
      <c r="J323" s="7" t="n">
        <f aca="false">Sens!$E$323+(glt_lic-Sens!$E$323)*MIN(1,(Sens!J275-base_fy)/n_conv)</f>
        <v>0.0255860717884961</v>
      </c>
      <c r="K323" s="7" t="n">
        <f aca="false">Sens!$E$323+(glt_lic-Sens!$E$323)*MIN(1,(Sens!K275-base_fy)/n_conv)</f>
        <v>0.02</v>
      </c>
    </row>
    <row r="324" customFormat="false" ht="15" hidden="false" customHeight="false" outlineLevel="0" collapsed="false">
      <c r="A324" s="0" t="s">
        <v>885</v>
      </c>
      <c r="B324" s="0" t="s">
        <v>98</v>
      </c>
      <c r="D324" s="6" t="n">
        <f aca="false">Q!L9</f>
        <v>18.417</v>
      </c>
      <c r="E324" s="6" t="n">
        <f aca="false">Q!M9</f>
        <v>20.345</v>
      </c>
      <c r="F324" s="6" t="n">
        <f aca="false">Sens!E324*(1+Sens!F325)</f>
        <v>22.3572203267814</v>
      </c>
      <c r="G324" s="6" t="n">
        <f aca="false">Sens!F324*(1+Sens!G325)</f>
        <v>24.4392124437232</v>
      </c>
      <c r="H324" s="6" t="n">
        <f aca="false">Sens!G324*(1+Sens!H325)</f>
        <v>26.5738052080665</v>
      </c>
      <c r="I324" s="6" t="n">
        <f aca="false">Sens!H324*(1+Sens!I325)</f>
        <v>28.7412169166967</v>
      </c>
      <c r="J324" s="6" t="n">
        <f aca="false">Sens!I324*(1+Sens!J325)</f>
        <v>30.9192545395413</v>
      </c>
      <c r="K324" s="6" t="n">
        <f aca="false">Sens!J324*(1+Sens!K325)</f>
        <v>33.0836023573092</v>
      </c>
    </row>
    <row r="325" customFormat="false" ht="15" hidden="false" customHeight="false" outlineLevel="0" collapsed="false">
      <c r="A325" s="1" t="s">
        <v>876</v>
      </c>
      <c r="B325" s="0" t="s">
        <v>129</v>
      </c>
      <c r="E325" s="7" t="n">
        <f aca="false">Sens!E324/Sens!D324-1</f>
        <v>0.104685888038225</v>
      </c>
      <c r="F325" s="7" t="n">
        <f aca="false">Sens!$E$325+(glt_ind-Sens!$E$325)*MIN(1,(Sens!F275-base_fy)/n_conv)</f>
        <v>0.0989049066985211</v>
      </c>
      <c r="G325" s="7" t="n">
        <f aca="false">Sens!$E$325+(glt_ind-Sens!$E$325)*MIN(1,(Sens!G275-base_fy)/n_conv)</f>
        <v>0.0931239253588169</v>
      </c>
      <c r="H325" s="7" t="n">
        <f aca="false">Sens!$E$325+(glt_ind-Sens!$E$325)*MIN(1,(Sens!H275-base_fy)/n_conv)</f>
        <v>0.0873429440191127</v>
      </c>
      <c r="I325" s="7" t="n">
        <f aca="false">Sens!$E$325+(glt_ind-Sens!$E$325)*MIN(1,(Sens!I275-base_fy)/n_conv)</f>
        <v>0.0815619626794085</v>
      </c>
      <c r="J325" s="7" t="n">
        <f aca="false">Sens!$E$325+(glt_ind-Sens!$E$325)*MIN(1,(Sens!J275-base_fy)/n_conv)</f>
        <v>0.0757809813397042</v>
      </c>
      <c r="K325" s="7" t="n">
        <f aca="false">Sens!$E$325+(glt_ind-Sens!$E$325)*MIN(1,(Sens!K275-base_fy)/n_conv)</f>
        <v>0.07</v>
      </c>
    </row>
    <row r="326" customFormat="false" ht="15" hidden="false" customHeight="false" outlineLevel="0" collapsed="false">
      <c r="A326" s="0" t="s">
        <v>886</v>
      </c>
      <c r="B326" s="0" t="s">
        <v>98</v>
      </c>
      <c r="D326" s="6" t="n">
        <f aca="false">Q!L10</f>
        <v>7.76</v>
      </c>
      <c r="E326" s="6" t="n">
        <f aca="false">Q!M10</f>
        <v>8.26</v>
      </c>
      <c r="F326" s="6" t="n">
        <f aca="false">Sens!E326*(1+Sens!F327)</f>
        <v>8.79988041237113</v>
      </c>
      <c r="G326" s="6" t="n">
        <f aca="false">Sens!F326*(1+Sens!G327)</f>
        <v>9.38321269125306</v>
      </c>
      <c r="H326" s="6" t="n">
        <f aca="false">Sens!G326*(1+Sens!H327)</f>
        <v>10.0139193587476</v>
      </c>
      <c r="I326" s="6" t="n">
        <f aca="false">Sens!H326*(1+Sens!I327)</f>
        <v>10.6963111830911</v>
      </c>
      <c r="J326" s="6" t="n">
        <f aca="false">Sens!I326*(1+Sens!J327)</f>
        <v>11.4351285534696</v>
      </c>
      <c r="K326" s="6" t="n">
        <f aca="false">Sens!J326*(1+Sens!K327)</f>
        <v>12.2355875522124</v>
      </c>
    </row>
    <row r="327" customFormat="false" ht="15" hidden="false" customHeight="false" outlineLevel="0" collapsed="false">
      <c r="A327" s="1" t="s">
        <v>876</v>
      </c>
      <c r="B327" s="0" t="s">
        <v>129</v>
      </c>
      <c r="E327" s="7" t="n">
        <f aca="false">Sens!E326/Sens!D326-1</f>
        <v>0.0644329896907216</v>
      </c>
      <c r="F327" s="7" t="n">
        <f aca="false">Sens!$E$327+(glt_fro-Sens!$E$327)*MIN(1,(Sens!F275-base_fy)/n_conv)</f>
        <v>0.065360824742268</v>
      </c>
      <c r="G327" s="7" t="n">
        <f aca="false">Sens!$E$327+(glt_fro-Sens!$E$327)*MIN(1,(Sens!G275-base_fy)/n_conv)</f>
        <v>0.0662886597938144</v>
      </c>
      <c r="H327" s="7" t="n">
        <f aca="false">Sens!$E$327+(glt_fro-Sens!$E$327)*MIN(1,(Sens!H275-base_fy)/n_conv)</f>
        <v>0.0672164948453608</v>
      </c>
      <c r="I327" s="7" t="n">
        <f aca="false">Sens!$E$327+(glt_fro-Sens!$E$327)*MIN(1,(Sens!I275-base_fy)/n_conv)</f>
        <v>0.0681443298969072</v>
      </c>
      <c r="J327" s="7" t="n">
        <f aca="false">Sens!$E$327+(glt_fro-Sens!$E$327)*MIN(1,(Sens!J275-base_fy)/n_conv)</f>
        <v>0.0690721649484536</v>
      </c>
      <c r="K327" s="7" t="n">
        <f aca="false">Sens!$E$327+(glt_fro-Sens!$E$327)*MIN(1,(Sens!K275-base_fy)/n_conv)</f>
        <v>0.07</v>
      </c>
    </row>
    <row r="328" customFormat="false" ht="15" hidden="false" customHeight="false" outlineLevel="0" collapsed="false">
      <c r="A328" s="0" t="s">
        <v>715</v>
      </c>
      <c r="B328" s="0" t="s">
        <v>98</v>
      </c>
      <c r="D328" s="6" t="n">
        <f aca="false">Sens!D316+Sens!D321+Sens!D322+Sens!D324+Sens!D326</f>
        <v>218.783</v>
      </c>
      <c r="E328" s="6" t="n">
        <f aca="false">Sens!E316+Sens!E321+Sens!E322+Sens!E324+Sens!E326</f>
        <v>268.127</v>
      </c>
      <c r="F328" s="6" t="n">
        <f aca="false">Sens!F316+Sens!F321+Sens!F322+Sens!F324+Sens!F326</f>
        <v>334.265528251508</v>
      </c>
      <c r="G328" s="6" t="n">
        <f aca="false">Sens!G316+Sens!G321+Sens!G322+Sens!G324+Sens!G326</f>
        <v>408.072123059793</v>
      </c>
      <c r="H328" s="6" t="n">
        <f aca="false">Sens!H316+Sens!H321+Sens!H322+Sens!H324+Sens!H326</f>
        <v>483.196296004025</v>
      </c>
      <c r="I328" s="6" t="n">
        <f aca="false">Sens!I316+Sens!I321+Sens!I322+Sens!I324+Sens!I326</f>
        <v>551.903517626826</v>
      </c>
      <c r="J328" s="6" t="n">
        <f aca="false">Sens!J316+Sens!J321+Sens!J322+Sens!J324+Sens!J326</f>
        <v>607.719049711612</v>
      </c>
      <c r="K328" s="6" t="n">
        <f aca="false">Sens!K316+Sens!K321+Sens!K322+Sens!K324+Sens!K326</f>
        <v>652.377736249452</v>
      </c>
    </row>
    <row r="329" customFormat="false" ht="15" hidden="false" customHeight="false" outlineLevel="0" collapsed="false">
      <c r="A329" s="0" t="s">
        <v>887</v>
      </c>
      <c r="B329" s="0" t="s">
        <v>98</v>
      </c>
      <c r="D329" s="6" t="n">
        <f aca="false">Q!L13</f>
        <v>22.171</v>
      </c>
      <c r="E329" s="6" t="n">
        <f aca="false">Q!M13</f>
        <v>24.835</v>
      </c>
      <c r="F329" s="6" t="n">
        <f aca="false">Sens!E329*(1+Sens!F330)</f>
        <v>27.6114901218559</v>
      </c>
      <c r="G329" s="6" t="n">
        <f aca="false">Sens!F329*(1+Sens!G330)</f>
        <v>30.4675667338515</v>
      </c>
      <c r="H329" s="6" t="n">
        <f aca="false">Sens!G329*(1+Sens!H330)</f>
        <v>33.3643766955789</v>
      </c>
      <c r="I329" s="6" t="n">
        <f aca="false">Sens!H329*(1+Sens!I330)</f>
        <v>36.2577016533691</v>
      </c>
      <c r="J329" s="6" t="n">
        <f aca="false">Sens!I329*(1+Sens!J330)</f>
        <v>39.0988367952171</v>
      </c>
      <c r="K329" s="6" t="n">
        <f aca="false">Sens!J329*(1+Sens!K330)</f>
        <v>41.8357553708823</v>
      </c>
    </row>
    <row r="330" customFormat="false" ht="15" hidden="false" customHeight="false" outlineLevel="0" collapsed="false">
      <c r="A330" s="1" t="s">
        <v>876</v>
      </c>
      <c r="B330" s="0" t="s">
        <v>129</v>
      </c>
      <c r="E330" s="7" t="n">
        <f aca="false">Sens!E329/Sens!D329-1</f>
        <v>0.120156961796942</v>
      </c>
      <c r="F330" s="7" t="n">
        <f aca="false">Sens!$E$330+(glt_srch-Sens!$E$330)*MIN(1,(Sens!F275-base_fy)/n_conv)</f>
        <v>0.111797468164118</v>
      </c>
      <c r="G330" s="7" t="n">
        <f aca="false">Sens!$E$330+(glt_srch-Sens!$E$330)*MIN(1,(Sens!G275-base_fy)/n_conv)</f>
        <v>0.103437974531295</v>
      </c>
      <c r="H330" s="7" t="n">
        <f aca="false">Sens!$E$330+(glt_srch-Sens!$E$330)*MIN(1,(Sens!H275-base_fy)/n_conv)</f>
        <v>0.095078480898471</v>
      </c>
      <c r="I330" s="7" t="n">
        <f aca="false">Sens!$E$330+(glt_srch-Sens!$E$330)*MIN(1,(Sens!I275-base_fy)/n_conv)</f>
        <v>0.0867189872656474</v>
      </c>
      <c r="J330" s="7" t="n">
        <f aca="false">Sens!$E$330+(glt_srch-Sens!$E$330)*MIN(1,(Sens!J275-base_fy)/n_conv)</f>
        <v>0.0783594936328237</v>
      </c>
      <c r="K330" s="7" t="n">
        <f aca="false">Sens!$E$330+(glt_srch-Sens!$E$330)*MIN(1,(Sens!K275-base_fy)/n_conv)</f>
        <v>0.07</v>
      </c>
    </row>
    <row r="331" customFormat="false" ht="15" hidden="false" customHeight="false" outlineLevel="0" collapsed="false">
      <c r="A331" s="0" t="s">
        <v>888</v>
      </c>
      <c r="B331" s="0" t="s">
        <v>98</v>
      </c>
      <c r="D331" s="6" t="n">
        <f aca="false">Q!L14</f>
        <v>23.455</v>
      </c>
      <c r="E331" s="6" t="n">
        <f aca="false">Q!M14</f>
        <v>21.79</v>
      </c>
      <c r="F331" s="6" t="n">
        <f aca="false">Sens!E331*(1+Sens!F332)</f>
        <v>20.5736277908051</v>
      </c>
      <c r="G331" s="6" t="n">
        <f aca="false">Sens!F331*(1+Sens!G332)</f>
        <v>19.7371452817919</v>
      </c>
      <c r="H331" s="6" t="n">
        <f aca="false">Sens!G331*(1+Sens!H332)</f>
        <v>19.2339764043138</v>
      </c>
      <c r="I331" s="6" t="n">
        <f aca="false">Sens!H331*(1+Sens!I332)</f>
        <v>19.0353086852681</v>
      </c>
      <c r="J331" s="6" t="n">
        <f aca="false">Sens!I331*(1+Sens!J332)</f>
        <v>19.1273539319129</v>
      </c>
      <c r="K331" s="6" t="n">
        <f aca="false">Sens!J331*(1+Sens!K332)</f>
        <v>19.5099010105511</v>
      </c>
    </row>
    <row r="332" customFormat="false" ht="15" hidden="false" customHeight="false" outlineLevel="0" collapsed="false">
      <c r="A332" s="1" t="s">
        <v>876</v>
      </c>
      <c r="B332" s="0" t="s">
        <v>129</v>
      </c>
      <c r="E332" s="7" t="n">
        <f aca="false">Sens!E331/Sens!D331-1</f>
        <v>-0.0709869963760392</v>
      </c>
      <c r="F332" s="7" t="n">
        <f aca="false">Sens!$E$332+(glt_xbox-Sens!$E$332)*MIN(1,(Sens!F275-base_fy)/n_conv)</f>
        <v>-0.0558224969800327</v>
      </c>
      <c r="G332" s="7" t="n">
        <f aca="false">Sens!$E$332+(glt_xbox-Sens!$E$332)*MIN(1,(Sens!G275-base_fy)/n_conv)</f>
        <v>-0.0406579975840262</v>
      </c>
      <c r="H332" s="7" t="n">
        <f aca="false">Sens!$E$332+(glt_xbox-Sens!$E$332)*MIN(1,(Sens!H275-base_fy)/n_conv)</f>
        <v>-0.0254934981880196</v>
      </c>
      <c r="I332" s="7" t="n">
        <f aca="false">Sens!$E$332+(glt_xbox-Sens!$E$332)*MIN(1,(Sens!I275-base_fy)/n_conv)</f>
        <v>-0.0103289987920131</v>
      </c>
      <c r="J332" s="7" t="n">
        <f aca="false">Sens!$E$332+(glt_xbox-Sens!$E$332)*MIN(1,(Sens!J275-base_fy)/n_conv)</f>
        <v>0.00483550060399347</v>
      </c>
      <c r="K332" s="7" t="n">
        <f aca="false">Sens!$E$332+(glt_xbox-Sens!$E$332)*MIN(1,(Sens!K275-base_fy)/n_conv)</f>
        <v>0.02</v>
      </c>
    </row>
    <row r="333" customFormat="false" ht="15" hidden="false" customHeight="false" outlineLevel="0" collapsed="false">
      <c r="A333" s="0" t="s">
        <v>889</v>
      </c>
      <c r="B333" s="0" t="s">
        <v>98</v>
      </c>
      <c r="D333" s="6" t="n">
        <f aca="false">Q!L15</f>
        <v>17.315</v>
      </c>
      <c r="E333" s="6" t="n">
        <f aca="false">Q!M15</f>
        <v>17.087</v>
      </c>
      <c r="F333" s="6" t="n">
        <f aca="false">Sens!E333*(1+Sens!F334)</f>
        <v>16.9564585436519</v>
      </c>
      <c r="G333" s="6" t="n">
        <f aca="false">Sens!F333*(1+Sens!G334)</f>
        <v>16.9206490624268</v>
      </c>
      <c r="H333" s="6" t="n">
        <f aca="false">Sens!G333*(1+Sens!H334)</f>
        <v>16.9784519149849</v>
      </c>
      <c r="I333" s="6" t="n">
        <f aca="false">Sens!H333*(1+Sens!I334)</f>
        <v>17.1303084701817</v>
      </c>
      <c r="J333" s="6" t="n">
        <f aca="false">Sens!I333*(1+Sens!J334)</f>
        <v>17.3782189407267</v>
      </c>
      <c r="K333" s="6" t="n">
        <f aca="false">Sens!J333*(1+Sens!K334)</f>
        <v>17.7257833195413</v>
      </c>
    </row>
    <row r="334" customFormat="false" ht="15" hidden="false" customHeight="false" outlineLevel="0" collapsed="false">
      <c r="A334" s="1" t="s">
        <v>876</v>
      </c>
      <c r="B334" s="0" t="s">
        <v>129</v>
      </c>
      <c r="E334" s="7" t="n">
        <f aca="false">Sens!E333/Sens!D333-1</f>
        <v>-0.0131677736066995</v>
      </c>
      <c r="F334" s="7" t="n">
        <f aca="false">Sens!$E$334+(glt_win-Sens!$E$334)*MIN(1,(Sens!F275-base_fy)/n_conv)</f>
        <v>-0.00763981133891627</v>
      </c>
      <c r="G334" s="7" t="n">
        <f aca="false">Sens!$E$334+(glt_win-Sens!$E$334)*MIN(1,(Sens!G275-base_fy)/n_conv)</f>
        <v>-0.00211184907113301</v>
      </c>
      <c r="H334" s="7" t="n">
        <f aca="false">Sens!$E$334+(glt_win-Sens!$E$334)*MIN(1,(Sens!H275-base_fy)/n_conv)</f>
        <v>0.00341611319665024</v>
      </c>
      <c r="I334" s="7" t="n">
        <f aca="false">Sens!$E$334+(glt_win-Sens!$E$334)*MIN(1,(Sens!I275-base_fy)/n_conv)</f>
        <v>0.00894407546443349</v>
      </c>
      <c r="J334" s="7" t="n">
        <f aca="false">Sens!$E$334+(glt_win-Sens!$E$334)*MIN(1,(Sens!J275-base_fy)/n_conv)</f>
        <v>0.0144720377322168</v>
      </c>
      <c r="K334" s="7" t="n">
        <f aca="false">Sens!$E$334+(glt_win-Sens!$E$334)*MIN(1,(Sens!K275-base_fy)/n_conv)</f>
        <v>0.02</v>
      </c>
    </row>
    <row r="335" customFormat="false" ht="15" hidden="false" customHeight="false" outlineLevel="0" collapsed="false">
      <c r="A335" s="0" t="s">
        <v>729</v>
      </c>
      <c r="B335" s="0" t="s">
        <v>98</v>
      </c>
      <c r="D335" s="6" t="n">
        <f aca="false">Sens!D329+Sens!D331+Sens!D333</f>
        <v>62.941</v>
      </c>
      <c r="E335" s="6" t="n">
        <f aca="false">Sens!E329+Sens!E331+Sens!E333</f>
        <v>63.712</v>
      </c>
      <c r="F335" s="6" t="n">
        <f aca="false">Sens!F329+Sens!F331+Sens!F333</f>
        <v>65.1415764563129</v>
      </c>
      <c r="G335" s="6" t="n">
        <f aca="false">Sens!G329+Sens!G331+Sens!G333</f>
        <v>67.1253610780702</v>
      </c>
      <c r="H335" s="6" t="n">
        <f aca="false">Sens!H329+Sens!H331+Sens!H333</f>
        <v>69.5768050148776</v>
      </c>
      <c r="I335" s="6" t="n">
        <f aca="false">Sens!I329+Sens!I331+Sens!I333</f>
        <v>72.4233188088189</v>
      </c>
      <c r="J335" s="6" t="n">
        <f aca="false">Sens!J329+Sens!J331+Sens!J333</f>
        <v>75.6044096678567</v>
      </c>
      <c r="K335" s="6" t="n">
        <f aca="false">Sens!K329+Sens!K331+Sens!K333</f>
        <v>79.0714397009747</v>
      </c>
    </row>
    <row r="336" customFormat="false" ht="15" hidden="false" customHeight="false" outlineLevel="0" collapsed="false">
      <c r="A336" s="1" t="s">
        <v>890</v>
      </c>
      <c r="B336" s="0" t="s">
        <v>98</v>
      </c>
      <c r="D336" s="6" t="n">
        <f aca="false">Sens!D328+Sens!D335</f>
        <v>281.724</v>
      </c>
      <c r="E336" s="6" t="n">
        <f aca="false">Sens!E328+Sens!E335</f>
        <v>331.839</v>
      </c>
      <c r="F336" s="6" t="n">
        <f aca="false">Sens!F328+Sens!F335</f>
        <v>399.407104707821</v>
      </c>
      <c r="G336" s="6" t="n">
        <f aca="false">Sens!G328+Sens!G335</f>
        <v>475.197484137863</v>
      </c>
      <c r="H336" s="6" t="n">
        <f aca="false">Sens!H328+Sens!H335</f>
        <v>552.773101018903</v>
      </c>
      <c r="I336" s="6" t="n">
        <f aca="false">Sens!I328+Sens!I335</f>
        <v>624.326836435645</v>
      </c>
      <c r="J336" s="6" t="n">
        <f aca="false">Sens!J328+Sens!J335</f>
        <v>683.323459379469</v>
      </c>
      <c r="K336" s="6" t="n">
        <f aca="false">Sens!K328+Sens!K335</f>
        <v>731.449175950427</v>
      </c>
    </row>
    <row r="337" customFormat="false" ht="15" hidden="false" customHeight="false" outlineLevel="0" collapsed="false">
      <c r="A337" s="23" t="s">
        <v>891</v>
      </c>
      <c r="B337" s="30" t="s">
        <v>98</v>
      </c>
      <c r="C337" s="30"/>
      <c r="D337" s="24" t="n">
        <f aca="false">(Sens!D316+Sens!D321+Sens!D322+Sens!D324+Sens!D326-Sens!D328)+(Sens!D329+Sens!D331+Sens!D333-Sens!D335)+(Sens!D328-Q!L5)+(Sens!D335-Q!L12)+(Sens!D316-Q!L6)+(Sens!D321-Q!L7)</f>
        <v>0</v>
      </c>
      <c r="E337" s="24" t="n">
        <f aca="false">(Sens!E316+Sens!E321+Sens!E322+Sens!E324+Sens!E326-Sens!E328)+(Sens!E329+Sens!E331+Sens!E333-Sens!E335)+(Sens!E328-Q!M5)+(Sens!E335-Q!M12)+(Sens!E316-Q!M6)+(Sens!E321-Q!M7)</f>
        <v>0</v>
      </c>
      <c r="F337" s="24" t="n">
        <f aca="false">(Sens!F316+Sens!F321+Sens!F322+Sens!F324+Sens!F326-Sens!F328)+(Sens!F329+Sens!F331+Sens!F333-Sens!F335)</f>
        <v>0</v>
      </c>
      <c r="G337" s="24" t="n">
        <f aca="false">(Sens!G316+Sens!G321+Sens!G322+Sens!G324+Sens!G326-Sens!G328)+(Sens!G329+Sens!G331+Sens!G333-Sens!G335)</f>
        <v>0</v>
      </c>
      <c r="H337" s="24" t="n">
        <f aca="false">(Sens!H316+Sens!H321+Sens!H322+Sens!H324+Sens!H326-Sens!H328)+(Sens!H329+Sens!H331+Sens!H333-Sens!H335)</f>
        <v>0</v>
      </c>
      <c r="I337" s="24" t="n">
        <f aca="false">(Sens!I316+Sens!I321+Sens!I322+Sens!I324+Sens!I326-Sens!I328)+(Sens!I329+Sens!I331+Sens!I333-Sens!I335)</f>
        <v>0</v>
      </c>
      <c r="J337" s="24" t="n">
        <f aca="false">(Sens!J316+Sens!J321+Sens!J322+Sens!J324+Sens!J326-Sens!J328)+(Sens!J329+Sens!J331+Sens!J333-Sens!J335)</f>
        <v>0</v>
      </c>
      <c r="K337" s="24" t="n">
        <f aca="false">(Sens!K316+Sens!K321+Sens!K322+Sens!K324+Sens!K326-Sens!K328)+(Sens!K329+Sens!K331+Sens!K333-Sens!K335)</f>
        <v>0</v>
      </c>
    </row>
    <row r="338" customFormat="false" ht="17.15" hidden="false" customHeight="false" outlineLevel="0" collapsed="false">
      <c r="A338" s="3" t="s">
        <v>1269</v>
      </c>
    </row>
    <row r="339" customFormat="false" ht="15" hidden="false" customHeight="false" outlineLevel="0" collapsed="false">
      <c r="A339" s="4" t="s">
        <v>43</v>
      </c>
      <c r="B339" s="4" t="s">
        <v>65</v>
      </c>
      <c r="C339" s="20" t="s">
        <v>799</v>
      </c>
      <c r="D339" s="20" t="s">
        <v>800</v>
      </c>
      <c r="E339" s="20" t="s">
        <v>801</v>
      </c>
      <c r="F339" s="20" t="s">
        <v>802</v>
      </c>
      <c r="G339" s="20" t="s">
        <v>803</v>
      </c>
      <c r="H339" s="20" t="s">
        <v>804</v>
      </c>
      <c r="I339" s="20" t="s">
        <v>805</v>
      </c>
      <c r="J339" s="20" t="s">
        <v>806</v>
      </c>
      <c r="K339" s="20" t="s">
        <v>807</v>
      </c>
      <c r="L339" s="4" t="s">
        <v>47</v>
      </c>
    </row>
    <row r="340" customFormat="false" ht="15" hidden="false" customHeight="false" outlineLevel="0" collapsed="false">
      <c r="A340" s="0" t="s">
        <v>877</v>
      </c>
      <c r="B340" s="0" t="s">
        <v>98</v>
      </c>
      <c r="D340" s="6" t="n">
        <f aca="false">Sens!D316</f>
        <v>72.61</v>
      </c>
      <c r="E340" s="6" t="n">
        <f aca="false">Sens!E316</f>
        <v>101.938</v>
      </c>
      <c r="F340" s="6" t="n">
        <f aca="false">Sens!F316</f>
        <v>145.143956312325</v>
      </c>
      <c r="G340" s="6" t="n">
        <f aca="false">Sens!G316</f>
        <v>196.478966522364</v>
      </c>
      <c r="H340" s="6" t="n">
        <f aca="false">Sens!H316</f>
        <v>249.10761332251</v>
      </c>
      <c r="I340" s="6" t="n">
        <f aca="false">Sens!I316</f>
        <v>297.09216264734</v>
      </c>
      <c r="J340" s="6" t="n">
        <f aca="false">Sens!J316</f>
        <v>334.278152607443</v>
      </c>
      <c r="K340" s="6" t="n">
        <f aca="false">Sens!K316</f>
        <v>361.233666909276</v>
      </c>
    </row>
    <row r="341" customFormat="false" ht="17.15" hidden="false" customHeight="false" outlineLevel="0" collapsed="false">
      <c r="A341" s="0" t="s">
        <v>874</v>
      </c>
      <c r="B341" s="0" t="s">
        <v>98</v>
      </c>
      <c r="D341" s="6" t="n">
        <f aca="false">Sens!D313</f>
        <v>12.9359794422418</v>
      </c>
      <c r="E341" s="6" t="n">
        <f aca="false">Sens!E313</f>
        <v>27.8095064661409</v>
      </c>
      <c r="F341" s="6" t="n">
        <f aca="false">Sens!F313</f>
        <v>55.0640065749585</v>
      </c>
      <c r="G341" s="6" t="n">
        <f aca="false">Sens!G313</f>
        <v>89.4505413190538</v>
      </c>
      <c r="H341" s="6" t="n">
        <f aca="false">Sens!H313</f>
        <v>124.835630736874</v>
      </c>
      <c r="I341" s="6" t="n">
        <f aca="false">Sens!I313</f>
        <v>156.158460265485</v>
      </c>
      <c r="J341" s="6" t="n">
        <f aca="false">Sens!J313</f>
        <v>178.259285293112</v>
      </c>
      <c r="K341" s="6" t="n">
        <f aca="false">Sens!K313</f>
        <v>192.733290209798</v>
      </c>
    </row>
    <row r="342" customFormat="false" ht="17.15" hidden="false" customHeight="false" outlineLevel="0" collapsed="false">
      <c r="A342" s="0" t="s">
        <v>902</v>
      </c>
      <c r="B342" s="0" t="s">
        <v>98</v>
      </c>
      <c r="D342" s="6" t="n">
        <f aca="false">Sens!D314</f>
        <v>59.6740205577583</v>
      </c>
      <c r="E342" s="6" t="n">
        <f aca="false">Sens!E314</f>
        <v>74.1284935338591</v>
      </c>
      <c r="F342" s="6" t="n">
        <f aca="false">Sens!F314</f>
        <v>90.0799497373663</v>
      </c>
      <c r="G342" s="6" t="n">
        <f aca="false">Sens!G314</f>
        <v>107.02842520331</v>
      </c>
      <c r="H342" s="6" t="n">
        <f aca="false">Sens!H314</f>
        <v>124.271982585636</v>
      </c>
      <c r="I342" s="6" t="n">
        <f aca="false">Sens!I314</f>
        <v>140.933702381855</v>
      </c>
      <c r="J342" s="6" t="n">
        <f aca="false">Sens!J314</f>
        <v>156.018867314332</v>
      </c>
      <c r="K342" s="6" t="n">
        <f aca="false">Sens!K314</f>
        <v>168.500376699478</v>
      </c>
    </row>
    <row r="343" customFormat="false" ht="15" hidden="false" customHeight="false" outlineLevel="0" collapsed="false">
      <c r="A343" s="0" t="s">
        <v>883</v>
      </c>
      <c r="B343" s="0" t="s">
        <v>98</v>
      </c>
      <c r="D343" s="6" t="n">
        <f aca="false">Sens!D321</f>
        <v>84.605</v>
      </c>
      <c r="E343" s="6" t="n">
        <f aca="false">Sens!E321</f>
        <v>100.299</v>
      </c>
      <c r="F343" s="6" t="n">
        <f aca="false">Sens!F321</f>
        <v>118.89238776686</v>
      </c>
      <c r="G343" s="6" t="n">
        <f aca="false">Sens!G321</f>
        <v>137.044168448684</v>
      </c>
      <c r="H343" s="6" t="n">
        <f aca="false">Sens!H321</f>
        <v>155.277359388781</v>
      </c>
      <c r="I343" s="6" t="n">
        <f aca="false">Sens!I321</f>
        <v>171.834028071957</v>
      </c>
      <c r="J343" s="6" t="n">
        <f aca="false">Sens!J321</f>
        <v>186.432702785465</v>
      </c>
      <c r="K343" s="6" t="n">
        <f aca="false">Sens!K321</f>
        <v>200.277991980448</v>
      </c>
    </row>
    <row r="344" customFormat="false" ht="17.15" hidden="false" customHeight="false" outlineLevel="0" collapsed="false">
      <c r="A344" s="0" t="s">
        <v>903</v>
      </c>
      <c r="B344" s="0" t="s">
        <v>98</v>
      </c>
      <c r="D344" s="6" t="n">
        <f aca="false">Sens!D319</f>
        <v>83.705</v>
      </c>
      <c r="E344" s="6" t="n">
        <f aca="false">Sens!E319</f>
        <v>95.049</v>
      </c>
      <c r="F344" s="6" t="n">
        <f aca="false">Sens!F319</f>
        <v>106.89238776686</v>
      </c>
      <c r="G344" s="6" t="n">
        <f aca="false">Sens!G319</f>
        <v>119.044168448684</v>
      </c>
      <c r="H344" s="6" t="n">
        <f aca="false">Sens!H319</f>
        <v>131.277359388781</v>
      </c>
      <c r="I344" s="6" t="n">
        <f aca="false">Sens!I319</f>
        <v>143.334028071957</v>
      </c>
      <c r="J344" s="6" t="n">
        <f aca="false">Sens!J319</f>
        <v>154.932702785465</v>
      </c>
      <c r="K344" s="6" t="n">
        <f aca="false">Sens!K319</f>
        <v>165.777991980448</v>
      </c>
    </row>
    <row r="345" customFormat="false" ht="17.15" hidden="false" customHeight="false" outlineLevel="0" collapsed="false">
      <c r="A345" s="0" t="s">
        <v>904</v>
      </c>
      <c r="B345" s="0" t="s">
        <v>98</v>
      </c>
      <c r="D345" s="6" t="n">
        <f aca="false">Sens!D318</f>
        <v>0.9</v>
      </c>
      <c r="E345" s="6" t="n">
        <f aca="false">Sens!E318</f>
        <v>5.25</v>
      </c>
      <c r="F345" s="6" t="n">
        <f aca="false">Sens!F318</f>
        <v>12</v>
      </c>
      <c r="G345" s="6" t="n">
        <f aca="false">Sens!G318</f>
        <v>18</v>
      </c>
      <c r="H345" s="6" t="n">
        <f aca="false">Sens!H318</f>
        <v>24</v>
      </c>
      <c r="I345" s="6" t="n">
        <f aca="false">Sens!I318</f>
        <v>28.5</v>
      </c>
      <c r="J345" s="6" t="n">
        <f aca="false">Sens!J318</f>
        <v>31.5</v>
      </c>
      <c r="K345" s="6" t="n">
        <f aca="false">Sens!K318</f>
        <v>34.5</v>
      </c>
    </row>
    <row r="346" customFormat="false" ht="15" hidden="false" customHeight="false" outlineLevel="0" collapsed="false">
      <c r="A346" s="0" t="s">
        <v>884</v>
      </c>
      <c r="B346" s="0" t="s">
        <v>98</v>
      </c>
      <c r="D346" s="6" t="n">
        <f aca="false">Sens!D322</f>
        <v>35.391</v>
      </c>
      <c r="E346" s="6" t="n">
        <f aca="false">Sens!E322</f>
        <v>37.285</v>
      </c>
      <c r="F346" s="6" t="n">
        <f aca="false">Sens!F322</f>
        <v>39.0720834331704</v>
      </c>
      <c r="G346" s="6" t="n">
        <f aca="false">Sens!G322</f>
        <v>40.726562953769</v>
      </c>
      <c r="H346" s="6" t="n">
        <f aca="false">Sens!H322</f>
        <v>42.2235987259198</v>
      </c>
      <c r="I346" s="6" t="n">
        <f aca="false">Sens!I322</f>
        <v>43.5397988077414</v>
      </c>
      <c r="J346" s="6" t="n">
        <f aca="false">Sens!J322</f>
        <v>44.653811225693</v>
      </c>
      <c r="K346" s="6" t="n">
        <f aca="false">Sens!K322</f>
        <v>45.5468874502068</v>
      </c>
    </row>
    <row r="347" customFormat="false" ht="15" hidden="false" customHeight="false" outlineLevel="0" collapsed="false">
      <c r="A347" s="0" t="s">
        <v>885</v>
      </c>
      <c r="B347" s="0" t="s">
        <v>98</v>
      </c>
      <c r="D347" s="6" t="n">
        <f aca="false">Sens!D324</f>
        <v>18.417</v>
      </c>
      <c r="E347" s="6" t="n">
        <f aca="false">Sens!E324</f>
        <v>20.345</v>
      </c>
      <c r="F347" s="6" t="n">
        <f aca="false">Sens!F324</f>
        <v>22.3572203267814</v>
      </c>
      <c r="G347" s="6" t="n">
        <f aca="false">Sens!G324</f>
        <v>24.4392124437232</v>
      </c>
      <c r="H347" s="6" t="n">
        <f aca="false">Sens!H324</f>
        <v>26.5738052080665</v>
      </c>
      <c r="I347" s="6" t="n">
        <f aca="false">Sens!I324</f>
        <v>28.7412169166967</v>
      </c>
      <c r="J347" s="6" t="n">
        <f aca="false">Sens!J324</f>
        <v>30.9192545395413</v>
      </c>
      <c r="K347" s="6" t="n">
        <f aca="false">Sens!K324</f>
        <v>33.0836023573092</v>
      </c>
    </row>
    <row r="348" customFormat="false" ht="15" hidden="false" customHeight="false" outlineLevel="0" collapsed="false">
      <c r="A348" s="0" t="s">
        <v>886</v>
      </c>
      <c r="B348" s="0" t="s">
        <v>98</v>
      </c>
      <c r="D348" s="6" t="n">
        <f aca="false">Sens!D326</f>
        <v>7.76</v>
      </c>
      <c r="E348" s="6" t="n">
        <f aca="false">Sens!E326</f>
        <v>8.26</v>
      </c>
      <c r="F348" s="6" t="n">
        <f aca="false">Sens!F326</f>
        <v>8.79988041237113</v>
      </c>
      <c r="G348" s="6" t="n">
        <f aca="false">Sens!G326</f>
        <v>9.38321269125306</v>
      </c>
      <c r="H348" s="6" t="n">
        <f aca="false">Sens!H326</f>
        <v>10.0139193587476</v>
      </c>
      <c r="I348" s="6" t="n">
        <f aca="false">Sens!I326</f>
        <v>10.6963111830911</v>
      </c>
      <c r="J348" s="6" t="n">
        <f aca="false">Sens!J326</f>
        <v>11.4351285534696</v>
      </c>
      <c r="K348" s="6" t="n">
        <f aca="false">Sens!K326</f>
        <v>12.2355875522124</v>
      </c>
    </row>
    <row r="349" customFormat="false" ht="15" hidden="false" customHeight="false" outlineLevel="0" collapsed="false">
      <c r="A349" s="0" t="s">
        <v>715</v>
      </c>
      <c r="B349" s="0" t="s">
        <v>98</v>
      </c>
      <c r="D349" s="6" t="n">
        <f aca="false">Sens!D328</f>
        <v>218.783</v>
      </c>
      <c r="E349" s="6" t="n">
        <f aca="false">Sens!E328</f>
        <v>268.127</v>
      </c>
      <c r="F349" s="6" t="n">
        <f aca="false">Sens!F328</f>
        <v>334.265528251508</v>
      </c>
      <c r="G349" s="6" t="n">
        <f aca="false">Sens!G328</f>
        <v>408.072123059793</v>
      </c>
      <c r="H349" s="6" t="n">
        <f aca="false">Sens!H328</f>
        <v>483.196296004025</v>
      </c>
      <c r="I349" s="6" t="n">
        <f aca="false">Sens!I328</f>
        <v>551.903517626826</v>
      </c>
      <c r="J349" s="6" t="n">
        <f aca="false">Sens!J328</f>
        <v>607.719049711612</v>
      </c>
      <c r="K349" s="6" t="n">
        <f aca="false">Sens!K328</f>
        <v>652.377736249452</v>
      </c>
    </row>
    <row r="350" customFormat="false" ht="15" hidden="false" customHeight="false" outlineLevel="0" collapsed="false">
      <c r="A350" s="0" t="s">
        <v>887</v>
      </c>
      <c r="B350" s="0" t="s">
        <v>98</v>
      </c>
      <c r="D350" s="6" t="n">
        <f aca="false">Sens!D329</f>
        <v>22.171</v>
      </c>
      <c r="E350" s="6" t="n">
        <f aca="false">Sens!E329</f>
        <v>24.835</v>
      </c>
      <c r="F350" s="6" t="n">
        <f aca="false">Sens!F329</f>
        <v>27.6114901218559</v>
      </c>
      <c r="G350" s="6" t="n">
        <f aca="false">Sens!G329</f>
        <v>30.4675667338515</v>
      </c>
      <c r="H350" s="6" t="n">
        <f aca="false">Sens!H329</f>
        <v>33.3643766955789</v>
      </c>
      <c r="I350" s="6" t="n">
        <f aca="false">Sens!I329</f>
        <v>36.2577016533691</v>
      </c>
      <c r="J350" s="6" t="n">
        <f aca="false">Sens!J329</f>
        <v>39.0988367952171</v>
      </c>
      <c r="K350" s="6" t="n">
        <f aca="false">Sens!K329</f>
        <v>41.8357553708823</v>
      </c>
    </row>
    <row r="351" customFormat="false" ht="15" hidden="false" customHeight="false" outlineLevel="0" collapsed="false">
      <c r="A351" s="0" t="s">
        <v>888</v>
      </c>
      <c r="B351" s="0" t="s">
        <v>98</v>
      </c>
      <c r="D351" s="6" t="n">
        <f aca="false">Sens!D331</f>
        <v>23.455</v>
      </c>
      <c r="E351" s="6" t="n">
        <f aca="false">Sens!E331</f>
        <v>21.79</v>
      </c>
      <c r="F351" s="6" t="n">
        <f aca="false">Sens!F331</f>
        <v>20.5736277908051</v>
      </c>
      <c r="G351" s="6" t="n">
        <f aca="false">Sens!G331</f>
        <v>19.7371452817919</v>
      </c>
      <c r="H351" s="6" t="n">
        <f aca="false">Sens!H331</f>
        <v>19.2339764043138</v>
      </c>
      <c r="I351" s="6" t="n">
        <f aca="false">Sens!I331</f>
        <v>19.0353086852681</v>
      </c>
      <c r="J351" s="6" t="n">
        <f aca="false">Sens!J331</f>
        <v>19.1273539319129</v>
      </c>
      <c r="K351" s="6" t="n">
        <f aca="false">Sens!K331</f>
        <v>19.5099010105511</v>
      </c>
    </row>
    <row r="352" customFormat="false" ht="15" hidden="false" customHeight="false" outlineLevel="0" collapsed="false">
      <c r="A352" s="0" t="s">
        <v>889</v>
      </c>
      <c r="B352" s="0" t="s">
        <v>98</v>
      </c>
      <c r="D352" s="6" t="n">
        <f aca="false">Sens!D333</f>
        <v>17.315</v>
      </c>
      <c r="E352" s="6" t="n">
        <f aca="false">Sens!E333</f>
        <v>17.087</v>
      </c>
      <c r="F352" s="6" t="n">
        <f aca="false">Sens!F333</f>
        <v>16.9564585436519</v>
      </c>
      <c r="G352" s="6" t="n">
        <f aca="false">Sens!G333</f>
        <v>16.9206490624268</v>
      </c>
      <c r="H352" s="6" t="n">
        <f aca="false">Sens!H333</f>
        <v>16.9784519149849</v>
      </c>
      <c r="I352" s="6" t="n">
        <f aca="false">Sens!I333</f>
        <v>17.1303084701817</v>
      </c>
      <c r="J352" s="6" t="n">
        <f aca="false">Sens!J333</f>
        <v>17.3782189407267</v>
      </c>
      <c r="K352" s="6" t="n">
        <f aca="false">Sens!K333</f>
        <v>17.7257833195413</v>
      </c>
    </row>
    <row r="353" customFormat="false" ht="15" hidden="false" customHeight="false" outlineLevel="0" collapsed="false">
      <c r="A353" s="0" t="s">
        <v>729</v>
      </c>
      <c r="B353" s="0" t="s">
        <v>98</v>
      </c>
      <c r="D353" s="6" t="n">
        <f aca="false">Sens!D335</f>
        <v>62.941</v>
      </c>
      <c r="E353" s="6" t="n">
        <f aca="false">Sens!E335</f>
        <v>63.712</v>
      </c>
      <c r="F353" s="6" t="n">
        <f aca="false">Sens!F335</f>
        <v>65.1415764563129</v>
      </c>
      <c r="G353" s="6" t="n">
        <f aca="false">Sens!G335</f>
        <v>67.1253610780702</v>
      </c>
      <c r="H353" s="6" t="n">
        <f aca="false">Sens!H335</f>
        <v>69.5768050148776</v>
      </c>
      <c r="I353" s="6" t="n">
        <f aca="false">Sens!I335</f>
        <v>72.4233188088189</v>
      </c>
      <c r="J353" s="6" t="n">
        <f aca="false">Sens!J335</f>
        <v>75.6044096678567</v>
      </c>
      <c r="K353" s="6" t="n">
        <f aca="false">Sens!K335</f>
        <v>79.0714397009747</v>
      </c>
    </row>
    <row r="354" customFormat="false" ht="15" hidden="false" customHeight="false" outlineLevel="0" collapsed="false">
      <c r="A354" s="1" t="s">
        <v>905</v>
      </c>
      <c r="B354" s="0" t="s">
        <v>98</v>
      </c>
      <c r="D354" s="6" t="n">
        <f aca="false">Sens!D336</f>
        <v>281.724</v>
      </c>
      <c r="E354" s="6" t="n">
        <f aca="false">Sens!E336</f>
        <v>331.839</v>
      </c>
      <c r="F354" s="6" t="n">
        <f aca="false">Sens!F336</f>
        <v>399.407104707821</v>
      </c>
      <c r="G354" s="6" t="n">
        <f aca="false">Sens!G336</f>
        <v>475.197484137863</v>
      </c>
      <c r="H354" s="6" t="n">
        <f aca="false">Sens!H336</f>
        <v>552.773101018903</v>
      </c>
      <c r="I354" s="6" t="n">
        <f aca="false">Sens!I336</f>
        <v>624.326836435645</v>
      </c>
      <c r="J354" s="6" t="n">
        <f aca="false">Sens!J336</f>
        <v>683.323459379469</v>
      </c>
      <c r="K354" s="6" t="n">
        <f aca="false">Sens!K336</f>
        <v>731.449175950427</v>
      </c>
    </row>
    <row r="355" customFormat="false" ht="15" hidden="false" customHeight="false" outlineLevel="0" collapsed="false">
      <c r="A355" s="1" t="s">
        <v>906</v>
      </c>
      <c r="B355" s="0" t="s">
        <v>129</v>
      </c>
      <c r="E355" s="7" t="n">
        <f aca="false">Sens!E354/Sens!D354-1</f>
        <v>0.177886867998467</v>
      </c>
      <c r="F355" s="7" t="n">
        <f aca="false">Sens!F354/Sens!E354-1</f>
        <v>0.203617129715978</v>
      </c>
      <c r="G355" s="7" t="n">
        <f aca="false">Sens!G354/Sens!F354-1</f>
        <v>0.189757213972159</v>
      </c>
      <c r="H355" s="7" t="n">
        <f aca="false">Sens!H354/Sens!G354-1</f>
        <v>0.163249216316418</v>
      </c>
      <c r="I355" s="7" t="n">
        <f aca="false">Sens!I354/Sens!H354-1</f>
        <v>0.129445038633121</v>
      </c>
      <c r="J355" s="7" t="n">
        <f aca="false">Sens!J354/Sens!I354-1</f>
        <v>0.0944963751368479</v>
      </c>
      <c r="K355" s="7" t="n">
        <f aca="false">Sens!K354/Sens!J354-1</f>
        <v>0.0704288955843271</v>
      </c>
    </row>
    <row r="356" customFormat="false" ht="17.15" hidden="false" customHeight="false" outlineLevel="0" collapsed="false">
      <c r="A356" s="23" t="s">
        <v>907</v>
      </c>
      <c r="B356" s="30" t="s">
        <v>98</v>
      </c>
      <c r="C356" s="30"/>
      <c r="D356" s="24" t="n">
        <f aca="false">(Sens!D349+Sens!D353-Sens!D354)+(Sens!D341+Sens!D342-Sens!D340)+(Sens!D344+Sens!D345-Sens!D343)+(Sens!D354-Q!L18)</f>
        <v>0</v>
      </c>
      <c r="E356" s="24" t="n">
        <f aca="false">(Sens!E349+Sens!E353-Sens!E354)+(Sens!E341+Sens!E342-Sens!E340)+(Sens!E344+Sens!E345-Sens!E343)+(Sens!E354-Q!M18)</f>
        <v>0</v>
      </c>
      <c r="F356" s="24" t="n">
        <f aca="false">(Sens!F349+Sens!F353-Sens!F354)+(Sens!F341+Sens!F342-Sens!F340)+(Sens!F344+Sens!F345-Sens!F343)</f>
        <v>0</v>
      </c>
      <c r="G356" s="24" t="n">
        <f aca="false">(Sens!G349+Sens!G353-Sens!G354)+(Sens!G341+Sens!G342-Sens!G340)+(Sens!G344+Sens!G345-Sens!G343)</f>
        <v>0</v>
      </c>
      <c r="H356" s="24" t="n">
        <f aca="false">(Sens!H349+Sens!H353-Sens!H354)+(Sens!H341+Sens!H342-Sens!H340)+(Sens!H344+Sens!H345-Sens!H343)</f>
        <v>0</v>
      </c>
      <c r="I356" s="24" t="n">
        <f aca="false">(Sens!I349+Sens!I353-Sens!I354)+(Sens!I341+Sens!I342-Sens!I340)+(Sens!I344+Sens!I345-Sens!I343)</f>
        <v>0</v>
      </c>
      <c r="J356" s="24" t="n">
        <f aca="false">(Sens!J349+Sens!J353-Sens!J354)+(Sens!J341+Sens!J342-Sens!J340)+(Sens!J344+Sens!J345-Sens!J343)</f>
        <v>0</v>
      </c>
      <c r="K356" s="24" t="n">
        <f aca="false">(Sens!K349+Sens!K353-Sens!K354)+(Sens!K341+Sens!K342-Sens!K340)+(Sens!K344+Sens!K345-Sens!K343)</f>
        <v>0</v>
      </c>
    </row>
    <row r="357" customFormat="false" ht="17.15" hidden="false" customHeight="false" outlineLevel="0" collapsed="false">
      <c r="A357" s="0" t="s">
        <v>908</v>
      </c>
      <c r="B357" s="0" t="s">
        <v>129</v>
      </c>
      <c r="E357" s="7" t="n">
        <f aca="false">(Q!M21+Sens!E294+Sens!E295+Sens!E296+Sens!E309-Sens!E292)/(Q!M5-Sens!E292)</f>
        <v>0.570957350878296</v>
      </c>
      <c r="F357" s="7" t="n">
        <f aca="false">Sens!$E$357+dm_seg</f>
        <v>0.570957350878296</v>
      </c>
      <c r="G357" s="7" t="n">
        <f aca="false">Sens!$E$357+dm_seg</f>
        <v>0.570957350878296</v>
      </c>
      <c r="H357" s="7" t="n">
        <f aca="false">Sens!$E$357+dm_seg</f>
        <v>0.570957350878296</v>
      </c>
      <c r="I357" s="7" t="n">
        <f aca="false">Sens!$E$357+dm_seg</f>
        <v>0.570957350878296</v>
      </c>
      <c r="J357" s="7" t="n">
        <f aca="false">Sens!$E$357+dm_seg</f>
        <v>0.570957350878296</v>
      </c>
      <c r="K357" s="7" t="n">
        <f aca="false">Sens!$E$357+dm_seg</f>
        <v>0.570957350878296</v>
      </c>
      <c r="L357" s="11" t="s">
        <v>909</v>
      </c>
    </row>
    <row r="358" customFormat="false" ht="17.15" hidden="false" customHeight="false" outlineLevel="0" collapsed="false">
      <c r="A358" s="0" t="s">
        <v>743</v>
      </c>
      <c r="B358" s="0" t="s">
        <v>98</v>
      </c>
      <c r="D358" s="6" t="n">
        <f aca="false">Q!L21</f>
        <v>110.814</v>
      </c>
      <c r="E358" s="6" t="n">
        <f aca="false">Q!M21</f>
        <v>136.365</v>
      </c>
      <c r="F358" s="6" t="n">
        <f aca="false">Sens!F357*(Sens!F328-Sens!F292)+Sens!F292-(Sens!F294+Sens!F295+Sens!F296)-Sens!F309-Sens!F392</f>
        <v>157.460006305463</v>
      </c>
      <c r="G358" s="6" t="n">
        <f aca="false">Sens!G357*(Sens!G328-Sens!G292)+Sens!G292-(Sens!G294+Sens!G295+Sens!G296)-Sens!G309-Sens!G392</f>
        <v>177.816120595567</v>
      </c>
      <c r="H358" s="6" t="n">
        <f aca="false">Sens!H357*(Sens!H328-Sens!H292)+Sens!H292-(Sens!H294+Sens!H295+Sens!H296)-Sens!H309-Sens!H392</f>
        <v>197.532540809638</v>
      </c>
      <c r="I358" s="6" t="n">
        <f aca="false">Sens!I357*(Sens!I328-Sens!I292)+Sens!I292-(Sens!I294+Sens!I295+Sens!I296)-Sens!I309-Sens!I392</f>
        <v>216.322864991873</v>
      </c>
      <c r="J358" s="6" t="n">
        <f aca="false">Sens!J357*(Sens!J328-Sens!J292)+Sens!J292-(Sens!J294+Sens!J295+Sens!J296)-Sens!J309-Sens!J392</f>
        <v>233.723801439613</v>
      </c>
      <c r="K358" s="6" t="n">
        <f aca="false">Sens!K357*(Sens!K328-Sens!K292)+Sens!K292-(Sens!K294+Sens!K295+Sens!K296)-Sens!K309-Sens!K392</f>
        <v>250.571843767052</v>
      </c>
      <c r="L358" s="1" t="s">
        <v>910</v>
      </c>
    </row>
    <row r="359" customFormat="false" ht="17.15" hidden="false" customHeight="false" outlineLevel="0" collapsed="false">
      <c r="A359" s="0" t="s">
        <v>911</v>
      </c>
      <c r="B359" s="0" t="s">
        <v>129</v>
      </c>
      <c r="E359" s="7" t="n">
        <f aca="false">Q!M22/Q!M12</f>
        <v>0.296207935710698</v>
      </c>
      <c r="F359" s="7" t="n">
        <f aca="false">Sens!$E$359+dm_seg</f>
        <v>0.296207935710698</v>
      </c>
      <c r="G359" s="7" t="n">
        <f aca="false">Sens!$E$359+dm_seg</f>
        <v>0.296207935710698</v>
      </c>
      <c r="H359" s="7" t="n">
        <f aca="false">Sens!$E$359+dm_seg</f>
        <v>0.296207935710698</v>
      </c>
      <c r="I359" s="7" t="n">
        <f aca="false">Sens!$E$359+dm_seg</f>
        <v>0.296207935710698</v>
      </c>
      <c r="J359" s="7" t="n">
        <f aca="false">Sens!$E$359+dm_seg</f>
        <v>0.296207935710698</v>
      </c>
      <c r="K359" s="7" t="n">
        <f aca="false">Sens!$E$359+dm_seg</f>
        <v>0.296207935710698</v>
      </c>
      <c r="L359" s="11" t="s">
        <v>912</v>
      </c>
    </row>
    <row r="360" customFormat="false" ht="17.15" hidden="false" customHeight="false" outlineLevel="0" collapsed="false">
      <c r="A360" s="0" t="s">
        <v>745</v>
      </c>
      <c r="B360" s="0" t="s">
        <v>98</v>
      </c>
      <c r="D360" s="6" t="n">
        <f aca="false">Q!L22</f>
        <v>17.714</v>
      </c>
      <c r="E360" s="6" t="n">
        <f aca="false">Q!M22</f>
        <v>18.872</v>
      </c>
      <c r="F360" s="6" t="n">
        <f aca="false">Sens!F335*Sens!F359</f>
        <v>19.2954518910651</v>
      </c>
      <c r="G360" s="6" t="n">
        <f aca="false">Sens!G335*Sens!G359</f>
        <v>19.8830646387704</v>
      </c>
      <c r="H360" s="6" t="n">
        <f aca="false">Sens!H335*Sens!H359</f>
        <v>20.6092017868026</v>
      </c>
      <c r="I360" s="6" t="n">
        <f aca="false">Sens!I335*Sens!I359</f>
        <v>21.452361761678</v>
      </c>
      <c r="J360" s="6" t="n">
        <f aca="false">Sens!J335*Sens!J359</f>
        <v>22.3946261183418</v>
      </c>
      <c r="K360" s="6" t="n">
        <f aca="false">Sens!K335*Sens!K359</f>
        <v>23.4215879274986</v>
      </c>
    </row>
    <row r="361" customFormat="false" ht="15" hidden="false" customHeight="false" outlineLevel="0" collapsed="false">
      <c r="A361" s="1" t="s">
        <v>913</v>
      </c>
      <c r="B361" s="0" t="s">
        <v>98</v>
      </c>
      <c r="D361" s="6" t="n">
        <f aca="false">Sens!D358+Sens!D360</f>
        <v>128.528</v>
      </c>
      <c r="E361" s="6" t="n">
        <f aca="false">Sens!E358+Sens!E360</f>
        <v>155.237</v>
      </c>
      <c r="F361" s="6" t="n">
        <f aca="false">Sens!F358+Sens!F360</f>
        <v>176.755458196528</v>
      </c>
      <c r="G361" s="6" t="n">
        <f aca="false">Sens!G358+Sens!G360</f>
        <v>197.699185234338</v>
      </c>
      <c r="H361" s="6" t="n">
        <f aca="false">Sens!H358+Sens!H360</f>
        <v>218.14174259644</v>
      </c>
      <c r="I361" s="6" t="n">
        <f aca="false">Sens!I358+Sens!I360</f>
        <v>237.775226753551</v>
      </c>
      <c r="J361" s="6" t="n">
        <f aca="false">Sens!J358+Sens!J360</f>
        <v>256.118427557955</v>
      </c>
      <c r="K361" s="6" t="n">
        <f aca="false">Sens!K358+Sens!K360</f>
        <v>273.993431694551</v>
      </c>
    </row>
    <row r="362" customFormat="false" ht="15" hidden="false" customHeight="false" outlineLevel="0" collapsed="false">
      <c r="A362" s="23" t="s">
        <v>914</v>
      </c>
      <c r="B362" s="30" t="s">
        <v>98</v>
      </c>
      <c r="C362" s="30"/>
      <c r="D362" s="24" t="n">
        <f aca="false">Sens!D361-Q!L23</f>
        <v>0</v>
      </c>
      <c r="E362" s="24" t="n">
        <f aca="false">Sens!E361-Q!M23</f>
        <v>0</v>
      </c>
      <c r="F362" s="30"/>
      <c r="G362" s="30"/>
      <c r="H362" s="30"/>
      <c r="I362" s="30"/>
      <c r="J362" s="30"/>
      <c r="K362" s="30"/>
    </row>
    <row r="363" customFormat="false" ht="15" hidden="false" customHeight="false" outlineLevel="0" collapsed="false">
      <c r="A363" s="1" t="s">
        <v>915</v>
      </c>
      <c r="B363" s="0" t="s">
        <v>129</v>
      </c>
      <c r="D363" s="7" t="n">
        <f aca="false">Sens!D361/Sens!D354</f>
        <v>0.456219562408598</v>
      </c>
      <c r="E363" s="7" t="n">
        <f aca="false">Sens!E361/Sens!E354</f>
        <v>0.467808184089272</v>
      </c>
      <c r="F363" s="7" t="n">
        <f aca="false">Sens!F361/Sens!F354</f>
        <v>0.442544602019112</v>
      </c>
      <c r="G363" s="7" t="n">
        <f aca="false">Sens!G361/Sens!G354</f>
        <v>0.41603584158914</v>
      </c>
      <c r="H363" s="7" t="n">
        <f aca="false">Sens!H361/Sens!H354</f>
        <v>0.394631616832203</v>
      </c>
      <c r="I363" s="7" t="n">
        <f aca="false">Sens!I361/Sens!I354</f>
        <v>0.380850562360955</v>
      </c>
      <c r="J363" s="7" t="n">
        <f aca="false">Sens!J361/Sens!J354</f>
        <v>0.374812870892121</v>
      </c>
      <c r="K363" s="7" t="n">
        <f aca="false">Sens!K361/Sens!K354</f>
        <v>0.374589842607357</v>
      </c>
    </row>
    <row r="364" customFormat="false" ht="17.15" hidden="false" customHeight="false" outlineLevel="0" collapsed="false">
      <c r="A364" s="1" t="s">
        <v>916</v>
      </c>
      <c r="B364" s="0" t="s">
        <v>98</v>
      </c>
      <c r="F364" s="6" t="n">
        <f aca="false">Sens!F379</f>
        <v>0</v>
      </c>
      <c r="G364" s="6" t="n">
        <f aca="false">Sens!G379</f>
        <v>0</v>
      </c>
      <c r="H364" s="6" t="n">
        <f aca="false">Sens!H379</f>
        <v>0</v>
      </c>
      <c r="I364" s="6" t="n">
        <f aca="false">Sens!I379</f>
        <v>0</v>
      </c>
      <c r="J364" s="6" t="n">
        <f aca="false">Sens!J379</f>
        <v>0</v>
      </c>
      <c r="K364" s="6" t="n">
        <f aca="false">Sens!K379</f>
        <v>0</v>
      </c>
      <c r="L364" s="1" t="s">
        <v>917</v>
      </c>
    </row>
    <row r="365" customFormat="false" ht="17.15" hidden="false" customHeight="false" outlineLevel="0" collapsed="false">
      <c r="A365" s="1" t="s">
        <v>918</v>
      </c>
      <c r="B365" s="0" t="s">
        <v>98</v>
      </c>
      <c r="D365" s="6" t="n">
        <f aca="false">Sens!D361</f>
        <v>128.528</v>
      </c>
      <c r="E365" s="6" t="n">
        <f aca="false">Sens!E361</f>
        <v>155.237</v>
      </c>
      <c r="F365" s="6" t="n">
        <f aca="false">Sens!F361+Sens!F364</f>
        <v>176.755458196528</v>
      </c>
      <c r="G365" s="6" t="n">
        <f aca="false">Sens!G361+Sens!G364</f>
        <v>197.699185234338</v>
      </c>
      <c r="H365" s="6" t="n">
        <f aca="false">Sens!H361+Sens!H364</f>
        <v>218.14174259644</v>
      </c>
      <c r="I365" s="6" t="n">
        <f aca="false">Sens!I361+Sens!I364</f>
        <v>237.775226753551</v>
      </c>
      <c r="J365" s="6" t="n">
        <f aca="false">Sens!J361+Sens!J364</f>
        <v>256.118427557955</v>
      </c>
      <c r="K365" s="6" t="n">
        <f aca="false">Sens!K361+Sens!K364</f>
        <v>273.993431694551</v>
      </c>
    </row>
    <row r="366" customFormat="false" ht="17.15" hidden="false" customHeight="false" outlineLevel="0" collapsed="false">
      <c r="A366" s="1" t="s">
        <v>919</v>
      </c>
      <c r="B366" s="0" t="s">
        <v>98</v>
      </c>
      <c r="E366" s="6" t="n">
        <f aca="false">Sens!E309</f>
        <v>16.3054059770833</v>
      </c>
      <c r="F366" s="6" t="n">
        <f aca="false">Sens!F309</f>
        <v>34.0498873809555</v>
      </c>
      <c r="G366" s="6" t="n">
        <f aca="false">Sens!G309</f>
        <v>59.1254371105111</v>
      </c>
      <c r="H366" s="6" t="n">
        <f aca="false">Sens!H309</f>
        <v>86.3610198433111</v>
      </c>
      <c r="I366" s="6" t="n">
        <f aca="false">Sens!I309</f>
        <v>110.605743832393</v>
      </c>
      <c r="J366" s="6" t="n">
        <f aca="false">Sens!J309</f>
        <v>127.998322852843</v>
      </c>
      <c r="K366" s="6" t="n">
        <f aca="false">Sens!K309</f>
        <v>139.131464044308</v>
      </c>
    </row>
    <row r="367" customFormat="false" ht="17.15" hidden="false" customHeight="false" outlineLevel="0" collapsed="false">
      <c r="A367" s="1" t="s">
        <v>920</v>
      </c>
      <c r="B367" s="0" t="s">
        <v>98</v>
      </c>
      <c r="E367" s="6" t="n">
        <f aca="false">Sens!E391</f>
        <v>22.2285940229167</v>
      </c>
      <c r="F367" s="6" t="n">
        <f aca="false">Sens!F391</f>
        <v>24.3924470334783</v>
      </c>
      <c r="G367" s="6" t="n">
        <f aca="false">Sens!G391</f>
        <v>26.0684916871694</v>
      </c>
      <c r="H367" s="6" t="n">
        <f aca="false">Sens!H391</f>
        <v>28.1427938828615</v>
      </c>
      <c r="I367" s="6" t="n">
        <f aca="false">Sens!I391</f>
        <v>30.5483545257397</v>
      </c>
      <c r="J367" s="6" t="n">
        <f aca="false">Sens!J391</f>
        <v>33.2016103982031</v>
      </c>
      <c r="K367" s="6" t="n">
        <f aca="false">Sens!K391</f>
        <v>36.0183196325822</v>
      </c>
    </row>
    <row r="368" customFormat="false" ht="17.15" hidden="false" customHeight="false" outlineLevel="0" collapsed="false">
      <c r="A368" s="1" t="s">
        <v>921</v>
      </c>
      <c r="B368" s="0" t="s">
        <v>98</v>
      </c>
      <c r="D368" s="6" t="n">
        <f aca="false">Q!L27</f>
        <v>-4.901</v>
      </c>
      <c r="E368" s="6" t="n">
        <f aca="false">Q!M27</f>
        <v>10.697</v>
      </c>
      <c r="F368" s="6" t="n">
        <f aca="false">oie_f</f>
        <v>-0.4</v>
      </c>
      <c r="G368" s="6" t="n">
        <f aca="false">oie_f</f>
        <v>-0.4</v>
      </c>
      <c r="H368" s="6" t="n">
        <f aca="false">oie_f</f>
        <v>-0.4</v>
      </c>
      <c r="I368" s="6" t="n">
        <f aca="false">oie_f</f>
        <v>-0.4</v>
      </c>
      <c r="J368" s="6" t="n">
        <f aca="false">oie_f</f>
        <v>-0.4</v>
      </c>
      <c r="K368" s="6" t="n">
        <f aca="false">oie_f</f>
        <v>-0.4</v>
      </c>
      <c r="L368" s="11" t="s">
        <v>922</v>
      </c>
    </row>
    <row r="369" customFormat="false" ht="15" hidden="false" customHeight="false" outlineLevel="0" collapsed="false">
      <c r="A369" s="1" t="s">
        <v>923</v>
      </c>
      <c r="B369" s="0" t="s">
        <v>98</v>
      </c>
      <c r="D369" s="6" t="n">
        <f aca="false">Sens!D361+Sens!D368</f>
        <v>123.627</v>
      </c>
      <c r="E369" s="6" t="n">
        <f aca="false">Sens!E361+Sens!E368</f>
        <v>165.934</v>
      </c>
      <c r="F369" s="6" t="n">
        <f aca="false">Sens!F361+Sens!F368</f>
        <v>176.355458196528</v>
      </c>
      <c r="G369" s="6" t="n">
        <f aca="false">Sens!G361+Sens!G368</f>
        <v>197.299185234338</v>
      </c>
      <c r="H369" s="6" t="n">
        <f aca="false">Sens!H361+Sens!H368</f>
        <v>217.74174259644</v>
      </c>
      <c r="I369" s="6" t="n">
        <f aca="false">Sens!I361+Sens!I368</f>
        <v>237.375226753551</v>
      </c>
      <c r="J369" s="6" t="n">
        <f aca="false">Sens!J361+Sens!J368</f>
        <v>255.718427557955</v>
      </c>
      <c r="K369" s="6" t="n">
        <f aca="false">Sens!K361+Sens!K368</f>
        <v>273.593431694551</v>
      </c>
    </row>
    <row r="370" customFormat="false" ht="15" hidden="false" customHeight="false" outlineLevel="0" collapsed="false">
      <c r="A370" s="1" t="s">
        <v>924</v>
      </c>
      <c r="B370" s="0" t="s">
        <v>98</v>
      </c>
      <c r="D370" s="6" t="n">
        <f aca="false">Q!L29</f>
        <v>21.795</v>
      </c>
      <c r="E370" s="6" t="n">
        <f aca="false">Q!M29</f>
        <v>32.185</v>
      </c>
      <c r="F370" s="6" t="n">
        <f aca="false">Sens!F369*tax_f</f>
        <v>35.2710916393056</v>
      </c>
      <c r="G370" s="6" t="n">
        <f aca="false">Sens!G369*tax_f</f>
        <v>39.4598370468676</v>
      </c>
      <c r="H370" s="6" t="n">
        <f aca="false">Sens!H369*tax_f</f>
        <v>43.548348519288</v>
      </c>
      <c r="I370" s="6" t="n">
        <f aca="false">Sens!I369*tax_f</f>
        <v>47.4750453507103</v>
      </c>
      <c r="J370" s="6" t="n">
        <f aca="false">Sens!J369*tax_f</f>
        <v>51.1436855115909</v>
      </c>
      <c r="K370" s="6" t="n">
        <f aca="false">Sens!K369*tax_f</f>
        <v>54.7186863389102</v>
      </c>
    </row>
    <row r="371" customFormat="false" ht="15" hidden="false" customHeight="false" outlineLevel="0" collapsed="false">
      <c r="A371" s="1" t="s">
        <v>925</v>
      </c>
      <c r="B371" s="0" t="s">
        <v>98</v>
      </c>
      <c r="D371" s="6" t="n">
        <f aca="false">Sens!D369-Sens!D370</f>
        <v>101.832</v>
      </c>
      <c r="E371" s="6" t="n">
        <f aca="false">Sens!E369-Sens!E370</f>
        <v>133.749</v>
      </c>
      <c r="F371" s="6" t="n">
        <f aca="false">Sens!F369-Sens!F370</f>
        <v>141.084366557223</v>
      </c>
      <c r="G371" s="6" t="n">
        <f aca="false">Sens!G369-Sens!G370</f>
        <v>157.83934818747</v>
      </c>
      <c r="H371" s="6" t="n">
        <f aca="false">Sens!H369-Sens!H370</f>
        <v>174.193394077152</v>
      </c>
      <c r="I371" s="6" t="n">
        <f aca="false">Sens!I369-Sens!I370</f>
        <v>189.900181402841</v>
      </c>
      <c r="J371" s="6" t="n">
        <f aca="false">Sens!J369-Sens!J370</f>
        <v>204.574742046364</v>
      </c>
      <c r="K371" s="6" t="n">
        <f aca="false">Sens!K369-Sens!K370</f>
        <v>218.874745355641</v>
      </c>
    </row>
    <row r="372" customFormat="false" ht="17.15" hidden="false" customHeight="false" outlineLevel="0" collapsed="false">
      <c r="A372" s="1" t="s">
        <v>926</v>
      </c>
      <c r="B372" s="1" t="s">
        <v>81</v>
      </c>
      <c r="D372" s="14" t="n">
        <f aca="false">Q!L31</f>
        <v>7.465</v>
      </c>
      <c r="E372" s="14" t="n">
        <f aca="false">Q!M31</f>
        <v>7.453</v>
      </c>
      <c r="F372" s="14" t="n">
        <f aca="false">Sens!F415</f>
        <v>7.4735</v>
      </c>
      <c r="G372" s="14" t="n">
        <f aca="false">Sens!G415</f>
        <v>7.51806599322388</v>
      </c>
      <c r="H372" s="14" t="n">
        <f aca="false">Sens!H415</f>
        <v>7.54538357229772</v>
      </c>
      <c r="I372" s="14" t="n">
        <f aca="false">Sens!I415</f>
        <v>7.55716440430503</v>
      </c>
      <c r="J372" s="14" t="n">
        <f aca="false">Sens!J415</f>
        <v>7.57140591542291</v>
      </c>
      <c r="K372" s="14" t="n">
        <f aca="false">Sens!K415</f>
        <v>7.58792583312465</v>
      </c>
    </row>
    <row r="373" customFormat="false" ht="17.15" hidden="false" customHeight="false" outlineLevel="0" collapsed="false">
      <c r="A373" s="0" t="s">
        <v>927</v>
      </c>
      <c r="B373" s="0" t="s">
        <v>75</v>
      </c>
      <c r="D373" s="8" t="n">
        <f aca="false">Sens!D371/Sens!D372</f>
        <v>13.641259209645</v>
      </c>
      <c r="E373" s="8" t="n">
        <f aca="false">Sens!E371/Sens!E372</f>
        <v>17.9456594659869</v>
      </c>
      <c r="F373" s="8" t="n">
        <f aca="false">Sens!F371/Sens!F372</f>
        <v>18.8779509677156</v>
      </c>
      <c r="G373" s="8" t="n">
        <f aca="false">Sens!G371/Sens!G372</f>
        <v>20.994674472096</v>
      </c>
      <c r="H373" s="8" t="n">
        <f aca="false">Sens!H371/Sens!H372</f>
        <v>23.0860886538213</v>
      </c>
      <c r="I373" s="8" t="n">
        <f aca="false">Sens!I371/Sens!I372</f>
        <v>25.1284967804409</v>
      </c>
      <c r="J373" s="8" t="n">
        <f aca="false">Sens!J371/Sens!J372</f>
        <v>27.0193864034744</v>
      </c>
      <c r="K373" s="8" t="n">
        <f aca="false">Sens!K371/Sens!K372</f>
        <v>28.8451350433811</v>
      </c>
      <c r="L373" s="1" t="s">
        <v>928</v>
      </c>
    </row>
    <row r="374" customFormat="false" ht="17.15" hidden="false" customHeight="false" outlineLevel="0" collapsed="false">
      <c r="A374" s="1" t="s">
        <v>929</v>
      </c>
      <c r="B374" s="0" t="s">
        <v>98</v>
      </c>
      <c r="D374" s="6" t="n">
        <f aca="false">Sens!D371</f>
        <v>101.832</v>
      </c>
      <c r="E374" s="6" t="n">
        <f aca="false">Sens!E371</f>
        <v>133.749</v>
      </c>
      <c r="F374" s="6" t="n">
        <f aca="false">Sens!F371+Sens!F364*(1-tax_f)</f>
        <v>141.084366557223</v>
      </c>
      <c r="G374" s="6" t="n">
        <f aca="false">Sens!G371+Sens!G364*(1-tax_f)</f>
        <v>157.83934818747</v>
      </c>
      <c r="H374" s="6" t="n">
        <f aca="false">Sens!H371+Sens!H364*(1-tax_f)</f>
        <v>174.193394077152</v>
      </c>
      <c r="I374" s="6" t="n">
        <f aca="false">Sens!I371+Sens!I364*(1-tax_f)</f>
        <v>189.900181402841</v>
      </c>
      <c r="J374" s="6" t="n">
        <f aca="false">Sens!J371+Sens!J364*(1-tax_f)</f>
        <v>204.574742046364</v>
      </c>
      <c r="K374" s="6" t="n">
        <f aca="false">Sens!K371+Sens!K364*(1-tax_f)</f>
        <v>218.874745355641</v>
      </c>
    </row>
    <row r="375" customFormat="false" ht="17.15" hidden="false" customHeight="false" outlineLevel="0" collapsed="false">
      <c r="A375" s="0" t="s">
        <v>930</v>
      </c>
      <c r="B375" s="0" t="s">
        <v>75</v>
      </c>
      <c r="D375" s="8" t="n">
        <f aca="false">Sens!D374/Sens!D372</f>
        <v>13.641259209645</v>
      </c>
      <c r="E375" s="8" t="n">
        <f aca="false">Sens!E374/Sens!E372</f>
        <v>17.9456594659869</v>
      </c>
      <c r="F375" s="8" t="n">
        <f aca="false">Sens!F374/Sens!F372</f>
        <v>18.8779509677156</v>
      </c>
      <c r="G375" s="8" t="n">
        <f aca="false">Sens!G374/Sens!G372</f>
        <v>20.994674472096</v>
      </c>
      <c r="H375" s="8" t="n">
        <f aca="false">Sens!H374/Sens!H372</f>
        <v>23.0860886538213</v>
      </c>
      <c r="I375" s="8" t="n">
        <f aca="false">Sens!I374/Sens!I372</f>
        <v>25.1284967804409</v>
      </c>
      <c r="J375" s="8" t="n">
        <f aca="false">Sens!J374/Sens!J372</f>
        <v>27.0193864034744</v>
      </c>
      <c r="K375" s="8" t="n">
        <f aca="false">Sens!K374/Sens!K372</f>
        <v>28.8451350433811</v>
      </c>
      <c r="L375" s="1" t="s">
        <v>931</v>
      </c>
    </row>
    <row r="376" customFormat="false" ht="17.15" hidden="false" customHeight="false" outlineLevel="0" collapsed="false">
      <c r="A376" s="0" t="s">
        <v>932</v>
      </c>
      <c r="B376" s="0" t="s">
        <v>129</v>
      </c>
      <c r="E376" s="7" t="n">
        <f aca="false">Sens!E375/Sens!D375-1</f>
        <v>0.315542736208578</v>
      </c>
      <c r="F376" s="7" t="n">
        <f aca="false">Sens!F375/Sens!E375-1</f>
        <v>0.0519508075752664</v>
      </c>
      <c r="G376" s="7" t="n">
        <f aca="false">Sens!G375/Sens!F375-1</f>
        <v>0.112126761426614</v>
      </c>
      <c r="H376" s="7" t="n">
        <f aca="false">Sens!H375/Sens!G375-1</f>
        <v>0.0996164138912976</v>
      </c>
      <c r="I376" s="7" t="n">
        <f aca="false">Sens!I375/Sens!H375-1</f>
        <v>0.088469214393381</v>
      </c>
      <c r="J376" s="7" t="n">
        <f aca="false">Sens!J375/Sens!I375-1</f>
        <v>0.0752488156993687</v>
      </c>
      <c r="K376" s="7" t="n">
        <f aca="false">Sens!K375/Sens!J375-1</f>
        <v>0.0675718024326384</v>
      </c>
    </row>
    <row r="377" customFormat="false" ht="17.15" hidden="false" customHeight="false" outlineLevel="0" collapsed="false">
      <c r="A377" s="0" t="s">
        <v>856</v>
      </c>
      <c r="B377" s="0" t="s">
        <v>98</v>
      </c>
      <c r="E377" s="6" t="n">
        <f aca="false">Sens!E318</f>
        <v>5.25</v>
      </c>
      <c r="F377" s="6" t="n">
        <f aca="false">Sens!F318</f>
        <v>12</v>
      </c>
      <c r="G377" s="6" t="n">
        <f aca="false">Sens!G318</f>
        <v>18</v>
      </c>
      <c r="H377" s="6" t="n">
        <f aca="false">Sens!H318</f>
        <v>24</v>
      </c>
      <c r="I377" s="6" t="n">
        <f aca="false">Sens!I318</f>
        <v>28.5</v>
      </c>
      <c r="J377" s="6" t="n">
        <f aca="false">Sens!J318</f>
        <v>31.5</v>
      </c>
      <c r="K377" s="6" t="n">
        <f aca="false">Sens!K318</f>
        <v>34.5</v>
      </c>
    </row>
    <row r="378" customFormat="false" ht="17.15" hidden="false" customHeight="false" outlineLevel="0" collapsed="false">
      <c r="A378" s="1" t="s">
        <v>857</v>
      </c>
      <c r="B378" s="0" t="s">
        <v>98</v>
      </c>
      <c r="F378" s="6" t="n">
        <f aca="false">MAX(0,((Sens!E281+Sens!F281)/2-(shadow_base*(Sens!$D$281+Sens!$E$281)/2+(1-shadow_base)*Sens!$E$281))*Sens!F289/1000-(Sens!F377-Sens!$E$377)*Sens!F357)</f>
        <v>9.29892047395526</v>
      </c>
      <c r="G378" s="6" t="n">
        <f aca="false">MAX(0,((Sens!F281+Sens!G281)/2-(shadow_base*(Sens!$D$281+Sens!$E$281)/2+(1-shadow_base)*Sens!$E$281))*Sens!G289/1000-(Sens!G377-Sens!$E$377)*Sens!G357)</f>
        <v>23.9346303607031</v>
      </c>
      <c r="H378" s="6" t="n">
        <f aca="false">MAX(0,((Sens!G281+Sens!H281)/2-(shadow_base*(Sens!$D$281+Sens!$E$281)/2+(1-shadow_base)*Sens!$E$281))*Sens!H289/1000-(Sens!H377-Sens!$E$377)*Sens!H357)</f>
        <v>40.1043191979728</v>
      </c>
      <c r="I378" s="6" t="n">
        <f aca="false">MAX(0,((Sens!H281+Sens!I281)/2-(shadow_base*(Sens!$D$281+Sens!$E$281)/2+(1-shadow_base)*Sens!$E$281))*Sens!I289/1000-(Sens!I377-Sens!$E$377)*Sens!I357)</f>
        <v>54.9360183203111</v>
      </c>
      <c r="J378" s="6" t="n">
        <f aca="false">MAX(0,((Sens!I281+Sens!J281)/2-(shadow_base*(Sens!$D$281+Sens!$E$281)/2+(1-shadow_base)*Sens!$E$281))*Sens!J289/1000-(Sens!J377-Sens!$E$377)*Sens!J357)</f>
        <v>65.4555422613168</v>
      </c>
      <c r="K378" s="6" t="n">
        <f aca="false">MAX(0,((Sens!J281+Sens!K281)/2-(shadow_base*(Sens!$D$281+Sens!$E$281)/2+(1-shadow_base)*Sens!$E$281))*Sens!K289/1000-(Sens!K377-Sens!$E$377)*Sens!K357)</f>
        <v>71.4992160033785</v>
      </c>
      <c r="L378" s="1" t="s">
        <v>858</v>
      </c>
    </row>
    <row r="379" customFormat="false" ht="17.15" hidden="false" customHeight="false" outlineLevel="0" collapsed="false">
      <c r="A379" s="1" t="s">
        <v>859</v>
      </c>
      <c r="B379" s="0" t="s">
        <v>98</v>
      </c>
      <c r="F379" s="6" t="n">
        <f aca="false">IF(1=2,1,0)*Sens!F378</f>
        <v>0</v>
      </c>
      <c r="G379" s="6" t="n">
        <f aca="false">IF(1=2,1,0)*Sens!G378</f>
        <v>0</v>
      </c>
      <c r="H379" s="6" t="n">
        <f aca="false">IF(1=2,1,0)*Sens!H378</f>
        <v>0</v>
      </c>
      <c r="I379" s="6" t="n">
        <f aca="false">IF(1=2,1,0)*Sens!I378</f>
        <v>0</v>
      </c>
      <c r="J379" s="6" t="n">
        <f aca="false">IF(1=2,1,0)*Sens!J378</f>
        <v>0</v>
      </c>
      <c r="K379" s="6" t="n">
        <f aca="false">IF(1=2,1,0)*Sens!K378</f>
        <v>0</v>
      </c>
    </row>
    <row r="380" customFormat="false" ht="17.15" hidden="false" customHeight="false" outlineLevel="0" collapsed="false">
      <c r="A380" s="0" t="s">
        <v>860</v>
      </c>
      <c r="B380" s="0" t="s">
        <v>98</v>
      </c>
      <c r="F380" s="6" t="n">
        <f aca="false">Sens!F298+Sens!F377*Sens!F357+Sens!F379-Sens!F299-Sens!F309</f>
        <v>5.72811102826808</v>
      </c>
      <c r="G380" s="6" t="n">
        <f aca="false">Sens!G298+Sens!G377*Sens!G357+Sens!G379-Sens!G299-Sens!G309</f>
        <v>6.9199185889392</v>
      </c>
      <c r="H380" s="6" t="n">
        <f aca="false">Sens!H298+Sens!H377*Sens!H357+Sens!H379-Sens!H299-Sens!H309</f>
        <v>7.29817105961699</v>
      </c>
      <c r="I380" s="6" t="n">
        <f aca="false">Sens!I298+Sens!I377*Sens!I357+Sens!I379-Sens!I299-Sens!I309</f>
        <v>7.24577885362922</v>
      </c>
      <c r="J380" s="6" t="n">
        <f aca="false">Sens!J298+Sens!J377*Sens!J357+Sens!J379-Sens!J299-Sens!J309</f>
        <v>7.04950963341636</v>
      </c>
      <c r="K380" s="6" t="n">
        <f aca="false">Sens!K298+Sens!K377*Sens!K357+Sens!K379-Sens!K299-Sens!K309</f>
        <v>8.32188205373799</v>
      </c>
    </row>
    <row r="381" customFormat="false" ht="17.15" hidden="false" customHeight="false" outlineLevel="0" collapsed="false">
      <c r="A381" s="0" t="s">
        <v>861</v>
      </c>
      <c r="B381" s="0" t="s">
        <v>98</v>
      </c>
      <c r="E381" s="6" t="n">
        <f aca="false">Sens!E280*(cxit_open+self_build*tk_cxfac)/1000*ai_net_open</f>
        <v>126.6980382</v>
      </c>
      <c r="F381" s="6" t="n">
        <f aca="false">Sens!E381+Sens!F306-Sens!F309</f>
        <v>252.981026690511</v>
      </c>
      <c r="G381" s="6" t="n">
        <f aca="false">Sens!F381+Sens!G306-Sens!G309</f>
        <v>377.4297700632</v>
      </c>
      <c r="H381" s="6" t="n">
        <f aca="false">Sens!G381+Sens!H306-Sens!H309</f>
        <v>479.149036130289</v>
      </c>
      <c r="I381" s="6" t="n">
        <f aca="false">Sens!H381+Sens!I306-Sens!I309</f>
        <v>532.249961452141</v>
      </c>
      <c r="J381" s="6" t="n">
        <f aca="false">Sens!I381+Sens!J306-Sens!J309</f>
        <v>531.43307519354</v>
      </c>
      <c r="K381" s="6" t="n">
        <f aca="false">Sens!J381+Sens!K306-Sens!K309</f>
        <v>513.709026452823</v>
      </c>
      <c r="L381" s="1" t="s">
        <v>862</v>
      </c>
    </row>
    <row r="382" customFormat="false" ht="17.15" hidden="false" customHeight="false" outlineLevel="0" collapsed="false">
      <c r="A382" s="0" t="s">
        <v>863</v>
      </c>
      <c r="B382" s="0" t="s">
        <v>129</v>
      </c>
      <c r="F382" s="7" t="n">
        <f aca="false">Sens!F380*(1-tax_f)/((Sens!E381+Sens!F381)/2)</f>
        <v>0.0241387489928418</v>
      </c>
      <c r="G382" s="7" t="n">
        <f aca="false">Sens!G380*(1-tax_f)/((Sens!F381+Sens!G381)/2)</f>
        <v>0.0175629443520275</v>
      </c>
      <c r="H382" s="7" t="n">
        <f aca="false">Sens!H380*(1-tax_f)/((Sens!G381+Sens!H381)/2)</f>
        <v>0.0136322234579658</v>
      </c>
      <c r="I382" s="7" t="n">
        <f aca="false">Sens!I380*(1-tax_f)/((Sens!H381+Sens!I381)/2)</f>
        <v>0.0114625841962651</v>
      </c>
      <c r="J382" s="7" t="n">
        <f aca="false">Sens!J380*(1-tax_f)/((Sens!I381+Sens!J381)/2)</f>
        <v>0.0106039252529918</v>
      </c>
      <c r="K382" s="7" t="n">
        <f aca="false">Sens!K380*(1-tax_f)/((Sens!J381+Sens!K381)/2)</f>
        <v>0.0127399051908887</v>
      </c>
    </row>
    <row r="383" customFormat="false" ht="17.15" hidden="false" customHeight="false" outlineLevel="0" collapsed="false">
      <c r="A383" s="1" t="s">
        <v>864</v>
      </c>
      <c r="B383" s="0" t="s">
        <v>129</v>
      </c>
      <c r="F383" s="7" t="n">
        <f aca="false">(Sens!F380-Sens!F379)*(1-tax_f)/((Sens!E381+Sens!F381)/2)</f>
        <v>0.0241387489928418</v>
      </c>
      <c r="G383" s="7" t="n">
        <f aca="false">(Sens!G380-Sens!G379)*(1-tax_f)/((Sens!F381+Sens!G381)/2)</f>
        <v>0.0175629443520275</v>
      </c>
      <c r="H383" s="7" t="n">
        <f aca="false">(Sens!H380-Sens!H379)*(1-tax_f)/((Sens!G381+Sens!H381)/2)</f>
        <v>0.0136322234579658</v>
      </c>
      <c r="I383" s="7" t="n">
        <f aca="false">(Sens!I380-Sens!I379)*(1-tax_f)/((Sens!H381+Sens!I381)/2)</f>
        <v>0.0114625841962651</v>
      </c>
      <c r="J383" s="7" t="n">
        <f aca="false">(Sens!J380-Sens!J379)*(1-tax_f)/((Sens!I381+Sens!J381)/2)</f>
        <v>0.0106039252529918</v>
      </c>
      <c r="K383" s="7" t="n">
        <f aca="false">(Sens!K380-Sens!K379)*(1-tax_f)/((Sens!J381+Sens!K381)/2)</f>
        <v>0.0127399051908887</v>
      </c>
    </row>
    <row r="384" customFormat="false" ht="17.15" hidden="false" customHeight="false" outlineLevel="0" collapsed="false">
      <c r="A384" s="1" t="s">
        <v>865</v>
      </c>
      <c r="B384" s="0" t="s">
        <v>129</v>
      </c>
      <c r="F384" s="7" t="n">
        <f aca="false">(Sens!F380-Sens!F379+Sens!F378)*(1-tax_f)/((Sens!E381+Sens!F381)/2)</f>
        <v>0.0633251938989334</v>
      </c>
      <c r="G384" s="7" t="n">
        <f aca="false">(Sens!G380-Sens!G379+Sens!G378)*(1-tax_f)/((Sens!F381+Sens!G381)/2)</f>
        <v>0.0783096967463813</v>
      </c>
      <c r="H384" s="7" t="n">
        <f aca="false">(Sens!H380-Sens!H379+Sens!H378)*(1-tax_f)/((Sens!G381+Sens!H381)/2)</f>
        <v>0.0885429149819656</v>
      </c>
      <c r="I384" s="7" t="n">
        <f aca="false">(Sens!I380-Sens!I379+Sens!I378)*(1-tax_f)/((Sens!H381+Sens!I381)/2)</f>
        <v>0.0983695610892634</v>
      </c>
      <c r="J384" s="7" t="n">
        <f aca="false">(Sens!J380-Sens!J379+Sens!J378)*(1-tax_f)/((Sens!I381+Sens!J381)/2)</f>
        <v>0.109062642756252</v>
      </c>
      <c r="K384" s="7" t="n">
        <f aca="false">(Sens!K380-Sens!K379+Sens!K378)*(1-tax_f)/((Sens!J381+Sens!K381)/2)</f>
        <v>0.122197504712713</v>
      </c>
    </row>
    <row r="385" customFormat="false" ht="17.15" hidden="false" customHeight="false" outlineLevel="0" collapsed="false">
      <c r="A385" s="1" t="s">
        <v>866</v>
      </c>
      <c r="B385" s="0" t="s">
        <v>129</v>
      </c>
      <c r="F385" s="7" t="n">
        <f aca="false">Sens!F310*(1-tax_f)/(Sens!F297*(Sens!E381+Sens!F381)/2)</f>
        <v>0.133653288300971</v>
      </c>
      <c r="G385" s="7" t="n">
        <f aca="false">Sens!G310*(1-tax_f)/(Sens!G297*(Sens!F381+Sens!G381)/2)</f>
        <v>0.131459221834535</v>
      </c>
      <c r="H385" s="7" t="n">
        <f aca="false">Sens!H310*(1-tax_f)/(Sens!H297*(Sens!G381+Sens!H381)/2)</f>
        <v>0.135120575835084</v>
      </c>
      <c r="I385" s="7" t="n">
        <f aca="false">Sens!I310*(1-tax_f)/(Sens!I297*(Sens!H381+Sens!I381)/2)</f>
        <v>0.143323969665222</v>
      </c>
      <c r="J385" s="7" t="n">
        <f aca="false">Sens!J310*(1-tax_f)/(Sens!J297*(Sens!I381+Sens!J381)/2)</f>
        <v>0.155570128388075</v>
      </c>
      <c r="K385" s="7" t="n">
        <f aca="false">Sens!K310*(1-tax_f)/(Sens!K297*(Sens!J381+Sens!K381)/2)</f>
        <v>0.172427697111622</v>
      </c>
    </row>
    <row r="386" customFormat="false" ht="17.15" hidden="false" customHeight="false" outlineLevel="0" collapsed="false">
      <c r="A386" s="0" t="s">
        <v>867</v>
      </c>
      <c r="B386" s="0" t="s">
        <v>209</v>
      </c>
      <c r="F386" s="7" t="n">
        <f aca="false">Sens!F382-wacc</f>
        <v>-0.078795671100034</v>
      </c>
      <c r="G386" s="7" t="n">
        <f aca="false">Sens!G382-wacc</f>
        <v>-0.0853714757408483</v>
      </c>
      <c r="H386" s="7" t="n">
        <f aca="false">Sens!H382-wacc</f>
        <v>-0.08930219663491</v>
      </c>
      <c r="I386" s="7" t="n">
        <f aca="false">Sens!I382-wacc</f>
        <v>-0.0914718358966106</v>
      </c>
      <c r="J386" s="7" t="n">
        <f aca="false">Sens!J382-wacc</f>
        <v>-0.0923304948398839</v>
      </c>
      <c r="K386" s="7" t="n">
        <f aca="false">Sens!K382-wacc</f>
        <v>-0.0901945149019871</v>
      </c>
    </row>
    <row r="387" customFormat="false" ht="17.15" hidden="false" customHeight="false" outlineLevel="0" collapsed="false">
      <c r="A387" s="0" t="s">
        <v>868</v>
      </c>
      <c r="B387" s="0" t="s">
        <v>98</v>
      </c>
      <c r="F387" s="6" t="n">
        <f aca="false">Sens!F380*(1-tax_f)-wacc*(Sens!E381+Sens!F381)/2</f>
        <v>-14.9585333603406</v>
      </c>
      <c r="G387" s="6" t="n">
        <f aca="false">Sens!G380*(1-tax_f)-wacc*(Sens!F381+Sens!G381)/2</f>
        <v>-26.9095500209141</v>
      </c>
      <c r="H387" s="6" t="n">
        <f aca="false">Sens!H380*(1-tax_f)-wacc*(Sens!G381+Sens!H381)/2</f>
        <v>-38.2471844919937</v>
      </c>
      <c r="I387" s="6" t="n">
        <f aca="false">Sens!I380*(1-tax_f)-wacc*(Sens!H381+Sens!I381)/2</f>
        <v>-46.2572615664283</v>
      </c>
      <c r="J387" s="6" t="n">
        <f aca="false">Sens!J380*(1-tax_f)-wacc*(Sens!I381+Sens!J381)/2</f>
        <v>-49.1051905631431</v>
      </c>
      <c r="K387" s="6" t="n">
        <f aca="false">Sens!K380*(1-tax_f)-wacc*(Sens!J381+Sens!K381)/2</f>
        <v>-47.1330424308185</v>
      </c>
    </row>
    <row r="388" customFormat="false" ht="17.15" hidden="false" customHeight="false" outlineLevel="0" collapsed="false">
      <c r="A388" s="3" t="s">
        <v>1270</v>
      </c>
    </row>
    <row r="389" customFormat="false" ht="15" hidden="false" customHeight="false" outlineLevel="0" collapsed="false">
      <c r="A389" s="4" t="s">
        <v>43</v>
      </c>
      <c r="B389" s="4" t="s">
        <v>65</v>
      </c>
      <c r="C389" s="20" t="s">
        <v>799</v>
      </c>
      <c r="D389" s="20" t="s">
        <v>800</v>
      </c>
      <c r="E389" s="20" t="s">
        <v>801</v>
      </c>
      <c r="F389" s="20" t="s">
        <v>802</v>
      </c>
      <c r="G389" s="20" t="s">
        <v>803</v>
      </c>
      <c r="H389" s="20" t="s">
        <v>804</v>
      </c>
      <c r="I389" s="20" t="s">
        <v>805</v>
      </c>
      <c r="J389" s="20" t="s">
        <v>806</v>
      </c>
      <c r="K389" s="20" t="s">
        <v>807</v>
      </c>
      <c r="L389" s="4" t="s">
        <v>47</v>
      </c>
    </row>
    <row r="390" customFormat="false" ht="15" hidden="false" customHeight="false" outlineLevel="0" collapsed="false">
      <c r="A390" s="1" t="s">
        <v>925</v>
      </c>
      <c r="B390" s="0" t="s">
        <v>98</v>
      </c>
      <c r="F390" s="6" t="n">
        <f aca="false">Sens!F371</f>
        <v>141.084366557223</v>
      </c>
      <c r="G390" s="6" t="n">
        <f aca="false">Sens!G371</f>
        <v>157.83934818747</v>
      </c>
      <c r="H390" s="6" t="n">
        <f aca="false">Sens!H371</f>
        <v>174.193394077152</v>
      </c>
      <c r="I390" s="6" t="n">
        <f aca="false">Sens!I371</f>
        <v>189.900181402841</v>
      </c>
      <c r="J390" s="6" t="n">
        <f aca="false">Sens!J371</f>
        <v>204.574742046364</v>
      </c>
      <c r="K390" s="6" t="n">
        <f aca="false">Sens!K371</f>
        <v>218.874745355641</v>
      </c>
    </row>
    <row r="391" customFormat="false" ht="17.15" hidden="false" customHeight="false" outlineLevel="0" collapsed="false">
      <c r="A391" s="1" t="s">
        <v>947</v>
      </c>
      <c r="B391" s="0" t="s">
        <v>98</v>
      </c>
      <c r="E391" s="6" t="n">
        <f aca="false">Q!M38-Sens!E309</f>
        <v>22.2285940229167</v>
      </c>
      <c r="F391" s="6" t="n">
        <f aca="false">Sens!E391*(1-1/life_nonai)+(Sens!F398+Sens!F399)/life_nonai</f>
        <v>24.3924470334783</v>
      </c>
      <c r="G391" s="6" t="n">
        <f aca="false">Sens!F391*(1-1/life_nonai)+(Sens!G398)/life_nonai</f>
        <v>26.0684916871694</v>
      </c>
      <c r="H391" s="6" t="n">
        <f aca="false">Sens!G391*(1-1/life_nonai)+(Sens!H398)/life_nonai</f>
        <v>28.1427938828615</v>
      </c>
      <c r="I391" s="6" t="n">
        <f aca="false">Sens!H391*(1-1/life_nonai)+(Sens!I398)/life_nonai</f>
        <v>30.5483545257397</v>
      </c>
      <c r="J391" s="6" t="n">
        <f aca="false">Sens!I391*(1-1/life_nonai)+(Sens!J398)/life_nonai</f>
        <v>33.2016103982031</v>
      </c>
      <c r="K391" s="6" t="n">
        <f aca="false">Sens!J391*(1-1/life_nonai)+(Sens!K398)/life_nonai</f>
        <v>36.0183196325822</v>
      </c>
      <c r="L391" s="11" t="s">
        <v>948</v>
      </c>
    </row>
    <row r="392" customFormat="false" ht="17.15" hidden="false" customHeight="false" outlineLevel="0" collapsed="false">
      <c r="A392" s="1" t="s">
        <v>949</v>
      </c>
      <c r="B392" s="0" t="s">
        <v>98</v>
      </c>
      <c r="F392" s="6" t="n">
        <f aca="false">Sens!$F$399/life_nonai*(1-1/life_nonai)^(Sens!F275-2027)</f>
        <v>0.828777689897088</v>
      </c>
      <c r="G392" s="6" t="n">
        <f aca="false">Sens!$F$399/life_nonai*(1-1/life_nonai)^(Sens!G275-2027)</f>
        <v>0.745899920907379</v>
      </c>
      <c r="H392" s="6" t="n">
        <f aca="false">Sens!$F$399/life_nonai*(1-1/life_nonai)^(Sens!H275-2027)</f>
        <v>0.671309928816642</v>
      </c>
      <c r="I392" s="6" t="n">
        <f aca="false">Sens!$F$399/life_nonai*(1-1/life_nonai)^(Sens!I275-2027)</f>
        <v>0.604178935934977</v>
      </c>
      <c r="J392" s="6" t="n">
        <f aca="false">Sens!$F$399/life_nonai*(1-1/life_nonai)^(Sens!J275-2027)</f>
        <v>0.54376104234148</v>
      </c>
      <c r="K392" s="6" t="n">
        <f aca="false">Sens!$F$399/life_nonai*(1-1/life_nonai)^(Sens!K275-2027)</f>
        <v>0.489384938107332</v>
      </c>
      <c r="L392" s="1" t="s">
        <v>950</v>
      </c>
    </row>
    <row r="393" customFormat="false" ht="17.15" hidden="false" customHeight="false" outlineLevel="0" collapsed="false">
      <c r="A393" s="1" t="s">
        <v>951</v>
      </c>
      <c r="B393" s="0" t="s">
        <v>98</v>
      </c>
      <c r="E393" s="6" t="n">
        <f aca="false">Sens!E309+Sens!E391</f>
        <v>38.534</v>
      </c>
      <c r="F393" s="6" t="n">
        <f aca="false">Sens!F309+Sens!F391</f>
        <v>58.4423344144339</v>
      </c>
      <c r="G393" s="6" t="n">
        <f aca="false">Sens!G309+Sens!G391</f>
        <v>85.1939287976805</v>
      </c>
      <c r="H393" s="6" t="n">
        <f aca="false">Sens!H309+Sens!H391</f>
        <v>114.503813726173</v>
      </c>
      <c r="I393" s="6" t="n">
        <f aca="false">Sens!I309+Sens!I391</f>
        <v>141.154098358132</v>
      </c>
      <c r="J393" s="6" t="n">
        <f aca="false">Sens!J309+Sens!J391</f>
        <v>161.199933251046</v>
      </c>
      <c r="K393" s="6" t="n">
        <f aca="false">Sens!K309+Sens!K391</f>
        <v>175.14978367689</v>
      </c>
    </row>
    <row r="394" customFormat="false" ht="17.15" hidden="false" customHeight="false" outlineLevel="0" collapsed="false">
      <c r="A394" s="1" t="s">
        <v>952</v>
      </c>
      <c r="B394" s="0" t="s">
        <v>98</v>
      </c>
      <c r="F394" s="6" t="n">
        <f aca="false">Sens!F336*sbc_r</f>
        <v>14.9308704941267</v>
      </c>
      <c r="G394" s="6" t="n">
        <f aca="false">Sens!G336*sbc_r</f>
        <v>17.7641108812713</v>
      </c>
      <c r="H394" s="6" t="n">
        <f aca="false">Sens!H336*sbc_r</f>
        <v>20.6640880611968</v>
      </c>
      <c r="I394" s="6" t="n">
        <f aca="false">Sens!I336*sbc_r</f>
        <v>23.3389517385966</v>
      </c>
      <c r="J394" s="6" t="n">
        <f aca="false">Sens!J336*sbc_r</f>
        <v>25.5443980773879</v>
      </c>
      <c r="K394" s="6" t="n">
        <f aca="false">Sens!K336*sbc_r</f>
        <v>27.3434618223447</v>
      </c>
    </row>
    <row r="395" customFormat="false" ht="17.15" hidden="false" customHeight="false" outlineLevel="0" collapsed="false">
      <c r="A395" s="1" t="s">
        <v>953</v>
      </c>
      <c r="B395" s="0" t="s">
        <v>98</v>
      </c>
      <c r="F395" s="6" t="n">
        <f aca="false">wc27</f>
        <v>-4.895</v>
      </c>
      <c r="G395" s="6" t="n">
        <f aca="false">wc_f</f>
        <v>0</v>
      </c>
      <c r="H395" s="6" t="n">
        <f aca="false">wc_f</f>
        <v>0</v>
      </c>
      <c r="I395" s="6" t="n">
        <f aca="false">wc_f</f>
        <v>0</v>
      </c>
      <c r="J395" s="6" t="n">
        <f aca="false">wc_f</f>
        <v>0</v>
      </c>
      <c r="K395" s="6" t="n">
        <f aca="false">wc_f</f>
        <v>0</v>
      </c>
      <c r="L395" s="11" t="s">
        <v>954</v>
      </c>
    </row>
    <row r="396" customFormat="false" ht="15" hidden="false" customHeight="false" outlineLevel="0" collapsed="false">
      <c r="A396" s="1" t="s">
        <v>767</v>
      </c>
      <c r="B396" s="0" t="s">
        <v>98</v>
      </c>
      <c r="E396" s="6" t="n">
        <f aca="false">Q!M35</f>
        <v>182.935</v>
      </c>
      <c r="F396" s="6" t="n">
        <f aca="false">Sens!F390+Sens!F393+Sens!F394+Sens!F395</f>
        <v>209.562571465783</v>
      </c>
      <c r="G396" s="6" t="n">
        <f aca="false">Sens!G390+Sens!G393+Sens!G394+Sens!G395</f>
        <v>260.797387866422</v>
      </c>
      <c r="H396" s="6" t="n">
        <f aca="false">Sens!H390+Sens!H393+Sens!H394+Sens!H395</f>
        <v>309.361295864522</v>
      </c>
      <c r="I396" s="6" t="n">
        <f aca="false">Sens!I390+Sens!I393+Sens!I394+Sens!I395</f>
        <v>354.39323149957</v>
      </c>
      <c r="J396" s="6" t="n">
        <f aca="false">Sens!J390+Sens!J393+Sens!J394+Sens!J395</f>
        <v>391.319073374798</v>
      </c>
      <c r="K396" s="6" t="n">
        <f aca="false">Sens!K390+Sens!K393+Sens!K394+Sens!K395</f>
        <v>421.367990854876</v>
      </c>
    </row>
    <row r="397" customFormat="false" ht="17.15" hidden="false" customHeight="false" outlineLevel="0" collapsed="false">
      <c r="A397" s="0" t="s">
        <v>955</v>
      </c>
      <c r="B397" s="0" t="s">
        <v>98</v>
      </c>
      <c r="F397" s="6" t="n">
        <f aca="false">Sens!F306</f>
        <v>160.332875871467</v>
      </c>
      <c r="G397" s="6" t="n">
        <f aca="false">Sens!G306</f>
        <v>183.5741804832</v>
      </c>
      <c r="H397" s="6" t="n">
        <f aca="false">Sens!H306</f>
        <v>188.0802859104</v>
      </c>
      <c r="I397" s="6" t="n">
        <f aca="false">Sens!I306</f>
        <v>163.706669154245</v>
      </c>
      <c r="J397" s="6" t="n">
        <f aca="false">Sens!J306</f>
        <v>127.181436594242</v>
      </c>
      <c r="K397" s="6" t="n">
        <f aca="false">Sens!K306</f>
        <v>121.407415303591</v>
      </c>
    </row>
    <row r="398" customFormat="false" ht="17.15" hidden="false" customHeight="false" outlineLevel="0" collapsed="false">
      <c r="A398" s="1" t="s">
        <v>956</v>
      </c>
      <c r="B398" s="0" t="s">
        <v>98</v>
      </c>
      <c r="E398" s="6" t="n">
        <f aca="false">Sens!E314*cx_azo+Sens!E321*cx_m365+Sens!E322*cx_lic+(Sens!E324+Sens!E326)*cx_ind+Sens!E329*cx_srch+(Sens!E331+Sens!E333)*cx_dev</f>
        <v>30.1846587067718</v>
      </c>
      <c r="F398" s="6" t="n">
        <f aca="false">Sens!F314*cx_azo+Sens!F321*cx_m365+Sens!F322*cx_lic+(Sens!F324+Sens!F326)*cx_ind+Sens!F329*cx_srch+(Sens!F331+Sens!F333)*cx_dev</f>
        <v>35.5793472295625</v>
      </c>
      <c r="G398" s="6" t="n">
        <f aca="false">Sens!G314*cx_azo+Sens!G321*cx_m365+Sens!G322*cx_lic+(Sens!G324+Sens!G326)*cx_ind+Sens!G329*cx_srch+(Sens!G331+Sens!G333)*cx_dev</f>
        <v>41.1528935703892</v>
      </c>
      <c r="H398" s="6" t="n">
        <f aca="false">Sens!H314*cx_azo+Sens!H321*cx_m365+Sens!H322*cx_lic+(Sens!H324+Sens!H326)*cx_ind+Sens!H329*cx_srch+(Sens!H331+Sens!H333)*cx_dev</f>
        <v>46.8115136440897</v>
      </c>
      <c r="I398" s="6" t="n">
        <f aca="false">Sens!I314*cx_azo+Sens!I321*cx_m365+Sens!I322*cx_lic+(Sens!I324+Sens!I326)*cx_ind+Sens!I329*cx_srch+(Sens!I331+Sens!I333)*cx_dev</f>
        <v>52.1984003116439</v>
      </c>
      <c r="J398" s="6" t="n">
        <f aca="false">Sens!J314*cx_azo+Sens!J321*cx_m365+Sens!J322*cx_lic+(Sens!J324+Sens!J326)*cx_ind+Sens!J329*cx_srch+(Sens!J331+Sens!J333)*cx_dev</f>
        <v>57.0809132503738</v>
      </c>
      <c r="K398" s="6" t="n">
        <f aca="false">Sens!K314*cx_azo+Sens!K321*cx_m365+Sens!K322*cx_lic+(Sens!K324+Sens!K326)*cx_ind+Sens!K329*cx_srch+(Sens!K331+Sens!K333)*cx_dev</f>
        <v>61.368702741994</v>
      </c>
    </row>
    <row r="399" customFormat="false" ht="17.15" hidden="false" customHeight="false" outlineLevel="0" collapsed="false">
      <c r="A399" s="0" t="s">
        <v>957</v>
      </c>
      <c r="B399" s="0" t="s">
        <v>98</v>
      </c>
      <c r="F399" s="6" t="n">
        <f aca="false">Sens!F304</f>
        <v>8.28777689897088</v>
      </c>
      <c r="L399" s="1" t="s">
        <v>958</v>
      </c>
    </row>
    <row r="400" customFormat="false" ht="17.15" hidden="false" customHeight="false" outlineLevel="0" collapsed="false">
      <c r="A400" s="1" t="s">
        <v>959</v>
      </c>
      <c r="B400" s="0" t="s">
        <v>98</v>
      </c>
      <c r="E400" s="6" t="n">
        <f aca="false">Q!M42</f>
        <v>145.3</v>
      </c>
      <c r="F400" s="6" t="n">
        <f aca="false">Sens!F397+Sens!F398+Sens!F399</f>
        <v>204.2</v>
      </c>
      <c r="G400" s="6" t="n">
        <f aca="false">Sens!G397+Sens!G398</f>
        <v>224.727074053589</v>
      </c>
      <c r="H400" s="6" t="n">
        <f aca="false">Sens!H397+Sens!H398</f>
        <v>234.89179955449</v>
      </c>
      <c r="I400" s="6" t="n">
        <f aca="false">Sens!I397+Sens!I398</f>
        <v>215.905069465889</v>
      </c>
      <c r="J400" s="6" t="n">
        <f aca="false">Sens!J397+Sens!J398</f>
        <v>184.262349844616</v>
      </c>
      <c r="K400" s="6" t="n">
        <f aca="false">Sens!K397+Sens!K398</f>
        <v>182.776118045585</v>
      </c>
      <c r="L400" s="1" t="s">
        <v>960</v>
      </c>
    </row>
    <row r="401" customFormat="false" ht="15" hidden="false" customHeight="false" outlineLevel="0" collapsed="false">
      <c r="A401" s="1" t="s">
        <v>961</v>
      </c>
      <c r="B401" s="0" t="s">
        <v>98</v>
      </c>
      <c r="E401" s="6" t="n">
        <f aca="false">fl_liab</f>
        <v>66.594</v>
      </c>
      <c r="F401" s="6" t="n">
        <f aca="false">Sens!E401-Sens!F402</f>
        <v>62.46973</v>
      </c>
      <c r="G401" s="6" t="n">
        <f aca="false">Sens!F401-Sens!G402</f>
        <v>57.98686785</v>
      </c>
      <c r="H401" s="6" t="n">
        <f aca="false">Sens!G401-Sens!H402</f>
        <v>53.92827690325</v>
      </c>
      <c r="I401" s="6" t="n">
        <f aca="false">Sens!H401-Sens!I402</f>
        <v>49.7850493638962</v>
      </c>
      <c r="J401" s="6" t="n">
        <f aca="false">Sens!I401-Sens!J402</f>
        <v>45.4823765852716</v>
      </c>
      <c r="K401" s="6" t="n">
        <f aca="false">Sens!J401-Sens!K402</f>
        <v>40.9860835316088</v>
      </c>
    </row>
    <row r="402" customFormat="false" ht="15" hidden="false" customHeight="false" outlineLevel="0" collapsed="false">
      <c r="A402" s="1" t="s">
        <v>962</v>
      </c>
      <c r="B402" s="0" t="s">
        <v>98</v>
      </c>
      <c r="F402" s="6" t="n">
        <f aca="false">fl_pay_27-Sens!E401*fl_rate</f>
        <v>4.12427</v>
      </c>
      <c r="G402" s="6" t="n">
        <f aca="false">fl_pay_28-Sens!F401*fl_rate</f>
        <v>4.48286215</v>
      </c>
      <c r="H402" s="6" t="n">
        <f aca="false">fl_pay_29-Sens!G401*fl_rate</f>
        <v>4.05859094675</v>
      </c>
      <c r="I402" s="6" t="n">
        <f aca="false">fl_pay_30-Sens!H401*fl_rate</f>
        <v>4.14322753935375</v>
      </c>
      <c r="J402" s="6" t="n">
        <f aca="false">fl_pay_31-Sens!I401*fl_rate</f>
        <v>4.30267277862467</v>
      </c>
      <c r="K402" s="6" t="n">
        <f aca="false">fl_pay_32-Sens!J401*fl_rate</f>
        <v>4.49629305366278</v>
      </c>
    </row>
    <row r="403" customFormat="false" ht="17.15" hidden="false" customHeight="false" outlineLevel="0" collapsed="false">
      <c r="A403" s="1" t="s">
        <v>963</v>
      </c>
      <c r="B403" s="0" t="s">
        <v>98</v>
      </c>
      <c r="E403" s="6" t="n">
        <f aca="false">Q!M35-Q!M36-Q!M43</f>
        <v>63.886</v>
      </c>
      <c r="F403" s="6" t="n">
        <f aca="false">Sens!F396-Sens!F400-Sens!F402</f>
        <v>1.23830146578308</v>
      </c>
      <c r="G403" s="6" t="n">
        <f aca="false">Sens!G396-Sens!G400-Sens!G402</f>
        <v>31.5874516628328</v>
      </c>
      <c r="H403" s="6" t="n">
        <f aca="false">Sens!H396-Sens!H400-Sens!H402</f>
        <v>70.4109053632819</v>
      </c>
      <c r="I403" s="6" t="n">
        <f aca="false">Sens!I396-Sens!I400-Sens!I402</f>
        <v>134.344934494327</v>
      </c>
      <c r="J403" s="6" t="n">
        <f aca="false">Sens!J396-Sens!J400-Sens!J402</f>
        <v>202.754050751557</v>
      </c>
      <c r="K403" s="6" t="n">
        <f aca="false">Sens!K396-Sens!K400-Sens!K402</f>
        <v>234.095579755628</v>
      </c>
      <c r="L403" s="11" t="s">
        <v>964</v>
      </c>
    </row>
    <row r="404" customFormat="false" ht="15" hidden="false" customHeight="false" outlineLevel="0" collapsed="false">
      <c r="A404" s="1" t="s">
        <v>965</v>
      </c>
      <c r="B404" s="0" t="s">
        <v>75</v>
      </c>
      <c r="F404" s="8" t="n">
        <f aca="false">dps_27</f>
        <v>3.85</v>
      </c>
      <c r="G404" s="8" t="n">
        <f aca="false">Sens!F404*(1+dps_g)</f>
        <v>4.158</v>
      </c>
      <c r="H404" s="8" t="n">
        <f aca="false">Sens!G404*(1+dps_g)</f>
        <v>4.49064</v>
      </c>
      <c r="I404" s="8" t="n">
        <f aca="false">Sens!H404*(1+dps_g)</f>
        <v>4.8498912</v>
      </c>
      <c r="J404" s="8" t="n">
        <f aca="false">Sens!I404*(1+dps_g)</f>
        <v>5.237882496</v>
      </c>
      <c r="K404" s="8" t="n">
        <f aca="false">Sens!J404*(1+dps_g)</f>
        <v>5.65691309568</v>
      </c>
    </row>
    <row r="405" customFormat="false" ht="17.15" hidden="false" customHeight="false" outlineLevel="0" collapsed="false">
      <c r="A405" s="1" t="s">
        <v>966</v>
      </c>
      <c r="B405" s="0" t="s">
        <v>98</v>
      </c>
      <c r="E405" s="6" t="n">
        <f aca="false">Q!M41</f>
        <v>26.445</v>
      </c>
      <c r="F405" s="6" t="n">
        <f aca="false">Sens!F404*Sens!E414</f>
        <v>28.59395</v>
      </c>
      <c r="G405" s="6" t="n">
        <f aca="false">Sens!G404*Sens!F414</f>
        <v>31.068576</v>
      </c>
      <c r="H405" s="6" t="n">
        <f aca="false">Sens!H404*Sens!G414</f>
        <v>33.7522429436218</v>
      </c>
      <c r="I405" s="6" t="n">
        <f aca="false">Sens!I404*Sens!H414</f>
        <v>36.503361619111</v>
      </c>
      <c r="J405" s="6" t="n">
        <f aca="false">Sens!J404*Sens!I414</f>
        <v>39.4920293969593</v>
      </c>
      <c r="K405" s="6" t="n">
        <f aca="false">Sens!K404*Sens!J414</f>
        <v>42.7386469740211</v>
      </c>
      <c r="L405" s="1" t="s">
        <v>967</v>
      </c>
    </row>
    <row r="406" customFormat="false" ht="15" hidden="false" customHeight="false" outlineLevel="0" collapsed="false">
      <c r="A406" s="1" t="s">
        <v>968</v>
      </c>
      <c r="B406" s="0" t="s">
        <v>98</v>
      </c>
      <c r="E406" s="6" t="n">
        <f aca="false">Sens!E403-Sens!E405</f>
        <v>37.441</v>
      </c>
      <c r="F406" s="6" t="n">
        <f aca="false">Sens!F403-Sens!F405</f>
        <v>-27.3556485342169</v>
      </c>
      <c r="G406" s="6" t="n">
        <f aca="false">Sens!G403-Sens!G405</f>
        <v>0.518875662832837</v>
      </c>
      <c r="H406" s="6" t="n">
        <f aca="false">Sens!H403-Sens!H405</f>
        <v>36.6586624196601</v>
      </c>
      <c r="I406" s="6" t="n">
        <f aca="false">Sens!I403-Sens!I405</f>
        <v>97.8415728752161</v>
      </c>
      <c r="J406" s="6" t="n">
        <f aca="false">Sens!J403-Sens!J405</f>
        <v>163.262021354598</v>
      </c>
      <c r="K406" s="6" t="n">
        <f aca="false">Sens!K403-Sens!K405</f>
        <v>191.356932781607</v>
      </c>
    </row>
    <row r="407" customFormat="false" ht="15" hidden="false" customHeight="false" outlineLevel="0" collapsed="false">
      <c r="A407" s="1" t="s">
        <v>969</v>
      </c>
      <c r="B407" s="0" t="s">
        <v>98</v>
      </c>
      <c r="F407" s="6" t="n">
        <f aca="false">debt_mat_27</f>
        <v>9.25</v>
      </c>
      <c r="G407" s="6" t="n">
        <f aca="false">debt_mat_28</f>
        <v>0</v>
      </c>
      <c r="H407" s="6" t="n">
        <f aca="false">debt_mat_29</f>
        <v>2.001</v>
      </c>
      <c r="I407" s="6" t="n">
        <f aca="false">debt_mat_30</f>
        <v>0</v>
      </c>
      <c r="J407" s="6" t="n">
        <f aca="false">debt_mat_31</f>
        <v>0.5</v>
      </c>
      <c r="K407" s="6" t="n">
        <f aca="false">debt_mat_32</f>
        <v>0</v>
      </c>
    </row>
    <row r="408" customFormat="false" ht="15" hidden="false" customHeight="false" outlineLevel="0" collapsed="false">
      <c r="A408" s="1" t="s">
        <v>970</v>
      </c>
      <c r="B408" s="0" t="s">
        <v>98</v>
      </c>
      <c r="E408" s="6" t="n">
        <f aca="false">Q!M40</f>
        <v>22.271</v>
      </c>
      <c r="F408" s="6" t="n">
        <f aca="false">MAX(0,MIN(bb_target,Sens!E410+Sens!F406-Sens!F407-min_cash))</f>
        <v>0</v>
      </c>
      <c r="G408" s="6" t="n">
        <f aca="false">MAX(0,MIN(bb_target,Sens!F410+Sens!G406-Sens!G407-min_cash))</f>
        <v>0.518875662832841</v>
      </c>
      <c r="H408" s="6" t="n">
        <f aca="false">MAX(0,MIN(bb_target,Sens!G410+Sens!H406-Sens!H407-min_cash))</f>
        <v>22.271</v>
      </c>
      <c r="I408" s="6" t="n">
        <f aca="false">MAX(0,MIN(bb_target,Sens!H410+Sens!I406-Sens!I407-min_cash))</f>
        <v>22.271</v>
      </c>
      <c r="J408" s="6" t="n">
        <f aca="false">MAX(0,MIN(bb_target,Sens!I410+Sens!J406-Sens!J407-min_cash))</f>
        <v>22.271</v>
      </c>
      <c r="K408" s="6" t="n">
        <f aca="false">MAX(0,MIN(bb_target,Sens!J410+Sens!K406-Sens!K407-min_cash))</f>
        <v>22.271</v>
      </c>
    </row>
    <row r="409" customFormat="false" ht="15" hidden="false" customHeight="false" outlineLevel="0" collapsed="false">
      <c r="A409" s="1" t="s">
        <v>971</v>
      </c>
      <c r="B409" s="0" t="s">
        <v>98</v>
      </c>
      <c r="F409" s="6" t="n">
        <f aca="false">MAX(0,min_cash-(Sens!E410+Sens!F406-Sens!F407-Sens!F408))</f>
        <v>9.76264853421692</v>
      </c>
      <c r="G409" s="6" t="n">
        <f aca="false">MAX(0,min_cash-(Sens!F410+Sens!G406-Sens!G407-Sens!G408))</f>
        <v>0</v>
      </c>
      <c r="H409" s="6" t="n">
        <f aca="false">MAX(0,min_cash-(Sens!G410+Sens!H406-Sens!H407-Sens!H408))</f>
        <v>0</v>
      </c>
      <c r="I409" s="6" t="n">
        <f aca="false">MAX(0,min_cash-(Sens!H410+Sens!I406-Sens!I407-Sens!I408))</f>
        <v>0</v>
      </c>
      <c r="J409" s="6" t="n">
        <f aca="false">MAX(0,min_cash-(Sens!I410+Sens!J406-Sens!J407-Sens!J408))</f>
        <v>0</v>
      </c>
      <c r="K409" s="6" t="n">
        <f aca="false">MAX(0,min_cash-(Sens!J410+Sens!K406-Sens!K407-Sens!K408))</f>
        <v>0</v>
      </c>
    </row>
    <row r="410" customFormat="false" ht="15" hidden="false" customHeight="false" outlineLevel="0" collapsed="false">
      <c r="A410" s="1" t="s">
        <v>972</v>
      </c>
      <c r="B410" s="0" t="s">
        <v>98</v>
      </c>
      <c r="E410" s="6" t="n">
        <f aca="false">cash_open</f>
        <v>76.843</v>
      </c>
      <c r="F410" s="6" t="n">
        <f aca="false">Sens!E410+Sens!F406-Sens!F407-Sens!F408+Sens!F409</f>
        <v>50</v>
      </c>
      <c r="G410" s="6" t="n">
        <f aca="false">Sens!F410+Sens!G406-Sens!G407-Sens!G408+Sens!G409</f>
        <v>50</v>
      </c>
      <c r="H410" s="6" t="n">
        <f aca="false">Sens!G410+Sens!H406-Sens!H407-Sens!H408+Sens!H409</f>
        <v>62.3866624196601</v>
      </c>
      <c r="I410" s="6" t="n">
        <f aca="false">Sens!H410+Sens!I406-Sens!I407-Sens!I408+Sens!I409</f>
        <v>137.957235294876</v>
      </c>
      <c r="J410" s="6" t="n">
        <f aca="false">Sens!I410+Sens!J406-Sens!J407-Sens!J408+Sens!J409</f>
        <v>278.448256649474</v>
      </c>
      <c r="K410" s="6" t="n">
        <f aca="false">Sens!J410+Sens!K406-Sens!K407-Sens!K408+Sens!K409</f>
        <v>447.534189431081</v>
      </c>
    </row>
    <row r="411" customFormat="false" ht="15" hidden="false" customHeight="false" outlineLevel="0" collapsed="false">
      <c r="A411" s="1" t="s">
        <v>973</v>
      </c>
      <c r="B411" s="0" t="s">
        <v>98</v>
      </c>
      <c r="E411" s="6" t="n">
        <f aca="false">debt_face</f>
        <v>46.136</v>
      </c>
      <c r="F411" s="6" t="n">
        <f aca="false">Sens!E411-Sens!F407+Sens!F409</f>
        <v>46.6486485342169</v>
      </c>
      <c r="G411" s="6" t="n">
        <f aca="false">Sens!F411-Sens!G407+Sens!G409</f>
        <v>46.6486485342169</v>
      </c>
      <c r="H411" s="6" t="n">
        <f aca="false">Sens!G411-Sens!H407+Sens!H409</f>
        <v>44.6476485342169</v>
      </c>
      <c r="I411" s="6" t="n">
        <f aca="false">Sens!H411-Sens!I407+Sens!I409</f>
        <v>44.6476485342169</v>
      </c>
      <c r="J411" s="6" t="n">
        <f aca="false">Sens!I411-Sens!J407+Sens!J409</f>
        <v>44.1476485342169</v>
      </c>
      <c r="K411" s="6" t="n">
        <f aca="false">Sens!J411-Sens!K407+Sens!K409</f>
        <v>44.1476485342169</v>
      </c>
    </row>
    <row r="412" customFormat="false" ht="15" hidden="false" customHeight="false" outlineLevel="0" collapsed="false">
      <c r="A412" s="1" t="s">
        <v>974</v>
      </c>
      <c r="B412" s="0" t="s">
        <v>98</v>
      </c>
      <c r="E412" s="6" t="n">
        <f aca="false">Sens!E410-Sens!E411</f>
        <v>30.707</v>
      </c>
      <c r="F412" s="6" t="n">
        <f aca="false">Sens!F410-Sens!F411</f>
        <v>3.35135146578308</v>
      </c>
      <c r="G412" s="6" t="n">
        <f aca="false">Sens!G410-Sens!G411</f>
        <v>3.35135146578308</v>
      </c>
      <c r="H412" s="6" t="n">
        <f aca="false">Sens!H410-Sens!H411</f>
        <v>17.7390138854432</v>
      </c>
      <c r="I412" s="6" t="n">
        <f aca="false">Sens!I410-Sens!I411</f>
        <v>93.3095867606592</v>
      </c>
      <c r="J412" s="6" t="n">
        <f aca="false">Sens!J410-Sens!J411</f>
        <v>234.300608115257</v>
      </c>
      <c r="K412" s="6" t="n">
        <f aca="false">Sens!K410-Sens!K411</f>
        <v>403.386540896865</v>
      </c>
    </row>
    <row r="413" customFormat="false" ht="15" hidden="false" customHeight="false" outlineLevel="0" collapsed="false">
      <c r="A413" s="1" t="s">
        <v>975</v>
      </c>
      <c r="B413" s="0" t="s">
        <v>75</v>
      </c>
      <c r="F413" s="29" t="n">
        <f aca="false">px*(1+bb_g)^(Sens!F275-base_fy-mid_yr)</f>
        <v>553.494156066711</v>
      </c>
      <c r="G413" s="29" t="n">
        <f aca="false">px*(1+bb_g)^(Sens!G275-base_fy-mid_yr)</f>
        <v>597.773688552047</v>
      </c>
      <c r="H413" s="29" t="n">
        <f aca="false">px*(1+bb_g)^(Sens!H275-base_fy-mid_yr)</f>
        <v>645.595583636211</v>
      </c>
      <c r="I413" s="29" t="n">
        <f aca="false">px*(1+bb_g)^(Sens!I275-base_fy-mid_yr)</f>
        <v>697.243230327108</v>
      </c>
      <c r="J413" s="29" t="n">
        <f aca="false">px*(1+bb_g)^(Sens!J275-base_fy-mid_yr)</f>
        <v>753.022688753277</v>
      </c>
      <c r="K413" s="29" t="n">
        <f aca="false">px*(1+bb_g)^(Sens!K275-base_fy-mid_yr)</f>
        <v>813.264503853539</v>
      </c>
    </row>
    <row r="414" customFormat="false" ht="15" hidden="false" customHeight="false" outlineLevel="0" collapsed="false">
      <c r="A414" s="1" t="s">
        <v>976</v>
      </c>
      <c r="B414" s="1" t="s">
        <v>81</v>
      </c>
      <c r="E414" s="14" t="n">
        <f aca="false">sh_out26</f>
        <v>7.427</v>
      </c>
      <c r="F414" s="14" t="n">
        <f aca="false">Sens!E414+sh_iss-Sens!F408/Sens!F413</f>
        <v>7.472</v>
      </c>
      <c r="G414" s="14" t="n">
        <f aca="false">Sens!F414+sh_iss-Sens!G408/Sens!G413</f>
        <v>7.51613198644776</v>
      </c>
      <c r="H414" s="14" t="n">
        <f aca="false">Sens!G414+sh_iss-Sens!H408/Sens!H413</f>
        <v>7.52663515814767</v>
      </c>
      <c r="I414" s="14" t="n">
        <f aca="false">Sens!H414+sh_iss-Sens!I408/Sens!I413</f>
        <v>7.53969365046239</v>
      </c>
      <c r="J414" s="14" t="n">
        <f aca="false">Sens!I414+sh_iss-Sens!J408/Sens!J413</f>
        <v>7.55511818038343</v>
      </c>
      <c r="K414" s="14" t="n">
        <f aca="false">Sens!J414+sh_iss-Sens!K408/Sens!K413</f>
        <v>7.57273348586588</v>
      </c>
    </row>
    <row r="415" customFormat="false" ht="15" hidden="false" customHeight="false" outlineLevel="0" collapsed="false">
      <c r="A415" s="1" t="s">
        <v>977</v>
      </c>
      <c r="B415" s="1" t="s">
        <v>81</v>
      </c>
      <c r="E415" s="14" t="n">
        <f aca="false">sh_dil26</f>
        <v>7.453</v>
      </c>
      <c r="F415" s="14" t="n">
        <f aca="false">(Sens!E414+Sens!F414)/2+dil_gap</f>
        <v>7.4735</v>
      </c>
      <c r="G415" s="14" t="n">
        <f aca="false">(Sens!F414+Sens!G414)/2+dil_gap</f>
        <v>7.51806599322388</v>
      </c>
      <c r="H415" s="14" t="n">
        <f aca="false">(Sens!G414+Sens!H414)/2+dil_gap</f>
        <v>7.54538357229772</v>
      </c>
      <c r="I415" s="14" t="n">
        <f aca="false">(Sens!H414+Sens!I414)/2+dil_gap</f>
        <v>7.55716440430503</v>
      </c>
      <c r="J415" s="14" t="n">
        <f aca="false">(Sens!I414+Sens!J414)/2+dil_gap</f>
        <v>7.57140591542291</v>
      </c>
      <c r="K415" s="14" t="n">
        <f aca="false">(Sens!J414+Sens!K414)/2+dil_gap</f>
        <v>7.58792583312465</v>
      </c>
    </row>
    <row r="416" customFormat="false" ht="17.15" hidden="false" customHeight="false" outlineLevel="0" collapsed="false">
      <c r="A416" s="1" t="s">
        <v>978</v>
      </c>
      <c r="B416" s="0" t="s">
        <v>98</v>
      </c>
      <c r="C416" s="6" t="n">
        <f aca="false">SUM(Sens!F406:J406)</f>
        <v>270.92548377809</v>
      </c>
    </row>
    <row r="417" customFormat="false" ht="15" hidden="false" customHeight="false" outlineLevel="0" collapsed="false">
      <c r="A417" s="23" t="s">
        <v>945</v>
      </c>
      <c r="B417" s="30" t="s">
        <v>98</v>
      </c>
      <c r="C417" s="24" t="n">
        <f aca="false">Sens!$C$416-(Sens!F406+Sens!G406+Sens!H406+Sens!I406+Sens!J406)</f>
        <v>0</v>
      </c>
      <c r="D417" s="30"/>
      <c r="E417" s="30"/>
      <c r="F417" s="30"/>
      <c r="G417" s="30"/>
      <c r="H417" s="30"/>
      <c r="I417" s="30"/>
      <c r="J417" s="30"/>
      <c r="K417" s="30"/>
    </row>
    <row r="418" customFormat="false" ht="17.15" hidden="false" customHeight="false" outlineLevel="0" collapsed="false">
      <c r="A418" s="1" t="s">
        <v>939</v>
      </c>
      <c r="B418" s="1" t="s">
        <v>979</v>
      </c>
      <c r="C418" s="32" t="str">
        <f aca="false">IF(SUM(Sens!F409:J409)&gt;0.05,"需要舉債 "&amp;TEXT(SUM(Sens!F409:J409),"0.0")&amp;" 十億美元","不需舉債")&amp;"；"&amp;IF(SUM(Sens!F408:J408)&lt;COUNT(Sens!F408:J408)*bb_target-0.05,"回購較每年 "&amp;TEXT(bb_target,"0.0")&amp;" 的目標少 "&amp;TEXT(COUNT(Sens!F408:J408)*bb_target-SUM(Sens!F408:J408),"0.0")&amp;" 十億美元（"&amp;TEXT(COUNTIF(Sens!F408:J408,"&lt;"&amp;(bb_target-0.05)),"0")&amp;" 年減少）","回購不減")</f>
        <v>需要舉債 9.8 十億美元；回購較每年 22.3 的目標少 44.0 十億美元（2 年減少）</v>
      </c>
    </row>
    <row r="419" customFormat="false" ht="17.15" hidden="false" customHeight="false" outlineLevel="0" collapsed="false">
      <c r="A419" s="3" t="s">
        <v>1271</v>
      </c>
    </row>
    <row r="420" customFormat="false" ht="15" hidden="false" customHeight="false" outlineLevel="0" collapsed="false">
      <c r="A420" s="4" t="s">
        <v>43</v>
      </c>
      <c r="B420" s="4" t="s">
        <v>65</v>
      </c>
      <c r="C420" s="20" t="s">
        <v>799</v>
      </c>
      <c r="D420" s="20" t="s">
        <v>800</v>
      </c>
      <c r="E420" s="20" t="s">
        <v>801</v>
      </c>
      <c r="F420" s="20" t="s">
        <v>802</v>
      </c>
      <c r="G420" s="20" t="s">
        <v>803</v>
      </c>
      <c r="H420" s="20" t="s">
        <v>804</v>
      </c>
      <c r="I420" s="20" t="s">
        <v>805</v>
      </c>
      <c r="J420" s="20" t="s">
        <v>806</v>
      </c>
      <c r="K420" s="20" t="s">
        <v>807</v>
      </c>
      <c r="L420" s="4" t="s">
        <v>47</v>
      </c>
    </row>
    <row r="421" customFormat="false" ht="15" hidden="false" customHeight="false" outlineLevel="0" collapsed="false">
      <c r="A421" s="1" t="s">
        <v>1057</v>
      </c>
      <c r="B421" s="1" t="s">
        <v>235</v>
      </c>
      <c r="F421" s="36" t="n">
        <f aca="false">Sens!F275-base_fy-mid_yr</f>
        <v>0.5</v>
      </c>
      <c r="G421" s="36" t="n">
        <f aca="false">Sens!G275-base_fy-mid_yr</f>
        <v>1.5</v>
      </c>
      <c r="H421" s="36" t="n">
        <f aca="false">Sens!H275-base_fy-mid_yr</f>
        <v>2.5</v>
      </c>
      <c r="I421" s="36" t="n">
        <f aca="false">Sens!I275-base_fy-mid_yr</f>
        <v>3.5</v>
      </c>
      <c r="J421" s="36" t="n">
        <f aca="false">Sens!J275-base_fy-mid_yr</f>
        <v>4.5</v>
      </c>
      <c r="K421" s="36" t="n">
        <f aca="false">Sens!K275-base_fy-mid_yr</f>
        <v>5.5</v>
      </c>
    </row>
    <row r="422" customFormat="false" ht="15" hidden="false" customHeight="false" outlineLevel="0" collapsed="false">
      <c r="A422" s="1" t="s">
        <v>1058</v>
      </c>
      <c r="B422" s="0" t="s">
        <v>185</v>
      </c>
      <c r="F422" s="14" t="n">
        <f aca="false">1/(1+wacc)^Sens!F421</f>
        <v>0.952193373608246</v>
      </c>
      <c r="G422" s="14" t="n">
        <f aca="false">1/(1+wacc)^Sens!G421</f>
        <v>0.863327280626589</v>
      </c>
      <c r="H422" s="14" t="n">
        <f aca="false">1/(1+wacc)^Sens!H421</f>
        <v>0.782754862754115</v>
      </c>
      <c r="I422" s="14" t="n">
        <f aca="false">1/(1+wacc)^Sens!I421</f>
        <v>0.709702089711011</v>
      </c>
      <c r="J422" s="14" t="n">
        <f aca="false">1/(1+wacc)^Sens!J421</f>
        <v>0.643467169744551</v>
      </c>
      <c r="K422" s="14" t="n">
        <f aca="false">1/(1+wacc)^Sens!K421</f>
        <v>0.583413807767797</v>
      </c>
    </row>
    <row r="423" customFormat="false" ht="17.15" hidden="false" customHeight="false" outlineLevel="0" collapsed="false">
      <c r="A423" s="1" t="s">
        <v>1059</v>
      </c>
      <c r="B423" s="0" t="s">
        <v>98</v>
      </c>
      <c r="F423" s="6" t="n">
        <f aca="false">Sens!F396-Sens!F394-Sens!F400+Sens!F379*(1-tax_f)</f>
        <v>-9.56829902834363</v>
      </c>
      <c r="G423" s="6" t="n">
        <f aca="false">Sens!G396-Sens!G394-Sens!G400+Sens!G379*(1-tax_f)</f>
        <v>18.3062029315615</v>
      </c>
      <c r="H423" s="6" t="n">
        <f aca="false">Sens!H396-Sens!H394-Sens!H400+Sens!H379*(1-tax_f)</f>
        <v>53.8054082488351</v>
      </c>
      <c r="I423" s="6" t="n">
        <f aca="false">Sens!I396-Sens!I394-Sens!I400+Sens!I379*(1-tax_f)</f>
        <v>115.149210295084</v>
      </c>
      <c r="J423" s="6" t="n">
        <f aca="false">Sens!J396-Sens!J394-Sens!J400+Sens!J379*(1-tax_f)</f>
        <v>181.512325452794</v>
      </c>
      <c r="K423" s="6" t="n">
        <f aca="false">Sens!K396-Sens!K394-Sens!K400+Sens!K379*(1-tax_f)</f>
        <v>211.248410986947</v>
      </c>
      <c r="L423" s="1" t="s">
        <v>1060</v>
      </c>
    </row>
    <row r="424" customFormat="false" ht="15" hidden="false" customHeight="false" outlineLevel="0" collapsed="false">
      <c r="A424" s="1" t="s">
        <v>1061</v>
      </c>
      <c r="B424" s="0" t="s">
        <v>98</v>
      </c>
      <c r="F424" s="6" t="n">
        <f aca="false">Sens!F423*Sens!F422</f>
        <v>-9.11087093149103</v>
      </c>
      <c r="G424" s="6" t="n">
        <f aca="false">Sens!G423*Sens!G422</f>
        <v>15.8042443955035</v>
      </c>
      <c r="H424" s="6" t="n">
        <f aca="false">Sens!H423*Sens!H422</f>
        <v>42.1164449492461</v>
      </c>
      <c r="I424" s="6" t="n">
        <f aca="false">Sens!I423*Sens!I422</f>
        <v>81.7216351749939</v>
      </c>
      <c r="J424" s="6" t="n">
        <f aca="false">Sens!J423*Sens!J422</f>
        <v>116.797222332861</v>
      </c>
      <c r="K424" s="6" t="n">
        <f aca="false">Sens!K423*Sens!K422</f>
        <v>123.245239838791</v>
      </c>
    </row>
    <row r="425" customFormat="false" ht="17.15" hidden="false" customHeight="false" outlineLevel="0" collapsed="false">
      <c r="A425" s="1" t="s">
        <v>1062</v>
      </c>
      <c r="B425" s="0" t="s">
        <v>98</v>
      </c>
      <c r="C425" s="6" t="n">
        <f aca="false">SUM(Sens!F424:K424)</f>
        <v>370.573915759905</v>
      </c>
    </row>
    <row r="426" customFormat="false" ht="17.15" hidden="false" customHeight="false" outlineLevel="0" collapsed="false">
      <c r="A426" s="1" t="s">
        <v>1063</v>
      </c>
      <c r="B426" s="0" t="s">
        <v>98</v>
      </c>
      <c r="C426" s="6" t="n">
        <f aca="false">Sens!K365*(1+g_tv)*(1-tax_f)</f>
        <v>225.77058771631</v>
      </c>
    </row>
    <row r="427" customFormat="false" ht="17.15" hidden="false" customHeight="false" outlineLevel="0" collapsed="false">
      <c r="A427" s="1" t="s">
        <v>1064</v>
      </c>
      <c r="B427" s="0" t="s">
        <v>98</v>
      </c>
      <c r="C427" s="6" t="n">
        <f aca="false">Sens!$C$426*(1-g_tv/(wacc+ronic_prem))</f>
        <v>159.970269170016</v>
      </c>
    </row>
    <row r="428" customFormat="false" ht="17.15" hidden="false" customHeight="false" outlineLevel="0" collapsed="false">
      <c r="A428" s="1" t="s">
        <v>1065</v>
      </c>
      <c r="B428" s="0" t="s">
        <v>98</v>
      </c>
      <c r="C428" s="6" t="n">
        <f aca="false">Sens!$C$427/(wacc-g_tv)</f>
        <v>2193.34395154314</v>
      </c>
    </row>
    <row r="429" customFormat="false" ht="15" hidden="false" customHeight="false" outlineLevel="0" collapsed="false">
      <c r="A429" s="1" t="s">
        <v>1066</v>
      </c>
      <c r="B429" s="0" t="s">
        <v>98</v>
      </c>
      <c r="C429" s="6" t="n">
        <f aca="false">Sens!$C$428/(1+wacc)^(Sens!K421+mid_yr)</f>
        <v>1218.4524896001</v>
      </c>
    </row>
    <row r="430" customFormat="false" ht="17.15" hidden="false" customHeight="false" outlineLevel="0" collapsed="false">
      <c r="A430" s="0" t="s">
        <v>986</v>
      </c>
      <c r="B430" s="0" t="s">
        <v>98</v>
      </c>
      <c r="C430" s="6" t="n">
        <f aca="false">Sens!$C$425+Sens!$C$429</f>
        <v>1589.02640536</v>
      </c>
    </row>
    <row r="431" customFormat="false" ht="15" hidden="false" customHeight="false" outlineLevel="0" collapsed="false">
      <c r="A431" s="1" t="s">
        <v>987</v>
      </c>
      <c r="B431" s="0" t="s">
        <v>129</v>
      </c>
      <c r="C431" s="7" t="n">
        <f aca="false">Sens!$C$429/Sens!$C$430</f>
        <v>0.766791845302313</v>
      </c>
    </row>
    <row r="432" customFormat="false" ht="17.15" hidden="false" customHeight="false" outlineLevel="0" collapsed="false">
      <c r="A432" s="1" t="s">
        <v>1067</v>
      </c>
      <c r="B432" s="0" t="s">
        <v>98</v>
      </c>
      <c r="C432" s="6" t="n">
        <f aca="false">Sens!$C$430+Sens!E412-Sens!E401+oai_v</f>
        <v>1723.53940536</v>
      </c>
    </row>
    <row r="433" customFormat="false" ht="17.15" hidden="false" customHeight="false" outlineLevel="0" collapsed="false">
      <c r="A433" s="0" t="s">
        <v>994</v>
      </c>
      <c r="B433" s="0" t="s">
        <v>75</v>
      </c>
      <c r="C433" s="5" t="n">
        <f aca="false">Sens!$C$432/sh_dil26</f>
        <v>231.254448592513</v>
      </c>
    </row>
    <row r="434" customFormat="false" ht="15" hidden="false" customHeight="false" outlineLevel="0" collapsed="false">
      <c r="A434" s="1" t="s">
        <v>1068</v>
      </c>
      <c r="B434" s="0" t="s">
        <v>75</v>
      </c>
      <c r="C434" s="8" t="n">
        <f aca="false">dps_27+Sens!G404*roll_div_q/q_per_yr</f>
        <v>4.8895</v>
      </c>
    </row>
    <row r="435" customFormat="false" ht="17.15" hidden="false" customHeight="false" outlineLevel="0" collapsed="false">
      <c r="A435" s="0" t="s">
        <v>1069</v>
      </c>
      <c r="B435" s="0" t="s">
        <v>75</v>
      </c>
      <c r="C435" s="5" t="n">
        <f aca="false">Sens!$C$433*(1+wacc)^t_roll-Sens!$C$434</f>
        <v>258.44766208866</v>
      </c>
    </row>
    <row r="436" customFormat="false" ht="17.15" hidden="false" customHeight="false" outlineLevel="0" collapsed="false">
      <c r="A436" s="1" t="s">
        <v>1070</v>
      </c>
      <c r="B436" s="0" t="s">
        <v>129</v>
      </c>
      <c r="F436" s="7" t="n">
        <f aca="false">Sens!F391/(Sens!F336-Sens!F292)</f>
        <v>0.0708376243512414</v>
      </c>
      <c r="G436" s="7" t="n">
        <f aca="false">Sens!G391/(Sens!G336-Sens!G292)</f>
        <v>0.0675792567445289</v>
      </c>
      <c r="H436" s="7" t="n">
        <f aca="false">Sens!H391/(Sens!H336-Sens!H292)</f>
        <v>0.0657637992399081</v>
      </c>
      <c r="I436" s="7" t="n">
        <f aca="false">Sens!I391/(Sens!I336-Sens!I292)</f>
        <v>0.0652507860006261</v>
      </c>
      <c r="J436" s="7" t="n">
        <f aca="false">Sens!J391/(Sens!J336-Sens!J292)</f>
        <v>0.0657374094257698</v>
      </c>
      <c r="K436" s="7" t="n">
        <f aca="false">Sens!K391/(Sens!K336-Sens!K292)</f>
        <v>0.0668595832904836</v>
      </c>
    </row>
    <row r="437" customFormat="false" ht="17.15" hidden="false" customHeight="false" outlineLevel="0" collapsed="false">
      <c r="A437" s="0" t="s">
        <v>1071</v>
      </c>
      <c r="B437" s="0" t="s">
        <v>98</v>
      </c>
      <c r="F437" s="6" t="n">
        <f aca="false">Sens!F321*(al_m365+Sens!F436+sbc_r)</f>
        <v>84.2019918892952</v>
      </c>
      <c r="G437" s="6" t="n">
        <f aca="false">Sens!G321*(al_m365+Sens!G436+sbc_r)</f>
        <v>96.61090954529</v>
      </c>
      <c r="H437" s="6" t="n">
        <f aca="false">Sens!H321*(al_m365+Sens!H436+sbc_r)</f>
        <v>109.18271398457</v>
      </c>
      <c r="I437" s="6" t="n">
        <f aca="false">Sens!I321*(al_m365+Sens!I436+sbc_r)</f>
        <v>120.736322591613</v>
      </c>
      <c r="J437" s="6" t="n">
        <f aca="false">Sens!J321*(al_m365+Sens!J436+sbc_r)</f>
        <v>131.084561154645</v>
      </c>
      <c r="K437" s="6" t="n">
        <f aca="false">Sens!K321*(al_m365+Sens!K436+sbc_r)</f>
        <v>141.044207560217</v>
      </c>
      <c r="L437" s="11" t="s">
        <v>1072</v>
      </c>
    </row>
    <row r="438" customFormat="false" ht="17.15" hidden="false" customHeight="false" outlineLevel="0" collapsed="false">
      <c r="A438" s="0" t="s">
        <v>1073</v>
      </c>
      <c r="B438" s="0" t="s">
        <v>98</v>
      </c>
      <c r="F438" s="6" t="n">
        <f aca="false">Sens!F322*(al_lic+Sens!F436+sbc_r)</f>
        <v>33.5324516680982</v>
      </c>
      <c r="G438" s="6" t="n">
        <f aca="false">Sens!G322*(al_lic+Sens!G436+sbc_r)</f>
        <v>34.819657317048</v>
      </c>
      <c r="H438" s="6" t="n">
        <f aca="false">Sens!H322*(al_lic+Sens!H436+sbc_r)</f>
        <v>36.0229106304815</v>
      </c>
      <c r="I438" s="6" t="n">
        <f aca="false">Sens!I322*(al_lic+Sens!I436+sbc_r)</f>
        <v>37.1234854794919</v>
      </c>
      <c r="J438" s="6" t="n">
        <f aca="false">Sens!J322*(al_lic+Sens!J436+sbc_r)</f>
        <v>38.0950592345738</v>
      </c>
      <c r="K438" s="6" t="n">
        <f aca="false">Sens!K322*(al_lic+Sens!K436+sbc_r)</f>
        <v>38.9080719459809</v>
      </c>
    </row>
    <row r="439" customFormat="false" ht="17.15" hidden="false" customHeight="false" outlineLevel="0" collapsed="false">
      <c r="A439" s="0" t="s">
        <v>1074</v>
      </c>
      <c r="B439" s="0" t="s">
        <v>98</v>
      </c>
      <c r="F439" s="6" t="n">
        <f aca="false">Sens!F324*(al_ind+Sens!F436+sbc_r)</f>
        <v>9.12666918765551</v>
      </c>
      <c r="G439" s="6" t="n">
        <f aca="false">Sens!G324*(al_ind+Sens!G436+sbc_r)</f>
        <v>9.89694850970116</v>
      </c>
      <c r="H439" s="6" t="n">
        <f aca="false">Sens!H324*(al_ind+Sens!H436+sbc_r)</f>
        <v>10.7131335152527</v>
      </c>
      <c r="I439" s="6" t="n">
        <f aca="false">Sens!I324*(al_ind+Sens!I436+sbc_r)</f>
        <v>11.5721730864119</v>
      </c>
      <c r="J439" s="6" t="n">
        <f aca="false">Sens!J324*(al_ind+Sens!J436+sbc_r)</f>
        <v>12.4641697526801</v>
      </c>
      <c r="K439" s="6" t="n">
        <f aca="false">Sens!K324*(al_ind+Sens!K436+sbc_r)</f>
        <v>13.3737871892836</v>
      </c>
    </row>
    <row r="440" customFormat="false" ht="17.15" hidden="false" customHeight="false" outlineLevel="0" collapsed="false">
      <c r="A440" s="0" t="s">
        <v>1075</v>
      </c>
      <c r="B440" s="0" t="s">
        <v>98</v>
      </c>
      <c r="F440" s="6" t="n">
        <f aca="false">Sens!F326*(al_fro+Sens!F436+sbc_r)</f>
        <v>3.5922890341799</v>
      </c>
      <c r="G440" s="6" t="n">
        <f aca="false">Sens!G326*(al_fro+Sens!G436+sbc_r)</f>
        <v>3.79984310356763</v>
      </c>
      <c r="H440" s="6" t="n">
        <f aca="false">Sens!H326*(al_fro+Sens!H436+sbc_r)</f>
        <v>4.03707539290126</v>
      </c>
      <c r="I440" s="6" t="n">
        <f aca="false">Sens!I326*(al_fro+Sens!I436+sbc_r)</f>
        <v>4.30669184104541</v>
      </c>
      <c r="J440" s="6" t="n">
        <f aca="false">Sens!J326*(al_fro+Sens!J436+sbc_r)</f>
        <v>4.6097289716959</v>
      </c>
      <c r="K440" s="6" t="n">
        <f aca="false">Sens!K326*(al_fro+Sens!K436+sbc_r)</f>
        <v>4.94614045628512</v>
      </c>
    </row>
    <row r="441" customFormat="false" ht="17.15" hidden="false" customHeight="false" outlineLevel="0" collapsed="false">
      <c r="A441" s="0" t="s">
        <v>1076</v>
      </c>
      <c r="B441" s="0" t="s">
        <v>98</v>
      </c>
      <c r="F441" s="6" t="n">
        <f aca="false">Sens!F329*(al_srch+Sens!F436+sbc_r)</f>
        <v>11.2715683093452</v>
      </c>
      <c r="G441" s="6" t="n">
        <f aca="false">Sens!G329*(al_srch+Sens!G436+sbc_r)</f>
        <v>12.338201972554</v>
      </c>
      <c r="H441" s="6" t="n">
        <f aca="false">Sens!H329*(al_srch+Sens!H436+sbc_r)</f>
        <v>13.450727865064</v>
      </c>
      <c r="I441" s="6" t="n">
        <f aca="false">Sens!I329*(al_srch+Sens!I436+sbc_r)</f>
        <v>14.598560682534</v>
      </c>
      <c r="J441" s="6" t="n">
        <f aca="false">Sens!J329*(al_srch+Sens!J436+sbc_r)</f>
        <v>15.7615229152659</v>
      </c>
      <c r="K441" s="6" t="n">
        <f aca="false">Sens!K329*(al_srch+Sens!K436+sbc_r)</f>
        <v>16.9117765106222</v>
      </c>
    </row>
    <row r="442" customFormat="false" ht="17.15" hidden="false" customHeight="false" outlineLevel="0" collapsed="false">
      <c r="A442" s="0" t="s">
        <v>1077</v>
      </c>
      <c r="B442" s="0" t="s">
        <v>98</v>
      </c>
      <c r="F442" s="6" t="n">
        <f aca="false">Sens!F298-Sens!F299+Sens!F379</f>
        <v>32.9265101986841</v>
      </c>
      <c r="G442" s="6" t="n">
        <f aca="false">Sens!G298-Sens!G299+Sens!G379</f>
        <v>55.768123383641</v>
      </c>
      <c r="H442" s="6" t="n">
        <f aca="false">Sens!H298-Sens!H299+Sens!H379</f>
        <v>79.956214481849</v>
      </c>
      <c r="I442" s="6" t="n">
        <f aca="false">Sens!I298-Sens!I299+Sens!I379</f>
        <v>101.57923818599</v>
      </c>
      <c r="J442" s="6" t="n">
        <f aca="false">Sens!J298-Sens!J299+Sens!J379</f>
        <v>117.062675933593</v>
      </c>
      <c r="K442" s="6" t="n">
        <f aca="false">Sens!K298-Sens!K299+Sens!K379</f>
        <v>127.755317492745</v>
      </c>
    </row>
    <row r="443" customFormat="false" ht="17.15" hidden="false" customHeight="false" outlineLevel="0" collapsed="false">
      <c r="A443" s="0" t="s">
        <v>1078</v>
      </c>
      <c r="B443" s="0" t="s">
        <v>98</v>
      </c>
      <c r="F443" s="6" t="n">
        <f aca="false">Sens!F358+Sens!F379+Sens!F309+Sens!F436*(Sens!F328-Sens!F292)+sbc_r*Sens!F328</f>
        <v>223.783576098605</v>
      </c>
      <c r="G443" s="6" t="n">
        <f aca="false">Sens!G358+Sens!G379+Sens!G309+Sens!G436*(Sens!G328-Sens!G292)+sbc_r*Sens!G328</f>
        <v>273.728558671903</v>
      </c>
      <c r="H443" s="6" t="n">
        <f aca="false">Sens!H358+Sens!H379+Sens!H309+Sens!H436*(Sens!H328-Sens!H292)+sbc_r*Sens!H328</f>
        <v>325.523846653882</v>
      </c>
      <c r="I443" s="6" t="n">
        <f aca="false">Sens!I358+Sens!I379+Sens!I309+Sens!I436*(Sens!I328-Sens!I292)+sbc_r*Sens!I328</f>
        <v>373.382865658098</v>
      </c>
      <c r="J443" s="6" t="n">
        <f aca="false">Sens!J358+Sens!J379+Sens!J309+Sens!J436*(Sens!J328-Sens!J292)+sbc_r*Sens!J328</f>
        <v>412.671806378826</v>
      </c>
      <c r="K443" s="6" t="n">
        <f aca="false">Sens!K358+Sens!K379+Sens!K309+Sens!K436*(Sens!K328-Sens!K292)+sbc_r*Sens!K328</f>
        <v>444.822510852369</v>
      </c>
    </row>
    <row r="444" customFormat="false" ht="17.15" hidden="false" customHeight="false" outlineLevel="0" collapsed="false">
      <c r="A444" s="0" t="s">
        <v>1079</v>
      </c>
      <c r="B444" s="0" t="s">
        <v>98</v>
      </c>
      <c r="F444" s="6" t="n">
        <f aca="false">Sens!F443-Sens!F437-Sens!F438-Sens!F439-Sens!F440-Sens!F442</f>
        <v>60.4036641206917</v>
      </c>
      <c r="G444" s="6" t="n">
        <f aca="false">Sens!G443-Sens!G437-Sens!G438-Sens!G439-Sens!G440-Sens!G442</f>
        <v>72.8330768126548</v>
      </c>
      <c r="H444" s="6" t="n">
        <f aca="false">Sens!H443-Sens!H437-Sens!H438-Sens!H439-Sens!H440-Sens!H442</f>
        <v>85.6117986488276</v>
      </c>
      <c r="I444" s="6" t="n">
        <f aca="false">Sens!I443-Sens!I437-Sens!I438-Sens!I439-Sens!I440-Sens!I442</f>
        <v>98.0649544735462</v>
      </c>
      <c r="J444" s="6" t="n">
        <f aca="false">Sens!J443-Sens!J437-Sens!J438-Sens!J439-Sens!J440-Sens!J442</f>
        <v>109.355611331638</v>
      </c>
      <c r="K444" s="6" t="n">
        <f aca="false">Sens!K443-Sens!K437-Sens!K438-Sens!K439-Sens!K440-Sens!K442</f>
        <v>118.794986207857</v>
      </c>
    </row>
    <row r="445" customFormat="false" ht="17.15" hidden="false" customHeight="false" outlineLevel="0" collapsed="false">
      <c r="A445" s="0" t="s">
        <v>1080</v>
      </c>
      <c r="B445" s="0" t="s">
        <v>98</v>
      </c>
      <c r="F445" s="6" t="n">
        <f aca="false">Sens!F360+Sens!F436*Sens!F335+sbc_r*Sens!F335</f>
        <v>26.345087006484</v>
      </c>
      <c r="G445" s="6" t="n">
        <f aca="false">Sens!G360+Sens!G436*Sens!G335+sbc_r*Sens!G335</f>
        <v>26.928666241387</v>
      </c>
      <c r="H445" s="6" t="n">
        <f aca="false">Sens!H360+Sens!H436*Sens!H335+sbc_r*Sens!H335</f>
        <v>27.7857977299272</v>
      </c>
      <c r="I445" s="6" t="n">
        <f aca="false">Sens!I360+Sens!I436*Sens!I335+sbc_r*Sens!I335</f>
        <v>28.8854111921819</v>
      </c>
      <c r="J445" s="6" t="n">
        <f aca="false">Sens!J360+Sens!J436*Sens!J335+sbc_r*Sens!J335</f>
        <v>30.1909525075627</v>
      </c>
      <c r="K445" s="6" t="n">
        <f aca="false">Sens!K360+Sens!K436*Sens!K335+sbc_r*Sens!K335</f>
        <v>31.6641663414168</v>
      </c>
    </row>
    <row r="446" customFormat="false" ht="17.15" hidden="false" customHeight="false" outlineLevel="0" collapsed="false">
      <c r="A446" s="0" t="s">
        <v>1081</v>
      </c>
      <c r="B446" s="0" t="s">
        <v>98</v>
      </c>
      <c r="F446" s="6" t="n">
        <f aca="false">(Sens!F445-Sens!F441)*Sens!F331/(Sens!F331+Sens!F333)</f>
        <v>8.26315613582677</v>
      </c>
      <c r="G446" s="6" t="n">
        <f aca="false">(Sens!G445-Sens!G441)*Sens!G331/(Sens!G331+Sens!G333)</f>
        <v>7.85574031810689</v>
      </c>
      <c r="H446" s="6" t="n">
        <f aca="false">(Sens!H445-Sens!H441)*Sens!H331/(Sens!H331+Sens!H333)</f>
        <v>7.61397145487838</v>
      </c>
      <c r="I446" s="6" t="n">
        <f aca="false">(Sens!I445-Sens!I441)*Sens!I331/(Sens!I331+Sens!I333)</f>
        <v>7.51970050510933</v>
      </c>
      <c r="J446" s="6" t="n">
        <f aca="false">(Sens!J445-Sens!J441)*Sens!J331/(Sens!J331+Sens!J333)</f>
        <v>7.56040201890202</v>
      </c>
      <c r="K446" s="6" t="n">
        <f aca="false">(Sens!K445-Sens!K441)*Sens!K331/(Sens!K331+Sens!K333)</f>
        <v>7.72961932742727</v>
      </c>
    </row>
    <row r="447" customFormat="false" ht="17.15" hidden="false" customHeight="false" outlineLevel="0" collapsed="false">
      <c r="A447" s="0" t="s">
        <v>1082</v>
      </c>
      <c r="B447" s="0" t="s">
        <v>98</v>
      </c>
      <c r="F447" s="6" t="n">
        <f aca="false">Sens!F445-Sens!F441-Sens!F446</f>
        <v>6.81036256131213</v>
      </c>
      <c r="G447" s="6" t="n">
        <f aca="false">Sens!G445-Sens!G441-Sens!G446</f>
        <v>6.73472395072608</v>
      </c>
      <c r="H447" s="6" t="n">
        <f aca="false">Sens!H445-Sens!H441-Sens!H446</f>
        <v>6.72109840998485</v>
      </c>
      <c r="I447" s="6" t="n">
        <f aca="false">Sens!I445-Sens!I441-Sens!I446</f>
        <v>6.76715000453853</v>
      </c>
      <c r="J447" s="6" t="n">
        <f aca="false">Sens!J445-Sens!J441-Sens!J446</f>
        <v>6.86902757339483</v>
      </c>
      <c r="K447" s="6" t="n">
        <f aca="false">Sens!K445-Sens!K441-Sens!K446</f>
        <v>7.02277050336727</v>
      </c>
    </row>
    <row r="448" customFormat="false" ht="17.15" hidden="false" customHeight="false" outlineLevel="0" collapsed="false">
      <c r="A448" s="0" t="s">
        <v>1083</v>
      </c>
      <c r="B448" s="0" t="s">
        <v>98</v>
      </c>
      <c r="F448" s="6" t="n">
        <f aca="false">Sens!F442-tax_f*(Sens!F442-Sens!F309)-Sens!F306</f>
        <v>-127.181690236328</v>
      </c>
      <c r="G448" s="6" t="n">
        <f aca="false">Sens!G442-tax_f*(Sens!G442-Sens!G309)-Sens!G306</f>
        <v>-127.134594354185</v>
      </c>
      <c r="H448" s="6" t="n">
        <f aca="false">Sens!H442-tax_f*(Sens!H442-Sens!H309)-Sens!H306</f>
        <v>-106.843110356258</v>
      </c>
      <c r="I448" s="6" t="n">
        <f aca="false">Sens!I442-tax_f*(Sens!I442-Sens!I309)-Sens!I306</f>
        <v>-60.3221298389745</v>
      </c>
      <c r="J448" s="6" t="n">
        <f aca="false">Sens!J442-tax_f*(Sens!J442-Sens!J309)-Sens!J306</f>
        <v>-7.93163127679883</v>
      </c>
      <c r="K448" s="6" t="n">
        <f aca="false">Sens!K442-tax_f*(Sens!K442-Sens!K309)-Sens!K306</f>
        <v>8.62313149946688</v>
      </c>
    </row>
    <row r="449" customFormat="false" ht="17.15" hidden="false" customHeight="false" outlineLevel="0" collapsed="false">
      <c r="A449" s="0" t="s">
        <v>1084</v>
      </c>
      <c r="B449" s="0" t="s">
        <v>98</v>
      </c>
      <c r="G449" s="6" t="n">
        <f aca="false">Sens!G448/(1+wacc)^(Sens!G421-(Sens!F421+mid_yr))</f>
        <v>-121.056718300427</v>
      </c>
      <c r="H449" s="6" t="n">
        <f aca="false">Sens!H448/(1+wacc)^(Sens!H421-(Sens!F421+mid_yr))</f>
        <v>-92.2405719175552</v>
      </c>
      <c r="I449" s="6" t="n">
        <f aca="false">Sens!I448/(1+wacc)^(Sens!I421-(Sens!F421+mid_yr))</f>
        <v>-47.2174404631424</v>
      </c>
      <c r="J449" s="6" t="n">
        <f aca="false">Sens!J448/(1+wacc)^(Sens!J421-(Sens!F421+mid_yr))</f>
        <v>-5.62909529196134</v>
      </c>
      <c r="K449" s="6" t="n">
        <f aca="false">Sens!K448/(1+wacc)^(Sens!K421-(Sens!F421+mid_yr))</f>
        <v>5.54870202029704</v>
      </c>
      <c r="L449" s="1" t="s">
        <v>1085</v>
      </c>
    </row>
    <row r="450" customFormat="false" ht="17.15" hidden="false" customHeight="false" outlineLevel="0" collapsed="false">
      <c r="A450" s="0" t="s">
        <v>1086</v>
      </c>
      <c r="B450" s="0" t="s">
        <v>98</v>
      </c>
      <c r="C450" s="6" t="n">
        <f aca="false">(Sens!K442-Sens!K309)*(1-tax_f)*(1+g_tv)*(1-g_tv/(wacc+ronic_prem))/(wacc-g_tv)/(1+wacc)^(Sens!K421+mid_yr-(Sens!F421+mid_yr))</f>
        <v>-55.7973169718765</v>
      </c>
    </row>
    <row r="451" customFormat="false" ht="17.15" hidden="false" customHeight="false" outlineLevel="0" collapsed="false">
      <c r="A451" s="1" t="s">
        <v>1087</v>
      </c>
      <c r="B451" s="0" t="s">
        <v>98</v>
      </c>
      <c r="C451" s="6" t="n">
        <f aca="false">(SUM(Sens!G449:K449)+Sens!$C$450)*(1+wacc)^(t_roll-(Sens!F421+mid_yr))</f>
        <v>-326.661884977829</v>
      </c>
      <c r="L451" s="11" t="s">
        <v>1088</v>
      </c>
    </row>
    <row r="452" customFormat="false" ht="17.15" hidden="false" customHeight="false" outlineLevel="0" collapsed="false">
      <c r="A452" s="1" t="s">
        <v>1089</v>
      </c>
      <c r="B452" s="0" t="s">
        <v>98</v>
      </c>
      <c r="C452" s="6" t="n">
        <f aca="false">(w_ntm28*Sens!G298+(1-w_ntm28)*Sens!H298)*m_ai</f>
        <v>454.922440830797</v>
      </c>
    </row>
    <row r="453" customFormat="false" ht="17.15" hidden="false" customHeight="false" outlineLevel="0" collapsed="false">
      <c r="A453" s="1" t="s">
        <v>1090</v>
      </c>
      <c r="B453" s="0" t="s">
        <v>98</v>
      </c>
      <c r="C453" s="6" t="n">
        <f aca="false">(w_ntm28*Sens!G444+(1-w_ntm28)*Sens!H444)*m_cloud</f>
        <v>1063.6463501031</v>
      </c>
    </row>
    <row r="454" customFormat="false" ht="17.15" hidden="false" customHeight="false" outlineLevel="0" collapsed="false">
      <c r="A454" s="1" t="s">
        <v>1091</v>
      </c>
      <c r="B454" s="0" t="s">
        <v>98</v>
      </c>
      <c r="C454" s="6" t="n">
        <f aca="false">(w_ntm28*Sens!G437+(1-w_ntm28)*Sens!H437)*m_sw</f>
        <v>1087.29236439713</v>
      </c>
    </row>
    <row r="455" customFormat="false" ht="17.15" hidden="false" customHeight="false" outlineLevel="0" collapsed="false">
      <c r="A455" s="1" t="s">
        <v>1092</v>
      </c>
      <c r="B455" s="0" t="s">
        <v>98</v>
      </c>
      <c r="C455" s="6" t="n">
        <f aca="false">(w_ntm28*Sens!G438+(1-w_ntm28)*Sens!H438)*m_sw</f>
        <v>380.253466209432</v>
      </c>
    </row>
    <row r="456" customFormat="false" ht="17.15" hidden="false" customHeight="false" outlineLevel="0" collapsed="false">
      <c r="A456" s="1" t="s">
        <v>1093</v>
      </c>
      <c r="B456" s="0" t="s">
        <v>98</v>
      </c>
      <c r="C456" s="6" t="n">
        <f aca="false">(w_ntm28*Sens!G439+(1-w_ntm28)*Sens!H439)*m_sw</f>
        <v>109.736759441964</v>
      </c>
    </row>
    <row r="457" customFormat="false" ht="17.15" hidden="false" customHeight="false" outlineLevel="0" collapsed="false">
      <c r="A457" s="1" t="s">
        <v>1094</v>
      </c>
      <c r="B457" s="0" t="s">
        <v>98</v>
      </c>
      <c r="C457" s="6" t="n">
        <f aca="false">(w_ntm28*Sens!G440+(1-w_ntm28)*Sens!H440)*m_sw</f>
        <v>41.8666036816175</v>
      </c>
    </row>
    <row r="458" customFormat="false" ht="17.15" hidden="false" customHeight="false" outlineLevel="0" collapsed="false">
      <c r="A458" s="1" t="s">
        <v>1095</v>
      </c>
      <c r="B458" s="0" t="s">
        <v>98</v>
      </c>
      <c r="C458" s="6" t="n">
        <f aca="false">(w_ntm28*Sens!G441+(1-w_ntm28)*Sens!H441)*m_ads</f>
        <v>115.677576364297</v>
      </c>
    </row>
    <row r="459" customFormat="false" ht="17.15" hidden="false" customHeight="false" outlineLevel="0" collapsed="false">
      <c r="A459" s="1" t="s">
        <v>1096</v>
      </c>
      <c r="B459" s="0" t="s">
        <v>98</v>
      </c>
      <c r="C459" s="6" t="n">
        <f aca="false">(w_ntm28*Sens!G446+(1-w_ntm28)*Sens!H446)*m_game</f>
        <v>98.230828142008</v>
      </c>
    </row>
    <row r="460" customFormat="false" ht="17.15" hidden="false" customHeight="false" outlineLevel="0" collapsed="false">
      <c r="A460" s="1" t="s">
        <v>1097</v>
      </c>
      <c r="B460" s="0" t="s">
        <v>98</v>
      </c>
      <c r="C460" s="6" t="n">
        <f aca="false">(w_ntm28*Sens!G447+(1-w_ntm28)*Sens!H447)*m_pc</f>
        <v>97.3877156607214</v>
      </c>
    </row>
    <row r="461" customFormat="false" ht="17.15" hidden="false" customHeight="false" outlineLevel="0" collapsed="false">
      <c r="A461" s="1" t="s">
        <v>1098</v>
      </c>
      <c r="B461" s="0" t="s">
        <v>98</v>
      </c>
      <c r="C461" s="6" t="n">
        <f aca="false">Sens!$C$451+Sens!$C$453+Sens!$C$454+Sens!$C$455+Sens!$C$456+Sens!$C$457+Sens!$C$458+Sens!$C$459+Sens!$C$460</f>
        <v>2667.42977902244</v>
      </c>
    </row>
    <row r="462" customFormat="false" ht="17.15" hidden="false" customHeight="false" outlineLevel="0" collapsed="false">
      <c r="A462" s="1" t="s">
        <v>1099</v>
      </c>
      <c r="B462" s="0" t="s">
        <v>98</v>
      </c>
      <c r="C462" s="6" t="n">
        <f aca="false">(Sens!G423-Sens!G448)*t_stub</f>
        <v>47.417684594531</v>
      </c>
      <c r="L462" s="1" t="s">
        <v>1100</v>
      </c>
    </row>
    <row r="463" customFormat="false" ht="17.15" hidden="false" customHeight="false" outlineLevel="0" collapsed="false">
      <c r="A463" s="1" t="s">
        <v>1014</v>
      </c>
      <c r="B463" s="0" t="s">
        <v>98</v>
      </c>
      <c r="C463" s="6" t="n">
        <f aca="false">Sens!F412+oai_v-Sens!F401+Sens!$C$462</f>
        <v>158.699306060314</v>
      </c>
      <c r="L463" s="1" t="s">
        <v>1101</v>
      </c>
    </row>
    <row r="464" customFormat="false" ht="17.15" hidden="false" customHeight="false" outlineLevel="0" collapsed="false">
      <c r="A464" s="1" t="s">
        <v>1102</v>
      </c>
      <c r="B464" s="0" t="s">
        <v>75</v>
      </c>
      <c r="C464" s="5" t="n">
        <f aca="false">(Sens!$C$461+Sens!$C$463)/(Sens!F414+dil_gap)-Sens!G404*roll_div_q/q_per_yr</f>
        <v>375.978787764508</v>
      </c>
      <c r="L464" s="1" t="s">
        <v>1103</v>
      </c>
    </row>
    <row r="465" customFormat="false" ht="17.15" hidden="false" customHeight="false" outlineLevel="0" collapsed="false">
      <c r="A465" s="1" t="s">
        <v>1104</v>
      </c>
      <c r="B465" s="0" t="s">
        <v>75</v>
      </c>
      <c r="C465" s="5" t="n">
        <f aca="false">w_dcf*Sens!$C$435+(1-w_dcf)*Sens!$C$464</f>
        <v>317.213224926584</v>
      </c>
    </row>
    <row r="466" customFormat="false" ht="17.15" hidden="false" customHeight="false" outlineLevel="0" collapsed="false">
      <c r="A466" s="3" t="s">
        <v>1272</v>
      </c>
    </row>
    <row r="467" customFormat="false" ht="15" hidden="false" customHeight="false" outlineLevel="0" collapsed="false">
      <c r="A467" s="4" t="s">
        <v>43</v>
      </c>
      <c r="B467" s="4" t="s">
        <v>65</v>
      </c>
      <c r="C467" s="20" t="s">
        <v>799</v>
      </c>
      <c r="D467" s="20" t="s">
        <v>800</v>
      </c>
      <c r="E467" s="20" t="s">
        <v>801</v>
      </c>
      <c r="F467" s="20" t="s">
        <v>802</v>
      </c>
      <c r="G467" s="20" t="s">
        <v>803</v>
      </c>
      <c r="H467" s="20" t="s">
        <v>804</v>
      </c>
      <c r="I467" s="20" t="s">
        <v>805</v>
      </c>
      <c r="J467" s="20" t="s">
        <v>806</v>
      </c>
      <c r="K467" s="20" t="s">
        <v>807</v>
      </c>
      <c r="L467" s="4" t="s">
        <v>47</v>
      </c>
    </row>
    <row r="468" customFormat="false" ht="17.15" hidden="false" customHeight="false" outlineLevel="0" collapsed="false">
      <c r="A468" s="1" t="s">
        <v>808</v>
      </c>
      <c r="B468" s="1" t="s">
        <v>235</v>
      </c>
      <c r="C468" s="28" t="n">
        <v>2024</v>
      </c>
      <c r="D468" s="28" t="n">
        <v>2025</v>
      </c>
      <c r="E468" s="28" t="n">
        <v>2026</v>
      </c>
      <c r="F468" s="28" t="n">
        <v>2027</v>
      </c>
      <c r="G468" s="28" t="n">
        <v>2028</v>
      </c>
      <c r="H468" s="28" t="n">
        <v>2029</v>
      </c>
      <c r="I468" s="28" t="n">
        <v>2030</v>
      </c>
      <c r="J468" s="28" t="n">
        <v>2031</v>
      </c>
      <c r="K468" s="28" t="n">
        <v>2032</v>
      </c>
    </row>
    <row r="469" customFormat="false" ht="17.15" hidden="false" customHeight="false" outlineLevel="0" collapsed="false">
      <c r="A469" s="1" t="s">
        <v>809</v>
      </c>
      <c r="B469" s="0" t="s">
        <v>399</v>
      </c>
      <c r="F469" s="29" t="n">
        <f aca="false">pace</f>
        <v>2527.2</v>
      </c>
      <c r="G469" s="29" t="n">
        <f aca="false">pace</f>
        <v>2527.2</v>
      </c>
      <c r="H469" s="29" t="n">
        <f aca="false">pace</f>
        <v>2527.2</v>
      </c>
      <c r="I469" s="29" t="n">
        <f aca="false">pace+(g_tv*Sens!H470-pace)*MIN(1,(Sens!I468-pace_y0)/(pace_y1-pace_y0))</f>
        <v>1793.116</v>
      </c>
      <c r="J469" s="29" t="n">
        <f aca="false">pace+(g_tv*Sens!I470-pace)*MIN(1,(Sens!J468-pace_y0)/(pace_y1-pace_y0))</f>
        <v>1094.89432</v>
      </c>
      <c r="K469" s="29" t="n">
        <f aca="false">pace+(g_tv*Sens!J470-pace)*MIN(1,(Sens!K468-pace_y0)/(pace_y1-pace_y0))</f>
        <v>411.5883096</v>
      </c>
      <c r="L469" s="11" t="s">
        <v>810</v>
      </c>
    </row>
    <row r="470" customFormat="false" ht="17.15" hidden="false" customHeight="false" outlineLevel="0" collapsed="false">
      <c r="A470" s="1" t="s">
        <v>811</v>
      </c>
      <c r="B470" s="0" t="s">
        <v>399</v>
      </c>
      <c r="C470" s="29" t="n">
        <f aca="false">mw_ext_24</f>
        <v>640</v>
      </c>
      <c r="D470" s="29" t="n">
        <f aca="false">mw_ext_25</f>
        <v>1630</v>
      </c>
      <c r="E470" s="29" t="n">
        <f aca="false">mw_ext_26</f>
        <v>3250</v>
      </c>
      <c r="F470" s="29" t="n">
        <f aca="false">Sens!E470+Sens!F469</f>
        <v>5777.2</v>
      </c>
      <c r="G470" s="29" t="n">
        <f aca="false">Sens!F470+Sens!G469</f>
        <v>8304.4</v>
      </c>
      <c r="H470" s="29" t="n">
        <f aca="false">Sens!G470+Sens!H469</f>
        <v>10831.6</v>
      </c>
      <c r="I470" s="29" t="n">
        <f aca="false">Sens!H470+Sens!I469</f>
        <v>12624.716</v>
      </c>
      <c r="J470" s="29" t="n">
        <f aca="false">Sens!I470+Sens!J469</f>
        <v>13719.61032</v>
      </c>
      <c r="K470" s="29" t="n">
        <f aca="false">Sens!J470+Sens!K469</f>
        <v>14131.1986296</v>
      </c>
      <c r="L470" s="1" t="s">
        <v>812</v>
      </c>
    </row>
    <row r="471" customFormat="false" ht="17.15" hidden="false" customHeight="false" outlineLevel="0" collapsed="false">
      <c r="A471" s="1" t="s">
        <v>813</v>
      </c>
      <c r="B471" s="0" t="s">
        <v>399</v>
      </c>
      <c r="C471" s="29" t="n">
        <f aca="false">rent_ext_24</f>
        <v>150</v>
      </c>
      <c r="D471" s="29" t="n">
        <f aca="false">rent_ext_25</f>
        <v>400</v>
      </c>
      <c r="E471" s="29" t="n">
        <f aca="false">rent_ext_26</f>
        <v>550</v>
      </c>
      <c r="F471" s="29" t="n">
        <f aca="false">rent_ext_f</f>
        <v>756</v>
      </c>
      <c r="G471" s="29" t="n">
        <f aca="false">rent_ext_f</f>
        <v>756</v>
      </c>
      <c r="H471" s="29" t="n">
        <f aca="false">rent_ext_f</f>
        <v>756</v>
      </c>
      <c r="I471" s="29" t="n">
        <f aca="false">rent_ext_f</f>
        <v>756</v>
      </c>
      <c r="J471" s="29" t="n">
        <f aca="false">rent_ext_f</f>
        <v>756</v>
      </c>
      <c r="K471" s="29" t="n">
        <f aca="false">rent_ext_f</f>
        <v>756</v>
      </c>
      <c r="L471" s="1" t="s">
        <v>814</v>
      </c>
    </row>
    <row r="472" customFormat="false" ht="17.15" hidden="false" customHeight="false" outlineLevel="0" collapsed="false">
      <c r="A472" s="1" t="s">
        <v>815</v>
      </c>
      <c r="B472" s="0" t="s">
        <v>399</v>
      </c>
      <c r="C472" s="29" t="n">
        <f aca="false">Sens!C470-Sens!C471</f>
        <v>490</v>
      </c>
      <c r="D472" s="29" t="n">
        <f aca="false">Sens!D470-Sens!D471</f>
        <v>1230</v>
      </c>
      <c r="E472" s="29" t="n">
        <f aca="false">Sens!E470-Sens!E471</f>
        <v>2700</v>
      </c>
      <c r="F472" s="29" t="n">
        <f aca="false">Sens!F470-Sens!F471</f>
        <v>5021.2</v>
      </c>
      <c r="G472" s="29" t="n">
        <f aca="false">Sens!G470-Sens!G471</f>
        <v>7548.4</v>
      </c>
      <c r="H472" s="29" t="n">
        <f aca="false">Sens!H470-Sens!H471</f>
        <v>10075.6</v>
      </c>
      <c r="I472" s="29" t="n">
        <f aca="false">Sens!I470-Sens!I471</f>
        <v>11868.716</v>
      </c>
      <c r="J472" s="29" t="n">
        <f aca="false">Sens!J470-Sens!J471</f>
        <v>12963.61032</v>
      </c>
      <c r="K472" s="29" t="n">
        <f aca="false">Sens!K470-Sens!K471</f>
        <v>13375.1986296</v>
      </c>
    </row>
    <row r="473" customFormat="false" ht="17.15" hidden="false" customHeight="false" outlineLevel="0" collapsed="false">
      <c r="A473" s="1" t="s">
        <v>816</v>
      </c>
      <c r="B473" s="0" t="s">
        <v>399</v>
      </c>
      <c r="C473" s="29" t="n">
        <f aca="false">Sens!C472/ext_sh</f>
        <v>816.666666666667</v>
      </c>
      <c r="D473" s="29" t="n">
        <f aca="false">Sens!D472/ext_sh</f>
        <v>2050</v>
      </c>
      <c r="E473" s="29" t="n">
        <f aca="false">Sens!E472/ext_sh</f>
        <v>4500</v>
      </c>
      <c r="F473" s="29" t="n">
        <f aca="false">Sens!F472/ext_sh</f>
        <v>8368.66666666667</v>
      </c>
      <c r="G473" s="29" t="n">
        <f aca="false">Sens!G472/ext_sh</f>
        <v>12580.6666666667</v>
      </c>
      <c r="H473" s="29" t="n">
        <f aca="false">Sens!H472/ext_sh</f>
        <v>16792.6666666667</v>
      </c>
      <c r="I473" s="29" t="n">
        <f aca="false">Sens!I472/ext_sh</f>
        <v>19781.1933333333</v>
      </c>
      <c r="J473" s="29" t="n">
        <f aca="false">Sens!J472/ext_sh</f>
        <v>21606.0172</v>
      </c>
      <c r="K473" s="29" t="n">
        <f aca="false">Sens!K472/ext_sh</f>
        <v>22291.997716</v>
      </c>
      <c r="L473" s="1" t="s">
        <v>817</v>
      </c>
    </row>
    <row r="474" customFormat="false" ht="17.15" hidden="false" customHeight="false" outlineLevel="0" collapsed="false">
      <c r="A474" s="1" t="s">
        <v>818</v>
      </c>
      <c r="B474" s="0" t="s">
        <v>399</v>
      </c>
      <c r="C474" s="29" t="n">
        <f aca="false">Sens!C473-Sens!C472</f>
        <v>326.666666666667</v>
      </c>
      <c r="D474" s="29" t="n">
        <f aca="false">Sens!D473-Sens!D472</f>
        <v>820</v>
      </c>
      <c r="E474" s="29" t="n">
        <f aca="false">Sens!E473-Sens!E472</f>
        <v>1800</v>
      </c>
      <c r="F474" s="29" t="n">
        <f aca="false">Sens!F473-Sens!F472</f>
        <v>3347.46666666667</v>
      </c>
      <c r="G474" s="29" t="n">
        <f aca="false">Sens!G473-Sens!G472</f>
        <v>5032.26666666667</v>
      </c>
      <c r="H474" s="29" t="n">
        <f aca="false">Sens!H473-Sens!H472</f>
        <v>6717.06666666667</v>
      </c>
      <c r="I474" s="29" t="n">
        <f aca="false">Sens!I473-Sens!I472</f>
        <v>7912.47733333333</v>
      </c>
      <c r="J474" s="29" t="n">
        <f aca="false">Sens!J473-Sens!J472</f>
        <v>8642.40688</v>
      </c>
      <c r="K474" s="29" t="n">
        <f aca="false">Sens!K473-Sens!K472</f>
        <v>8916.7990864</v>
      </c>
    </row>
    <row r="475" customFormat="false" ht="17.15" hidden="false" customHeight="false" outlineLevel="0" collapsed="false">
      <c r="A475" s="1" t="s">
        <v>819</v>
      </c>
      <c r="B475" s="0" t="s">
        <v>399</v>
      </c>
      <c r="C475" s="29" t="n">
        <f aca="false">Sens!C473</f>
        <v>816.666666666667</v>
      </c>
      <c r="D475" s="29" t="n">
        <f aca="false">Sens!D473-Sens!C473</f>
        <v>1233.33333333333</v>
      </c>
      <c r="E475" s="29" t="n">
        <f aca="false">Sens!E473-Sens!D473</f>
        <v>2450</v>
      </c>
      <c r="F475" s="29" t="n">
        <f aca="false">Sens!F473-Sens!E473</f>
        <v>3868.66666666667</v>
      </c>
      <c r="G475" s="29" t="n">
        <f aca="false">Sens!G473-Sens!F473</f>
        <v>4212</v>
      </c>
      <c r="H475" s="29" t="n">
        <f aca="false">Sens!H473-Sens!G473</f>
        <v>4212</v>
      </c>
      <c r="I475" s="29" t="n">
        <f aca="false">Sens!I473-Sens!H473</f>
        <v>2988.52666666667</v>
      </c>
      <c r="J475" s="29" t="n">
        <f aca="false">Sens!J473-Sens!I473</f>
        <v>1824.82386666667</v>
      </c>
      <c r="K475" s="29" t="n">
        <f aca="false">Sens!K473-Sens!J473</f>
        <v>685.980516</v>
      </c>
    </row>
    <row r="476" customFormat="false" ht="17.15" hidden="false" customHeight="false" outlineLevel="0" collapsed="false">
      <c r="A476" s="1" t="s">
        <v>820</v>
      </c>
      <c r="B476" s="0" t="s">
        <v>399</v>
      </c>
      <c r="D476" s="29" t="n">
        <f aca="false">Sens!D470-Sens!C470</f>
        <v>990</v>
      </c>
      <c r="E476" s="29" t="n">
        <f aca="false">Sens!E470-Sens!D470</f>
        <v>1620</v>
      </c>
      <c r="F476" s="29" t="n">
        <f aca="false">Sens!F470-Sens!E470</f>
        <v>2527.2</v>
      </c>
      <c r="G476" s="29" t="n">
        <f aca="false">Sens!G470-Sens!F470</f>
        <v>2527.2</v>
      </c>
      <c r="H476" s="29" t="n">
        <f aca="false">Sens!H470-Sens!G470</f>
        <v>2527.2</v>
      </c>
      <c r="I476" s="29" t="n">
        <f aca="false">Sens!I470-Sens!H470</f>
        <v>1793.116</v>
      </c>
      <c r="J476" s="29" t="n">
        <f aca="false">Sens!J470-Sens!I470</f>
        <v>1094.89432</v>
      </c>
      <c r="K476" s="29" t="n">
        <f aca="false">Sens!K470-Sens!J470</f>
        <v>411.5883096</v>
      </c>
    </row>
    <row r="477" customFormat="false" ht="17.15" hidden="false" customHeight="false" outlineLevel="0" collapsed="false">
      <c r="A477" s="1" t="s">
        <v>821</v>
      </c>
      <c r="B477" s="0" t="s">
        <v>399</v>
      </c>
      <c r="F477" s="29" t="n">
        <f aca="false">Sens!F494*ext_sh</f>
        <v>0</v>
      </c>
      <c r="G477" s="29" t="n">
        <f aca="false">Sens!G494*ext_sh</f>
        <v>0</v>
      </c>
      <c r="H477" s="29" t="n">
        <f aca="false">Sens!H494*ext_sh</f>
        <v>0</v>
      </c>
      <c r="I477" s="29" t="n">
        <f aca="false">Sens!I494*ext_sh</f>
        <v>490</v>
      </c>
      <c r="J477" s="29" t="n">
        <f aca="false">Sens!J494*ext_sh</f>
        <v>740</v>
      </c>
      <c r="K477" s="29" t="n">
        <f aca="false">Sens!K494*ext_sh</f>
        <v>1470</v>
      </c>
      <c r="L477" s="1" t="s">
        <v>822</v>
      </c>
    </row>
    <row r="478" customFormat="false" ht="17.15" hidden="false" customHeight="false" outlineLevel="0" collapsed="false">
      <c r="A478" s="1" t="s">
        <v>823</v>
      </c>
      <c r="B478" s="0" t="s">
        <v>399</v>
      </c>
      <c r="C478" s="29" t="n">
        <f aca="false">mix_h*Sens!C470</f>
        <v>128</v>
      </c>
      <c r="D478" s="29" t="n">
        <f aca="false">mix_h*Sens!D470</f>
        <v>326</v>
      </c>
      <c r="E478" s="29" t="n">
        <f aca="false">mix_h*Sens!E470</f>
        <v>650</v>
      </c>
      <c r="F478" s="29" t="n">
        <f aca="false">Sens!E478-Sens!F477*mix_h</f>
        <v>650</v>
      </c>
      <c r="G478" s="29" t="n">
        <f aca="false">Sens!F478-Sens!G477*mix_h</f>
        <v>650</v>
      </c>
      <c r="H478" s="29" t="n">
        <f aca="false">Sens!G478-Sens!H477*mix_h</f>
        <v>650</v>
      </c>
      <c r="I478" s="29" t="n">
        <f aca="false">Sens!H478-Sens!I477*mix_h</f>
        <v>552</v>
      </c>
      <c r="J478" s="29" t="n">
        <f aca="false">Sens!I478-Sens!J477*mix_h</f>
        <v>404</v>
      </c>
      <c r="K478" s="29" t="n">
        <f aca="false">Sens!J478-Sens!K477*mix_h</f>
        <v>110</v>
      </c>
    </row>
    <row r="479" customFormat="false" ht="17.15" hidden="false" customHeight="false" outlineLevel="0" collapsed="false">
      <c r="A479" s="1" t="s">
        <v>824</v>
      </c>
      <c r="B479" s="0" t="s">
        <v>399</v>
      </c>
      <c r="C479" s="29" t="n">
        <f aca="false">mix_g2*Sens!C470</f>
        <v>288</v>
      </c>
      <c r="D479" s="29" t="n">
        <f aca="false">mix_g2*Sens!D470</f>
        <v>733.5</v>
      </c>
      <c r="E479" s="29" t="n">
        <f aca="false">mix_g2*Sens!E470</f>
        <v>1462.5</v>
      </c>
      <c r="F479" s="29" t="n">
        <f aca="false">Sens!E479-Sens!F477*mix_g2</f>
        <v>1462.5</v>
      </c>
      <c r="G479" s="29" t="n">
        <f aca="false">Sens!F479-Sens!G477*mix_g2</f>
        <v>1462.5</v>
      </c>
      <c r="H479" s="29" t="n">
        <f aca="false">Sens!G479-Sens!H477*mix_g2</f>
        <v>1462.5</v>
      </c>
      <c r="I479" s="29" t="n">
        <f aca="false">Sens!H479-Sens!I477*mix_g2</f>
        <v>1242</v>
      </c>
      <c r="J479" s="29" t="n">
        <f aca="false">Sens!I479-Sens!J477*mix_g2</f>
        <v>909</v>
      </c>
      <c r="K479" s="29" t="n">
        <f aca="false">Sens!J479-Sens!K477*mix_g2</f>
        <v>247.5</v>
      </c>
    </row>
    <row r="480" customFormat="false" ht="17.15" hidden="false" customHeight="false" outlineLevel="0" collapsed="false">
      <c r="A480" s="1" t="s">
        <v>825</v>
      </c>
      <c r="B480" s="0" t="s">
        <v>399</v>
      </c>
      <c r="C480" s="29" t="n">
        <f aca="false">mix_g3*Sens!C470</f>
        <v>224</v>
      </c>
      <c r="D480" s="29" t="n">
        <f aca="false">mix_g3*Sens!D470</f>
        <v>570.5</v>
      </c>
      <c r="E480" s="29" t="n">
        <f aca="false">mix_g3*Sens!E470</f>
        <v>1137.5</v>
      </c>
      <c r="F480" s="29" t="n">
        <f aca="false">Sens!E480+(Sens!F476+Sens!F477)*a_g3_27-Sens!F477*mix_g3</f>
        <v>2906.54</v>
      </c>
      <c r="G480" s="29" t="n">
        <f aca="false">Sens!F480+(Sens!G476+Sens!G477)*a_g3_28-Sens!G477*mix_g3</f>
        <v>3664.7</v>
      </c>
      <c r="H480" s="29" t="n">
        <f aca="false">Sens!G480+(Sens!H476+Sens!H477)*a_g3_29-Sens!H477*mix_g3</f>
        <v>3917.42</v>
      </c>
      <c r="I480" s="29" t="n">
        <f aca="false">Sens!H480+(Sens!I476+Sens!I477)*a_g3_29-Sens!I477*mix_g3</f>
        <v>3974.2316</v>
      </c>
      <c r="J480" s="29" t="n">
        <f aca="false">Sens!I480+(Sens!J476+Sens!J477)*a_g3_29-Sens!J477*mix_g3</f>
        <v>3898.721032</v>
      </c>
      <c r="K480" s="29" t="n">
        <f aca="false">Sens!J480+(Sens!K476+Sens!K477)*a_g3_29-Sens!K477*mix_g3</f>
        <v>3572.37986296</v>
      </c>
    </row>
    <row r="481" customFormat="false" ht="17.15" hidden="false" customHeight="false" outlineLevel="0" collapsed="false">
      <c r="A481" s="1" t="s">
        <v>826</v>
      </c>
      <c r="B481" s="0" t="s">
        <v>399</v>
      </c>
      <c r="C481" s="29" t="n">
        <v>0</v>
      </c>
      <c r="D481" s="29" t="n">
        <v>0</v>
      </c>
      <c r="E481" s="29" t="n">
        <v>0</v>
      </c>
      <c r="F481" s="29" t="n">
        <f aca="false">Sens!E481+(Sens!F476+Sens!F477)*(1-a_g3_27)</f>
        <v>758.16</v>
      </c>
      <c r="G481" s="29" t="n">
        <f aca="false">Sens!F481+(Sens!G476+Sens!G477)*(1-a_g3_28)</f>
        <v>2527.2</v>
      </c>
      <c r="H481" s="29" t="n">
        <f aca="false">Sens!G481+(Sens!H476+Sens!H477)*(1-a_g3_29)</f>
        <v>4801.68</v>
      </c>
      <c r="I481" s="29" t="n">
        <f aca="false">Sens!H481+(Sens!I476+Sens!I477)*(1-a_g3_29)</f>
        <v>6856.4844</v>
      </c>
      <c r="J481" s="29" t="n">
        <f aca="false">Sens!I481+(Sens!J476+Sens!J477)*(1-a_g3_29)</f>
        <v>8507.889288</v>
      </c>
      <c r="K481" s="29" t="n">
        <f aca="false">Sens!J481+(Sens!K476+Sens!K477)*(1-a_g3_29)</f>
        <v>10201.31876664</v>
      </c>
    </row>
    <row r="482" customFormat="false" ht="17.15" hidden="false" customHeight="false" outlineLevel="0" collapsed="false">
      <c r="A482" s="1" t="s">
        <v>827</v>
      </c>
      <c r="B482" s="0" t="s">
        <v>346</v>
      </c>
      <c r="C482" s="14" t="n">
        <f aca="false">(Sens!C478*tk_hold_h100+Sens!C479*tk_hold_gb200+Sens!C480*tk_hold_gb300+Sens!C481*tk_hold_vr200)/Sens!C470</f>
        <v>9.7235358126469</v>
      </c>
      <c r="D482" s="14" t="n">
        <f aca="false">(Sens!D478*tk_hold_h100+Sens!D479*tk_hold_gb200+Sens!D480*tk_hold_gb300+Sens!D481*tk_hold_vr200)/Sens!D470</f>
        <v>9.7235358126469</v>
      </c>
      <c r="E482" s="14" t="n">
        <f aca="false">(Sens!E478*tk_hold_h100+Sens!E479*tk_hold_gb200+Sens!E480*tk_hold_gb300+Sens!E481*tk_hold_vr200)/Sens!E470</f>
        <v>9.7235358126469</v>
      </c>
      <c r="F482" s="14" t="n">
        <f aca="false">(Sens!F478*tk_hold_h100+Sens!F479*tk_hold_gb200+Sens!F480*tk_hold_gb300+Sens!F481*tk_hold_vr200)/Sens!F470</f>
        <v>10.4079573161931</v>
      </c>
      <c r="G482" s="14" t="n">
        <f aca="false">(Sens!G478*tk_hold_h100+Sens!G479*tk_hold_gb200+Sens!G480*tk_hold_gb300+Sens!G481*tk_hold_vr200)/Sens!G470</f>
        <v>10.8388131109316</v>
      </c>
      <c r="H482" s="14" t="n">
        <f aca="false">(Sens!H478*tk_hold_h100+Sens!H479*tk_hold_gb200+Sens!H480*tk_hold_gb300+Sens!H481*tk_hold_vr200)/Sens!H470</f>
        <v>11.1311018388216</v>
      </c>
      <c r="I482" s="14" t="n">
        <f aca="false">(Sens!I478*tk_hold_h100+Sens!I479*tk_hold_gb200+Sens!I480*tk_hold_gb300+Sens!I481*tk_hold_vr200)/Sens!I470</f>
        <v>11.3594282560989</v>
      </c>
      <c r="J482" s="14" t="n">
        <f aca="false">(Sens!J478*tk_hold_h100+Sens!J479*tk_hold_gb200+Sens!J480*tk_hold_gb300+Sens!J481*tk_hold_vr200)/Sens!J470</f>
        <v>11.5455817917599</v>
      </c>
      <c r="K482" s="14" t="n">
        <f aca="false">(Sens!K478*tk_hold_h100+Sens!K479*tk_hold_gb200+Sens!K480*tk_hold_gb300+Sens!K481*tk_hold_vr200)/Sens!K470</f>
        <v>11.8078187977246</v>
      </c>
    </row>
    <row r="483" customFormat="false" ht="17.15" hidden="false" customHeight="false" outlineLevel="0" collapsed="false">
      <c r="A483" s="0" t="s">
        <v>828</v>
      </c>
      <c r="B483" s="0" t="s">
        <v>185</v>
      </c>
      <c r="C483" s="14" t="n">
        <f aca="false">k_B</f>
        <v>1.17213932619116</v>
      </c>
      <c r="D483" s="14" t="n">
        <f aca="false">k_B</f>
        <v>1.17213932619116</v>
      </c>
      <c r="E483" s="14" t="n">
        <f aca="false">k_B</f>
        <v>1.17213932619116</v>
      </c>
      <c r="F483" s="14" t="n">
        <f aca="false">(k_B+((ls_C*k_long+(1-ls_C)*k_spot)-k_B)*MIN(1,(Sens!F468-base_fy)/k_ramp))</f>
        <v>1.07843258004497</v>
      </c>
      <c r="G483" s="14" t="n">
        <f aca="false">(k_B+((ls_C*k_long+(1-ls_C)*k_spot)-k_B)*MIN(1,(Sens!G468-base_fy)/k_ramp))</f>
        <v>0.984725833898784</v>
      </c>
      <c r="H483" s="14" t="n">
        <f aca="false">(k_B+((ls_C*k_long+(1-ls_C)*k_spot)-k_B)*MIN(1,(Sens!H468-base_fy)/k_ramp))</f>
        <v>0.891019087752599</v>
      </c>
      <c r="I483" s="14" t="n">
        <f aca="false">(k_B+((ls_C*k_long+(1-ls_C)*k_spot)-k_B)*MIN(1,(Sens!I468-base_fy)/k_ramp))</f>
        <v>0.891019087752599</v>
      </c>
      <c r="J483" s="14" t="n">
        <f aca="false">(k_B+((ls_C*k_long+(1-ls_C)*k_spot)-k_B)*MIN(1,(Sens!J468-base_fy)/k_ramp))</f>
        <v>0.891019087752599</v>
      </c>
      <c r="K483" s="14" t="n">
        <f aca="false">(k_B+((ls_C*k_long+(1-ls_C)*k_spot)-k_B)*MIN(1,(Sens!K468-base_fy)/k_ramp))</f>
        <v>0.891019087752599</v>
      </c>
      <c r="L483" s="1" t="s">
        <v>829</v>
      </c>
    </row>
    <row r="484" customFormat="false" ht="17.15" hidden="false" customHeight="false" outlineLevel="0" collapsed="false">
      <c r="A484" s="1" t="s">
        <v>830</v>
      </c>
      <c r="B484" s="0" t="s">
        <v>346</v>
      </c>
      <c r="C484" s="14" t="n">
        <f aca="false">Sens!C482*Sens!C483*chip_f</f>
        <v>11.3973387156315</v>
      </c>
      <c r="D484" s="14" t="n">
        <f aca="false">Sens!D482*Sens!D483*chip_f</f>
        <v>11.3973387156315</v>
      </c>
      <c r="E484" s="14" t="n">
        <f aca="false">Sens!E482*Sens!E483*chip_f</f>
        <v>11.3973387156315</v>
      </c>
      <c r="F484" s="14" t="n">
        <f aca="false">Sens!F482*Sens!F483*chip_f</f>
        <v>11.2242802615</v>
      </c>
      <c r="G484" s="14" t="n">
        <f aca="false">Sens!G482*Sens!G483*chip_f</f>
        <v>10.6732592791352</v>
      </c>
      <c r="H484" s="14" t="n">
        <f aca="false">Sens!H482*Sens!H483*chip_f</f>
        <v>9.91802420610807</v>
      </c>
      <c r="I484" s="14" t="n">
        <f aca="false">Sens!I482*Sens!I483*chip_f</f>
        <v>10.1214674021403</v>
      </c>
      <c r="J484" s="14" t="n">
        <f aca="false">Sens!J482*Sens!J483*chip_f</f>
        <v>10.2873337556669</v>
      </c>
      <c r="K484" s="14" t="n">
        <f aca="false">Sens!K482*Sens!K483*chip_f</f>
        <v>10.5209919334966</v>
      </c>
      <c r="L484" s="1" t="s">
        <v>831</v>
      </c>
    </row>
    <row r="485" customFormat="false" ht="17.15" hidden="false" customHeight="false" outlineLevel="0" collapsed="false">
      <c r="A485" s="0" t="s">
        <v>832</v>
      </c>
      <c r="B485" s="0" t="s">
        <v>98</v>
      </c>
      <c r="D485" s="6" t="n">
        <f aca="false">(Sens!C470+Sens!D470)/2*Sens!D484/1000</f>
        <v>12.9359794422418</v>
      </c>
      <c r="E485" s="6" t="n">
        <f aca="false">(Sens!D470+Sens!E470)/2*Sens!E484/1000</f>
        <v>27.8095064661409</v>
      </c>
      <c r="F485" s="6" t="n">
        <f aca="false">(Sens!E470+Sens!F470)/2*Sens!F484/1000</f>
        <v>50.6619113883066</v>
      </c>
      <c r="G485" s="6" t="n">
        <f aca="false">(Sens!F470+Sens!G470)/2*Sens!G484/1000</f>
        <v>75.1482839325348</v>
      </c>
      <c r="H485" s="6" t="n">
        <f aca="false">(Sens!G470+Sens!H470)/2*Sens!H484/1000</f>
        <v>94.895655604042</v>
      </c>
      <c r="I485" s="6" t="n">
        <f aca="false">(Sens!H470+Sens!I470)/2*Sens!I484/1000</f>
        <v>118.706168884151</v>
      </c>
      <c r="J485" s="6" t="n">
        <f aca="false">(Sens!I470+Sens!J470)/2*Sens!J484/1000</f>
        <v>135.50643871102</v>
      </c>
      <c r="K485" s="6" t="n">
        <f aca="false">(Sens!J470+Sens!K470)/2*Sens!K484/1000</f>
        <v>146.509068150048</v>
      </c>
      <c r="L485" s="11" t="s">
        <v>833</v>
      </c>
    </row>
    <row r="486" customFormat="false" ht="17.15" hidden="false" customHeight="false" outlineLevel="0" collapsed="false">
      <c r="A486" s="1" t="s">
        <v>834</v>
      </c>
      <c r="B486" s="0" t="s">
        <v>346</v>
      </c>
      <c r="C486" s="14" t="n">
        <f aca="false">(Sens!C478*tk_opex_h100+Sens!C479*tk_opex_gb200+Sens!C480*tk_opex_gb300+Sens!C481*tk_opex_vr200)/Sens!C470</f>
        <v>1.88636041306092</v>
      </c>
      <c r="D486" s="14" t="n">
        <f aca="false">(Sens!D478*tk_opex_h100+Sens!D479*tk_opex_gb200+Sens!D480*tk_opex_gb300+Sens!D481*tk_opex_vr200)/Sens!D470</f>
        <v>1.88636041306092</v>
      </c>
      <c r="E486" s="14" t="n">
        <f aca="false">(Sens!E478*tk_opex_h100+Sens!E479*tk_opex_gb200+Sens!E480*tk_opex_gb300+Sens!E481*tk_opex_vr200)/Sens!E470</f>
        <v>1.88636041306092</v>
      </c>
      <c r="F486" s="14" t="n">
        <f aca="false">(Sens!F478*tk_opex_h100+Sens!F479*tk_opex_gb200+Sens!F480*tk_opex_gb300+Sens!F481*tk_opex_vr200)/Sens!F470</f>
        <v>1.9430236476499</v>
      </c>
      <c r="G486" s="14" t="n">
        <f aca="false">(Sens!G478*tk_opex_h100+Sens!G479*tk_opex_gb200+Sens!G480*tk_opex_gb300+Sens!G481*tk_opex_vr200)/Sens!G470</f>
        <v>1.9786941852423</v>
      </c>
      <c r="H486" s="14" t="n">
        <f aca="false">(Sens!H478*tk_opex_h100+Sens!H479*tk_opex_gb200+Sens!H480*tk_opex_gb300+Sens!H481*tk_opex_vr200)/Sens!H470</f>
        <v>2.00289275976156</v>
      </c>
      <c r="I486" s="14" t="n">
        <f aca="false">(Sens!I478*tk_opex_h100+Sens!I479*tk_opex_gb200+Sens!I480*tk_opex_gb300+Sens!I481*tk_opex_vr200)/Sens!I470</f>
        <v>2.02179589661219</v>
      </c>
      <c r="J486" s="14" t="n">
        <f aca="false">(Sens!J478*tk_opex_h100+Sens!J479*tk_opex_gb200+Sens!J480*tk_opex_gb300+Sens!J481*tk_opex_vr200)/Sens!J470</f>
        <v>2.03720754193029</v>
      </c>
      <c r="K486" s="14" t="n">
        <f aca="false">(Sens!K478*tk_opex_h100+Sens!K479*tk_opex_gb200+Sens!K480*tk_opex_gb300+Sens!K481*tk_opex_vr200)/Sens!K470</f>
        <v>2.0589181353437</v>
      </c>
    </row>
    <row r="487" customFormat="false" ht="17.15" hidden="false" customHeight="false" outlineLevel="0" collapsed="false">
      <c r="A487" s="0" t="s">
        <v>835</v>
      </c>
      <c r="B487" s="0" t="s">
        <v>98</v>
      </c>
      <c r="D487" s="6" t="n">
        <f aca="false">(Sens!C473+Sens!D473)/2*Sens!D486/1000</f>
        <v>2.70378325872065</v>
      </c>
      <c r="E487" s="6" t="n">
        <f aca="false">(Sens!D473+Sens!E473)/2*Sens!E486/1000</f>
        <v>6.17783035277451</v>
      </c>
      <c r="F487" s="6" t="n">
        <f aca="false">(Sens!E473+Sens!F473)/2*Sens!F486/1000</f>
        <v>12.5020618235287</v>
      </c>
      <c r="G487" s="6" t="n">
        <f aca="false">(Sens!F473+Sens!G473)/2*Sens!G486/1000</f>
        <v>20.7261620256847</v>
      </c>
      <c r="H487" s="6" t="n">
        <f aca="false">(Sens!G473+Sens!H473)/2*Sens!H486/1000</f>
        <v>29.4158183316982</v>
      </c>
      <c r="I487" s="6" t="n">
        <f aca="false">(Sens!H473+Sens!I473)/2*Sens!I486/1000</f>
        <v>36.9724400356344</v>
      </c>
      <c r="J487" s="6" t="n">
        <f aca="false">(Sens!I473+Sens!J473)/2*Sens!J486/1000</f>
        <v>42.1571687189816</v>
      </c>
      <c r="K487" s="6" t="n">
        <f aca="false">(Sens!J473+Sens!K473)/2*Sens!K486/1000</f>
        <v>45.1912095080704</v>
      </c>
    </row>
    <row r="488" customFormat="false" ht="17.15" hidden="false" customHeight="false" outlineLevel="0" collapsed="false">
      <c r="A488" s="0" t="s">
        <v>836</v>
      </c>
      <c r="B488" s="0" t="s">
        <v>98</v>
      </c>
      <c r="D488" s="6" t="n">
        <f aca="false">(Sens!C471+Sens!D471)/2*rent_mw/1000</f>
        <v>2.44475</v>
      </c>
      <c r="E488" s="6" t="n">
        <f aca="false">(Sens!D471+Sens!E471)/2*rent_mw/1000</f>
        <v>4.22275</v>
      </c>
      <c r="F488" s="6" t="n">
        <f aca="false">(Sens!E471+Sens!F471)/2*rent_mw/1000</f>
        <v>5.80517</v>
      </c>
      <c r="G488" s="6" t="n">
        <f aca="false">(Sens!F471+Sens!G471)/2*rent_mw/1000</f>
        <v>6.72084</v>
      </c>
      <c r="H488" s="6" t="n">
        <f aca="false">(Sens!G471+Sens!H471)/2*rent_mw/1000</f>
        <v>6.72084</v>
      </c>
      <c r="I488" s="6" t="n">
        <f aca="false">(Sens!H471+Sens!I471)/2*rent_mw/1000</f>
        <v>6.72084</v>
      </c>
      <c r="J488" s="6" t="n">
        <f aca="false">(Sens!I471+Sens!J471)/2*rent_mw/1000</f>
        <v>6.72084</v>
      </c>
      <c r="K488" s="6" t="n">
        <f aca="false">(Sens!J471+Sens!K471)/2*rent_mw/1000</f>
        <v>6.72084</v>
      </c>
    </row>
    <row r="489" customFormat="false" ht="17.15" hidden="false" customHeight="false" outlineLevel="0" collapsed="false">
      <c r="A489" s="0" t="s">
        <v>837</v>
      </c>
      <c r="B489" s="0" t="s">
        <v>98</v>
      </c>
      <c r="D489" s="6" t="n">
        <f aca="false">(Sens!C473+Sens!D473)/2*(1-self_build)*fac_rent/1000</f>
        <v>0.853242375631075</v>
      </c>
      <c r="E489" s="6" t="n">
        <f aca="false">(Sens!D473+Sens!E473)/2*(1-self_build)*fac_rent/1000</f>
        <v>1.94955961408728</v>
      </c>
      <c r="F489" s="6" t="n">
        <f aca="false">(Sens!E473+Sens!F473)/2*(1-self_build)*fac_rent/1000</f>
        <v>3.83026455274573</v>
      </c>
      <c r="G489" s="6" t="n">
        <f aca="false">(Sens!F473+Sens!G473)/2*(1-self_build)*fac_rent/1000</f>
        <v>6.23541590972812</v>
      </c>
      <c r="H489" s="6" t="n">
        <f aca="false">(Sens!G473+Sens!H473)/2*(1-self_build)*fac_rent/1000</f>
        <v>8.74275792332679</v>
      </c>
      <c r="I489" s="6" t="n">
        <f aca="false">(Sens!H473+Sens!I473)/2*(1-self_build)*fac_rent/1000</f>
        <v>10.8859420438599</v>
      </c>
      <c r="J489" s="6" t="n">
        <f aca="false">(Sens!I473+Sens!J473)/2*(1-self_build)*fac_rent/1000</f>
        <v>12.3186006405366</v>
      </c>
      <c r="K489" s="6" t="n">
        <f aca="false">(Sens!J473+Sens!K473)/2*(1-self_build)*fac_rent/1000</f>
        <v>13.0659232089824</v>
      </c>
      <c r="L489" s="11" t="s">
        <v>838</v>
      </c>
    </row>
    <row r="490" customFormat="false" ht="17.15" hidden="false" customHeight="false" outlineLevel="0" collapsed="false">
      <c r="A490" s="1" t="s">
        <v>839</v>
      </c>
      <c r="B490" s="0" t="s">
        <v>129</v>
      </c>
      <c r="D490" s="7" t="n">
        <f aca="false">(Sens!C472+Sens!D472)/(Sens!C473+Sens!D473)</f>
        <v>0.6</v>
      </c>
      <c r="E490" s="7" t="n">
        <f aca="false">(Sens!D472+Sens!E472)/(Sens!D473+Sens!E473)</f>
        <v>0.6</v>
      </c>
      <c r="F490" s="7" t="n">
        <f aca="false">(Sens!E472+Sens!F472)/(Sens!E473+Sens!F473)</f>
        <v>0.6</v>
      </c>
      <c r="G490" s="7" t="n">
        <f aca="false">(Sens!F472+Sens!G472)/(Sens!F473+Sens!G473)</f>
        <v>0.6</v>
      </c>
      <c r="H490" s="7" t="n">
        <f aca="false">(Sens!G472+Sens!H472)/(Sens!G473+Sens!H473)</f>
        <v>0.6</v>
      </c>
      <c r="I490" s="7" t="n">
        <f aca="false">(Sens!H472+Sens!I472)/(Sens!H473+Sens!I473)</f>
        <v>0.6</v>
      </c>
      <c r="J490" s="7" t="n">
        <f aca="false">(Sens!I472+Sens!J472)/(Sens!I473+Sens!J473)</f>
        <v>0.6</v>
      </c>
      <c r="K490" s="7" t="n">
        <f aca="false">(Sens!J472+Sens!K472)/(Sens!J473+Sens!K473)</f>
        <v>0.6</v>
      </c>
    </row>
    <row r="491" customFormat="false" ht="17.15" hidden="false" customHeight="false" outlineLevel="0" collapsed="false">
      <c r="A491" s="0" t="s">
        <v>840</v>
      </c>
      <c r="B491" s="0" t="s">
        <v>98</v>
      </c>
      <c r="D491" s="6" t="n">
        <f aca="false">Sens!D485-Sens!D490*(Sens!D487+Sens!D489)-Sens!D488</f>
        <v>8.35701406163072</v>
      </c>
      <c r="E491" s="6" t="n">
        <f aca="false">Sens!E485-Sens!E490*(Sens!E487+Sens!E489)-Sens!E488</f>
        <v>18.7103224860238</v>
      </c>
      <c r="F491" s="6" t="n">
        <f aca="false">Sens!F485-Sens!F490*(Sens!F487+Sens!F489)-Sens!F488</f>
        <v>35.0573455625419</v>
      </c>
      <c r="G491" s="6" t="n">
        <f aca="false">Sens!G485-Sens!G490*(Sens!G487+Sens!G489)-Sens!G488</f>
        <v>52.2504971712871</v>
      </c>
      <c r="H491" s="6" t="n">
        <f aca="false">Sens!H485-Sens!H490*(Sens!H487+Sens!H489)-Sens!H488</f>
        <v>65.2796698510271</v>
      </c>
      <c r="I491" s="6" t="n">
        <f aca="false">Sens!I485-Sens!I490*(Sens!I487+Sens!I489)-Sens!I488</f>
        <v>83.2702996364549</v>
      </c>
      <c r="J491" s="6" t="n">
        <f aca="false">Sens!J485-Sens!J490*(Sens!J487+Sens!J489)-Sens!J488</f>
        <v>96.1001370953095</v>
      </c>
      <c r="K491" s="6" t="n">
        <f aca="false">Sens!K485-Sens!K490*(Sens!K487+Sens!K489)-Sens!K488</f>
        <v>104.833948519816</v>
      </c>
    </row>
    <row r="492" customFormat="false" ht="17.15" hidden="false" customHeight="false" outlineLevel="0" collapsed="false">
      <c r="A492" s="1" t="s">
        <v>841</v>
      </c>
      <c r="B492" s="0" t="s">
        <v>98</v>
      </c>
      <c r="D492" s="6" t="n">
        <f aca="false">(1-Sens!D490)*(Sens!D487+Sens!D489)</f>
        <v>1.42281025374069</v>
      </c>
      <c r="E492" s="6" t="n">
        <f aca="false">(1-Sens!E490)*(Sens!E487+Sens!E489)</f>
        <v>3.25095598674472</v>
      </c>
      <c r="F492" s="6" t="n">
        <f aca="false">(1-Sens!F490)*(Sens!F487+Sens!F489)</f>
        <v>6.53293055050977</v>
      </c>
      <c r="G492" s="6" t="n">
        <f aca="false">(1-Sens!G490)*(Sens!G487+Sens!G489)</f>
        <v>10.7846311741651</v>
      </c>
      <c r="H492" s="6" t="n">
        <f aca="false">(1-Sens!H490)*(Sens!H487+Sens!H489)</f>
        <v>15.26343050201</v>
      </c>
      <c r="I492" s="6" t="n">
        <f aca="false">(1-Sens!I490)*(Sens!I487+Sens!I489)</f>
        <v>19.1433528317977</v>
      </c>
      <c r="J492" s="6" t="n">
        <f aca="false">(1-Sens!J490)*(Sens!J487+Sens!J489)</f>
        <v>21.7903077438073</v>
      </c>
      <c r="K492" s="6" t="n">
        <f aca="false">(1-Sens!K490)*(Sens!K487+Sens!K489)</f>
        <v>23.3028530868211</v>
      </c>
    </row>
    <row r="493" customFormat="false" ht="17.15" hidden="false" customHeight="false" outlineLevel="0" collapsed="false">
      <c r="A493" s="1" t="s">
        <v>842</v>
      </c>
      <c r="B493" s="0" t="s">
        <v>357</v>
      </c>
      <c r="C493" s="8" t="n">
        <f aca="false">cxit_open</f>
        <v>27.5918995</v>
      </c>
      <c r="D493" s="8" t="n">
        <f aca="false">cxit_open</f>
        <v>27.5918995</v>
      </c>
      <c r="E493" s="8" t="n">
        <f aca="false">cxit_open</f>
        <v>27.5918995</v>
      </c>
      <c r="F493" s="8" t="n">
        <f aca="false">(a_g3_27*tk_cxit_gb300+(1-a_g3_27)*tk_cxit_vr200)</f>
        <v>33.8419624</v>
      </c>
      <c r="G493" s="8" t="n">
        <f aca="false">(a_g3_28*tk_cxit_gb300+(1-a_g3_28)*tk_cxit_vr200)</f>
        <v>35.9816136</v>
      </c>
      <c r="H493" s="8" t="n">
        <f aca="false">(a_g3_29*tk_cxit_gb300+(1-a_g3_29)*tk_cxit_vr200)</f>
        <v>37.0514392</v>
      </c>
      <c r="I493" s="8" t="n">
        <f aca="false">(a_g3_29*tk_cxit_gb300+(1-a_g3_29)*tk_cxit_vr200)</f>
        <v>37.0514392</v>
      </c>
      <c r="J493" s="8" t="n">
        <f aca="false">(a_g3_29*tk_cxit_gb300+(1-a_g3_29)*tk_cxit_vr200)</f>
        <v>37.0514392</v>
      </c>
      <c r="K493" s="8" t="n">
        <f aca="false">(a_g3_29*tk_cxit_gb300+(1-a_g3_29)*tk_cxit_vr200)</f>
        <v>37.0514392</v>
      </c>
      <c r="L493" s="11" t="s">
        <v>843</v>
      </c>
    </row>
    <row r="494" customFormat="false" ht="17.15" hidden="false" customHeight="false" outlineLevel="0" collapsed="false">
      <c r="A494" s="0" t="s">
        <v>844</v>
      </c>
      <c r="B494" s="0" t="s">
        <v>399</v>
      </c>
      <c r="F494" s="29" t="n">
        <f aca="false">Sens!C475*IF(Sens!F468-Sens!C468=life_it,1,0)+Sens!D475*IF(Sens!F468-Sens!D468=life_it,1,0)+Sens!E475*IF(Sens!F468-Sens!E468=life_it,1,0)</f>
        <v>0</v>
      </c>
      <c r="G494" s="29" t="n">
        <f aca="false">Sens!C475*IF(Sens!G468-Sens!C468=life_it,1,0)+Sens!D475*IF(Sens!G468-Sens!D468=life_it,1,0)+Sens!E475*IF(Sens!G468-Sens!E468=life_it,1,0)+Sens!F475*IF(Sens!G468-Sens!F468=life_it,1,0)</f>
        <v>0</v>
      </c>
      <c r="H494" s="29" t="n">
        <f aca="false">Sens!C475*IF(Sens!H468-Sens!C468=life_it,1,0)+Sens!D475*IF(Sens!H468-Sens!D468=life_it,1,0)+Sens!E475*IF(Sens!H468-Sens!E468=life_it,1,0)+Sens!F475*IF(Sens!H468-Sens!F468=life_it,1,0)+Sens!G475*IF(Sens!H468-Sens!G468=life_it,1,0)</f>
        <v>0</v>
      </c>
      <c r="I494" s="29" t="n">
        <f aca="false">Sens!C475*IF(Sens!I468-Sens!C468=life_it,1,0)+Sens!D475*IF(Sens!I468-Sens!D468=life_it,1,0)+Sens!E475*IF(Sens!I468-Sens!E468=life_it,1,0)+Sens!F475*IF(Sens!I468-Sens!F468=life_it,1,0)+Sens!G475*IF(Sens!I468-Sens!G468=life_it,1,0)+Sens!H475*IF(Sens!I468-Sens!H468=life_it,1,0)</f>
        <v>816.666666666667</v>
      </c>
      <c r="J494" s="29" t="n">
        <f aca="false">Sens!C475*IF(Sens!J468-Sens!C468=life_it,1,0)+Sens!D475*IF(Sens!J468-Sens!D468=life_it,1,0)+Sens!E475*IF(Sens!J468-Sens!E468=life_it,1,0)+Sens!F475*IF(Sens!J468-Sens!F468=life_it,1,0)+Sens!G475*IF(Sens!J468-Sens!G468=life_it,1,0)+Sens!H475*IF(Sens!J468-Sens!H468=life_it,1,0)+Sens!I475*IF(Sens!J468-Sens!I468=life_it,1,0)</f>
        <v>1233.33333333333</v>
      </c>
      <c r="K494" s="29" t="n">
        <f aca="false">Sens!C475*IF(Sens!K468-Sens!C468=life_it,1,0)+Sens!D475*IF(Sens!K468-Sens!D468=life_it,1,0)+Sens!E475*IF(Sens!K468-Sens!E468=life_it,1,0)+Sens!F475*IF(Sens!K468-Sens!F468=life_it,1,0)+Sens!G475*IF(Sens!K468-Sens!G468=life_it,1,0)+Sens!H475*IF(Sens!K468-Sens!H468=life_it,1,0)+Sens!I475*IF(Sens!K468-Sens!I468=life_it,1,0)+Sens!J475*IF(Sens!K468-Sens!J468=life_it,1,0)</f>
        <v>2450</v>
      </c>
      <c r="L494" s="1" t="s">
        <v>845</v>
      </c>
    </row>
    <row r="495" customFormat="false" ht="17.15" hidden="false" customHeight="false" outlineLevel="0" collapsed="false">
      <c r="A495" s="0" t="s">
        <v>846</v>
      </c>
      <c r="B495" s="0" t="s">
        <v>98</v>
      </c>
      <c r="C495" s="6" t="n">
        <f aca="false">Sens!C475*Sens!C493/1000</f>
        <v>22.5333845916667</v>
      </c>
      <c r="D495" s="6" t="n">
        <f aca="false">Sens!D475*Sens!D493/1000</f>
        <v>34.0300093833333</v>
      </c>
      <c r="E495" s="6" t="n">
        <f aca="false">Sens!E475*Sens!E493/1000</f>
        <v>67.600153775</v>
      </c>
      <c r="F495" s="6" t="n">
        <f aca="false">(Sens!F475+Sens!F494)*Sens!F493/1000</f>
        <v>130.923271871467</v>
      </c>
      <c r="G495" s="6" t="n">
        <f aca="false">(Sens!G475+Sens!G494)*Sens!G493/1000</f>
        <v>151.5545564832</v>
      </c>
      <c r="H495" s="6" t="n">
        <f aca="false">(Sens!H475+Sens!H494)*Sens!H493/1000</f>
        <v>156.0606619104</v>
      </c>
      <c r="I495" s="6" t="n">
        <f aca="false">(Sens!I475+Sens!I494)*Sens!I493/1000</f>
        <v>140.987889434245</v>
      </c>
      <c r="J495" s="6" t="n">
        <f aca="false">(Sens!J475+Sens!J494)*Sens!J493/1000</f>
        <v>113.309125559842</v>
      </c>
      <c r="K495" s="6" t="n">
        <f aca="false">(Sens!K475+Sens!K494)*Sens!K493/1000</f>
        <v>116.192591420959</v>
      </c>
    </row>
    <row r="496" customFormat="false" ht="17.15" hidden="false" customHeight="false" outlineLevel="0" collapsed="false">
      <c r="A496" s="0" t="s">
        <v>847</v>
      </c>
      <c r="B496" s="0" t="s">
        <v>98</v>
      </c>
      <c r="C496" s="6" t="n">
        <f aca="false">Sens!C475*self_build*tk_cxfac/1000</f>
        <v>6.2083</v>
      </c>
      <c r="D496" s="6" t="n">
        <f aca="false">Sens!D475*self_build*tk_cxfac/1000</f>
        <v>9.3758</v>
      </c>
      <c r="E496" s="6" t="n">
        <f aca="false">Sens!E475*self_build*tk_cxfac/1000</f>
        <v>18.6249</v>
      </c>
      <c r="F496" s="6" t="n">
        <f aca="false">Sens!F475*self_build*tk_cxfac/1000</f>
        <v>29.409604</v>
      </c>
      <c r="G496" s="6" t="n">
        <f aca="false">Sens!G475*self_build*tk_cxfac/1000</f>
        <v>32.019624</v>
      </c>
      <c r="H496" s="6" t="n">
        <f aca="false">Sens!H475*self_build*tk_cxfac/1000</f>
        <v>32.019624</v>
      </c>
      <c r="I496" s="6" t="n">
        <f aca="false">Sens!I475*self_build*tk_cxfac/1000</f>
        <v>22.71877972</v>
      </c>
      <c r="J496" s="6" t="n">
        <f aca="false">Sens!J475*self_build*tk_cxfac/1000</f>
        <v>13.8723110344</v>
      </c>
      <c r="K496" s="6" t="n">
        <f aca="false">Sens!K475*self_build*tk_cxfac/1000</f>
        <v>5.214823882632</v>
      </c>
    </row>
    <row r="497" customFormat="false" ht="17.15" hidden="false" customHeight="false" outlineLevel="0" collapsed="false">
      <c r="A497" s="0" t="s">
        <v>848</v>
      </c>
      <c r="B497" s="0" t="s">
        <v>98</v>
      </c>
      <c r="F497" s="6" t="n">
        <f aca="false">MAX(0,capex_floor27-Sens!F495-Sens!F496-Sens!F591)</f>
        <v>8.43777689897088</v>
      </c>
    </row>
    <row r="498" customFormat="false" ht="17.15" hidden="false" customHeight="false" outlineLevel="0" collapsed="false">
      <c r="A498" s="0" t="s">
        <v>849</v>
      </c>
      <c r="B498" s="0" t="s">
        <v>98</v>
      </c>
      <c r="C498" s="6" t="n">
        <f aca="false">Sens!C495</f>
        <v>22.5333845916667</v>
      </c>
      <c r="D498" s="6" t="n">
        <f aca="false">Sens!D495</f>
        <v>34.0300093833333</v>
      </c>
      <c r="E498" s="6" t="n">
        <f aca="false">Sens!E495</f>
        <v>67.600153775</v>
      </c>
      <c r="F498" s="6" t="n">
        <f aca="false">Sens!F495</f>
        <v>130.923271871467</v>
      </c>
      <c r="G498" s="6" t="n">
        <f aca="false">Sens!G495</f>
        <v>151.5545564832</v>
      </c>
      <c r="H498" s="6" t="n">
        <f aca="false">Sens!H495</f>
        <v>156.0606619104</v>
      </c>
      <c r="I498" s="6" t="n">
        <f aca="false">Sens!I495</f>
        <v>140.987889434245</v>
      </c>
      <c r="J498" s="6" t="n">
        <f aca="false">Sens!J495</f>
        <v>113.309125559842</v>
      </c>
      <c r="K498" s="6" t="n">
        <f aca="false">Sens!K495</f>
        <v>116.192591420959</v>
      </c>
    </row>
    <row r="499" customFormat="false" ht="17.15" hidden="false" customHeight="false" outlineLevel="0" collapsed="false">
      <c r="A499" s="0" t="s">
        <v>850</v>
      </c>
      <c r="B499" s="0" t="s">
        <v>98</v>
      </c>
      <c r="C499" s="6" t="n">
        <f aca="false">Sens!C498+Sens!C496</f>
        <v>28.7416845916667</v>
      </c>
      <c r="D499" s="6" t="n">
        <f aca="false">Sens!D498+Sens!D496</f>
        <v>43.4058093833333</v>
      </c>
      <c r="E499" s="6" t="n">
        <f aca="false">Sens!E498+Sens!E496</f>
        <v>86.225053775</v>
      </c>
      <c r="F499" s="6" t="n">
        <f aca="false">Sens!F498+Sens!F496</f>
        <v>160.332875871467</v>
      </c>
      <c r="G499" s="6" t="n">
        <f aca="false">Sens!G498+Sens!G496</f>
        <v>183.5741804832</v>
      </c>
      <c r="H499" s="6" t="n">
        <f aca="false">Sens!H498+Sens!H496</f>
        <v>188.0802859104</v>
      </c>
      <c r="I499" s="6" t="n">
        <f aca="false">Sens!I498+Sens!I496</f>
        <v>163.706669154245</v>
      </c>
      <c r="J499" s="6" t="n">
        <f aca="false">Sens!J498+Sens!J496</f>
        <v>127.181436594242</v>
      </c>
      <c r="K499" s="6" t="n">
        <f aca="false">Sens!K498+Sens!K496</f>
        <v>121.407415303591</v>
      </c>
      <c r="L499" s="11" t="s">
        <v>851</v>
      </c>
    </row>
    <row r="500" customFormat="false" ht="17.15" hidden="false" customHeight="false" outlineLevel="0" collapsed="false">
      <c r="A500" s="0" t="s">
        <v>852</v>
      </c>
      <c r="B500" s="0" t="s">
        <v>98</v>
      </c>
      <c r="E500" s="6" t="n">
        <f aca="false">(Sens!C498*IF(2&lt;life_it,1,IF(2=life_it,0.5,0))+Sens!D498*IF(1&lt;life_it,1,IF(1=life_it,0.5,0))+Sens!E498*0.5)/life_it</f>
        <v>15.0605784770833</v>
      </c>
      <c r="F500" s="6" t="n">
        <f aca="false">(Sens!C498*IF(3&lt;life_it,1,IF(3=life_it,0.5,0))+Sens!D498*IF(2&lt;life_it,1,IF(2=life_it,0.5,0))+Sens!E498*IF(1&lt;life_it,1,IF(1=life_it,0.5,0))+Sens!F498*0.5)/life_it</f>
        <v>31.6041972809556</v>
      </c>
      <c r="G500" s="6" t="n">
        <f aca="false">(Sens!C498*IF(4&lt;life_it,1,IF(4=life_it,0.5,0))+Sens!D498*IF(3&lt;life_it,1,IF(3=life_it,0.5,0))+Sens!E498*IF(2&lt;life_it,1,IF(2=life_it,0.5,0))+Sens!F498*IF(1&lt;life_it,1,IF(1=life_it,0.5,0))+Sens!G498*0.5)/life_it</f>
        <v>55.1440163105111</v>
      </c>
      <c r="H500" s="6" t="n">
        <f aca="false">(Sens!C498*IF(5&lt;life_it,1,IF(5=life_it,0.5,0))+Sens!D498*IF(4&lt;life_it,1,IF(4=life_it,0.5,0))+Sens!E498*IF(3&lt;life_it,1,IF(3=life_it,0.5,0))+Sens!F498*IF(2&lt;life_it,1,IF(2=life_it,0.5,0))+Sens!G498*IF(1&lt;life_it,1,IF(1=life_it,0.5,0))+Sens!H498*0.5)/life_it</f>
        <v>80.7786178433111</v>
      </c>
      <c r="I500" s="6" t="n">
        <f aca="false">(Sens!C498*IF(6&lt;life_it,1,IF(6=life_it,0.5,0))+Sens!D498*IF(5&lt;life_it,1,IF(5=life_it,0.5,0))+Sens!E498*IF(4&lt;life_it,1,IF(4=life_it,0.5,0))+Sens!F498*IF(3&lt;life_it,1,IF(3=life_it,0.5,0))+Sens!G498*IF(2&lt;life_it,1,IF(2=life_it,0.5,0))+Sens!H498*IF(1&lt;life_it,1,IF(1=life_it,0.5,0))+Sens!I498*0.5)/life_it</f>
        <v>103.654881739393</v>
      </c>
      <c r="J500" s="6" t="n">
        <f aca="false">(Sens!C498*IF(7&lt;life_it,1,IF(7=life_it,0.5,0))+Sens!D498*IF(6&lt;life_it,1,IF(6=life_it,0.5,0))+Sens!E498*IF(5&lt;life_it,1,IF(5=life_it,0.5,0))+Sens!F498*IF(4&lt;life_it,1,IF(4=life_it,0.5,0))+Sens!G498*IF(3&lt;life_it,1,IF(3=life_it,0.5,0))+Sens!H498*IF(2&lt;life_it,1,IF(2=life_it,0.5,0))+Sens!I498*IF(1&lt;life_it,1,IF(1=life_it,0.5,0))+Sens!J498*0.5)/life_it</f>
        <v>120.132683490983</v>
      </c>
      <c r="K500" s="6" t="n">
        <f aca="false">(Sens!C498*IF(8&lt;life_it,1,IF(8=life_it,0.5,0))+Sens!D498*IF(7&lt;life_it,1,IF(7=life_it,0.5,0))+Sens!E498*IF(6&lt;life_it,1,IF(6=life_it,0.5,0))+Sens!F498*IF(5&lt;life_it,1,IF(5=life_it,0.5,0))+Sens!G498*IF(4&lt;life_it,1,IF(4=life_it,0.5,0))+Sens!H498*IF(3&lt;life_it,1,IF(3=life_it,0.5,0))+Sens!I498*IF(2&lt;life_it,1,IF(2=life_it,0.5,0))+Sens!J498*IF(1&lt;life_it,1,IF(1=life_it,0.5,0))+Sens!K498*0.5)/life_it</f>
        <v>130.788646309522</v>
      </c>
    </row>
    <row r="501" customFormat="false" ht="17.15" hidden="false" customHeight="false" outlineLevel="0" collapsed="false">
      <c r="A501" s="0" t="s">
        <v>853</v>
      </c>
      <c r="B501" s="0" t="s">
        <v>98</v>
      </c>
      <c r="E501" s="6" t="n">
        <f aca="false">(Sens!C496*IF(2&lt;life_fac,1,IF(2=life_fac,0.5,0))+Sens!D496*IF(1&lt;life_fac,1,IF(1=life_fac,0.5,0))+Sens!E496*0.5)/life_fac</f>
        <v>1.2448275</v>
      </c>
      <c r="F501" s="6" t="n">
        <f aca="false">(Sens!C496*IF(3&lt;life_fac,1,IF(3=life_fac,0.5,0))+Sens!D496*IF(2&lt;life_fac,1,IF(2=life_fac,0.5,0))+Sens!E496*IF(1&lt;life_fac,1,IF(1=life_fac,0.5,0))+Sens!F496*0.5)/life_fac</f>
        <v>2.4456901</v>
      </c>
      <c r="G501" s="6" t="n">
        <f aca="false">(Sens!C496*IF(4&lt;life_fac,1,IF(4=life_fac,0.5,0))+Sens!D496*IF(3&lt;life_fac,1,IF(3=life_fac,0.5,0))+Sens!E496*IF(2&lt;life_fac,1,IF(2=life_fac,0.5,0))+Sens!F496*IF(1&lt;life_fac,1,IF(1=life_fac,0.5,0))+Sens!G496*0.5)/life_fac</f>
        <v>3.9814208</v>
      </c>
      <c r="H501" s="6" t="n">
        <f aca="false">(Sens!C496*IF(5&lt;life_fac,1,IF(5=life_fac,0.5,0))+Sens!D496*IF(4&lt;life_fac,1,IF(4=life_fac,0.5,0))+Sens!E496*IF(3&lt;life_fac,1,IF(3=life_fac,0.5,0))+Sens!F496*IF(2&lt;life_fac,1,IF(2=life_fac,0.5,0))+Sens!G496*IF(1&lt;life_fac,1,IF(1=life_fac,0.5,0))+Sens!H496*0.5)/life_fac</f>
        <v>5.582402</v>
      </c>
      <c r="I501" s="6" t="n">
        <f aca="false">(Sens!C496*IF(6&lt;life_fac,1,IF(6=life_fac,0.5,0))+Sens!D496*IF(5&lt;life_fac,1,IF(5=life_fac,0.5,0))+Sens!E496*IF(4&lt;life_fac,1,IF(4=life_fac,0.5,0))+Sens!F496*IF(3&lt;life_fac,1,IF(3=life_fac,0.5,0))+Sens!G496*IF(2&lt;life_fac,1,IF(2=life_fac,0.5,0))+Sens!H496*IF(1&lt;life_fac,1,IF(1=life_fac,0.5,0))+Sens!I496*0.5)/life_fac</f>
        <v>6.950862093</v>
      </c>
      <c r="J501" s="6" t="n">
        <f aca="false">(Sens!C496*IF(7&lt;life_fac,1,IF(7=life_fac,0.5,0))+Sens!D496*IF(6&lt;life_fac,1,IF(6=life_fac,0.5,0))+Sens!E496*IF(5&lt;life_fac,1,IF(5=life_fac,0.5,0))+Sens!F496*IF(4&lt;life_fac,1,IF(4=life_fac,0.5,0))+Sens!G496*IF(3&lt;life_fac,1,IF(3=life_fac,0.5,0))+Sens!H496*IF(2&lt;life_fac,1,IF(2=life_fac,0.5,0))+Sens!I496*IF(1&lt;life_fac,1,IF(1=life_fac,0.5,0))+Sens!J496*0.5)/life_fac</f>
        <v>7.86563936186</v>
      </c>
      <c r="K501" s="6" t="n">
        <f aca="false">(Sens!C496*IF(8&lt;life_fac,1,IF(8=life_fac,0.5,0))+Sens!D496*IF(7&lt;life_fac,1,IF(7=life_fac,0.5,0))+Sens!E496*IF(6&lt;life_fac,1,IF(6=life_fac,0.5,0))+Sens!F496*IF(5&lt;life_fac,1,IF(5=life_fac,0.5,0))+Sens!G496*IF(4&lt;life_fac,1,IF(4=life_fac,0.5,0))+Sens!H496*IF(3&lt;life_fac,1,IF(3=life_fac,0.5,0))+Sens!I496*IF(2&lt;life_fac,1,IF(2=life_fac,0.5,0))+Sens!J496*IF(1&lt;life_fac,1,IF(1=life_fac,0.5,0))+Sens!K496*0.5)/life_fac</f>
        <v>8.3428177347858</v>
      </c>
    </row>
    <row r="502" customFormat="false" ht="17.15" hidden="false" customHeight="false" outlineLevel="0" collapsed="false">
      <c r="A502" s="0" t="s">
        <v>854</v>
      </c>
      <c r="B502" s="0" t="s">
        <v>98</v>
      </c>
      <c r="E502" s="6" t="n">
        <f aca="false">Sens!E500+Sens!E501</f>
        <v>16.3054059770833</v>
      </c>
      <c r="F502" s="6" t="n">
        <f aca="false">Sens!F500+Sens!F501</f>
        <v>34.0498873809555</v>
      </c>
      <c r="G502" s="6" t="n">
        <f aca="false">Sens!G500+Sens!G501</f>
        <v>59.1254371105111</v>
      </c>
      <c r="H502" s="6" t="n">
        <f aca="false">Sens!H500+Sens!H501</f>
        <v>86.3610198433111</v>
      </c>
      <c r="I502" s="6" t="n">
        <f aca="false">Sens!I500+Sens!I501</f>
        <v>110.605743832393</v>
      </c>
      <c r="J502" s="6" t="n">
        <f aca="false">Sens!J500+Sens!J501</f>
        <v>127.998322852843</v>
      </c>
      <c r="K502" s="6" t="n">
        <f aca="false">Sens!K500+Sens!K501</f>
        <v>139.131464044308</v>
      </c>
    </row>
    <row r="503" customFormat="false" ht="17.15" hidden="false" customHeight="false" outlineLevel="0" collapsed="false">
      <c r="A503" s="0" t="s">
        <v>855</v>
      </c>
      <c r="B503" s="0" t="s">
        <v>98</v>
      </c>
      <c r="E503" s="6" t="n">
        <f aca="false">Sens!E491-Sens!E490*Sens!E502</f>
        <v>8.92707889977379</v>
      </c>
      <c r="F503" s="6" t="n">
        <f aca="false">Sens!F491-Sens!F490*Sens!F502</f>
        <v>14.6274131339686</v>
      </c>
      <c r="G503" s="6" t="n">
        <f aca="false">Sens!G491-Sens!G490*Sens!G502</f>
        <v>16.7752349049804</v>
      </c>
      <c r="H503" s="6" t="n">
        <f aca="false">Sens!H491-Sens!H490*Sens!H502</f>
        <v>13.4630579450404</v>
      </c>
      <c r="I503" s="6" t="n">
        <f aca="false">Sens!I491-Sens!I490*Sens!I502</f>
        <v>16.9068533370192</v>
      </c>
      <c r="J503" s="6" t="n">
        <f aca="false">Sens!J491-Sens!J490*Sens!J502</f>
        <v>19.3011433836036</v>
      </c>
      <c r="K503" s="6" t="n">
        <f aca="false">Sens!K491-Sens!K490*Sens!K502</f>
        <v>21.3550700932312</v>
      </c>
    </row>
    <row r="504" customFormat="false" ht="17.15" hidden="false" customHeight="false" outlineLevel="0" collapsed="false">
      <c r="A504" s="3" t="s">
        <v>1273</v>
      </c>
    </row>
    <row r="505" customFormat="false" ht="15" hidden="false" customHeight="false" outlineLevel="0" collapsed="false">
      <c r="A505" s="4" t="s">
        <v>43</v>
      </c>
      <c r="B505" s="4" t="s">
        <v>65</v>
      </c>
      <c r="C505" s="20" t="s">
        <v>799</v>
      </c>
      <c r="D505" s="20" t="s">
        <v>800</v>
      </c>
      <c r="E505" s="20" t="s">
        <v>801</v>
      </c>
      <c r="F505" s="20" t="s">
        <v>802</v>
      </c>
      <c r="G505" s="20" t="s">
        <v>803</v>
      </c>
      <c r="H505" s="20" t="s">
        <v>804</v>
      </c>
      <c r="I505" s="20" t="s">
        <v>805</v>
      </c>
      <c r="J505" s="20" t="s">
        <v>806</v>
      </c>
      <c r="K505" s="20" t="s">
        <v>807</v>
      </c>
      <c r="L505" s="4" t="s">
        <v>47</v>
      </c>
    </row>
    <row r="506" customFormat="false" ht="17.15" hidden="false" customHeight="false" outlineLevel="0" collapsed="false">
      <c r="A506" s="0" t="s">
        <v>874</v>
      </c>
      <c r="B506" s="0" t="s">
        <v>98</v>
      </c>
      <c r="D506" s="6" t="n">
        <f aca="false">Sens!D485</f>
        <v>12.9359794422418</v>
      </c>
      <c r="E506" s="6" t="n">
        <f aca="false">Sens!E485</f>
        <v>27.8095064661409</v>
      </c>
      <c r="F506" s="6" t="n">
        <f aca="false">Sens!F485</f>
        <v>50.6619113883066</v>
      </c>
      <c r="G506" s="6" t="n">
        <f aca="false">Sens!G485</f>
        <v>75.1482839325348</v>
      </c>
      <c r="H506" s="6" t="n">
        <f aca="false">Sens!H485</f>
        <v>94.895655604042</v>
      </c>
      <c r="I506" s="6" t="n">
        <f aca="false">Sens!I485</f>
        <v>118.706168884151</v>
      </c>
      <c r="J506" s="6" t="n">
        <f aca="false">Sens!J485</f>
        <v>135.50643871102</v>
      </c>
      <c r="K506" s="6" t="n">
        <f aca="false">Sens!K485</f>
        <v>146.509068150048</v>
      </c>
    </row>
    <row r="507" customFormat="false" ht="17.15" hidden="false" customHeight="false" outlineLevel="0" collapsed="false">
      <c r="A507" s="0" t="s">
        <v>875</v>
      </c>
      <c r="B507" s="0" t="s">
        <v>98</v>
      </c>
      <c r="D507" s="6" t="n">
        <f aca="false">Q!L6-Sens!D506</f>
        <v>59.6740205577583</v>
      </c>
      <c r="E507" s="6" t="n">
        <f aca="false">Q!M6-Sens!E506</f>
        <v>74.1284935338591</v>
      </c>
      <c r="F507" s="6" t="n">
        <f aca="false">Sens!E507*(1+Sens!F508)</f>
        <v>90.0799497373663</v>
      </c>
      <c r="G507" s="6" t="n">
        <f aca="false">Sens!F507*(1+Sens!G508)</f>
        <v>107.02842520331</v>
      </c>
      <c r="H507" s="6" t="n">
        <f aca="false">Sens!G507*(1+Sens!H508)</f>
        <v>124.271982585636</v>
      </c>
      <c r="I507" s="6" t="n">
        <f aca="false">Sens!H507*(1+Sens!I508)</f>
        <v>140.933702381855</v>
      </c>
      <c r="J507" s="6" t="n">
        <f aca="false">Sens!I507*(1+Sens!J508)</f>
        <v>156.018867314332</v>
      </c>
      <c r="K507" s="6" t="n">
        <f aca="false">Sens!J507*(1+Sens!K508)</f>
        <v>168.500376699478</v>
      </c>
    </row>
    <row r="508" customFormat="false" ht="15" hidden="false" customHeight="false" outlineLevel="0" collapsed="false">
      <c r="A508" s="1" t="s">
        <v>876</v>
      </c>
      <c r="B508" s="0" t="s">
        <v>129</v>
      </c>
      <c r="E508" s="7" t="n">
        <f aca="false">Sens!E507/Sens!D507-1</f>
        <v>0.242223883039864</v>
      </c>
      <c r="F508" s="7" t="n">
        <f aca="false">Sens!$E$508+(glt_azo-Sens!$E$508)*MIN(1,(Sens!F468-base_fy)/n_conv)</f>
        <v>0.215186569199887</v>
      </c>
      <c r="G508" s="7" t="n">
        <f aca="false">Sens!$E$508+(glt_azo-Sens!$E$508)*MIN(1,(Sens!G468-base_fy)/n_conv)</f>
        <v>0.18814925535991</v>
      </c>
      <c r="H508" s="7" t="n">
        <f aca="false">Sens!$E$508+(glt_azo-Sens!$E$508)*MIN(1,(Sens!H468-base_fy)/n_conv)</f>
        <v>0.161111941519932</v>
      </c>
      <c r="I508" s="7" t="n">
        <f aca="false">Sens!$E$508+(glt_azo-Sens!$E$508)*MIN(1,(Sens!I468-base_fy)/n_conv)</f>
        <v>0.134074627679955</v>
      </c>
      <c r="J508" s="7" t="n">
        <f aca="false">Sens!$E$508+(glt_azo-Sens!$E$508)*MIN(1,(Sens!J468-base_fy)/n_conv)</f>
        <v>0.107037313839977</v>
      </c>
      <c r="K508" s="7" t="n">
        <f aca="false">Sens!$E$508+(glt_azo-Sens!$E$508)*MIN(1,(Sens!K468-base_fy)/n_conv)</f>
        <v>0.08</v>
      </c>
    </row>
    <row r="509" customFormat="false" ht="15" hidden="false" customHeight="false" outlineLevel="0" collapsed="false">
      <c r="A509" s="0" t="s">
        <v>877</v>
      </c>
      <c r="B509" s="0" t="s">
        <v>98</v>
      </c>
      <c r="D509" s="6" t="n">
        <f aca="false">Sens!D506+Sens!D507</f>
        <v>72.61</v>
      </c>
      <c r="E509" s="6" t="n">
        <f aca="false">Sens!E506+Sens!E507</f>
        <v>101.938</v>
      </c>
      <c r="F509" s="6" t="n">
        <f aca="false">Sens!F506+Sens!F507</f>
        <v>140.741861125673</v>
      </c>
      <c r="G509" s="6" t="n">
        <f aca="false">Sens!G506+Sens!G507</f>
        <v>182.176709135845</v>
      </c>
      <c r="H509" s="6" t="n">
        <f aca="false">Sens!H506+Sens!H507</f>
        <v>219.167638189678</v>
      </c>
      <c r="I509" s="6" t="n">
        <f aca="false">Sens!I506+Sens!I507</f>
        <v>259.639871266006</v>
      </c>
      <c r="J509" s="6" t="n">
        <f aca="false">Sens!J506+Sens!J507</f>
        <v>291.525306025352</v>
      </c>
      <c r="K509" s="6" t="n">
        <f aca="false">Sens!K506+Sens!K507</f>
        <v>315.009444849526</v>
      </c>
    </row>
    <row r="510" customFormat="false" ht="17.15" hidden="false" customHeight="false" outlineLevel="0" collapsed="false">
      <c r="A510" s="0" t="s">
        <v>878</v>
      </c>
      <c r="B510" s="1" t="s">
        <v>528</v>
      </c>
      <c r="C510" s="29" t="n">
        <f aca="false">cop_s24</f>
        <v>1</v>
      </c>
      <c r="D510" s="29" t="n">
        <f aca="false">cop_s25</f>
        <v>5</v>
      </c>
      <c r="E510" s="29" t="n">
        <f aca="false">cop_s26</f>
        <v>30</v>
      </c>
      <c r="F510" s="29" t="n">
        <f aca="false">Sens!E510+cop_add_C</f>
        <v>40</v>
      </c>
      <c r="G510" s="29" t="n">
        <f aca="false">Sens!F510+cop_add_C</f>
        <v>50</v>
      </c>
      <c r="H510" s="29" t="n">
        <f aca="false">Sens!G510+cop_add_C</f>
        <v>60</v>
      </c>
      <c r="I510" s="29" t="n">
        <f aca="false">Sens!H510+cop_add_C*cop_tail</f>
        <v>65</v>
      </c>
      <c r="J510" s="29" t="n">
        <f aca="false">Sens!I510+cop_add_C*cop_tail</f>
        <v>70</v>
      </c>
      <c r="K510" s="29" t="n">
        <f aca="false">Sens!J510+cop_add_C*cop_tail</f>
        <v>75</v>
      </c>
      <c r="L510" s="11" t="s">
        <v>879</v>
      </c>
    </row>
    <row r="511" customFormat="false" ht="17.15" hidden="false" customHeight="false" outlineLevel="0" collapsed="false">
      <c r="A511" s="0" t="s">
        <v>880</v>
      </c>
      <c r="B511" s="0" t="s">
        <v>98</v>
      </c>
      <c r="D511" s="6" t="n">
        <f aca="false">(Sens!C510+Sens!D510)/2*cop_px*12/1000</f>
        <v>0.9</v>
      </c>
      <c r="E511" s="6" t="n">
        <f aca="false">(Sens!D510+Sens!E510)/2*cop_px*12/1000</f>
        <v>5.25</v>
      </c>
      <c r="F511" s="6" t="n">
        <f aca="false">(Sens!E510+Sens!F510)/2*cop_px*12/1000</f>
        <v>10.5</v>
      </c>
      <c r="G511" s="6" t="n">
        <f aca="false">(Sens!F510+Sens!G510)/2*cop_px*12/1000</f>
        <v>13.5</v>
      </c>
      <c r="H511" s="6" t="n">
        <f aca="false">(Sens!G510+Sens!H510)/2*cop_px*12/1000</f>
        <v>16.5</v>
      </c>
      <c r="I511" s="6" t="n">
        <f aca="false">(Sens!H510+Sens!I510)/2*cop_px*12/1000</f>
        <v>18.75</v>
      </c>
      <c r="J511" s="6" t="n">
        <f aca="false">(Sens!I510+Sens!J510)/2*cop_px*12/1000</f>
        <v>20.25</v>
      </c>
      <c r="K511" s="6" t="n">
        <f aca="false">(Sens!J510+Sens!K510)/2*cop_px*12/1000</f>
        <v>21.75</v>
      </c>
      <c r="L511" s="1" t="s">
        <v>881</v>
      </c>
    </row>
    <row r="512" customFormat="false" ht="17.15" hidden="false" customHeight="false" outlineLevel="0" collapsed="false">
      <c r="A512" s="0" t="s">
        <v>882</v>
      </c>
      <c r="B512" s="0" t="s">
        <v>98</v>
      </c>
      <c r="D512" s="6" t="n">
        <f aca="false">Q!L7-Sens!D511</f>
        <v>83.705</v>
      </c>
      <c r="E512" s="6" t="n">
        <f aca="false">Q!M7-Sens!E511</f>
        <v>95.049</v>
      </c>
      <c r="F512" s="6" t="n">
        <f aca="false">Sens!E512*(1+Sens!F513)</f>
        <v>106.89238776686</v>
      </c>
      <c r="G512" s="6" t="n">
        <f aca="false">Sens!F512*(1+Sens!G513)</f>
        <v>119.044168448684</v>
      </c>
      <c r="H512" s="6" t="n">
        <f aca="false">Sens!G512*(1+Sens!H513)</f>
        <v>131.277359388781</v>
      </c>
      <c r="I512" s="6" t="n">
        <f aca="false">Sens!H512*(1+Sens!I513)</f>
        <v>143.334028071957</v>
      </c>
      <c r="J512" s="6" t="n">
        <f aca="false">Sens!I512*(1+Sens!J513)</f>
        <v>154.932702785465</v>
      </c>
      <c r="K512" s="6" t="n">
        <f aca="false">Sens!J512*(1+Sens!K513)</f>
        <v>165.777991980448</v>
      </c>
    </row>
    <row r="513" customFormat="false" ht="15" hidden="false" customHeight="false" outlineLevel="0" collapsed="false">
      <c r="A513" s="1" t="s">
        <v>876</v>
      </c>
      <c r="B513" s="0" t="s">
        <v>129</v>
      </c>
      <c r="E513" s="7" t="n">
        <f aca="false">Sens!E512/Sens!D512-1</f>
        <v>0.135523564900544</v>
      </c>
      <c r="F513" s="7" t="n">
        <f aca="false">Sens!$E$513+(glt_m365b-Sens!$E$513)*MIN(1,(Sens!F468-base_fy)/n_conv)</f>
        <v>0.124602970750453</v>
      </c>
      <c r="G513" s="7" t="n">
        <f aca="false">Sens!$E$513+(glt_m365b-Sens!$E$513)*MIN(1,(Sens!G468-base_fy)/n_conv)</f>
        <v>0.113682376600363</v>
      </c>
      <c r="H513" s="7" t="n">
        <f aca="false">Sens!$E$513+(glt_m365b-Sens!$E$513)*MIN(1,(Sens!H468-base_fy)/n_conv)</f>
        <v>0.102761782450272</v>
      </c>
      <c r="I513" s="7" t="n">
        <f aca="false">Sens!$E$513+(glt_m365b-Sens!$E$513)*MIN(1,(Sens!I468-base_fy)/n_conv)</f>
        <v>0.0918411883001813</v>
      </c>
      <c r="J513" s="7" t="n">
        <f aca="false">Sens!$E$513+(glt_m365b-Sens!$E$513)*MIN(1,(Sens!J468-base_fy)/n_conv)</f>
        <v>0.0809205941500906</v>
      </c>
      <c r="K513" s="7" t="n">
        <f aca="false">Sens!$E$513+(glt_m365b-Sens!$E$513)*MIN(1,(Sens!K468-base_fy)/n_conv)</f>
        <v>0.07</v>
      </c>
    </row>
    <row r="514" customFormat="false" ht="15" hidden="false" customHeight="false" outlineLevel="0" collapsed="false">
      <c r="A514" s="0" t="s">
        <v>883</v>
      </c>
      <c r="B514" s="0" t="s">
        <v>98</v>
      </c>
      <c r="D514" s="6" t="n">
        <f aca="false">Sens!D512+Sens!D511</f>
        <v>84.605</v>
      </c>
      <c r="E514" s="6" t="n">
        <f aca="false">Sens!E512+Sens!E511</f>
        <v>100.299</v>
      </c>
      <c r="F514" s="6" t="n">
        <f aca="false">Sens!F512+Sens!F511</f>
        <v>117.39238776686</v>
      </c>
      <c r="G514" s="6" t="n">
        <f aca="false">Sens!G512+Sens!G511</f>
        <v>132.544168448684</v>
      </c>
      <c r="H514" s="6" t="n">
        <f aca="false">Sens!H512+Sens!H511</f>
        <v>147.777359388781</v>
      </c>
      <c r="I514" s="6" t="n">
        <f aca="false">Sens!I512+Sens!I511</f>
        <v>162.084028071957</v>
      </c>
      <c r="J514" s="6" t="n">
        <f aca="false">Sens!J512+Sens!J511</f>
        <v>175.182702785465</v>
      </c>
      <c r="K514" s="6" t="n">
        <f aca="false">Sens!K512+Sens!K511</f>
        <v>187.527991980448</v>
      </c>
    </row>
    <row r="515" customFormat="false" ht="15" hidden="false" customHeight="false" outlineLevel="0" collapsed="false">
      <c r="A515" s="0" t="s">
        <v>884</v>
      </c>
      <c r="B515" s="0" t="s">
        <v>98</v>
      </c>
      <c r="D515" s="6" t="n">
        <f aca="false">Q!L8</f>
        <v>35.391</v>
      </c>
      <c r="E515" s="6" t="n">
        <f aca="false">Q!M8</f>
        <v>37.285</v>
      </c>
      <c r="F515" s="6" t="n">
        <f aca="false">Sens!E515*(1+Sens!F516)</f>
        <v>39.0720834331704</v>
      </c>
      <c r="G515" s="6" t="n">
        <f aca="false">Sens!F515*(1+Sens!G516)</f>
        <v>40.726562953769</v>
      </c>
      <c r="H515" s="6" t="n">
        <f aca="false">Sens!G515*(1+Sens!H516)</f>
        <v>42.2235987259198</v>
      </c>
      <c r="I515" s="6" t="n">
        <f aca="false">Sens!H515*(1+Sens!I516)</f>
        <v>43.5397988077414</v>
      </c>
      <c r="J515" s="6" t="n">
        <f aca="false">Sens!I515*(1+Sens!J516)</f>
        <v>44.653811225693</v>
      </c>
      <c r="K515" s="6" t="n">
        <f aca="false">Sens!J515*(1+Sens!K516)</f>
        <v>45.5468874502068</v>
      </c>
    </row>
    <row r="516" customFormat="false" ht="15" hidden="false" customHeight="false" outlineLevel="0" collapsed="false">
      <c r="A516" s="1" t="s">
        <v>876</v>
      </c>
      <c r="B516" s="0" t="s">
        <v>129</v>
      </c>
      <c r="E516" s="7" t="n">
        <f aca="false">Sens!E515/Sens!D515-1</f>
        <v>0.0535164307309768</v>
      </c>
      <c r="F516" s="7" t="n">
        <f aca="false">Sens!$E$516+(glt_lic-Sens!$E$516)*MIN(1,(Sens!F468-base_fy)/n_conv)</f>
        <v>0.0479303589424807</v>
      </c>
      <c r="G516" s="7" t="n">
        <f aca="false">Sens!$E$516+(glt_lic-Sens!$E$516)*MIN(1,(Sens!G468-base_fy)/n_conv)</f>
        <v>0.0423442871539845</v>
      </c>
      <c r="H516" s="7" t="n">
        <f aca="false">Sens!$E$516+(glt_lic-Sens!$E$516)*MIN(1,(Sens!H468-base_fy)/n_conv)</f>
        <v>0.0367582153654884</v>
      </c>
      <c r="I516" s="7" t="n">
        <f aca="false">Sens!$E$516+(glt_lic-Sens!$E$516)*MIN(1,(Sens!I468-base_fy)/n_conv)</f>
        <v>0.0311721435769923</v>
      </c>
      <c r="J516" s="7" t="n">
        <f aca="false">Sens!$E$516+(glt_lic-Sens!$E$516)*MIN(1,(Sens!J468-base_fy)/n_conv)</f>
        <v>0.0255860717884961</v>
      </c>
      <c r="K516" s="7" t="n">
        <f aca="false">Sens!$E$516+(glt_lic-Sens!$E$516)*MIN(1,(Sens!K468-base_fy)/n_conv)</f>
        <v>0.02</v>
      </c>
    </row>
    <row r="517" customFormat="false" ht="15" hidden="false" customHeight="false" outlineLevel="0" collapsed="false">
      <c r="A517" s="0" t="s">
        <v>885</v>
      </c>
      <c r="B517" s="0" t="s">
        <v>98</v>
      </c>
      <c r="D517" s="6" t="n">
        <f aca="false">Q!L9</f>
        <v>18.417</v>
      </c>
      <c r="E517" s="6" t="n">
        <f aca="false">Q!M9</f>
        <v>20.345</v>
      </c>
      <c r="F517" s="6" t="n">
        <f aca="false">Sens!E517*(1+Sens!F518)</f>
        <v>22.3572203267814</v>
      </c>
      <c r="G517" s="6" t="n">
        <f aca="false">Sens!F517*(1+Sens!G518)</f>
        <v>24.4392124437232</v>
      </c>
      <c r="H517" s="6" t="n">
        <f aca="false">Sens!G517*(1+Sens!H518)</f>
        <v>26.5738052080665</v>
      </c>
      <c r="I517" s="6" t="n">
        <f aca="false">Sens!H517*(1+Sens!I518)</f>
        <v>28.7412169166967</v>
      </c>
      <c r="J517" s="6" t="n">
        <f aca="false">Sens!I517*(1+Sens!J518)</f>
        <v>30.9192545395413</v>
      </c>
      <c r="K517" s="6" t="n">
        <f aca="false">Sens!J517*(1+Sens!K518)</f>
        <v>33.0836023573092</v>
      </c>
    </row>
    <row r="518" customFormat="false" ht="15" hidden="false" customHeight="false" outlineLevel="0" collapsed="false">
      <c r="A518" s="1" t="s">
        <v>876</v>
      </c>
      <c r="B518" s="0" t="s">
        <v>129</v>
      </c>
      <c r="E518" s="7" t="n">
        <f aca="false">Sens!E517/Sens!D517-1</f>
        <v>0.104685888038225</v>
      </c>
      <c r="F518" s="7" t="n">
        <f aca="false">Sens!$E$518+(glt_ind-Sens!$E$518)*MIN(1,(Sens!F468-base_fy)/n_conv)</f>
        <v>0.0989049066985211</v>
      </c>
      <c r="G518" s="7" t="n">
        <f aca="false">Sens!$E$518+(glt_ind-Sens!$E$518)*MIN(1,(Sens!G468-base_fy)/n_conv)</f>
        <v>0.0931239253588169</v>
      </c>
      <c r="H518" s="7" t="n">
        <f aca="false">Sens!$E$518+(glt_ind-Sens!$E$518)*MIN(1,(Sens!H468-base_fy)/n_conv)</f>
        <v>0.0873429440191127</v>
      </c>
      <c r="I518" s="7" t="n">
        <f aca="false">Sens!$E$518+(glt_ind-Sens!$E$518)*MIN(1,(Sens!I468-base_fy)/n_conv)</f>
        <v>0.0815619626794085</v>
      </c>
      <c r="J518" s="7" t="n">
        <f aca="false">Sens!$E$518+(glt_ind-Sens!$E$518)*MIN(1,(Sens!J468-base_fy)/n_conv)</f>
        <v>0.0757809813397042</v>
      </c>
      <c r="K518" s="7" t="n">
        <f aca="false">Sens!$E$518+(glt_ind-Sens!$E$518)*MIN(1,(Sens!K468-base_fy)/n_conv)</f>
        <v>0.07</v>
      </c>
    </row>
    <row r="519" customFormat="false" ht="15" hidden="false" customHeight="false" outlineLevel="0" collapsed="false">
      <c r="A519" s="0" t="s">
        <v>886</v>
      </c>
      <c r="B519" s="0" t="s">
        <v>98</v>
      </c>
      <c r="D519" s="6" t="n">
        <f aca="false">Q!L10</f>
        <v>7.76</v>
      </c>
      <c r="E519" s="6" t="n">
        <f aca="false">Q!M10</f>
        <v>8.26</v>
      </c>
      <c r="F519" s="6" t="n">
        <f aca="false">Sens!E519*(1+Sens!F520)</f>
        <v>8.79988041237113</v>
      </c>
      <c r="G519" s="6" t="n">
        <f aca="false">Sens!F519*(1+Sens!G520)</f>
        <v>9.38321269125306</v>
      </c>
      <c r="H519" s="6" t="n">
        <f aca="false">Sens!G519*(1+Sens!H520)</f>
        <v>10.0139193587476</v>
      </c>
      <c r="I519" s="6" t="n">
        <f aca="false">Sens!H519*(1+Sens!I520)</f>
        <v>10.6963111830911</v>
      </c>
      <c r="J519" s="6" t="n">
        <f aca="false">Sens!I519*(1+Sens!J520)</f>
        <v>11.4351285534696</v>
      </c>
      <c r="K519" s="6" t="n">
        <f aca="false">Sens!J519*(1+Sens!K520)</f>
        <v>12.2355875522124</v>
      </c>
    </row>
    <row r="520" customFormat="false" ht="15" hidden="false" customHeight="false" outlineLevel="0" collapsed="false">
      <c r="A520" s="1" t="s">
        <v>876</v>
      </c>
      <c r="B520" s="0" t="s">
        <v>129</v>
      </c>
      <c r="E520" s="7" t="n">
        <f aca="false">Sens!E519/Sens!D519-1</f>
        <v>0.0644329896907216</v>
      </c>
      <c r="F520" s="7" t="n">
        <f aca="false">Sens!$E$520+(glt_fro-Sens!$E$520)*MIN(1,(Sens!F468-base_fy)/n_conv)</f>
        <v>0.065360824742268</v>
      </c>
      <c r="G520" s="7" t="n">
        <f aca="false">Sens!$E$520+(glt_fro-Sens!$E$520)*MIN(1,(Sens!G468-base_fy)/n_conv)</f>
        <v>0.0662886597938144</v>
      </c>
      <c r="H520" s="7" t="n">
        <f aca="false">Sens!$E$520+(glt_fro-Sens!$E$520)*MIN(1,(Sens!H468-base_fy)/n_conv)</f>
        <v>0.0672164948453608</v>
      </c>
      <c r="I520" s="7" t="n">
        <f aca="false">Sens!$E$520+(glt_fro-Sens!$E$520)*MIN(1,(Sens!I468-base_fy)/n_conv)</f>
        <v>0.0681443298969072</v>
      </c>
      <c r="J520" s="7" t="n">
        <f aca="false">Sens!$E$520+(glt_fro-Sens!$E$520)*MIN(1,(Sens!J468-base_fy)/n_conv)</f>
        <v>0.0690721649484536</v>
      </c>
      <c r="K520" s="7" t="n">
        <f aca="false">Sens!$E$520+(glt_fro-Sens!$E$520)*MIN(1,(Sens!K468-base_fy)/n_conv)</f>
        <v>0.07</v>
      </c>
    </row>
    <row r="521" customFormat="false" ht="15" hidden="false" customHeight="false" outlineLevel="0" collapsed="false">
      <c r="A521" s="0" t="s">
        <v>715</v>
      </c>
      <c r="B521" s="0" t="s">
        <v>98</v>
      </c>
      <c r="D521" s="6" t="n">
        <f aca="false">Sens!D509+Sens!D514+Sens!D515+Sens!D517+Sens!D519</f>
        <v>218.783</v>
      </c>
      <c r="E521" s="6" t="n">
        <f aca="false">Sens!E509+Sens!E514+Sens!E515+Sens!E517+Sens!E519</f>
        <v>268.127</v>
      </c>
      <c r="F521" s="6" t="n">
        <f aca="false">Sens!F509+Sens!F514+Sens!F515+Sens!F517+Sens!F519</f>
        <v>328.363433064856</v>
      </c>
      <c r="G521" s="6" t="n">
        <f aca="false">Sens!G509+Sens!G514+Sens!G515+Sens!G517+Sens!G519</f>
        <v>389.269865673274</v>
      </c>
      <c r="H521" s="6" t="n">
        <f aca="false">Sens!H509+Sens!H514+Sens!H515+Sens!H517+Sens!H519</f>
        <v>445.756320871193</v>
      </c>
      <c r="I521" s="6" t="n">
        <f aca="false">Sens!I509+Sens!I514+Sens!I515+Sens!I517+Sens!I519</f>
        <v>504.701226245492</v>
      </c>
      <c r="J521" s="6" t="n">
        <f aca="false">Sens!J509+Sens!J514+Sens!J515+Sens!J517+Sens!J519</f>
        <v>553.716203129521</v>
      </c>
      <c r="K521" s="6" t="n">
        <f aca="false">Sens!K509+Sens!K514+Sens!K515+Sens!K517+Sens!K519</f>
        <v>593.403514189702</v>
      </c>
    </row>
    <row r="522" customFormat="false" ht="15" hidden="false" customHeight="false" outlineLevel="0" collapsed="false">
      <c r="A522" s="0" t="s">
        <v>887</v>
      </c>
      <c r="B522" s="0" t="s">
        <v>98</v>
      </c>
      <c r="D522" s="6" t="n">
        <f aca="false">Q!L13</f>
        <v>22.171</v>
      </c>
      <c r="E522" s="6" t="n">
        <f aca="false">Q!M13</f>
        <v>24.835</v>
      </c>
      <c r="F522" s="6" t="n">
        <f aca="false">Sens!E522*(1+Sens!F523)</f>
        <v>27.6114901218559</v>
      </c>
      <c r="G522" s="6" t="n">
        <f aca="false">Sens!F522*(1+Sens!G523)</f>
        <v>30.4675667338515</v>
      </c>
      <c r="H522" s="6" t="n">
        <f aca="false">Sens!G522*(1+Sens!H523)</f>
        <v>33.3643766955789</v>
      </c>
      <c r="I522" s="6" t="n">
        <f aca="false">Sens!H522*(1+Sens!I523)</f>
        <v>36.2577016533691</v>
      </c>
      <c r="J522" s="6" t="n">
        <f aca="false">Sens!I522*(1+Sens!J523)</f>
        <v>39.0988367952171</v>
      </c>
      <c r="K522" s="6" t="n">
        <f aca="false">Sens!J522*(1+Sens!K523)</f>
        <v>41.8357553708823</v>
      </c>
    </row>
    <row r="523" customFormat="false" ht="15" hidden="false" customHeight="false" outlineLevel="0" collapsed="false">
      <c r="A523" s="1" t="s">
        <v>876</v>
      </c>
      <c r="B523" s="0" t="s">
        <v>129</v>
      </c>
      <c r="E523" s="7" t="n">
        <f aca="false">Sens!E522/Sens!D522-1</f>
        <v>0.120156961796942</v>
      </c>
      <c r="F523" s="7" t="n">
        <f aca="false">Sens!$E$523+(glt_srch-Sens!$E$523)*MIN(1,(Sens!F468-base_fy)/n_conv)</f>
        <v>0.111797468164118</v>
      </c>
      <c r="G523" s="7" t="n">
        <f aca="false">Sens!$E$523+(glt_srch-Sens!$E$523)*MIN(1,(Sens!G468-base_fy)/n_conv)</f>
        <v>0.103437974531295</v>
      </c>
      <c r="H523" s="7" t="n">
        <f aca="false">Sens!$E$523+(glt_srch-Sens!$E$523)*MIN(1,(Sens!H468-base_fy)/n_conv)</f>
        <v>0.095078480898471</v>
      </c>
      <c r="I523" s="7" t="n">
        <f aca="false">Sens!$E$523+(glt_srch-Sens!$E$523)*MIN(1,(Sens!I468-base_fy)/n_conv)</f>
        <v>0.0867189872656474</v>
      </c>
      <c r="J523" s="7" t="n">
        <f aca="false">Sens!$E$523+(glt_srch-Sens!$E$523)*MIN(1,(Sens!J468-base_fy)/n_conv)</f>
        <v>0.0783594936328237</v>
      </c>
      <c r="K523" s="7" t="n">
        <f aca="false">Sens!$E$523+(glt_srch-Sens!$E$523)*MIN(1,(Sens!K468-base_fy)/n_conv)</f>
        <v>0.07</v>
      </c>
    </row>
    <row r="524" customFormat="false" ht="15" hidden="false" customHeight="false" outlineLevel="0" collapsed="false">
      <c r="A524" s="0" t="s">
        <v>888</v>
      </c>
      <c r="B524" s="0" t="s">
        <v>98</v>
      </c>
      <c r="D524" s="6" t="n">
        <f aca="false">Q!L14</f>
        <v>23.455</v>
      </c>
      <c r="E524" s="6" t="n">
        <f aca="false">Q!M14</f>
        <v>21.79</v>
      </c>
      <c r="F524" s="6" t="n">
        <f aca="false">Sens!E524*(1+Sens!F525)</f>
        <v>20.5736277908051</v>
      </c>
      <c r="G524" s="6" t="n">
        <f aca="false">Sens!F524*(1+Sens!G525)</f>
        <v>19.7371452817919</v>
      </c>
      <c r="H524" s="6" t="n">
        <f aca="false">Sens!G524*(1+Sens!H525)</f>
        <v>19.2339764043138</v>
      </c>
      <c r="I524" s="6" t="n">
        <f aca="false">Sens!H524*(1+Sens!I525)</f>
        <v>19.0353086852681</v>
      </c>
      <c r="J524" s="6" t="n">
        <f aca="false">Sens!I524*(1+Sens!J525)</f>
        <v>19.1273539319129</v>
      </c>
      <c r="K524" s="6" t="n">
        <f aca="false">Sens!J524*(1+Sens!K525)</f>
        <v>19.5099010105511</v>
      </c>
    </row>
    <row r="525" customFormat="false" ht="15" hidden="false" customHeight="false" outlineLevel="0" collapsed="false">
      <c r="A525" s="1" t="s">
        <v>876</v>
      </c>
      <c r="B525" s="0" t="s">
        <v>129</v>
      </c>
      <c r="E525" s="7" t="n">
        <f aca="false">Sens!E524/Sens!D524-1</f>
        <v>-0.0709869963760392</v>
      </c>
      <c r="F525" s="7" t="n">
        <f aca="false">Sens!$E$525+(glt_xbox-Sens!$E$525)*MIN(1,(Sens!F468-base_fy)/n_conv)</f>
        <v>-0.0558224969800327</v>
      </c>
      <c r="G525" s="7" t="n">
        <f aca="false">Sens!$E$525+(glt_xbox-Sens!$E$525)*MIN(1,(Sens!G468-base_fy)/n_conv)</f>
        <v>-0.0406579975840262</v>
      </c>
      <c r="H525" s="7" t="n">
        <f aca="false">Sens!$E$525+(glt_xbox-Sens!$E$525)*MIN(1,(Sens!H468-base_fy)/n_conv)</f>
        <v>-0.0254934981880196</v>
      </c>
      <c r="I525" s="7" t="n">
        <f aca="false">Sens!$E$525+(glt_xbox-Sens!$E$525)*MIN(1,(Sens!I468-base_fy)/n_conv)</f>
        <v>-0.0103289987920131</v>
      </c>
      <c r="J525" s="7" t="n">
        <f aca="false">Sens!$E$525+(glt_xbox-Sens!$E$525)*MIN(1,(Sens!J468-base_fy)/n_conv)</f>
        <v>0.00483550060399347</v>
      </c>
      <c r="K525" s="7" t="n">
        <f aca="false">Sens!$E$525+(glt_xbox-Sens!$E$525)*MIN(1,(Sens!K468-base_fy)/n_conv)</f>
        <v>0.02</v>
      </c>
    </row>
    <row r="526" customFormat="false" ht="15" hidden="false" customHeight="false" outlineLevel="0" collapsed="false">
      <c r="A526" s="0" t="s">
        <v>889</v>
      </c>
      <c r="B526" s="0" t="s">
        <v>98</v>
      </c>
      <c r="D526" s="6" t="n">
        <f aca="false">Q!L15</f>
        <v>17.315</v>
      </c>
      <c r="E526" s="6" t="n">
        <f aca="false">Q!M15</f>
        <v>17.087</v>
      </c>
      <c r="F526" s="6" t="n">
        <f aca="false">Sens!E526*(1+Sens!F527)</f>
        <v>16.9564585436519</v>
      </c>
      <c r="G526" s="6" t="n">
        <f aca="false">Sens!F526*(1+Sens!G527)</f>
        <v>16.9206490624268</v>
      </c>
      <c r="H526" s="6" t="n">
        <f aca="false">Sens!G526*(1+Sens!H527)</f>
        <v>16.9784519149849</v>
      </c>
      <c r="I526" s="6" t="n">
        <f aca="false">Sens!H526*(1+Sens!I527)</f>
        <v>17.1303084701817</v>
      </c>
      <c r="J526" s="6" t="n">
        <f aca="false">Sens!I526*(1+Sens!J527)</f>
        <v>17.3782189407267</v>
      </c>
      <c r="K526" s="6" t="n">
        <f aca="false">Sens!J526*(1+Sens!K527)</f>
        <v>17.7257833195413</v>
      </c>
    </row>
    <row r="527" customFormat="false" ht="15" hidden="false" customHeight="false" outlineLevel="0" collapsed="false">
      <c r="A527" s="1" t="s">
        <v>876</v>
      </c>
      <c r="B527" s="0" t="s">
        <v>129</v>
      </c>
      <c r="E527" s="7" t="n">
        <f aca="false">Sens!E526/Sens!D526-1</f>
        <v>-0.0131677736066995</v>
      </c>
      <c r="F527" s="7" t="n">
        <f aca="false">Sens!$E$527+(glt_win-Sens!$E$527)*MIN(1,(Sens!F468-base_fy)/n_conv)</f>
        <v>-0.00763981133891627</v>
      </c>
      <c r="G527" s="7" t="n">
        <f aca="false">Sens!$E$527+(glt_win-Sens!$E$527)*MIN(1,(Sens!G468-base_fy)/n_conv)</f>
        <v>-0.00211184907113301</v>
      </c>
      <c r="H527" s="7" t="n">
        <f aca="false">Sens!$E$527+(glt_win-Sens!$E$527)*MIN(1,(Sens!H468-base_fy)/n_conv)</f>
        <v>0.00341611319665024</v>
      </c>
      <c r="I527" s="7" t="n">
        <f aca="false">Sens!$E$527+(glt_win-Sens!$E$527)*MIN(1,(Sens!I468-base_fy)/n_conv)</f>
        <v>0.00894407546443349</v>
      </c>
      <c r="J527" s="7" t="n">
        <f aca="false">Sens!$E$527+(glt_win-Sens!$E$527)*MIN(1,(Sens!J468-base_fy)/n_conv)</f>
        <v>0.0144720377322168</v>
      </c>
      <c r="K527" s="7" t="n">
        <f aca="false">Sens!$E$527+(glt_win-Sens!$E$527)*MIN(1,(Sens!K468-base_fy)/n_conv)</f>
        <v>0.02</v>
      </c>
    </row>
    <row r="528" customFormat="false" ht="15" hidden="false" customHeight="false" outlineLevel="0" collapsed="false">
      <c r="A528" s="0" t="s">
        <v>729</v>
      </c>
      <c r="B528" s="0" t="s">
        <v>98</v>
      </c>
      <c r="D528" s="6" t="n">
        <f aca="false">Sens!D522+Sens!D524+Sens!D526</f>
        <v>62.941</v>
      </c>
      <c r="E528" s="6" t="n">
        <f aca="false">Sens!E522+Sens!E524+Sens!E526</f>
        <v>63.712</v>
      </c>
      <c r="F528" s="6" t="n">
        <f aca="false">Sens!F522+Sens!F524+Sens!F526</f>
        <v>65.1415764563129</v>
      </c>
      <c r="G528" s="6" t="n">
        <f aca="false">Sens!G522+Sens!G524+Sens!G526</f>
        <v>67.1253610780702</v>
      </c>
      <c r="H528" s="6" t="n">
        <f aca="false">Sens!H522+Sens!H524+Sens!H526</f>
        <v>69.5768050148776</v>
      </c>
      <c r="I528" s="6" t="n">
        <f aca="false">Sens!I522+Sens!I524+Sens!I526</f>
        <v>72.4233188088189</v>
      </c>
      <c r="J528" s="6" t="n">
        <f aca="false">Sens!J522+Sens!J524+Sens!J526</f>
        <v>75.6044096678567</v>
      </c>
      <c r="K528" s="6" t="n">
        <f aca="false">Sens!K522+Sens!K524+Sens!K526</f>
        <v>79.0714397009747</v>
      </c>
    </row>
    <row r="529" customFormat="false" ht="15" hidden="false" customHeight="false" outlineLevel="0" collapsed="false">
      <c r="A529" s="1" t="s">
        <v>890</v>
      </c>
      <c r="B529" s="0" t="s">
        <v>98</v>
      </c>
      <c r="D529" s="6" t="n">
        <f aca="false">Sens!D521+Sens!D528</f>
        <v>281.724</v>
      </c>
      <c r="E529" s="6" t="n">
        <f aca="false">Sens!E521+Sens!E528</f>
        <v>331.839</v>
      </c>
      <c r="F529" s="6" t="n">
        <f aca="false">Sens!F521+Sens!F528</f>
        <v>393.505009521169</v>
      </c>
      <c r="G529" s="6" t="n">
        <f aca="false">Sens!G521+Sens!G528</f>
        <v>456.395226751344</v>
      </c>
      <c r="H529" s="6" t="n">
        <f aca="false">Sens!H521+Sens!H528</f>
        <v>515.333125886071</v>
      </c>
      <c r="I529" s="6" t="n">
        <f aca="false">Sens!I521+Sens!I528</f>
        <v>577.124545054311</v>
      </c>
      <c r="J529" s="6" t="n">
        <f aca="false">Sens!J521+Sens!J528</f>
        <v>629.320612797378</v>
      </c>
      <c r="K529" s="6" t="n">
        <f aca="false">Sens!K521+Sens!K528</f>
        <v>672.474953890677</v>
      </c>
    </row>
    <row r="530" customFormat="false" ht="15" hidden="false" customHeight="false" outlineLevel="0" collapsed="false">
      <c r="A530" s="23" t="s">
        <v>891</v>
      </c>
      <c r="B530" s="30" t="s">
        <v>98</v>
      </c>
      <c r="C530" s="30"/>
      <c r="D530" s="24" t="n">
        <f aca="false">(Sens!D509+Sens!D514+Sens!D515+Sens!D517+Sens!D519-Sens!D521)+(Sens!D522+Sens!D524+Sens!D526-Sens!D528)+(Sens!D521-Q!L5)+(Sens!D528-Q!L12)+(Sens!D509-Q!L6)+(Sens!D514-Q!L7)</f>
        <v>0</v>
      </c>
      <c r="E530" s="24" t="n">
        <f aca="false">(Sens!E509+Sens!E514+Sens!E515+Sens!E517+Sens!E519-Sens!E521)+(Sens!E522+Sens!E524+Sens!E526-Sens!E528)+(Sens!E521-Q!M5)+(Sens!E528-Q!M12)+(Sens!E509-Q!M6)+(Sens!E514-Q!M7)</f>
        <v>0</v>
      </c>
      <c r="F530" s="24" t="n">
        <f aca="false">(Sens!F509+Sens!F514+Sens!F515+Sens!F517+Sens!F519-Sens!F521)+(Sens!F522+Sens!F524+Sens!F526-Sens!F528)</f>
        <v>0</v>
      </c>
      <c r="G530" s="24" t="n">
        <f aca="false">(Sens!G509+Sens!G514+Sens!G515+Sens!G517+Sens!G519-Sens!G521)+(Sens!G522+Sens!G524+Sens!G526-Sens!G528)</f>
        <v>0</v>
      </c>
      <c r="H530" s="24" t="n">
        <f aca="false">(Sens!H509+Sens!H514+Sens!H515+Sens!H517+Sens!H519-Sens!H521)+(Sens!H522+Sens!H524+Sens!H526-Sens!H528)</f>
        <v>0</v>
      </c>
      <c r="I530" s="24" t="n">
        <f aca="false">(Sens!I509+Sens!I514+Sens!I515+Sens!I517+Sens!I519-Sens!I521)+(Sens!I522+Sens!I524+Sens!I526-Sens!I528)</f>
        <v>0</v>
      </c>
      <c r="J530" s="24" t="n">
        <f aca="false">(Sens!J509+Sens!J514+Sens!J515+Sens!J517+Sens!J519-Sens!J521)+(Sens!J522+Sens!J524+Sens!J526-Sens!J528)</f>
        <v>0</v>
      </c>
      <c r="K530" s="24" t="n">
        <f aca="false">(Sens!K509+Sens!K514+Sens!K515+Sens!K517+Sens!K519-Sens!K521)+(Sens!K522+Sens!K524+Sens!K526-Sens!K528)</f>
        <v>0</v>
      </c>
    </row>
    <row r="531" customFormat="false" ht="17.15" hidden="false" customHeight="false" outlineLevel="0" collapsed="false">
      <c r="A531" s="3" t="s">
        <v>1274</v>
      </c>
    </row>
    <row r="532" customFormat="false" ht="15" hidden="false" customHeight="false" outlineLevel="0" collapsed="false">
      <c r="A532" s="4" t="s">
        <v>43</v>
      </c>
      <c r="B532" s="4" t="s">
        <v>65</v>
      </c>
      <c r="C532" s="20" t="s">
        <v>799</v>
      </c>
      <c r="D532" s="20" t="s">
        <v>800</v>
      </c>
      <c r="E532" s="20" t="s">
        <v>801</v>
      </c>
      <c r="F532" s="20" t="s">
        <v>802</v>
      </c>
      <c r="G532" s="20" t="s">
        <v>803</v>
      </c>
      <c r="H532" s="20" t="s">
        <v>804</v>
      </c>
      <c r="I532" s="20" t="s">
        <v>805</v>
      </c>
      <c r="J532" s="20" t="s">
        <v>806</v>
      </c>
      <c r="K532" s="20" t="s">
        <v>807</v>
      </c>
      <c r="L532" s="4" t="s">
        <v>47</v>
      </c>
    </row>
    <row r="533" customFormat="false" ht="15" hidden="false" customHeight="false" outlineLevel="0" collapsed="false">
      <c r="A533" s="0" t="s">
        <v>877</v>
      </c>
      <c r="B533" s="0" t="s">
        <v>98</v>
      </c>
      <c r="D533" s="6" t="n">
        <f aca="false">Sens!D509</f>
        <v>72.61</v>
      </c>
      <c r="E533" s="6" t="n">
        <f aca="false">Sens!E509</f>
        <v>101.938</v>
      </c>
      <c r="F533" s="6" t="n">
        <f aca="false">Sens!F509</f>
        <v>140.741861125673</v>
      </c>
      <c r="G533" s="6" t="n">
        <f aca="false">Sens!G509</f>
        <v>182.176709135845</v>
      </c>
      <c r="H533" s="6" t="n">
        <f aca="false">Sens!H509</f>
        <v>219.167638189678</v>
      </c>
      <c r="I533" s="6" t="n">
        <f aca="false">Sens!I509</f>
        <v>259.639871266006</v>
      </c>
      <c r="J533" s="6" t="n">
        <f aca="false">Sens!J509</f>
        <v>291.525306025352</v>
      </c>
      <c r="K533" s="6" t="n">
        <f aca="false">Sens!K509</f>
        <v>315.009444849526</v>
      </c>
    </row>
    <row r="534" customFormat="false" ht="17.15" hidden="false" customHeight="false" outlineLevel="0" collapsed="false">
      <c r="A534" s="0" t="s">
        <v>874</v>
      </c>
      <c r="B534" s="0" t="s">
        <v>98</v>
      </c>
      <c r="D534" s="6" t="n">
        <f aca="false">Sens!D506</f>
        <v>12.9359794422418</v>
      </c>
      <c r="E534" s="6" t="n">
        <f aca="false">Sens!E506</f>
        <v>27.8095064661409</v>
      </c>
      <c r="F534" s="6" t="n">
        <f aca="false">Sens!F506</f>
        <v>50.6619113883066</v>
      </c>
      <c r="G534" s="6" t="n">
        <f aca="false">Sens!G506</f>
        <v>75.1482839325348</v>
      </c>
      <c r="H534" s="6" t="n">
        <f aca="false">Sens!H506</f>
        <v>94.895655604042</v>
      </c>
      <c r="I534" s="6" t="n">
        <f aca="false">Sens!I506</f>
        <v>118.706168884151</v>
      </c>
      <c r="J534" s="6" t="n">
        <f aca="false">Sens!J506</f>
        <v>135.50643871102</v>
      </c>
      <c r="K534" s="6" t="n">
        <f aca="false">Sens!K506</f>
        <v>146.509068150048</v>
      </c>
    </row>
    <row r="535" customFormat="false" ht="17.15" hidden="false" customHeight="false" outlineLevel="0" collapsed="false">
      <c r="A535" s="0" t="s">
        <v>902</v>
      </c>
      <c r="B535" s="0" t="s">
        <v>98</v>
      </c>
      <c r="D535" s="6" t="n">
        <f aca="false">Sens!D507</f>
        <v>59.6740205577583</v>
      </c>
      <c r="E535" s="6" t="n">
        <f aca="false">Sens!E507</f>
        <v>74.1284935338591</v>
      </c>
      <c r="F535" s="6" t="n">
        <f aca="false">Sens!F507</f>
        <v>90.0799497373663</v>
      </c>
      <c r="G535" s="6" t="n">
        <f aca="false">Sens!G507</f>
        <v>107.02842520331</v>
      </c>
      <c r="H535" s="6" t="n">
        <f aca="false">Sens!H507</f>
        <v>124.271982585636</v>
      </c>
      <c r="I535" s="6" t="n">
        <f aca="false">Sens!I507</f>
        <v>140.933702381855</v>
      </c>
      <c r="J535" s="6" t="n">
        <f aca="false">Sens!J507</f>
        <v>156.018867314332</v>
      </c>
      <c r="K535" s="6" t="n">
        <f aca="false">Sens!K507</f>
        <v>168.500376699478</v>
      </c>
    </row>
    <row r="536" customFormat="false" ht="15" hidden="false" customHeight="false" outlineLevel="0" collapsed="false">
      <c r="A536" s="0" t="s">
        <v>883</v>
      </c>
      <c r="B536" s="0" t="s">
        <v>98</v>
      </c>
      <c r="D536" s="6" t="n">
        <f aca="false">Sens!D514</f>
        <v>84.605</v>
      </c>
      <c r="E536" s="6" t="n">
        <f aca="false">Sens!E514</f>
        <v>100.299</v>
      </c>
      <c r="F536" s="6" t="n">
        <f aca="false">Sens!F514</f>
        <v>117.39238776686</v>
      </c>
      <c r="G536" s="6" t="n">
        <f aca="false">Sens!G514</f>
        <v>132.544168448684</v>
      </c>
      <c r="H536" s="6" t="n">
        <f aca="false">Sens!H514</f>
        <v>147.777359388781</v>
      </c>
      <c r="I536" s="6" t="n">
        <f aca="false">Sens!I514</f>
        <v>162.084028071957</v>
      </c>
      <c r="J536" s="6" t="n">
        <f aca="false">Sens!J514</f>
        <v>175.182702785465</v>
      </c>
      <c r="K536" s="6" t="n">
        <f aca="false">Sens!K514</f>
        <v>187.527991980448</v>
      </c>
    </row>
    <row r="537" customFormat="false" ht="17.15" hidden="false" customHeight="false" outlineLevel="0" collapsed="false">
      <c r="A537" s="0" t="s">
        <v>903</v>
      </c>
      <c r="B537" s="0" t="s">
        <v>98</v>
      </c>
      <c r="D537" s="6" t="n">
        <f aca="false">Sens!D512</f>
        <v>83.705</v>
      </c>
      <c r="E537" s="6" t="n">
        <f aca="false">Sens!E512</f>
        <v>95.049</v>
      </c>
      <c r="F537" s="6" t="n">
        <f aca="false">Sens!F512</f>
        <v>106.89238776686</v>
      </c>
      <c r="G537" s="6" t="n">
        <f aca="false">Sens!G512</f>
        <v>119.044168448684</v>
      </c>
      <c r="H537" s="6" t="n">
        <f aca="false">Sens!H512</f>
        <v>131.277359388781</v>
      </c>
      <c r="I537" s="6" t="n">
        <f aca="false">Sens!I512</f>
        <v>143.334028071957</v>
      </c>
      <c r="J537" s="6" t="n">
        <f aca="false">Sens!J512</f>
        <v>154.932702785465</v>
      </c>
      <c r="K537" s="6" t="n">
        <f aca="false">Sens!K512</f>
        <v>165.777991980448</v>
      </c>
    </row>
    <row r="538" customFormat="false" ht="17.15" hidden="false" customHeight="false" outlineLevel="0" collapsed="false">
      <c r="A538" s="0" t="s">
        <v>904</v>
      </c>
      <c r="B538" s="0" t="s">
        <v>98</v>
      </c>
      <c r="D538" s="6" t="n">
        <f aca="false">Sens!D511</f>
        <v>0.9</v>
      </c>
      <c r="E538" s="6" t="n">
        <f aca="false">Sens!E511</f>
        <v>5.25</v>
      </c>
      <c r="F538" s="6" t="n">
        <f aca="false">Sens!F511</f>
        <v>10.5</v>
      </c>
      <c r="G538" s="6" t="n">
        <f aca="false">Sens!G511</f>
        <v>13.5</v>
      </c>
      <c r="H538" s="6" t="n">
        <f aca="false">Sens!H511</f>
        <v>16.5</v>
      </c>
      <c r="I538" s="6" t="n">
        <f aca="false">Sens!I511</f>
        <v>18.75</v>
      </c>
      <c r="J538" s="6" t="n">
        <f aca="false">Sens!J511</f>
        <v>20.25</v>
      </c>
      <c r="K538" s="6" t="n">
        <f aca="false">Sens!K511</f>
        <v>21.75</v>
      </c>
    </row>
    <row r="539" customFormat="false" ht="15" hidden="false" customHeight="false" outlineLevel="0" collapsed="false">
      <c r="A539" s="0" t="s">
        <v>884</v>
      </c>
      <c r="B539" s="0" t="s">
        <v>98</v>
      </c>
      <c r="D539" s="6" t="n">
        <f aca="false">Sens!D515</f>
        <v>35.391</v>
      </c>
      <c r="E539" s="6" t="n">
        <f aca="false">Sens!E515</f>
        <v>37.285</v>
      </c>
      <c r="F539" s="6" t="n">
        <f aca="false">Sens!F515</f>
        <v>39.0720834331704</v>
      </c>
      <c r="G539" s="6" t="n">
        <f aca="false">Sens!G515</f>
        <v>40.726562953769</v>
      </c>
      <c r="H539" s="6" t="n">
        <f aca="false">Sens!H515</f>
        <v>42.2235987259198</v>
      </c>
      <c r="I539" s="6" t="n">
        <f aca="false">Sens!I515</f>
        <v>43.5397988077414</v>
      </c>
      <c r="J539" s="6" t="n">
        <f aca="false">Sens!J515</f>
        <v>44.653811225693</v>
      </c>
      <c r="K539" s="6" t="n">
        <f aca="false">Sens!K515</f>
        <v>45.5468874502068</v>
      </c>
    </row>
    <row r="540" customFormat="false" ht="15" hidden="false" customHeight="false" outlineLevel="0" collapsed="false">
      <c r="A540" s="0" t="s">
        <v>885</v>
      </c>
      <c r="B540" s="0" t="s">
        <v>98</v>
      </c>
      <c r="D540" s="6" t="n">
        <f aca="false">Sens!D517</f>
        <v>18.417</v>
      </c>
      <c r="E540" s="6" t="n">
        <f aca="false">Sens!E517</f>
        <v>20.345</v>
      </c>
      <c r="F540" s="6" t="n">
        <f aca="false">Sens!F517</f>
        <v>22.3572203267814</v>
      </c>
      <c r="G540" s="6" t="n">
        <f aca="false">Sens!G517</f>
        <v>24.4392124437232</v>
      </c>
      <c r="H540" s="6" t="n">
        <f aca="false">Sens!H517</f>
        <v>26.5738052080665</v>
      </c>
      <c r="I540" s="6" t="n">
        <f aca="false">Sens!I517</f>
        <v>28.7412169166967</v>
      </c>
      <c r="J540" s="6" t="n">
        <f aca="false">Sens!J517</f>
        <v>30.9192545395413</v>
      </c>
      <c r="K540" s="6" t="n">
        <f aca="false">Sens!K517</f>
        <v>33.0836023573092</v>
      </c>
    </row>
    <row r="541" customFormat="false" ht="15" hidden="false" customHeight="false" outlineLevel="0" collapsed="false">
      <c r="A541" s="0" t="s">
        <v>886</v>
      </c>
      <c r="B541" s="0" t="s">
        <v>98</v>
      </c>
      <c r="D541" s="6" t="n">
        <f aca="false">Sens!D519</f>
        <v>7.76</v>
      </c>
      <c r="E541" s="6" t="n">
        <f aca="false">Sens!E519</f>
        <v>8.26</v>
      </c>
      <c r="F541" s="6" t="n">
        <f aca="false">Sens!F519</f>
        <v>8.79988041237113</v>
      </c>
      <c r="G541" s="6" t="n">
        <f aca="false">Sens!G519</f>
        <v>9.38321269125306</v>
      </c>
      <c r="H541" s="6" t="n">
        <f aca="false">Sens!H519</f>
        <v>10.0139193587476</v>
      </c>
      <c r="I541" s="6" t="n">
        <f aca="false">Sens!I519</f>
        <v>10.6963111830911</v>
      </c>
      <c r="J541" s="6" t="n">
        <f aca="false">Sens!J519</f>
        <v>11.4351285534696</v>
      </c>
      <c r="K541" s="6" t="n">
        <f aca="false">Sens!K519</f>
        <v>12.2355875522124</v>
      </c>
    </row>
    <row r="542" customFormat="false" ht="15" hidden="false" customHeight="false" outlineLevel="0" collapsed="false">
      <c r="A542" s="0" t="s">
        <v>715</v>
      </c>
      <c r="B542" s="0" t="s">
        <v>98</v>
      </c>
      <c r="D542" s="6" t="n">
        <f aca="false">Sens!D521</f>
        <v>218.783</v>
      </c>
      <c r="E542" s="6" t="n">
        <f aca="false">Sens!E521</f>
        <v>268.127</v>
      </c>
      <c r="F542" s="6" t="n">
        <f aca="false">Sens!F521</f>
        <v>328.363433064856</v>
      </c>
      <c r="G542" s="6" t="n">
        <f aca="false">Sens!G521</f>
        <v>389.269865673274</v>
      </c>
      <c r="H542" s="6" t="n">
        <f aca="false">Sens!H521</f>
        <v>445.756320871193</v>
      </c>
      <c r="I542" s="6" t="n">
        <f aca="false">Sens!I521</f>
        <v>504.701226245492</v>
      </c>
      <c r="J542" s="6" t="n">
        <f aca="false">Sens!J521</f>
        <v>553.716203129521</v>
      </c>
      <c r="K542" s="6" t="n">
        <f aca="false">Sens!K521</f>
        <v>593.403514189702</v>
      </c>
    </row>
    <row r="543" customFormat="false" ht="15" hidden="false" customHeight="false" outlineLevel="0" collapsed="false">
      <c r="A543" s="0" t="s">
        <v>887</v>
      </c>
      <c r="B543" s="0" t="s">
        <v>98</v>
      </c>
      <c r="D543" s="6" t="n">
        <f aca="false">Sens!D522</f>
        <v>22.171</v>
      </c>
      <c r="E543" s="6" t="n">
        <f aca="false">Sens!E522</f>
        <v>24.835</v>
      </c>
      <c r="F543" s="6" t="n">
        <f aca="false">Sens!F522</f>
        <v>27.6114901218559</v>
      </c>
      <c r="G543" s="6" t="n">
        <f aca="false">Sens!G522</f>
        <v>30.4675667338515</v>
      </c>
      <c r="H543" s="6" t="n">
        <f aca="false">Sens!H522</f>
        <v>33.3643766955789</v>
      </c>
      <c r="I543" s="6" t="n">
        <f aca="false">Sens!I522</f>
        <v>36.2577016533691</v>
      </c>
      <c r="J543" s="6" t="n">
        <f aca="false">Sens!J522</f>
        <v>39.0988367952171</v>
      </c>
      <c r="K543" s="6" t="n">
        <f aca="false">Sens!K522</f>
        <v>41.8357553708823</v>
      </c>
    </row>
    <row r="544" customFormat="false" ht="15" hidden="false" customHeight="false" outlineLevel="0" collapsed="false">
      <c r="A544" s="0" t="s">
        <v>888</v>
      </c>
      <c r="B544" s="0" t="s">
        <v>98</v>
      </c>
      <c r="D544" s="6" t="n">
        <f aca="false">Sens!D524</f>
        <v>23.455</v>
      </c>
      <c r="E544" s="6" t="n">
        <f aca="false">Sens!E524</f>
        <v>21.79</v>
      </c>
      <c r="F544" s="6" t="n">
        <f aca="false">Sens!F524</f>
        <v>20.5736277908051</v>
      </c>
      <c r="G544" s="6" t="n">
        <f aca="false">Sens!G524</f>
        <v>19.7371452817919</v>
      </c>
      <c r="H544" s="6" t="n">
        <f aca="false">Sens!H524</f>
        <v>19.2339764043138</v>
      </c>
      <c r="I544" s="6" t="n">
        <f aca="false">Sens!I524</f>
        <v>19.0353086852681</v>
      </c>
      <c r="J544" s="6" t="n">
        <f aca="false">Sens!J524</f>
        <v>19.1273539319129</v>
      </c>
      <c r="K544" s="6" t="n">
        <f aca="false">Sens!K524</f>
        <v>19.5099010105511</v>
      </c>
    </row>
    <row r="545" customFormat="false" ht="15" hidden="false" customHeight="false" outlineLevel="0" collapsed="false">
      <c r="A545" s="0" t="s">
        <v>889</v>
      </c>
      <c r="B545" s="0" t="s">
        <v>98</v>
      </c>
      <c r="D545" s="6" t="n">
        <f aca="false">Sens!D526</f>
        <v>17.315</v>
      </c>
      <c r="E545" s="6" t="n">
        <f aca="false">Sens!E526</f>
        <v>17.087</v>
      </c>
      <c r="F545" s="6" t="n">
        <f aca="false">Sens!F526</f>
        <v>16.9564585436519</v>
      </c>
      <c r="G545" s="6" t="n">
        <f aca="false">Sens!G526</f>
        <v>16.9206490624268</v>
      </c>
      <c r="H545" s="6" t="n">
        <f aca="false">Sens!H526</f>
        <v>16.9784519149849</v>
      </c>
      <c r="I545" s="6" t="n">
        <f aca="false">Sens!I526</f>
        <v>17.1303084701817</v>
      </c>
      <c r="J545" s="6" t="n">
        <f aca="false">Sens!J526</f>
        <v>17.3782189407267</v>
      </c>
      <c r="K545" s="6" t="n">
        <f aca="false">Sens!K526</f>
        <v>17.7257833195413</v>
      </c>
    </row>
    <row r="546" customFormat="false" ht="15" hidden="false" customHeight="false" outlineLevel="0" collapsed="false">
      <c r="A546" s="0" t="s">
        <v>729</v>
      </c>
      <c r="B546" s="0" t="s">
        <v>98</v>
      </c>
      <c r="D546" s="6" t="n">
        <f aca="false">Sens!D528</f>
        <v>62.941</v>
      </c>
      <c r="E546" s="6" t="n">
        <f aca="false">Sens!E528</f>
        <v>63.712</v>
      </c>
      <c r="F546" s="6" t="n">
        <f aca="false">Sens!F528</f>
        <v>65.1415764563129</v>
      </c>
      <c r="G546" s="6" t="n">
        <f aca="false">Sens!G528</f>
        <v>67.1253610780702</v>
      </c>
      <c r="H546" s="6" t="n">
        <f aca="false">Sens!H528</f>
        <v>69.5768050148776</v>
      </c>
      <c r="I546" s="6" t="n">
        <f aca="false">Sens!I528</f>
        <v>72.4233188088189</v>
      </c>
      <c r="J546" s="6" t="n">
        <f aca="false">Sens!J528</f>
        <v>75.6044096678567</v>
      </c>
      <c r="K546" s="6" t="n">
        <f aca="false">Sens!K528</f>
        <v>79.0714397009747</v>
      </c>
    </row>
    <row r="547" customFormat="false" ht="15" hidden="false" customHeight="false" outlineLevel="0" collapsed="false">
      <c r="A547" s="1" t="s">
        <v>905</v>
      </c>
      <c r="B547" s="0" t="s">
        <v>98</v>
      </c>
      <c r="D547" s="6" t="n">
        <f aca="false">Sens!D529</f>
        <v>281.724</v>
      </c>
      <c r="E547" s="6" t="n">
        <f aca="false">Sens!E529</f>
        <v>331.839</v>
      </c>
      <c r="F547" s="6" t="n">
        <f aca="false">Sens!F529</f>
        <v>393.505009521169</v>
      </c>
      <c r="G547" s="6" t="n">
        <f aca="false">Sens!G529</f>
        <v>456.395226751344</v>
      </c>
      <c r="H547" s="6" t="n">
        <f aca="false">Sens!H529</f>
        <v>515.333125886071</v>
      </c>
      <c r="I547" s="6" t="n">
        <f aca="false">Sens!I529</f>
        <v>577.124545054311</v>
      </c>
      <c r="J547" s="6" t="n">
        <f aca="false">Sens!J529</f>
        <v>629.320612797378</v>
      </c>
      <c r="K547" s="6" t="n">
        <f aca="false">Sens!K529</f>
        <v>672.474953890677</v>
      </c>
    </row>
    <row r="548" customFormat="false" ht="15" hidden="false" customHeight="false" outlineLevel="0" collapsed="false">
      <c r="A548" s="1" t="s">
        <v>906</v>
      </c>
      <c r="B548" s="0" t="s">
        <v>129</v>
      </c>
      <c r="E548" s="7" t="n">
        <f aca="false">Sens!E547/Sens!D547-1</f>
        <v>0.177886867998467</v>
      </c>
      <c r="F548" s="7" t="n">
        <f aca="false">Sens!F547/Sens!E547-1</f>
        <v>0.185831109427067</v>
      </c>
      <c r="G548" s="7" t="n">
        <f aca="false">Sens!G547/Sens!F547-1</f>
        <v>0.159820626697237</v>
      </c>
      <c r="H548" s="7" t="n">
        <f aca="false">Sens!H547/Sens!G547-1</f>
        <v>0.129137851756801</v>
      </c>
      <c r="I548" s="7" t="n">
        <f aca="false">Sens!I547/Sens!H547-1</f>
        <v>0.119905777572508</v>
      </c>
      <c r="J548" s="7" t="n">
        <f aca="false">Sens!J547/Sens!I547-1</f>
        <v>0.0904416008474471</v>
      </c>
      <c r="K548" s="7" t="n">
        <f aca="false">Sens!K547/Sens!J547-1</f>
        <v>0.0685729026123501</v>
      </c>
    </row>
    <row r="549" customFormat="false" ht="17.15" hidden="false" customHeight="false" outlineLevel="0" collapsed="false">
      <c r="A549" s="23" t="s">
        <v>907</v>
      </c>
      <c r="B549" s="30" t="s">
        <v>98</v>
      </c>
      <c r="C549" s="30"/>
      <c r="D549" s="24" t="n">
        <f aca="false">(Sens!D542+Sens!D546-Sens!D547)+(Sens!D534+Sens!D535-Sens!D533)+(Sens!D537+Sens!D538-Sens!D536)+(Sens!D547-Q!L18)</f>
        <v>0</v>
      </c>
      <c r="E549" s="24" t="n">
        <f aca="false">(Sens!E542+Sens!E546-Sens!E547)+(Sens!E534+Sens!E535-Sens!E533)+(Sens!E537+Sens!E538-Sens!E536)+(Sens!E547-Q!M18)</f>
        <v>0</v>
      </c>
      <c r="F549" s="24" t="n">
        <f aca="false">(Sens!F542+Sens!F546-Sens!F547)+(Sens!F534+Sens!F535-Sens!F533)+(Sens!F537+Sens!F538-Sens!F536)</f>
        <v>0</v>
      </c>
      <c r="G549" s="24" t="n">
        <f aca="false">(Sens!G542+Sens!G546-Sens!G547)+(Sens!G534+Sens!G535-Sens!G533)+(Sens!G537+Sens!G538-Sens!G536)</f>
        <v>0</v>
      </c>
      <c r="H549" s="24" t="n">
        <f aca="false">(Sens!H542+Sens!H546-Sens!H547)+(Sens!H534+Sens!H535-Sens!H533)+(Sens!H537+Sens!H538-Sens!H536)</f>
        <v>0</v>
      </c>
      <c r="I549" s="24" t="n">
        <f aca="false">(Sens!I542+Sens!I546-Sens!I547)+(Sens!I534+Sens!I535-Sens!I533)+(Sens!I537+Sens!I538-Sens!I536)</f>
        <v>0</v>
      </c>
      <c r="J549" s="24" t="n">
        <f aca="false">(Sens!J542+Sens!J546-Sens!J547)+(Sens!J534+Sens!J535-Sens!J533)+(Sens!J537+Sens!J538-Sens!J536)</f>
        <v>0</v>
      </c>
      <c r="K549" s="24" t="n">
        <f aca="false">(Sens!K542+Sens!K546-Sens!K547)+(Sens!K534+Sens!K535-Sens!K533)+(Sens!K537+Sens!K538-Sens!K536)</f>
        <v>0</v>
      </c>
    </row>
    <row r="550" customFormat="false" ht="17.15" hidden="false" customHeight="false" outlineLevel="0" collapsed="false">
      <c r="A550" s="0" t="s">
        <v>908</v>
      </c>
      <c r="B550" s="0" t="s">
        <v>129</v>
      </c>
      <c r="E550" s="7" t="n">
        <f aca="false">(Q!M21+Sens!E487+Sens!E488+Sens!E489+Sens!E502-Sens!E485)/(Q!M5-Sens!E485)</f>
        <v>0.570957350878296</v>
      </c>
      <c r="F550" s="7" t="n">
        <f aca="false">Sens!$E$550+dm_seg</f>
        <v>0.570957350878296</v>
      </c>
      <c r="G550" s="7" t="n">
        <f aca="false">Sens!$E$550+dm_seg</f>
        <v>0.570957350878296</v>
      </c>
      <c r="H550" s="7" t="n">
        <f aca="false">Sens!$E$550+dm_seg</f>
        <v>0.570957350878296</v>
      </c>
      <c r="I550" s="7" t="n">
        <f aca="false">Sens!$E$550+dm_seg</f>
        <v>0.570957350878296</v>
      </c>
      <c r="J550" s="7" t="n">
        <f aca="false">Sens!$E$550+dm_seg</f>
        <v>0.570957350878296</v>
      </c>
      <c r="K550" s="7" t="n">
        <f aca="false">Sens!$E$550+dm_seg</f>
        <v>0.570957350878296</v>
      </c>
      <c r="L550" s="11" t="s">
        <v>909</v>
      </c>
    </row>
    <row r="551" customFormat="false" ht="17.15" hidden="false" customHeight="false" outlineLevel="0" collapsed="false">
      <c r="A551" s="0" t="s">
        <v>743</v>
      </c>
      <c r="B551" s="0" t="s">
        <v>98</v>
      </c>
      <c r="D551" s="6" t="n">
        <f aca="false">Q!L21</f>
        <v>110.814</v>
      </c>
      <c r="E551" s="6" t="n">
        <f aca="false">Q!M21</f>
        <v>136.365</v>
      </c>
      <c r="F551" s="6" t="n">
        <f aca="false">Sens!F550*(Sens!F521-Sens!F485)+Sens!F485-(Sens!F487+Sens!F488+Sens!F489)-Sens!F502-Sens!F585</f>
        <v>152.186475092494</v>
      </c>
      <c r="G551" s="6" t="n">
        <f aca="false">Sens!G550*(Sens!G521-Sens!G485)+Sens!G485-(Sens!G487+Sens!G488+Sens!G489)-Sens!G502-Sens!G585</f>
        <v>160.931055130096</v>
      </c>
      <c r="H551" s="6" t="n">
        <f aca="false">Sens!H550*(Sens!H521-Sens!H485)+Sens!H485-(Sens!H487+Sens!H488+Sens!H489)-Sens!H502-Sens!H585</f>
        <v>163.298235545219</v>
      </c>
      <c r="I551" s="6" t="n">
        <f aca="false">Sens!I550*(Sens!I521-Sens!I485)+Sens!I485-(Sens!I487+Sens!I488+Sens!I489)-Sens!I502-Sens!I585</f>
        <v>173.292804439477</v>
      </c>
      <c r="J551" s="6" t="n">
        <f aca="false">Sens!J550*(Sens!J521-Sens!J485)+Sens!J485-(Sens!J487+Sens!J488+Sens!J489)-Sens!J502-Sens!J585</f>
        <v>184.537843160141</v>
      </c>
      <c r="K551" s="6" t="n">
        <f aca="false">Sens!K550*(Sens!K521-Sens!K485)+Sens!K485-(Sens!K487+Sens!K488+Sens!K489)-Sens!K502-Sens!K585</f>
        <v>197.059058133604</v>
      </c>
      <c r="L551" s="1" t="s">
        <v>910</v>
      </c>
    </row>
    <row r="552" customFormat="false" ht="17.15" hidden="false" customHeight="false" outlineLevel="0" collapsed="false">
      <c r="A552" s="0" t="s">
        <v>911</v>
      </c>
      <c r="B552" s="0" t="s">
        <v>129</v>
      </c>
      <c r="E552" s="7" t="n">
        <f aca="false">Q!M22/Q!M12</f>
        <v>0.296207935710698</v>
      </c>
      <c r="F552" s="7" t="n">
        <f aca="false">Sens!$E$552+dm_seg</f>
        <v>0.296207935710698</v>
      </c>
      <c r="G552" s="7" t="n">
        <f aca="false">Sens!$E$552+dm_seg</f>
        <v>0.296207935710698</v>
      </c>
      <c r="H552" s="7" t="n">
        <f aca="false">Sens!$E$552+dm_seg</f>
        <v>0.296207935710698</v>
      </c>
      <c r="I552" s="7" t="n">
        <f aca="false">Sens!$E$552+dm_seg</f>
        <v>0.296207935710698</v>
      </c>
      <c r="J552" s="7" t="n">
        <f aca="false">Sens!$E$552+dm_seg</f>
        <v>0.296207935710698</v>
      </c>
      <c r="K552" s="7" t="n">
        <f aca="false">Sens!$E$552+dm_seg</f>
        <v>0.296207935710698</v>
      </c>
      <c r="L552" s="11" t="s">
        <v>912</v>
      </c>
    </row>
    <row r="553" customFormat="false" ht="17.15" hidden="false" customHeight="false" outlineLevel="0" collapsed="false">
      <c r="A553" s="0" t="s">
        <v>745</v>
      </c>
      <c r="B553" s="0" t="s">
        <v>98</v>
      </c>
      <c r="D553" s="6" t="n">
        <f aca="false">Q!L22</f>
        <v>17.714</v>
      </c>
      <c r="E553" s="6" t="n">
        <f aca="false">Q!M22</f>
        <v>18.872</v>
      </c>
      <c r="F553" s="6" t="n">
        <f aca="false">Sens!F528*Sens!F552</f>
        <v>19.2954518910651</v>
      </c>
      <c r="G553" s="6" t="n">
        <f aca="false">Sens!G528*Sens!G552</f>
        <v>19.8830646387704</v>
      </c>
      <c r="H553" s="6" t="n">
        <f aca="false">Sens!H528*Sens!H552</f>
        <v>20.6092017868026</v>
      </c>
      <c r="I553" s="6" t="n">
        <f aca="false">Sens!I528*Sens!I552</f>
        <v>21.452361761678</v>
      </c>
      <c r="J553" s="6" t="n">
        <f aca="false">Sens!J528*Sens!J552</f>
        <v>22.3946261183418</v>
      </c>
      <c r="K553" s="6" t="n">
        <f aca="false">Sens!K528*Sens!K552</f>
        <v>23.4215879274986</v>
      </c>
    </row>
    <row r="554" customFormat="false" ht="15" hidden="false" customHeight="false" outlineLevel="0" collapsed="false">
      <c r="A554" s="1" t="s">
        <v>913</v>
      </c>
      <c r="B554" s="0" t="s">
        <v>98</v>
      </c>
      <c r="D554" s="6" t="n">
        <f aca="false">Sens!D551+Sens!D553</f>
        <v>128.528</v>
      </c>
      <c r="E554" s="6" t="n">
        <f aca="false">Sens!E551+Sens!E553</f>
        <v>155.237</v>
      </c>
      <c r="F554" s="6" t="n">
        <f aca="false">Sens!F551+Sens!F553</f>
        <v>171.481926983559</v>
      </c>
      <c r="G554" s="6" t="n">
        <f aca="false">Sens!G551+Sens!G553</f>
        <v>180.814119768866</v>
      </c>
      <c r="H554" s="6" t="n">
        <f aca="false">Sens!H551+Sens!H553</f>
        <v>183.907437332021</v>
      </c>
      <c r="I554" s="6" t="n">
        <f aca="false">Sens!I551+Sens!I553</f>
        <v>194.745166201155</v>
      </c>
      <c r="J554" s="6" t="n">
        <f aca="false">Sens!J551+Sens!J553</f>
        <v>206.932469278483</v>
      </c>
      <c r="K554" s="6" t="n">
        <f aca="false">Sens!K551+Sens!K553</f>
        <v>220.480646061103</v>
      </c>
    </row>
    <row r="555" customFormat="false" ht="15" hidden="false" customHeight="false" outlineLevel="0" collapsed="false">
      <c r="A555" s="23" t="s">
        <v>914</v>
      </c>
      <c r="B555" s="30" t="s">
        <v>98</v>
      </c>
      <c r="C555" s="30"/>
      <c r="D555" s="24" t="n">
        <f aca="false">Sens!D554-Q!L23</f>
        <v>0</v>
      </c>
      <c r="E555" s="24" t="n">
        <f aca="false">Sens!E554-Q!M23</f>
        <v>0</v>
      </c>
      <c r="F555" s="30"/>
      <c r="G555" s="30"/>
      <c r="H555" s="30"/>
      <c r="I555" s="30"/>
      <c r="J555" s="30"/>
      <c r="K555" s="30"/>
    </row>
    <row r="556" customFormat="false" ht="15" hidden="false" customHeight="false" outlineLevel="0" collapsed="false">
      <c r="A556" s="1" t="s">
        <v>915</v>
      </c>
      <c r="B556" s="0" t="s">
        <v>129</v>
      </c>
      <c r="D556" s="7" t="n">
        <f aca="false">Sens!D554/Sens!D547</f>
        <v>0.456219562408598</v>
      </c>
      <c r="E556" s="7" t="n">
        <f aca="false">Sens!E554/Sens!E547</f>
        <v>0.467808184089272</v>
      </c>
      <c r="F556" s="7" t="n">
        <f aca="false">Sens!F554/Sens!F547</f>
        <v>0.435780797790159</v>
      </c>
      <c r="G556" s="7" t="n">
        <f aca="false">Sens!G554/Sens!G547</f>
        <v>0.396178814261304</v>
      </c>
      <c r="H556" s="7" t="n">
        <f aca="false">Sens!H554/Sens!H547</f>
        <v>0.356870979360794</v>
      </c>
      <c r="I556" s="7" t="n">
        <f aca="false">Sens!I554/Sens!I547</f>
        <v>0.337440450020763</v>
      </c>
      <c r="J556" s="7" t="n">
        <f aca="false">Sens!J554/Sens!J547</f>
        <v>0.328818832675212</v>
      </c>
      <c r="K556" s="7" t="n">
        <f aca="false">Sens!K554/Sens!K547</f>
        <v>0.327864472550967</v>
      </c>
    </row>
    <row r="557" customFormat="false" ht="17.15" hidden="false" customHeight="false" outlineLevel="0" collapsed="false">
      <c r="A557" s="1" t="s">
        <v>916</v>
      </c>
      <c r="B557" s="0" t="s">
        <v>98</v>
      </c>
      <c r="F557" s="6" t="n">
        <f aca="false">Sens!F572</f>
        <v>0</v>
      </c>
      <c r="G557" s="6" t="n">
        <f aca="false">Sens!G572</f>
        <v>0</v>
      </c>
      <c r="H557" s="6" t="n">
        <f aca="false">Sens!H572</f>
        <v>0</v>
      </c>
      <c r="I557" s="6" t="n">
        <f aca="false">Sens!I572</f>
        <v>0</v>
      </c>
      <c r="J557" s="6" t="n">
        <f aca="false">Sens!J572</f>
        <v>0</v>
      </c>
      <c r="K557" s="6" t="n">
        <f aca="false">Sens!K572</f>
        <v>0</v>
      </c>
      <c r="L557" s="1" t="s">
        <v>917</v>
      </c>
    </row>
    <row r="558" customFormat="false" ht="17.15" hidden="false" customHeight="false" outlineLevel="0" collapsed="false">
      <c r="A558" s="1" t="s">
        <v>918</v>
      </c>
      <c r="B558" s="0" t="s">
        <v>98</v>
      </c>
      <c r="D558" s="6" t="n">
        <f aca="false">Sens!D554</f>
        <v>128.528</v>
      </c>
      <c r="E558" s="6" t="n">
        <f aca="false">Sens!E554</f>
        <v>155.237</v>
      </c>
      <c r="F558" s="6" t="n">
        <f aca="false">Sens!F554+Sens!F557</f>
        <v>171.481926983559</v>
      </c>
      <c r="G558" s="6" t="n">
        <f aca="false">Sens!G554+Sens!G557</f>
        <v>180.814119768866</v>
      </c>
      <c r="H558" s="6" t="n">
        <f aca="false">Sens!H554+Sens!H557</f>
        <v>183.907437332021</v>
      </c>
      <c r="I558" s="6" t="n">
        <f aca="false">Sens!I554+Sens!I557</f>
        <v>194.745166201155</v>
      </c>
      <c r="J558" s="6" t="n">
        <f aca="false">Sens!J554+Sens!J557</f>
        <v>206.932469278483</v>
      </c>
      <c r="K558" s="6" t="n">
        <f aca="false">Sens!K554+Sens!K557</f>
        <v>220.480646061103</v>
      </c>
    </row>
    <row r="559" customFormat="false" ht="17.15" hidden="false" customHeight="false" outlineLevel="0" collapsed="false">
      <c r="A559" s="1" t="s">
        <v>919</v>
      </c>
      <c r="B559" s="0" t="s">
        <v>98</v>
      </c>
      <c r="E559" s="6" t="n">
        <f aca="false">Sens!E502</f>
        <v>16.3054059770833</v>
      </c>
      <c r="F559" s="6" t="n">
        <f aca="false">Sens!F502</f>
        <v>34.0498873809555</v>
      </c>
      <c r="G559" s="6" t="n">
        <f aca="false">Sens!G502</f>
        <v>59.1254371105111</v>
      </c>
      <c r="H559" s="6" t="n">
        <f aca="false">Sens!H502</f>
        <v>86.3610198433111</v>
      </c>
      <c r="I559" s="6" t="n">
        <f aca="false">Sens!I502</f>
        <v>110.605743832393</v>
      </c>
      <c r="J559" s="6" t="n">
        <f aca="false">Sens!J502</f>
        <v>127.998322852843</v>
      </c>
      <c r="K559" s="6" t="n">
        <f aca="false">Sens!K502</f>
        <v>139.131464044308</v>
      </c>
    </row>
    <row r="560" customFormat="false" ht="17.15" hidden="false" customHeight="false" outlineLevel="0" collapsed="false">
      <c r="A560" s="1" t="s">
        <v>920</v>
      </c>
      <c r="B560" s="0" t="s">
        <v>98</v>
      </c>
      <c r="E560" s="6" t="n">
        <f aca="false">Sens!E584</f>
        <v>22.2285940229167</v>
      </c>
      <c r="F560" s="6" t="n">
        <f aca="false">Sens!F584</f>
        <v>24.3924470334783</v>
      </c>
      <c r="G560" s="6" t="n">
        <f aca="false">Sens!G584</f>
        <v>26.0234916871694</v>
      </c>
      <c r="H560" s="6" t="n">
        <f aca="false">Sens!H584</f>
        <v>28.0272938828615</v>
      </c>
      <c r="I560" s="6" t="n">
        <f aca="false">Sens!I584</f>
        <v>30.3469045257397</v>
      </c>
      <c r="J560" s="6" t="n">
        <f aca="false">Sens!J584</f>
        <v>32.9078053982031</v>
      </c>
      <c r="K560" s="6" t="n">
        <f aca="false">Sens!K584</f>
        <v>35.6263951325822</v>
      </c>
    </row>
    <row r="561" customFormat="false" ht="17.15" hidden="false" customHeight="false" outlineLevel="0" collapsed="false">
      <c r="A561" s="1" t="s">
        <v>921</v>
      </c>
      <c r="B561" s="0" t="s">
        <v>98</v>
      </c>
      <c r="D561" s="6" t="n">
        <f aca="false">Q!L27</f>
        <v>-4.901</v>
      </c>
      <c r="E561" s="6" t="n">
        <f aca="false">Q!M27</f>
        <v>10.697</v>
      </c>
      <c r="F561" s="6" t="n">
        <f aca="false">oie_f</f>
        <v>-0.4</v>
      </c>
      <c r="G561" s="6" t="n">
        <f aca="false">oie_f</f>
        <v>-0.4</v>
      </c>
      <c r="H561" s="6" t="n">
        <f aca="false">oie_f</f>
        <v>-0.4</v>
      </c>
      <c r="I561" s="6" t="n">
        <f aca="false">oie_f</f>
        <v>-0.4</v>
      </c>
      <c r="J561" s="6" t="n">
        <f aca="false">oie_f</f>
        <v>-0.4</v>
      </c>
      <c r="K561" s="6" t="n">
        <f aca="false">oie_f</f>
        <v>-0.4</v>
      </c>
      <c r="L561" s="11" t="s">
        <v>922</v>
      </c>
    </row>
    <row r="562" customFormat="false" ht="15" hidden="false" customHeight="false" outlineLevel="0" collapsed="false">
      <c r="A562" s="1" t="s">
        <v>923</v>
      </c>
      <c r="B562" s="0" t="s">
        <v>98</v>
      </c>
      <c r="D562" s="6" t="n">
        <f aca="false">Sens!D554+Sens!D561</f>
        <v>123.627</v>
      </c>
      <c r="E562" s="6" t="n">
        <f aca="false">Sens!E554+Sens!E561</f>
        <v>165.934</v>
      </c>
      <c r="F562" s="6" t="n">
        <f aca="false">Sens!F554+Sens!F561</f>
        <v>171.081926983559</v>
      </c>
      <c r="G562" s="6" t="n">
        <f aca="false">Sens!G554+Sens!G561</f>
        <v>180.414119768866</v>
      </c>
      <c r="H562" s="6" t="n">
        <f aca="false">Sens!H554+Sens!H561</f>
        <v>183.507437332021</v>
      </c>
      <c r="I562" s="6" t="n">
        <f aca="false">Sens!I554+Sens!I561</f>
        <v>194.345166201155</v>
      </c>
      <c r="J562" s="6" t="n">
        <f aca="false">Sens!J554+Sens!J561</f>
        <v>206.532469278483</v>
      </c>
      <c r="K562" s="6" t="n">
        <f aca="false">Sens!K554+Sens!K561</f>
        <v>220.080646061103</v>
      </c>
    </row>
    <row r="563" customFormat="false" ht="15" hidden="false" customHeight="false" outlineLevel="0" collapsed="false">
      <c r="A563" s="1" t="s">
        <v>924</v>
      </c>
      <c r="B563" s="0" t="s">
        <v>98</v>
      </c>
      <c r="D563" s="6" t="n">
        <f aca="false">Q!L29</f>
        <v>21.795</v>
      </c>
      <c r="E563" s="6" t="n">
        <f aca="false">Q!M29</f>
        <v>32.185</v>
      </c>
      <c r="F563" s="6" t="n">
        <f aca="false">Sens!F562*tax_f</f>
        <v>34.2163853967118</v>
      </c>
      <c r="G563" s="6" t="n">
        <f aca="false">Sens!G562*tax_f</f>
        <v>36.0828239537733</v>
      </c>
      <c r="H563" s="6" t="n">
        <f aca="false">Sens!H562*tax_f</f>
        <v>36.7014874664042</v>
      </c>
      <c r="I563" s="6" t="n">
        <f aca="false">Sens!I562*tax_f</f>
        <v>38.8690332402309</v>
      </c>
      <c r="J563" s="6" t="n">
        <f aca="false">Sens!J562*tax_f</f>
        <v>41.3064938556965</v>
      </c>
      <c r="K563" s="6" t="n">
        <f aca="false">Sens!K562*tax_f</f>
        <v>44.0161292122206</v>
      </c>
    </row>
    <row r="564" customFormat="false" ht="15" hidden="false" customHeight="false" outlineLevel="0" collapsed="false">
      <c r="A564" s="1" t="s">
        <v>925</v>
      </c>
      <c r="B564" s="0" t="s">
        <v>98</v>
      </c>
      <c r="D564" s="6" t="n">
        <f aca="false">Sens!D562-Sens!D563</f>
        <v>101.832</v>
      </c>
      <c r="E564" s="6" t="n">
        <f aca="false">Sens!E562-Sens!E563</f>
        <v>133.749</v>
      </c>
      <c r="F564" s="6" t="n">
        <f aca="false">Sens!F562-Sens!F563</f>
        <v>136.865541586847</v>
      </c>
      <c r="G564" s="6" t="n">
        <f aca="false">Sens!G562-Sens!G563</f>
        <v>144.331295815093</v>
      </c>
      <c r="H564" s="6" t="n">
        <f aca="false">Sens!H562-Sens!H563</f>
        <v>146.805949865617</v>
      </c>
      <c r="I564" s="6" t="n">
        <f aca="false">Sens!I562-Sens!I563</f>
        <v>155.476132960924</v>
      </c>
      <c r="J564" s="6" t="n">
        <f aca="false">Sens!J562-Sens!J563</f>
        <v>165.225975422786</v>
      </c>
      <c r="K564" s="6" t="n">
        <f aca="false">Sens!K562-Sens!K563</f>
        <v>176.064516848882</v>
      </c>
    </row>
    <row r="565" customFormat="false" ht="17.15" hidden="false" customHeight="false" outlineLevel="0" collapsed="false">
      <c r="A565" s="1" t="s">
        <v>926</v>
      </c>
      <c r="B565" s="1" t="s">
        <v>81</v>
      </c>
      <c r="D565" s="14" t="n">
        <f aca="false">Q!L31</f>
        <v>7.465</v>
      </c>
      <c r="E565" s="14" t="n">
        <f aca="false">Q!M31</f>
        <v>7.453</v>
      </c>
      <c r="F565" s="14" t="n">
        <f aca="false">Sens!F608</f>
        <v>7.4735</v>
      </c>
      <c r="G565" s="14" t="n">
        <f aca="false">Sens!G608</f>
        <v>7.5185</v>
      </c>
      <c r="H565" s="14" t="n">
        <f aca="false">Sens!H608</f>
        <v>7.55846494605811</v>
      </c>
      <c r="I565" s="14" t="n">
        <f aca="false">Sens!I608</f>
        <v>7.58245913827359</v>
      </c>
      <c r="J565" s="14" t="n">
        <f aca="false">Sens!J608</f>
        <v>7.59670064939147</v>
      </c>
      <c r="K565" s="14" t="n">
        <f aca="false">Sens!K608</f>
        <v>7.61322056709322</v>
      </c>
    </row>
    <row r="566" customFormat="false" ht="17.15" hidden="false" customHeight="false" outlineLevel="0" collapsed="false">
      <c r="A566" s="0" t="s">
        <v>927</v>
      </c>
      <c r="B566" s="0" t="s">
        <v>75</v>
      </c>
      <c r="D566" s="8" t="n">
        <f aca="false">Sens!D564/Sens!D565</f>
        <v>13.641259209645</v>
      </c>
      <c r="E566" s="8" t="n">
        <f aca="false">Sens!E564/Sens!E565</f>
        <v>17.9456594659869</v>
      </c>
      <c r="F566" s="8" t="n">
        <f aca="false">Sens!F564/Sens!F565</f>
        <v>18.3134463888201</v>
      </c>
      <c r="G566" s="8" t="n">
        <f aca="false">Sens!G564/Sens!G565</f>
        <v>19.1968206178218</v>
      </c>
      <c r="H566" s="8" t="n">
        <f aca="false">Sens!H564/Sens!H565</f>
        <v>19.4227202101637</v>
      </c>
      <c r="I566" s="8" t="n">
        <f aca="false">Sens!I564/Sens!I565</f>
        <v>20.504710955333</v>
      </c>
      <c r="J566" s="8" t="n">
        <f aca="false">Sens!J564/Sens!J565</f>
        <v>21.7497020151796</v>
      </c>
      <c r="K566" s="8" t="n">
        <f aca="false">Sens!K564/Sens!K565</f>
        <v>23.1261547327145</v>
      </c>
      <c r="L566" s="1" t="s">
        <v>928</v>
      </c>
    </row>
    <row r="567" customFormat="false" ht="17.15" hidden="false" customHeight="false" outlineLevel="0" collapsed="false">
      <c r="A567" s="1" t="s">
        <v>929</v>
      </c>
      <c r="B567" s="0" t="s">
        <v>98</v>
      </c>
      <c r="D567" s="6" t="n">
        <f aca="false">Sens!D564</f>
        <v>101.832</v>
      </c>
      <c r="E567" s="6" t="n">
        <f aca="false">Sens!E564</f>
        <v>133.749</v>
      </c>
      <c r="F567" s="6" t="n">
        <f aca="false">Sens!F564+Sens!F557*(1-tax_f)</f>
        <v>136.865541586847</v>
      </c>
      <c r="G567" s="6" t="n">
        <f aca="false">Sens!G564+Sens!G557*(1-tax_f)</f>
        <v>144.331295815093</v>
      </c>
      <c r="H567" s="6" t="n">
        <f aca="false">Sens!H564+Sens!H557*(1-tax_f)</f>
        <v>146.805949865617</v>
      </c>
      <c r="I567" s="6" t="n">
        <f aca="false">Sens!I564+Sens!I557*(1-tax_f)</f>
        <v>155.476132960924</v>
      </c>
      <c r="J567" s="6" t="n">
        <f aca="false">Sens!J564+Sens!J557*(1-tax_f)</f>
        <v>165.225975422786</v>
      </c>
      <c r="K567" s="6" t="n">
        <f aca="false">Sens!K564+Sens!K557*(1-tax_f)</f>
        <v>176.064516848882</v>
      </c>
    </row>
    <row r="568" customFormat="false" ht="17.15" hidden="false" customHeight="false" outlineLevel="0" collapsed="false">
      <c r="A568" s="0" t="s">
        <v>930</v>
      </c>
      <c r="B568" s="0" t="s">
        <v>75</v>
      </c>
      <c r="D568" s="8" t="n">
        <f aca="false">Sens!D567/Sens!D565</f>
        <v>13.641259209645</v>
      </c>
      <c r="E568" s="8" t="n">
        <f aca="false">Sens!E567/Sens!E565</f>
        <v>17.9456594659869</v>
      </c>
      <c r="F568" s="8" t="n">
        <f aca="false">Sens!F567/Sens!F565</f>
        <v>18.3134463888201</v>
      </c>
      <c r="G568" s="8" t="n">
        <f aca="false">Sens!G567/Sens!G565</f>
        <v>19.1968206178218</v>
      </c>
      <c r="H568" s="8" t="n">
        <f aca="false">Sens!H567/Sens!H565</f>
        <v>19.4227202101637</v>
      </c>
      <c r="I568" s="8" t="n">
        <f aca="false">Sens!I567/Sens!I565</f>
        <v>20.504710955333</v>
      </c>
      <c r="J568" s="8" t="n">
        <f aca="false">Sens!J567/Sens!J565</f>
        <v>21.7497020151796</v>
      </c>
      <c r="K568" s="8" t="n">
        <f aca="false">Sens!K567/Sens!K565</f>
        <v>23.1261547327145</v>
      </c>
      <c r="L568" s="1" t="s">
        <v>931</v>
      </c>
    </row>
    <row r="569" customFormat="false" ht="17.15" hidden="false" customHeight="false" outlineLevel="0" collapsed="false">
      <c r="A569" s="0" t="s">
        <v>932</v>
      </c>
      <c r="B569" s="0" t="s">
        <v>129</v>
      </c>
      <c r="E569" s="7" t="n">
        <f aca="false">Sens!E568/Sens!D568-1</f>
        <v>0.315542736208578</v>
      </c>
      <c r="F569" s="7" t="n">
        <f aca="false">Sens!F568/Sens!E568-1</f>
        <v>0.0204944779839564</v>
      </c>
      <c r="G569" s="7" t="n">
        <f aca="false">Sens!G568/Sens!F568-1</f>
        <v>0.0482363728948894</v>
      </c>
      <c r="H569" s="7" t="n">
        <f aca="false">Sens!H568/Sens!G568-1</f>
        <v>0.011767552390014</v>
      </c>
      <c r="I569" s="7" t="n">
        <f aca="false">Sens!I568/Sens!H568-1</f>
        <v>0.0557074772978059</v>
      </c>
      <c r="J569" s="7" t="n">
        <f aca="false">Sens!J568/Sens!I568-1</f>
        <v>0.0607173182084173</v>
      </c>
      <c r="K569" s="7" t="n">
        <f aca="false">Sens!K568/Sens!J568-1</f>
        <v>0.0632860494628493</v>
      </c>
    </row>
    <row r="570" customFormat="false" ht="17.15" hidden="false" customHeight="false" outlineLevel="0" collapsed="false">
      <c r="A570" s="0" t="s">
        <v>856</v>
      </c>
      <c r="B570" s="0" t="s">
        <v>98</v>
      </c>
      <c r="E570" s="6" t="n">
        <f aca="false">Sens!E511</f>
        <v>5.25</v>
      </c>
      <c r="F570" s="6" t="n">
        <f aca="false">Sens!F511</f>
        <v>10.5</v>
      </c>
      <c r="G570" s="6" t="n">
        <f aca="false">Sens!G511</f>
        <v>13.5</v>
      </c>
      <c r="H570" s="6" t="n">
        <f aca="false">Sens!H511</f>
        <v>16.5</v>
      </c>
      <c r="I570" s="6" t="n">
        <f aca="false">Sens!I511</f>
        <v>18.75</v>
      </c>
      <c r="J570" s="6" t="n">
        <f aca="false">Sens!J511</f>
        <v>20.25</v>
      </c>
      <c r="K570" s="6" t="n">
        <f aca="false">Sens!K511</f>
        <v>21.75</v>
      </c>
    </row>
    <row r="571" customFormat="false" ht="17.15" hidden="false" customHeight="false" outlineLevel="0" collapsed="false">
      <c r="A571" s="1" t="s">
        <v>857</v>
      </c>
      <c r="B571" s="0" t="s">
        <v>98</v>
      </c>
      <c r="F571" s="6" t="n">
        <f aca="false">MAX(0,((Sens!E474+Sens!F474)/2-(shadow_base*(Sens!$D$474+Sens!$E$474)/2+(1-shadow_base)*Sens!$E$474))*Sens!F482/1000-(Sens!F570-Sens!$E$570)*Sens!F550)</f>
        <v>10.1553565002727</v>
      </c>
      <c r="G571" s="6" t="n">
        <f aca="false">MAX(0,((Sens!F474+Sens!G474)/2-(shadow_base*(Sens!$D$474+Sens!$E$474)/2+(1-shadow_base)*Sens!$E$474))*Sens!G482/1000-(Sens!G570-Sens!$E$570)*Sens!G550)</f>
        <v>26.5039384396555</v>
      </c>
      <c r="H571" s="6" t="n">
        <f aca="false">MAX(0,((Sens!G474+Sens!H474)/2-(shadow_base*(Sens!$D$474+Sens!$E$474)/2+(1-shadow_base)*Sens!$E$474))*Sens!H482/1000-(Sens!H570-Sens!$E$570)*Sens!H550)</f>
        <v>44.38649932956</v>
      </c>
      <c r="I571" s="6" t="n">
        <f aca="false">MAX(0,((Sens!H474+Sens!I474)/2-(shadow_base*(Sens!$D$474+Sens!$E$474)/2+(1-shadow_base)*Sens!$E$474))*Sens!I482/1000-(Sens!I570-Sens!$E$570)*Sens!I550)</f>
        <v>60.5028524913745</v>
      </c>
      <c r="J571" s="6" t="n">
        <f aca="false">MAX(0,((Sens!I474+Sens!J474)/2-(shadow_base*(Sens!$D$474+Sens!$E$474)/2+(1-shadow_base)*Sens!$E$474))*Sens!J482/1000-(Sens!J570-Sens!$E$570)*Sens!J550)</f>
        <v>71.8788124586976</v>
      </c>
      <c r="K571" s="6" t="n">
        <f aca="false">MAX(0,((Sens!J474+Sens!K474)/2-(shadow_base*(Sens!$D$474+Sens!$E$474)/2+(1-shadow_base)*Sens!$E$474))*Sens!K482/1000-(Sens!K570-Sens!$E$570)*Sens!K550)</f>
        <v>78.7789222270768</v>
      </c>
      <c r="L571" s="1" t="s">
        <v>858</v>
      </c>
    </row>
    <row r="572" customFormat="false" ht="17.15" hidden="false" customHeight="false" outlineLevel="0" collapsed="false">
      <c r="A572" s="1" t="s">
        <v>859</v>
      </c>
      <c r="B572" s="0" t="s">
        <v>98</v>
      </c>
      <c r="F572" s="6" t="n">
        <f aca="false">IF(1=2,1,0)*Sens!F571</f>
        <v>0</v>
      </c>
      <c r="G572" s="6" t="n">
        <f aca="false">IF(1=2,1,0)*Sens!G571</f>
        <v>0</v>
      </c>
      <c r="H572" s="6" t="n">
        <f aca="false">IF(1=2,1,0)*Sens!H571</f>
        <v>0</v>
      </c>
      <c r="I572" s="6" t="n">
        <f aca="false">IF(1=2,1,0)*Sens!I571</f>
        <v>0</v>
      </c>
      <c r="J572" s="6" t="n">
        <f aca="false">IF(1=2,1,0)*Sens!J571</f>
        <v>0</v>
      </c>
      <c r="K572" s="6" t="n">
        <f aca="false">IF(1=2,1,0)*Sens!K571</f>
        <v>0</v>
      </c>
    </row>
    <row r="573" customFormat="false" ht="17.15" hidden="false" customHeight="false" outlineLevel="0" collapsed="false">
      <c r="A573" s="0" t="s">
        <v>860</v>
      </c>
      <c r="B573" s="0" t="s">
        <v>98</v>
      </c>
      <c r="F573" s="6" t="n">
        <f aca="false">Sens!F491+Sens!F570*Sens!F550+Sens!F572-Sens!F492-Sens!F502</f>
        <v>0.469579815298722</v>
      </c>
      <c r="G573" s="6" t="n">
        <f aca="false">Sens!G491+Sens!G570*Sens!G550+Sens!G572-Sens!G492-Sens!G502</f>
        <v>-9.95164687653214</v>
      </c>
      <c r="H573" s="6" t="n">
        <f aca="false">Sens!H491+Sens!H570*Sens!H550+Sens!H572-Sens!H492-Sens!H502</f>
        <v>-26.9239842048021</v>
      </c>
      <c r="I573" s="6" t="n">
        <f aca="false">Sens!I491+Sens!I570*Sens!I550+Sens!I572-Sens!I492-Sens!I502</f>
        <v>-35.7733466987675</v>
      </c>
      <c r="J573" s="6" t="n">
        <f aca="false">Sens!J491+Sens!J570*Sens!J550+Sens!J572-Sens!J492-Sens!J502</f>
        <v>-42.1266071460556</v>
      </c>
      <c r="K573" s="6" t="n">
        <f aca="false">Sens!K491+Sens!K570*Sens!K550+Sens!K572-Sens!K492-Sens!K502</f>
        <v>-45.1820462297102</v>
      </c>
    </row>
    <row r="574" customFormat="false" ht="17.15" hidden="false" customHeight="false" outlineLevel="0" collapsed="false">
      <c r="A574" s="0" t="s">
        <v>861</v>
      </c>
      <c r="B574" s="0" t="s">
        <v>98</v>
      </c>
      <c r="E574" s="6" t="n">
        <f aca="false">Sens!E473*(cxit_open+self_build*tk_cxfac)/1000*ai_net_open</f>
        <v>126.6980382</v>
      </c>
      <c r="F574" s="6" t="n">
        <f aca="false">Sens!E574+Sens!F499-Sens!F502</f>
        <v>252.981026690511</v>
      </c>
      <c r="G574" s="6" t="n">
        <f aca="false">Sens!F574+Sens!G499-Sens!G502</f>
        <v>377.4297700632</v>
      </c>
      <c r="H574" s="6" t="n">
        <f aca="false">Sens!G574+Sens!H499-Sens!H502</f>
        <v>479.149036130289</v>
      </c>
      <c r="I574" s="6" t="n">
        <f aca="false">Sens!H574+Sens!I499-Sens!I502</f>
        <v>532.249961452141</v>
      </c>
      <c r="J574" s="6" t="n">
        <f aca="false">Sens!I574+Sens!J499-Sens!J502</f>
        <v>531.43307519354</v>
      </c>
      <c r="K574" s="6" t="n">
        <f aca="false">Sens!J574+Sens!K499-Sens!K502</f>
        <v>513.709026452823</v>
      </c>
      <c r="L574" s="1" t="s">
        <v>862</v>
      </c>
    </row>
    <row r="575" customFormat="false" ht="17.15" hidden="false" customHeight="false" outlineLevel="0" collapsed="false">
      <c r="A575" s="0" t="s">
        <v>863</v>
      </c>
      <c r="B575" s="0" t="s">
        <v>129</v>
      </c>
      <c r="F575" s="7" t="n">
        <f aca="false">Sens!F573*(1-tax_f)/((Sens!E574+Sens!F574)/2)</f>
        <v>0.00197884943878751</v>
      </c>
      <c r="G575" s="7" t="n">
        <f aca="false">Sens!G573*(1-tax_f)/((Sens!F574+Sens!G574)/2)</f>
        <v>-0.0252575544144306</v>
      </c>
      <c r="H575" s="7" t="n">
        <f aca="false">Sens!H573*(1-tax_f)/((Sens!G574+Sens!H574)/2)</f>
        <v>-0.0502911984468976</v>
      </c>
      <c r="I575" s="7" t="n">
        <f aca="false">Sens!I573*(1-tax_f)/((Sens!H574+Sens!I574)/2)</f>
        <v>-0.0565922596866754</v>
      </c>
      <c r="J575" s="7" t="n">
        <f aca="false">Sens!J573*(1-tax_f)/((Sens!I574+Sens!J574)/2)</f>
        <v>-0.0633671583653741</v>
      </c>
      <c r="K575" s="7" t="n">
        <f aca="false">Sens!K573*(1-tax_f)/((Sens!J574+Sens!K574)/2)</f>
        <v>-0.0691688468521738</v>
      </c>
    </row>
    <row r="576" customFormat="false" ht="17.15" hidden="false" customHeight="false" outlineLevel="0" collapsed="false">
      <c r="A576" s="1" t="s">
        <v>864</v>
      </c>
      <c r="B576" s="0" t="s">
        <v>129</v>
      </c>
      <c r="F576" s="7" t="n">
        <f aca="false">(Sens!F573-Sens!F572)*(1-tax_f)/((Sens!E574+Sens!F574)/2)</f>
        <v>0.00197884943878751</v>
      </c>
      <c r="G576" s="7" t="n">
        <f aca="false">(Sens!G573-Sens!G572)*(1-tax_f)/((Sens!F574+Sens!G574)/2)</f>
        <v>-0.0252575544144306</v>
      </c>
      <c r="H576" s="7" t="n">
        <f aca="false">(Sens!H573-Sens!H572)*(1-tax_f)/((Sens!G574+Sens!H574)/2)</f>
        <v>-0.0502911984468976</v>
      </c>
      <c r="I576" s="7" t="n">
        <f aca="false">(Sens!I573-Sens!I572)*(1-tax_f)/((Sens!H574+Sens!I574)/2)</f>
        <v>-0.0565922596866754</v>
      </c>
      <c r="J576" s="7" t="n">
        <f aca="false">(Sens!J573-Sens!J572)*(1-tax_f)/((Sens!I574+Sens!J574)/2)</f>
        <v>-0.0633671583653741</v>
      </c>
      <c r="K576" s="7" t="n">
        <f aca="false">(Sens!K573-Sens!K572)*(1-tax_f)/((Sens!J574+Sens!K574)/2)</f>
        <v>-0.0691688468521738</v>
      </c>
    </row>
    <row r="577" customFormat="false" ht="17.15" hidden="false" customHeight="false" outlineLevel="0" collapsed="false">
      <c r="A577" s="1" t="s">
        <v>865</v>
      </c>
      <c r="B577" s="0" t="s">
        <v>129</v>
      </c>
      <c r="F577" s="7" t="n">
        <f aca="false">(Sens!F573-Sens!F572+Sens!F571)*(1-tax_f)/((Sens!E574+Sens!F574)/2)</f>
        <v>0.0447743888903029</v>
      </c>
      <c r="G577" s="7" t="n">
        <f aca="false">(Sens!G573-Sens!G572+Sens!G571)*(1-tax_f)/((Sens!F574+Sens!G574)/2)</f>
        <v>0.0420101727910983</v>
      </c>
      <c r="H577" s="7" t="n">
        <f aca="false">(Sens!H573-Sens!H572+Sens!H571)*(1-tax_f)/((Sens!G574+Sens!H574)/2)</f>
        <v>0.0326181595874103</v>
      </c>
      <c r="I577" s="7" t="n">
        <f aca="false">(Sens!I573-Sens!I572+Sens!I571)*(1-tax_f)/((Sens!H574+Sens!I574)/2)</f>
        <v>0.0391212660510339</v>
      </c>
      <c r="J577" s="7" t="n">
        <f aca="false">(Sens!J573-Sens!J572+Sens!J571)*(1-tax_f)/((Sens!I574+Sens!J574)/2)</f>
        <v>0.0447534903351892</v>
      </c>
      <c r="K577" s="7" t="n">
        <f aca="false">(Sens!K573-Sens!K572+Sens!K571)*(1-tax_f)/((Sens!J574+Sens!K574)/2)</f>
        <v>0.0514331989029135</v>
      </c>
    </row>
    <row r="578" customFormat="false" ht="17.15" hidden="false" customHeight="false" outlineLevel="0" collapsed="false">
      <c r="A578" s="1" t="s">
        <v>866</v>
      </c>
      <c r="B578" s="0" t="s">
        <v>129</v>
      </c>
      <c r="F578" s="7" t="n">
        <f aca="false">Sens!F503*(1-tax_f)/(Sens!F490*(Sens!E574+Sens!F574)/2)</f>
        <v>0.102735279953254</v>
      </c>
      <c r="G578" s="7" t="n">
        <f aca="false">Sens!G503*(1-tax_f)/(Sens!G490*(Sens!F574+Sens!G574)/2)</f>
        <v>0.0709600152423962</v>
      </c>
      <c r="H578" s="7" t="n">
        <f aca="false">Sens!H503*(1-tax_f)/(Sens!H490*(Sens!G574+Sens!H574)/2)</f>
        <v>0.0419126501774916</v>
      </c>
      <c r="I578" s="7" t="n">
        <f aca="false">Sens!I503*(1-tax_f)/(Sens!I490*(Sens!H574+Sens!I574)/2)</f>
        <v>0.044576811268173</v>
      </c>
      <c r="J578" s="7" t="n">
        <f aca="false">Sens!J503*(1-tax_f)/(Sens!J490*(Sens!I574+Sens!J574)/2)</f>
        <v>0.0483882076863038</v>
      </c>
      <c r="K578" s="7" t="n">
        <f aca="false">Sens!K503*(1-tax_f)/(Sens!K490*(Sens!J574+Sens!K574)/2)</f>
        <v>0.0544871874286225</v>
      </c>
    </row>
    <row r="579" customFormat="false" ht="17.15" hidden="false" customHeight="false" outlineLevel="0" collapsed="false">
      <c r="A579" s="0" t="s">
        <v>867</v>
      </c>
      <c r="B579" s="0" t="s">
        <v>209</v>
      </c>
      <c r="F579" s="7" t="n">
        <f aca="false">Sens!F575-wacc</f>
        <v>-0.100955570654088</v>
      </c>
      <c r="G579" s="7" t="n">
        <f aca="false">Sens!G575-wacc</f>
        <v>-0.128191974507306</v>
      </c>
      <c r="H579" s="7" t="n">
        <f aca="false">Sens!H575-wacc</f>
        <v>-0.153225618539773</v>
      </c>
      <c r="I579" s="7" t="n">
        <f aca="false">Sens!I575-wacc</f>
        <v>-0.159526679779551</v>
      </c>
      <c r="J579" s="7" t="n">
        <f aca="false">Sens!J575-wacc</f>
        <v>-0.16630157845825</v>
      </c>
      <c r="K579" s="7" t="n">
        <f aca="false">Sens!K575-wacc</f>
        <v>-0.17210326694505</v>
      </c>
    </row>
    <row r="580" customFormat="false" ht="17.15" hidden="false" customHeight="false" outlineLevel="0" collapsed="false">
      <c r="A580" s="0" t="s">
        <v>868</v>
      </c>
      <c r="B580" s="0" t="s">
        <v>98</v>
      </c>
      <c r="F580" s="6" t="n">
        <f aca="false">Sens!F573*(1-tax_f)-wacc*(Sens!E574+Sens!F574)/2</f>
        <v>-19.1653583307161</v>
      </c>
      <c r="G580" s="6" t="n">
        <f aca="false">Sens!G573*(1-tax_f)-wacc*(Sens!F574+Sens!G574)/2</f>
        <v>-40.4068023932912</v>
      </c>
      <c r="H580" s="6" t="n">
        <f aca="false">Sens!H573*(1-tax_f)-wacc*(Sens!G574+Sens!H574)/2</f>
        <v>-65.624908703529</v>
      </c>
      <c r="I580" s="6" t="n">
        <f aca="false">Sens!I573*(1-tax_f)-wacc*(Sens!H574+Sens!I574)/2</f>
        <v>-80.6725620083457</v>
      </c>
      <c r="J580" s="6" t="n">
        <f aca="false">Sens!J573*(1-tax_f)-wacc*(Sens!I574+Sens!J574)/2</f>
        <v>-88.4460839867206</v>
      </c>
      <c r="K580" s="6" t="n">
        <f aca="false">Sens!K573*(1-tax_f)-wacc*(Sens!J574+Sens!K574)/2</f>
        <v>-89.9361850575771</v>
      </c>
    </row>
    <row r="581" customFormat="false" ht="17.15" hidden="false" customHeight="false" outlineLevel="0" collapsed="false">
      <c r="A581" s="3" t="s">
        <v>1275</v>
      </c>
    </row>
    <row r="582" customFormat="false" ht="15" hidden="false" customHeight="false" outlineLevel="0" collapsed="false">
      <c r="A582" s="4" t="s">
        <v>43</v>
      </c>
      <c r="B582" s="4" t="s">
        <v>65</v>
      </c>
      <c r="C582" s="20" t="s">
        <v>799</v>
      </c>
      <c r="D582" s="20" t="s">
        <v>800</v>
      </c>
      <c r="E582" s="20" t="s">
        <v>801</v>
      </c>
      <c r="F582" s="20" t="s">
        <v>802</v>
      </c>
      <c r="G582" s="20" t="s">
        <v>803</v>
      </c>
      <c r="H582" s="20" t="s">
        <v>804</v>
      </c>
      <c r="I582" s="20" t="s">
        <v>805</v>
      </c>
      <c r="J582" s="20" t="s">
        <v>806</v>
      </c>
      <c r="K582" s="20" t="s">
        <v>807</v>
      </c>
      <c r="L582" s="4" t="s">
        <v>47</v>
      </c>
    </row>
    <row r="583" customFormat="false" ht="15" hidden="false" customHeight="false" outlineLevel="0" collapsed="false">
      <c r="A583" s="1" t="s">
        <v>925</v>
      </c>
      <c r="B583" s="0" t="s">
        <v>98</v>
      </c>
      <c r="F583" s="6" t="n">
        <f aca="false">Sens!F564</f>
        <v>136.865541586847</v>
      </c>
      <c r="G583" s="6" t="n">
        <f aca="false">Sens!G564</f>
        <v>144.331295815093</v>
      </c>
      <c r="H583" s="6" t="n">
        <f aca="false">Sens!H564</f>
        <v>146.805949865617</v>
      </c>
      <c r="I583" s="6" t="n">
        <f aca="false">Sens!I564</f>
        <v>155.476132960924</v>
      </c>
      <c r="J583" s="6" t="n">
        <f aca="false">Sens!J564</f>
        <v>165.225975422786</v>
      </c>
      <c r="K583" s="6" t="n">
        <f aca="false">Sens!K564</f>
        <v>176.064516848882</v>
      </c>
    </row>
    <row r="584" customFormat="false" ht="17.15" hidden="false" customHeight="false" outlineLevel="0" collapsed="false">
      <c r="A584" s="1" t="s">
        <v>947</v>
      </c>
      <c r="B584" s="0" t="s">
        <v>98</v>
      </c>
      <c r="E584" s="6" t="n">
        <f aca="false">Q!M38-Sens!E502</f>
        <v>22.2285940229167</v>
      </c>
      <c r="F584" s="6" t="n">
        <f aca="false">Sens!E584*(1-1/life_nonai)+(Sens!F591+Sens!F592)/life_nonai</f>
        <v>24.3924470334783</v>
      </c>
      <c r="G584" s="6" t="n">
        <f aca="false">Sens!F584*(1-1/life_nonai)+(Sens!G591)/life_nonai</f>
        <v>26.0234916871694</v>
      </c>
      <c r="H584" s="6" t="n">
        <f aca="false">Sens!G584*(1-1/life_nonai)+(Sens!H591)/life_nonai</f>
        <v>28.0272938828615</v>
      </c>
      <c r="I584" s="6" t="n">
        <f aca="false">Sens!H584*(1-1/life_nonai)+(Sens!I591)/life_nonai</f>
        <v>30.3469045257397</v>
      </c>
      <c r="J584" s="6" t="n">
        <f aca="false">Sens!I584*(1-1/life_nonai)+(Sens!J591)/life_nonai</f>
        <v>32.9078053982031</v>
      </c>
      <c r="K584" s="6" t="n">
        <f aca="false">Sens!J584*(1-1/life_nonai)+(Sens!K591)/life_nonai</f>
        <v>35.6263951325822</v>
      </c>
      <c r="L584" s="11" t="s">
        <v>948</v>
      </c>
    </row>
    <row r="585" customFormat="false" ht="17.15" hidden="false" customHeight="false" outlineLevel="0" collapsed="false">
      <c r="A585" s="1" t="s">
        <v>949</v>
      </c>
      <c r="B585" s="0" t="s">
        <v>98</v>
      </c>
      <c r="F585" s="6" t="n">
        <f aca="false">Sens!$F$592/life_nonai*(1-1/life_nonai)^(Sens!F468-2027)</f>
        <v>0.843777689897088</v>
      </c>
      <c r="G585" s="6" t="n">
        <f aca="false">Sens!$F$592/life_nonai*(1-1/life_nonai)^(Sens!G468-2027)</f>
        <v>0.759399920907379</v>
      </c>
      <c r="H585" s="6" t="n">
        <f aca="false">Sens!$F$592/life_nonai*(1-1/life_nonai)^(Sens!H468-2027)</f>
        <v>0.683459928816641</v>
      </c>
      <c r="I585" s="6" t="n">
        <f aca="false">Sens!$F$592/life_nonai*(1-1/life_nonai)^(Sens!I468-2027)</f>
        <v>0.615113935934977</v>
      </c>
      <c r="J585" s="6" t="n">
        <f aca="false">Sens!$F$592/life_nonai*(1-1/life_nonai)^(Sens!J468-2027)</f>
        <v>0.55360254234148</v>
      </c>
      <c r="K585" s="6" t="n">
        <f aca="false">Sens!$F$592/life_nonai*(1-1/life_nonai)^(Sens!K468-2027)</f>
        <v>0.498242288107332</v>
      </c>
      <c r="L585" s="1" t="s">
        <v>950</v>
      </c>
    </row>
    <row r="586" customFormat="false" ht="17.15" hidden="false" customHeight="false" outlineLevel="0" collapsed="false">
      <c r="A586" s="1" t="s">
        <v>951</v>
      </c>
      <c r="B586" s="0" t="s">
        <v>98</v>
      </c>
      <c r="E586" s="6" t="n">
        <f aca="false">Sens!E502+Sens!E584</f>
        <v>38.534</v>
      </c>
      <c r="F586" s="6" t="n">
        <f aca="false">Sens!F502+Sens!F584</f>
        <v>58.4423344144339</v>
      </c>
      <c r="G586" s="6" t="n">
        <f aca="false">Sens!G502+Sens!G584</f>
        <v>85.1489287976805</v>
      </c>
      <c r="H586" s="6" t="n">
        <f aca="false">Sens!H502+Sens!H584</f>
        <v>114.388313726173</v>
      </c>
      <c r="I586" s="6" t="n">
        <f aca="false">Sens!I502+Sens!I584</f>
        <v>140.952648358132</v>
      </c>
      <c r="J586" s="6" t="n">
        <f aca="false">Sens!J502+Sens!J584</f>
        <v>160.906128251046</v>
      </c>
      <c r="K586" s="6" t="n">
        <f aca="false">Sens!K502+Sens!K584</f>
        <v>174.75785917689</v>
      </c>
    </row>
    <row r="587" customFormat="false" ht="17.15" hidden="false" customHeight="false" outlineLevel="0" collapsed="false">
      <c r="A587" s="1" t="s">
        <v>952</v>
      </c>
      <c r="B587" s="0" t="s">
        <v>98</v>
      </c>
      <c r="F587" s="6" t="n">
        <f aca="false">Sens!F529*sbc_r</f>
        <v>14.7102349124428</v>
      </c>
      <c r="G587" s="6" t="n">
        <f aca="false">Sens!G529*sbc_r</f>
        <v>17.061233875013</v>
      </c>
      <c r="H587" s="6" t="n">
        <f aca="false">Sens!H529*sbc_r</f>
        <v>19.2644849659525</v>
      </c>
      <c r="I587" s="6" t="n">
        <f aca="false">Sens!I529*sbc_r</f>
        <v>21.5744080153289</v>
      </c>
      <c r="J587" s="6" t="n">
        <f aca="false">Sens!J529*sbc_r</f>
        <v>23.5256320135712</v>
      </c>
      <c r="K587" s="6" t="n">
        <f aca="false">Sens!K529*sbc_r</f>
        <v>25.1388528865318</v>
      </c>
    </row>
    <row r="588" customFormat="false" ht="17.15" hidden="false" customHeight="false" outlineLevel="0" collapsed="false">
      <c r="A588" s="1" t="s">
        <v>953</v>
      </c>
      <c r="B588" s="0" t="s">
        <v>98</v>
      </c>
      <c r="F588" s="6" t="n">
        <f aca="false">wc27</f>
        <v>-4.895</v>
      </c>
      <c r="G588" s="6" t="n">
        <f aca="false">wc_f</f>
        <v>0</v>
      </c>
      <c r="H588" s="6" t="n">
        <f aca="false">wc_f</f>
        <v>0</v>
      </c>
      <c r="I588" s="6" t="n">
        <f aca="false">wc_f</f>
        <v>0</v>
      </c>
      <c r="J588" s="6" t="n">
        <f aca="false">wc_f</f>
        <v>0</v>
      </c>
      <c r="K588" s="6" t="n">
        <f aca="false">wc_f</f>
        <v>0</v>
      </c>
      <c r="L588" s="11" t="s">
        <v>954</v>
      </c>
    </row>
    <row r="589" customFormat="false" ht="15" hidden="false" customHeight="false" outlineLevel="0" collapsed="false">
      <c r="A589" s="1" t="s">
        <v>767</v>
      </c>
      <c r="B589" s="0" t="s">
        <v>98</v>
      </c>
      <c r="E589" s="6" t="n">
        <f aca="false">Q!M35</f>
        <v>182.935</v>
      </c>
      <c r="F589" s="6" t="n">
        <f aca="false">Sens!F583+Sens!F586+Sens!F587+Sens!F588</f>
        <v>205.123110913724</v>
      </c>
      <c r="G589" s="6" t="n">
        <f aca="false">Sens!G583+Sens!G586+Sens!G587+Sens!G588</f>
        <v>246.541458487787</v>
      </c>
      <c r="H589" s="6" t="n">
        <f aca="false">Sens!H583+Sens!H586+Sens!H587+Sens!H588</f>
        <v>280.458748557742</v>
      </c>
      <c r="I589" s="6" t="n">
        <f aca="false">Sens!I583+Sens!I586+Sens!I587+Sens!I588</f>
        <v>318.003189334385</v>
      </c>
      <c r="J589" s="6" t="n">
        <f aca="false">Sens!J583+Sens!J586+Sens!J587+Sens!J588</f>
        <v>349.657735687404</v>
      </c>
      <c r="K589" s="6" t="n">
        <f aca="false">Sens!K583+Sens!K586+Sens!K587+Sens!K588</f>
        <v>375.961228912304</v>
      </c>
    </row>
    <row r="590" customFormat="false" ht="17.15" hidden="false" customHeight="false" outlineLevel="0" collapsed="false">
      <c r="A590" s="0" t="s">
        <v>955</v>
      </c>
      <c r="B590" s="0" t="s">
        <v>98</v>
      </c>
      <c r="F590" s="6" t="n">
        <f aca="false">Sens!F499</f>
        <v>160.332875871467</v>
      </c>
      <c r="G590" s="6" t="n">
        <f aca="false">Sens!G499</f>
        <v>183.5741804832</v>
      </c>
      <c r="H590" s="6" t="n">
        <f aca="false">Sens!H499</f>
        <v>188.0802859104</v>
      </c>
      <c r="I590" s="6" t="n">
        <f aca="false">Sens!I499</f>
        <v>163.706669154245</v>
      </c>
      <c r="J590" s="6" t="n">
        <f aca="false">Sens!J499</f>
        <v>127.181436594242</v>
      </c>
      <c r="K590" s="6" t="n">
        <f aca="false">Sens!K499</f>
        <v>121.407415303591</v>
      </c>
    </row>
    <row r="591" customFormat="false" ht="17.15" hidden="false" customHeight="false" outlineLevel="0" collapsed="false">
      <c r="A591" s="1" t="s">
        <v>956</v>
      </c>
      <c r="B591" s="0" t="s">
        <v>98</v>
      </c>
      <c r="E591" s="6" t="n">
        <f aca="false">Sens!E507*cx_azo+Sens!E514*cx_m365+Sens!E515*cx_lic+(Sens!E517+Sens!E519)*cx_ind+Sens!E522*cx_srch+(Sens!E524+Sens!E526)*cx_dev</f>
        <v>30.1846587067718</v>
      </c>
      <c r="F591" s="6" t="n">
        <f aca="false">Sens!F507*cx_azo+Sens!F514*cx_m365+Sens!F515*cx_lic+(Sens!F517+Sens!F519)*cx_ind+Sens!F522*cx_srch+(Sens!F524+Sens!F526)*cx_dev</f>
        <v>35.4293472295625</v>
      </c>
      <c r="G591" s="6" t="n">
        <f aca="false">Sens!G507*cx_azo+Sens!G514*cx_m365+Sens!G515*cx_lic+(Sens!G517+Sens!G519)*cx_ind+Sens!G522*cx_srch+(Sens!G524+Sens!G526)*cx_dev</f>
        <v>40.7028935703892</v>
      </c>
      <c r="H591" s="6" t="n">
        <f aca="false">Sens!H507*cx_azo+Sens!H514*cx_m365+Sens!H515*cx_lic+(Sens!H517+Sens!H519)*cx_ind+Sens!H522*cx_srch+(Sens!H524+Sens!H526)*cx_dev</f>
        <v>46.0615136440897</v>
      </c>
      <c r="I591" s="6" t="n">
        <f aca="false">Sens!I507*cx_azo+Sens!I514*cx_m365+Sens!I515*cx_lic+(Sens!I517+Sens!I519)*cx_ind+Sens!I522*cx_srch+(Sens!I524+Sens!I526)*cx_dev</f>
        <v>51.2234003116439</v>
      </c>
      <c r="J591" s="6" t="n">
        <f aca="false">Sens!J507*cx_azo+Sens!J514*cx_m365+Sens!J515*cx_lic+(Sens!J517+Sens!J519)*cx_ind+Sens!J522*cx_srch+(Sens!J524+Sens!J526)*cx_dev</f>
        <v>55.9559132503738</v>
      </c>
      <c r="K591" s="6" t="n">
        <f aca="false">Sens!K507*cx_azo+Sens!K514*cx_m365+Sens!K515*cx_lic+(Sens!K517+Sens!K519)*cx_ind+Sens!K522*cx_srch+(Sens!K524+Sens!K526)*cx_dev</f>
        <v>60.093702741994</v>
      </c>
    </row>
    <row r="592" customFormat="false" ht="17.15" hidden="false" customHeight="false" outlineLevel="0" collapsed="false">
      <c r="A592" s="0" t="s">
        <v>957</v>
      </c>
      <c r="B592" s="0" t="s">
        <v>98</v>
      </c>
      <c r="F592" s="6" t="n">
        <f aca="false">Sens!F497</f>
        <v>8.43777689897088</v>
      </c>
      <c r="L592" s="1" t="s">
        <v>958</v>
      </c>
    </row>
    <row r="593" customFormat="false" ht="17.15" hidden="false" customHeight="false" outlineLevel="0" collapsed="false">
      <c r="A593" s="1" t="s">
        <v>959</v>
      </c>
      <c r="B593" s="0" t="s">
        <v>98</v>
      </c>
      <c r="E593" s="6" t="n">
        <f aca="false">Q!M42</f>
        <v>145.3</v>
      </c>
      <c r="F593" s="6" t="n">
        <f aca="false">Sens!F590+Sens!F591+Sens!F592</f>
        <v>204.2</v>
      </c>
      <c r="G593" s="6" t="n">
        <f aca="false">Sens!G590+Sens!G591</f>
        <v>224.277074053589</v>
      </c>
      <c r="H593" s="6" t="n">
        <f aca="false">Sens!H590+Sens!H591</f>
        <v>234.14179955449</v>
      </c>
      <c r="I593" s="6" t="n">
        <f aca="false">Sens!I590+Sens!I591</f>
        <v>214.930069465889</v>
      </c>
      <c r="J593" s="6" t="n">
        <f aca="false">Sens!J590+Sens!J591</f>
        <v>183.137349844616</v>
      </c>
      <c r="K593" s="6" t="n">
        <f aca="false">Sens!K590+Sens!K591</f>
        <v>181.501118045585</v>
      </c>
      <c r="L593" s="1" t="s">
        <v>960</v>
      </c>
    </row>
    <row r="594" customFormat="false" ht="15" hidden="false" customHeight="false" outlineLevel="0" collapsed="false">
      <c r="A594" s="1" t="s">
        <v>961</v>
      </c>
      <c r="B594" s="0" t="s">
        <v>98</v>
      </c>
      <c r="E594" s="6" t="n">
        <f aca="false">fl_liab</f>
        <v>66.594</v>
      </c>
      <c r="F594" s="6" t="n">
        <f aca="false">Sens!E594-Sens!F595</f>
        <v>62.46973</v>
      </c>
      <c r="G594" s="6" t="n">
        <f aca="false">Sens!F594-Sens!G595</f>
        <v>57.98686785</v>
      </c>
      <c r="H594" s="6" t="n">
        <f aca="false">Sens!G594-Sens!H595</f>
        <v>53.92827690325</v>
      </c>
      <c r="I594" s="6" t="n">
        <f aca="false">Sens!H594-Sens!I595</f>
        <v>49.7850493638962</v>
      </c>
      <c r="J594" s="6" t="n">
        <f aca="false">Sens!I594-Sens!J595</f>
        <v>45.4823765852716</v>
      </c>
      <c r="K594" s="6" t="n">
        <f aca="false">Sens!J594-Sens!K595</f>
        <v>40.9860835316088</v>
      </c>
    </row>
    <row r="595" customFormat="false" ht="15" hidden="false" customHeight="false" outlineLevel="0" collapsed="false">
      <c r="A595" s="1" t="s">
        <v>962</v>
      </c>
      <c r="B595" s="0" t="s">
        <v>98</v>
      </c>
      <c r="F595" s="6" t="n">
        <f aca="false">fl_pay_27-Sens!E594*fl_rate</f>
        <v>4.12427</v>
      </c>
      <c r="G595" s="6" t="n">
        <f aca="false">fl_pay_28-Sens!F594*fl_rate</f>
        <v>4.48286215</v>
      </c>
      <c r="H595" s="6" t="n">
        <f aca="false">fl_pay_29-Sens!G594*fl_rate</f>
        <v>4.05859094675</v>
      </c>
      <c r="I595" s="6" t="n">
        <f aca="false">fl_pay_30-Sens!H594*fl_rate</f>
        <v>4.14322753935375</v>
      </c>
      <c r="J595" s="6" t="n">
        <f aca="false">fl_pay_31-Sens!I594*fl_rate</f>
        <v>4.30267277862467</v>
      </c>
      <c r="K595" s="6" t="n">
        <f aca="false">fl_pay_32-Sens!J594*fl_rate</f>
        <v>4.49629305366278</v>
      </c>
    </row>
    <row r="596" customFormat="false" ht="17.15" hidden="false" customHeight="false" outlineLevel="0" collapsed="false">
      <c r="A596" s="1" t="s">
        <v>963</v>
      </c>
      <c r="B596" s="0" t="s">
        <v>98</v>
      </c>
      <c r="E596" s="6" t="n">
        <f aca="false">Q!M35-Q!M36-Q!M43</f>
        <v>63.886</v>
      </c>
      <c r="F596" s="6" t="n">
        <f aca="false">Sens!F589-Sens!F593-Sens!F595</f>
        <v>-3.20115908627637</v>
      </c>
      <c r="G596" s="6" t="n">
        <f aca="false">Sens!G589-Sens!G593-Sens!G595</f>
        <v>17.7815222841974</v>
      </c>
      <c r="H596" s="6" t="n">
        <f aca="false">Sens!H589-Sens!H593-Sens!H595</f>
        <v>42.2583580565023</v>
      </c>
      <c r="I596" s="6" t="n">
        <f aca="false">Sens!I589-Sens!I593-Sens!I595</f>
        <v>98.9298923291419</v>
      </c>
      <c r="J596" s="6" t="n">
        <f aca="false">Sens!J589-Sens!J593-Sens!J595</f>
        <v>162.217713064163</v>
      </c>
      <c r="K596" s="6" t="n">
        <f aca="false">Sens!K589-Sens!K593-Sens!K595</f>
        <v>189.963817813057</v>
      </c>
      <c r="L596" s="11" t="s">
        <v>964</v>
      </c>
    </row>
    <row r="597" customFormat="false" ht="15" hidden="false" customHeight="false" outlineLevel="0" collapsed="false">
      <c r="A597" s="1" t="s">
        <v>965</v>
      </c>
      <c r="B597" s="0" t="s">
        <v>75</v>
      </c>
      <c r="F597" s="8" t="n">
        <f aca="false">dps_27</f>
        <v>3.85</v>
      </c>
      <c r="G597" s="8" t="n">
        <f aca="false">Sens!F597*(1+dps_g)</f>
        <v>4.158</v>
      </c>
      <c r="H597" s="8" t="n">
        <f aca="false">Sens!G597*(1+dps_g)</f>
        <v>4.49064</v>
      </c>
      <c r="I597" s="8" t="n">
        <f aca="false">Sens!H597*(1+dps_g)</f>
        <v>4.8498912</v>
      </c>
      <c r="J597" s="8" t="n">
        <f aca="false">Sens!I597*(1+dps_g)</f>
        <v>5.237882496</v>
      </c>
      <c r="K597" s="8" t="n">
        <f aca="false">Sens!J597*(1+dps_g)</f>
        <v>5.65691309568</v>
      </c>
    </row>
    <row r="598" customFormat="false" ht="17.15" hidden="false" customHeight="false" outlineLevel="0" collapsed="false">
      <c r="A598" s="1" t="s">
        <v>966</v>
      </c>
      <c r="B598" s="0" t="s">
        <v>98</v>
      </c>
      <c r="E598" s="6" t="n">
        <f aca="false">Q!M41</f>
        <v>26.445</v>
      </c>
      <c r="F598" s="6" t="n">
        <f aca="false">Sens!F597*Sens!E607</f>
        <v>28.59395</v>
      </c>
      <c r="G598" s="6" t="n">
        <f aca="false">Sens!G597*Sens!F607</f>
        <v>31.068576</v>
      </c>
      <c r="H598" s="6" t="n">
        <f aca="false">Sens!H597*Sens!G607</f>
        <v>33.75614088</v>
      </c>
      <c r="I598" s="6" t="n">
        <f aca="false">Sens!I597*Sens!H607</f>
        <v>36.6260383267915</v>
      </c>
      <c r="J598" s="6" t="n">
        <f aca="false">Sens!J597*Sens!I607</f>
        <v>39.6245202412542</v>
      </c>
      <c r="K598" s="6" t="n">
        <f aca="false">Sens!K597*Sens!J607</f>
        <v>42.8817370858596</v>
      </c>
      <c r="L598" s="1" t="s">
        <v>967</v>
      </c>
    </row>
    <row r="599" customFormat="false" ht="15" hidden="false" customHeight="false" outlineLevel="0" collapsed="false">
      <c r="A599" s="1" t="s">
        <v>968</v>
      </c>
      <c r="B599" s="0" t="s">
        <v>98</v>
      </c>
      <c r="E599" s="6" t="n">
        <f aca="false">Sens!E596-Sens!E598</f>
        <v>37.441</v>
      </c>
      <c r="F599" s="6" t="n">
        <f aca="false">Sens!F596-Sens!F598</f>
        <v>-31.7951090862764</v>
      </c>
      <c r="G599" s="6" t="n">
        <f aca="false">Sens!G596-Sens!G598</f>
        <v>-13.2870537158026</v>
      </c>
      <c r="H599" s="6" t="n">
        <f aca="false">Sens!H596-Sens!H598</f>
        <v>8.50221717650231</v>
      </c>
      <c r="I599" s="6" t="n">
        <f aca="false">Sens!I596-Sens!I598</f>
        <v>62.3038540023504</v>
      </c>
      <c r="J599" s="6" t="n">
        <f aca="false">Sens!J596-Sens!J598</f>
        <v>122.593192822909</v>
      </c>
      <c r="K599" s="6" t="n">
        <f aca="false">Sens!K596-Sens!K598</f>
        <v>147.082080727197</v>
      </c>
    </row>
    <row r="600" customFormat="false" ht="15" hidden="false" customHeight="false" outlineLevel="0" collapsed="false">
      <c r="A600" s="1" t="s">
        <v>969</v>
      </c>
      <c r="B600" s="0" t="s">
        <v>98</v>
      </c>
      <c r="F600" s="6" t="n">
        <f aca="false">debt_mat_27</f>
        <v>9.25</v>
      </c>
      <c r="G600" s="6" t="n">
        <f aca="false">debt_mat_28</f>
        <v>0</v>
      </c>
      <c r="H600" s="6" t="n">
        <f aca="false">debt_mat_29</f>
        <v>2.001</v>
      </c>
      <c r="I600" s="6" t="n">
        <f aca="false">debt_mat_30</f>
        <v>0</v>
      </c>
      <c r="J600" s="6" t="n">
        <f aca="false">debt_mat_31</f>
        <v>0.5</v>
      </c>
      <c r="K600" s="6" t="n">
        <f aca="false">debt_mat_32</f>
        <v>0</v>
      </c>
    </row>
    <row r="601" customFormat="false" ht="15" hidden="false" customHeight="false" outlineLevel="0" collapsed="false">
      <c r="A601" s="1" t="s">
        <v>970</v>
      </c>
      <c r="B601" s="0" t="s">
        <v>98</v>
      </c>
      <c r="E601" s="6" t="n">
        <f aca="false">Q!M40</f>
        <v>22.271</v>
      </c>
      <c r="F601" s="6" t="n">
        <f aca="false">MAX(0,MIN(bb_target,Sens!E603+Sens!F599-Sens!F600-min_cash))</f>
        <v>0</v>
      </c>
      <c r="G601" s="6" t="n">
        <f aca="false">MAX(0,MIN(bb_target,Sens!F603+Sens!G599-Sens!G600-min_cash))</f>
        <v>0</v>
      </c>
      <c r="H601" s="6" t="n">
        <f aca="false">MAX(0,MIN(bb_target,Sens!G603+Sens!H599-Sens!H600-min_cash))</f>
        <v>6.50121717650232</v>
      </c>
      <c r="I601" s="6" t="n">
        <f aca="false">MAX(0,MIN(bb_target,Sens!H603+Sens!I599-Sens!I600-min_cash))</f>
        <v>22.271</v>
      </c>
      <c r="J601" s="6" t="n">
        <f aca="false">MAX(0,MIN(bb_target,Sens!I603+Sens!J599-Sens!J600-min_cash))</f>
        <v>22.271</v>
      </c>
      <c r="K601" s="6" t="n">
        <f aca="false">MAX(0,MIN(bb_target,Sens!J603+Sens!K599-Sens!K600-min_cash))</f>
        <v>22.271</v>
      </c>
    </row>
    <row r="602" customFormat="false" ht="15" hidden="false" customHeight="false" outlineLevel="0" collapsed="false">
      <c r="A602" s="1" t="s">
        <v>971</v>
      </c>
      <c r="B602" s="0" t="s">
        <v>98</v>
      </c>
      <c r="F602" s="6" t="n">
        <f aca="false">MAX(0,min_cash-(Sens!E603+Sens!F599-Sens!F600-Sens!F601))</f>
        <v>14.2021090862764</v>
      </c>
      <c r="G602" s="6" t="n">
        <f aca="false">MAX(0,min_cash-(Sens!F603+Sens!G599-Sens!G600-Sens!G601))</f>
        <v>13.2870537158026</v>
      </c>
      <c r="H602" s="6" t="n">
        <f aca="false">MAX(0,min_cash-(Sens!G603+Sens!H599-Sens!H600-Sens!H601))</f>
        <v>0</v>
      </c>
      <c r="I602" s="6" t="n">
        <f aca="false">MAX(0,min_cash-(Sens!H603+Sens!I599-Sens!I600-Sens!I601))</f>
        <v>0</v>
      </c>
      <c r="J602" s="6" t="n">
        <f aca="false">MAX(0,min_cash-(Sens!I603+Sens!J599-Sens!J600-Sens!J601))</f>
        <v>0</v>
      </c>
      <c r="K602" s="6" t="n">
        <f aca="false">MAX(0,min_cash-(Sens!J603+Sens!K599-Sens!K600-Sens!K601))</f>
        <v>0</v>
      </c>
    </row>
    <row r="603" customFormat="false" ht="15" hidden="false" customHeight="false" outlineLevel="0" collapsed="false">
      <c r="A603" s="1" t="s">
        <v>972</v>
      </c>
      <c r="B603" s="0" t="s">
        <v>98</v>
      </c>
      <c r="E603" s="6" t="n">
        <f aca="false">cash_open</f>
        <v>76.843</v>
      </c>
      <c r="F603" s="6" t="n">
        <f aca="false">Sens!E603+Sens!F599-Sens!F600-Sens!F601+Sens!F602</f>
        <v>50</v>
      </c>
      <c r="G603" s="6" t="n">
        <f aca="false">Sens!F603+Sens!G599-Sens!G600-Sens!G601+Sens!G602</f>
        <v>50</v>
      </c>
      <c r="H603" s="6" t="n">
        <f aca="false">Sens!G603+Sens!H599-Sens!H600-Sens!H601+Sens!H602</f>
        <v>50</v>
      </c>
      <c r="I603" s="6" t="n">
        <f aca="false">Sens!H603+Sens!I599-Sens!I600-Sens!I601+Sens!I602</f>
        <v>90.0328540023504</v>
      </c>
      <c r="J603" s="6" t="n">
        <f aca="false">Sens!I603+Sens!J599-Sens!J600-Sens!J601+Sens!J602</f>
        <v>189.855046825259</v>
      </c>
      <c r="K603" s="6" t="n">
        <f aca="false">Sens!J603+Sens!K599-Sens!K600-Sens!K601+Sens!K602</f>
        <v>314.666127552457</v>
      </c>
    </row>
    <row r="604" customFormat="false" ht="15" hidden="false" customHeight="false" outlineLevel="0" collapsed="false">
      <c r="A604" s="1" t="s">
        <v>973</v>
      </c>
      <c r="B604" s="0" t="s">
        <v>98</v>
      </c>
      <c r="E604" s="6" t="n">
        <f aca="false">debt_face</f>
        <v>46.136</v>
      </c>
      <c r="F604" s="6" t="n">
        <f aca="false">Sens!E604-Sens!F600+Sens!F602</f>
        <v>51.0881090862764</v>
      </c>
      <c r="G604" s="6" t="n">
        <f aca="false">Sens!F604-Sens!G600+Sens!G602</f>
        <v>64.375162802079</v>
      </c>
      <c r="H604" s="6" t="n">
        <f aca="false">Sens!G604-Sens!H600+Sens!H602</f>
        <v>62.374162802079</v>
      </c>
      <c r="I604" s="6" t="n">
        <f aca="false">Sens!H604-Sens!I600+Sens!I602</f>
        <v>62.374162802079</v>
      </c>
      <c r="J604" s="6" t="n">
        <f aca="false">Sens!I604-Sens!J600+Sens!J602</f>
        <v>61.874162802079</v>
      </c>
      <c r="K604" s="6" t="n">
        <f aca="false">Sens!J604-Sens!K600+Sens!K602</f>
        <v>61.874162802079</v>
      </c>
    </row>
    <row r="605" customFormat="false" ht="15" hidden="false" customHeight="false" outlineLevel="0" collapsed="false">
      <c r="A605" s="1" t="s">
        <v>974</v>
      </c>
      <c r="B605" s="0" t="s">
        <v>98</v>
      </c>
      <c r="E605" s="6" t="n">
        <f aca="false">Sens!E603-Sens!E604</f>
        <v>30.707</v>
      </c>
      <c r="F605" s="6" t="n">
        <f aca="false">Sens!F603-Sens!F604</f>
        <v>-1.08810908627637</v>
      </c>
      <c r="G605" s="6" t="n">
        <f aca="false">Sens!G603-Sens!G604</f>
        <v>-14.375162802079</v>
      </c>
      <c r="H605" s="6" t="n">
        <f aca="false">Sens!H603-Sens!H604</f>
        <v>-12.374162802079</v>
      </c>
      <c r="I605" s="6" t="n">
        <f aca="false">Sens!I603-Sens!I604</f>
        <v>27.6586912002714</v>
      </c>
      <c r="J605" s="6" t="n">
        <f aca="false">Sens!J603-Sens!J604</f>
        <v>127.98088402318</v>
      </c>
      <c r="K605" s="6" t="n">
        <f aca="false">Sens!K603-Sens!K604</f>
        <v>252.791964750378</v>
      </c>
    </row>
    <row r="606" customFormat="false" ht="15" hidden="false" customHeight="false" outlineLevel="0" collapsed="false">
      <c r="A606" s="1" t="s">
        <v>975</v>
      </c>
      <c r="B606" s="0" t="s">
        <v>75</v>
      </c>
      <c r="F606" s="29" t="n">
        <f aca="false">px*(1+bb_g)^(Sens!F468-base_fy-mid_yr)</f>
        <v>553.494156066711</v>
      </c>
      <c r="G606" s="29" t="n">
        <f aca="false">px*(1+bb_g)^(Sens!G468-base_fy-mid_yr)</f>
        <v>597.773688552047</v>
      </c>
      <c r="H606" s="29" t="n">
        <f aca="false">px*(1+bb_g)^(Sens!H468-base_fy-mid_yr)</f>
        <v>645.595583636211</v>
      </c>
      <c r="I606" s="29" t="n">
        <f aca="false">px*(1+bb_g)^(Sens!I468-base_fy-mid_yr)</f>
        <v>697.243230327108</v>
      </c>
      <c r="J606" s="29" t="n">
        <f aca="false">px*(1+bb_g)^(Sens!J468-base_fy-mid_yr)</f>
        <v>753.022688753277</v>
      </c>
      <c r="K606" s="29" t="n">
        <f aca="false">px*(1+bb_g)^(Sens!K468-base_fy-mid_yr)</f>
        <v>813.264503853539</v>
      </c>
    </row>
    <row r="607" customFormat="false" ht="15" hidden="false" customHeight="false" outlineLevel="0" collapsed="false">
      <c r="A607" s="1" t="s">
        <v>976</v>
      </c>
      <c r="B607" s="1" t="s">
        <v>81</v>
      </c>
      <c r="E607" s="14" t="n">
        <f aca="false">sh_out26</f>
        <v>7.427</v>
      </c>
      <c r="F607" s="14" t="n">
        <f aca="false">Sens!E607+sh_iss-Sens!F601/Sens!F606</f>
        <v>7.472</v>
      </c>
      <c r="G607" s="14" t="n">
        <f aca="false">Sens!F607+sh_iss-Sens!G601/Sens!G606</f>
        <v>7.517</v>
      </c>
      <c r="H607" s="14" t="n">
        <f aca="false">Sens!G607+sh_iss-Sens!H601/Sens!H606</f>
        <v>7.55192989211623</v>
      </c>
      <c r="I607" s="14" t="n">
        <f aca="false">Sens!H607+sh_iss-Sens!I601/Sens!I606</f>
        <v>7.56498838443095</v>
      </c>
      <c r="J607" s="14" t="n">
        <f aca="false">Sens!I607+sh_iss-Sens!J601/Sens!J606</f>
        <v>7.58041291435199</v>
      </c>
      <c r="K607" s="14" t="n">
        <f aca="false">Sens!J607+sh_iss-Sens!K601/Sens!K606</f>
        <v>7.59802821983444</v>
      </c>
    </row>
    <row r="608" customFormat="false" ht="15" hidden="false" customHeight="false" outlineLevel="0" collapsed="false">
      <c r="A608" s="1" t="s">
        <v>977</v>
      </c>
      <c r="B608" s="1" t="s">
        <v>81</v>
      </c>
      <c r="E608" s="14" t="n">
        <f aca="false">sh_dil26</f>
        <v>7.453</v>
      </c>
      <c r="F608" s="14" t="n">
        <f aca="false">(Sens!E607+Sens!F607)/2+dil_gap</f>
        <v>7.4735</v>
      </c>
      <c r="G608" s="14" t="n">
        <f aca="false">(Sens!F607+Sens!G607)/2+dil_gap</f>
        <v>7.5185</v>
      </c>
      <c r="H608" s="14" t="n">
        <f aca="false">(Sens!G607+Sens!H607)/2+dil_gap</f>
        <v>7.55846494605811</v>
      </c>
      <c r="I608" s="14" t="n">
        <f aca="false">(Sens!H607+Sens!I607)/2+dil_gap</f>
        <v>7.58245913827359</v>
      </c>
      <c r="J608" s="14" t="n">
        <f aca="false">(Sens!I607+Sens!J607)/2+dil_gap</f>
        <v>7.59670064939147</v>
      </c>
      <c r="K608" s="14" t="n">
        <f aca="false">(Sens!J607+Sens!K607)/2+dil_gap</f>
        <v>7.61322056709322</v>
      </c>
    </row>
    <row r="609" customFormat="false" ht="17.15" hidden="false" customHeight="false" outlineLevel="0" collapsed="false">
      <c r="A609" s="1" t="s">
        <v>978</v>
      </c>
      <c r="B609" s="0" t="s">
        <v>98</v>
      </c>
      <c r="C609" s="6" t="n">
        <f aca="false">SUM(Sens!F599:J599)</f>
        <v>148.317101199683</v>
      </c>
    </row>
    <row r="610" customFormat="false" ht="15" hidden="false" customHeight="false" outlineLevel="0" collapsed="false">
      <c r="A610" s="23" t="s">
        <v>945</v>
      </c>
      <c r="B610" s="30" t="s">
        <v>98</v>
      </c>
      <c r="C610" s="24" t="n">
        <f aca="false">Sens!$C$609-(Sens!F599+Sens!G599+Sens!H599+Sens!I599+Sens!J599)</f>
        <v>0</v>
      </c>
      <c r="D610" s="30"/>
      <c r="E610" s="30"/>
      <c r="F610" s="30"/>
      <c r="G610" s="30"/>
      <c r="H610" s="30"/>
      <c r="I610" s="30"/>
      <c r="J610" s="30"/>
      <c r="K610" s="30"/>
    </row>
    <row r="611" customFormat="false" ht="17.15" hidden="false" customHeight="false" outlineLevel="0" collapsed="false">
      <c r="A611" s="1" t="s">
        <v>939</v>
      </c>
      <c r="B611" s="1" t="s">
        <v>979</v>
      </c>
      <c r="C611" s="32" t="str">
        <f aca="false">IF(SUM(Sens!F602:J602)&gt;0.05,"需要舉債 "&amp;TEXT(SUM(Sens!F602:J602),"0.0")&amp;" 十億美元","不需舉債")&amp;"；"&amp;IF(SUM(Sens!F601:J601)&lt;COUNT(Sens!F601:J601)*bb_target-0.05,"回購較每年 "&amp;TEXT(bb_target,"0.0")&amp;" 的目標少 "&amp;TEXT(COUNT(Sens!F601:J601)*bb_target-SUM(Sens!F601:J601),"0.0")&amp;" 十億美元（"&amp;TEXT(COUNTIF(Sens!F601:J601,"&lt;"&amp;(bb_target-0.05)),"0")&amp;" 年減少）","回購不減")</f>
        <v>需要舉債 27.5 十億美元；回購較每年 22.3 的目標少 60.3 十億美元（3 年減少）</v>
      </c>
    </row>
    <row r="612" customFormat="false" ht="17.15" hidden="false" customHeight="false" outlineLevel="0" collapsed="false">
      <c r="A612" s="3" t="s">
        <v>1276</v>
      </c>
    </row>
    <row r="613" customFormat="false" ht="15" hidden="false" customHeight="false" outlineLevel="0" collapsed="false">
      <c r="A613" s="4" t="s">
        <v>43</v>
      </c>
      <c r="B613" s="4" t="s">
        <v>65</v>
      </c>
      <c r="C613" s="20" t="s">
        <v>799</v>
      </c>
      <c r="D613" s="20" t="s">
        <v>800</v>
      </c>
      <c r="E613" s="20" t="s">
        <v>801</v>
      </c>
      <c r="F613" s="20" t="s">
        <v>802</v>
      </c>
      <c r="G613" s="20" t="s">
        <v>803</v>
      </c>
      <c r="H613" s="20" t="s">
        <v>804</v>
      </c>
      <c r="I613" s="20" t="s">
        <v>805</v>
      </c>
      <c r="J613" s="20" t="s">
        <v>806</v>
      </c>
      <c r="K613" s="20" t="s">
        <v>807</v>
      </c>
      <c r="L613" s="4" t="s">
        <v>47</v>
      </c>
    </row>
    <row r="614" customFormat="false" ht="15" hidden="false" customHeight="false" outlineLevel="0" collapsed="false">
      <c r="A614" s="1" t="s">
        <v>1057</v>
      </c>
      <c r="B614" s="1" t="s">
        <v>235</v>
      </c>
      <c r="F614" s="36" t="n">
        <f aca="false">Sens!F468-base_fy-mid_yr</f>
        <v>0.5</v>
      </c>
      <c r="G614" s="36" t="n">
        <f aca="false">Sens!G468-base_fy-mid_yr</f>
        <v>1.5</v>
      </c>
      <c r="H614" s="36" t="n">
        <f aca="false">Sens!H468-base_fy-mid_yr</f>
        <v>2.5</v>
      </c>
      <c r="I614" s="36" t="n">
        <f aca="false">Sens!I468-base_fy-mid_yr</f>
        <v>3.5</v>
      </c>
      <c r="J614" s="36" t="n">
        <f aca="false">Sens!J468-base_fy-mid_yr</f>
        <v>4.5</v>
      </c>
      <c r="K614" s="36" t="n">
        <f aca="false">Sens!K468-base_fy-mid_yr</f>
        <v>5.5</v>
      </c>
    </row>
    <row r="615" customFormat="false" ht="15" hidden="false" customHeight="false" outlineLevel="0" collapsed="false">
      <c r="A615" s="1" t="s">
        <v>1058</v>
      </c>
      <c r="B615" s="0" t="s">
        <v>185</v>
      </c>
      <c r="F615" s="14" t="n">
        <f aca="false">1/(1+wacc)^Sens!F614</f>
        <v>0.952193373608246</v>
      </c>
      <c r="G615" s="14" t="n">
        <f aca="false">1/(1+wacc)^Sens!G614</f>
        <v>0.863327280626589</v>
      </c>
      <c r="H615" s="14" t="n">
        <f aca="false">1/(1+wacc)^Sens!H614</f>
        <v>0.782754862754115</v>
      </c>
      <c r="I615" s="14" t="n">
        <f aca="false">1/(1+wacc)^Sens!I614</f>
        <v>0.709702089711011</v>
      </c>
      <c r="J615" s="14" t="n">
        <f aca="false">1/(1+wacc)^Sens!J614</f>
        <v>0.643467169744551</v>
      </c>
      <c r="K615" s="14" t="n">
        <f aca="false">1/(1+wacc)^Sens!K614</f>
        <v>0.583413807767797</v>
      </c>
    </row>
    <row r="616" customFormat="false" ht="17.15" hidden="false" customHeight="false" outlineLevel="0" collapsed="false">
      <c r="A616" s="1" t="s">
        <v>1059</v>
      </c>
      <c r="B616" s="0" t="s">
        <v>98</v>
      </c>
      <c r="F616" s="6" t="n">
        <f aca="false">Sens!F589-Sens!F587-Sens!F593+Sens!F572*(1-tax_f)</f>
        <v>-13.7871239987191</v>
      </c>
      <c r="G616" s="6" t="n">
        <f aca="false">Sens!G589-Sens!G587-Sens!G593+Sens!G572*(1-tax_f)</f>
        <v>5.20315055918442</v>
      </c>
      <c r="H616" s="6" t="n">
        <f aca="false">Sens!H589-Sens!H587-Sens!H593+Sens!H572*(1-tax_f)</f>
        <v>27.0524640372998</v>
      </c>
      <c r="I616" s="6" t="n">
        <f aca="false">Sens!I589-Sens!I587-Sens!I593+Sens!I572*(1-tax_f)</f>
        <v>81.4987118531667</v>
      </c>
      <c r="J616" s="6" t="n">
        <f aca="false">Sens!J589-Sens!J587-Sens!J593+Sens!J572*(1-tax_f)</f>
        <v>142.994753829217</v>
      </c>
      <c r="K616" s="6" t="n">
        <f aca="false">Sens!K589-Sens!K587-Sens!K593+Sens!K572*(1-tax_f)</f>
        <v>169.321257980188</v>
      </c>
      <c r="L616" s="1" t="s">
        <v>1060</v>
      </c>
    </row>
    <row r="617" customFormat="false" ht="15" hidden="false" customHeight="false" outlineLevel="0" collapsed="false">
      <c r="A617" s="1" t="s">
        <v>1061</v>
      </c>
      <c r="B617" s="0" t="s">
        <v>98</v>
      </c>
      <c r="F617" s="6" t="n">
        <f aca="false">Sens!F616*Sens!F615</f>
        <v>-13.1280081126956</v>
      </c>
      <c r="G617" s="6" t="n">
        <f aca="false">Sens!G616*Sens!G615</f>
        <v>4.4920218229514</v>
      </c>
      <c r="H617" s="6" t="n">
        <f aca="false">Sens!H616*Sens!H615</f>
        <v>21.1754477746773</v>
      </c>
      <c r="I617" s="6" t="n">
        <f aca="false">Sens!I616*Sens!I615</f>
        <v>57.8398061109479</v>
      </c>
      <c r="J617" s="6" t="n">
        <f aca="false">Sens!J616*Sens!J615</f>
        <v>92.0124295348048</v>
      </c>
      <c r="K617" s="6" t="n">
        <f aca="false">Sens!K616*Sens!K615</f>
        <v>98.7843598542548</v>
      </c>
    </row>
    <row r="618" customFormat="false" ht="17.15" hidden="false" customHeight="false" outlineLevel="0" collapsed="false">
      <c r="A618" s="1" t="s">
        <v>1062</v>
      </c>
      <c r="B618" s="0" t="s">
        <v>98</v>
      </c>
      <c r="C618" s="6" t="n">
        <f aca="false">SUM(Sens!F617:K617)</f>
        <v>261.176056984941</v>
      </c>
    </row>
    <row r="619" customFormat="false" ht="17.15" hidden="false" customHeight="false" outlineLevel="0" collapsed="false">
      <c r="A619" s="1" t="s">
        <v>1063</v>
      </c>
      <c r="B619" s="0" t="s">
        <v>98</v>
      </c>
      <c r="C619" s="6" t="n">
        <f aca="false">Sens!K558*(1+g_tv)*(1-tax_f)</f>
        <v>181.676052354349</v>
      </c>
    </row>
    <row r="620" customFormat="false" ht="17.15" hidden="false" customHeight="false" outlineLevel="0" collapsed="false">
      <c r="A620" s="1" t="s">
        <v>1064</v>
      </c>
      <c r="B620" s="0" t="s">
        <v>98</v>
      </c>
      <c r="C620" s="6" t="n">
        <f aca="false">Sens!$C$619*(1-g_tv/(wacc+ronic_prem))</f>
        <v>128.726984727477</v>
      </c>
    </row>
    <row r="621" customFormat="false" ht="17.15" hidden="false" customHeight="false" outlineLevel="0" collapsed="false">
      <c r="A621" s="1" t="s">
        <v>1065</v>
      </c>
      <c r="B621" s="0" t="s">
        <v>98</v>
      </c>
      <c r="C621" s="6" t="n">
        <f aca="false">Sens!$C$620/(wacc-g_tv)</f>
        <v>1764.96892089571</v>
      </c>
    </row>
    <row r="622" customFormat="false" ht="15" hidden="false" customHeight="false" outlineLevel="0" collapsed="false">
      <c r="A622" s="1" t="s">
        <v>1066</v>
      </c>
      <c r="B622" s="0" t="s">
        <v>98</v>
      </c>
      <c r="C622" s="6" t="n">
        <f aca="false">Sens!$C$621/(1+wacc)^(Sens!K614+mid_yr)</f>
        <v>980.480409476661</v>
      </c>
    </row>
    <row r="623" customFormat="false" ht="17.15" hidden="false" customHeight="false" outlineLevel="0" collapsed="false">
      <c r="A623" s="0" t="s">
        <v>986</v>
      </c>
      <c r="B623" s="0" t="s">
        <v>98</v>
      </c>
      <c r="C623" s="6" t="n">
        <f aca="false">Sens!$C$618+Sens!$C$622</f>
        <v>1241.6564664616</v>
      </c>
    </row>
    <row r="624" customFormat="false" ht="15" hidden="false" customHeight="false" outlineLevel="0" collapsed="false">
      <c r="A624" s="1" t="s">
        <v>987</v>
      </c>
      <c r="B624" s="0" t="s">
        <v>129</v>
      </c>
      <c r="C624" s="7" t="n">
        <f aca="false">Sens!$C$622/Sens!$C$623</f>
        <v>0.789655138889403</v>
      </c>
    </row>
    <row r="625" customFormat="false" ht="17.15" hidden="false" customHeight="false" outlineLevel="0" collapsed="false">
      <c r="A625" s="1" t="s">
        <v>1067</v>
      </c>
      <c r="B625" s="0" t="s">
        <v>98</v>
      </c>
      <c r="C625" s="6" t="n">
        <f aca="false">Sens!$C$623+Sens!E605-Sens!E594+oai_v</f>
        <v>1376.1694664616</v>
      </c>
    </row>
    <row r="626" customFormat="false" ht="17.15" hidden="false" customHeight="false" outlineLevel="0" collapsed="false">
      <c r="A626" s="0" t="s">
        <v>994</v>
      </c>
      <c r="B626" s="0" t="s">
        <v>75</v>
      </c>
      <c r="C626" s="5" t="n">
        <f aca="false">Sens!$C$625/sh_dil26</f>
        <v>184.646379506454</v>
      </c>
    </row>
    <row r="627" customFormat="false" ht="15" hidden="false" customHeight="false" outlineLevel="0" collapsed="false">
      <c r="A627" s="1" t="s">
        <v>1068</v>
      </c>
      <c r="B627" s="0" t="s">
        <v>75</v>
      </c>
      <c r="C627" s="8" t="n">
        <f aca="false">dps_27+Sens!G597*roll_div_q/q_per_yr</f>
        <v>4.8895</v>
      </c>
    </row>
    <row r="628" customFormat="false" ht="17.15" hidden="false" customHeight="false" outlineLevel="0" collapsed="false">
      <c r="A628" s="0" t="s">
        <v>1069</v>
      </c>
      <c r="B628" s="0" t="s">
        <v>75</v>
      </c>
      <c r="C628" s="5" t="n">
        <f aca="false">Sens!$C$626*(1+wacc)^t_roll-Sens!$C$627</f>
        <v>205.373497599041</v>
      </c>
    </row>
    <row r="629" customFormat="false" ht="17.15" hidden="false" customHeight="false" outlineLevel="0" collapsed="false">
      <c r="A629" s="1" t="s">
        <v>1070</v>
      </c>
      <c r="B629" s="0" t="s">
        <v>129</v>
      </c>
      <c r="F629" s="7" t="n">
        <f aca="false">Sens!F584/(Sens!F529-Sens!F485)</f>
        <v>0.0711475516535717</v>
      </c>
      <c r="G629" s="7" t="n">
        <f aca="false">Sens!G584/(Sens!G529-Sens!G485)</f>
        <v>0.0682588862083999</v>
      </c>
      <c r="H629" s="7" t="n">
        <f aca="false">Sens!H584/(Sens!H529-Sens!H485)</f>
        <v>0.0666622170094897</v>
      </c>
      <c r="I629" s="7" t="n">
        <f aca="false">Sens!I584/(Sens!I529-Sens!I485)</f>
        <v>0.0661991449367101</v>
      </c>
      <c r="J629" s="7" t="n">
        <f aca="false">Sens!J584/(Sens!J529-Sens!J485)</f>
        <v>0.0666400583966394</v>
      </c>
      <c r="K629" s="7" t="n">
        <f aca="false">Sens!K584/(Sens!K529-Sens!K485)</f>
        <v>0.0677351822588561</v>
      </c>
    </row>
    <row r="630" customFormat="false" ht="17.15" hidden="false" customHeight="false" outlineLevel="0" collapsed="false">
      <c r="A630" s="0" t="s">
        <v>1071</v>
      </c>
      <c r="B630" s="0" t="s">
        <v>98</v>
      </c>
      <c r="F630" s="6" t="n">
        <f aca="false">Sens!F514*(al_m365+Sens!F629+sbc_r)</f>
        <v>83.1760446796226</v>
      </c>
      <c r="G630" s="6" t="n">
        <f aca="false">Sens!G514*(al_m365+Sens!G629+sbc_r)</f>
        <v>93.5286621744803</v>
      </c>
      <c r="H630" s="6" t="n">
        <f aca="false">Sens!H514*(al_m365+Sens!H629+sbc_r)</f>
        <v>104.041881899886</v>
      </c>
      <c r="I630" s="6" t="n">
        <f aca="false">Sens!I514*(al_m365+Sens!I629+sbc_r)</f>
        <v>114.039361049722</v>
      </c>
      <c r="J630" s="6" t="n">
        <f aca="false">Sens!J514*(al_m365+Sens!J629+sbc_r)</f>
        <v>123.332589690985</v>
      </c>
      <c r="K630" s="6" t="n">
        <f aca="false">Sens!K514*(al_m365+Sens!K629+sbc_r)</f>
        <v>132.229319216379</v>
      </c>
      <c r="L630" s="11" t="s">
        <v>1072</v>
      </c>
    </row>
    <row r="631" customFormat="false" ht="17.15" hidden="false" customHeight="false" outlineLevel="0" collapsed="false">
      <c r="A631" s="0" t="s">
        <v>1073</v>
      </c>
      <c r="B631" s="0" t="s">
        <v>98</v>
      </c>
      <c r="F631" s="6" t="n">
        <f aca="false">Sens!F515*(al_lic+Sens!F629+sbc_r)</f>
        <v>33.5445611735131</v>
      </c>
      <c r="G631" s="6" t="n">
        <f aca="false">Sens!G515*(al_lic+Sens!G629+sbc_r)</f>
        <v>34.8473362891936</v>
      </c>
      <c r="H631" s="6" t="n">
        <f aca="false">Sens!H515*(al_lic+Sens!H629+sbc_r)</f>
        <v>36.0608450618725</v>
      </c>
      <c r="I631" s="6" t="n">
        <f aca="false">Sens!I515*(al_lic+Sens!I629+sbc_r)</f>
        <v>37.1647768367666</v>
      </c>
      <c r="J631" s="6" t="n">
        <f aca="false">Sens!J515*(al_lic+Sens!J629+sbc_r)</f>
        <v>38.1353659513221</v>
      </c>
      <c r="K631" s="6" t="n">
        <f aca="false">Sens!K515*(al_lic+Sens!K629+sbc_r)</f>
        <v>38.9479527536449</v>
      </c>
    </row>
    <row r="632" customFormat="false" ht="17.15" hidden="false" customHeight="false" outlineLevel="0" collapsed="false">
      <c r="A632" s="0" t="s">
        <v>1074</v>
      </c>
      <c r="B632" s="0" t="s">
        <v>98</v>
      </c>
      <c r="F632" s="6" t="n">
        <f aca="false">Sens!F517*(al_ind+Sens!F629+sbc_r)</f>
        <v>9.13359830063899</v>
      </c>
      <c r="G632" s="6" t="n">
        <f aca="false">Sens!G517*(al_ind+Sens!G629+sbc_r)</f>
        <v>9.91355811855172</v>
      </c>
      <c r="H632" s="6" t="n">
        <f aca="false">Sens!H517*(al_ind+Sens!H629+sbc_r)</f>
        <v>10.737007894057</v>
      </c>
      <c r="I632" s="6" t="n">
        <f aca="false">Sens!I517*(al_ind+Sens!I629+sbc_r)</f>
        <v>11.5994300763088</v>
      </c>
      <c r="J632" s="6" t="n">
        <f aca="false">Sens!J517*(al_ind+Sens!J629+sbc_r)</f>
        <v>12.4920789859702</v>
      </c>
      <c r="K632" s="6" t="n">
        <f aca="false">Sens!K517*(al_ind+Sens!K629+sbc_r)</f>
        <v>13.4027551573777</v>
      </c>
    </row>
    <row r="633" customFormat="false" ht="17.15" hidden="false" customHeight="false" outlineLevel="0" collapsed="false">
      <c r="A633" s="0" t="s">
        <v>1075</v>
      </c>
      <c r="B633" s="0" t="s">
        <v>98</v>
      </c>
      <c r="F633" s="6" t="n">
        <f aca="false">Sens!F519*(al_fro+Sens!F629+sbc_r)</f>
        <v>3.59501635737694</v>
      </c>
      <c r="G633" s="6" t="n">
        <f aca="false">Sens!G519*(al_fro+Sens!G629+sbc_r)</f>
        <v>3.80622021137838</v>
      </c>
      <c r="H633" s="6" t="n">
        <f aca="false">Sens!H519*(al_fro+Sens!H629+sbc_r)</f>
        <v>4.04607207599632</v>
      </c>
      <c r="I633" s="6" t="n">
        <f aca="false">Sens!I519*(al_fro+Sens!I629+sbc_r)</f>
        <v>4.31683578333903</v>
      </c>
      <c r="J633" s="6" t="n">
        <f aca="false">Sens!J519*(al_fro+Sens!J629+sbc_r)</f>
        <v>4.62005087871645</v>
      </c>
      <c r="K633" s="6" t="n">
        <f aca="false">Sens!K519*(al_fro+Sens!K629+sbc_r)</f>
        <v>4.95685392412327</v>
      </c>
    </row>
    <row r="634" customFormat="false" ht="17.15" hidden="false" customHeight="false" outlineLevel="0" collapsed="false">
      <c r="A634" s="0" t="s">
        <v>1076</v>
      </c>
      <c r="B634" s="0" t="s">
        <v>98</v>
      </c>
      <c r="F634" s="6" t="n">
        <f aca="false">Sens!F522*(al_srch+Sens!F629+sbc_r)</f>
        <v>11.2801258639919</v>
      </c>
      <c r="G634" s="6" t="n">
        <f aca="false">Sens!G522*(al_srch+Sens!G629+sbc_r)</f>
        <v>12.3589086285988</v>
      </c>
      <c r="H634" s="6" t="n">
        <f aca="false">Sens!H522*(al_srch+Sens!H629+sbc_r)</f>
        <v>13.4807030139583</v>
      </c>
      <c r="I634" s="6" t="n">
        <f aca="false">Sens!I522*(al_srch+Sens!I629+sbc_r)</f>
        <v>14.6329459978989</v>
      </c>
      <c r="J634" s="6" t="n">
        <f aca="false">Sens!J522*(al_srch+Sens!J629+sbc_r)</f>
        <v>15.7968154400613</v>
      </c>
      <c r="K634" s="6" t="n">
        <f aca="false">Sens!K522*(al_srch+Sens!K629+sbc_r)</f>
        <v>16.9484078548661</v>
      </c>
    </row>
    <row r="635" customFormat="false" ht="17.15" hidden="false" customHeight="false" outlineLevel="0" collapsed="false">
      <c r="A635" s="0" t="s">
        <v>1077</v>
      </c>
      <c r="B635" s="0" t="s">
        <v>98</v>
      </c>
      <c r="F635" s="6" t="n">
        <f aca="false">Sens!F491-Sens!F492+Sens!F572</f>
        <v>28.5244150120322</v>
      </c>
      <c r="G635" s="6" t="n">
        <f aca="false">Sens!G491-Sens!G492+Sens!G572</f>
        <v>41.465865997122</v>
      </c>
      <c r="H635" s="6" t="n">
        <f aca="false">Sens!H491-Sens!H492+Sens!H572</f>
        <v>50.0162393490171</v>
      </c>
      <c r="I635" s="6" t="n">
        <f aca="false">Sens!I491-Sens!I492+Sens!I572</f>
        <v>64.1269468046571</v>
      </c>
      <c r="J635" s="6" t="n">
        <f aca="false">Sens!J491-Sens!J492+Sens!J572</f>
        <v>74.3098293515023</v>
      </c>
      <c r="K635" s="6" t="n">
        <f aca="false">Sens!K491-Sens!K492+Sens!K572</f>
        <v>81.5310954329949</v>
      </c>
    </row>
    <row r="636" customFormat="false" ht="17.15" hidden="false" customHeight="false" outlineLevel="0" collapsed="false">
      <c r="A636" s="0" t="s">
        <v>1078</v>
      </c>
      <c r="B636" s="0" t="s">
        <v>98</v>
      </c>
      <c r="F636" s="6" t="n">
        <f aca="false">Sens!F551+Sens!F572+Sens!F502+Sens!F629*(Sens!F521-Sens!F485)+sbc_r*Sens!F521</f>
        <v>218.269220150891</v>
      </c>
      <c r="G636" s="6" t="n">
        <f aca="false">Sens!G551+Sens!G572+Sens!G502+Sens!G629*(Sens!G521-Sens!G485)+sbc_r*Sens!G521</f>
        <v>256.049995827011</v>
      </c>
      <c r="H636" s="6" t="n">
        <f aca="false">Sens!H551+Sens!H572+Sens!H502+Sens!H629*(Sens!H521-Sens!H485)+sbc_r*Sens!H521</f>
        <v>289.711929256243</v>
      </c>
      <c r="I636" s="6" t="n">
        <f aca="false">Sens!I551+Sens!I572+Sens!I502+Sens!I629*(Sens!I521-Sens!I485)+sbc_r*Sens!I521</f>
        <v>328.318128080861</v>
      </c>
      <c r="J636" s="6" t="n">
        <f aca="false">Sens!J551+Sens!J572+Sens!J502+Sens!J629*(Sens!J521-Sens!J485)+sbc_r*Sens!J521</f>
        <v>361.105032792958</v>
      </c>
      <c r="K636" s="6" t="n">
        <f aca="false">Sens!K551+Sens!K572+Sens!K502+Sens!K629*(Sens!K521-Sens!K485)+sbc_r*Sens!K521</f>
        <v>388.643956912078</v>
      </c>
    </row>
    <row r="637" customFormat="false" ht="17.15" hidden="false" customHeight="false" outlineLevel="0" collapsed="false">
      <c r="A637" s="0" t="s">
        <v>1079</v>
      </c>
      <c r="B637" s="0" t="s">
        <v>98</v>
      </c>
      <c r="F637" s="6" t="n">
        <f aca="false">Sens!F636-Sens!F630-Sens!F631-Sens!F632-Sens!F633-Sens!F635</f>
        <v>60.2955846277069</v>
      </c>
      <c r="G637" s="6" t="n">
        <f aca="false">Sens!G636-Sens!G630-Sens!G631-Sens!G632-Sens!G633-Sens!G635</f>
        <v>72.4883530362854</v>
      </c>
      <c r="H637" s="6" t="n">
        <f aca="false">Sens!H636-Sens!H630-Sens!H631-Sens!H632-Sens!H633-Sens!H635</f>
        <v>84.8098829754144</v>
      </c>
      <c r="I637" s="6" t="n">
        <f aca="false">Sens!I636-Sens!I630-Sens!I631-Sens!I632-Sens!I633-Sens!I635</f>
        <v>97.0707775300672</v>
      </c>
      <c r="J637" s="6" t="n">
        <f aca="false">Sens!J636-Sens!J630-Sens!J631-Sens!J632-Sens!J633-Sens!J635</f>
        <v>108.215117934462</v>
      </c>
      <c r="K637" s="6" t="n">
        <f aca="false">Sens!K636-Sens!K630-Sens!K631-Sens!K632-Sens!K633-Sens!K635</f>
        <v>117.575980427559</v>
      </c>
    </row>
    <row r="638" customFormat="false" ht="17.15" hidden="false" customHeight="false" outlineLevel="0" collapsed="false">
      <c r="A638" s="0" t="s">
        <v>1080</v>
      </c>
      <c r="B638" s="0" t="s">
        <v>98</v>
      </c>
      <c r="F638" s="6" t="n">
        <f aca="false">Sens!F553+Sens!F629*Sens!F528+sbc_r*Sens!F528</f>
        <v>26.3652761595447</v>
      </c>
      <c r="G638" s="6" t="n">
        <f aca="false">Sens!G553+Sens!G629*Sens!G528+sbc_r*Sens!G528</f>
        <v>26.9742866145486</v>
      </c>
      <c r="H638" s="6" t="n">
        <f aca="false">Sens!H553+Sens!H629*Sens!H528+sbc_r*Sens!H528</f>
        <v>27.8483067679033</v>
      </c>
      <c r="I638" s="6" t="n">
        <f aca="false">Sens!I553+Sens!I629*Sens!I528+sbc_r*Sens!I528</f>
        <v>28.9540944937551</v>
      </c>
      <c r="J638" s="6" t="n">
        <f aca="false">Sens!J553+Sens!J629*Sens!J528+sbc_r*Sens!J528</f>
        <v>30.2591967501426</v>
      </c>
      <c r="K638" s="6" t="n">
        <f aca="false">Sens!K553+Sens!K629*Sens!K528+sbc_r*Sens!K528</f>
        <v>31.7334012124467</v>
      </c>
    </row>
    <row r="639" customFormat="false" ht="17.15" hidden="false" customHeight="false" outlineLevel="0" collapsed="false">
      <c r="A639" s="0" t="s">
        <v>1081</v>
      </c>
      <c r="B639" s="0" t="s">
        <v>98</v>
      </c>
      <c r="F639" s="6" t="n">
        <f aca="false">(Sens!F638-Sens!F634)*Sens!F524/(Sens!F524+Sens!F526)</f>
        <v>8.26953246478712</v>
      </c>
      <c r="G639" s="6" t="n">
        <f aca="false">(Sens!G638-Sens!G634)*Sens!G524/(Sens!G524+Sens!G526)</f>
        <v>7.8691542635731</v>
      </c>
      <c r="H639" s="6" t="n">
        <f aca="false">(Sens!H638-Sens!H634)*Sens!H524/(Sens!H524+Sens!H526)</f>
        <v>7.63125160105973</v>
      </c>
      <c r="I639" s="6" t="n">
        <f aca="false">(Sens!I638-Sens!I634)*Sens!I524/(Sens!I524+Sens!I526)</f>
        <v>7.53775281020212</v>
      </c>
      <c r="J639" s="6" t="n">
        <f aca="false">(Sens!J638-Sens!J634)*Sens!J524/(Sens!J524+Sens!J526)</f>
        <v>7.57766730524412</v>
      </c>
      <c r="K639" s="6" t="n">
        <f aca="false">(Sens!K638-Sens!K634)*Sens!K524/(Sens!K524+Sens!K526)</f>
        <v>7.74670217662515</v>
      </c>
    </row>
    <row r="640" customFormat="false" ht="17.15" hidden="false" customHeight="false" outlineLevel="0" collapsed="false">
      <c r="A640" s="0" t="s">
        <v>1082</v>
      </c>
      <c r="B640" s="0" t="s">
        <v>98</v>
      </c>
      <c r="F640" s="6" t="n">
        <f aca="false">Sens!F638-Sens!F634-Sens!F639</f>
        <v>6.81561783076564</v>
      </c>
      <c r="G640" s="6" t="n">
        <f aca="false">Sens!G638-Sens!G634-Sens!G639</f>
        <v>6.74622372237672</v>
      </c>
      <c r="H640" s="6" t="n">
        <f aca="false">Sens!H638-Sens!H634-Sens!H639</f>
        <v>6.73635215288526</v>
      </c>
      <c r="I640" s="6" t="n">
        <f aca="false">Sens!I638-Sens!I634-Sens!I639</f>
        <v>6.78339568565411</v>
      </c>
      <c r="J640" s="6" t="n">
        <f aca="false">Sens!J638-Sens!J634-Sens!J639</f>
        <v>6.88471400483723</v>
      </c>
      <c r="K640" s="6" t="n">
        <f aca="false">Sens!K638-Sens!K634-Sens!K639</f>
        <v>7.03829118095546</v>
      </c>
    </row>
    <row r="641" customFormat="false" ht="17.15" hidden="false" customHeight="false" outlineLevel="0" collapsed="false">
      <c r="A641" s="0" t="s">
        <v>1083</v>
      </c>
      <c r="B641" s="0" t="s">
        <v>98</v>
      </c>
      <c r="F641" s="6" t="n">
        <f aca="false">Sens!F635-tax_f*(Sens!F635-Sens!F502)-Sens!F499</f>
        <v>-130.70336638565</v>
      </c>
      <c r="G641" s="6" t="n">
        <f aca="false">Sens!G635-tax_f*(Sens!G635-Sens!G502)-Sens!G499</f>
        <v>-138.5764002634</v>
      </c>
      <c r="H641" s="6" t="n">
        <f aca="false">Sens!H635-tax_f*(Sens!H635-Sens!H502)-Sens!H499</f>
        <v>-130.795090462524</v>
      </c>
      <c r="I641" s="6" t="n">
        <f aca="false">Sens!I635-tax_f*(Sens!I635-Sens!I502)-Sens!I499</f>
        <v>-90.2839629440412</v>
      </c>
      <c r="J641" s="6" t="n">
        <f aca="false">Sens!J635-tax_f*(Sens!J635-Sens!J502)-Sens!J499</f>
        <v>-42.1339085424717</v>
      </c>
      <c r="K641" s="6" t="n">
        <f aca="false">Sens!K635-tax_f*(Sens!K635-Sens!K502)-Sens!K499</f>
        <v>-28.3562461483331</v>
      </c>
    </row>
    <row r="642" customFormat="false" ht="17.15" hidden="false" customHeight="false" outlineLevel="0" collapsed="false">
      <c r="A642" s="0" t="s">
        <v>1084</v>
      </c>
      <c r="B642" s="0" t="s">
        <v>98</v>
      </c>
      <c r="G642" s="6" t="n">
        <f aca="false">Sens!G641/(1+wacc)^(Sens!G614-(Sens!F614+mid_yr))</f>
        <v>-131.951530069294</v>
      </c>
      <c r="H642" s="6" t="n">
        <f aca="false">Sens!H641/(1+wacc)^(Sens!H614-(Sens!F614+mid_yr))</f>
        <v>-112.91896976832</v>
      </c>
      <c r="I642" s="6" t="n">
        <f aca="false">Sens!I641/(1+wacc)^(Sens!I614-(Sens!F614+mid_yr))</f>
        <v>-70.6702110231606</v>
      </c>
      <c r="J642" s="6" t="n">
        <f aca="false">Sens!J641/(1+wacc)^(Sens!J614-(Sens!F614+mid_yr))</f>
        <v>-29.9025229402848</v>
      </c>
      <c r="K642" s="6" t="n">
        <f aca="false">Sens!K641/(1+wacc)^(Sens!K614-(Sens!F614+mid_yr))</f>
        <v>-18.2463134536477</v>
      </c>
      <c r="L642" s="1" t="s">
        <v>1085</v>
      </c>
    </row>
    <row r="643" customFormat="false" ht="17.15" hidden="false" customHeight="false" outlineLevel="0" collapsed="false">
      <c r="A643" s="0" t="s">
        <v>1086</v>
      </c>
      <c r="B643" s="0" t="s">
        <v>98</v>
      </c>
      <c r="C643" s="6" t="n">
        <f aca="false">(Sens!K635-Sens!K502)*(1-tax_f)*(1+g_tv)*(1-g_tv/(wacc+ronic_prem))/(wacc-g_tv)/(1+wacc)^(Sens!K614+mid_yr-(Sens!F614+mid_yr))</f>
        <v>-282.516229070619</v>
      </c>
    </row>
    <row r="644" customFormat="false" ht="17.15" hidden="false" customHeight="false" outlineLevel="0" collapsed="false">
      <c r="A644" s="1" t="s">
        <v>1087</v>
      </c>
      <c r="B644" s="0" t="s">
        <v>98</v>
      </c>
      <c r="C644" s="6" t="n">
        <f aca="false">(SUM(Sens!G642:K642)+Sens!$C$643)*(1+wacc)^(t_roll-(Sens!F614+mid_yr))</f>
        <v>-667.18027890007</v>
      </c>
      <c r="L644" s="11" t="s">
        <v>1088</v>
      </c>
    </row>
    <row r="645" customFormat="false" ht="17.15" hidden="false" customHeight="false" outlineLevel="0" collapsed="false">
      <c r="A645" s="1" t="s">
        <v>1089</v>
      </c>
      <c r="B645" s="0" t="s">
        <v>98</v>
      </c>
      <c r="C645" s="6" t="n">
        <f aca="false">(w_ntm28*Sens!G491+(1-w_ntm28)*Sens!H491)*m_ai</f>
        <v>338.776008390068</v>
      </c>
    </row>
    <row r="646" customFormat="false" ht="17.15" hidden="false" customHeight="false" outlineLevel="0" collapsed="false">
      <c r="A646" s="1" t="s">
        <v>1090</v>
      </c>
      <c r="B646" s="0" t="s">
        <v>98</v>
      </c>
      <c r="C646" s="6" t="n">
        <f aca="false">(w_ntm28*Sens!G637+(1-w_ntm28)*Sens!H637)*m_cloud</f>
        <v>1056.83960927252</v>
      </c>
    </row>
    <row r="647" customFormat="false" ht="17.15" hidden="false" customHeight="false" outlineLevel="0" collapsed="false">
      <c r="A647" s="1" t="s">
        <v>1091</v>
      </c>
      <c r="B647" s="0" t="s">
        <v>98</v>
      </c>
      <c r="C647" s="6" t="n">
        <f aca="false">(w_ntm28*Sens!G630+(1-w_ntm28)*Sens!H630)*m_sw</f>
        <v>1046.81653016399</v>
      </c>
    </row>
    <row r="648" customFormat="false" ht="17.15" hidden="false" customHeight="false" outlineLevel="0" collapsed="false">
      <c r="A648" s="1" t="s">
        <v>1092</v>
      </c>
      <c r="B648" s="0" t="s">
        <v>98</v>
      </c>
      <c r="C648" s="6" t="n">
        <f aca="false">(w_ntm28*Sens!G631+(1-w_ntm28)*Sens!H631)*m_sw</f>
        <v>380.588206114803</v>
      </c>
    </row>
    <row r="649" customFormat="false" ht="17.15" hidden="false" customHeight="false" outlineLevel="0" collapsed="false">
      <c r="A649" s="1" t="s">
        <v>1093</v>
      </c>
      <c r="B649" s="0" t="s">
        <v>98</v>
      </c>
      <c r="C649" s="6" t="n">
        <f aca="false">(w_ntm28*Sens!G632+(1-w_ntm28)*Sens!H632)*m_sw</f>
        <v>109.941508211602</v>
      </c>
    </row>
    <row r="650" customFormat="false" ht="17.15" hidden="false" customHeight="false" outlineLevel="0" collapsed="false">
      <c r="A650" s="1" t="s">
        <v>1094</v>
      </c>
      <c r="B650" s="0" t="s">
        <v>98</v>
      </c>
      <c r="C650" s="6" t="n">
        <f aca="false">(w_ntm28*Sens!G633+(1-w_ntm28)*Sens!H633)*m_sw</f>
        <v>41.944622711021</v>
      </c>
    </row>
    <row r="651" customFormat="false" ht="17.15" hidden="false" customHeight="false" outlineLevel="0" collapsed="false">
      <c r="A651" s="1" t="s">
        <v>1095</v>
      </c>
      <c r="B651" s="0" t="s">
        <v>98</v>
      </c>
      <c r="C651" s="6" t="n">
        <f aca="false">(w_ntm28*Sens!G634+(1-w_ntm28)*Sens!H634)*m_ads</f>
        <v>115.893511108929</v>
      </c>
    </row>
    <row r="652" customFormat="false" ht="17.15" hidden="false" customHeight="false" outlineLevel="0" collapsed="false">
      <c r="A652" s="1" t="s">
        <v>1096</v>
      </c>
      <c r="B652" s="0" t="s">
        <v>98</v>
      </c>
      <c r="C652" s="6" t="n">
        <f aca="false">(w_ntm28*Sens!G639+(1-w_ntm28)*Sens!H639)*m_game</f>
        <v>98.416032447421</v>
      </c>
    </row>
    <row r="653" customFormat="false" ht="17.15" hidden="false" customHeight="false" outlineLevel="0" collapsed="false">
      <c r="A653" s="1" t="s">
        <v>1097</v>
      </c>
      <c r="B653" s="0" t="s">
        <v>98</v>
      </c>
      <c r="C653" s="6" t="n">
        <f aca="false">(w_ntm28*Sens!G640+(1-w_ntm28)*Sens!H640)*m_pc</f>
        <v>97.5716783311641</v>
      </c>
    </row>
    <row r="654" customFormat="false" ht="17.15" hidden="false" customHeight="false" outlineLevel="0" collapsed="false">
      <c r="A654" s="1" t="s">
        <v>1098</v>
      </c>
      <c r="B654" s="0" t="s">
        <v>98</v>
      </c>
      <c r="C654" s="6" t="n">
        <f aca="false">Sens!$C$644+Sens!$C$646+Sens!$C$647+Sens!$C$648+Sens!$C$649+Sens!$C$650+Sens!$C$651+Sens!$C$652+Sens!$C$653</f>
        <v>2280.83141946138</v>
      </c>
    </row>
    <row r="655" customFormat="false" ht="17.15" hidden="false" customHeight="false" outlineLevel="0" collapsed="false">
      <c r="A655" s="1" t="s">
        <v>1099</v>
      </c>
      <c r="B655" s="0" t="s">
        <v>98</v>
      </c>
      <c r="C655" s="6" t="n">
        <f aca="false">(Sens!G616-Sens!G641)*t_stub</f>
        <v>46.8760727339385</v>
      </c>
      <c r="L655" s="1" t="s">
        <v>1100</v>
      </c>
    </row>
    <row r="656" customFormat="false" ht="17.15" hidden="false" customHeight="false" outlineLevel="0" collapsed="false">
      <c r="A656" s="1" t="s">
        <v>1014</v>
      </c>
      <c r="B656" s="0" t="s">
        <v>98</v>
      </c>
      <c r="C656" s="6" t="n">
        <f aca="false">Sens!F605+oai_v-Sens!F594+Sens!$C$655</f>
        <v>153.718233647662</v>
      </c>
      <c r="L656" s="1" t="s">
        <v>1101</v>
      </c>
    </row>
    <row r="657" customFormat="false" ht="17.15" hidden="false" customHeight="false" outlineLevel="0" collapsed="false">
      <c r="A657" s="1" t="s">
        <v>1102</v>
      </c>
      <c r="B657" s="0" t="s">
        <v>75</v>
      </c>
      <c r="C657" s="5" t="n">
        <f aca="false">(Sens!$C$654+Sens!$C$656)/(Sens!F607+dil_gap)-Sens!G597*roll_div_q/q_per_yr</f>
        <v>323.740336327247</v>
      </c>
      <c r="L657" s="1" t="s">
        <v>1103</v>
      </c>
    </row>
    <row r="658" customFormat="false" ht="17.15" hidden="false" customHeight="false" outlineLevel="0" collapsed="false">
      <c r="A658" s="1" t="s">
        <v>1104</v>
      </c>
      <c r="B658" s="0" t="s">
        <v>75</v>
      </c>
      <c r="C658" s="5" t="n">
        <f aca="false">w_dcf*Sens!$C$628+(1-w_dcf)*Sens!$C$657</f>
        <v>264.556916963144</v>
      </c>
    </row>
    <row r="659" customFormat="false" ht="17.15" hidden="false" customHeight="false" outlineLevel="0" collapsed="false">
      <c r="A659" s="3" t="s">
        <v>1277</v>
      </c>
    </row>
    <row r="660" customFormat="false" ht="15" hidden="false" customHeight="false" outlineLevel="0" collapsed="false">
      <c r="A660" s="4" t="s">
        <v>43</v>
      </c>
      <c r="B660" s="4" t="s">
        <v>65</v>
      </c>
      <c r="C660" s="20" t="s">
        <v>799</v>
      </c>
      <c r="D660" s="20" t="s">
        <v>800</v>
      </c>
      <c r="E660" s="20" t="s">
        <v>801</v>
      </c>
      <c r="F660" s="20" t="s">
        <v>802</v>
      </c>
      <c r="G660" s="20" t="s">
        <v>803</v>
      </c>
      <c r="H660" s="20" t="s">
        <v>804</v>
      </c>
      <c r="I660" s="20" t="s">
        <v>805</v>
      </c>
      <c r="J660" s="20" t="s">
        <v>806</v>
      </c>
      <c r="K660" s="20" t="s">
        <v>807</v>
      </c>
      <c r="L660" s="4" t="s">
        <v>47</v>
      </c>
    </row>
    <row r="661" customFormat="false" ht="17.15" hidden="false" customHeight="false" outlineLevel="0" collapsed="false">
      <c r="A661" s="1" t="s">
        <v>808</v>
      </c>
      <c r="B661" s="1" t="s">
        <v>235</v>
      </c>
      <c r="C661" s="28" t="n">
        <v>2024</v>
      </c>
      <c r="D661" s="28" t="n">
        <v>2025</v>
      </c>
      <c r="E661" s="28" t="n">
        <v>2026</v>
      </c>
      <c r="F661" s="28" t="n">
        <v>2027</v>
      </c>
      <c r="G661" s="28" t="n">
        <v>2028</v>
      </c>
      <c r="H661" s="28" t="n">
        <v>2029</v>
      </c>
      <c r="I661" s="28" t="n">
        <v>2030</v>
      </c>
      <c r="J661" s="28" t="n">
        <v>2031</v>
      </c>
      <c r="K661" s="28" t="n">
        <v>2032</v>
      </c>
    </row>
    <row r="662" customFormat="false" ht="17.15" hidden="false" customHeight="false" outlineLevel="0" collapsed="false">
      <c r="A662" s="1" t="s">
        <v>809</v>
      </c>
      <c r="B662" s="0" t="s">
        <v>399</v>
      </c>
      <c r="F662" s="29" t="n">
        <f aca="false">pace</f>
        <v>2527.2</v>
      </c>
      <c r="G662" s="29" t="n">
        <f aca="false">pace</f>
        <v>2527.2</v>
      </c>
      <c r="H662" s="29" t="n">
        <f aca="false">pace</f>
        <v>2527.2</v>
      </c>
      <c r="I662" s="29" t="n">
        <f aca="false">pace+(g_tv*Sens!H663-pace)*MIN(1,(Sens!I661-pace_y0)/(pace_y1-pace_y0))</f>
        <v>1793.116</v>
      </c>
      <c r="J662" s="29" t="n">
        <f aca="false">pace+(g_tv*Sens!I663-pace)*MIN(1,(Sens!J661-pace_y0)/(pace_y1-pace_y0))</f>
        <v>1094.89432</v>
      </c>
      <c r="K662" s="29" t="n">
        <f aca="false">pace+(g_tv*Sens!J663-pace)*MIN(1,(Sens!K661-pace_y0)/(pace_y1-pace_y0))</f>
        <v>411.5883096</v>
      </c>
      <c r="L662" s="11" t="s">
        <v>810</v>
      </c>
    </row>
    <row r="663" customFormat="false" ht="17.15" hidden="false" customHeight="false" outlineLevel="0" collapsed="false">
      <c r="A663" s="1" t="s">
        <v>811</v>
      </c>
      <c r="B663" s="0" t="s">
        <v>399</v>
      </c>
      <c r="C663" s="29" t="n">
        <f aca="false">mw_ext_24</f>
        <v>640</v>
      </c>
      <c r="D663" s="29" t="n">
        <f aca="false">mw_ext_25</f>
        <v>1630</v>
      </c>
      <c r="E663" s="29" t="n">
        <f aca="false">mw_ext_26</f>
        <v>3250</v>
      </c>
      <c r="F663" s="29" t="n">
        <f aca="false">Sens!E663+Sens!F662</f>
        <v>5777.2</v>
      </c>
      <c r="G663" s="29" t="n">
        <f aca="false">Sens!F663+Sens!G662</f>
        <v>8304.4</v>
      </c>
      <c r="H663" s="29" t="n">
        <f aca="false">Sens!G663+Sens!H662</f>
        <v>10831.6</v>
      </c>
      <c r="I663" s="29" t="n">
        <f aca="false">Sens!H663+Sens!I662</f>
        <v>12624.716</v>
      </c>
      <c r="J663" s="29" t="n">
        <f aca="false">Sens!I663+Sens!J662</f>
        <v>13719.61032</v>
      </c>
      <c r="K663" s="29" t="n">
        <f aca="false">Sens!J663+Sens!K662</f>
        <v>14131.1986296</v>
      </c>
      <c r="L663" s="1" t="s">
        <v>812</v>
      </c>
    </row>
    <row r="664" customFormat="false" ht="17.15" hidden="false" customHeight="false" outlineLevel="0" collapsed="false">
      <c r="A664" s="1" t="s">
        <v>813</v>
      </c>
      <c r="B664" s="0" t="s">
        <v>399</v>
      </c>
      <c r="C664" s="29" t="n">
        <f aca="false">rent_ext_24</f>
        <v>150</v>
      </c>
      <c r="D664" s="29" t="n">
        <f aca="false">rent_ext_25</f>
        <v>400</v>
      </c>
      <c r="E664" s="29" t="n">
        <f aca="false">rent_ext_26</f>
        <v>550</v>
      </c>
      <c r="F664" s="29" t="n">
        <f aca="false">rent_ext_f</f>
        <v>756</v>
      </c>
      <c r="G664" s="29" t="n">
        <f aca="false">rent_ext_f</f>
        <v>756</v>
      </c>
      <c r="H664" s="29" t="n">
        <f aca="false">rent_ext_f</f>
        <v>756</v>
      </c>
      <c r="I664" s="29" t="n">
        <f aca="false">rent_ext_f</f>
        <v>756</v>
      </c>
      <c r="J664" s="29" t="n">
        <f aca="false">rent_ext_f</f>
        <v>756</v>
      </c>
      <c r="K664" s="29" t="n">
        <f aca="false">rent_ext_f</f>
        <v>756</v>
      </c>
      <c r="L664" s="1" t="s">
        <v>814</v>
      </c>
    </row>
    <row r="665" customFormat="false" ht="17.15" hidden="false" customHeight="false" outlineLevel="0" collapsed="false">
      <c r="A665" s="1" t="s">
        <v>815</v>
      </c>
      <c r="B665" s="0" t="s">
        <v>399</v>
      </c>
      <c r="C665" s="29" t="n">
        <f aca="false">Sens!C663-Sens!C664</f>
        <v>490</v>
      </c>
      <c r="D665" s="29" t="n">
        <f aca="false">Sens!D663-Sens!D664</f>
        <v>1230</v>
      </c>
      <c r="E665" s="29" t="n">
        <f aca="false">Sens!E663-Sens!E664</f>
        <v>2700</v>
      </c>
      <c r="F665" s="29" t="n">
        <f aca="false">Sens!F663-Sens!F664</f>
        <v>5021.2</v>
      </c>
      <c r="G665" s="29" t="n">
        <f aca="false">Sens!G663-Sens!G664</f>
        <v>7548.4</v>
      </c>
      <c r="H665" s="29" t="n">
        <f aca="false">Sens!H663-Sens!H664</f>
        <v>10075.6</v>
      </c>
      <c r="I665" s="29" t="n">
        <f aca="false">Sens!I663-Sens!I664</f>
        <v>11868.716</v>
      </c>
      <c r="J665" s="29" t="n">
        <f aca="false">Sens!J663-Sens!J664</f>
        <v>12963.61032</v>
      </c>
      <c r="K665" s="29" t="n">
        <f aca="false">Sens!K663-Sens!K664</f>
        <v>13375.1986296</v>
      </c>
    </row>
    <row r="666" customFormat="false" ht="17.15" hidden="false" customHeight="false" outlineLevel="0" collapsed="false">
      <c r="A666" s="1" t="s">
        <v>816</v>
      </c>
      <c r="B666" s="0" t="s">
        <v>399</v>
      </c>
      <c r="C666" s="29" t="n">
        <f aca="false">Sens!C665/ext_sh</f>
        <v>816.666666666667</v>
      </c>
      <c r="D666" s="29" t="n">
        <f aca="false">Sens!D665/ext_sh</f>
        <v>2050</v>
      </c>
      <c r="E666" s="29" t="n">
        <f aca="false">Sens!E665/ext_sh</f>
        <v>4500</v>
      </c>
      <c r="F666" s="29" t="n">
        <f aca="false">Sens!F665/ext_sh</f>
        <v>8368.66666666667</v>
      </c>
      <c r="G666" s="29" t="n">
        <f aca="false">Sens!G665/ext_sh</f>
        <v>12580.6666666667</v>
      </c>
      <c r="H666" s="29" t="n">
        <f aca="false">Sens!H665/ext_sh</f>
        <v>16792.6666666667</v>
      </c>
      <c r="I666" s="29" t="n">
        <f aca="false">Sens!I665/ext_sh</f>
        <v>19781.1933333333</v>
      </c>
      <c r="J666" s="29" t="n">
        <f aca="false">Sens!J665/ext_sh</f>
        <v>21606.0172</v>
      </c>
      <c r="K666" s="29" t="n">
        <f aca="false">Sens!K665/ext_sh</f>
        <v>22291.997716</v>
      </c>
      <c r="L666" s="1" t="s">
        <v>817</v>
      </c>
    </row>
    <row r="667" customFormat="false" ht="17.15" hidden="false" customHeight="false" outlineLevel="0" collapsed="false">
      <c r="A667" s="1" t="s">
        <v>818</v>
      </c>
      <c r="B667" s="0" t="s">
        <v>399</v>
      </c>
      <c r="C667" s="29" t="n">
        <f aca="false">Sens!C666-Sens!C665</f>
        <v>326.666666666667</v>
      </c>
      <c r="D667" s="29" t="n">
        <f aca="false">Sens!D666-Sens!D665</f>
        <v>820</v>
      </c>
      <c r="E667" s="29" t="n">
        <f aca="false">Sens!E666-Sens!E665</f>
        <v>1800</v>
      </c>
      <c r="F667" s="29" t="n">
        <f aca="false">Sens!F666-Sens!F665</f>
        <v>3347.46666666667</v>
      </c>
      <c r="G667" s="29" t="n">
        <f aca="false">Sens!G666-Sens!G665</f>
        <v>5032.26666666667</v>
      </c>
      <c r="H667" s="29" t="n">
        <f aca="false">Sens!H666-Sens!H665</f>
        <v>6717.06666666667</v>
      </c>
      <c r="I667" s="29" t="n">
        <f aca="false">Sens!I666-Sens!I665</f>
        <v>7912.47733333333</v>
      </c>
      <c r="J667" s="29" t="n">
        <f aca="false">Sens!J666-Sens!J665</f>
        <v>8642.40688</v>
      </c>
      <c r="K667" s="29" t="n">
        <f aca="false">Sens!K666-Sens!K665</f>
        <v>8916.7990864</v>
      </c>
    </row>
    <row r="668" customFormat="false" ht="17.15" hidden="false" customHeight="false" outlineLevel="0" collapsed="false">
      <c r="A668" s="1" t="s">
        <v>819</v>
      </c>
      <c r="B668" s="0" t="s">
        <v>399</v>
      </c>
      <c r="C668" s="29" t="n">
        <f aca="false">Sens!C666</f>
        <v>816.666666666667</v>
      </c>
      <c r="D668" s="29" t="n">
        <f aca="false">Sens!D666-Sens!C666</f>
        <v>1233.33333333333</v>
      </c>
      <c r="E668" s="29" t="n">
        <f aca="false">Sens!E666-Sens!D666</f>
        <v>2450</v>
      </c>
      <c r="F668" s="29" t="n">
        <f aca="false">Sens!F666-Sens!E666</f>
        <v>3868.66666666667</v>
      </c>
      <c r="G668" s="29" t="n">
        <f aca="false">Sens!G666-Sens!F666</f>
        <v>4212</v>
      </c>
      <c r="H668" s="29" t="n">
        <f aca="false">Sens!H666-Sens!G666</f>
        <v>4212</v>
      </c>
      <c r="I668" s="29" t="n">
        <f aca="false">Sens!I666-Sens!H666</f>
        <v>2988.52666666667</v>
      </c>
      <c r="J668" s="29" t="n">
        <f aca="false">Sens!J666-Sens!I666</f>
        <v>1824.82386666667</v>
      </c>
      <c r="K668" s="29" t="n">
        <f aca="false">Sens!K666-Sens!J666</f>
        <v>685.980516</v>
      </c>
    </row>
    <row r="669" customFormat="false" ht="17.15" hidden="false" customHeight="false" outlineLevel="0" collapsed="false">
      <c r="A669" s="1" t="s">
        <v>820</v>
      </c>
      <c r="B669" s="0" t="s">
        <v>399</v>
      </c>
      <c r="D669" s="29" t="n">
        <f aca="false">Sens!D663-Sens!C663</f>
        <v>990</v>
      </c>
      <c r="E669" s="29" t="n">
        <f aca="false">Sens!E663-Sens!D663</f>
        <v>1620</v>
      </c>
      <c r="F669" s="29" t="n">
        <f aca="false">Sens!F663-Sens!E663</f>
        <v>2527.2</v>
      </c>
      <c r="G669" s="29" t="n">
        <f aca="false">Sens!G663-Sens!F663</f>
        <v>2527.2</v>
      </c>
      <c r="H669" s="29" t="n">
        <f aca="false">Sens!H663-Sens!G663</f>
        <v>2527.2</v>
      </c>
      <c r="I669" s="29" t="n">
        <f aca="false">Sens!I663-Sens!H663</f>
        <v>1793.116</v>
      </c>
      <c r="J669" s="29" t="n">
        <f aca="false">Sens!J663-Sens!I663</f>
        <v>1094.89432</v>
      </c>
      <c r="K669" s="29" t="n">
        <f aca="false">Sens!K663-Sens!J663</f>
        <v>411.5883096</v>
      </c>
    </row>
    <row r="670" customFormat="false" ht="17.15" hidden="false" customHeight="false" outlineLevel="0" collapsed="false">
      <c r="A670" s="1" t="s">
        <v>821</v>
      </c>
      <c r="B670" s="0" t="s">
        <v>399</v>
      </c>
      <c r="F670" s="29" t="n">
        <f aca="false">Sens!F687*ext_sh</f>
        <v>0</v>
      </c>
      <c r="G670" s="29" t="n">
        <f aca="false">Sens!G687*ext_sh</f>
        <v>0</v>
      </c>
      <c r="H670" s="29" t="n">
        <f aca="false">Sens!H687*ext_sh</f>
        <v>0</v>
      </c>
      <c r="I670" s="29" t="n">
        <f aca="false">Sens!I687*ext_sh</f>
        <v>490</v>
      </c>
      <c r="J670" s="29" t="n">
        <f aca="false">Sens!J687*ext_sh</f>
        <v>740</v>
      </c>
      <c r="K670" s="29" t="n">
        <f aca="false">Sens!K687*ext_sh</f>
        <v>1470</v>
      </c>
      <c r="L670" s="1" t="s">
        <v>822</v>
      </c>
    </row>
    <row r="671" customFormat="false" ht="17.15" hidden="false" customHeight="false" outlineLevel="0" collapsed="false">
      <c r="A671" s="1" t="s">
        <v>823</v>
      </c>
      <c r="B671" s="0" t="s">
        <v>399</v>
      </c>
      <c r="C671" s="29" t="n">
        <f aca="false">mix_h*Sens!C663</f>
        <v>128</v>
      </c>
      <c r="D671" s="29" t="n">
        <f aca="false">mix_h*Sens!D663</f>
        <v>326</v>
      </c>
      <c r="E671" s="29" t="n">
        <f aca="false">mix_h*Sens!E663</f>
        <v>650</v>
      </c>
      <c r="F671" s="29" t="n">
        <f aca="false">Sens!E671-Sens!F670*mix_h</f>
        <v>650</v>
      </c>
      <c r="G671" s="29" t="n">
        <f aca="false">Sens!F671-Sens!G670*mix_h</f>
        <v>650</v>
      </c>
      <c r="H671" s="29" t="n">
        <f aca="false">Sens!G671-Sens!H670*mix_h</f>
        <v>650</v>
      </c>
      <c r="I671" s="29" t="n">
        <f aca="false">Sens!H671-Sens!I670*mix_h</f>
        <v>552</v>
      </c>
      <c r="J671" s="29" t="n">
        <f aca="false">Sens!I671-Sens!J670*mix_h</f>
        <v>404</v>
      </c>
      <c r="K671" s="29" t="n">
        <f aca="false">Sens!J671-Sens!K670*mix_h</f>
        <v>110</v>
      </c>
    </row>
    <row r="672" customFormat="false" ht="17.15" hidden="false" customHeight="false" outlineLevel="0" collapsed="false">
      <c r="A672" s="1" t="s">
        <v>824</v>
      </c>
      <c r="B672" s="0" t="s">
        <v>399</v>
      </c>
      <c r="C672" s="29" t="n">
        <f aca="false">mix_g2*Sens!C663</f>
        <v>288</v>
      </c>
      <c r="D672" s="29" t="n">
        <f aca="false">mix_g2*Sens!D663</f>
        <v>733.5</v>
      </c>
      <c r="E672" s="29" t="n">
        <f aca="false">mix_g2*Sens!E663</f>
        <v>1462.5</v>
      </c>
      <c r="F672" s="29" t="n">
        <f aca="false">Sens!E672-Sens!F670*mix_g2</f>
        <v>1462.5</v>
      </c>
      <c r="G672" s="29" t="n">
        <f aca="false">Sens!F672-Sens!G670*mix_g2</f>
        <v>1462.5</v>
      </c>
      <c r="H672" s="29" t="n">
        <f aca="false">Sens!G672-Sens!H670*mix_g2</f>
        <v>1462.5</v>
      </c>
      <c r="I672" s="29" t="n">
        <f aca="false">Sens!H672-Sens!I670*mix_g2</f>
        <v>1242</v>
      </c>
      <c r="J672" s="29" t="n">
        <f aca="false">Sens!I672-Sens!J670*mix_g2</f>
        <v>909</v>
      </c>
      <c r="K672" s="29" t="n">
        <f aca="false">Sens!J672-Sens!K670*mix_g2</f>
        <v>247.5</v>
      </c>
    </row>
    <row r="673" customFormat="false" ht="17.15" hidden="false" customHeight="false" outlineLevel="0" collapsed="false">
      <c r="A673" s="1" t="s">
        <v>825</v>
      </c>
      <c r="B673" s="0" t="s">
        <v>399</v>
      </c>
      <c r="C673" s="29" t="n">
        <f aca="false">mix_g3*Sens!C663</f>
        <v>224</v>
      </c>
      <c r="D673" s="29" t="n">
        <f aca="false">mix_g3*Sens!D663</f>
        <v>570.5</v>
      </c>
      <c r="E673" s="29" t="n">
        <f aca="false">mix_g3*Sens!E663</f>
        <v>1137.5</v>
      </c>
      <c r="F673" s="29" t="n">
        <f aca="false">Sens!E673+(Sens!F669+Sens!F670)*a_g3_27-Sens!F670*mix_g3</f>
        <v>2906.54</v>
      </c>
      <c r="G673" s="29" t="n">
        <f aca="false">Sens!F673+(Sens!G669+Sens!G670)*a_g3_28-Sens!G670*mix_g3</f>
        <v>3664.7</v>
      </c>
      <c r="H673" s="29" t="n">
        <f aca="false">Sens!G673+(Sens!H669+Sens!H670)*a_g3_29-Sens!H670*mix_g3</f>
        <v>3917.42</v>
      </c>
      <c r="I673" s="29" t="n">
        <f aca="false">Sens!H673+(Sens!I669+Sens!I670)*a_g3_29-Sens!I670*mix_g3</f>
        <v>3974.2316</v>
      </c>
      <c r="J673" s="29" t="n">
        <f aca="false">Sens!I673+(Sens!J669+Sens!J670)*a_g3_29-Sens!J670*mix_g3</f>
        <v>3898.721032</v>
      </c>
      <c r="K673" s="29" t="n">
        <f aca="false">Sens!J673+(Sens!K669+Sens!K670)*a_g3_29-Sens!K670*mix_g3</f>
        <v>3572.37986296</v>
      </c>
    </row>
    <row r="674" customFormat="false" ht="17.15" hidden="false" customHeight="false" outlineLevel="0" collapsed="false">
      <c r="A674" s="1" t="s">
        <v>826</v>
      </c>
      <c r="B674" s="0" t="s">
        <v>399</v>
      </c>
      <c r="C674" s="29" t="n">
        <v>0</v>
      </c>
      <c r="D674" s="29" t="n">
        <v>0</v>
      </c>
      <c r="E674" s="29" t="n">
        <v>0</v>
      </c>
      <c r="F674" s="29" t="n">
        <f aca="false">Sens!E674+(Sens!F669+Sens!F670)*(1-a_g3_27)</f>
        <v>758.16</v>
      </c>
      <c r="G674" s="29" t="n">
        <f aca="false">Sens!F674+(Sens!G669+Sens!G670)*(1-a_g3_28)</f>
        <v>2527.2</v>
      </c>
      <c r="H674" s="29" t="n">
        <f aca="false">Sens!G674+(Sens!H669+Sens!H670)*(1-a_g3_29)</f>
        <v>4801.68</v>
      </c>
      <c r="I674" s="29" t="n">
        <f aca="false">Sens!H674+(Sens!I669+Sens!I670)*(1-a_g3_29)</f>
        <v>6856.4844</v>
      </c>
      <c r="J674" s="29" t="n">
        <f aca="false">Sens!I674+(Sens!J669+Sens!J670)*(1-a_g3_29)</f>
        <v>8507.889288</v>
      </c>
      <c r="K674" s="29" t="n">
        <f aca="false">Sens!J674+(Sens!K669+Sens!K670)*(1-a_g3_29)</f>
        <v>10201.31876664</v>
      </c>
    </row>
    <row r="675" customFormat="false" ht="17.15" hidden="false" customHeight="false" outlineLevel="0" collapsed="false">
      <c r="A675" s="1" t="s">
        <v>827</v>
      </c>
      <c r="B675" s="0" t="s">
        <v>346</v>
      </c>
      <c r="C675" s="14" t="n">
        <f aca="false">(Sens!C671*tk_hold_h100+Sens!C672*tk_hold_gb200+Sens!C673*tk_hold_gb300+Sens!C674*tk_hold_vr200)/Sens!C663</f>
        <v>9.7235358126469</v>
      </c>
      <c r="D675" s="14" t="n">
        <f aca="false">(Sens!D671*tk_hold_h100+Sens!D672*tk_hold_gb200+Sens!D673*tk_hold_gb300+Sens!D674*tk_hold_vr200)/Sens!D663</f>
        <v>9.7235358126469</v>
      </c>
      <c r="E675" s="14" t="n">
        <f aca="false">(Sens!E671*tk_hold_h100+Sens!E672*tk_hold_gb200+Sens!E673*tk_hold_gb300+Sens!E674*tk_hold_vr200)/Sens!E663</f>
        <v>9.7235358126469</v>
      </c>
      <c r="F675" s="14" t="n">
        <f aca="false">(Sens!F671*tk_hold_h100+Sens!F672*tk_hold_gb200+Sens!F673*tk_hold_gb300+Sens!F674*tk_hold_vr200)/Sens!F663</f>
        <v>10.4079573161931</v>
      </c>
      <c r="G675" s="14" t="n">
        <f aca="false">(Sens!G671*tk_hold_h100+Sens!G672*tk_hold_gb200+Sens!G673*tk_hold_gb300+Sens!G674*tk_hold_vr200)/Sens!G663</f>
        <v>10.8388131109316</v>
      </c>
      <c r="H675" s="14" t="n">
        <f aca="false">(Sens!H671*tk_hold_h100+Sens!H672*tk_hold_gb200+Sens!H673*tk_hold_gb300+Sens!H674*tk_hold_vr200)/Sens!H663</f>
        <v>11.1311018388216</v>
      </c>
      <c r="I675" s="14" t="n">
        <f aca="false">(Sens!I671*tk_hold_h100+Sens!I672*tk_hold_gb200+Sens!I673*tk_hold_gb300+Sens!I674*tk_hold_vr200)/Sens!I663</f>
        <v>11.3594282560989</v>
      </c>
      <c r="J675" s="14" t="n">
        <f aca="false">(Sens!J671*tk_hold_h100+Sens!J672*tk_hold_gb200+Sens!J673*tk_hold_gb300+Sens!J674*tk_hold_vr200)/Sens!J663</f>
        <v>11.5455817917599</v>
      </c>
      <c r="K675" s="14" t="n">
        <f aca="false">(Sens!K671*tk_hold_h100+Sens!K672*tk_hold_gb200+Sens!K673*tk_hold_gb300+Sens!K674*tk_hold_vr200)/Sens!K663</f>
        <v>11.8078187977246</v>
      </c>
    </row>
    <row r="676" customFormat="false" ht="17.15" hidden="false" customHeight="false" outlineLevel="0" collapsed="false">
      <c r="A676" s="0" t="s">
        <v>828</v>
      </c>
      <c r="B676" s="0" t="s">
        <v>185</v>
      </c>
      <c r="C676" s="14" t="n">
        <f aca="false">k_B</f>
        <v>1.17213932619116</v>
      </c>
      <c r="D676" s="14" t="n">
        <f aca="false">k_B</f>
        <v>1.17213932619116</v>
      </c>
      <c r="E676" s="14" t="n">
        <f aca="false">k_B</f>
        <v>1.17213932619116</v>
      </c>
      <c r="F676" s="14" t="n">
        <f aca="false">(k_B+((ls_A*k_long+(1-ls_A)*k_spot)-k_B)*MIN(1,(Sens!F661-base_fy)/k_ramp))*0.85</f>
        <v>1.06269403911603</v>
      </c>
      <c r="G676" s="14" t="n">
        <f aca="false">(k_B+((ls_A*k_long+(1-ls_A)*k_spot)-k_B)*MIN(1,(Sens!G661-base_fy)/k_ramp))*0.85</f>
        <v>1.12906965096958</v>
      </c>
      <c r="H676" s="14" t="n">
        <f aca="false">(k_B+((ls_A*k_long+(1-ls_A)*k_spot)-k_B)*MIN(1,(Sens!H661-base_fy)/k_ramp))*0.85</f>
        <v>1.19544526282313</v>
      </c>
      <c r="I676" s="14" t="n">
        <f aca="false">(k_B+((ls_A*k_long+(1-ls_A)*k_spot)-k_B)*MIN(1,(Sens!I661-base_fy)/k_ramp))*0.85</f>
        <v>1.19544526282313</v>
      </c>
      <c r="J676" s="14" t="n">
        <f aca="false">(k_B+((ls_A*k_long+(1-ls_A)*k_spot)-k_B)*MIN(1,(Sens!J661-base_fy)/k_ramp))*0.85</f>
        <v>1.19544526282313</v>
      </c>
      <c r="K676" s="14" t="n">
        <f aca="false">(k_B+((ls_A*k_long+(1-ls_A)*k_spot)-k_B)*MIN(1,(Sens!K661-base_fy)/k_ramp))*0.85</f>
        <v>1.19544526282313</v>
      </c>
      <c r="L676" s="1" t="s">
        <v>829</v>
      </c>
    </row>
    <row r="677" customFormat="false" ht="17.15" hidden="false" customHeight="false" outlineLevel="0" collapsed="false">
      <c r="A677" s="1" t="s">
        <v>830</v>
      </c>
      <c r="B677" s="0" t="s">
        <v>346</v>
      </c>
      <c r="C677" s="14" t="n">
        <f aca="false">Sens!C675*Sens!C676*chip_f</f>
        <v>11.3973387156315</v>
      </c>
      <c r="D677" s="14" t="n">
        <f aca="false">Sens!D675*Sens!D676*chip_f</f>
        <v>11.3973387156315</v>
      </c>
      <c r="E677" s="14" t="n">
        <f aca="false">Sens!E675*Sens!E676*chip_f</f>
        <v>11.3973387156315</v>
      </c>
      <c r="F677" s="14" t="n">
        <f aca="false">Sens!F675*Sens!F676*chip_f</f>
        <v>11.0604741992925</v>
      </c>
      <c r="G677" s="14" t="n">
        <f aca="false">Sens!G675*Sens!G676*chip_f</f>
        <v>12.237774936084</v>
      </c>
      <c r="H677" s="14" t="n">
        <f aca="false">Sens!H675*Sens!H676*chip_f</f>
        <v>13.306622963221</v>
      </c>
      <c r="I677" s="14" t="n">
        <f aca="false">Sens!I675*Sens!I676*chip_f</f>
        <v>13.5795746971326</v>
      </c>
      <c r="J677" s="14" t="n">
        <f aca="false">Sens!J675*Sens!J676*chip_f</f>
        <v>13.8021110594963</v>
      </c>
      <c r="K677" s="14" t="n">
        <f aca="false">Sens!K675*Sens!K676*chip_f</f>
        <v>14.1156010460137</v>
      </c>
      <c r="L677" s="1" t="s">
        <v>831</v>
      </c>
    </row>
    <row r="678" customFormat="false" ht="17.15" hidden="false" customHeight="false" outlineLevel="0" collapsed="false">
      <c r="A678" s="0" t="s">
        <v>832</v>
      </c>
      <c r="B678" s="0" t="s">
        <v>98</v>
      </c>
      <c r="D678" s="6" t="n">
        <f aca="false">(Sens!C663+Sens!D663)/2*Sens!D677/1000</f>
        <v>12.9359794422418</v>
      </c>
      <c r="E678" s="6" t="n">
        <f aca="false">(Sens!D663+Sens!E663)/2*Sens!E677/1000</f>
        <v>27.8095064661409</v>
      </c>
      <c r="F678" s="6" t="n">
        <f aca="false">(Sens!E663+Sens!F663)/2*Sens!F677/1000</f>
        <v>49.9225563459265</v>
      </c>
      <c r="G678" s="6" t="n">
        <f aca="false">(Sens!F663+Sens!G663)/2*Sens!G677/1000</f>
        <v>86.16372576998</v>
      </c>
      <c r="H678" s="6" t="n">
        <f aca="false">(Sens!G663+Sens!H663)/2*Sens!H677/1000</f>
        <v>127.317768512099</v>
      </c>
      <c r="I678" s="6" t="n">
        <f aca="false">(Sens!H663+Sens!I663)/2*Sens!I677/1000</f>
        <v>159.263397620773</v>
      </c>
      <c r="J678" s="6" t="n">
        <f aca="false">(Sens!I663+Sens!J663)/2*Sens!J677/1000</f>
        <v>181.803658828126</v>
      </c>
      <c r="K678" s="6" t="n">
        <f aca="false">(Sens!J663+Sens!K663)/2*Sens!K677/1000</f>
        <v>196.565453970651</v>
      </c>
      <c r="L678" s="11" t="s">
        <v>833</v>
      </c>
    </row>
    <row r="679" customFormat="false" ht="17.15" hidden="false" customHeight="false" outlineLevel="0" collapsed="false">
      <c r="A679" s="1" t="s">
        <v>834</v>
      </c>
      <c r="B679" s="0" t="s">
        <v>346</v>
      </c>
      <c r="C679" s="14" t="n">
        <f aca="false">(Sens!C671*tk_opex_h100+Sens!C672*tk_opex_gb200+Sens!C673*tk_opex_gb300+Sens!C674*tk_opex_vr200)/Sens!C663</f>
        <v>1.88636041306092</v>
      </c>
      <c r="D679" s="14" t="n">
        <f aca="false">(Sens!D671*tk_opex_h100+Sens!D672*tk_opex_gb200+Sens!D673*tk_opex_gb300+Sens!D674*tk_opex_vr200)/Sens!D663</f>
        <v>1.88636041306092</v>
      </c>
      <c r="E679" s="14" t="n">
        <f aca="false">(Sens!E671*tk_opex_h100+Sens!E672*tk_opex_gb200+Sens!E673*tk_opex_gb300+Sens!E674*tk_opex_vr200)/Sens!E663</f>
        <v>1.88636041306092</v>
      </c>
      <c r="F679" s="14" t="n">
        <f aca="false">(Sens!F671*tk_opex_h100+Sens!F672*tk_opex_gb200+Sens!F673*tk_opex_gb300+Sens!F674*tk_opex_vr200)/Sens!F663</f>
        <v>1.9430236476499</v>
      </c>
      <c r="G679" s="14" t="n">
        <f aca="false">(Sens!G671*tk_opex_h100+Sens!G672*tk_opex_gb200+Sens!G673*tk_opex_gb300+Sens!G674*tk_opex_vr200)/Sens!G663</f>
        <v>1.9786941852423</v>
      </c>
      <c r="H679" s="14" t="n">
        <f aca="false">(Sens!H671*tk_opex_h100+Sens!H672*tk_opex_gb200+Sens!H673*tk_opex_gb300+Sens!H674*tk_opex_vr200)/Sens!H663</f>
        <v>2.00289275976156</v>
      </c>
      <c r="I679" s="14" t="n">
        <f aca="false">(Sens!I671*tk_opex_h100+Sens!I672*tk_opex_gb200+Sens!I673*tk_opex_gb300+Sens!I674*tk_opex_vr200)/Sens!I663</f>
        <v>2.02179589661219</v>
      </c>
      <c r="J679" s="14" t="n">
        <f aca="false">(Sens!J671*tk_opex_h100+Sens!J672*tk_opex_gb200+Sens!J673*tk_opex_gb300+Sens!J674*tk_opex_vr200)/Sens!J663</f>
        <v>2.03720754193029</v>
      </c>
      <c r="K679" s="14" t="n">
        <f aca="false">(Sens!K671*tk_opex_h100+Sens!K672*tk_opex_gb200+Sens!K673*tk_opex_gb300+Sens!K674*tk_opex_vr200)/Sens!K663</f>
        <v>2.0589181353437</v>
      </c>
    </row>
    <row r="680" customFormat="false" ht="17.15" hidden="false" customHeight="false" outlineLevel="0" collapsed="false">
      <c r="A680" s="0" t="s">
        <v>835</v>
      </c>
      <c r="B680" s="0" t="s">
        <v>98</v>
      </c>
      <c r="D680" s="6" t="n">
        <f aca="false">(Sens!C666+Sens!D666)/2*Sens!D679/1000</f>
        <v>2.70378325872065</v>
      </c>
      <c r="E680" s="6" t="n">
        <f aca="false">(Sens!D666+Sens!E666)/2*Sens!E679/1000</f>
        <v>6.17783035277451</v>
      </c>
      <c r="F680" s="6" t="n">
        <f aca="false">(Sens!E666+Sens!F666)/2*Sens!F679/1000</f>
        <v>12.5020618235287</v>
      </c>
      <c r="G680" s="6" t="n">
        <f aca="false">(Sens!F666+Sens!G666)/2*Sens!G679/1000</f>
        <v>20.7261620256847</v>
      </c>
      <c r="H680" s="6" t="n">
        <f aca="false">(Sens!G666+Sens!H666)/2*Sens!H679/1000</f>
        <v>29.4158183316982</v>
      </c>
      <c r="I680" s="6" t="n">
        <f aca="false">(Sens!H666+Sens!I666)/2*Sens!I679/1000</f>
        <v>36.9724400356344</v>
      </c>
      <c r="J680" s="6" t="n">
        <f aca="false">(Sens!I666+Sens!J666)/2*Sens!J679/1000</f>
        <v>42.1571687189816</v>
      </c>
      <c r="K680" s="6" t="n">
        <f aca="false">(Sens!J666+Sens!K666)/2*Sens!K679/1000</f>
        <v>45.1912095080704</v>
      </c>
    </row>
    <row r="681" customFormat="false" ht="17.15" hidden="false" customHeight="false" outlineLevel="0" collapsed="false">
      <c r="A681" s="0" t="s">
        <v>836</v>
      </c>
      <c r="B681" s="0" t="s">
        <v>98</v>
      </c>
      <c r="D681" s="6" t="n">
        <f aca="false">(Sens!C664+Sens!D664)/2*rent_mw/1000</f>
        <v>2.44475</v>
      </c>
      <c r="E681" s="6" t="n">
        <f aca="false">(Sens!D664+Sens!E664)/2*rent_mw/1000</f>
        <v>4.22275</v>
      </c>
      <c r="F681" s="6" t="n">
        <f aca="false">(Sens!E664+Sens!F664)/2*rent_mw/1000</f>
        <v>5.80517</v>
      </c>
      <c r="G681" s="6" t="n">
        <f aca="false">(Sens!F664+Sens!G664)/2*rent_mw/1000</f>
        <v>6.72084</v>
      </c>
      <c r="H681" s="6" t="n">
        <f aca="false">(Sens!G664+Sens!H664)/2*rent_mw/1000</f>
        <v>6.72084</v>
      </c>
      <c r="I681" s="6" t="n">
        <f aca="false">(Sens!H664+Sens!I664)/2*rent_mw/1000</f>
        <v>6.72084</v>
      </c>
      <c r="J681" s="6" t="n">
        <f aca="false">(Sens!I664+Sens!J664)/2*rent_mw/1000</f>
        <v>6.72084</v>
      </c>
      <c r="K681" s="6" t="n">
        <f aca="false">(Sens!J664+Sens!K664)/2*rent_mw/1000</f>
        <v>6.72084</v>
      </c>
    </row>
    <row r="682" customFormat="false" ht="17.15" hidden="false" customHeight="false" outlineLevel="0" collapsed="false">
      <c r="A682" s="0" t="s">
        <v>837</v>
      </c>
      <c r="B682" s="0" t="s">
        <v>98</v>
      </c>
      <c r="D682" s="6" t="n">
        <f aca="false">(Sens!C666+Sens!D666)/2*(1-self_build)*fac_rent/1000</f>
        <v>0.853242375631075</v>
      </c>
      <c r="E682" s="6" t="n">
        <f aca="false">(Sens!D666+Sens!E666)/2*(1-self_build)*fac_rent/1000</f>
        <v>1.94955961408728</v>
      </c>
      <c r="F682" s="6" t="n">
        <f aca="false">(Sens!E666+Sens!F666)/2*(1-self_build)*fac_rent/1000</f>
        <v>3.83026455274573</v>
      </c>
      <c r="G682" s="6" t="n">
        <f aca="false">(Sens!F666+Sens!G666)/2*(1-self_build)*fac_rent/1000</f>
        <v>6.23541590972812</v>
      </c>
      <c r="H682" s="6" t="n">
        <f aca="false">(Sens!G666+Sens!H666)/2*(1-self_build)*fac_rent/1000</f>
        <v>8.74275792332679</v>
      </c>
      <c r="I682" s="6" t="n">
        <f aca="false">(Sens!H666+Sens!I666)/2*(1-self_build)*fac_rent/1000</f>
        <v>10.8859420438599</v>
      </c>
      <c r="J682" s="6" t="n">
        <f aca="false">(Sens!I666+Sens!J666)/2*(1-self_build)*fac_rent/1000</f>
        <v>12.3186006405366</v>
      </c>
      <c r="K682" s="6" t="n">
        <f aca="false">(Sens!J666+Sens!K666)/2*(1-self_build)*fac_rent/1000</f>
        <v>13.0659232089824</v>
      </c>
      <c r="L682" s="11" t="s">
        <v>838</v>
      </c>
    </row>
    <row r="683" customFormat="false" ht="17.15" hidden="false" customHeight="false" outlineLevel="0" collapsed="false">
      <c r="A683" s="1" t="s">
        <v>839</v>
      </c>
      <c r="B683" s="0" t="s">
        <v>129</v>
      </c>
      <c r="D683" s="7" t="n">
        <f aca="false">(Sens!C665+Sens!D665)/(Sens!C666+Sens!D666)</f>
        <v>0.6</v>
      </c>
      <c r="E683" s="7" t="n">
        <f aca="false">(Sens!D665+Sens!E665)/(Sens!D666+Sens!E666)</f>
        <v>0.6</v>
      </c>
      <c r="F683" s="7" t="n">
        <f aca="false">(Sens!E665+Sens!F665)/(Sens!E666+Sens!F666)</f>
        <v>0.6</v>
      </c>
      <c r="G683" s="7" t="n">
        <f aca="false">(Sens!F665+Sens!G665)/(Sens!F666+Sens!G666)</f>
        <v>0.6</v>
      </c>
      <c r="H683" s="7" t="n">
        <f aca="false">(Sens!G665+Sens!H665)/(Sens!G666+Sens!H666)</f>
        <v>0.6</v>
      </c>
      <c r="I683" s="7" t="n">
        <f aca="false">(Sens!H665+Sens!I665)/(Sens!H666+Sens!I666)</f>
        <v>0.6</v>
      </c>
      <c r="J683" s="7" t="n">
        <f aca="false">(Sens!I665+Sens!J665)/(Sens!I666+Sens!J666)</f>
        <v>0.6</v>
      </c>
      <c r="K683" s="7" t="n">
        <f aca="false">(Sens!J665+Sens!K665)/(Sens!J666+Sens!K666)</f>
        <v>0.6</v>
      </c>
    </row>
    <row r="684" customFormat="false" ht="17.15" hidden="false" customHeight="false" outlineLevel="0" collapsed="false">
      <c r="A684" s="0" t="s">
        <v>840</v>
      </c>
      <c r="B684" s="0" t="s">
        <v>98</v>
      </c>
      <c r="D684" s="6" t="n">
        <f aca="false">Sens!D678-Sens!D683*(Sens!D680+Sens!D682)-Sens!D681</f>
        <v>8.35701406163072</v>
      </c>
      <c r="E684" s="6" t="n">
        <f aca="false">Sens!E678-Sens!E683*(Sens!E680+Sens!E682)-Sens!E681</f>
        <v>18.7103224860238</v>
      </c>
      <c r="F684" s="6" t="n">
        <f aca="false">Sens!F678-Sens!F683*(Sens!F680+Sens!F682)-Sens!F681</f>
        <v>34.3179905201618</v>
      </c>
      <c r="G684" s="6" t="n">
        <f aca="false">Sens!G678-Sens!G683*(Sens!G680+Sens!G682)-Sens!G681</f>
        <v>63.2659390087323</v>
      </c>
      <c r="H684" s="6" t="n">
        <f aca="false">Sens!H678-Sens!H683*(Sens!H680+Sens!H682)-Sens!H681</f>
        <v>97.7017827590837</v>
      </c>
      <c r="I684" s="6" t="n">
        <f aca="false">Sens!I678-Sens!I683*(Sens!I680+Sens!I682)-Sens!I681</f>
        <v>123.827528373077</v>
      </c>
      <c r="J684" s="6" t="n">
        <f aca="false">Sens!J678-Sens!J683*(Sens!J680+Sens!J682)-Sens!J681</f>
        <v>142.397357212415</v>
      </c>
      <c r="K684" s="6" t="n">
        <f aca="false">Sens!K678-Sens!K683*(Sens!K680+Sens!K682)-Sens!K681</f>
        <v>154.890334340419</v>
      </c>
    </row>
    <row r="685" customFormat="false" ht="17.15" hidden="false" customHeight="false" outlineLevel="0" collapsed="false">
      <c r="A685" s="1" t="s">
        <v>841</v>
      </c>
      <c r="B685" s="0" t="s">
        <v>98</v>
      </c>
      <c r="D685" s="6" t="n">
        <f aca="false">(1-Sens!D683)*(Sens!D680+Sens!D682)</f>
        <v>1.42281025374069</v>
      </c>
      <c r="E685" s="6" t="n">
        <f aca="false">(1-Sens!E683)*(Sens!E680+Sens!E682)</f>
        <v>3.25095598674472</v>
      </c>
      <c r="F685" s="6" t="n">
        <f aca="false">(1-Sens!F683)*(Sens!F680+Sens!F682)</f>
        <v>6.53293055050977</v>
      </c>
      <c r="G685" s="6" t="n">
        <f aca="false">(1-Sens!G683)*(Sens!G680+Sens!G682)</f>
        <v>10.7846311741651</v>
      </c>
      <c r="H685" s="6" t="n">
        <f aca="false">(1-Sens!H683)*(Sens!H680+Sens!H682)</f>
        <v>15.26343050201</v>
      </c>
      <c r="I685" s="6" t="n">
        <f aca="false">(1-Sens!I683)*(Sens!I680+Sens!I682)</f>
        <v>19.1433528317977</v>
      </c>
      <c r="J685" s="6" t="n">
        <f aca="false">(1-Sens!J683)*(Sens!J680+Sens!J682)</f>
        <v>21.7903077438073</v>
      </c>
      <c r="K685" s="6" t="n">
        <f aca="false">(1-Sens!K683)*(Sens!K680+Sens!K682)</f>
        <v>23.3028530868211</v>
      </c>
    </row>
    <row r="686" customFormat="false" ht="17.15" hidden="false" customHeight="false" outlineLevel="0" collapsed="false">
      <c r="A686" s="1" t="s">
        <v>842</v>
      </c>
      <c r="B686" s="0" t="s">
        <v>357</v>
      </c>
      <c r="C686" s="8" t="n">
        <f aca="false">cxit_open</f>
        <v>27.5918995</v>
      </c>
      <c r="D686" s="8" t="n">
        <f aca="false">cxit_open</f>
        <v>27.5918995</v>
      </c>
      <c r="E686" s="8" t="n">
        <f aca="false">cxit_open</f>
        <v>27.5918995</v>
      </c>
      <c r="F686" s="8" t="n">
        <f aca="false">(a_g3_27*tk_cxit_gb300+(1-a_g3_27)*tk_cxit_vr200)</f>
        <v>33.8419624</v>
      </c>
      <c r="G686" s="8" t="n">
        <f aca="false">(a_g3_28*tk_cxit_gb300+(1-a_g3_28)*tk_cxit_vr200)</f>
        <v>35.9816136</v>
      </c>
      <c r="H686" s="8" t="n">
        <f aca="false">(a_g3_29*tk_cxit_gb300+(1-a_g3_29)*tk_cxit_vr200)</f>
        <v>37.0514392</v>
      </c>
      <c r="I686" s="8" t="n">
        <f aca="false">(a_g3_29*tk_cxit_gb300+(1-a_g3_29)*tk_cxit_vr200)</f>
        <v>37.0514392</v>
      </c>
      <c r="J686" s="8" t="n">
        <f aca="false">(a_g3_29*tk_cxit_gb300+(1-a_g3_29)*tk_cxit_vr200)</f>
        <v>37.0514392</v>
      </c>
      <c r="K686" s="8" t="n">
        <f aca="false">(a_g3_29*tk_cxit_gb300+(1-a_g3_29)*tk_cxit_vr200)</f>
        <v>37.0514392</v>
      </c>
      <c r="L686" s="11" t="s">
        <v>843</v>
      </c>
    </row>
    <row r="687" customFormat="false" ht="17.15" hidden="false" customHeight="false" outlineLevel="0" collapsed="false">
      <c r="A687" s="0" t="s">
        <v>844</v>
      </c>
      <c r="B687" s="0" t="s">
        <v>399</v>
      </c>
      <c r="F687" s="29" t="n">
        <f aca="false">Sens!C668*IF(Sens!F661-Sens!C661=life_it,1,0)+Sens!D668*IF(Sens!F661-Sens!D661=life_it,1,0)+Sens!E668*IF(Sens!F661-Sens!E661=life_it,1,0)</f>
        <v>0</v>
      </c>
      <c r="G687" s="29" t="n">
        <f aca="false">Sens!C668*IF(Sens!G661-Sens!C661=life_it,1,0)+Sens!D668*IF(Sens!G661-Sens!D661=life_it,1,0)+Sens!E668*IF(Sens!G661-Sens!E661=life_it,1,0)+Sens!F668*IF(Sens!G661-Sens!F661=life_it,1,0)</f>
        <v>0</v>
      </c>
      <c r="H687" s="29" t="n">
        <f aca="false">Sens!C668*IF(Sens!H661-Sens!C661=life_it,1,0)+Sens!D668*IF(Sens!H661-Sens!D661=life_it,1,0)+Sens!E668*IF(Sens!H661-Sens!E661=life_it,1,0)+Sens!F668*IF(Sens!H661-Sens!F661=life_it,1,0)+Sens!G668*IF(Sens!H661-Sens!G661=life_it,1,0)</f>
        <v>0</v>
      </c>
      <c r="I687" s="29" t="n">
        <f aca="false">Sens!C668*IF(Sens!I661-Sens!C661=life_it,1,0)+Sens!D668*IF(Sens!I661-Sens!D661=life_it,1,0)+Sens!E668*IF(Sens!I661-Sens!E661=life_it,1,0)+Sens!F668*IF(Sens!I661-Sens!F661=life_it,1,0)+Sens!G668*IF(Sens!I661-Sens!G661=life_it,1,0)+Sens!H668*IF(Sens!I661-Sens!H661=life_it,1,0)</f>
        <v>816.666666666667</v>
      </c>
      <c r="J687" s="29" t="n">
        <f aca="false">Sens!C668*IF(Sens!J661-Sens!C661=life_it,1,0)+Sens!D668*IF(Sens!J661-Sens!D661=life_it,1,0)+Sens!E668*IF(Sens!J661-Sens!E661=life_it,1,0)+Sens!F668*IF(Sens!J661-Sens!F661=life_it,1,0)+Sens!G668*IF(Sens!J661-Sens!G661=life_it,1,0)+Sens!H668*IF(Sens!J661-Sens!H661=life_it,1,0)+Sens!I668*IF(Sens!J661-Sens!I661=life_it,1,0)</f>
        <v>1233.33333333333</v>
      </c>
      <c r="K687" s="29" t="n">
        <f aca="false">Sens!C668*IF(Sens!K661-Sens!C661=life_it,1,0)+Sens!D668*IF(Sens!K661-Sens!D661=life_it,1,0)+Sens!E668*IF(Sens!K661-Sens!E661=life_it,1,0)+Sens!F668*IF(Sens!K661-Sens!F661=life_it,1,0)+Sens!G668*IF(Sens!K661-Sens!G661=life_it,1,0)+Sens!H668*IF(Sens!K661-Sens!H661=life_it,1,0)+Sens!I668*IF(Sens!K661-Sens!I661=life_it,1,0)+Sens!J668*IF(Sens!K661-Sens!J661=life_it,1,0)</f>
        <v>2450</v>
      </c>
      <c r="L687" s="1" t="s">
        <v>845</v>
      </c>
    </row>
    <row r="688" customFormat="false" ht="17.15" hidden="false" customHeight="false" outlineLevel="0" collapsed="false">
      <c r="A688" s="0" t="s">
        <v>846</v>
      </c>
      <c r="B688" s="0" t="s">
        <v>98</v>
      </c>
      <c r="C688" s="6" t="n">
        <f aca="false">Sens!C668*Sens!C686/1000</f>
        <v>22.5333845916667</v>
      </c>
      <c r="D688" s="6" t="n">
        <f aca="false">Sens!D668*Sens!D686/1000</f>
        <v>34.0300093833333</v>
      </c>
      <c r="E688" s="6" t="n">
        <f aca="false">Sens!E668*Sens!E686/1000</f>
        <v>67.600153775</v>
      </c>
      <c r="F688" s="6" t="n">
        <f aca="false">(Sens!F668+Sens!F687)*Sens!F686/1000</f>
        <v>130.923271871467</v>
      </c>
      <c r="G688" s="6" t="n">
        <f aca="false">(Sens!G668+Sens!G687)*Sens!G686/1000</f>
        <v>151.5545564832</v>
      </c>
      <c r="H688" s="6" t="n">
        <f aca="false">(Sens!H668+Sens!H687)*Sens!H686/1000</f>
        <v>156.0606619104</v>
      </c>
      <c r="I688" s="6" t="n">
        <f aca="false">(Sens!I668+Sens!I687)*Sens!I686/1000</f>
        <v>140.987889434245</v>
      </c>
      <c r="J688" s="6" t="n">
        <f aca="false">(Sens!J668+Sens!J687)*Sens!J686/1000</f>
        <v>113.309125559842</v>
      </c>
      <c r="K688" s="6" t="n">
        <f aca="false">(Sens!K668+Sens!K687)*Sens!K686/1000</f>
        <v>116.192591420959</v>
      </c>
    </row>
    <row r="689" customFormat="false" ht="17.15" hidden="false" customHeight="false" outlineLevel="0" collapsed="false">
      <c r="A689" s="0" t="s">
        <v>847</v>
      </c>
      <c r="B689" s="0" t="s">
        <v>98</v>
      </c>
      <c r="C689" s="6" t="n">
        <f aca="false">Sens!C668*self_build*tk_cxfac/1000</f>
        <v>6.2083</v>
      </c>
      <c r="D689" s="6" t="n">
        <f aca="false">Sens!D668*self_build*tk_cxfac/1000</f>
        <v>9.3758</v>
      </c>
      <c r="E689" s="6" t="n">
        <f aca="false">Sens!E668*self_build*tk_cxfac/1000</f>
        <v>18.6249</v>
      </c>
      <c r="F689" s="6" t="n">
        <f aca="false">Sens!F668*self_build*tk_cxfac/1000</f>
        <v>29.409604</v>
      </c>
      <c r="G689" s="6" t="n">
        <f aca="false">Sens!G668*self_build*tk_cxfac/1000</f>
        <v>32.019624</v>
      </c>
      <c r="H689" s="6" t="n">
        <f aca="false">Sens!H668*self_build*tk_cxfac/1000</f>
        <v>32.019624</v>
      </c>
      <c r="I689" s="6" t="n">
        <f aca="false">Sens!I668*self_build*tk_cxfac/1000</f>
        <v>22.71877972</v>
      </c>
      <c r="J689" s="6" t="n">
        <f aca="false">Sens!J668*self_build*tk_cxfac/1000</f>
        <v>13.8723110344</v>
      </c>
      <c r="K689" s="6" t="n">
        <f aca="false">Sens!K668*self_build*tk_cxfac/1000</f>
        <v>5.214823882632</v>
      </c>
    </row>
    <row r="690" customFormat="false" ht="17.15" hidden="false" customHeight="false" outlineLevel="0" collapsed="false">
      <c r="A690" s="0" t="s">
        <v>848</v>
      </c>
      <c r="B690" s="0" t="s">
        <v>98</v>
      </c>
      <c r="F690" s="6" t="n">
        <f aca="false">MAX(0,capex_floor27-Sens!F688-Sens!F689-Sens!F784)</f>
        <v>8.13777689897088</v>
      </c>
    </row>
    <row r="691" customFormat="false" ht="17.15" hidden="false" customHeight="false" outlineLevel="0" collapsed="false">
      <c r="A691" s="0" t="s">
        <v>849</v>
      </c>
      <c r="B691" s="0" t="s">
        <v>98</v>
      </c>
      <c r="C691" s="6" t="n">
        <f aca="false">Sens!C688</f>
        <v>22.5333845916667</v>
      </c>
      <c r="D691" s="6" t="n">
        <f aca="false">Sens!D688</f>
        <v>34.0300093833333</v>
      </c>
      <c r="E691" s="6" t="n">
        <f aca="false">Sens!E688</f>
        <v>67.600153775</v>
      </c>
      <c r="F691" s="6" t="n">
        <f aca="false">Sens!F688</f>
        <v>130.923271871467</v>
      </c>
      <c r="G691" s="6" t="n">
        <f aca="false">Sens!G688</f>
        <v>151.5545564832</v>
      </c>
      <c r="H691" s="6" t="n">
        <f aca="false">Sens!H688</f>
        <v>156.0606619104</v>
      </c>
      <c r="I691" s="6" t="n">
        <f aca="false">Sens!I688</f>
        <v>140.987889434245</v>
      </c>
      <c r="J691" s="6" t="n">
        <f aca="false">Sens!J688</f>
        <v>113.309125559842</v>
      </c>
      <c r="K691" s="6" t="n">
        <f aca="false">Sens!K688</f>
        <v>116.192591420959</v>
      </c>
    </row>
    <row r="692" customFormat="false" ht="17.15" hidden="false" customHeight="false" outlineLevel="0" collapsed="false">
      <c r="A692" s="0" t="s">
        <v>850</v>
      </c>
      <c r="B692" s="0" t="s">
        <v>98</v>
      </c>
      <c r="C692" s="6" t="n">
        <f aca="false">Sens!C691+Sens!C689</f>
        <v>28.7416845916667</v>
      </c>
      <c r="D692" s="6" t="n">
        <f aca="false">Sens!D691+Sens!D689</f>
        <v>43.4058093833333</v>
      </c>
      <c r="E692" s="6" t="n">
        <f aca="false">Sens!E691+Sens!E689</f>
        <v>86.225053775</v>
      </c>
      <c r="F692" s="6" t="n">
        <f aca="false">Sens!F691+Sens!F689</f>
        <v>160.332875871467</v>
      </c>
      <c r="G692" s="6" t="n">
        <f aca="false">Sens!G691+Sens!G689</f>
        <v>183.5741804832</v>
      </c>
      <c r="H692" s="6" t="n">
        <f aca="false">Sens!H691+Sens!H689</f>
        <v>188.0802859104</v>
      </c>
      <c r="I692" s="6" t="n">
        <f aca="false">Sens!I691+Sens!I689</f>
        <v>163.706669154245</v>
      </c>
      <c r="J692" s="6" t="n">
        <f aca="false">Sens!J691+Sens!J689</f>
        <v>127.181436594242</v>
      </c>
      <c r="K692" s="6" t="n">
        <f aca="false">Sens!K691+Sens!K689</f>
        <v>121.407415303591</v>
      </c>
      <c r="L692" s="11" t="s">
        <v>851</v>
      </c>
    </row>
    <row r="693" customFormat="false" ht="17.15" hidden="false" customHeight="false" outlineLevel="0" collapsed="false">
      <c r="A693" s="0" t="s">
        <v>852</v>
      </c>
      <c r="B693" s="0" t="s">
        <v>98</v>
      </c>
      <c r="E693" s="6" t="n">
        <f aca="false">(Sens!C691*IF(2&lt;life_it,1,IF(2=life_it,0.5,0))+Sens!D691*IF(1&lt;life_it,1,IF(1=life_it,0.5,0))+Sens!E691*0.5)/life_it</f>
        <v>15.0605784770833</v>
      </c>
      <c r="F693" s="6" t="n">
        <f aca="false">(Sens!C691*IF(3&lt;life_it,1,IF(3=life_it,0.5,0))+Sens!D691*IF(2&lt;life_it,1,IF(2=life_it,0.5,0))+Sens!E691*IF(1&lt;life_it,1,IF(1=life_it,0.5,0))+Sens!F691*0.5)/life_it</f>
        <v>31.6041972809556</v>
      </c>
      <c r="G693" s="6" t="n">
        <f aca="false">(Sens!C691*IF(4&lt;life_it,1,IF(4=life_it,0.5,0))+Sens!D691*IF(3&lt;life_it,1,IF(3=life_it,0.5,0))+Sens!E691*IF(2&lt;life_it,1,IF(2=life_it,0.5,0))+Sens!F691*IF(1&lt;life_it,1,IF(1=life_it,0.5,0))+Sens!G691*0.5)/life_it</f>
        <v>55.1440163105111</v>
      </c>
      <c r="H693" s="6" t="n">
        <f aca="false">(Sens!C691*IF(5&lt;life_it,1,IF(5=life_it,0.5,0))+Sens!D691*IF(4&lt;life_it,1,IF(4=life_it,0.5,0))+Sens!E691*IF(3&lt;life_it,1,IF(3=life_it,0.5,0))+Sens!F691*IF(2&lt;life_it,1,IF(2=life_it,0.5,0))+Sens!G691*IF(1&lt;life_it,1,IF(1=life_it,0.5,0))+Sens!H691*0.5)/life_it</f>
        <v>80.7786178433111</v>
      </c>
      <c r="I693" s="6" t="n">
        <f aca="false">(Sens!C691*IF(6&lt;life_it,1,IF(6=life_it,0.5,0))+Sens!D691*IF(5&lt;life_it,1,IF(5=life_it,0.5,0))+Sens!E691*IF(4&lt;life_it,1,IF(4=life_it,0.5,0))+Sens!F691*IF(3&lt;life_it,1,IF(3=life_it,0.5,0))+Sens!G691*IF(2&lt;life_it,1,IF(2=life_it,0.5,0))+Sens!H691*IF(1&lt;life_it,1,IF(1=life_it,0.5,0))+Sens!I691*0.5)/life_it</f>
        <v>103.654881739393</v>
      </c>
      <c r="J693" s="6" t="n">
        <f aca="false">(Sens!C691*IF(7&lt;life_it,1,IF(7=life_it,0.5,0))+Sens!D691*IF(6&lt;life_it,1,IF(6=life_it,0.5,0))+Sens!E691*IF(5&lt;life_it,1,IF(5=life_it,0.5,0))+Sens!F691*IF(4&lt;life_it,1,IF(4=life_it,0.5,0))+Sens!G691*IF(3&lt;life_it,1,IF(3=life_it,0.5,0))+Sens!H691*IF(2&lt;life_it,1,IF(2=life_it,0.5,0))+Sens!I691*IF(1&lt;life_it,1,IF(1=life_it,0.5,0))+Sens!J691*0.5)/life_it</f>
        <v>120.132683490983</v>
      </c>
      <c r="K693" s="6" t="n">
        <f aca="false">(Sens!C691*IF(8&lt;life_it,1,IF(8=life_it,0.5,0))+Sens!D691*IF(7&lt;life_it,1,IF(7=life_it,0.5,0))+Sens!E691*IF(6&lt;life_it,1,IF(6=life_it,0.5,0))+Sens!F691*IF(5&lt;life_it,1,IF(5=life_it,0.5,0))+Sens!G691*IF(4&lt;life_it,1,IF(4=life_it,0.5,0))+Sens!H691*IF(3&lt;life_it,1,IF(3=life_it,0.5,0))+Sens!I691*IF(2&lt;life_it,1,IF(2=life_it,0.5,0))+Sens!J691*IF(1&lt;life_it,1,IF(1=life_it,0.5,0))+Sens!K691*0.5)/life_it</f>
        <v>130.788646309522</v>
      </c>
    </row>
    <row r="694" customFormat="false" ht="17.15" hidden="false" customHeight="false" outlineLevel="0" collapsed="false">
      <c r="A694" s="0" t="s">
        <v>853</v>
      </c>
      <c r="B694" s="0" t="s">
        <v>98</v>
      </c>
      <c r="E694" s="6" t="n">
        <f aca="false">(Sens!C689*IF(2&lt;life_fac,1,IF(2=life_fac,0.5,0))+Sens!D689*IF(1&lt;life_fac,1,IF(1=life_fac,0.5,0))+Sens!E689*0.5)/life_fac</f>
        <v>1.2448275</v>
      </c>
      <c r="F694" s="6" t="n">
        <f aca="false">(Sens!C689*IF(3&lt;life_fac,1,IF(3=life_fac,0.5,0))+Sens!D689*IF(2&lt;life_fac,1,IF(2=life_fac,0.5,0))+Sens!E689*IF(1&lt;life_fac,1,IF(1=life_fac,0.5,0))+Sens!F689*0.5)/life_fac</f>
        <v>2.4456901</v>
      </c>
      <c r="G694" s="6" t="n">
        <f aca="false">(Sens!C689*IF(4&lt;life_fac,1,IF(4=life_fac,0.5,0))+Sens!D689*IF(3&lt;life_fac,1,IF(3=life_fac,0.5,0))+Sens!E689*IF(2&lt;life_fac,1,IF(2=life_fac,0.5,0))+Sens!F689*IF(1&lt;life_fac,1,IF(1=life_fac,0.5,0))+Sens!G689*0.5)/life_fac</f>
        <v>3.9814208</v>
      </c>
      <c r="H694" s="6" t="n">
        <f aca="false">(Sens!C689*IF(5&lt;life_fac,1,IF(5=life_fac,0.5,0))+Sens!D689*IF(4&lt;life_fac,1,IF(4=life_fac,0.5,0))+Sens!E689*IF(3&lt;life_fac,1,IF(3=life_fac,0.5,0))+Sens!F689*IF(2&lt;life_fac,1,IF(2=life_fac,0.5,0))+Sens!G689*IF(1&lt;life_fac,1,IF(1=life_fac,0.5,0))+Sens!H689*0.5)/life_fac</f>
        <v>5.582402</v>
      </c>
      <c r="I694" s="6" t="n">
        <f aca="false">(Sens!C689*IF(6&lt;life_fac,1,IF(6=life_fac,0.5,0))+Sens!D689*IF(5&lt;life_fac,1,IF(5=life_fac,0.5,0))+Sens!E689*IF(4&lt;life_fac,1,IF(4=life_fac,0.5,0))+Sens!F689*IF(3&lt;life_fac,1,IF(3=life_fac,0.5,0))+Sens!G689*IF(2&lt;life_fac,1,IF(2=life_fac,0.5,0))+Sens!H689*IF(1&lt;life_fac,1,IF(1=life_fac,0.5,0))+Sens!I689*0.5)/life_fac</f>
        <v>6.950862093</v>
      </c>
      <c r="J694" s="6" t="n">
        <f aca="false">(Sens!C689*IF(7&lt;life_fac,1,IF(7=life_fac,0.5,0))+Sens!D689*IF(6&lt;life_fac,1,IF(6=life_fac,0.5,0))+Sens!E689*IF(5&lt;life_fac,1,IF(5=life_fac,0.5,0))+Sens!F689*IF(4&lt;life_fac,1,IF(4=life_fac,0.5,0))+Sens!G689*IF(3&lt;life_fac,1,IF(3=life_fac,0.5,0))+Sens!H689*IF(2&lt;life_fac,1,IF(2=life_fac,0.5,0))+Sens!I689*IF(1&lt;life_fac,1,IF(1=life_fac,0.5,0))+Sens!J689*0.5)/life_fac</f>
        <v>7.86563936186</v>
      </c>
      <c r="K694" s="6" t="n">
        <f aca="false">(Sens!C689*IF(8&lt;life_fac,1,IF(8=life_fac,0.5,0))+Sens!D689*IF(7&lt;life_fac,1,IF(7=life_fac,0.5,0))+Sens!E689*IF(6&lt;life_fac,1,IF(6=life_fac,0.5,0))+Sens!F689*IF(5&lt;life_fac,1,IF(5=life_fac,0.5,0))+Sens!G689*IF(4&lt;life_fac,1,IF(4=life_fac,0.5,0))+Sens!H689*IF(3&lt;life_fac,1,IF(3=life_fac,0.5,0))+Sens!I689*IF(2&lt;life_fac,1,IF(2=life_fac,0.5,0))+Sens!J689*IF(1&lt;life_fac,1,IF(1=life_fac,0.5,0))+Sens!K689*0.5)/life_fac</f>
        <v>8.3428177347858</v>
      </c>
    </row>
    <row r="695" customFormat="false" ht="17.15" hidden="false" customHeight="false" outlineLevel="0" collapsed="false">
      <c r="A695" s="0" t="s">
        <v>854</v>
      </c>
      <c r="B695" s="0" t="s">
        <v>98</v>
      </c>
      <c r="E695" s="6" t="n">
        <f aca="false">Sens!E693+Sens!E694</f>
        <v>16.3054059770833</v>
      </c>
      <c r="F695" s="6" t="n">
        <f aca="false">Sens!F693+Sens!F694</f>
        <v>34.0498873809555</v>
      </c>
      <c r="G695" s="6" t="n">
        <f aca="false">Sens!G693+Sens!G694</f>
        <v>59.1254371105111</v>
      </c>
      <c r="H695" s="6" t="n">
        <f aca="false">Sens!H693+Sens!H694</f>
        <v>86.3610198433111</v>
      </c>
      <c r="I695" s="6" t="n">
        <f aca="false">Sens!I693+Sens!I694</f>
        <v>110.605743832393</v>
      </c>
      <c r="J695" s="6" t="n">
        <f aca="false">Sens!J693+Sens!J694</f>
        <v>127.998322852843</v>
      </c>
      <c r="K695" s="6" t="n">
        <f aca="false">Sens!K693+Sens!K694</f>
        <v>139.131464044308</v>
      </c>
    </row>
    <row r="696" customFormat="false" ht="17.15" hidden="false" customHeight="false" outlineLevel="0" collapsed="false">
      <c r="A696" s="0" t="s">
        <v>855</v>
      </c>
      <c r="B696" s="0" t="s">
        <v>98</v>
      </c>
      <c r="E696" s="6" t="n">
        <f aca="false">Sens!E684-Sens!E683*Sens!E695</f>
        <v>8.92707889977379</v>
      </c>
      <c r="F696" s="6" t="n">
        <f aca="false">Sens!F684-Sens!F683*Sens!F695</f>
        <v>13.8880580915885</v>
      </c>
      <c r="G696" s="6" t="n">
        <f aca="false">Sens!G684-Sens!G683*Sens!G695</f>
        <v>27.7906767424256</v>
      </c>
      <c r="H696" s="6" t="n">
        <f aca="false">Sens!H684-Sens!H683*Sens!H695</f>
        <v>45.8851708530971</v>
      </c>
      <c r="I696" s="6" t="n">
        <f aca="false">Sens!I684-Sens!I683*Sens!I695</f>
        <v>57.4640820736409</v>
      </c>
      <c r="J696" s="6" t="n">
        <f aca="false">Sens!J684-Sens!J683*Sens!J695</f>
        <v>65.598363500709</v>
      </c>
      <c r="K696" s="6" t="n">
        <f aca="false">Sens!K684-Sens!K683*Sens!K695</f>
        <v>71.4114559138344</v>
      </c>
    </row>
    <row r="697" customFormat="false" ht="17.15" hidden="false" customHeight="false" outlineLevel="0" collapsed="false">
      <c r="A697" s="3" t="s">
        <v>1278</v>
      </c>
    </row>
    <row r="698" customFormat="false" ht="15" hidden="false" customHeight="false" outlineLevel="0" collapsed="false">
      <c r="A698" s="4" t="s">
        <v>43</v>
      </c>
      <c r="B698" s="4" t="s">
        <v>65</v>
      </c>
      <c r="C698" s="20" t="s">
        <v>799</v>
      </c>
      <c r="D698" s="20" t="s">
        <v>800</v>
      </c>
      <c r="E698" s="20" t="s">
        <v>801</v>
      </c>
      <c r="F698" s="20" t="s">
        <v>802</v>
      </c>
      <c r="G698" s="20" t="s">
        <v>803</v>
      </c>
      <c r="H698" s="20" t="s">
        <v>804</v>
      </c>
      <c r="I698" s="20" t="s">
        <v>805</v>
      </c>
      <c r="J698" s="20" t="s">
        <v>806</v>
      </c>
      <c r="K698" s="20" t="s">
        <v>807</v>
      </c>
      <c r="L698" s="4" t="s">
        <v>47</v>
      </c>
    </row>
    <row r="699" customFormat="false" ht="17.15" hidden="false" customHeight="false" outlineLevel="0" collapsed="false">
      <c r="A699" s="0" t="s">
        <v>874</v>
      </c>
      <c r="B699" s="0" t="s">
        <v>98</v>
      </c>
      <c r="D699" s="6" t="n">
        <f aca="false">Sens!D678</f>
        <v>12.9359794422418</v>
      </c>
      <c r="E699" s="6" t="n">
        <f aca="false">Sens!E678</f>
        <v>27.8095064661409</v>
      </c>
      <c r="F699" s="6" t="n">
        <f aca="false">Sens!F678</f>
        <v>49.9225563459265</v>
      </c>
      <c r="G699" s="6" t="n">
        <f aca="false">Sens!G678</f>
        <v>86.16372576998</v>
      </c>
      <c r="H699" s="6" t="n">
        <f aca="false">Sens!H678</f>
        <v>127.317768512099</v>
      </c>
      <c r="I699" s="6" t="n">
        <f aca="false">Sens!I678</f>
        <v>159.263397620773</v>
      </c>
      <c r="J699" s="6" t="n">
        <f aca="false">Sens!J678</f>
        <v>181.803658828126</v>
      </c>
      <c r="K699" s="6" t="n">
        <f aca="false">Sens!K678</f>
        <v>196.565453970651</v>
      </c>
    </row>
    <row r="700" customFormat="false" ht="17.15" hidden="false" customHeight="false" outlineLevel="0" collapsed="false">
      <c r="A700" s="0" t="s">
        <v>875</v>
      </c>
      <c r="B700" s="0" t="s">
        <v>98</v>
      </c>
      <c r="D700" s="6" t="n">
        <f aca="false">Q!L6-Sens!D699</f>
        <v>59.6740205577583</v>
      </c>
      <c r="E700" s="6" t="n">
        <f aca="false">Q!M6-Sens!E699</f>
        <v>74.1284935338591</v>
      </c>
      <c r="F700" s="6" t="n">
        <f aca="false">Sens!E700*(1+Sens!F701)</f>
        <v>90.0799497373663</v>
      </c>
      <c r="G700" s="6" t="n">
        <f aca="false">Sens!F700*(1+Sens!G701)</f>
        <v>107.02842520331</v>
      </c>
      <c r="H700" s="6" t="n">
        <f aca="false">Sens!G700*(1+Sens!H701)</f>
        <v>124.271982585636</v>
      </c>
      <c r="I700" s="6" t="n">
        <f aca="false">Sens!H700*(1+Sens!I701)</f>
        <v>140.933702381855</v>
      </c>
      <c r="J700" s="6" t="n">
        <f aca="false">Sens!I700*(1+Sens!J701)</f>
        <v>156.018867314332</v>
      </c>
      <c r="K700" s="6" t="n">
        <f aca="false">Sens!J700*(1+Sens!K701)</f>
        <v>168.500376699478</v>
      </c>
    </row>
    <row r="701" customFormat="false" ht="15" hidden="false" customHeight="false" outlineLevel="0" collapsed="false">
      <c r="A701" s="1" t="s">
        <v>876</v>
      </c>
      <c r="B701" s="0" t="s">
        <v>129</v>
      </c>
      <c r="E701" s="7" t="n">
        <f aca="false">Sens!E700/Sens!D700-1</f>
        <v>0.242223883039864</v>
      </c>
      <c r="F701" s="7" t="n">
        <f aca="false">Sens!$E$701+(glt_azo-Sens!$E$701)*MIN(1,(Sens!F661-base_fy)/n_conv)</f>
        <v>0.215186569199887</v>
      </c>
      <c r="G701" s="7" t="n">
        <f aca="false">Sens!$E$701+(glt_azo-Sens!$E$701)*MIN(1,(Sens!G661-base_fy)/n_conv)</f>
        <v>0.18814925535991</v>
      </c>
      <c r="H701" s="7" t="n">
        <f aca="false">Sens!$E$701+(glt_azo-Sens!$E$701)*MIN(1,(Sens!H661-base_fy)/n_conv)</f>
        <v>0.161111941519932</v>
      </c>
      <c r="I701" s="7" t="n">
        <f aca="false">Sens!$E$701+(glt_azo-Sens!$E$701)*MIN(1,(Sens!I661-base_fy)/n_conv)</f>
        <v>0.134074627679955</v>
      </c>
      <c r="J701" s="7" t="n">
        <f aca="false">Sens!$E$701+(glt_azo-Sens!$E$701)*MIN(1,(Sens!J661-base_fy)/n_conv)</f>
        <v>0.107037313839977</v>
      </c>
      <c r="K701" s="7" t="n">
        <f aca="false">Sens!$E$701+(glt_azo-Sens!$E$701)*MIN(1,(Sens!K661-base_fy)/n_conv)</f>
        <v>0.08</v>
      </c>
    </row>
    <row r="702" customFormat="false" ht="15" hidden="false" customHeight="false" outlineLevel="0" collapsed="false">
      <c r="A702" s="0" t="s">
        <v>877</v>
      </c>
      <c r="B702" s="0" t="s">
        <v>98</v>
      </c>
      <c r="D702" s="6" t="n">
        <f aca="false">Sens!D699+Sens!D700</f>
        <v>72.61</v>
      </c>
      <c r="E702" s="6" t="n">
        <f aca="false">Sens!E699+Sens!E700</f>
        <v>101.938</v>
      </c>
      <c r="F702" s="6" t="n">
        <f aca="false">Sens!F699+Sens!F700</f>
        <v>140.002506083293</v>
      </c>
      <c r="G702" s="6" t="n">
        <f aca="false">Sens!G699+Sens!G700</f>
        <v>193.19215097329</v>
      </c>
      <c r="H702" s="6" t="n">
        <f aca="false">Sens!H699+Sens!H700</f>
        <v>251.589751097735</v>
      </c>
      <c r="I702" s="6" t="n">
        <f aca="false">Sens!I699+Sens!I700</f>
        <v>300.197100002628</v>
      </c>
      <c r="J702" s="6" t="n">
        <f aca="false">Sens!J699+Sens!J700</f>
        <v>337.822526142457</v>
      </c>
      <c r="K702" s="6" t="n">
        <f aca="false">Sens!K699+Sens!K700</f>
        <v>365.065830670129</v>
      </c>
    </row>
    <row r="703" customFormat="false" ht="17.15" hidden="false" customHeight="false" outlineLevel="0" collapsed="false">
      <c r="A703" s="0" t="s">
        <v>878</v>
      </c>
      <c r="B703" s="1" t="s">
        <v>528</v>
      </c>
      <c r="C703" s="29" t="n">
        <f aca="false">cop_s24</f>
        <v>1</v>
      </c>
      <c r="D703" s="29" t="n">
        <f aca="false">cop_s25</f>
        <v>5</v>
      </c>
      <c r="E703" s="29" t="n">
        <f aca="false">cop_s26</f>
        <v>30</v>
      </c>
      <c r="F703" s="29" t="n">
        <f aca="false">Sens!E703+cop_add_A</f>
        <v>60</v>
      </c>
      <c r="G703" s="29" t="n">
        <f aca="false">Sens!F703+cop_add_A</f>
        <v>90</v>
      </c>
      <c r="H703" s="29" t="n">
        <f aca="false">Sens!G703+cop_add_A</f>
        <v>120</v>
      </c>
      <c r="I703" s="29" t="n">
        <f aca="false">Sens!H703+cop_add_A*cop_tail</f>
        <v>135</v>
      </c>
      <c r="J703" s="29" t="n">
        <f aca="false">Sens!I703+cop_add_A*cop_tail</f>
        <v>150</v>
      </c>
      <c r="K703" s="29" t="n">
        <f aca="false">Sens!J703+cop_add_A*cop_tail</f>
        <v>165</v>
      </c>
      <c r="L703" s="11" t="s">
        <v>879</v>
      </c>
    </row>
    <row r="704" customFormat="false" ht="17.15" hidden="false" customHeight="false" outlineLevel="0" collapsed="false">
      <c r="A704" s="0" t="s">
        <v>880</v>
      </c>
      <c r="B704" s="0" t="s">
        <v>98</v>
      </c>
      <c r="D704" s="6" t="n">
        <f aca="false">(Sens!C703+Sens!D703)/2*cop_px*12/1000</f>
        <v>0.9</v>
      </c>
      <c r="E704" s="6" t="n">
        <f aca="false">(Sens!D703+Sens!E703)/2*cop_px*12/1000</f>
        <v>5.25</v>
      </c>
      <c r="F704" s="6" t="n">
        <f aca="false">(Sens!E703+Sens!F703)/2*cop_px*12/1000</f>
        <v>13.5</v>
      </c>
      <c r="G704" s="6" t="n">
        <f aca="false">(Sens!F703+Sens!G703)/2*cop_px*12/1000</f>
        <v>22.5</v>
      </c>
      <c r="H704" s="6" t="n">
        <f aca="false">(Sens!G703+Sens!H703)/2*cop_px*12/1000</f>
        <v>31.5</v>
      </c>
      <c r="I704" s="6" t="n">
        <f aca="false">(Sens!H703+Sens!I703)/2*cop_px*12/1000</f>
        <v>38.25</v>
      </c>
      <c r="J704" s="6" t="n">
        <f aca="false">(Sens!I703+Sens!J703)/2*cop_px*12/1000</f>
        <v>42.75</v>
      </c>
      <c r="K704" s="6" t="n">
        <f aca="false">(Sens!J703+Sens!K703)/2*cop_px*12/1000</f>
        <v>47.25</v>
      </c>
      <c r="L704" s="1" t="s">
        <v>881</v>
      </c>
    </row>
    <row r="705" customFormat="false" ht="17.15" hidden="false" customHeight="false" outlineLevel="0" collapsed="false">
      <c r="A705" s="0" t="s">
        <v>882</v>
      </c>
      <c r="B705" s="0" t="s">
        <v>98</v>
      </c>
      <c r="D705" s="6" t="n">
        <f aca="false">Q!L7-Sens!D704</f>
        <v>83.705</v>
      </c>
      <c r="E705" s="6" t="n">
        <f aca="false">Q!M7-Sens!E704</f>
        <v>95.049</v>
      </c>
      <c r="F705" s="6" t="n">
        <f aca="false">Sens!E705*(1+Sens!F706)</f>
        <v>106.89238776686</v>
      </c>
      <c r="G705" s="6" t="n">
        <f aca="false">Sens!F705*(1+Sens!G706)</f>
        <v>119.044168448684</v>
      </c>
      <c r="H705" s="6" t="n">
        <f aca="false">Sens!G705*(1+Sens!H706)</f>
        <v>131.277359388781</v>
      </c>
      <c r="I705" s="6" t="n">
        <f aca="false">Sens!H705*(1+Sens!I706)</f>
        <v>143.334028071957</v>
      </c>
      <c r="J705" s="6" t="n">
        <f aca="false">Sens!I705*(1+Sens!J706)</f>
        <v>154.932702785465</v>
      </c>
      <c r="K705" s="6" t="n">
        <f aca="false">Sens!J705*(1+Sens!K706)</f>
        <v>165.777991980448</v>
      </c>
    </row>
    <row r="706" customFormat="false" ht="15" hidden="false" customHeight="false" outlineLevel="0" collapsed="false">
      <c r="A706" s="1" t="s">
        <v>876</v>
      </c>
      <c r="B706" s="0" t="s">
        <v>129</v>
      </c>
      <c r="E706" s="7" t="n">
        <f aca="false">Sens!E705/Sens!D705-1</f>
        <v>0.135523564900544</v>
      </c>
      <c r="F706" s="7" t="n">
        <f aca="false">Sens!$E$706+(glt_m365b-Sens!$E$706)*MIN(1,(Sens!F661-base_fy)/n_conv)</f>
        <v>0.124602970750453</v>
      </c>
      <c r="G706" s="7" t="n">
        <f aca="false">Sens!$E$706+(glt_m365b-Sens!$E$706)*MIN(1,(Sens!G661-base_fy)/n_conv)</f>
        <v>0.113682376600363</v>
      </c>
      <c r="H706" s="7" t="n">
        <f aca="false">Sens!$E$706+(glt_m365b-Sens!$E$706)*MIN(1,(Sens!H661-base_fy)/n_conv)</f>
        <v>0.102761782450272</v>
      </c>
      <c r="I706" s="7" t="n">
        <f aca="false">Sens!$E$706+(glt_m365b-Sens!$E$706)*MIN(1,(Sens!I661-base_fy)/n_conv)</f>
        <v>0.0918411883001813</v>
      </c>
      <c r="J706" s="7" t="n">
        <f aca="false">Sens!$E$706+(glt_m365b-Sens!$E$706)*MIN(1,(Sens!J661-base_fy)/n_conv)</f>
        <v>0.0809205941500906</v>
      </c>
      <c r="K706" s="7" t="n">
        <f aca="false">Sens!$E$706+(glt_m365b-Sens!$E$706)*MIN(1,(Sens!K661-base_fy)/n_conv)</f>
        <v>0.07</v>
      </c>
    </row>
    <row r="707" customFormat="false" ht="15" hidden="false" customHeight="false" outlineLevel="0" collapsed="false">
      <c r="A707" s="0" t="s">
        <v>883</v>
      </c>
      <c r="B707" s="0" t="s">
        <v>98</v>
      </c>
      <c r="D707" s="6" t="n">
        <f aca="false">Sens!D705+Sens!D704</f>
        <v>84.605</v>
      </c>
      <c r="E707" s="6" t="n">
        <f aca="false">Sens!E705+Sens!E704</f>
        <v>100.299</v>
      </c>
      <c r="F707" s="6" t="n">
        <f aca="false">Sens!F705+Sens!F704</f>
        <v>120.39238776686</v>
      </c>
      <c r="G707" s="6" t="n">
        <f aca="false">Sens!G705+Sens!G704</f>
        <v>141.544168448684</v>
      </c>
      <c r="H707" s="6" t="n">
        <f aca="false">Sens!H705+Sens!H704</f>
        <v>162.777359388781</v>
      </c>
      <c r="I707" s="6" t="n">
        <f aca="false">Sens!I705+Sens!I704</f>
        <v>181.584028071957</v>
      </c>
      <c r="J707" s="6" t="n">
        <f aca="false">Sens!J705+Sens!J704</f>
        <v>197.682702785465</v>
      </c>
      <c r="K707" s="6" t="n">
        <f aca="false">Sens!K705+Sens!K704</f>
        <v>213.027991980448</v>
      </c>
    </row>
    <row r="708" customFormat="false" ht="15" hidden="false" customHeight="false" outlineLevel="0" collapsed="false">
      <c r="A708" s="0" t="s">
        <v>884</v>
      </c>
      <c r="B708" s="0" t="s">
        <v>98</v>
      </c>
      <c r="D708" s="6" t="n">
        <f aca="false">Q!L8</f>
        <v>35.391</v>
      </c>
      <c r="E708" s="6" t="n">
        <f aca="false">Q!M8</f>
        <v>37.285</v>
      </c>
      <c r="F708" s="6" t="n">
        <f aca="false">Sens!E708*(1+Sens!F709)</f>
        <v>39.0720834331704</v>
      </c>
      <c r="G708" s="6" t="n">
        <f aca="false">Sens!F708*(1+Sens!G709)</f>
        <v>40.726562953769</v>
      </c>
      <c r="H708" s="6" t="n">
        <f aca="false">Sens!G708*(1+Sens!H709)</f>
        <v>42.2235987259198</v>
      </c>
      <c r="I708" s="6" t="n">
        <f aca="false">Sens!H708*(1+Sens!I709)</f>
        <v>43.5397988077414</v>
      </c>
      <c r="J708" s="6" t="n">
        <f aca="false">Sens!I708*(1+Sens!J709)</f>
        <v>44.653811225693</v>
      </c>
      <c r="K708" s="6" t="n">
        <f aca="false">Sens!J708*(1+Sens!K709)</f>
        <v>45.5468874502068</v>
      </c>
    </row>
    <row r="709" customFormat="false" ht="15" hidden="false" customHeight="false" outlineLevel="0" collapsed="false">
      <c r="A709" s="1" t="s">
        <v>876</v>
      </c>
      <c r="B709" s="0" t="s">
        <v>129</v>
      </c>
      <c r="E709" s="7" t="n">
        <f aca="false">Sens!E708/Sens!D708-1</f>
        <v>0.0535164307309768</v>
      </c>
      <c r="F709" s="7" t="n">
        <f aca="false">Sens!$E$709+(glt_lic-Sens!$E$709)*MIN(1,(Sens!F661-base_fy)/n_conv)</f>
        <v>0.0479303589424807</v>
      </c>
      <c r="G709" s="7" t="n">
        <f aca="false">Sens!$E$709+(glt_lic-Sens!$E$709)*MIN(1,(Sens!G661-base_fy)/n_conv)</f>
        <v>0.0423442871539845</v>
      </c>
      <c r="H709" s="7" t="n">
        <f aca="false">Sens!$E$709+(glt_lic-Sens!$E$709)*MIN(1,(Sens!H661-base_fy)/n_conv)</f>
        <v>0.0367582153654884</v>
      </c>
      <c r="I709" s="7" t="n">
        <f aca="false">Sens!$E$709+(glt_lic-Sens!$E$709)*MIN(1,(Sens!I661-base_fy)/n_conv)</f>
        <v>0.0311721435769923</v>
      </c>
      <c r="J709" s="7" t="n">
        <f aca="false">Sens!$E$709+(glt_lic-Sens!$E$709)*MIN(1,(Sens!J661-base_fy)/n_conv)</f>
        <v>0.0255860717884961</v>
      </c>
      <c r="K709" s="7" t="n">
        <f aca="false">Sens!$E$709+(glt_lic-Sens!$E$709)*MIN(1,(Sens!K661-base_fy)/n_conv)</f>
        <v>0.02</v>
      </c>
    </row>
    <row r="710" customFormat="false" ht="15" hidden="false" customHeight="false" outlineLevel="0" collapsed="false">
      <c r="A710" s="0" t="s">
        <v>885</v>
      </c>
      <c r="B710" s="0" t="s">
        <v>98</v>
      </c>
      <c r="D710" s="6" t="n">
        <f aca="false">Q!L9</f>
        <v>18.417</v>
      </c>
      <c r="E710" s="6" t="n">
        <f aca="false">Q!M9</f>
        <v>20.345</v>
      </c>
      <c r="F710" s="6" t="n">
        <f aca="false">Sens!E710*(1+Sens!F711)</f>
        <v>22.3572203267814</v>
      </c>
      <c r="G710" s="6" t="n">
        <f aca="false">Sens!F710*(1+Sens!G711)</f>
        <v>24.4392124437232</v>
      </c>
      <c r="H710" s="6" t="n">
        <f aca="false">Sens!G710*(1+Sens!H711)</f>
        <v>26.5738052080665</v>
      </c>
      <c r="I710" s="6" t="n">
        <f aca="false">Sens!H710*(1+Sens!I711)</f>
        <v>28.7412169166967</v>
      </c>
      <c r="J710" s="6" t="n">
        <f aca="false">Sens!I710*(1+Sens!J711)</f>
        <v>30.9192545395413</v>
      </c>
      <c r="K710" s="6" t="n">
        <f aca="false">Sens!J710*(1+Sens!K711)</f>
        <v>33.0836023573092</v>
      </c>
    </row>
    <row r="711" customFormat="false" ht="15" hidden="false" customHeight="false" outlineLevel="0" collapsed="false">
      <c r="A711" s="1" t="s">
        <v>876</v>
      </c>
      <c r="B711" s="0" t="s">
        <v>129</v>
      </c>
      <c r="E711" s="7" t="n">
        <f aca="false">Sens!E710/Sens!D710-1</f>
        <v>0.104685888038225</v>
      </c>
      <c r="F711" s="7" t="n">
        <f aca="false">Sens!$E$711+(glt_ind-Sens!$E$711)*MIN(1,(Sens!F661-base_fy)/n_conv)</f>
        <v>0.0989049066985211</v>
      </c>
      <c r="G711" s="7" t="n">
        <f aca="false">Sens!$E$711+(glt_ind-Sens!$E$711)*MIN(1,(Sens!G661-base_fy)/n_conv)</f>
        <v>0.0931239253588169</v>
      </c>
      <c r="H711" s="7" t="n">
        <f aca="false">Sens!$E$711+(glt_ind-Sens!$E$711)*MIN(1,(Sens!H661-base_fy)/n_conv)</f>
        <v>0.0873429440191127</v>
      </c>
      <c r="I711" s="7" t="n">
        <f aca="false">Sens!$E$711+(glt_ind-Sens!$E$711)*MIN(1,(Sens!I661-base_fy)/n_conv)</f>
        <v>0.0815619626794085</v>
      </c>
      <c r="J711" s="7" t="n">
        <f aca="false">Sens!$E$711+(glt_ind-Sens!$E$711)*MIN(1,(Sens!J661-base_fy)/n_conv)</f>
        <v>0.0757809813397042</v>
      </c>
      <c r="K711" s="7" t="n">
        <f aca="false">Sens!$E$711+(glt_ind-Sens!$E$711)*MIN(1,(Sens!K661-base_fy)/n_conv)</f>
        <v>0.07</v>
      </c>
    </row>
    <row r="712" customFormat="false" ht="15" hidden="false" customHeight="false" outlineLevel="0" collapsed="false">
      <c r="A712" s="0" t="s">
        <v>886</v>
      </c>
      <c r="B712" s="0" t="s">
        <v>98</v>
      </c>
      <c r="D712" s="6" t="n">
        <f aca="false">Q!L10</f>
        <v>7.76</v>
      </c>
      <c r="E712" s="6" t="n">
        <f aca="false">Q!M10</f>
        <v>8.26</v>
      </c>
      <c r="F712" s="6" t="n">
        <f aca="false">Sens!E712*(1+Sens!F713)</f>
        <v>8.79988041237113</v>
      </c>
      <c r="G712" s="6" t="n">
        <f aca="false">Sens!F712*(1+Sens!G713)</f>
        <v>9.38321269125306</v>
      </c>
      <c r="H712" s="6" t="n">
        <f aca="false">Sens!G712*(1+Sens!H713)</f>
        <v>10.0139193587476</v>
      </c>
      <c r="I712" s="6" t="n">
        <f aca="false">Sens!H712*(1+Sens!I713)</f>
        <v>10.6963111830911</v>
      </c>
      <c r="J712" s="6" t="n">
        <f aca="false">Sens!I712*(1+Sens!J713)</f>
        <v>11.4351285534696</v>
      </c>
      <c r="K712" s="6" t="n">
        <f aca="false">Sens!J712*(1+Sens!K713)</f>
        <v>12.2355875522124</v>
      </c>
    </row>
    <row r="713" customFormat="false" ht="15" hidden="false" customHeight="false" outlineLevel="0" collapsed="false">
      <c r="A713" s="1" t="s">
        <v>876</v>
      </c>
      <c r="B713" s="0" t="s">
        <v>129</v>
      </c>
      <c r="E713" s="7" t="n">
        <f aca="false">Sens!E712/Sens!D712-1</f>
        <v>0.0644329896907216</v>
      </c>
      <c r="F713" s="7" t="n">
        <f aca="false">Sens!$E$713+(glt_fro-Sens!$E$713)*MIN(1,(Sens!F661-base_fy)/n_conv)</f>
        <v>0.065360824742268</v>
      </c>
      <c r="G713" s="7" t="n">
        <f aca="false">Sens!$E$713+(glt_fro-Sens!$E$713)*MIN(1,(Sens!G661-base_fy)/n_conv)</f>
        <v>0.0662886597938144</v>
      </c>
      <c r="H713" s="7" t="n">
        <f aca="false">Sens!$E$713+(glt_fro-Sens!$E$713)*MIN(1,(Sens!H661-base_fy)/n_conv)</f>
        <v>0.0672164948453608</v>
      </c>
      <c r="I713" s="7" t="n">
        <f aca="false">Sens!$E$713+(glt_fro-Sens!$E$713)*MIN(1,(Sens!I661-base_fy)/n_conv)</f>
        <v>0.0681443298969072</v>
      </c>
      <c r="J713" s="7" t="n">
        <f aca="false">Sens!$E$713+(glt_fro-Sens!$E$713)*MIN(1,(Sens!J661-base_fy)/n_conv)</f>
        <v>0.0690721649484536</v>
      </c>
      <c r="K713" s="7" t="n">
        <f aca="false">Sens!$E$713+(glt_fro-Sens!$E$713)*MIN(1,(Sens!K661-base_fy)/n_conv)</f>
        <v>0.07</v>
      </c>
    </row>
    <row r="714" customFormat="false" ht="15" hidden="false" customHeight="false" outlineLevel="0" collapsed="false">
      <c r="A714" s="0" t="s">
        <v>715</v>
      </c>
      <c r="B714" s="0" t="s">
        <v>98</v>
      </c>
      <c r="D714" s="6" t="n">
        <f aca="false">Sens!D702+Sens!D707+Sens!D708+Sens!D710+Sens!D712</f>
        <v>218.783</v>
      </c>
      <c r="E714" s="6" t="n">
        <f aca="false">Sens!E702+Sens!E707+Sens!E708+Sens!E710+Sens!E712</f>
        <v>268.127</v>
      </c>
      <c r="F714" s="6" t="n">
        <f aca="false">Sens!F702+Sens!F707+Sens!F708+Sens!F710+Sens!F712</f>
        <v>330.624078022476</v>
      </c>
      <c r="G714" s="6" t="n">
        <f aca="false">Sens!G702+Sens!G707+Sens!G708+Sens!G710+Sens!G712</f>
        <v>409.285307510719</v>
      </c>
      <c r="H714" s="6" t="n">
        <f aca="false">Sens!H702+Sens!H707+Sens!H708+Sens!H710+Sens!H712</f>
        <v>493.17843377925</v>
      </c>
      <c r="I714" s="6" t="n">
        <f aca="false">Sens!I702+Sens!I707+Sens!I708+Sens!I710+Sens!I712</f>
        <v>564.758454982114</v>
      </c>
      <c r="J714" s="6" t="n">
        <f aca="false">Sens!J702+Sens!J707+Sens!J708+Sens!J710+Sens!J712</f>
        <v>622.513423246626</v>
      </c>
      <c r="K714" s="6" t="n">
        <f aca="false">Sens!K702+Sens!K707+Sens!K708+Sens!K710+Sens!K712</f>
        <v>668.959900010305</v>
      </c>
    </row>
    <row r="715" customFormat="false" ht="15" hidden="false" customHeight="false" outlineLevel="0" collapsed="false">
      <c r="A715" s="0" t="s">
        <v>887</v>
      </c>
      <c r="B715" s="0" t="s">
        <v>98</v>
      </c>
      <c r="D715" s="6" t="n">
        <f aca="false">Q!L13</f>
        <v>22.171</v>
      </c>
      <c r="E715" s="6" t="n">
        <f aca="false">Q!M13</f>
        <v>24.835</v>
      </c>
      <c r="F715" s="6" t="n">
        <f aca="false">Sens!E715*(1+Sens!F716)</f>
        <v>27.6114901218559</v>
      </c>
      <c r="G715" s="6" t="n">
        <f aca="false">Sens!F715*(1+Sens!G716)</f>
        <v>30.4675667338515</v>
      </c>
      <c r="H715" s="6" t="n">
        <f aca="false">Sens!G715*(1+Sens!H716)</f>
        <v>33.3643766955789</v>
      </c>
      <c r="I715" s="6" t="n">
        <f aca="false">Sens!H715*(1+Sens!I716)</f>
        <v>36.2577016533691</v>
      </c>
      <c r="J715" s="6" t="n">
        <f aca="false">Sens!I715*(1+Sens!J716)</f>
        <v>39.0988367952171</v>
      </c>
      <c r="K715" s="6" t="n">
        <f aca="false">Sens!J715*(1+Sens!K716)</f>
        <v>41.8357553708823</v>
      </c>
    </row>
    <row r="716" customFormat="false" ht="15" hidden="false" customHeight="false" outlineLevel="0" collapsed="false">
      <c r="A716" s="1" t="s">
        <v>876</v>
      </c>
      <c r="B716" s="0" t="s">
        <v>129</v>
      </c>
      <c r="E716" s="7" t="n">
        <f aca="false">Sens!E715/Sens!D715-1</f>
        <v>0.120156961796942</v>
      </c>
      <c r="F716" s="7" t="n">
        <f aca="false">Sens!$E$716+(glt_srch-Sens!$E$716)*MIN(1,(Sens!F661-base_fy)/n_conv)</f>
        <v>0.111797468164118</v>
      </c>
      <c r="G716" s="7" t="n">
        <f aca="false">Sens!$E$716+(glt_srch-Sens!$E$716)*MIN(1,(Sens!G661-base_fy)/n_conv)</f>
        <v>0.103437974531295</v>
      </c>
      <c r="H716" s="7" t="n">
        <f aca="false">Sens!$E$716+(glt_srch-Sens!$E$716)*MIN(1,(Sens!H661-base_fy)/n_conv)</f>
        <v>0.095078480898471</v>
      </c>
      <c r="I716" s="7" t="n">
        <f aca="false">Sens!$E$716+(glt_srch-Sens!$E$716)*MIN(1,(Sens!I661-base_fy)/n_conv)</f>
        <v>0.0867189872656474</v>
      </c>
      <c r="J716" s="7" t="n">
        <f aca="false">Sens!$E$716+(glt_srch-Sens!$E$716)*MIN(1,(Sens!J661-base_fy)/n_conv)</f>
        <v>0.0783594936328237</v>
      </c>
      <c r="K716" s="7" t="n">
        <f aca="false">Sens!$E$716+(glt_srch-Sens!$E$716)*MIN(1,(Sens!K661-base_fy)/n_conv)</f>
        <v>0.07</v>
      </c>
    </row>
    <row r="717" customFormat="false" ht="15" hidden="false" customHeight="false" outlineLevel="0" collapsed="false">
      <c r="A717" s="0" t="s">
        <v>888</v>
      </c>
      <c r="B717" s="0" t="s">
        <v>98</v>
      </c>
      <c r="D717" s="6" t="n">
        <f aca="false">Q!L14</f>
        <v>23.455</v>
      </c>
      <c r="E717" s="6" t="n">
        <f aca="false">Q!M14</f>
        <v>21.79</v>
      </c>
      <c r="F717" s="6" t="n">
        <f aca="false">Sens!E717*(1+Sens!F718)</f>
        <v>20.5736277908051</v>
      </c>
      <c r="G717" s="6" t="n">
        <f aca="false">Sens!F717*(1+Sens!G718)</f>
        <v>19.7371452817919</v>
      </c>
      <c r="H717" s="6" t="n">
        <f aca="false">Sens!G717*(1+Sens!H718)</f>
        <v>19.2339764043138</v>
      </c>
      <c r="I717" s="6" t="n">
        <f aca="false">Sens!H717*(1+Sens!I718)</f>
        <v>19.0353086852681</v>
      </c>
      <c r="J717" s="6" t="n">
        <f aca="false">Sens!I717*(1+Sens!J718)</f>
        <v>19.1273539319129</v>
      </c>
      <c r="K717" s="6" t="n">
        <f aca="false">Sens!J717*(1+Sens!K718)</f>
        <v>19.5099010105511</v>
      </c>
    </row>
    <row r="718" customFormat="false" ht="15" hidden="false" customHeight="false" outlineLevel="0" collapsed="false">
      <c r="A718" s="1" t="s">
        <v>876</v>
      </c>
      <c r="B718" s="0" t="s">
        <v>129</v>
      </c>
      <c r="E718" s="7" t="n">
        <f aca="false">Sens!E717/Sens!D717-1</f>
        <v>-0.0709869963760392</v>
      </c>
      <c r="F718" s="7" t="n">
        <f aca="false">Sens!$E$718+(glt_xbox-Sens!$E$718)*MIN(1,(Sens!F661-base_fy)/n_conv)</f>
        <v>-0.0558224969800327</v>
      </c>
      <c r="G718" s="7" t="n">
        <f aca="false">Sens!$E$718+(glt_xbox-Sens!$E$718)*MIN(1,(Sens!G661-base_fy)/n_conv)</f>
        <v>-0.0406579975840262</v>
      </c>
      <c r="H718" s="7" t="n">
        <f aca="false">Sens!$E$718+(glt_xbox-Sens!$E$718)*MIN(1,(Sens!H661-base_fy)/n_conv)</f>
        <v>-0.0254934981880196</v>
      </c>
      <c r="I718" s="7" t="n">
        <f aca="false">Sens!$E$718+(glt_xbox-Sens!$E$718)*MIN(1,(Sens!I661-base_fy)/n_conv)</f>
        <v>-0.0103289987920131</v>
      </c>
      <c r="J718" s="7" t="n">
        <f aca="false">Sens!$E$718+(glt_xbox-Sens!$E$718)*MIN(1,(Sens!J661-base_fy)/n_conv)</f>
        <v>0.00483550060399347</v>
      </c>
      <c r="K718" s="7" t="n">
        <f aca="false">Sens!$E$718+(glt_xbox-Sens!$E$718)*MIN(1,(Sens!K661-base_fy)/n_conv)</f>
        <v>0.02</v>
      </c>
    </row>
    <row r="719" customFormat="false" ht="15" hidden="false" customHeight="false" outlineLevel="0" collapsed="false">
      <c r="A719" s="0" t="s">
        <v>889</v>
      </c>
      <c r="B719" s="0" t="s">
        <v>98</v>
      </c>
      <c r="D719" s="6" t="n">
        <f aca="false">Q!L15</f>
        <v>17.315</v>
      </c>
      <c r="E719" s="6" t="n">
        <f aca="false">Q!M15</f>
        <v>17.087</v>
      </c>
      <c r="F719" s="6" t="n">
        <f aca="false">Sens!E719*(1+Sens!F720)</f>
        <v>16.9564585436519</v>
      </c>
      <c r="G719" s="6" t="n">
        <f aca="false">Sens!F719*(1+Sens!G720)</f>
        <v>16.9206490624268</v>
      </c>
      <c r="H719" s="6" t="n">
        <f aca="false">Sens!G719*(1+Sens!H720)</f>
        <v>16.9784519149849</v>
      </c>
      <c r="I719" s="6" t="n">
        <f aca="false">Sens!H719*(1+Sens!I720)</f>
        <v>17.1303084701817</v>
      </c>
      <c r="J719" s="6" t="n">
        <f aca="false">Sens!I719*(1+Sens!J720)</f>
        <v>17.3782189407267</v>
      </c>
      <c r="K719" s="6" t="n">
        <f aca="false">Sens!J719*(1+Sens!K720)</f>
        <v>17.7257833195413</v>
      </c>
    </row>
    <row r="720" customFormat="false" ht="15" hidden="false" customHeight="false" outlineLevel="0" collapsed="false">
      <c r="A720" s="1" t="s">
        <v>876</v>
      </c>
      <c r="B720" s="0" t="s">
        <v>129</v>
      </c>
      <c r="E720" s="7" t="n">
        <f aca="false">Sens!E719/Sens!D719-1</f>
        <v>-0.0131677736066995</v>
      </c>
      <c r="F720" s="7" t="n">
        <f aca="false">Sens!$E$720+(glt_win-Sens!$E$720)*MIN(1,(Sens!F661-base_fy)/n_conv)</f>
        <v>-0.00763981133891627</v>
      </c>
      <c r="G720" s="7" t="n">
        <f aca="false">Sens!$E$720+(glt_win-Sens!$E$720)*MIN(1,(Sens!G661-base_fy)/n_conv)</f>
        <v>-0.00211184907113301</v>
      </c>
      <c r="H720" s="7" t="n">
        <f aca="false">Sens!$E$720+(glt_win-Sens!$E$720)*MIN(1,(Sens!H661-base_fy)/n_conv)</f>
        <v>0.00341611319665024</v>
      </c>
      <c r="I720" s="7" t="n">
        <f aca="false">Sens!$E$720+(glt_win-Sens!$E$720)*MIN(1,(Sens!I661-base_fy)/n_conv)</f>
        <v>0.00894407546443349</v>
      </c>
      <c r="J720" s="7" t="n">
        <f aca="false">Sens!$E$720+(glt_win-Sens!$E$720)*MIN(1,(Sens!J661-base_fy)/n_conv)</f>
        <v>0.0144720377322168</v>
      </c>
      <c r="K720" s="7" t="n">
        <f aca="false">Sens!$E$720+(glt_win-Sens!$E$720)*MIN(1,(Sens!K661-base_fy)/n_conv)</f>
        <v>0.02</v>
      </c>
    </row>
    <row r="721" customFormat="false" ht="15" hidden="false" customHeight="false" outlineLevel="0" collapsed="false">
      <c r="A721" s="0" t="s">
        <v>729</v>
      </c>
      <c r="B721" s="0" t="s">
        <v>98</v>
      </c>
      <c r="D721" s="6" t="n">
        <f aca="false">Sens!D715+Sens!D717+Sens!D719</f>
        <v>62.941</v>
      </c>
      <c r="E721" s="6" t="n">
        <f aca="false">Sens!E715+Sens!E717+Sens!E719</f>
        <v>63.712</v>
      </c>
      <c r="F721" s="6" t="n">
        <f aca="false">Sens!F715+Sens!F717+Sens!F719</f>
        <v>65.1415764563129</v>
      </c>
      <c r="G721" s="6" t="n">
        <f aca="false">Sens!G715+Sens!G717+Sens!G719</f>
        <v>67.1253610780702</v>
      </c>
      <c r="H721" s="6" t="n">
        <f aca="false">Sens!H715+Sens!H717+Sens!H719</f>
        <v>69.5768050148776</v>
      </c>
      <c r="I721" s="6" t="n">
        <f aca="false">Sens!I715+Sens!I717+Sens!I719</f>
        <v>72.4233188088189</v>
      </c>
      <c r="J721" s="6" t="n">
        <f aca="false">Sens!J715+Sens!J717+Sens!J719</f>
        <v>75.6044096678567</v>
      </c>
      <c r="K721" s="6" t="n">
        <f aca="false">Sens!K715+Sens!K717+Sens!K719</f>
        <v>79.0714397009747</v>
      </c>
    </row>
    <row r="722" customFormat="false" ht="15" hidden="false" customHeight="false" outlineLevel="0" collapsed="false">
      <c r="A722" s="1" t="s">
        <v>890</v>
      </c>
      <c r="B722" s="0" t="s">
        <v>98</v>
      </c>
      <c r="D722" s="6" t="n">
        <f aca="false">Sens!D714+Sens!D721</f>
        <v>281.724</v>
      </c>
      <c r="E722" s="6" t="n">
        <f aca="false">Sens!E714+Sens!E721</f>
        <v>331.839</v>
      </c>
      <c r="F722" s="6" t="n">
        <f aca="false">Sens!F714+Sens!F721</f>
        <v>395.765654478789</v>
      </c>
      <c r="G722" s="6" t="n">
        <f aca="false">Sens!G714+Sens!G721</f>
        <v>476.410668588789</v>
      </c>
      <c r="H722" s="6" t="n">
        <f aca="false">Sens!H714+Sens!H721</f>
        <v>562.755238794127</v>
      </c>
      <c r="I722" s="6" t="n">
        <f aca="false">Sens!I714+Sens!I721</f>
        <v>637.181773790933</v>
      </c>
      <c r="J722" s="6" t="n">
        <f aca="false">Sens!J714+Sens!J721</f>
        <v>698.117832914483</v>
      </c>
      <c r="K722" s="6" t="n">
        <f aca="false">Sens!K714+Sens!K721</f>
        <v>748.03133971128</v>
      </c>
    </row>
    <row r="723" customFormat="false" ht="15" hidden="false" customHeight="false" outlineLevel="0" collapsed="false">
      <c r="A723" s="23" t="s">
        <v>891</v>
      </c>
      <c r="B723" s="30" t="s">
        <v>98</v>
      </c>
      <c r="C723" s="30"/>
      <c r="D723" s="24" t="n">
        <f aca="false">(Sens!D702+Sens!D707+Sens!D708+Sens!D710+Sens!D712-Sens!D714)+(Sens!D715+Sens!D717+Sens!D719-Sens!D721)+(Sens!D714-Q!L5)+(Sens!D721-Q!L12)+(Sens!D702-Q!L6)+(Sens!D707-Q!L7)</f>
        <v>0</v>
      </c>
      <c r="E723" s="24" t="n">
        <f aca="false">(Sens!E702+Sens!E707+Sens!E708+Sens!E710+Sens!E712-Sens!E714)+(Sens!E715+Sens!E717+Sens!E719-Sens!E721)+(Sens!E714-Q!M5)+(Sens!E721-Q!M12)+(Sens!E702-Q!M6)+(Sens!E707-Q!M7)</f>
        <v>0</v>
      </c>
      <c r="F723" s="24" t="n">
        <f aca="false">(Sens!F702+Sens!F707+Sens!F708+Sens!F710+Sens!F712-Sens!F714)+(Sens!F715+Sens!F717+Sens!F719-Sens!F721)</f>
        <v>0</v>
      </c>
      <c r="G723" s="24" t="n">
        <f aca="false">(Sens!G702+Sens!G707+Sens!G708+Sens!G710+Sens!G712-Sens!G714)+(Sens!G715+Sens!G717+Sens!G719-Sens!G721)</f>
        <v>0</v>
      </c>
      <c r="H723" s="24" t="n">
        <f aca="false">(Sens!H702+Sens!H707+Sens!H708+Sens!H710+Sens!H712-Sens!H714)+(Sens!H715+Sens!H717+Sens!H719-Sens!H721)</f>
        <v>0</v>
      </c>
      <c r="I723" s="24" t="n">
        <f aca="false">(Sens!I702+Sens!I707+Sens!I708+Sens!I710+Sens!I712-Sens!I714)+(Sens!I715+Sens!I717+Sens!I719-Sens!I721)</f>
        <v>0</v>
      </c>
      <c r="J723" s="24" t="n">
        <f aca="false">(Sens!J702+Sens!J707+Sens!J708+Sens!J710+Sens!J712-Sens!J714)+(Sens!J715+Sens!J717+Sens!J719-Sens!J721)</f>
        <v>0</v>
      </c>
      <c r="K723" s="24" t="n">
        <f aca="false">(Sens!K702+Sens!K707+Sens!K708+Sens!K710+Sens!K712-Sens!K714)+(Sens!K715+Sens!K717+Sens!K719-Sens!K721)</f>
        <v>0</v>
      </c>
    </row>
    <row r="724" customFormat="false" ht="17.15" hidden="false" customHeight="false" outlineLevel="0" collapsed="false">
      <c r="A724" s="3" t="s">
        <v>1279</v>
      </c>
    </row>
    <row r="725" customFormat="false" ht="15" hidden="false" customHeight="false" outlineLevel="0" collapsed="false">
      <c r="A725" s="4" t="s">
        <v>43</v>
      </c>
      <c r="B725" s="4" t="s">
        <v>65</v>
      </c>
      <c r="C725" s="20" t="s">
        <v>799</v>
      </c>
      <c r="D725" s="20" t="s">
        <v>800</v>
      </c>
      <c r="E725" s="20" t="s">
        <v>801</v>
      </c>
      <c r="F725" s="20" t="s">
        <v>802</v>
      </c>
      <c r="G725" s="20" t="s">
        <v>803</v>
      </c>
      <c r="H725" s="20" t="s">
        <v>804</v>
      </c>
      <c r="I725" s="20" t="s">
        <v>805</v>
      </c>
      <c r="J725" s="20" t="s">
        <v>806</v>
      </c>
      <c r="K725" s="20" t="s">
        <v>807</v>
      </c>
      <c r="L725" s="4" t="s">
        <v>47</v>
      </c>
    </row>
    <row r="726" customFormat="false" ht="15" hidden="false" customHeight="false" outlineLevel="0" collapsed="false">
      <c r="A726" s="0" t="s">
        <v>877</v>
      </c>
      <c r="B726" s="0" t="s">
        <v>98</v>
      </c>
      <c r="D726" s="6" t="n">
        <f aca="false">Sens!D702</f>
        <v>72.61</v>
      </c>
      <c r="E726" s="6" t="n">
        <f aca="false">Sens!E702</f>
        <v>101.938</v>
      </c>
      <c r="F726" s="6" t="n">
        <f aca="false">Sens!F702</f>
        <v>140.002506083293</v>
      </c>
      <c r="G726" s="6" t="n">
        <f aca="false">Sens!G702</f>
        <v>193.19215097329</v>
      </c>
      <c r="H726" s="6" t="n">
        <f aca="false">Sens!H702</f>
        <v>251.589751097735</v>
      </c>
      <c r="I726" s="6" t="n">
        <f aca="false">Sens!I702</f>
        <v>300.197100002628</v>
      </c>
      <c r="J726" s="6" t="n">
        <f aca="false">Sens!J702</f>
        <v>337.822526142457</v>
      </c>
      <c r="K726" s="6" t="n">
        <f aca="false">Sens!K702</f>
        <v>365.065830670129</v>
      </c>
    </row>
    <row r="727" customFormat="false" ht="17.15" hidden="false" customHeight="false" outlineLevel="0" collapsed="false">
      <c r="A727" s="0" t="s">
        <v>874</v>
      </c>
      <c r="B727" s="0" t="s">
        <v>98</v>
      </c>
      <c r="D727" s="6" t="n">
        <f aca="false">Sens!D699</f>
        <v>12.9359794422418</v>
      </c>
      <c r="E727" s="6" t="n">
        <f aca="false">Sens!E699</f>
        <v>27.8095064661409</v>
      </c>
      <c r="F727" s="6" t="n">
        <f aca="false">Sens!F699</f>
        <v>49.9225563459265</v>
      </c>
      <c r="G727" s="6" t="n">
        <f aca="false">Sens!G699</f>
        <v>86.16372576998</v>
      </c>
      <c r="H727" s="6" t="n">
        <f aca="false">Sens!H699</f>
        <v>127.317768512099</v>
      </c>
      <c r="I727" s="6" t="n">
        <f aca="false">Sens!I699</f>
        <v>159.263397620773</v>
      </c>
      <c r="J727" s="6" t="n">
        <f aca="false">Sens!J699</f>
        <v>181.803658828126</v>
      </c>
      <c r="K727" s="6" t="n">
        <f aca="false">Sens!K699</f>
        <v>196.565453970651</v>
      </c>
    </row>
    <row r="728" customFormat="false" ht="17.15" hidden="false" customHeight="false" outlineLevel="0" collapsed="false">
      <c r="A728" s="0" t="s">
        <v>902</v>
      </c>
      <c r="B728" s="0" t="s">
        <v>98</v>
      </c>
      <c r="D728" s="6" t="n">
        <f aca="false">Sens!D700</f>
        <v>59.6740205577583</v>
      </c>
      <c r="E728" s="6" t="n">
        <f aca="false">Sens!E700</f>
        <v>74.1284935338591</v>
      </c>
      <c r="F728" s="6" t="n">
        <f aca="false">Sens!F700</f>
        <v>90.0799497373663</v>
      </c>
      <c r="G728" s="6" t="n">
        <f aca="false">Sens!G700</f>
        <v>107.02842520331</v>
      </c>
      <c r="H728" s="6" t="n">
        <f aca="false">Sens!H700</f>
        <v>124.271982585636</v>
      </c>
      <c r="I728" s="6" t="n">
        <f aca="false">Sens!I700</f>
        <v>140.933702381855</v>
      </c>
      <c r="J728" s="6" t="n">
        <f aca="false">Sens!J700</f>
        <v>156.018867314332</v>
      </c>
      <c r="K728" s="6" t="n">
        <f aca="false">Sens!K700</f>
        <v>168.500376699478</v>
      </c>
    </row>
    <row r="729" customFormat="false" ht="15" hidden="false" customHeight="false" outlineLevel="0" collapsed="false">
      <c r="A729" s="0" t="s">
        <v>883</v>
      </c>
      <c r="B729" s="0" t="s">
        <v>98</v>
      </c>
      <c r="D729" s="6" t="n">
        <f aca="false">Sens!D707</f>
        <v>84.605</v>
      </c>
      <c r="E729" s="6" t="n">
        <f aca="false">Sens!E707</f>
        <v>100.299</v>
      </c>
      <c r="F729" s="6" t="n">
        <f aca="false">Sens!F707</f>
        <v>120.39238776686</v>
      </c>
      <c r="G729" s="6" t="n">
        <f aca="false">Sens!G707</f>
        <v>141.544168448684</v>
      </c>
      <c r="H729" s="6" t="n">
        <f aca="false">Sens!H707</f>
        <v>162.777359388781</v>
      </c>
      <c r="I729" s="6" t="n">
        <f aca="false">Sens!I707</f>
        <v>181.584028071957</v>
      </c>
      <c r="J729" s="6" t="n">
        <f aca="false">Sens!J707</f>
        <v>197.682702785465</v>
      </c>
      <c r="K729" s="6" t="n">
        <f aca="false">Sens!K707</f>
        <v>213.027991980448</v>
      </c>
    </row>
    <row r="730" customFormat="false" ht="17.15" hidden="false" customHeight="false" outlineLevel="0" collapsed="false">
      <c r="A730" s="0" t="s">
        <v>903</v>
      </c>
      <c r="B730" s="0" t="s">
        <v>98</v>
      </c>
      <c r="D730" s="6" t="n">
        <f aca="false">Sens!D705</f>
        <v>83.705</v>
      </c>
      <c r="E730" s="6" t="n">
        <f aca="false">Sens!E705</f>
        <v>95.049</v>
      </c>
      <c r="F730" s="6" t="n">
        <f aca="false">Sens!F705</f>
        <v>106.89238776686</v>
      </c>
      <c r="G730" s="6" t="n">
        <f aca="false">Sens!G705</f>
        <v>119.044168448684</v>
      </c>
      <c r="H730" s="6" t="n">
        <f aca="false">Sens!H705</f>
        <v>131.277359388781</v>
      </c>
      <c r="I730" s="6" t="n">
        <f aca="false">Sens!I705</f>
        <v>143.334028071957</v>
      </c>
      <c r="J730" s="6" t="n">
        <f aca="false">Sens!J705</f>
        <v>154.932702785465</v>
      </c>
      <c r="K730" s="6" t="n">
        <f aca="false">Sens!K705</f>
        <v>165.777991980448</v>
      </c>
    </row>
    <row r="731" customFormat="false" ht="17.15" hidden="false" customHeight="false" outlineLevel="0" collapsed="false">
      <c r="A731" s="0" t="s">
        <v>904</v>
      </c>
      <c r="B731" s="0" t="s">
        <v>98</v>
      </c>
      <c r="D731" s="6" t="n">
        <f aca="false">Sens!D704</f>
        <v>0.9</v>
      </c>
      <c r="E731" s="6" t="n">
        <f aca="false">Sens!E704</f>
        <v>5.25</v>
      </c>
      <c r="F731" s="6" t="n">
        <f aca="false">Sens!F704</f>
        <v>13.5</v>
      </c>
      <c r="G731" s="6" t="n">
        <f aca="false">Sens!G704</f>
        <v>22.5</v>
      </c>
      <c r="H731" s="6" t="n">
        <f aca="false">Sens!H704</f>
        <v>31.5</v>
      </c>
      <c r="I731" s="6" t="n">
        <f aca="false">Sens!I704</f>
        <v>38.25</v>
      </c>
      <c r="J731" s="6" t="n">
        <f aca="false">Sens!J704</f>
        <v>42.75</v>
      </c>
      <c r="K731" s="6" t="n">
        <f aca="false">Sens!K704</f>
        <v>47.25</v>
      </c>
    </row>
    <row r="732" customFormat="false" ht="15" hidden="false" customHeight="false" outlineLevel="0" collapsed="false">
      <c r="A732" s="0" t="s">
        <v>884</v>
      </c>
      <c r="B732" s="0" t="s">
        <v>98</v>
      </c>
      <c r="D732" s="6" t="n">
        <f aca="false">Sens!D708</f>
        <v>35.391</v>
      </c>
      <c r="E732" s="6" t="n">
        <f aca="false">Sens!E708</f>
        <v>37.285</v>
      </c>
      <c r="F732" s="6" t="n">
        <f aca="false">Sens!F708</f>
        <v>39.0720834331704</v>
      </c>
      <c r="G732" s="6" t="n">
        <f aca="false">Sens!G708</f>
        <v>40.726562953769</v>
      </c>
      <c r="H732" s="6" t="n">
        <f aca="false">Sens!H708</f>
        <v>42.2235987259198</v>
      </c>
      <c r="I732" s="6" t="n">
        <f aca="false">Sens!I708</f>
        <v>43.5397988077414</v>
      </c>
      <c r="J732" s="6" t="n">
        <f aca="false">Sens!J708</f>
        <v>44.653811225693</v>
      </c>
      <c r="K732" s="6" t="n">
        <f aca="false">Sens!K708</f>
        <v>45.5468874502068</v>
      </c>
    </row>
    <row r="733" customFormat="false" ht="15" hidden="false" customHeight="false" outlineLevel="0" collapsed="false">
      <c r="A733" s="0" t="s">
        <v>885</v>
      </c>
      <c r="B733" s="0" t="s">
        <v>98</v>
      </c>
      <c r="D733" s="6" t="n">
        <f aca="false">Sens!D710</f>
        <v>18.417</v>
      </c>
      <c r="E733" s="6" t="n">
        <f aca="false">Sens!E710</f>
        <v>20.345</v>
      </c>
      <c r="F733" s="6" t="n">
        <f aca="false">Sens!F710</f>
        <v>22.3572203267814</v>
      </c>
      <c r="G733" s="6" t="n">
        <f aca="false">Sens!G710</f>
        <v>24.4392124437232</v>
      </c>
      <c r="H733" s="6" t="n">
        <f aca="false">Sens!H710</f>
        <v>26.5738052080665</v>
      </c>
      <c r="I733" s="6" t="n">
        <f aca="false">Sens!I710</f>
        <v>28.7412169166967</v>
      </c>
      <c r="J733" s="6" t="n">
        <f aca="false">Sens!J710</f>
        <v>30.9192545395413</v>
      </c>
      <c r="K733" s="6" t="n">
        <f aca="false">Sens!K710</f>
        <v>33.0836023573092</v>
      </c>
    </row>
    <row r="734" customFormat="false" ht="15" hidden="false" customHeight="false" outlineLevel="0" collapsed="false">
      <c r="A734" s="0" t="s">
        <v>886</v>
      </c>
      <c r="B734" s="0" t="s">
        <v>98</v>
      </c>
      <c r="D734" s="6" t="n">
        <f aca="false">Sens!D712</f>
        <v>7.76</v>
      </c>
      <c r="E734" s="6" t="n">
        <f aca="false">Sens!E712</f>
        <v>8.26</v>
      </c>
      <c r="F734" s="6" t="n">
        <f aca="false">Sens!F712</f>
        <v>8.79988041237113</v>
      </c>
      <c r="G734" s="6" t="n">
        <f aca="false">Sens!G712</f>
        <v>9.38321269125306</v>
      </c>
      <c r="H734" s="6" t="n">
        <f aca="false">Sens!H712</f>
        <v>10.0139193587476</v>
      </c>
      <c r="I734" s="6" t="n">
        <f aca="false">Sens!I712</f>
        <v>10.6963111830911</v>
      </c>
      <c r="J734" s="6" t="n">
        <f aca="false">Sens!J712</f>
        <v>11.4351285534696</v>
      </c>
      <c r="K734" s="6" t="n">
        <f aca="false">Sens!K712</f>
        <v>12.2355875522124</v>
      </c>
    </row>
    <row r="735" customFormat="false" ht="15" hidden="false" customHeight="false" outlineLevel="0" collapsed="false">
      <c r="A735" s="0" t="s">
        <v>715</v>
      </c>
      <c r="B735" s="0" t="s">
        <v>98</v>
      </c>
      <c r="D735" s="6" t="n">
        <f aca="false">Sens!D714</f>
        <v>218.783</v>
      </c>
      <c r="E735" s="6" t="n">
        <f aca="false">Sens!E714</f>
        <v>268.127</v>
      </c>
      <c r="F735" s="6" t="n">
        <f aca="false">Sens!F714</f>
        <v>330.624078022476</v>
      </c>
      <c r="G735" s="6" t="n">
        <f aca="false">Sens!G714</f>
        <v>409.285307510719</v>
      </c>
      <c r="H735" s="6" t="n">
        <f aca="false">Sens!H714</f>
        <v>493.17843377925</v>
      </c>
      <c r="I735" s="6" t="n">
        <f aca="false">Sens!I714</f>
        <v>564.758454982114</v>
      </c>
      <c r="J735" s="6" t="n">
        <f aca="false">Sens!J714</f>
        <v>622.513423246626</v>
      </c>
      <c r="K735" s="6" t="n">
        <f aca="false">Sens!K714</f>
        <v>668.959900010305</v>
      </c>
    </row>
    <row r="736" customFormat="false" ht="15" hidden="false" customHeight="false" outlineLevel="0" collapsed="false">
      <c r="A736" s="0" t="s">
        <v>887</v>
      </c>
      <c r="B736" s="0" t="s">
        <v>98</v>
      </c>
      <c r="D736" s="6" t="n">
        <f aca="false">Sens!D715</f>
        <v>22.171</v>
      </c>
      <c r="E736" s="6" t="n">
        <f aca="false">Sens!E715</f>
        <v>24.835</v>
      </c>
      <c r="F736" s="6" t="n">
        <f aca="false">Sens!F715</f>
        <v>27.6114901218559</v>
      </c>
      <c r="G736" s="6" t="n">
        <f aca="false">Sens!G715</f>
        <v>30.4675667338515</v>
      </c>
      <c r="H736" s="6" t="n">
        <f aca="false">Sens!H715</f>
        <v>33.3643766955789</v>
      </c>
      <c r="I736" s="6" t="n">
        <f aca="false">Sens!I715</f>
        <v>36.2577016533691</v>
      </c>
      <c r="J736" s="6" t="n">
        <f aca="false">Sens!J715</f>
        <v>39.0988367952171</v>
      </c>
      <c r="K736" s="6" t="n">
        <f aca="false">Sens!K715</f>
        <v>41.8357553708823</v>
      </c>
    </row>
    <row r="737" customFormat="false" ht="15" hidden="false" customHeight="false" outlineLevel="0" collapsed="false">
      <c r="A737" s="0" t="s">
        <v>888</v>
      </c>
      <c r="B737" s="0" t="s">
        <v>98</v>
      </c>
      <c r="D737" s="6" t="n">
        <f aca="false">Sens!D717</f>
        <v>23.455</v>
      </c>
      <c r="E737" s="6" t="n">
        <f aca="false">Sens!E717</f>
        <v>21.79</v>
      </c>
      <c r="F737" s="6" t="n">
        <f aca="false">Sens!F717</f>
        <v>20.5736277908051</v>
      </c>
      <c r="G737" s="6" t="n">
        <f aca="false">Sens!G717</f>
        <v>19.7371452817919</v>
      </c>
      <c r="H737" s="6" t="n">
        <f aca="false">Sens!H717</f>
        <v>19.2339764043138</v>
      </c>
      <c r="I737" s="6" t="n">
        <f aca="false">Sens!I717</f>
        <v>19.0353086852681</v>
      </c>
      <c r="J737" s="6" t="n">
        <f aca="false">Sens!J717</f>
        <v>19.1273539319129</v>
      </c>
      <c r="K737" s="6" t="n">
        <f aca="false">Sens!K717</f>
        <v>19.5099010105511</v>
      </c>
    </row>
    <row r="738" customFormat="false" ht="15" hidden="false" customHeight="false" outlineLevel="0" collapsed="false">
      <c r="A738" s="0" t="s">
        <v>889</v>
      </c>
      <c r="B738" s="0" t="s">
        <v>98</v>
      </c>
      <c r="D738" s="6" t="n">
        <f aca="false">Sens!D719</f>
        <v>17.315</v>
      </c>
      <c r="E738" s="6" t="n">
        <f aca="false">Sens!E719</f>
        <v>17.087</v>
      </c>
      <c r="F738" s="6" t="n">
        <f aca="false">Sens!F719</f>
        <v>16.9564585436519</v>
      </c>
      <c r="G738" s="6" t="n">
        <f aca="false">Sens!G719</f>
        <v>16.9206490624268</v>
      </c>
      <c r="H738" s="6" t="n">
        <f aca="false">Sens!H719</f>
        <v>16.9784519149849</v>
      </c>
      <c r="I738" s="6" t="n">
        <f aca="false">Sens!I719</f>
        <v>17.1303084701817</v>
      </c>
      <c r="J738" s="6" t="n">
        <f aca="false">Sens!J719</f>
        <v>17.3782189407267</v>
      </c>
      <c r="K738" s="6" t="n">
        <f aca="false">Sens!K719</f>
        <v>17.7257833195413</v>
      </c>
    </row>
    <row r="739" customFormat="false" ht="15" hidden="false" customHeight="false" outlineLevel="0" collapsed="false">
      <c r="A739" s="0" t="s">
        <v>729</v>
      </c>
      <c r="B739" s="0" t="s">
        <v>98</v>
      </c>
      <c r="D739" s="6" t="n">
        <f aca="false">Sens!D721</f>
        <v>62.941</v>
      </c>
      <c r="E739" s="6" t="n">
        <f aca="false">Sens!E721</f>
        <v>63.712</v>
      </c>
      <c r="F739" s="6" t="n">
        <f aca="false">Sens!F721</f>
        <v>65.1415764563129</v>
      </c>
      <c r="G739" s="6" t="n">
        <f aca="false">Sens!G721</f>
        <v>67.1253610780702</v>
      </c>
      <c r="H739" s="6" t="n">
        <f aca="false">Sens!H721</f>
        <v>69.5768050148776</v>
      </c>
      <c r="I739" s="6" t="n">
        <f aca="false">Sens!I721</f>
        <v>72.4233188088189</v>
      </c>
      <c r="J739" s="6" t="n">
        <f aca="false">Sens!J721</f>
        <v>75.6044096678567</v>
      </c>
      <c r="K739" s="6" t="n">
        <f aca="false">Sens!K721</f>
        <v>79.0714397009747</v>
      </c>
    </row>
    <row r="740" customFormat="false" ht="15" hidden="false" customHeight="false" outlineLevel="0" collapsed="false">
      <c r="A740" s="1" t="s">
        <v>905</v>
      </c>
      <c r="B740" s="0" t="s">
        <v>98</v>
      </c>
      <c r="D740" s="6" t="n">
        <f aca="false">Sens!D722</f>
        <v>281.724</v>
      </c>
      <c r="E740" s="6" t="n">
        <f aca="false">Sens!E722</f>
        <v>331.839</v>
      </c>
      <c r="F740" s="6" t="n">
        <f aca="false">Sens!F722</f>
        <v>395.765654478789</v>
      </c>
      <c r="G740" s="6" t="n">
        <f aca="false">Sens!G722</f>
        <v>476.410668588789</v>
      </c>
      <c r="H740" s="6" t="n">
        <f aca="false">Sens!H722</f>
        <v>562.755238794127</v>
      </c>
      <c r="I740" s="6" t="n">
        <f aca="false">Sens!I722</f>
        <v>637.181773790933</v>
      </c>
      <c r="J740" s="6" t="n">
        <f aca="false">Sens!J722</f>
        <v>698.117832914483</v>
      </c>
      <c r="K740" s="6" t="n">
        <f aca="false">Sens!K722</f>
        <v>748.03133971128</v>
      </c>
    </row>
    <row r="741" customFormat="false" ht="15" hidden="false" customHeight="false" outlineLevel="0" collapsed="false">
      <c r="A741" s="1" t="s">
        <v>906</v>
      </c>
      <c r="B741" s="0" t="s">
        <v>129</v>
      </c>
      <c r="E741" s="7" t="n">
        <f aca="false">Sens!E740/Sens!D740-1</f>
        <v>0.177886867998467</v>
      </c>
      <c r="F741" s="7" t="n">
        <f aca="false">Sens!F740/Sens!E740-1</f>
        <v>0.192643584626245</v>
      </c>
      <c r="G741" s="7" t="n">
        <f aca="false">Sens!G740/Sens!F740-1</f>
        <v>0.203769612641622</v>
      </c>
      <c r="H741" s="7" t="n">
        <f aca="false">Sens!H740/Sens!G740-1</f>
        <v>0.181239791420091</v>
      </c>
      <c r="I741" s="7" t="n">
        <f aca="false">Sens!I740/Sens!H740-1</f>
        <v>0.132253828780496</v>
      </c>
      <c r="J741" s="7" t="n">
        <f aca="false">Sens!J740/Sens!I740-1</f>
        <v>0.0956337133766541</v>
      </c>
      <c r="K741" s="7" t="n">
        <f aca="false">Sens!K740/Sens!J740-1</f>
        <v>0.0714972522452539</v>
      </c>
    </row>
    <row r="742" customFormat="false" ht="17.15" hidden="false" customHeight="false" outlineLevel="0" collapsed="false">
      <c r="A742" s="23" t="s">
        <v>907</v>
      </c>
      <c r="B742" s="30" t="s">
        <v>98</v>
      </c>
      <c r="C742" s="30"/>
      <c r="D742" s="24" t="n">
        <f aca="false">(Sens!D735+Sens!D739-Sens!D740)+(Sens!D727+Sens!D728-Sens!D726)+(Sens!D730+Sens!D731-Sens!D729)+(Sens!D740-Q!L18)</f>
        <v>0</v>
      </c>
      <c r="E742" s="24" t="n">
        <f aca="false">(Sens!E735+Sens!E739-Sens!E740)+(Sens!E727+Sens!E728-Sens!E726)+(Sens!E730+Sens!E731-Sens!E729)+(Sens!E740-Q!M18)</f>
        <v>0</v>
      </c>
      <c r="F742" s="24" t="n">
        <f aca="false">(Sens!F735+Sens!F739-Sens!F740)+(Sens!F727+Sens!F728-Sens!F726)+(Sens!F730+Sens!F731-Sens!F729)</f>
        <v>0</v>
      </c>
      <c r="G742" s="24" t="n">
        <f aca="false">(Sens!G735+Sens!G739-Sens!G740)+(Sens!G727+Sens!G728-Sens!G726)+(Sens!G730+Sens!G731-Sens!G729)</f>
        <v>0</v>
      </c>
      <c r="H742" s="24" t="n">
        <f aca="false">(Sens!H735+Sens!H739-Sens!H740)+(Sens!H727+Sens!H728-Sens!H726)+(Sens!H730+Sens!H731-Sens!H729)</f>
        <v>0</v>
      </c>
      <c r="I742" s="24" t="n">
        <f aca="false">(Sens!I735+Sens!I739-Sens!I740)+(Sens!I727+Sens!I728-Sens!I726)+(Sens!I730+Sens!I731-Sens!I729)</f>
        <v>0</v>
      </c>
      <c r="J742" s="24" t="n">
        <f aca="false">(Sens!J735+Sens!J739-Sens!J740)+(Sens!J727+Sens!J728-Sens!J726)+(Sens!J730+Sens!J731-Sens!J729)</f>
        <v>0</v>
      </c>
      <c r="K742" s="24" t="n">
        <f aca="false">(Sens!K735+Sens!K739-Sens!K740)+(Sens!K727+Sens!K728-Sens!K726)+(Sens!K730+Sens!K731-Sens!K729)</f>
        <v>0</v>
      </c>
    </row>
    <row r="743" customFormat="false" ht="17.15" hidden="false" customHeight="false" outlineLevel="0" collapsed="false">
      <c r="A743" s="0" t="s">
        <v>908</v>
      </c>
      <c r="B743" s="0" t="s">
        <v>129</v>
      </c>
      <c r="E743" s="7" t="n">
        <f aca="false">(Q!M21+Sens!E680+Sens!E681+Sens!E682+Sens!E695-Sens!E678)/(Q!M5-Sens!E678)</f>
        <v>0.570957350878296</v>
      </c>
      <c r="F743" s="7" t="n">
        <f aca="false">Sens!$E$743+dm_seg</f>
        <v>0.570957350878296</v>
      </c>
      <c r="G743" s="7" t="n">
        <f aca="false">Sens!$E$743+dm_seg</f>
        <v>0.570957350878296</v>
      </c>
      <c r="H743" s="7" t="n">
        <f aca="false">Sens!$E$743+dm_seg</f>
        <v>0.570957350878296</v>
      </c>
      <c r="I743" s="7" t="n">
        <f aca="false">Sens!$E$743+dm_seg</f>
        <v>0.570957350878296</v>
      </c>
      <c r="J743" s="7" t="n">
        <f aca="false">Sens!$E$743+dm_seg</f>
        <v>0.570957350878296</v>
      </c>
      <c r="K743" s="7" t="n">
        <f aca="false">Sens!$E$743+dm_seg</f>
        <v>0.570957350878296</v>
      </c>
      <c r="L743" s="11" t="s">
        <v>909</v>
      </c>
    </row>
    <row r="744" customFormat="false" ht="17.15" hidden="false" customHeight="false" outlineLevel="0" collapsed="false">
      <c r="A744" s="0" t="s">
        <v>743</v>
      </c>
      <c r="B744" s="0" t="s">
        <v>98</v>
      </c>
      <c r="D744" s="6" t="n">
        <f aca="false">Q!L21</f>
        <v>110.814</v>
      </c>
      <c r="E744" s="6" t="n">
        <f aca="false">Q!M21</f>
        <v>136.365</v>
      </c>
      <c r="F744" s="6" t="n">
        <f aca="false">Sens!F743*(Sens!F714-Sens!F678)+Sens!F678-(Sens!F680+Sens!F681+Sens!F682)-Sens!F695-Sens!F778</f>
        <v>153.189992102749</v>
      </c>
      <c r="G744" s="6" t="n">
        <f aca="false">Sens!G743*(Sens!G714-Sens!G678)+Sens!G678-(Sens!G680+Sens!G681+Sens!G682)-Sens!G695-Sens!G778</f>
        <v>177.112113125446</v>
      </c>
      <c r="H744" s="6" t="n">
        <f aca="false">Sens!H743*(Sens!H714-Sens!H678)+Sens!H678-(Sens!H680+Sens!H681+Sens!H682)-Sens!H695-Sens!H778</f>
        <v>204.30900871645</v>
      </c>
      <c r="I744" s="6" t="n">
        <f aca="false">Sens!I743*(Sens!I714-Sens!I678)+Sens!I678-(Sens!I680+Sens!I681+Sens!I682)-Sens!I695-Sens!I778</f>
        <v>225.005571518225</v>
      </c>
      <c r="J744" s="6" t="n">
        <f aca="false">Sens!J743*(Sens!J714-Sens!J678)+Sens!J678-(Sens!J680+Sens!J681+Sens!J682)-Sens!J695-Sens!J778</f>
        <v>243.701286672008</v>
      </c>
      <c r="K744" s="6" t="n">
        <f aca="false">Sens!K743*(Sens!K714-Sens!K678)+Sens!K678-(Sens!K680+Sens!K681+Sens!K682)-Sens!K695-Sens!K778</f>
        <v>261.692571101604</v>
      </c>
      <c r="L744" s="1" t="s">
        <v>910</v>
      </c>
    </row>
    <row r="745" customFormat="false" ht="17.15" hidden="false" customHeight="false" outlineLevel="0" collapsed="false">
      <c r="A745" s="0" t="s">
        <v>911</v>
      </c>
      <c r="B745" s="0" t="s">
        <v>129</v>
      </c>
      <c r="E745" s="7" t="n">
        <f aca="false">Q!M22/Q!M12</f>
        <v>0.296207935710698</v>
      </c>
      <c r="F745" s="7" t="n">
        <f aca="false">Sens!$E$745+dm_seg</f>
        <v>0.296207935710698</v>
      </c>
      <c r="G745" s="7" t="n">
        <f aca="false">Sens!$E$745+dm_seg</f>
        <v>0.296207935710698</v>
      </c>
      <c r="H745" s="7" t="n">
        <f aca="false">Sens!$E$745+dm_seg</f>
        <v>0.296207935710698</v>
      </c>
      <c r="I745" s="7" t="n">
        <f aca="false">Sens!$E$745+dm_seg</f>
        <v>0.296207935710698</v>
      </c>
      <c r="J745" s="7" t="n">
        <f aca="false">Sens!$E$745+dm_seg</f>
        <v>0.296207935710698</v>
      </c>
      <c r="K745" s="7" t="n">
        <f aca="false">Sens!$E$745+dm_seg</f>
        <v>0.296207935710698</v>
      </c>
      <c r="L745" s="11" t="s">
        <v>912</v>
      </c>
    </row>
    <row r="746" customFormat="false" ht="17.15" hidden="false" customHeight="false" outlineLevel="0" collapsed="false">
      <c r="A746" s="0" t="s">
        <v>745</v>
      </c>
      <c r="B746" s="0" t="s">
        <v>98</v>
      </c>
      <c r="D746" s="6" t="n">
        <f aca="false">Q!L22</f>
        <v>17.714</v>
      </c>
      <c r="E746" s="6" t="n">
        <f aca="false">Q!M22</f>
        <v>18.872</v>
      </c>
      <c r="F746" s="6" t="n">
        <f aca="false">Sens!F721*Sens!F745</f>
        <v>19.2954518910651</v>
      </c>
      <c r="G746" s="6" t="n">
        <f aca="false">Sens!G721*Sens!G745</f>
        <v>19.8830646387704</v>
      </c>
      <c r="H746" s="6" t="n">
        <f aca="false">Sens!H721*Sens!H745</f>
        <v>20.6092017868026</v>
      </c>
      <c r="I746" s="6" t="n">
        <f aca="false">Sens!I721*Sens!I745</f>
        <v>21.452361761678</v>
      </c>
      <c r="J746" s="6" t="n">
        <f aca="false">Sens!J721*Sens!J745</f>
        <v>22.3946261183418</v>
      </c>
      <c r="K746" s="6" t="n">
        <f aca="false">Sens!K721*Sens!K745</f>
        <v>23.4215879274986</v>
      </c>
    </row>
    <row r="747" customFormat="false" ht="15" hidden="false" customHeight="false" outlineLevel="0" collapsed="false">
      <c r="A747" s="1" t="s">
        <v>913</v>
      </c>
      <c r="B747" s="0" t="s">
        <v>98</v>
      </c>
      <c r="D747" s="6" t="n">
        <f aca="false">Sens!D744+Sens!D746</f>
        <v>128.528</v>
      </c>
      <c r="E747" s="6" t="n">
        <f aca="false">Sens!E744+Sens!E746</f>
        <v>155.237</v>
      </c>
      <c r="F747" s="6" t="n">
        <f aca="false">Sens!F744+Sens!F746</f>
        <v>172.485443993814</v>
      </c>
      <c r="G747" s="6" t="n">
        <f aca="false">Sens!G744+Sens!G746</f>
        <v>196.995177764216</v>
      </c>
      <c r="H747" s="6" t="n">
        <f aca="false">Sens!H744+Sens!H746</f>
        <v>224.918210503252</v>
      </c>
      <c r="I747" s="6" t="n">
        <f aca="false">Sens!I744+Sens!I746</f>
        <v>246.457933279903</v>
      </c>
      <c r="J747" s="6" t="n">
        <f aca="false">Sens!J744+Sens!J746</f>
        <v>266.09591279035</v>
      </c>
      <c r="K747" s="6" t="n">
        <f aca="false">Sens!K744+Sens!K746</f>
        <v>285.114159029103</v>
      </c>
    </row>
    <row r="748" customFormat="false" ht="15" hidden="false" customHeight="false" outlineLevel="0" collapsed="false">
      <c r="A748" s="23" t="s">
        <v>914</v>
      </c>
      <c r="B748" s="30" t="s">
        <v>98</v>
      </c>
      <c r="C748" s="30"/>
      <c r="D748" s="24" t="n">
        <f aca="false">Sens!D747-Q!L23</f>
        <v>0</v>
      </c>
      <c r="E748" s="24" t="n">
        <f aca="false">Sens!E747-Q!M23</f>
        <v>0</v>
      </c>
      <c r="F748" s="30"/>
      <c r="G748" s="30"/>
      <c r="H748" s="30"/>
      <c r="I748" s="30"/>
      <c r="J748" s="30"/>
      <c r="K748" s="30"/>
    </row>
    <row r="749" customFormat="false" ht="15" hidden="false" customHeight="false" outlineLevel="0" collapsed="false">
      <c r="A749" s="1" t="s">
        <v>915</v>
      </c>
      <c r="B749" s="0" t="s">
        <v>129</v>
      </c>
      <c r="D749" s="7" t="n">
        <f aca="false">Sens!D747/Sens!D740</f>
        <v>0.456219562408598</v>
      </c>
      <c r="E749" s="7" t="n">
        <f aca="false">Sens!E747/Sens!E740</f>
        <v>0.467808184089272</v>
      </c>
      <c r="F749" s="7" t="n">
        <f aca="false">Sens!F747/Sens!F740</f>
        <v>0.435827217551184</v>
      </c>
      <c r="G749" s="7" t="n">
        <f aca="false">Sens!G747/Sens!G740</f>
        <v>0.413498669850846</v>
      </c>
      <c r="H749" s="7" t="n">
        <f aca="false">Sens!H747/Sens!H740</f>
        <v>0.399673241576937</v>
      </c>
      <c r="I749" s="7" t="n">
        <f aca="false">Sens!I747/Sens!I740</f>
        <v>0.386793758731663</v>
      </c>
      <c r="J749" s="7" t="n">
        <f aca="false">Sens!J747/Sens!J740</f>
        <v>0.381161890220537</v>
      </c>
      <c r="K749" s="7" t="n">
        <f aca="false">Sens!K747/Sens!K740</f>
        <v>0.381152692264403</v>
      </c>
    </row>
    <row r="750" customFormat="false" ht="17.15" hidden="false" customHeight="false" outlineLevel="0" collapsed="false">
      <c r="A750" s="1" t="s">
        <v>916</v>
      </c>
      <c r="B750" s="0" t="s">
        <v>98</v>
      </c>
      <c r="F750" s="6" t="n">
        <f aca="false">Sens!F765</f>
        <v>8.44248444763781</v>
      </c>
      <c r="G750" s="6" t="n">
        <f aca="false">Sens!G765</f>
        <v>21.3653222817508</v>
      </c>
      <c r="H750" s="6" t="n">
        <f aca="false">Sens!H765</f>
        <v>35.8221390663856</v>
      </c>
      <c r="I750" s="6" t="n">
        <f aca="false">Sens!I765</f>
        <v>49.3691841492478</v>
      </c>
      <c r="J750" s="6" t="n">
        <f aca="false">Sens!J765</f>
        <v>59.0322720639359</v>
      </c>
      <c r="K750" s="6" t="n">
        <f aca="false">Sens!K765</f>
        <v>64.2195097796802</v>
      </c>
      <c r="L750" s="1" t="s">
        <v>917</v>
      </c>
    </row>
    <row r="751" customFormat="false" ht="17.15" hidden="false" customHeight="false" outlineLevel="0" collapsed="false">
      <c r="A751" s="1" t="s">
        <v>918</v>
      </c>
      <c r="B751" s="0" t="s">
        <v>98</v>
      </c>
      <c r="D751" s="6" t="n">
        <f aca="false">Sens!D747</f>
        <v>128.528</v>
      </c>
      <c r="E751" s="6" t="n">
        <f aca="false">Sens!E747</f>
        <v>155.237</v>
      </c>
      <c r="F751" s="6" t="n">
        <f aca="false">Sens!F747+Sens!F750</f>
        <v>180.927928441451</v>
      </c>
      <c r="G751" s="6" t="n">
        <f aca="false">Sens!G747+Sens!G750</f>
        <v>218.360500045967</v>
      </c>
      <c r="H751" s="6" t="n">
        <f aca="false">Sens!H747+Sens!H750</f>
        <v>260.740349569638</v>
      </c>
      <c r="I751" s="6" t="n">
        <f aca="false">Sens!I747+Sens!I750</f>
        <v>295.827117429151</v>
      </c>
      <c r="J751" s="6" t="n">
        <f aca="false">Sens!J747+Sens!J750</f>
        <v>325.128184854286</v>
      </c>
      <c r="K751" s="6" t="n">
        <f aca="false">Sens!K747+Sens!K750</f>
        <v>349.333668808783</v>
      </c>
    </row>
    <row r="752" customFormat="false" ht="17.15" hidden="false" customHeight="false" outlineLevel="0" collapsed="false">
      <c r="A752" s="1" t="s">
        <v>919</v>
      </c>
      <c r="B752" s="0" t="s">
        <v>98</v>
      </c>
      <c r="E752" s="6" t="n">
        <f aca="false">Sens!E695</f>
        <v>16.3054059770833</v>
      </c>
      <c r="F752" s="6" t="n">
        <f aca="false">Sens!F695</f>
        <v>34.0498873809555</v>
      </c>
      <c r="G752" s="6" t="n">
        <f aca="false">Sens!G695</f>
        <v>59.1254371105111</v>
      </c>
      <c r="H752" s="6" t="n">
        <f aca="false">Sens!H695</f>
        <v>86.3610198433111</v>
      </c>
      <c r="I752" s="6" t="n">
        <f aca="false">Sens!I695</f>
        <v>110.605743832393</v>
      </c>
      <c r="J752" s="6" t="n">
        <f aca="false">Sens!J695</f>
        <v>127.998322852843</v>
      </c>
      <c r="K752" s="6" t="n">
        <f aca="false">Sens!K695</f>
        <v>139.131464044308</v>
      </c>
    </row>
    <row r="753" customFormat="false" ht="17.15" hidden="false" customHeight="false" outlineLevel="0" collapsed="false">
      <c r="A753" s="1" t="s">
        <v>920</v>
      </c>
      <c r="B753" s="0" t="s">
        <v>98</v>
      </c>
      <c r="E753" s="6" t="n">
        <f aca="false">Sens!E777</f>
        <v>22.2285940229167</v>
      </c>
      <c r="F753" s="6" t="n">
        <f aca="false">Sens!F777</f>
        <v>24.3924470334783</v>
      </c>
      <c r="G753" s="6" t="n">
        <f aca="false">Sens!G777</f>
        <v>26.1134916871694</v>
      </c>
      <c r="H753" s="6" t="n">
        <f aca="false">Sens!H777</f>
        <v>28.2582938828615</v>
      </c>
      <c r="I753" s="6" t="n">
        <f aca="false">Sens!I777</f>
        <v>30.7498045257397</v>
      </c>
      <c r="J753" s="6" t="n">
        <f aca="false">Sens!J777</f>
        <v>33.4954153982031</v>
      </c>
      <c r="K753" s="6" t="n">
        <f aca="false">Sens!K777</f>
        <v>36.4102441325822</v>
      </c>
    </row>
    <row r="754" customFormat="false" ht="17.15" hidden="false" customHeight="false" outlineLevel="0" collapsed="false">
      <c r="A754" s="1" t="s">
        <v>921</v>
      </c>
      <c r="B754" s="0" t="s">
        <v>98</v>
      </c>
      <c r="D754" s="6" t="n">
        <f aca="false">Q!L27</f>
        <v>-4.901</v>
      </c>
      <c r="E754" s="6" t="n">
        <f aca="false">Q!M27</f>
        <v>10.697</v>
      </c>
      <c r="F754" s="6" t="n">
        <f aca="false">oie_f</f>
        <v>-0.4</v>
      </c>
      <c r="G754" s="6" t="n">
        <f aca="false">oie_f</f>
        <v>-0.4</v>
      </c>
      <c r="H754" s="6" t="n">
        <f aca="false">oie_f</f>
        <v>-0.4</v>
      </c>
      <c r="I754" s="6" t="n">
        <f aca="false">oie_f</f>
        <v>-0.4</v>
      </c>
      <c r="J754" s="6" t="n">
        <f aca="false">oie_f</f>
        <v>-0.4</v>
      </c>
      <c r="K754" s="6" t="n">
        <f aca="false">oie_f</f>
        <v>-0.4</v>
      </c>
      <c r="L754" s="11" t="s">
        <v>922</v>
      </c>
    </row>
    <row r="755" customFormat="false" ht="15" hidden="false" customHeight="false" outlineLevel="0" collapsed="false">
      <c r="A755" s="1" t="s">
        <v>923</v>
      </c>
      <c r="B755" s="0" t="s">
        <v>98</v>
      </c>
      <c r="D755" s="6" t="n">
        <f aca="false">Sens!D747+Sens!D754</f>
        <v>123.627</v>
      </c>
      <c r="E755" s="6" t="n">
        <f aca="false">Sens!E747+Sens!E754</f>
        <v>165.934</v>
      </c>
      <c r="F755" s="6" t="n">
        <f aca="false">Sens!F747+Sens!F754</f>
        <v>172.085443993814</v>
      </c>
      <c r="G755" s="6" t="n">
        <f aca="false">Sens!G747+Sens!G754</f>
        <v>196.595177764216</v>
      </c>
      <c r="H755" s="6" t="n">
        <f aca="false">Sens!H747+Sens!H754</f>
        <v>224.518210503252</v>
      </c>
      <c r="I755" s="6" t="n">
        <f aca="false">Sens!I747+Sens!I754</f>
        <v>246.057933279903</v>
      </c>
      <c r="J755" s="6" t="n">
        <f aca="false">Sens!J747+Sens!J754</f>
        <v>265.69591279035</v>
      </c>
      <c r="K755" s="6" t="n">
        <f aca="false">Sens!K747+Sens!K754</f>
        <v>284.714159029103</v>
      </c>
    </row>
    <row r="756" customFormat="false" ht="15" hidden="false" customHeight="false" outlineLevel="0" collapsed="false">
      <c r="A756" s="1" t="s">
        <v>924</v>
      </c>
      <c r="B756" s="0" t="s">
        <v>98</v>
      </c>
      <c r="D756" s="6" t="n">
        <f aca="false">Q!L29</f>
        <v>21.795</v>
      </c>
      <c r="E756" s="6" t="n">
        <f aca="false">Q!M29</f>
        <v>32.185</v>
      </c>
      <c r="F756" s="6" t="n">
        <f aca="false">Sens!F755*tax_f</f>
        <v>34.4170887987627</v>
      </c>
      <c r="G756" s="6" t="n">
        <f aca="false">Sens!G755*tax_f</f>
        <v>39.3190355528433</v>
      </c>
      <c r="H756" s="6" t="n">
        <f aca="false">Sens!H755*tax_f</f>
        <v>44.9036421006504</v>
      </c>
      <c r="I756" s="6" t="n">
        <f aca="false">Sens!I755*tax_f</f>
        <v>49.2115866559806</v>
      </c>
      <c r="J756" s="6" t="n">
        <f aca="false">Sens!J755*tax_f</f>
        <v>53.1391825580699</v>
      </c>
      <c r="K756" s="6" t="n">
        <f aca="false">Sens!K755*tax_f</f>
        <v>56.9428318058205</v>
      </c>
    </row>
    <row r="757" customFormat="false" ht="15" hidden="false" customHeight="false" outlineLevel="0" collapsed="false">
      <c r="A757" s="1" t="s">
        <v>925</v>
      </c>
      <c r="B757" s="0" t="s">
        <v>98</v>
      </c>
      <c r="D757" s="6" t="n">
        <f aca="false">Sens!D755-Sens!D756</f>
        <v>101.832</v>
      </c>
      <c r="E757" s="6" t="n">
        <f aca="false">Sens!E755-Sens!E756</f>
        <v>133.749</v>
      </c>
      <c r="F757" s="6" t="n">
        <f aca="false">Sens!F755-Sens!F756</f>
        <v>137.668355195051</v>
      </c>
      <c r="G757" s="6" t="n">
        <f aca="false">Sens!G755-Sens!G756</f>
        <v>157.276142211373</v>
      </c>
      <c r="H757" s="6" t="n">
        <f aca="false">Sens!H755-Sens!H756</f>
        <v>179.614568402602</v>
      </c>
      <c r="I757" s="6" t="n">
        <f aca="false">Sens!I755-Sens!I756</f>
        <v>196.846346623922</v>
      </c>
      <c r="J757" s="6" t="n">
        <f aca="false">Sens!J755-Sens!J756</f>
        <v>212.55673023228</v>
      </c>
      <c r="K757" s="6" t="n">
        <f aca="false">Sens!K755-Sens!K756</f>
        <v>227.771327223282</v>
      </c>
    </row>
    <row r="758" customFormat="false" ht="17.15" hidden="false" customHeight="false" outlineLevel="0" collapsed="false">
      <c r="A758" s="1" t="s">
        <v>926</v>
      </c>
      <c r="B758" s="1" t="s">
        <v>81</v>
      </c>
      <c r="D758" s="14" t="n">
        <f aca="false">Q!L31</f>
        <v>7.465</v>
      </c>
      <c r="E758" s="14" t="n">
        <f aca="false">Q!M31</f>
        <v>7.453</v>
      </c>
      <c r="F758" s="14" t="n">
        <f aca="false">Sens!F801</f>
        <v>7.4735</v>
      </c>
      <c r="G758" s="14" t="n">
        <f aca="false">Sens!G801</f>
        <v>7.5185</v>
      </c>
      <c r="H758" s="14" t="n">
        <f aca="false">Sens!H801</f>
        <v>7.54625158584995</v>
      </c>
      <c r="I758" s="14" t="n">
        <f aca="false">Sens!I801</f>
        <v>7.55803241785726</v>
      </c>
      <c r="J758" s="14" t="n">
        <f aca="false">Sens!J801</f>
        <v>7.57227392897515</v>
      </c>
      <c r="K758" s="14" t="n">
        <f aca="false">Sens!K801</f>
        <v>7.58879384667689</v>
      </c>
    </row>
    <row r="759" customFormat="false" ht="17.15" hidden="false" customHeight="false" outlineLevel="0" collapsed="false">
      <c r="A759" s="0" t="s">
        <v>927</v>
      </c>
      <c r="B759" s="0" t="s">
        <v>75</v>
      </c>
      <c r="D759" s="8" t="n">
        <f aca="false">Sens!D757/Sens!D758</f>
        <v>13.641259209645</v>
      </c>
      <c r="E759" s="8" t="n">
        <f aca="false">Sens!E757/Sens!E758</f>
        <v>17.9456594659869</v>
      </c>
      <c r="F759" s="8" t="n">
        <f aca="false">Sens!F757/Sens!F758</f>
        <v>18.4208677587544</v>
      </c>
      <c r="G759" s="8" t="n">
        <f aca="false">Sens!G757/Sens!G758</f>
        <v>20.9185531969639</v>
      </c>
      <c r="H759" s="8" t="n">
        <f aca="false">Sens!H757/Sens!H758</f>
        <v>23.8018261595464</v>
      </c>
      <c r="I759" s="8" t="n">
        <f aca="false">Sens!I757/Sens!I758</f>
        <v>26.0446549764508</v>
      </c>
      <c r="J759" s="8" t="n">
        <f aca="false">Sens!J757/Sens!J758</f>
        <v>28.0703963203095</v>
      </c>
      <c r="K759" s="8" t="n">
        <f aca="false">Sens!K757/Sens!K758</f>
        <v>30.0141671819195</v>
      </c>
      <c r="L759" s="1" t="s">
        <v>928</v>
      </c>
    </row>
    <row r="760" customFormat="false" ht="17.15" hidden="false" customHeight="false" outlineLevel="0" collapsed="false">
      <c r="A760" s="1" t="s">
        <v>929</v>
      </c>
      <c r="B760" s="0" t="s">
        <v>98</v>
      </c>
      <c r="D760" s="6" t="n">
        <f aca="false">Sens!D757</f>
        <v>101.832</v>
      </c>
      <c r="E760" s="6" t="n">
        <f aca="false">Sens!E757</f>
        <v>133.749</v>
      </c>
      <c r="F760" s="6" t="n">
        <f aca="false">Sens!F757+Sens!F750*(1-tax_f)</f>
        <v>144.422342753161</v>
      </c>
      <c r="G760" s="6" t="n">
        <f aca="false">Sens!G757+Sens!G750*(1-tax_f)</f>
        <v>174.368400036774</v>
      </c>
      <c r="H760" s="6" t="n">
        <f aca="false">Sens!H757+Sens!H750*(1-tax_f)</f>
        <v>208.27227965571</v>
      </c>
      <c r="I760" s="6" t="n">
        <f aca="false">Sens!I757+Sens!I750*(1-tax_f)</f>
        <v>236.341693943321</v>
      </c>
      <c r="J760" s="6" t="n">
        <f aca="false">Sens!J757+Sens!J750*(1-tax_f)</f>
        <v>259.782547883429</v>
      </c>
      <c r="K760" s="6" t="n">
        <f aca="false">Sens!K757+Sens!K750*(1-tax_f)</f>
        <v>279.146935047026</v>
      </c>
    </row>
    <row r="761" customFormat="false" ht="17.15" hidden="false" customHeight="false" outlineLevel="0" collapsed="false">
      <c r="A761" s="0" t="s">
        <v>930</v>
      </c>
      <c r="B761" s="0" t="s">
        <v>75</v>
      </c>
      <c r="D761" s="8" t="n">
        <f aca="false">Sens!D760/Sens!D758</f>
        <v>13.641259209645</v>
      </c>
      <c r="E761" s="8" t="n">
        <f aca="false">Sens!E760/Sens!E758</f>
        <v>17.9456594659869</v>
      </c>
      <c r="F761" s="8" t="n">
        <f aca="false">Sens!F760/Sens!F758</f>
        <v>19.3245925942545</v>
      </c>
      <c r="G761" s="8" t="n">
        <f aca="false">Sens!G760/Sens!G758</f>
        <v>23.1919132854657</v>
      </c>
      <c r="H761" s="8" t="n">
        <f aca="false">Sens!H760/Sens!H758</f>
        <v>27.5994349361799</v>
      </c>
      <c r="I761" s="8" t="n">
        <f aca="false">Sens!I760/Sens!I758</f>
        <v>31.2702672966736</v>
      </c>
      <c r="J761" s="8" t="n">
        <f aca="false">Sens!J760/Sens!J758</f>
        <v>34.3070721318435</v>
      </c>
      <c r="K761" s="8" t="n">
        <f aca="false">Sens!K760/Sens!K758</f>
        <v>36.7840978008994</v>
      </c>
      <c r="L761" s="1" t="s">
        <v>931</v>
      </c>
    </row>
    <row r="762" customFormat="false" ht="17.15" hidden="false" customHeight="false" outlineLevel="0" collapsed="false">
      <c r="A762" s="0" t="s">
        <v>932</v>
      </c>
      <c r="B762" s="0" t="s">
        <v>129</v>
      </c>
      <c r="E762" s="7" t="n">
        <f aca="false">Sens!E761/Sens!D761-1</f>
        <v>0.315542736208578</v>
      </c>
      <c r="F762" s="7" t="n">
        <f aca="false">Sens!F761/Sens!E761-1</f>
        <v>0.0768393678081996</v>
      </c>
      <c r="G762" s="7" t="n">
        <f aca="false">Sens!G761/Sens!F761-1</f>
        <v>0.200124306494357</v>
      </c>
      <c r="H762" s="7" t="n">
        <f aca="false">Sens!H761/Sens!G761-1</f>
        <v>0.190045624803039</v>
      </c>
      <c r="I762" s="7" t="n">
        <f aca="false">Sens!I761/Sens!H761-1</f>
        <v>0.133003895513875</v>
      </c>
      <c r="J762" s="7" t="n">
        <f aca="false">Sens!J761/Sens!I761-1</f>
        <v>0.0971147706016893</v>
      </c>
      <c r="K762" s="7" t="n">
        <f aca="false">Sens!K761/Sens!J761-1</f>
        <v>0.0722016049500396</v>
      </c>
    </row>
    <row r="763" customFormat="false" ht="17.15" hidden="false" customHeight="false" outlineLevel="0" collapsed="false">
      <c r="A763" s="0" t="s">
        <v>856</v>
      </c>
      <c r="B763" s="0" t="s">
        <v>98</v>
      </c>
      <c r="E763" s="6" t="n">
        <f aca="false">Sens!E704</f>
        <v>5.25</v>
      </c>
      <c r="F763" s="6" t="n">
        <f aca="false">Sens!F704</f>
        <v>13.5</v>
      </c>
      <c r="G763" s="6" t="n">
        <f aca="false">Sens!G704</f>
        <v>22.5</v>
      </c>
      <c r="H763" s="6" t="n">
        <f aca="false">Sens!H704</f>
        <v>31.5</v>
      </c>
      <c r="I763" s="6" t="n">
        <f aca="false">Sens!I704</f>
        <v>38.25</v>
      </c>
      <c r="J763" s="6" t="n">
        <f aca="false">Sens!J704</f>
        <v>42.75</v>
      </c>
      <c r="K763" s="6" t="n">
        <f aca="false">Sens!K704</f>
        <v>47.25</v>
      </c>
    </row>
    <row r="764" customFormat="false" ht="17.15" hidden="false" customHeight="false" outlineLevel="0" collapsed="false">
      <c r="A764" s="1" t="s">
        <v>857</v>
      </c>
      <c r="B764" s="0" t="s">
        <v>98</v>
      </c>
      <c r="F764" s="6" t="n">
        <f aca="false">MAX(0,((Sens!E667+Sens!F667)/2-(shadow_base*(Sens!$D$667+Sens!$E$667)/2+(1-shadow_base)*Sens!$E$667))*Sens!F675/1000-(Sens!F763-Sens!$E$763)*Sens!F743)</f>
        <v>8.44248444763781</v>
      </c>
      <c r="G764" s="6" t="n">
        <f aca="false">MAX(0,((Sens!F667+Sens!G667)/2-(shadow_base*(Sens!$D$667+Sens!$E$667)/2+(1-shadow_base)*Sens!$E$667))*Sens!G675/1000-(Sens!G763-Sens!$E$763)*Sens!G743)</f>
        <v>21.3653222817508</v>
      </c>
      <c r="H764" s="6" t="n">
        <f aca="false">MAX(0,((Sens!G667+Sens!H667)/2-(shadow_base*(Sens!$D$667+Sens!$E$667)/2+(1-shadow_base)*Sens!$E$667))*Sens!H675/1000-(Sens!H763-Sens!$E$763)*Sens!H743)</f>
        <v>35.8221390663856</v>
      </c>
      <c r="I764" s="6" t="n">
        <f aca="false">MAX(0,((Sens!H667+Sens!I667)/2-(shadow_base*(Sens!$D$667+Sens!$E$667)/2+(1-shadow_base)*Sens!$E$667))*Sens!I675/1000-(Sens!I763-Sens!$E$763)*Sens!I743)</f>
        <v>49.3691841492478</v>
      </c>
      <c r="J764" s="6" t="n">
        <f aca="false">MAX(0,((Sens!I667+Sens!J667)/2-(shadow_base*(Sens!$D$667+Sens!$E$667)/2+(1-shadow_base)*Sens!$E$667))*Sens!J675/1000-(Sens!J763-Sens!$E$763)*Sens!J743)</f>
        <v>59.0322720639359</v>
      </c>
      <c r="K764" s="6" t="n">
        <f aca="false">MAX(0,((Sens!J667+Sens!K667)/2-(shadow_base*(Sens!$D$667+Sens!$E$667)/2+(1-shadow_base)*Sens!$E$667))*Sens!K675/1000-(Sens!K763-Sens!$E$763)*Sens!K743)</f>
        <v>64.2195097796802</v>
      </c>
      <c r="L764" s="1" t="s">
        <v>858</v>
      </c>
    </row>
    <row r="765" customFormat="false" ht="17.15" hidden="false" customHeight="false" outlineLevel="0" collapsed="false">
      <c r="A765" s="1" t="s">
        <v>859</v>
      </c>
      <c r="B765" s="0" t="s">
        <v>98</v>
      </c>
      <c r="F765" s="6" t="n">
        <f aca="false">IF(internal_ai_reading=2,1,0)*Sens!F764</f>
        <v>8.44248444763781</v>
      </c>
      <c r="G765" s="6" t="n">
        <f aca="false">IF(internal_ai_reading=2,1,0)*Sens!G764</f>
        <v>21.3653222817508</v>
      </c>
      <c r="H765" s="6" t="n">
        <f aca="false">IF(internal_ai_reading=2,1,0)*Sens!H764</f>
        <v>35.8221390663856</v>
      </c>
      <c r="I765" s="6" t="n">
        <f aca="false">IF(internal_ai_reading=2,1,0)*Sens!I764</f>
        <v>49.3691841492478</v>
      </c>
      <c r="J765" s="6" t="n">
        <f aca="false">IF(internal_ai_reading=2,1,0)*Sens!J764</f>
        <v>59.0322720639359</v>
      </c>
      <c r="K765" s="6" t="n">
        <f aca="false">IF(internal_ai_reading=2,1,0)*Sens!K764</f>
        <v>64.2195097796802</v>
      </c>
    </row>
    <row r="766" customFormat="false" ht="17.15" hidden="false" customHeight="false" outlineLevel="0" collapsed="false">
      <c r="A766" s="0" t="s">
        <v>860</v>
      </c>
      <c r="B766" s="0" t="s">
        <v>98</v>
      </c>
      <c r="F766" s="6" t="n">
        <f aca="false">Sens!F684+Sens!F763*Sens!F743+Sens!F765-Sens!F685-Sens!F695</f>
        <v>9.88558127319134</v>
      </c>
      <c r="G766" s="6" t="n">
        <f aca="false">Sens!G684+Sens!G763*Sens!G743+Sens!G765-Sens!G685-Sens!G695</f>
        <v>27.5677334005686</v>
      </c>
      <c r="H766" s="6" t="n">
        <f aca="false">Sens!H684+Sens!H763*Sens!H743+Sens!H765-Sens!H685-Sens!H695</f>
        <v>49.8846280328146</v>
      </c>
      <c r="I766" s="6" t="n">
        <f aca="false">Sens!I684+Sens!I763*Sens!I743+Sens!I765-Sens!I685-Sens!I695</f>
        <v>65.2867345292287</v>
      </c>
      <c r="J766" s="6" t="n">
        <f aca="false">Sens!J684+Sens!J763*Sens!J743+Sens!J765-Sens!J685-Sens!J695</f>
        <v>76.0494254297475</v>
      </c>
      <c r="K766" s="6" t="n">
        <f aca="false">Sens!K684+Sens!K763*Sens!K743+Sens!K765-Sens!K685-Sens!K695</f>
        <v>83.6532618179697</v>
      </c>
    </row>
    <row r="767" customFormat="false" ht="17.15" hidden="false" customHeight="false" outlineLevel="0" collapsed="false">
      <c r="A767" s="0" t="s">
        <v>861</v>
      </c>
      <c r="B767" s="0" t="s">
        <v>98</v>
      </c>
      <c r="E767" s="6" t="n">
        <f aca="false">Sens!E666*(cxit_open+self_build*tk_cxfac)/1000*ai_net_open</f>
        <v>126.6980382</v>
      </c>
      <c r="F767" s="6" t="n">
        <f aca="false">Sens!E767+Sens!F692-Sens!F695</f>
        <v>252.981026690511</v>
      </c>
      <c r="G767" s="6" t="n">
        <f aca="false">Sens!F767+Sens!G692-Sens!G695</f>
        <v>377.4297700632</v>
      </c>
      <c r="H767" s="6" t="n">
        <f aca="false">Sens!G767+Sens!H692-Sens!H695</f>
        <v>479.149036130289</v>
      </c>
      <c r="I767" s="6" t="n">
        <f aca="false">Sens!H767+Sens!I692-Sens!I695</f>
        <v>532.249961452141</v>
      </c>
      <c r="J767" s="6" t="n">
        <f aca="false">Sens!I767+Sens!J692-Sens!J695</f>
        <v>531.43307519354</v>
      </c>
      <c r="K767" s="6" t="n">
        <f aca="false">Sens!J767+Sens!K692-Sens!K695</f>
        <v>513.709026452823</v>
      </c>
      <c r="L767" s="1" t="s">
        <v>862</v>
      </c>
    </row>
    <row r="768" customFormat="false" ht="17.15" hidden="false" customHeight="false" outlineLevel="0" collapsed="false">
      <c r="A768" s="0" t="s">
        <v>863</v>
      </c>
      <c r="B768" s="0" t="s">
        <v>129</v>
      </c>
      <c r="F768" s="7" t="n">
        <f aca="false">Sens!F766*(1-tax_f)/((Sens!E767+Sens!F767)/2)</f>
        <v>0.0416586836086612</v>
      </c>
      <c r="G768" s="7" t="n">
        <f aca="false">Sens!G766*(1-tax_f)/((Sens!F767+Sens!G767)/2)</f>
        <v>0.0699676681745379</v>
      </c>
      <c r="H768" s="7" t="n">
        <f aca="false">Sens!H766*(1-tax_f)/((Sens!G767+Sens!H767)/2)</f>
        <v>0.0931792898392984</v>
      </c>
      <c r="I768" s="7" t="n">
        <f aca="false">Sens!I766*(1-tax_f)/((Sens!H767+Sens!I767)/2)</f>
        <v>0.103281470019701</v>
      </c>
      <c r="J768" s="7" t="n">
        <f aca="false">Sens!J766*(1-tax_f)/((Sens!I767+Sens!J767)/2)</f>
        <v>0.114394116005939</v>
      </c>
      <c r="K768" s="7" t="n">
        <f aca="false">Sens!K766*(1-tax_f)/((Sens!J767+Sens!K767)/2)</f>
        <v>0.128064134721883</v>
      </c>
    </row>
    <row r="769" customFormat="false" ht="17.15" hidden="false" customHeight="false" outlineLevel="0" collapsed="false">
      <c r="A769" s="1" t="s">
        <v>864</v>
      </c>
      <c r="B769" s="0" t="s">
        <v>129</v>
      </c>
      <c r="F769" s="7" t="n">
        <f aca="false">(Sens!F766-Sens!F765)*(1-tax_f)/((Sens!E767+Sens!F767)/2)</f>
        <v>0.0060813332479932</v>
      </c>
      <c r="G769" s="7" t="n">
        <f aca="false">(Sens!G766-Sens!G765)*(1-tax_f)/((Sens!F767+Sens!G767)/2)</f>
        <v>0.015741890591359</v>
      </c>
      <c r="H769" s="7" t="n">
        <f aca="false">(Sens!H766-Sens!H765)*(1-tax_f)/((Sens!G767+Sens!H767)/2)</f>
        <v>0.0262672648256067</v>
      </c>
      <c r="I769" s="7" t="n">
        <f aca="false">(Sens!I766-Sens!I765)*(1-tax_f)/((Sens!H767+Sens!I767)/2)</f>
        <v>0.0251810419714143</v>
      </c>
      <c r="J769" s="7" t="n">
        <f aca="false">(Sens!J766-Sens!J765)*(1-tax_f)/((Sens!I767+Sens!J767)/2)</f>
        <v>0.0255973296999829</v>
      </c>
      <c r="K769" s="7" t="n">
        <f aca="false">(Sens!K766-Sens!K765)*(1-tax_f)/((Sens!J767+Sens!K767)/2)</f>
        <v>0.0297509814333211</v>
      </c>
    </row>
    <row r="770" customFormat="false" ht="17.15" hidden="false" customHeight="false" outlineLevel="0" collapsed="false">
      <c r="A770" s="1" t="s">
        <v>865</v>
      </c>
      <c r="B770" s="0" t="s">
        <v>129</v>
      </c>
      <c r="F770" s="7" t="n">
        <f aca="false">(Sens!F766-Sens!F765+Sens!F764)*(1-tax_f)/((Sens!E767+Sens!F767)/2)</f>
        <v>0.0416586836086612</v>
      </c>
      <c r="G770" s="7" t="n">
        <f aca="false">(Sens!G766-Sens!G765+Sens!G764)*(1-tax_f)/((Sens!F767+Sens!G767)/2)</f>
        <v>0.0699676681745379</v>
      </c>
      <c r="H770" s="7" t="n">
        <f aca="false">(Sens!H766-Sens!H765+Sens!H764)*(1-tax_f)/((Sens!G767+Sens!H767)/2)</f>
        <v>0.0931792898392984</v>
      </c>
      <c r="I770" s="7" t="n">
        <f aca="false">(Sens!I766-Sens!I765+Sens!I764)*(1-tax_f)/((Sens!H767+Sens!I767)/2)</f>
        <v>0.103281470019701</v>
      </c>
      <c r="J770" s="7" t="n">
        <f aca="false">(Sens!J766-Sens!J765+Sens!J764)*(1-tax_f)/((Sens!I767+Sens!J767)/2)</f>
        <v>0.114394116005939</v>
      </c>
      <c r="K770" s="7" t="n">
        <f aca="false">(Sens!K766-Sens!K765+Sens!K764)*(1-tax_f)/((Sens!J767+Sens!K767)/2)</f>
        <v>0.128064134721883</v>
      </c>
    </row>
    <row r="771" customFormat="false" ht="17.15" hidden="false" customHeight="false" outlineLevel="0" collapsed="false">
      <c r="A771" s="1" t="s">
        <v>866</v>
      </c>
      <c r="B771" s="0" t="s">
        <v>129</v>
      </c>
      <c r="F771" s="7" t="n">
        <f aca="false">Sens!F696*(1-tax_f)/(Sens!F683*(Sens!E767+Sens!F767)/2)</f>
        <v>0.0975424378171843</v>
      </c>
      <c r="G771" s="7" t="n">
        <f aca="false">Sens!G696*(1-tax_f)/(Sens!G683*(Sens!F767+Sens!G767)/2)</f>
        <v>0.117555840881462</v>
      </c>
      <c r="H771" s="7" t="n">
        <f aca="false">Sens!H696*(1-tax_f)/(Sens!H683*(Sens!G767+Sens!H767)/2)</f>
        <v>0.142847867263972</v>
      </c>
      <c r="I771" s="7" t="n">
        <f aca="false">Sens!I696*(1-tax_f)/(Sens!I683*(Sens!H767+Sens!I767)/2)</f>
        <v>0.151510484549286</v>
      </c>
      <c r="J771" s="7" t="n">
        <f aca="false">Sens!J696*(1-tax_f)/(Sens!J683*(Sens!I767+Sens!J767)/2)</f>
        <v>0.164455917137554</v>
      </c>
      <c r="K771" s="7" t="n">
        <f aca="false">Sens!K696*(1-tax_f)/(Sens!K683*(Sens!J767+Sens!K767)/2)</f>
        <v>0.182205413793571</v>
      </c>
    </row>
    <row r="772" customFormat="false" ht="17.15" hidden="false" customHeight="false" outlineLevel="0" collapsed="false">
      <c r="A772" s="0" t="s">
        <v>867</v>
      </c>
      <c r="B772" s="0" t="s">
        <v>209</v>
      </c>
      <c r="F772" s="7" t="n">
        <f aca="false">Sens!F768-wacc</f>
        <v>-0.0612757364842146</v>
      </c>
      <c r="G772" s="7" t="n">
        <f aca="false">Sens!G768-wacc</f>
        <v>-0.0329667519183379</v>
      </c>
      <c r="H772" s="7" t="n">
        <f aca="false">Sens!H768-wacc</f>
        <v>-0.0097551302535773</v>
      </c>
      <c r="I772" s="7" t="n">
        <f aca="false">Sens!I768-wacc</f>
        <v>0.000347049926825743</v>
      </c>
      <c r="J772" s="7" t="n">
        <f aca="false">Sens!J768-wacc</f>
        <v>0.0114596959130637</v>
      </c>
      <c r="K772" s="7" t="n">
        <f aca="false">Sens!K768-wacc</f>
        <v>0.025129714629007</v>
      </c>
    </row>
    <row r="773" customFormat="false" ht="17.15" hidden="false" customHeight="false" outlineLevel="0" collapsed="false">
      <c r="A773" s="0" t="s">
        <v>868</v>
      </c>
      <c r="B773" s="0" t="s">
        <v>98</v>
      </c>
      <c r="F773" s="6" t="n">
        <f aca="false">Sens!F766*(1-tax_f)-wacc*(Sens!E767+Sens!F767)/2</f>
        <v>-11.632557164402</v>
      </c>
      <c r="G773" s="6" t="n">
        <f aca="false">Sens!G766*(1-tax_f)-wacc*(Sens!F767+Sens!G767)/2</f>
        <v>-10.3912981716107</v>
      </c>
      <c r="H773" s="6" t="n">
        <f aca="false">Sens!H766*(1-tax_f)-wacc*(Sens!G767+Sens!H767)/2</f>
        <v>-4.17801891343562</v>
      </c>
      <c r="I773" s="6" t="n">
        <f aca="false">Sens!I766*(1-tax_f)-wacc*(Sens!H767+Sens!I767)/2</f>
        <v>0.175502974051312</v>
      </c>
      <c r="J773" s="6" t="n">
        <f aca="false">Sens!J766*(1-tax_f)-wacc*(Sens!I767+Sens!J767)/2</f>
        <v>6.09474207392185</v>
      </c>
      <c r="K773" s="6" t="n">
        <f aca="false">Sens!K766*(1-tax_f)-wacc*(Sens!J767+Sens!K767)/2</f>
        <v>13.1320613805669</v>
      </c>
    </row>
    <row r="774" customFormat="false" ht="17.15" hidden="false" customHeight="false" outlineLevel="0" collapsed="false">
      <c r="A774" s="3" t="s">
        <v>1280</v>
      </c>
    </row>
    <row r="775" customFormat="false" ht="15" hidden="false" customHeight="false" outlineLevel="0" collapsed="false">
      <c r="A775" s="4" t="s">
        <v>43</v>
      </c>
      <c r="B775" s="4" t="s">
        <v>65</v>
      </c>
      <c r="C775" s="20" t="s">
        <v>799</v>
      </c>
      <c r="D775" s="20" t="s">
        <v>800</v>
      </c>
      <c r="E775" s="20" t="s">
        <v>801</v>
      </c>
      <c r="F775" s="20" t="s">
        <v>802</v>
      </c>
      <c r="G775" s="20" t="s">
        <v>803</v>
      </c>
      <c r="H775" s="20" t="s">
        <v>804</v>
      </c>
      <c r="I775" s="20" t="s">
        <v>805</v>
      </c>
      <c r="J775" s="20" t="s">
        <v>806</v>
      </c>
      <c r="K775" s="20" t="s">
        <v>807</v>
      </c>
      <c r="L775" s="4" t="s">
        <v>47</v>
      </c>
    </row>
    <row r="776" customFormat="false" ht="15" hidden="false" customHeight="false" outlineLevel="0" collapsed="false">
      <c r="A776" s="1" t="s">
        <v>925</v>
      </c>
      <c r="B776" s="0" t="s">
        <v>98</v>
      </c>
      <c r="F776" s="6" t="n">
        <f aca="false">Sens!F757</f>
        <v>137.668355195051</v>
      </c>
      <c r="G776" s="6" t="n">
        <f aca="false">Sens!G757</f>
        <v>157.276142211373</v>
      </c>
      <c r="H776" s="6" t="n">
        <f aca="false">Sens!H757</f>
        <v>179.614568402602</v>
      </c>
      <c r="I776" s="6" t="n">
        <f aca="false">Sens!I757</f>
        <v>196.846346623922</v>
      </c>
      <c r="J776" s="6" t="n">
        <f aca="false">Sens!J757</f>
        <v>212.55673023228</v>
      </c>
      <c r="K776" s="6" t="n">
        <f aca="false">Sens!K757</f>
        <v>227.771327223282</v>
      </c>
    </row>
    <row r="777" customFormat="false" ht="17.15" hidden="false" customHeight="false" outlineLevel="0" collapsed="false">
      <c r="A777" s="1" t="s">
        <v>947</v>
      </c>
      <c r="B777" s="0" t="s">
        <v>98</v>
      </c>
      <c r="E777" s="6" t="n">
        <f aca="false">Q!M38-Sens!E695</f>
        <v>22.2285940229167</v>
      </c>
      <c r="F777" s="6" t="n">
        <f aca="false">Sens!E777*(1-1/life_nonai)+(Sens!F784+Sens!F785)/life_nonai</f>
        <v>24.3924470334783</v>
      </c>
      <c r="G777" s="6" t="n">
        <f aca="false">Sens!F777*(1-1/life_nonai)+(Sens!G784)/life_nonai</f>
        <v>26.1134916871694</v>
      </c>
      <c r="H777" s="6" t="n">
        <f aca="false">Sens!G777*(1-1/life_nonai)+(Sens!H784)/life_nonai</f>
        <v>28.2582938828615</v>
      </c>
      <c r="I777" s="6" t="n">
        <f aca="false">Sens!H777*(1-1/life_nonai)+(Sens!I784)/life_nonai</f>
        <v>30.7498045257397</v>
      </c>
      <c r="J777" s="6" t="n">
        <f aca="false">Sens!I777*(1-1/life_nonai)+(Sens!J784)/life_nonai</f>
        <v>33.4954153982031</v>
      </c>
      <c r="K777" s="6" t="n">
        <f aca="false">Sens!J777*(1-1/life_nonai)+(Sens!K784)/life_nonai</f>
        <v>36.4102441325822</v>
      </c>
      <c r="L777" s="11" t="s">
        <v>948</v>
      </c>
    </row>
    <row r="778" customFormat="false" ht="17.15" hidden="false" customHeight="false" outlineLevel="0" collapsed="false">
      <c r="A778" s="1" t="s">
        <v>949</v>
      </c>
      <c r="B778" s="0" t="s">
        <v>98</v>
      </c>
      <c r="F778" s="6" t="n">
        <f aca="false">Sens!$F$785/life_nonai*(1-1/life_nonai)^(Sens!F661-2027)</f>
        <v>0.813777689897088</v>
      </c>
      <c r="G778" s="6" t="n">
        <f aca="false">Sens!$F$785/life_nonai*(1-1/life_nonai)^(Sens!G661-2027)</f>
        <v>0.73239992090738</v>
      </c>
      <c r="H778" s="6" t="n">
        <f aca="false">Sens!$F$785/life_nonai*(1-1/life_nonai)^(Sens!H661-2027)</f>
        <v>0.659159928816642</v>
      </c>
      <c r="I778" s="6" t="n">
        <f aca="false">Sens!$F$785/life_nonai*(1-1/life_nonai)^(Sens!I661-2027)</f>
        <v>0.593243935934978</v>
      </c>
      <c r="J778" s="6" t="n">
        <f aca="false">Sens!$F$785/life_nonai*(1-1/life_nonai)^(Sens!J661-2027)</f>
        <v>0.53391954234148</v>
      </c>
      <c r="K778" s="6" t="n">
        <f aca="false">Sens!$F$785/life_nonai*(1-1/life_nonai)^(Sens!K661-2027)</f>
        <v>0.480527588107332</v>
      </c>
      <c r="L778" s="1" t="s">
        <v>950</v>
      </c>
    </row>
    <row r="779" customFormat="false" ht="17.15" hidden="false" customHeight="false" outlineLevel="0" collapsed="false">
      <c r="A779" s="1" t="s">
        <v>951</v>
      </c>
      <c r="B779" s="0" t="s">
        <v>98</v>
      </c>
      <c r="E779" s="6" t="n">
        <f aca="false">Sens!E695+Sens!E777</f>
        <v>38.534</v>
      </c>
      <c r="F779" s="6" t="n">
        <f aca="false">Sens!F695+Sens!F777</f>
        <v>58.4423344144339</v>
      </c>
      <c r="G779" s="6" t="n">
        <f aca="false">Sens!G695+Sens!G777</f>
        <v>85.2389287976805</v>
      </c>
      <c r="H779" s="6" t="n">
        <f aca="false">Sens!H695+Sens!H777</f>
        <v>114.619313726173</v>
      </c>
      <c r="I779" s="6" t="n">
        <f aca="false">Sens!I695+Sens!I777</f>
        <v>141.355548358132</v>
      </c>
      <c r="J779" s="6" t="n">
        <f aca="false">Sens!J695+Sens!J777</f>
        <v>161.493738251046</v>
      </c>
      <c r="K779" s="6" t="n">
        <f aca="false">Sens!K695+Sens!K777</f>
        <v>175.54170817689</v>
      </c>
    </row>
    <row r="780" customFormat="false" ht="17.15" hidden="false" customHeight="false" outlineLevel="0" collapsed="false">
      <c r="A780" s="1" t="s">
        <v>952</v>
      </c>
      <c r="B780" s="0" t="s">
        <v>98</v>
      </c>
      <c r="F780" s="6" t="n">
        <f aca="false">Sens!F722*sbc_r</f>
        <v>14.7947436672886</v>
      </c>
      <c r="G780" s="6" t="n">
        <f aca="false">Sens!G722*sbc_r</f>
        <v>17.809462853504</v>
      </c>
      <c r="H780" s="6" t="n">
        <f aca="false">Sens!H722*sbc_r</f>
        <v>21.037246186377</v>
      </c>
      <c r="I780" s="6" t="n">
        <f aca="false">Sens!I722*sbc_r</f>
        <v>23.8195025415232</v>
      </c>
      <c r="J780" s="6" t="n">
        <f aca="false">Sens!J722*sbc_r</f>
        <v>26.0974500203537</v>
      </c>
      <c r="K780" s="6" t="n">
        <f aca="false">Sens!K722*sbc_r</f>
        <v>27.9633459874169</v>
      </c>
    </row>
    <row r="781" customFormat="false" ht="17.15" hidden="false" customHeight="false" outlineLevel="0" collapsed="false">
      <c r="A781" s="1" t="s">
        <v>953</v>
      </c>
      <c r="B781" s="0" t="s">
        <v>98</v>
      </c>
      <c r="F781" s="6" t="n">
        <f aca="false">wc27</f>
        <v>-4.895</v>
      </c>
      <c r="G781" s="6" t="n">
        <f aca="false">wc_f</f>
        <v>0</v>
      </c>
      <c r="H781" s="6" t="n">
        <f aca="false">wc_f</f>
        <v>0</v>
      </c>
      <c r="I781" s="6" t="n">
        <f aca="false">wc_f</f>
        <v>0</v>
      </c>
      <c r="J781" s="6" t="n">
        <f aca="false">wc_f</f>
        <v>0</v>
      </c>
      <c r="K781" s="6" t="n">
        <f aca="false">wc_f</f>
        <v>0</v>
      </c>
      <c r="L781" s="11" t="s">
        <v>954</v>
      </c>
    </row>
    <row r="782" customFormat="false" ht="15" hidden="false" customHeight="false" outlineLevel="0" collapsed="false">
      <c r="A782" s="1" t="s">
        <v>767</v>
      </c>
      <c r="B782" s="0" t="s">
        <v>98</v>
      </c>
      <c r="E782" s="6" t="n">
        <f aca="false">Q!M35</f>
        <v>182.935</v>
      </c>
      <c r="F782" s="6" t="n">
        <f aca="false">Sens!F776+Sens!F779+Sens!F780+Sens!F781</f>
        <v>206.010433276773</v>
      </c>
      <c r="G782" s="6" t="n">
        <f aca="false">Sens!G776+Sens!G779+Sens!G780+Sens!G781</f>
        <v>260.324533862558</v>
      </c>
      <c r="H782" s="6" t="n">
        <f aca="false">Sens!H776+Sens!H779+Sens!H780+Sens!H781</f>
        <v>315.271128315151</v>
      </c>
      <c r="I782" s="6" t="n">
        <f aca="false">Sens!I776+Sens!I779+Sens!I780+Sens!I781</f>
        <v>362.021397523578</v>
      </c>
      <c r="J782" s="6" t="n">
        <f aca="false">Sens!J776+Sens!J779+Sens!J780+Sens!J781</f>
        <v>400.14791850368</v>
      </c>
      <c r="K782" s="6" t="n">
        <f aca="false">Sens!K776+Sens!K779+Sens!K780+Sens!K781</f>
        <v>431.276381387589</v>
      </c>
    </row>
    <row r="783" customFormat="false" ht="17.15" hidden="false" customHeight="false" outlineLevel="0" collapsed="false">
      <c r="A783" s="0" t="s">
        <v>955</v>
      </c>
      <c r="B783" s="0" t="s">
        <v>98</v>
      </c>
      <c r="F783" s="6" t="n">
        <f aca="false">Sens!F692</f>
        <v>160.332875871467</v>
      </c>
      <c r="G783" s="6" t="n">
        <f aca="false">Sens!G692</f>
        <v>183.5741804832</v>
      </c>
      <c r="H783" s="6" t="n">
        <f aca="false">Sens!H692</f>
        <v>188.0802859104</v>
      </c>
      <c r="I783" s="6" t="n">
        <f aca="false">Sens!I692</f>
        <v>163.706669154245</v>
      </c>
      <c r="J783" s="6" t="n">
        <f aca="false">Sens!J692</f>
        <v>127.181436594242</v>
      </c>
      <c r="K783" s="6" t="n">
        <f aca="false">Sens!K692</f>
        <v>121.407415303591</v>
      </c>
    </row>
    <row r="784" customFormat="false" ht="17.15" hidden="false" customHeight="false" outlineLevel="0" collapsed="false">
      <c r="A784" s="1" t="s">
        <v>956</v>
      </c>
      <c r="B784" s="0" t="s">
        <v>98</v>
      </c>
      <c r="E784" s="6" t="n">
        <f aca="false">Sens!E700*cx_azo+Sens!E707*cx_m365+Sens!E708*cx_lic+(Sens!E710+Sens!E712)*cx_ind+Sens!E715*cx_srch+(Sens!E717+Sens!E719)*cx_dev</f>
        <v>30.1846587067718</v>
      </c>
      <c r="F784" s="6" t="n">
        <f aca="false">Sens!F700*cx_azo+Sens!F707*cx_m365+Sens!F708*cx_lic+(Sens!F710+Sens!F712)*cx_ind+Sens!F715*cx_srch+(Sens!F717+Sens!F719)*cx_dev</f>
        <v>35.7293472295625</v>
      </c>
      <c r="G784" s="6" t="n">
        <f aca="false">Sens!G700*cx_azo+Sens!G707*cx_m365+Sens!G708*cx_lic+(Sens!G710+Sens!G712)*cx_ind+Sens!G715*cx_srch+(Sens!G717+Sens!G719)*cx_dev</f>
        <v>41.6028935703892</v>
      </c>
      <c r="H784" s="6" t="n">
        <f aca="false">Sens!H700*cx_azo+Sens!H707*cx_m365+Sens!H708*cx_lic+(Sens!H710+Sens!H712)*cx_ind+Sens!H715*cx_srch+(Sens!H717+Sens!H719)*cx_dev</f>
        <v>47.5615136440897</v>
      </c>
      <c r="I784" s="6" t="n">
        <f aca="false">Sens!I700*cx_azo+Sens!I707*cx_m365+Sens!I708*cx_lic+(Sens!I710+Sens!I712)*cx_ind+Sens!I715*cx_srch+(Sens!I717+Sens!I719)*cx_dev</f>
        <v>53.1734003116439</v>
      </c>
      <c r="J784" s="6" t="n">
        <f aca="false">Sens!J700*cx_azo+Sens!J707*cx_m365+Sens!J708*cx_lic+(Sens!J710+Sens!J712)*cx_ind+Sens!J715*cx_srch+(Sens!J717+Sens!J719)*cx_dev</f>
        <v>58.2059132503738</v>
      </c>
      <c r="K784" s="6" t="n">
        <f aca="false">Sens!K700*cx_azo+Sens!K707*cx_m365+Sens!K708*cx_lic+(Sens!K710+Sens!K712)*cx_ind+Sens!K715*cx_srch+(Sens!K717+Sens!K719)*cx_dev</f>
        <v>62.643702741994</v>
      </c>
    </row>
    <row r="785" customFormat="false" ht="17.15" hidden="false" customHeight="false" outlineLevel="0" collapsed="false">
      <c r="A785" s="0" t="s">
        <v>957</v>
      </c>
      <c r="B785" s="0" t="s">
        <v>98</v>
      </c>
      <c r="F785" s="6" t="n">
        <f aca="false">Sens!F690</f>
        <v>8.13777689897088</v>
      </c>
      <c r="L785" s="1" t="s">
        <v>958</v>
      </c>
    </row>
    <row r="786" customFormat="false" ht="17.15" hidden="false" customHeight="false" outlineLevel="0" collapsed="false">
      <c r="A786" s="1" t="s">
        <v>959</v>
      </c>
      <c r="B786" s="0" t="s">
        <v>98</v>
      </c>
      <c r="E786" s="6" t="n">
        <f aca="false">Q!M42</f>
        <v>145.3</v>
      </c>
      <c r="F786" s="6" t="n">
        <f aca="false">Sens!F783+Sens!F784+Sens!F785</f>
        <v>204.2</v>
      </c>
      <c r="G786" s="6" t="n">
        <f aca="false">Sens!G783+Sens!G784</f>
        <v>225.177074053589</v>
      </c>
      <c r="H786" s="6" t="n">
        <f aca="false">Sens!H783+Sens!H784</f>
        <v>235.64179955449</v>
      </c>
      <c r="I786" s="6" t="n">
        <f aca="false">Sens!I783+Sens!I784</f>
        <v>216.880069465889</v>
      </c>
      <c r="J786" s="6" t="n">
        <f aca="false">Sens!J783+Sens!J784</f>
        <v>185.387349844616</v>
      </c>
      <c r="K786" s="6" t="n">
        <f aca="false">Sens!K783+Sens!K784</f>
        <v>184.051118045585</v>
      </c>
      <c r="L786" s="1" t="s">
        <v>960</v>
      </c>
    </row>
    <row r="787" customFormat="false" ht="15" hidden="false" customHeight="false" outlineLevel="0" collapsed="false">
      <c r="A787" s="1" t="s">
        <v>961</v>
      </c>
      <c r="B787" s="0" t="s">
        <v>98</v>
      </c>
      <c r="E787" s="6" t="n">
        <f aca="false">fl_liab</f>
        <v>66.594</v>
      </c>
      <c r="F787" s="6" t="n">
        <f aca="false">Sens!E787-Sens!F788</f>
        <v>62.46973</v>
      </c>
      <c r="G787" s="6" t="n">
        <f aca="false">Sens!F787-Sens!G788</f>
        <v>57.98686785</v>
      </c>
      <c r="H787" s="6" t="n">
        <f aca="false">Sens!G787-Sens!H788</f>
        <v>53.92827690325</v>
      </c>
      <c r="I787" s="6" t="n">
        <f aca="false">Sens!H787-Sens!I788</f>
        <v>49.7850493638962</v>
      </c>
      <c r="J787" s="6" t="n">
        <f aca="false">Sens!I787-Sens!J788</f>
        <v>45.4823765852716</v>
      </c>
      <c r="K787" s="6" t="n">
        <f aca="false">Sens!J787-Sens!K788</f>
        <v>40.9860835316088</v>
      </c>
    </row>
    <row r="788" customFormat="false" ht="15" hidden="false" customHeight="false" outlineLevel="0" collapsed="false">
      <c r="A788" s="1" t="s">
        <v>962</v>
      </c>
      <c r="B788" s="0" t="s">
        <v>98</v>
      </c>
      <c r="F788" s="6" t="n">
        <f aca="false">fl_pay_27-Sens!E787*fl_rate</f>
        <v>4.12427</v>
      </c>
      <c r="G788" s="6" t="n">
        <f aca="false">fl_pay_28-Sens!F787*fl_rate</f>
        <v>4.48286215</v>
      </c>
      <c r="H788" s="6" t="n">
        <f aca="false">fl_pay_29-Sens!G787*fl_rate</f>
        <v>4.05859094675</v>
      </c>
      <c r="I788" s="6" t="n">
        <f aca="false">fl_pay_30-Sens!H787*fl_rate</f>
        <v>4.14322753935375</v>
      </c>
      <c r="J788" s="6" t="n">
        <f aca="false">fl_pay_31-Sens!I787*fl_rate</f>
        <v>4.30267277862467</v>
      </c>
      <c r="K788" s="6" t="n">
        <f aca="false">fl_pay_32-Sens!J787*fl_rate</f>
        <v>4.49629305366278</v>
      </c>
    </row>
    <row r="789" customFormat="false" ht="17.15" hidden="false" customHeight="false" outlineLevel="0" collapsed="false">
      <c r="A789" s="1" t="s">
        <v>963</v>
      </c>
      <c r="B789" s="0" t="s">
        <v>98</v>
      </c>
      <c r="E789" s="6" t="n">
        <f aca="false">Q!M35-Q!M36-Q!M43</f>
        <v>63.886</v>
      </c>
      <c r="F789" s="6" t="n">
        <f aca="false">Sens!F782-Sens!F786-Sens!F788</f>
        <v>-2.31383672322673</v>
      </c>
      <c r="G789" s="6" t="n">
        <f aca="false">Sens!G782-Sens!G786-Sens!G788</f>
        <v>30.6645976589684</v>
      </c>
      <c r="H789" s="6" t="n">
        <f aca="false">Sens!H782-Sens!H786-Sens!H788</f>
        <v>75.5707378139117</v>
      </c>
      <c r="I789" s="6" t="n">
        <f aca="false">Sens!I782-Sens!I786-Sens!I788</f>
        <v>140.998100518335</v>
      </c>
      <c r="J789" s="6" t="n">
        <f aca="false">Sens!J782-Sens!J786-Sens!J788</f>
        <v>210.457895880439</v>
      </c>
      <c r="K789" s="6" t="n">
        <f aca="false">Sens!K782-Sens!K786-Sens!K788</f>
        <v>242.728970288342</v>
      </c>
      <c r="L789" s="11" t="s">
        <v>964</v>
      </c>
    </row>
    <row r="790" customFormat="false" ht="15" hidden="false" customHeight="false" outlineLevel="0" collapsed="false">
      <c r="A790" s="1" t="s">
        <v>965</v>
      </c>
      <c r="B790" s="0" t="s">
        <v>75</v>
      </c>
      <c r="F790" s="8" t="n">
        <f aca="false">dps_27</f>
        <v>3.85</v>
      </c>
      <c r="G790" s="8" t="n">
        <f aca="false">Sens!F790*(1+dps_g)</f>
        <v>4.158</v>
      </c>
      <c r="H790" s="8" t="n">
        <f aca="false">Sens!G790*(1+dps_g)</f>
        <v>4.49064</v>
      </c>
      <c r="I790" s="8" t="n">
        <f aca="false">Sens!H790*(1+dps_g)</f>
        <v>4.8498912</v>
      </c>
      <c r="J790" s="8" t="n">
        <f aca="false">Sens!I790*(1+dps_g)</f>
        <v>5.237882496</v>
      </c>
      <c r="K790" s="8" t="n">
        <f aca="false">Sens!J790*(1+dps_g)</f>
        <v>5.65691309568</v>
      </c>
    </row>
    <row r="791" customFormat="false" ht="17.15" hidden="false" customHeight="false" outlineLevel="0" collapsed="false">
      <c r="A791" s="1" t="s">
        <v>966</v>
      </c>
      <c r="B791" s="0" t="s">
        <v>98</v>
      </c>
      <c r="E791" s="6" t="n">
        <f aca="false">Q!M41</f>
        <v>26.445</v>
      </c>
      <c r="F791" s="6" t="n">
        <f aca="false">Sens!F790*Sens!E800</f>
        <v>28.59395</v>
      </c>
      <c r="G791" s="6" t="n">
        <f aca="false">Sens!G790*Sens!F800</f>
        <v>31.068576</v>
      </c>
      <c r="H791" s="6" t="n">
        <f aca="false">Sens!H790*Sens!G800</f>
        <v>33.75614088</v>
      </c>
      <c r="I791" s="6" t="n">
        <f aca="false">Sens!I790*Sens!H800</f>
        <v>36.5075713903995</v>
      </c>
      <c r="J791" s="6" t="n">
        <f aca="false">Sens!J790*Sens!I800</f>
        <v>39.4965759499509</v>
      </c>
      <c r="K791" s="6" t="n">
        <f aca="false">Sens!K790*Sens!J800</f>
        <v>42.743557251252</v>
      </c>
      <c r="L791" s="1" t="s">
        <v>967</v>
      </c>
    </row>
    <row r="792" customFormat="false" ht="15" hidden="false" customHeight="false" outlineLevel="0" collapsed="false">
      <c r="A792" s="1" t="s">
        <v>968</v>
      </c>
      <c r="B792" s="0" t="s">
        <v>98</v>
      </c>
      <c r="E792" s="6" t="n">
        <f aca="false">Sens!E789-Sens!E791</f>
        <v>37.441</v>
      </c>
      <c r="F792" s="6" t="n">
        <f aca="false">Sens!F789-Sens!F791</f>
        <v>-30.9077867232267</v>
      </c>
      <c r="G792" s="6" t="n">
        <f aca="false">Sens!G789-Sens!G791</f>
        <v>-0.403978341031607</v>
      </c>
      <c r="H792" s="6" t="n">
        <f aca="false">Sens!H789-Sens!H791</f>
        <v>41.8145969339117</v>
      </c>
      <c r="I792" s="6" t="n">
        <f aca="false">Sens!I789-Sens!I791</f>
        <v>104.490529127935</v>
      </c>
      <c r="J792" s="6" t="n">
        <f aca="false">Sens!J789-Sens!J791</f>
        <v>170.961319930488</v>
      </c>
      <c r="K792" s="6" t="n">
        <f aca="false">Sens!K789-Sens!K791</f>
        <v>199.98541303709</v>
      </c>
    </row>
    <row r="793" customFormat="false" ht="15" hidden="false" customHeight="false" outlineLevel="0" collapsed="false">
      <c r="A793" s="1" t="s">
        <v>969</v>
      </c>
      <c r="B793" s="0" t="s">
        <v>98</v>
      </c>
      <c r="F793" s="6" t="n">
        <f aca="false">debt_mat_27</f>
        <v>9.25</v>
      </c>
      <c r="G793" s="6" t="n">
        <f aca="false">debt_mat_28</f>
        <v>0</v>
      </c>
      <c r="H793" s="6" t="n">
        <f aca="false">debt_mat_29</f>
        <v>2.001</v>
      </c>
      <c r="I793" s="6" t="n">
        <f aca="false">debt_mat_30</f>
        <v>0</v>
      </c>
      <c r="J793" s="6" t="n">
        <f aca="false">debt_mat_31</f>
        <v>0.5</v>
      </c>
      <c r="K793" s="6" t="n">
        <f aca="false">debt_mat_32</f>
        <v>0</v>
      </c>
    </row>
    <row r="794" customFormat="false" ht="15" hidden="false" customHeight="false" outlineLevel="0" collapsed="false">
      <c r="A794" s="1" t="s">
        <v>970</v>
      </c>
      <c r="B794" s="0" t="s">
        <v>98</v>
      </c>
      <c r="E794" s="6" t="n">
        <f aca="false">Q!M40</f>
        <v>22.271</v>
      </c>
      <c r="F794" s="6" t="n">
        <f aca="false">MAX(0,MIN(bb_target,Sens!E796+Sens!F792-Sens!F793-min_cash))</f>
        <v>0</v>
      </c>
      <c r="G794" s="6" t="n">
        <f aca="false">MAX(0,MIN(bb_target,Sens!F796+Sens!G792-Sens!G793-min_cash))</f>
        <v>0</v>
      </c>
      <c r="H794" s="6" t="n">
        <f aca="false">MAX(0,MIN(bb_target,Sens!G796+Sens!H792-Sens!H793-min_cash))</f>
        <v>22.271</v>
      </c>
      <c r="I794" s="6" t="n">
        <f aca="false">MAX(0,MIN(bb_target,Sens!H796+Sens!I792-Sens!I793-min_cash))</f>
        <v>22.271</v>
      </c>
      <c r="J794" s="6" t="n">
        <f aca="false">MAX(0,MIN(bb_target,Sens!I796+Sens!J792-Sens!J793-min_cash))</f>
        <v>22.271</v>
      </c>
      <c r="K794" s="6" t="n">
        <f aca="false">MAX(0,MIN(bb_target,Sens!J796+Sens!K792-Sens!K793-min_cash))</f>
        <v>22.271</v>
      </c>
    </row>
    <row r="795" customFormat="false" ht="15" hidden="false" customHeight="false" outlineLevel="0" collapsed="false">
      <c r="A795" s="1" t="s">
        <v>971</v>
      </c>
      <c r="B795" s="0" t="s">
        <v>98</v>
      </c>
      <c r="F795" s="6" t="n">
        <f aca="false">MAX(0,min_cash-(Sens!E796+Sens!F792-Sens!F793-Sens!F794))</f>
        <v>13.3147867232267</v>
      </c>
      <c r="G795" s="6" t="n">
        <f aca="false">MAX(0,min_cash-(Sens!F796+Sens!G792-Sens!G793-Sens!G794))</f>
        <v>0.403978341031603</v>
      </c>
      <c r="H795" s="6" t="n">
        <f aca="false">MAX(0,min_cash-(Sens!G796+Sens!H792-Sens!H793-Sens!H794))</f>
        <v>0</v>
      </c>
      <c r="I795" s="6" t="n">
        <f aca="false">MAX(0,min_cash-(Sens!H796+Sens!I792-Sens!I793-Sens!I794))</f>
        <v>0</v>
      </c>
      <c r="J795" s="6" t="n">
        <f aca="false">MAX(0,min_cash-(Sens!I796+Sens!J792-Sens!J793-Sens!J794))</f>
        <v>0</v>
      </c>
      <c r="K795" s="6" t="n">
        <f aca="false">MAX(0,min_cash-(Sens!J796+Sens!K792-Sens!K793-Sens!K794))</f>
        <v>0</v>
      </c>
    </row>
    <row r="796" customFormat="false" ht="15" hidden="false" customHeight="false" outlineLevel="0" collapsed="false">
      <c r="A796" s="1" t="s">
        <v>972</v>
      </c>
      <c r="B796" s="0" t="s">
        <v>98</v>
      </c>
      <c r="E796" s="6" t="n">
        <f aca="false">cash_open</f>
        <v>76.843</v>
      </c>
      <c r="F796" s="6" t="n">
        <f aca="false">Sens!E796+Sens!F792-Sens!F793-Sens!F794+Sens!F795</f>
        <v>50</v>
      </c>
      <c r="G796" s="6" t="n">
        <f aca="false">Sens!F796+Sens!G792-Sens!G793-Sens!G794+Sens!G795</f>
        <v>50</v>
      </c>
      <c r="H796" s="6" t="n">
        <f aca="false">Sens!G796+Sens!H792-Sens!H793-Sens!H794+Sens!H795</f>
        <v>67.5425969339117</v>
      </c>
      <c r="I796" s="6" t="n">
        <f aca="false">Sens!H796+Sens!I792-Sens!I793-Sens!I794+Sens!I795</f>
        <v>149.762126061847</v>
      </c>
      <c r="J796" s="6" t="n">
        <f aca="false">Sens!I796+Sens!J792-Sens!J793-Sens!J794+Sens!J795</f>
        <v>297.952445992336</v>
      </c>
      <c r="K796" s="6" t="n">
        <f aca="false">Sens!J796+Sens!K792-Sens!K793-Sens!K794+Sens!K795</f>
        <v>475.666859029425</v>
      </c>
    </row>
    <row r="797" customFormat="false" ht="15" hidden="false" customHeight="false" outlineLevel="0" collapsed="false">
      <c r="A797" s="1" t="s">
        <v>973</v>
      </c>
      <c r="B797" s="0" t="s">
        <v>98</v>
      </c>
      <c r="E797" s="6" t="n">
        <f aca="false">debt_face</f>
        <v>46.136</v>
      </c>
      <c r="F797" s="6" t="n">
        <f aca="false">Sens!E797-Sens!F793+Sens!F795</f>
        <v>50.2007867232267</v>
      </c>
      <c r="G797" s="6" t="n">
        <f aca="false">Sens!F797-Sens!G793+Sens!G795</f>
        <v>50.6047650642583</v>
      </c>
      <c r="H797" s="6" t="n">
        <f aca="false">Sens!G797-Sens!H793+Sens!H795</f>
        <v>48.6037650642583</v>
      </c>
      <c r="I797" s="6" t="n">
        <f aca="false">Sens!H797-Sens!I793+Sens!I795</f>
        <v>48.6037650642583</v>
      </c>
      <c r="J797" s="6" t="n">
        <f aca="false">Sens!I797-Sens!J793+Sens!J795</f>
        <v>48.1037650642583</v>
      </c>
      <c r="K797" s="6" t="n">
        <f aca="false">Sens!J797-Sens!K793+Sens!K795</f>
        <v>48.1037650642583</v>
      </c>
    </row>
    <row r="798" customFormat="false" ht="15" hidden="false" customHeight="false" outlineLevel="0" collapsed="false">
      <c r="A798" s="1" t="s">
        <v>974</v>
      </c>
      <c r="B798" s="0" t="s">
        <v>98</v>
      </c>
      <c r="E798" s="6" t="n">
        <f aca="false">Sens!E796-Sens!E797</f>
        <v>30.707</v>
      </c>
      <c r="F798" s="6" t="n">
        <f aca="false">Sens!F796-Sens!F797</f>
        <v>-0.200786723226734</v>
      </c>
      <c r="G798" s="6" t="n">
        <f aca="false">Sens!G796-Sens!G797</f>
        <v>-0.604765064258338</v>
      </c>
      <c r="H798" s="6" t="n">
        <f aca="false">Sens!H796-Sens!H797</f>
        <v>18.9388318696533</v>
      </c>
      <c r="I798" s="6" t="n">
        <f aca="false">Sens!I796-Sens!I797</f>
        <v>101.158360997589</v>
      </c>
      <c r="J798" s="6" t="n">
        <f aca="false">Sens!J796-Sens!J797</f>
        <v>249.848680928077</v>
      </c>
      <c r="K798" s="6" t="n">
        <f aca="false">Sens!K796-Sens!K797</f>
        <v>427.563093965167</v>
      </c>
    </row>
    <row r="799" customFormat="false" ht="15" hidden="false" customHeight="false" outlineLevel="0" collapsed="false">
      <c r="A799" s="1" t="s">
        <v>975</v>
      </c>
      <c r="B799" s="0" t="s">
        <v>75</v>
      </c>
      <c r="F799" s="29" t="n">
        <f aca="false">px*(1+bb_g)^(Sens!F661-base_fy-mid_yr)</f>
        <v>553.494156066711</v>
      </c>
      <c r="G799" s="29" t="n">
        <f aca="false">px*(1+bb_g)^(Sens!G661-base_fy-mid_yr)</f>
        <v>597.773688552047</v>
      </c>
      <c r="H799" s="29" t="n">
        <f aca="false">px*(1+bb_g)^(Sens!H661-base_fy-mid_yr)</f>
        <v>645.595583636211</v>
      </c>
      <c r="I799" s="29" t="n">
        <f aca="false">px*(1+bb_g)^(Sens!I661-base_fy-mid_yr)</f>
        <v>697.243230327108</v>
      </c>
      <c r="J799" s="29" t="n">
        <f aca="false">px*(1+bb_g)^(Sens!J661-base_fy-mid_yr)</f>
        <v>753.022688753277</v>
      </c>
      <c r="K799" s="29" t="n">
        <f aca="false">px*(1+bb_g)^(Sens!K661-base_fy-mid_yr)</f>
        <v>813.264503853539</v>
      </c>
    </row>
    <row r="800" customFormat="false" ht="15" hidden="false" customHeight="false" outlineLevel="0" collapsed="false">
      <c r="A800" s="1" t="s">
        <v>976</v>
      </c>
      <c r="B800" s="1" t="s">
        <v>81</v>
      </c>
      <c r="E800" s="14" t="n">
        <f aca="false">sh_out26</f>
        <v>7.427</v>
      </c>
      <c r="F800" s="14" t="n">
        <f aca="false">Sens!E800+sh_iss-Sens!F794/Sens!F799</f>
        <v>7.472</v>
      </c>
      <c r="G800" s="14" t="n">
        <f aca="false">Sens!F800+sh_iss-Sens!G794/Sens!G799</f>
        <v>7.517</v>
      </c>
      <c r="H800" s="14" t="n">
        <f aca="false">Sens!G800+sh_iss-Sens!H794/Sens!H799</f>
        <v>7.5275031716999</v>
      </c>
      <c r="I800" s="14" t="n">
        <f aca="false">Sens!H800+sh_iss-Sens!I794/Sens!I799</f>
        <v>7.54056166401463</v>
      </c>
      <c r="J800" s="14" t="n">
        <f aca="false">Sens!I800+sh_iss-Sens!J794/Sens!J799</f>
        <v>7.55598619393567</v>
      </c>
      <c r="K800" s="14" t="n">
        <f aca="false">Sens!J800+sh_iss-Sens!K794/Sens!K799</f>
        <v>7.57360149941811</v>
      </c>
    </row>
    <row r="801" customFormat="false" ht="15" hidden="false" customHeight="false" outlineLevel="0" collapsed="false">
      <c r="A801" s="1" t="s">
        <v>977</v>
      </c>
      <c r="B801" s="1" t="s">
        <v>81</v>
      </c>
      <c r="E801" s="14" t="n">
        <f aca="false">sh_dil26</f>
        <v>7.453</v>
      </c>
      <c r="F801" s="14" t="n">
        <f aca="false">(Sens!E800+Sens!F800)/2+dil_gap</f>
        <v>7.4735</v>
      </c>
      <c r="G801" s="14" t="n">
        <f aca="false">(Sens!F800+Sens!G800)/2+dil_gap</f>
        <v>7.5185</v>
      </c>
      <c r="H801" s="14" t="n">
        <f aca="false">(Sens!G800+Sens!H800)/2+dil_gap</f>
        <v>7.54625158584995</v>
      </c>
      <c r="I801" s="14" t="n">
        <f aca="false">(Sens!H800+Sens!I800)/2+dil_gap</f>
        <v>7.55803241785726</v>
      </c>
      <c r="J801" s="14" t="n">
        <f aca="false">(Sens!I800+Sens!J800)/2+dil_gap</f>
        <v>7.57227392897515</v>
      </c>
      <c r="K801" s="14" t="n">
        <f aca="false">(Sens!J800+Sens!K800)/2+dil_gap</f>
        <v>7.58879384667689</v>
      </c>
    </row>
    <row r="802" customFormat="false" ht="17.15" hidden="false" customHeight="false" outlineLevel="0" collapsed="false">
      <c r="A802" s="1" t="s">
        <v>978</v>
      </c>
      <c r="B802" s="0" t="s">
        <v>98</v>
      </c>
      <c r="C802" s="6" t="n">
        <f aca="false">SUM(Sens!F792:J792)</f>
        <v>285.954680928077</v>
      </c>
    </row>
    <row r="803" customFormat="false" ht="15" hidden="false" customHeight="false" outlineLevel="0" collapsed="false">
      <c r="A803" s="23" t="s">
        <v>945</v>
      </c>
      <c r="B803" s="30" t="s">
        <v>98</v>
      </c>
      <c r="C803" s="24" t="n">
        <f aca="false">Sens!$C$802-(Sens!F792+Sens!G792+Sens!H792+Sens!I792+Sens!J792)</f>
        <v>0</v>
      </c>
      <c r="D803" s="30"/>
      <c r="E803" s="30"/>
      <c r="F803" s="30"/>
      <c r="G803" s="30"/>
      <c r="H803" s="30"/>
      <c r="I803" s="30"/>
      <c r="J803" s="30"/>
      <c r="K803" s="30"/>
    </row>
    <row r="804" customFormat="false" ht="17.15" hidden="false" customHeight="false" outlineLevel="0" collapsed="false">
      <c r="A804" s="1" t="s">
        <v>939</v>
      </c>
      <c r="B804" s="1" t="s">
        <v>979</v>
      </c>
      <c r="C804" s="32" t="str">
        <f aca="false">IF(SUM(Sens!F795:J795)&gt;0.05,"需要舉債 "&amp;TEXT(SUM(Sens!F795:J795),"0.0")&amp;" 十億美元","不需舉債")&amp;"；"&amp;IF(SUM(Sens!F794:J794)&lt;COUNT(Sens!F794:J794)*bb_target-0.05,"回購較每年 "&amp;TEXT(bb_target,"0.0")&amp;" 的目標少 "&amp;TEXT(COUNT(Sens!F794:J794)*bb_target-SUM(Sens!F794:J794),"0.0")&amp;" 十億美元（"&amp;TEXT(COUNTIF(Sens!F794:J794,"&lt;"&amp;(bb_target-0.05)),"0")&amp;" 年減少）","回購不減")</f>
        <v>需要舉債 13.7 十億美元；回購較每年 22.3 的目標少 44.5 十億美元（2 年減少）</v>
      </c>
    </row>
    <row r="805" customFormat="false" ht="17.15" hidden="false" customHeight="false" outlineLevel="0" collapsed="false">
      <c r="A805" s="3" t="s">
        <v>1281</v>
      </c>
    </row>
    <row r="806" customFormat="false" ht="15" hidden="false" customHeight="false" outlineLevel="0" collapsed="false">
      <c r="A806" s="4" t="s">
        <v>43</v>
      </c>
      <c r="B806" s="4" t="s">
        <v>65</v>
      </c>
      <c r="C806" s="20" t="s">
        <v>799</v>
      </c>
      <c r="D806" s="20" t="s">
        <v>800</v>
      </c>
      <c r="E806" s="20" t="s">
        <v>801</v>
      </c>
      <c r="F806" s="20" t="s">
        <v>802</v>
      </c>
      <c r="G806" s="20" t="s">
        <v>803</v>
      </c>
      <c r="H806" s="20" t="s">
        <v>804</v>
      </c>
      <c r="I806" s="20" t="s">
        <v>805</v>
      </c>
      <c r="J806" s="20" t="s">
        <v>806</v>
      </c>
      <c r="K806" s="20" t="s">
        <v>807</v>
      </c>
      <c r="L806" s="4" t="s">
        <v>47</v>
      </c>
    </row>
    <row r="807" customFormat="false" ht="15" hidden="false" customHeight="false" outlineLevel="0" collapsed="false">
      <c r="A807" s="1" t="s">
        <v>1057</v>
      </c>
      <c r="B807" s="1" t="s">
        <v>235</v>
      </c>
      <c r="F807" s="36" t="n">
        <f aca="false">Sens!F661-base_fy-mid_yr</f>
        <v>0.5</v>
      </c>
      <c r="G807" s="36" t="n">
        <f aca="false">Sens!G661-base_fy-mid_yr</f>
        <v>1.5</v>
      </c>
      <c r="H807" s="36" t="n">
        <f aca="false">Sens!H661-base_fy-mid_yr</f>
        <v>2.5</v>
      </c>
      <c r="I807" s="36" t="n">
        <f aca="false">Sens!I661-base_fy-mid_yr</f>
        <v>3.5</v>
      </c>
      <c r="J807" s="36" t="n">
        <f aca="false">Sens!J661-base_fy-mid_yr</f>
        <v>4.5</v>
      </c>
      <c r="K807" s="36" t="n">
        <f aca="false">Sens!K661-base_fy-mid_yr</f>
        <v>5.5</v>
      </c>
    </row>
    <row r="808" customFormat="false" ht="15" hidden="false" customHeight="false" outlineLevel="0" collapsed="false">
      <c r="A808" s="1" t="s">
        <v>1058</v>
      </c>
      <c r="B808" s="0" t="s">
        <v>185</v>
      </c>
      <c r="F808" s="14" t="n">
        <f aca="false">1/(1+wacc)^Sens!F807</f>
        <v>0.952193373608246</v>
      </c>
      <c r="G808" s="14" t="n">
        <f aca="false">1/(1+wacc)^Sens!G807</f>
        <v>0.863327280626589</v>
      </c>
      <c r="H808" s="14" t="n">
        <f aca="false">1/(1+wacc)^Sens!H807</f>
        <v>0.782754862754115</v>
      </c>
      <c r="I808" s="14" t="n">
        <f aca="false">1/(1+wacc)^Sens!I807</f>
        <v>0.709702089711011</v>
      </c>
      <c r="J808" s="14" t="n">
        <f aca="false">1/(1+wacc)^Sens!J807</f>
        <v>0.643467169744551</v>
      </c>
      <c r="K808" s="14" t="n">
        <f aca="false">1/(1+wacc)^Sens!K807</f>
        <v>0.583413807767797</v>
      </c>
    </row>
    <row r="809" customFormat="false" ht="17.15" hidden="false" customHeight="false" outlineLevel="0" collapsed="false">
      <c r="A809" s="1" t="s">
        <v>1059</v>
      </c>
      <c r="B809" s="0" t="s">
        <v>98</v>
      </c>
      <c r="F809" s="6" t="n">
        <f aca="false">Sens!F782-Sens!F780-Sens!F786+Sens!F765*(1-tax_f)</f>
        <v>-6.23032283240505</v>
      </c>
      <c r="G809" s="6" t="n">
        <f aca="false">Sens!G782-Sens!G780-Sens!G786+Sens!G765*(1-tax_f)</f>
        <v>34.430254780865</v>
      </c>
      <c r="H809" s="6" t="n">
        <f aca="false">Sens!H782-Sens!H780-Sens!H786+Sens!H765*(1-tax_f)</f>
        <v>87.2497938273932</v>
      </c>
      <c r="I809" s="6" t="n">
        <f aca="false">Sens!I782-Sens!I780-Sens!I786+Sens!I765*(1-tax_f)</f>
        <v>160.817172835564</v>
      </c>
      <c r="J809" s="6" t="n">
        <f aca="false">Sens!J782-Sens!J780-Sens!J786+Sens!J765*(1-tax_f)</f>
        <v>235.888936289859</v>
      </c>
      <c r="K809" s="6" t="n">
        <f aca="false">Sens!K782-Sens!K780-Sens!K786+Sens!K765*(1-tax_f)</f>
        <v>270.637525178332</v>
      </c>
      <c r="L809" s="1" t="s">
        <v>1060</v>
      </c>
    </row>
    <row r="810" customFormat="false" ht="15" hidden="false" customHeight="false" outlineLevel="0" collapsed="false">
      <c r="A810" s="1" t="s">
        <v>1061</v>
      </c>
      <c r="B810" s="0" t="s">
        <v>98</v>
      </c>
      <c r="F810" s="6" t="n">
        <f aca="false">Sens!F809*Sens!F808</f>
        <v>-5.93247211645625</v>
      </c>
      <c r="G810" s="6" t="n">
        <f aca="false">Sens!G809*Sens!G808</f>
        <v>29.7245782312448</v>
      </c>
      <c r="H810" s="6" t="n">
        <f aca="false">Sens!H809*Sens!H808</f>
        <v>68.295200392686</v>
      </c>
      <c r="I810" s="6" t="n">
        <f aca="false">Sens!I809*Sens!I808</f>
        <v>114.132283622816</v>
      </c>
      <c r="J810" s="6" t="n">
        <f aca="false">Sens!J809*Sens!J808</f>
        <v>151.786786208488</v>
      </c>
      <c r="K810" s="6" t="n">
        <f aca="false">Sens!K809*Sens!K808</f>
        <v>157.893669089144</v>
      </c>
    </row>
    <row r="811" customFormat="false" ht="17.15" hidden="false" customHeight="false" outlineLevel="0" collapsed="false">
      <c r="A811" s="1" t="s">
        <v>1062</v>
      </c>
      <c r="B811" s="0" t="s">
        <v>98</v>
      </c>
      <c r="C811" s="6" t="n">
        <f aca="false">SUM(Sens!F810:K810)</f>
        <v>515.900045427923</v>
      </c>
    </row>
    <row r="812" customFormat="false" ht="17.15" hidden="false" customHeight="false" outlineLevel="0" collapsed="false">
      <c r="A812" s="1" t="s">
        <v>1063</v>
      </c>
      <c r="B812" s="0" t="s">
        <v>98</v>
      </c>
      <c r="C812" s="6" t="n">
        <f aca="false">Sens!K751*(1+g_tv)*(1-tax_f)</f>
        <v>287.850943098437</v>
      </c>
    </row>
    <row r="813" customFormat="false" ht="17.15" hidden="false" customHeight="false" outlineLevel="0" collapsed="false">
      <c r="A813" s="1" t="s">
        <v>1064</v>
      </c>
      <c r="B813" s="0" t="s">
        <v>98</v>
      </c>
      <c r="C813" s="6" t="n">
        <f aca="false">Sens!$C$812*(1-g_tv/(wacc+ronic_prem))</f>
        <v>203.95744775294</v>
      </c>
    </row>
    <row r="814" customFormat="false" ht="17.15" hidden="false" customHeight="false" outlineLevel="0" collapsed="false">
      <c r="A814" s="1" t="s">
        <v>1065</v>
      </c>
      <c r="B814" s="0" t="s">
        <v>98</v>
      </c>
      <c r="C814" s="6" t="n">
        <f aca="false">Sens!$C$813/(wacc-g_tv)</f>
        <v>2796.4498448499</v>
      </c>
    </row>
    <row r="815" customFormat="false" ht="15" hidden="false" customHeight="false" outlineLevel="0" collapsed="false">
      <c r="A815" s="1" t="s">
        <v>1066</v>
      </c>
      <c r="B815" s="0" t="s">
        <v>98</v>
      </c>
      <c r="C815" s="6" t="n">
        <f aca="false">Sens!$C$814/(1+wacc)^(Sens!K807+mid_yr)</f>
        <v>1553.49154112464</v>
      </c>
    </row>
    <row r="816" customFormat="false" ht="17.15" hidden="false" customHeight="false" outlineLevel="0" collapsed="false">
      <c r="A816" s="0" t="s">
        <v>986</v>
      </c>
      <c r="B816" s="0" t="s">
        <v>98</v>
      </c>
      <c r="C816" s="6" t="n">
        <f aca="false">Sens!$C$811+Sens!$C$815</f>
        <v>2069.39158655257</v>
      </c>
    </row>
    <row r="817" customFormat="false" ht="15" hidden="false" customHeight="false" outlineLevel="0" collapsed="false">
      <c r="A817" s="1" t="s">
        <v>987</v>
      </c>
      <c r="B817" s="0" t="s">
        <v>129</v>
      </c>
      <c r="C817" s="7" t="n">
        <f aca="false">Sens!$C$815/Sens!$C$816</f>
        <v>0.750699650670094</v>
      </c>
    </row>
    <row r="818" customFormat="false" ht="17.15" hidden="false" customHeight="false" outlineLevel="0" collapsed="false">
      <c r="A818" s="1" t="s">
        <v>1067</v>
      </c>
      <c r="B818" s="0" t="s">
        <v>98</v>
      </c>
      <c r="C818" s="6" t="n">
        <f aca="false">Sens!$C$816+Sens!E798-Sens!E787+oai_v</f>
        <v>2203.90458655257</v>
      </c>
    </row>
    <row r="819" customFormat="false" ht="17.15" hidden="false" customHeight="false" outlineLevel="0" collapsed="false">
      <c r="A819" s="0" t="s">
        <v>994</v>
      </c>
      <c r="B819" s="0" t="s">
        <v>75</v>
      </c>
      <c r="C819" s="5" t="n">
        <f aca="false">Sens!$C$818/sh_dil26</f>
        <v>295.707042339</v>
      </c>
    </row>
    <row r="820" customFormat="false" ht="15" hidden="false" customHeight="false" outlineLevel="0" collapsed="false">
      <c r="A820" s="1" t="s">
        <v>1068</v>
      </c>
      <c r="B820" s="0" t="s">
        <v>75</v>
      </c>
      <c r="C820" s="8" t="n">
        <f aca="false">dps_27+Sens!G790*roll_div_q/q_per_yr</f>
        <v>4.8895</v>
      </c>
    </row>
    <row r="821" customFormat="false" ht="17.15" hidden="false" customHeight="false" outlineLevel="0" collapsed="false">
      <c r="A821" s="0" t="s">
        <v>1069</v>
      </c>
      <c r="B821" s="0" t="s">
        <v>75</v>
      </c>
      <c r="C821" s="5" t="n">
        <f aca="false">Sens!$C$819*(1+wacc)^t_roll-Sens!$C$820</f>
        <v>331.841982629322</v>
      </c>
    </row>
    <row r="822" customFormat="false" ht="17.15" hidden="false" customHeight="false" outlineLevel="0" collapsed="false">
      <c r="A822" s="1" t="s">
        <v>1070</v>
      </c>
      <c r="B822" s="0" t="s">
        <v>129</v>
      </c>
      <c r="F822" s="7" t="n">
        <f aca="false">Sens!F777/(Sens!F722-Sens!F678)</f>
        <v>0.0705303854989974</v>
      </c>
      <c r="G822" s="7" t="n">
        <f aca="false">Sens!G777/(Sens!G722-Sens!G678)</f>
        <v>0.0669153011130541</v>
      </c>
      <c r="H822" s="7" t="n">
        <f aca="false">Sens!H777/(Sens!H722-Sens!H678)</f>
        <v>0.0648963302688646</v>
      </c>
      <c r="I822" s="7" t="n">
        <f aca="false">Sens!I777/(Sens!I722-Sens!I678)</f>
        <v>0.0643411219550834</v>
      </c>
      <c r="J822" s="7" t="n">
        <f aca="false">Sens!J777/(Sens!J722-Sens!J678)</f>
        <v>0.0648740961982593</v>
      </c>
      <c r="K822" s="7" t="n">
        <f aca="false">Sens!K777/(Sens!K722-Sens!K678)</f>
        <v>0.0660244723636577</v>
      </c>
    </row>
    <row r="823" customFormat="false" ht="17.15" hidden="false" customHeight="false" outlineLevel="0" collapsed="false">
      <c r="A823" s="0" t="s">
        <v>1071</v>
      </c>
      <c r="B823" s="0" t="s">
        <v>98</v>
      </c>
      <c r="F823" s="6" t="n">
        <f aca="false">Sens!F707*(al_m365+Sens!F822+sbc_r)</f>
        <v>85.2273329859862</v>
      </c>
      <c r="G823" s="6" t="n">
        <f aca="false">Sens!G707*(al_m365+Sens!G822+sbc_r)</f>
        <v>99.6892587904979</v>
      </c>
      <c r="H823" s="6" t="n">
        <f aca="false">Sens!H707*(al_m365+Sens!H822+sbc_r)</f>
        <v>114.315107566414</v>
      </c>
      <c r="I823" s="6" t="n">
        <f aca="false">Sens!I707*(al_m365+Sens!I822+sbc_r)</f>
        <v>127.42181750834</v>
      </c>
      <c r="J823" s="6" t="n">
        <f aca="false">Sens!J707*(al_m365+Sens!J822+sbc_r)</f>
        <v>138.823999012523</v>
      </c>
      <c r="K823" s="6" t="n">
        <f aca="false">Sens!K707*(al_m365+Sens!K822+sbc_r)</f>
        <v>149.845393216552</v>
      </c>
      <c r="L823" s="11" t="s">
        <v>1072</v>
      </c>
    </row>
    <row r="824" customFormat="false" ht="17.15" hidden="false" customHeight="false" outlineLevel="0" collapsed="false">
      <c r="A824" s="0" t="s">
        <v>1073</v>
      </c>
      <c r="B824" s="0" t="s">
        <v>98</v>
      </c>
      <c r="F824" s="6" t="n">
        <f aca="false">Sens!F708*(al_lic+Sens!F822+sbc_r)</f>
        <v>33.5204472060294</v>
      </c>
      <c r="G824" s="6" t="n">
        <f aca="false">Sens!G708*(al_lic+Sens!G822+sbc_r)</f>
        <v>34.7926166862242</v>
      </c>
      <c r="H824" s="6" t="n">
        <f aca="false">Sens!H708*(al_lic+Sens!H822+sbc_r)</f>
        <v>35.9862829687409</v>
      </c>
      <c r="I824" s="6" t="n">
        <f aca="false">Sens!I708*(al_lic+Sens!I822+sbc_r)</f>
        <v>37.0838788899664</v>
      </c>
      <c r="J824" s="6" t="n">
        <f aca="false">Sens!J708*(al_lic+Sens!J822+sbc_r)</f>
        <v>38.0565090086839</v>
      </c>
      <c r="K824" s="6" t="n">
        <f aca="false">Sens!K708*(al_lic+Sens!K822+sbc_r)</f>
        <v>38.8700352425884</v>
      </c>
    </row>
    <row r="825" customFormat="false" ht="17.15" hidden="false" customHeight="false" outlineLevel="0" collapsed="false">
      <c r="A825" s="0" t="s">
        <v>1074</v>
      </c>
      <c r="B825" s="0" t="s">
        <v>98</v>
      </c>
      <c r="F825" s="6" t="n">
        <f aca="false">Sens!F710*(al_ind+Sens!F822+sbc_r)</f>
        <v>9.11980018094294</v>
      </c>
      <c r="G825" s="6" t="n">
        <f aca="false">Sens!G710*(al_ind+Sens!G822+sbc_r)</f>
        <v>9.88072195697034</v>
      </c>
      <c r="H825" s="6" t="n">
        <f aca="false">Sens!H710*(al_ind+Sens!H822+sbc_r)</f>
        <v>10.6900815637922</v>
      </c>
      <c r="I825" s="6" t="n">
        <f aca="false">Sens!I710*(al_ind+Sens!I822+sbc_r)</f>
        <v>11.5460282347577</v>
      </c>
      <c r="J825" s="6" t="n">
        <f aca="false">Sens!J710*(al_ind+Sens!J822+sbc_r)</f>
        <v>12.4374767512513</v>
      </c>
      <c r="K825" s="6" t="n">
        <f aca="false">Sens!K710*(al_ind+Sens!K822+sbc_r)</f>
        <v>13.3461587114563</v>
      </c>
    </row>
    <row r="826" customFormat="false" ht="17.15" hidden="false" customHeight="false" outlineLevel="0" collapsed="false">
      <c r="A826" s="0" t="s">
        <v>1075</v>
      </c>
      <c r="B826" s="0" t="s">
        <v>98</v>
      </c>
      <c r="F826" s="6" t="n">
        <f aca="false">Sens!F712*(al_fro+Sens!F822+sbc_r)</f>
        <v>3.58958536902212</v>
      </c>
      <c r="G826" s="6" t="n">
        <f aca="false">Sens!G712*(al_fro+Sens!G822+sbc_r)</f>
        <v>3.79361306665995</v>
      </c>
      <c r="H826" s="6" t="n">
        <f aca="false">Sens!H712*(al_fro+Sens!H822+sbc_r)</f>
        <v>4.02838862857902</v>
      </c>
      <c r="I826" s="6" t="n">
        <f aca="false">Sens!I712*(al_fro+Sens!I822+sbc_r)</f>
        <v>4.29696179134221</v>
      </c>
      <c r="J826" s="6" t="n">
        <f aca="false">Sens!J712*(al_fro+Sens!J822+sbc_r)</f>
        <v>4.59985687395741</v>
      </c>
      <c r="K826" s="6" t="n">
        <f aca="false">Sens!K712*(al_fro+Sens!K822+sbc_r)</f>
        <v>4.93592238342414</v>
      </c>
    </row>
    <row r="827" customFormat="false" ht="17.15" hidden="false" customHeight="false" outlineLevel="0" collapsed="false">
      <c r="A827" s="0" t="s">
        <v>1076</v>
      </c>
      <c r="B827" s="0" t="s">
        <v>98</v>
      </c>
      <c r="F827" s="6" t="n">
        <f aca="false">Sens!F715*(al_srch+Sens!F822+sbc_r)</f>
        <v>11.2630849868114</v>
      </c>
      <c r="G827" s="6" t="n">
        <f aca="false">Sens!G715*(al_srch+Sens!G822+sbc_r)</f>
        <v>12.3179728600437</v>
      </c>
      <c r="H827" s="6" t="n">
        <f aca="false">Sens!H715*(al_srch+Sens!H822+sbc_r)</f>
        <v>13.4217853035424</v>
      </c>
      <c r="I827" s="6" t="n">
        <f aca="false">Sens!I715*(al_srch+Sens!I822+sbc_r)</f>
        <v>14.565578354966</v>
      </c>
      <c r="J827" s="6" t="n">
        <f aca="false">Sens!J715*(al_srch+Sens!J822+sbc_r)</f>
        <v>15.7277683722803</v>
      </c>
      <c r="K827" s="6" t="n">
        <f aca="false">Sens!K715*(al_srch+Sens!K822+sbc_r)</f>
        <v>16.87683901418</v>
      </c>
    </row>
    <row r="828" customFormat="false" ht="17.15" hidden="false" customHeight="false" outlineLevel="0" collapsed="false">
      <c r="A828" s="0" t="s">
        <v>1077</v>
      </c>
      <c r="B828" s="0" t="s">
        <v>98</v>
      </c>
      <c r="F828" s="6" t="n">
        <f aca="false">Sens!F684-Sens!F685+Sens!F765</f>
        <v>36.2275444172899</v>
      </c>
      <c r="G828" s="6" t="n">
        <f aca="false">Sens!G684-Sens!G685+Sens!G765</f>
        <v>73.846630116318</v>
      </c>
      <c r="H828" s="6" t="n">
        <f aca="false">Sens!H684-Sens!H685+Sens!H765</f>
        <v>118.260491323459</v>
      </c>
      <c r="I828" s="6" t="n">
        <f aca="false">Sens!I684-Sens!I685+Sens!I765</f>
        <v>154.053359690527</v>
      </c>
      <c r="J828" s="6" t="n">
        <f aca="false">Sens!J684-Sens!J685+Sens!J765</f>
        <v>179.639321532544</v>
      </c>
      <c r="K828" s="6" t="n">
        <f aca="false">Sens!K684-Sens!K685+Sens!K765</f>
        <v>195.806991033278</v>
      </c>
    </row>
    <row r="829" customFormat="false" ht="17.15" hidden="false" customHeight="false" outlineLevel="0" collapsed="false">
      <c r="A829" s="0" t="s">
        <v>1078</v>
      </c>
      <c r="B829" s="0" t="s">
        <v>98</v>
      </c>
      <c r="F829" s="6" t="n">
        <f aca="false">Sens!F744+Sens!F765+Sens!F695+Sens!F822*(Sens!F714-Sens!F678)+sbc_r*Sens!F714</f>
        <v>227.839933539874</v>
      </c>
      <c r="G829" s="6" t="n">
        <f aca="false">Sens!G744+Sens!G765+Sens!G695+Sens!G822*(Sens!G714-Sens!G678)+sbc_r*Sens!G714</f>
        <v>294.524793717267</v>
      </c>
      <c r="H829" s="6" t="n">
        <f aca="false">Sens!H744+Sens!H765+Sens!H695+Sens!H822*(Sens!H714-Sens!H678)+sbc_r*Sens!H714</f>
        <v>368.671467471715</v>
      </c>
      <c r="I829" s="6" t="n">
        <f aca="false">Sens!I744+Sens!I765+Sens!I695+Sens!I822*(Sens!I714-Sens!I678)+sbc_r*Sens!I714</f>
        <v>432.182638025804</v>
      </c>
      <c r="J829" s="6" t="n">
        <f aca="false">Sens!J744+Sens!J765+Sens!J695+Sens!J822*(Sens!J714-Sens!J678)+sbc_r*Sens!J714</f>
        <v>482.593690905047</v>
      </c>
      <c r="K829" s="6" t="n">
        <f aca="false">Sens!K744+Sens!K765+Sens!K695+Sens!K822*(Sens!K714-Sens!K678)+sbc_r*Sens!K714</f>
        <v>521.240590054967</v>
      </c>
    </row>
    <row r="830" customFormat="false" ht="17.15" hidden="false" customHeight="false" outlineLevel="0" collapsed="false">
      <c r="A830" s="0" t="s">
        <v>1079</v>
      </c>
      <c r="B830" s="0" t="s">
        <v>98</v>
      </c>
      <c r="F830" s="6" t="n">
        <f aca="false">Sens!F829-Sens!F823-Sens!F824-Sens!F825-Sens!F826-Sens!F828</f>
        <v>60.1552233806031</v>
      </c>
      <c r="G830" s="6" t="n">
        <f aca="false">Sens!G829-Sens!G823-Sens!G824-Sens!G825-Sens!G826-Sens!G828</f>
        <v>72.521953100597</v>
      </c>
      <c r="H830" s="6" t="n">
        <f aca="false">Sens!H829-Sens!H823-Sens!H824-Sens!H825-Sens!H826-Sens!H828</f>
        <v>85.3911154207295</v>
      </c>
      <c r="I830" s="6" t="n">
        <f aca="false">Sens!I829-Sens!I823-Sens!I824-Sens!I825-Sens!I826-Sens!I828</f>
        <v>97.7805919108711</v>
      </c>
      <c r="J830" s="6" t="n">
        <f aca="false">Sens!J829-Sens!J823-Sens!J824-Sens!J825-Sens!J826-Sens!J828</f>
        <v>109.036527726088</v>
      </c>
      <c r="K830" s="6" t="n">
        <f aca="false">Sens!K829-Sens!K823-Sens!K824-Sens!K825-Sens!K826-Sens!K828</f>
        <v>118.436089467668</v>
      </c>
    </row>
    <row r="831" customFormat="false" ht="17.15" hidden="false" customHeight="false" outlineLevel="0" collapsed="false">
      <c r="A831" s="0" t="s">
        <v>1080</v>
      </c>
      <c r="B831" s="0" t="s">
        <v>98</v>
      </c>
      <c r="F831" s="6" t="n">
        <f aca="false">Sens!F746+Sens!F822*Sens!F721+sbc_r*Sens!F721</f>
        <v>26.3250729833002</v>
      </c>
      <c r="G831" s="6" t="n">
        <f aca="false">Sens!G746+Sens!G822*Sens!G721+sbc_r*Sens!G721</f>
        <v>26.8840979798844</v>
      </c>
      <c r="H831" s="6" t="n">
        <f aca="false">Sens!H746+Sens!H822*Sens!H721+sbc_r*Sens!H721</f>
        <v>27.7254420104725</v>
      </c>
      <c r="I831" s="6" t="n">
        <f aca="false">Sens!I746+Sens!I822*Sens!I721+sbc_r*Sens!I721</f>
        <v>28.8195303030026</v>
      </c>
      <c r="J831" s="6" t="n">
        <f aca="false">Sens!J746+Sens!J822*Sens!J721+sbc_r*Sens!J721</f>
        <v>30.1256822206383</v>
      </c>
      <c r="K831" s="6" t="n">
        <f aca="false">Sens!K746+Sens!K822*Sens!K721+sbc_r*Sens!K721</f>
        <v>31.5981329181227</v>
      </c>
    </row>
    <row r="832" customFormat="false" ht="17.15" hidden="false" customHeight="false" outlineLevel="0" collapsed="false">
      <c r="A832" s="0" t="s">
        <v>1081</v>
      </c>
      <c r="B832" s="0" t="s">
        <v>98</v>
      </c>
      <c r="F832" s="6" t="n">
        <f aca="false">(Sens!F831-Sens!F827)*Sens!F717/(Sens!F717+Sens!F719)</f>
        <v>8.25683511803782</v>
      </c>
      <c r="G832" s="6" t="n">
        <f aca="false">(Sens!G831-Sens!G827)*Sens!G717/(Sens!G717+Sens!G719)</f>
        <v>7.84263572934781</v>
      </c>
      <c r="H832" s="6" t="n">
        <f aca="false">(Sens!H831-Sens!H827)*Sens!H717/(Sens!H717+Sens!H719)</f>
        <v>7.59728657715786</v>
      </c>
      <c r="I832" s="6" t="n">
        <f aca="false">(Sens!I831-Sens!I827)*Sens!I717/(Sens!I717+Sens!I719)</f>
        <v>7.50238476920254</v>
      </c>
      <c r="J832" s="6" t="n">
        <f aca="false">(Sens!J831-Sens!J827)*Sens!J717/(Sens!J717+Sens!J719)</f>
        <v>7.54388912124533</v>
      </c>
      <c r="K832" s="6" t="n">
        <f aca="false">(Sens!K831-Sens!K827)*Sens!K717/(Sens!K717+Sens!K719)</f>
        <v>7.71332639591206</v>
      </c>
    </row>
    <row r="833" customFormat="false" ht="17.15" hidden="false" customHeight="false" outlineLevel="0" collapsed="false">
      <c r="A833" s="0" t="s">
        <v>1082</v>
      </c>
      <c r="B833" s="0" t="s">
        <v>98</v>
      </c>
      <c r="F833" s="6" t="n">
        <f aca="false">Sens!F831-Sens!F827-Sens!F832</f>
        <v>6.80515287845105</v>
      </c>
      <c r="G833" s="6" t="n">
        <f aca="false">Sens!G831-Sens!G827-Sens!G832</f>
        <v>6.72348939049287</v>
      </c>
      <c r="H833" s="6" t="n">
        <f aca="false">Sens!H831-Sens!H827-Sens!H832</f>
        <v>6.70637012977225</v>
      </c>
      <c r="I833" s="6" t="n">
        <f aca="false">Sens!I831-Sens!I827-Sens!I832</f>
        <v>6.75156717883416</v>
      </c>
      <c r="J833" s="6" t="n">
        <f aca="false">Sens!J831-Sens!J827-Sens!J832</f>
        <v>6.85402472711273</v>
      </c>
      <c r="K833" s="6" t="n">
        <f aca="false">Sens!K831-Sens!K827-Sens!K832</f>
        <v>7.00796750803058</v>
      </c>
    </row>
    <row r="834" customFormat="false" ht="17.15" hidden="false" customHeight="false" outlineLevel="0" collapsed="false">
      <c r="A834" s="0" t="s">
        <v>1083</v>
      </c>
      <c r="B834" s="0" t="s">
        <v>98</v>
      </c>
      <c r="F834" s="6" t="n">
        <f aca="false">Sens!F828-tax_f*(Sens!F828-Sens!F695)-Sens!F692</f>
        <v>-124.540862861444</v>
      </c>
      <c r="G834" s="6" t="n">
        <f aca="false">Sens!G828-tax_f*(Sens!G828-Sens!G695)-Sens!G692</f>
        <v>-112.671788968043</v>
      </c>
      <c r="H834" s="6" t="n">
        <f aca="false">Sens!H828-tax_f*(Sens!H828-Sens!H695)-Sens!H692</f>
        <v>-76.1996888829702</v>
      </c>
      <c r="I834" s="6" t="n">
        <f aca="false">Sens!I828-tax_f*(Sens!I828-Sens!I695)-Sens!I692</f>
        <v>-18.3428326353457</v>
      </c>
      <c r="J834" s="6" t="n">
        <f aca="false">Sens!J828-tax_f*(Sens!J828-Sens!J695)-Sens!J692</f>
        <v>42.1296852023614</v>
      </c>
      <c r="K834" s="6" t="n">
        <f aca="false">Sens!K828-tax_f*(Sens!K828-Sens!K695)-Sens!K692</f>
        <v>63.0644703318936</v>
      </c>
    </row>
    <row r="835" customFormat="false" ht="17.15" hidden="false" customHeight="false" outlineLevel="0" collapsed="false">
      <c r="A835" s="0" t="s">
        <v>1084</v>
      </c>
      <c r="B835" s="0" t="s">
        <v>98</v>
      </c>
      <c r="G835" s="6" t="n">
        <f aca="false">Sens!G834/(1+wacc)^(Sens!G807-(Sens!F807+mid_yr))</f>
        <v>-107.285330847958</v>
      </c>
      <c r="H835" s="6" t="n">
        <f aca="false">Sens!H834/(1+wacc)^(Sens!H807-(Sens!F807+mid_yr))</f>
        <v>-65.7852701879268</v>
      </c>
      <c r="I835" s="6" t="n">
        <f aca="false">Sens!I834/(1+wacc)^(Sens!I807-(Sens!F807+mid_yr))</f>
        <v>-14.3579414420017</v>
      </c>
      <c r="J835" s="6" t="n">
        <f aca="false">Sens!J834/(1+wacc)^(Sens!J807-(Sens!F807+mid_yr))</f>
        <v>29.8995256269829</v>
      </c>
      <c r="K835" s="6" t="n">
        <f aca="false">Sens!K834/(1+wacc)^(Sens!K807-(Sens!F807+mid_yr))</f>
        <v>40.5799162359028</v>
      </c>
      <c r="L835" s="1" t="s">
        <v>1085</v>
      </c>
    </row>
    <row r="836" customFormat="false" ht="17.15" hidden="false" customHeight="false" outlineLevel="0" collapsed="false">
      <c r="A836" s="0" t="s">
        <v>1086</v>
      </c>
      <c r="B836" s="0" t="s">
        <v>98</v>
      </c>
      <c r="C836" s="6" t="n">
        <f aca="false">(Sens!K828-Sens!K695)*(1-tax_f)*(1+g_tv)*(1-g_tv/(wacc+ronic_prem))/(wacc-g_tv)/(1+wacc)^(Sens!K807+mid_yr-(Sens!F807+mid_yr))</f>
        <v>277.980098939317</v>
      </c>
    </row>
    <row r="837" customFormat="false" ht="17.15" hidden="false" customHeight="false" outlineLevel="0" collapsed="false">
      <c r="A837" s="1" t="s">
        <v>1087</v>
      </c>
      <c r="B837" s="0" t="s">
        <v>98</v>
      </c>
      <c r="C837" s="6" t="n">
        <f aca="false">(SUM(Sens!G835:K835)+Sens!$C$836)*(1+wacc)^(t_roll-(Sens!F807+mid_yr))</f>
        <v>166.257731375472</v>
      </c>
      <c r="L837" s="11" t="s">
        <v>1088</v>
      </c>
    </row>
    <row r="838" customFormat="false" ht="17.15" hidden="false" customHeight="false" outlineLevel="0" collapsed="false">
      <c r="A838" s="1" t="s">
        <v>1089</v>
      </c>
      <c r="B838" s="0" t="s">
        <v>98</v>
      </c>
      <c r="C838" s="6" t="n">
        <f aca="false">(w_ntm28*Sens!G684+(1-w_ntm28)*Sens!H684)*m_ai</f>
        <v>446.391736450336</v>
      </c>
    </row>
    <row r="839" customFormat="false" ht="17.15" hidden="false" customHeight="false" outlineLevel="0" collapsed="false">
      <c r="A839" s="1" t="s">
        <v>1090</v>
      </c>
      <c r="B839" s="0" t="s">
        <v>98</v>
      </c>
      <c r="C839" s="6" t="n">
        <f aca="false">(w_ntm28*Sens!G830+(1-w_ntm28)*Sens!H830)*m_cloud</f>
        <v>1059.75069361786</v>
      </c>
    </row>
    <row r="840" customFormat="false" ht="17.15" hidden="false" customHeight="false" outlineLevel="0" collapsed="false">
      <c r="A840" s="1" t="s">
        <v>1091</v>
      </c>
      <c r="B840" s="0" t="s">
        <v>98</v>
      </c>
      <c r="C840" s="6" t="n">
        <f aca="false">(w_ntm28*Sens!G823+(1-w_ntm28)*Sens!H823)*m_sw</f>
        <v>1127.71024611553</v>
      </c>
    </row>
    <row r="841" customFormat="false" ht="17.15" hidden="false" customHeight="false" outlineLevel="0" collapsed="false">
      <c r="A841" s="1" t="s">
        <v>1092</v>
      </c>
      <c r="B841" s="0" t="s">
        <v>98</v>
      </c>
      <c r="C841" s="6" t="n">
        <f aca="false">(w_ntm28*Sens!G824+(1-w_ntm28)*Sens!H824)*m_sw</f>
        <v>379.927954212425</v>
      </c>
    </row>
    <row r="842" customFormat="false" ht="17.15" hidden="false" customHeight="false" outlineLevel="0" collapsed="false">
      <c r="A842" s="1" t="s">
        <v>1093</v>
      </c>
      <c r="B842" s="0" t="s">
        <v>98</v>
      </c>
      <c r="C842" s="6" t="n">
        <f aca="false">(w_ntm28*Sens!G825+(1-w_ntm28)*Sens!H825)*m_sw</f>
        <v>109.537681746057</v>
      </c>
    </row>
    <row r="843" customFormat="false" ht="17.15" hidden="false" customHeight="false" outlineLevel="0" collapsed="false">
      <c r="A843" s="1" t="s">
        <v>1094</v>
      </c>
      <c r="B843" s="0" t="s">
        <v>98</v>
      </c>
      <c r="C843" s="6" t="n">
        <f aca="false">(w_ntm28*Sens!G826+(1-w_ntm28)*Sens!H826)*m_sw</f>
        <v>41.7907416024197</v>
      </c>
    </row>
    <row r="844" customFormat="false" ht="17.15" hidden="false" customHeight="false" outlineLevel="0" collapsed="false">
      <c r="A844" s="1" t="s">
        <v>1095</v>
      </c>
      <c r="B844" s="0" t="s">
        <v>98</v>
      </c>
      <c r="C844" s="6" t="n">
        <f aca="false">(w_ntm28*Sens!G827+(1-w_ntm28)*Sens!H827)*m_ads</f>
        <v>115.467626729004</v>
      </c>
    </row>
    <row r="845" customFormat="false" ht="17.15" hidden="false" customHeight="false" outlineLevel="0" collapsed="false">
      <c r="A845" s="1" t="s">
        <v>1096</v>
      </c>
      <c r="B845" s="0" t="s">
        <v>98</v>
      </c>
      <c r="C845" s="6" t="n">
        <f aca="false">(w_ntm28*Sens!G832+(1-w_ntm28)*Sens!H832)*m_game</f>
        <v>98.0506984247457</v>
      </c>
    </row>
    <row r="846" customFormat="false" ht="17.15" hidden="false" customHeight="false" outlineLevel="0" collapsed="false">
      <c r="A846" s="1" t="s">
        <v>1097</v>
      </c>
      <c r="B846" s="0" t="s">
        <v>98</v>
      </c>
      <c r="C846" s="6" t="n">
        <f aca="false">(w_ntm28*Sens!G833+(1-w_ntm28)*Sens!H833)*m_pc</f>
        <v>97.2088080478016</v>
      </c>
    </row>
    <row r="847" customFormat="false" ht="17.15" hidden="false" customHeight="false" outlineLevel="0" collapsed="false">
      <c r="A847" s="1" t="s">
        <v>1098</v>
      </c>
      <c r="B847" s="0" t="s">
        <v>98</v>
      </c>
      <c r="C847" s="6" t="n">
        <f aca="false">Sens!$C$837+Sens!$C$839+Sens!$C$840+Sens!$C$841+Sens!$C$842+Sens!$C$843+Sens!$C$844+Sens!$C$845+Sens!$C$846</f>
        <v>3195.70218187132</v>
      </c>
    </row>
    <row r="848" customFormat="false" ht="17.15" hidden="false" customHeight="false" outlineLevel="0" collapsed="false">
      <c r="A848" s="1" t="s">
        <v>1099</v>
      </c>
      <c r="B848" s="0" t="s">
        <v>98</v>
      </c>
      <c r="C848" s="6" t="n">
        <f aca="false">(Sens!G809-Sens!G834)*t_stub</f>
        <v>47.9592964551235</v>
      </c>
      <c r="L848" s="1" t="s">
        <v>1100</v>
      </c>
    </row>
    <row r="849" customFormat="false" ht="17.15" hidden="false" customHeight="false" outlineLevel="0" collapsed="false">
      <c r="A849" s="1" t="s">
        <v>1014</v>
      </c>
      <c r="B849" s="0" t="s">
        <v>98</v>
      </c>
      <c r="C849" s="6" t="n">
        <f aca="false">Sens!F798+oai_v-Sens!F787+Sens!$C$848</f>
        <v>155.688779731897</v>
      </c>
      <c r="L849" s="1" t="s">
        <v>1101</v>
      </c>
    </row>
    <row r="850" customFormat="false" ht="17.15" hidden="false" customHeight="false" outlineLevel="0" collapsed="false">
      <c r="A850" s="1" t="s">
        <v>1102</v>
      </c>
      <c r="B850" s="0" t="s">
        <v>75</v>
      </c>
      <c r="C850" s="5" t="n">
        <f aca="false">(Sens!$C$847+Sens!$C$849)/(Sens!F800+dil_gap)-Sens!G790*roll_div_q/q_per_yr</f>
        <v>446.051076521241</v>
      </c>
      <c r="L850" s="1" t="s">
        <v>1103</v>
      </c>
    </row>
    <row r="851" customFormat="false" ht="17.15" hidden="false" customHeight="false" outlineLevel="0" collapsed="false">
      <c r="A851" s="1" t="s">
        <v>1104</v>
      </c>
      <c r="B851" s="0" t="s">
        <v>75</v>
      </c>
      <c r="C851" s="5" t="n">
        <f aca="false">w_dcf*Sens!$C$821+(1-w_dcf)*Sens!$C$850</f>
        <v>388.946529575281</v>
      </c>
    </row>
    <row r="852" customFormat="false" ht="17.15" hidden="false" customHeight="false" outlineLevel="0" collapsed="false">
      <c r="A852" s="3" t="s">
        <v>1282</v>
      </c>
    </row>
    <row r="853" customFormat="false" ht="15" hidden="false" customHeight="false" outlineLevel="0" collapsed="false">
      <c r="A853" s="4" t="s">
        <v>43</v>
      </c>
      <c r="B853" s="4" t="s">
        <v>65</v>
      </c>
      <c r="C853" s="20" t="s">
        <v>799</v>
      </c>
      <c r="D853" s="20" t="s">
        <v>800</v>
      </c>
      <c r="E853" s="20" t="s">
        <v>801</v>
      </c>
      <c r="F853" s="20" t="s">
        <v>802</v>
      </c>
      <c r="G853" s="20" t="s">
        <v>803</v>
      </c>
      <c r="H853" s="20" t="s">
        <v>804</v>
      </c>
      <c r="I853" s="20" t="s">
        <v>805</v>
      </c>
      <c r="J853" s="20" t="s">
        <v>806</v>
      </c>
      <c r="K853" s="20" t="s">
        <v>807</v>
      </c>
      <c r="L853" s="4" t="s">
        <v>47</v>
      </c>
    </row>
    <row r="854" customFormat="false" ht="17.15" hidden="false" customHeight="false" outlineLevel="0" collapsed="false">
      <c r="A854" s="1" t="s">
        <v>808</v>
      </c>
      <c r="B854" s="1" t="s">
        <v>235</v>
      </c>
      <c r="C854" s="28" t="n">
        <v>2024</v>
      </c>
      <c r="D854" s="28" t="n">
        <v>2025</v>
      </c>
      <c r="E854" s="28" t="n">
        <v>2026</v>
      </c>
      <c r="F854" s="28" t="n">
        <v>2027</v>
      </c>
      <c r="G854" s="28" t="n">
        <v>2028</v>
      </c>
      <c r="H854" s="28" t="n">
        <v>2029</v>
      </c>
      <c r="I854" s="28" t="n">
        <v>2030</v>
      </c>
      <c r="J854" s="28" t="n">
        <v>2031</v>
      </c>
      <c r="K854" s="28" t="n">
        <v>2032</v>
      </c>
    </row>
    <row r="855" customFormat="false" ht="17.15" hidden="false" customHeight="false" outlineLevel="0" collapsed="false">
      <c r="A855" s="1" t="s">
        <v>809</v>
      </c>
      <c r="B855" s="0" t="s">
        <v>399</v>
      </c>
      <c r="F855" s="29" t="n">
        <f aca="false">pace</f>
        <v>2527.2</v>
      </c>
      <c r="G855" s="29" t="n">
        <f aca="false">pace</f>
        <v>2527.2</v>
      </c>
      <c r="H855" s="29" t="n">
        <f aca="false">pace</f>
        <v>2527.2</v>
      </c>
      <c r="I855" s="29" t="n">
        <f aca="false">pace+(g_tv*Sens!H856-pace)*MIN(1,(Sens!I854-pace_y0)/(pace_y1-pace_y0))</f>
        <v>1793.116</v>
      </c>
      <c r="J855" s="29" t="n">
        <f aca="false">pace+(g_tv*Sens!I856-pace)*MIN(1,(Sens!J854-pace_y0)/(pace_y1-pace_y0))</f>
        <v>1094.89432</v>
      </c>
      <c r="K855" s="29" t="n">
        <f aca="false">pace+(g_tv*Sens!J856-pace)*MIN(1,(Sens!K854-pace_y0)/(pace_y1-pace_y0))</f>
        <v>411.5883096</v>
      </c>
      <c r="L855" s="11" t="s">
        <v>810</v>
      </c>
    </row>
    <row r="856" customFormat="false" ht="17.15" hidden="false" customHeight="false" outlineLevel="0" collapsed="false">
      <c r="A856" s="1" t="s">
        <v>811</v>
      </c>
      <c r="B856" s="0" t="s">
        <v>399</v>
      </c>
      <c r="C856" s="29" t="n">
        <f aca="false">mw_ext_24</f>
        <v>640</v>
      </c>
      <c r="D856" s="29" t="n">
        <f aca="false">mw_ext_25</f>
        <v>1630</v>
      </c>
      <c r="E856" s="29" t="n">
        <f aca="false">mw_ext_26</f>
        <v>3250</v>
      </c>
      <c r="F856" s="29" t="n">
        <f aca="false">Sens!E856+Sens!F855</f>
        <v>5777.2</v>
      </c>
      <c r="G856" s="29" t="n">
        <f aca="false">Sens!F856+Sens!G855</f>
        <v>8304.4</v>
      </c>
      <c r="H856" s="29" t="n">
        <f aca="false">Sens!G856+Sens!H855</f>
        <v>10831.6</v>
      </c>
      <c r="I856" s="29" t="n">
        <f aca="false">Sens!H856+Sens!I855</f>
        <v>12624.716</v>
      </c>
      <c r="J856" s="29" t="n">
        <f aca="false">Sens!I856+Sens!J855</f>
        <v>13719.61032</v>
      </c>
      <c r="K856" s="29" t="n">
        <f aca="false">Sens!J856+Sens!K855</f>
        <v>14131.1986296</v>
      </c>
      <c r="L856" s="1" t="s">
        <v>812</v>
      </c>
    </row>
    <row r="857" customFormat="false" ht="17.15" hidden="false" customHeight="false" outlineLevel="0" collapsed="false">
      <c r="A857" s="1" t="s">
        <v>813</v>
      </c>
      <c r="B857" s="0" t="s">
        <v>399</v>
      </c>
      <c r="C857" s="29" t="n">
        <f aca="false">rent_ext_24</f>
        <v>150</v>
      </c>
      <c r="D857" s="29" t="n">
        <f aca="false">rent_ext_25</f>
        <v>400</v>
      </c>
      <c r="E857" s="29" t="n">
        <f aca="false">rent_ext_26</f>
        <v>550</v>
      </c>
      <c r="F857" s="29" t="n">
        <f aca="false">rent_ext_f</f>
        <v>756</v>
      </c>
      <c r="G857" s="29" t="n">
        <f aca="false">rent_ext_f</f>
        <v>756</v>
      </c>
      <c r="H857" s="29" t="n">
        <f aca="false">rent_ext_f</f>
        <v>756</v>
      </c>
      <c r="I857" s="29" t="n">
        <f aca="false">rent_ext_f</f>
        <v>756</v>
      </c>
      <c r="J857" s="29" t="n">
        <f aca="false">rent_ext_f</f>
        <v>756</v>
      </c>
      <c r="K857" s="29" t="n">
        <f aca="false">rent_ext_f</f>
        <v>756</v>
      </c>
      <c r="L857" s="1" t="s">
        <v>814</v>
      </c>
    </row>
    <row r="858" customFormat="false" ht="17.15" hidden="false" customHeight="false" outlineLevel="0" collapsed="false">
      <c r="A858" s="1" t="s">
        <v>815</v>
      </c>
      <c r="B858" s="0" t="s">
        <v>399</v>
      </c>
      <c r="C858" s="29" t="n">
        <f aca="false">Sens!C856-Sens!C857</f>
        <v>490</v>
      </c>
      <c r="D858" s="29" t="n">
        <f aca="false">Sens!D856-Sens!D857</f>
        <v>1230</v>
      </c>
      <c r="E858" s="29" t="n">
        <f aca="false">Sens!E856-Sens!E857</f>
        <v>2700</v>
      </c>
      <c r="F858" s="29" t="n">
        <f aca="false">Sens!F856-Sens!F857</f>
        <v>5021.2</v>
      </c>
      <c r="G858" s="29" t="n">
        <f aca="false">Sens!G856-Sens!G857</f>
        <v>7548.4</v>
      </c>
      <c r="H858" s="29" t="n">
        <f aca="false">Sens!H856-Sens!H857</f>
        <v>10075.6</v>
      </c>
      <c r="I858" s="29" t="n">
        <f aca="false">Sens!I856-Sens!I857</f>
        <v>11868.716</v>
      </c>
      <c r="J858" s="29" t="n">
        <f aca="false">Sens!J856-Sens!J857</f>
        <v>12963.61032</v>
      </c>
      <c r="K858" s="29" t="n">
        <f aca="false">Sens!K856-Sens!K857</f>
        <v>13375.1986296</v>
      </c>
    </row>
    <row r="859" customFormat="false" ht="17.15" hidden="false" customHeight="false" outlineLevel="0" collapsed="false">
      <c r="A859" s="1" t="s">
        <v>816</v>
      </c>
      <c r="B859" s="0" t="s">
        <v>399</v>
      </c>
      <c r="C859" s="29" t="n">
        <f aca="false">Sens!C858/ext_sh</f>
        <v>816.666666666667</v>
      </c>
      <c r="D859" s="29" t="n">
        <f aca="false">Sens!D858/ext_sh</f>
        <v>2050</v>
      </c>
      <c r="E859" s="29" t="n">
        <f aca="false">Sens!E858/ext_sh</f>
        <v>4500</v>
      </c>
      <c r="F859" s="29" t="n">
        <f aca="false">Sens!F858/ext_sh</f>
        <v>8368.66666666667</v>
      </c>
      <c r="G859" s="29" t="n">
        <f aca="false">Sens!G858/ext_sh</f>
        <v>12580.6666666667</v>
      </c>
      <c r="H859" s="29" t="n">
        <f aca="false">Sens!H858/ext_sh</f>
        <v>16792.6666666667</v>
      </c>
      <c r="I859" s="29" t="n">
        <f aca="false">Sens!I858/ext_sh</f>
        <v>19781.1933333333</v>
      </c>
      <c r="J859" s="29" t="n">
        <f aca="false">Sens!J858/ext_sh</f>
        <v>21606.0172</v>
      </c>
      <c r="K859" s="29" t="n">
        <f aca="false">Sens!K858/ext_sh</f>
        <v>22291.997716</v>
      </c>
      <c r="L859" s="1" t="s">
        <v>817</v>
      </c>
    </row>
    <row r="860" customFormat="false" ht="17.15" hidden="false" customHeight="false" outlineLevel="0" collapsed="false">
      <c r="A860" s="1" t="s">
        <v>818</v>
      </c>
      <c r="B860" s="0" t="s">
        <v>399</v>
      </c>
      <c r="C860" s="29" t="n">
        <f aca="false">Sens!C859-Sens!C858</f>
        <v>326.666666666667</v>
      </c>
      <c r="D860" s="29" t="n">
        <f aca="false">Sens!D859-Sens!D858</f>
        <v>820</v>
      </c>
      <c r="E860" s="29" t="n">
        <f aca="false">Sens!E859-Sens!E858</f>
        <v>1800</v>
      </c>
      <c r="F860" s="29" t="n">
        <f aca="false">Sens!F859-Sens!F858</f>
        <v>3347.46666666667</v>
      </c>
      <c r="G860" s="29" t="n">
        <f aca="false">Sens!G859-Sens!G858</f>
        <v>5032.26666666667</v>
      </c>
      <c r="H860" s="29" t="n">
        <f aca="false">Sens!H859-Sens!H858</f>
        <v>6717.06666666667</v>
      </c>
      <c r="I860" s="29" t="n">
        <f aca="false">Sens!I859-Sens!I858</f>
        <v>7912.47733333333</v>
      </c>
      <c r="J860" s="29" t="n">
        <f aca="false">Sens!J859-Sens!J858</f>
        <v>8642.40688</v>
      </c>
      <c r="K860" s="29" t="n">
        <f aca="false">Sens!K859-Sens!K858</f>
        <v>8916.7990864</v>
      </c>
    </row>
    <row r="861" customFormat="false" ht="17.15" hidden="false" customHeight="false" outlineLevel="0" collapsed="false">
      <c r="A861" s="1" t="s">
        <v>819</v>
      </c>
      <c r="B861" s="0" t="s">
        <v>399</v>
      </c>
      <c r="C861" s="29" t="n">
        <f aca="false">Sens!C859</f>
        <v>816.666666666667</v>
      </c>
      <c r="D861" s="29" t="n">
        <f aca="false">Sens!D859-Sens!C859</f>
        <v>1233.33333333333</v>
      </c>
      <c r="E861" s="29" t="n">
        <f aca="false">Sens!E859-Sens!D859</f>
        <v>2450</v>
      </c>
      <c r="F861" s="29" t="n">
        <f aca="false">Sens!F859-Sens!E859</f>
        <v>3868.66666666667</v>
      </c>
      <c r="G861" s="29" t="n">
        <f aca="false">Sens!G859-Sens!F859</f>
        <v>4212</v>
      </c>
      <c r="H861" s="29" t="n">
        <f aca="false">Sens!H859-Sens!G859</f>
        <v>4212</v>
      </c>
      <c r="I861" s="29" t="n">
        <f aca="false">Sens!I859-Sens!H859</f>
        <v>2988.52666666667</v>
      </c>
      <c r="J861" s="29" t="n">
        <f aca="false">Sens!J859-Sens!I859</f>
        <v>1824.82386666667</v>
      </c>
      <c r="K861" s="29" t="n">
        <f aca="false">Sens!K859-Sens!J859</f>
        <v>685.980516</v>
      </c>
    </row>
    <row r="862" customFormat="false" ht="17.15" hidden="false" customHeight="false" outlineLevel="0" collapsed="false">
      <c r="A862" s="1" t="s">
        <v>820</v>
      </c>
      <c r="B862" s="0" t="s">
        <v>399</v>
      </c>
      <c r="D862" s="29" t="n">
        <f aca="false">Sens!D856-Sens!C856</f>
        <v>990</v>
      </c>
      <c r="E862" s="29" t="n">
        <f aca="false">Sens!E856-Sens!D856</f>
        <v>1620</v>
      </c>
      <c r="F862" s="29" t="n">
        <f aca="false">Sens!F856-Sens!E856</f>
        <v>2527.2</v>
      </c>
      <c r="G862" s="29" t="n">
        <f aca="false">Sens!G856-Sens!F856</f>
        <v>2527.2</v>
      </c>
      <c r="H862" s="29" t="n">
        <f aca="false">Sens!H856-Sens!G856</f>
        <v>2527.2</v>
      </c>
      <c r="I862" s="29" t="n">
        <f aca="false">Sens!I856-Sens!H856</f>
        <v>1793.116</v>
      </c>
      <c r="J862" s="29" t="n">
        <f aca="false">Sens!J856-Sens!I856</f>
        <v>1094.89432</v>
      </c>
      <c r="K862" s="29" t="n">
        <f aca="false">Sens!K856-Sens!J856</f>
        <v>411.5883096</v>
      </c>
    </row>
    <row r="863" customFormat="false" ht="17.15" hidden="false" customHeight="false" outlineLevel="0" collapsed="false">
      <c r="A863" s="1" t="s">
        <v>821</v>
      </c>
      <c r="B863" s="0" t="s">
        <v>399</v>
      </c>
      <c r="F863" s="29" t="n">
        <f aca="false">Sens!F880*ext_sh</f>
        <v>0</v>
      </c>
      <c r="G863" s="29" t="n">
        <f aca="false">Sens!G880*ext_sh</f>
        <v>0</v>
      </c>
      <c r="H863" s="29" t="n">
        <f aca="false">Sens!H880*ext_sh</f>
        <v>0</v>
      </c>
      <c r="I863" s="29" t="n">
        <f aca="false">Sens!I880*ext_sh</f>
        <v>490</v>
      </c>
      <c r="J863" s="29" t="n">
        <f aca="false">Sens!J880*ext_sh</f>
        <v>740</v>
      </c>
      <c r="K863" s="29" t="n">
        <f aca="false">Sens!K880*ext_sh</f>
        <v>1470</v>
      </c>
      <c r="L863" s="1" t="s">
        <v>822</v>
      </c>
    </row>
    <row r="864" customFormat="false" ht="17.15" hidden="false" customHeight="false" outlineLevel="0" collapsed="false">
      <c r="A864" s="1" t="s">
        <v>823</v>
      </c>
      <c r="B864" s="0" t="s">
        <v>399</v>
      </c>
      <c r="C864" s="29" t="n">
        <f aca="false">mix_h*Sens!C856</f>
        <v>128</v>
      </c>
      <c r="D864" s="29" t="n">
        <f aca="false">mix_h*Sens!D856</f>
        <v>326</v>
      </c>
      <c r="E864" s="29" t="n">
        <f aca="false">mix_h*Sens!E856</f>
        <v>650</v>
      </c>
      <c r="F864" s="29" t="n">
        <f aca="false">Sens!E864-Sens!F863*mix_h</f>
        <v>650</v>
      </c>
      <c r="G864" s="29" t="n">
        <f aca="false">Sens!F864-Sens!G863*mix_h</f>
        <v>650</v>
      </c>
      <c r="H864" s="29" t="n">
        <f aca="false">Sens!G864-Sens!H863*mix_h</f>
        <v>650</v>
      </c>
      <c r="I864" s="29" t="n">
        <f aca="false">Sens!H864-Sens!I863*mix_h</f>
        <v>552</v>
      </c>
      <c r="J864" s="29" t="n">
        <f aca="false">Sens!I864-Sens!J863*mix_h</f>
        <v>404</v>
      </c>
      <c r="K864" s="29" t="n">
        <f aca="false">Sens!J864-Sens!K863*mix_h</f>
        <v>110</v>
      </c>
    </row>
    <row r="865" customFormat="false" ht="17.15" hidden="false" customHeight="false" outlineLevel="0" collapsed="false">
      <c r="A865" s="1" t="s">
        <v>824</v>
      </c>
      <c r="B865" s="0" t="s">
        <v>399</v>
      </c>
      <c r="C865" s="29" t="n">
        <f aca="false">mix_g2*Sens!C856</f>
        <v>288</v>
      </c>
      <c r="D865" s="29" t="n">
        <f aca="false">mix_g2*Sens!D856</f>
        <v>733.5</v>
      </c>
      <c r="E865" s="29" t="n">
        <f aca="false">mix_g2*Sens!E856</f>
        <v>1462.5</v>
      </c>
      <c r="F865" s="29" t="n">
        <f aca="false">Sens!E865-Sens!F863*mix_g2</f>
        <v>1462.5</v>
      </c>
      <c r="G865" s="29" t="n">
        <f aca="false">Sens!F865-Sens!G863*mix_g2</f>
        <v>1462.5</v>
      </c>
      <c r="H865" s="29" t="n">
        <f aca="false">Sens!G865-Sens!H863*mix_g2</f>
        <v>1462.5</v>
      </c>
      <c r="I865" s="29" t="n">
        <f aca="false">Sens!H865-Sens!I863*mix_g2</f>
        <v>1242</v>
      </c>
      <c r="J865" s="29" t="n">
        <f aca="false">Sens!I865-Sens!J863*mix_g2</f>
        <v>909</v>
      </c>
      <c r="K865" s="29" t="n">
        <f aca="false">Sens!J865-Sens!K863*mix_g2</f>
        <v>247.5</v>
      </c>
    </row>
    <row r="866" customFormat="false" ht="17.15" hidden="false" customHeight="false" outlineLevel="0" collapsed="false">
      <c r="A866" s="1" t="s">
        <v>825</v>
      </c>
      <c r="B866" s="0" t="s">
        <v>399</v>
      </c>
      <c r="C866" s="29" t="n">
        <f aca="false">mix_g3*Sens!C856</f>
        <v>224</v>
      </c>
      <c r="D866" s="29" t="n">
        <f aca="false">mix_g3*Sens!D856</f>
        <v>570.5</v>
      </c>
      <c r="E866" s="29" t="n">
        <f aca="false">mix_g3*Sens!E856</f>
        <v>1137.5</v>
      </c>
      <c r="F866" s="29" t="n">
        <f aca="false">Sens!E866+(Sens!F862+Sens!F863)*a_g3_27-Sens!F863*mix_g3</f>
        <v>2906.54</v>
      </c>
      <c r="G866" s="29" t="n">
        <f aca="false">Sens!F866+(Sens!G862+Sens!G863)*a_g3_28-Sens!G863*mix_g3</f>
        <v>3664.7</v>
      </c>
      <c r="H866" s="29" t="n">
        <f aca="false">Sens!G866+(Sens!H862+Sens!H863)*a_g3_29-Sens!H863*mix_g3</f>
        <v>3917.42</v>
      </c>
      <c r="I866" s="29" t="n">
        <f aca="false">Sens!H866+(Sens!I862+Sens!I863)*a_g3_29-Sens!I863*mix_g3</f>
        <v>3974.2316</v>
      </c>
      <c r="J866" s="29" t="n">
        <f aca="false">Sens!I866+(Sens!J862+Sens!J863)*a_g3_29-Sens!J863*mix_g3</f>
        <v>3898.721032</v>
      </c>
      <c r="K866" s="29" t="n">
        <f aca="false">Sens!J866+(Sens!K862+Sens!K863)*a_g3_29-Sens!K863*mix_g3</f>
        <v>3572.37986296</v>
      </c>
    </row>
    <row r="867" customFormat="false" ht="17.15" hidden="false" customHeight="false" outlineLevel="0" collapsed="false">
      <c r="A867" s="1" t="s">
        <v>826</v>
      </c>
      <c r="B867" s="0" t="s">
        <v>399</v>
      </c>
      <c r="C867" s="29" t="n">
        <v>0</v>
      </c>
      <c r="D867" s="29" t="n">
        <v>0</v>
      </c>
      <c r="E867" s="29" t="n">
        <v>0</v>
      </c>
      <c r="F867" s="29" t="n">
        <f aca="false">Sens!E867+(Sens!F862+Sens!F863)*(1-a_g3_27)</f>
        <v>758.16</v>
      </c>
      <c r="G867" s="29" t="n">
        <f aca="false">Sens!F867+(Sens!G862+Sens!G863)*(1-a_g3_28)</f>
        <v>2527.2</v>
      </c>
      <c r="H867" s="29" t="n">
        <f aca="false">Sens!G867+(Sens!H862+Sens!H863)*(1-a_g3_29)</f>
        <v>4801.68</v>
      </c>
      <c r="I867" s="29" t="n">
        <f aca="false">Sens!H867+(Sens!I862+Sens!I863)*(1-a_g3_29)</f>
        <v>6856.4844</v>
      </c>
      <c r="J867" s="29" t="n">
        <f aca="false">Sens!I867+(Sens!J862+Sens!J863)*(1-a_g3_29)</f>
        <v>8507.889288</v>
      </c>
      <c r="K867" s="29" t="n">
        <f aca="false">Sens!J867+(Sens!K862+Sens!K863)*(1-a_g3_29)</f>
        <v>10201.31876664</v>
      </c>
    </row>
    <row r="868" customFormat="false" ht="17.15" hidden="false" customHeight="false" outlineLevel="0" collapsed="false">
      <c r="A868" s="1" t="s">
        <v>827</v>
      </c>
      <c r="B868" s="0" t="s">
        <v>346</v>
      </c>
      <c r="C868" s="14" t="n">
        <f aca="false">(Sens!C864*tk_hold_h100+Sens!C865*tk_hold_gb200+Sens!C866*tk_hold_gb300+Sens!C867*tk_hold_vr200)/Sens!C856</f>
        <v>9.7235358126469</v>
      </c>
      <c r="D868" s="14" t="n">
        <f aca="false">(Sens!D864*tk_hold_h100+Sens!D865*tk_hold_gb200+Sens!D866*tk_hold_gb300+Sens!D867*tk_hold_vr200)/Sens!D856</f>
        <v>9.7235358126469</v>
      </c>
      <c r="E868" s="14" t="n">
        <f aca="false">(Sens!E864*tk_hold_h100+Sens!E865*tk_hold_gb200+Sens!E866*tk_hold_gb300+Sens!E867*tk_hold_vr200)/Sens!E856</f>
        <v>9.7235358126469</v>
      </c>
      <c r="F868" s="14" t="n">
        <f aca="false">(Sens!F864*tk_hold_h100+Sens!F865*tk_hold_gb200+Sens!F866*tk_hold_gb300+Sens!F867*tk_hold_vr200)/Sens!F856</f>
        <v>10.4079573161931</v>
      </c>
      <c r="G868" s="14" t="n">
        <f aca="false">(Sens!G864*tk_hold_h100+Sens!G865*tk_hold_gb200+Sens!G866*tk_hold_gb300+Sens!G867*tk_hold_vr200)/Sens!G856</f>
        <v>10.8388131109316</v>
      </c>
      <c r="H868" s="14" t="n">
        <f aca="false">(Sens!H864*tk_hold_h100+Sens!H865*tk_hold_gb200+Sens!H866*tk_hold_gb300+Sens!H867*tk_hold_vr200)/Sens!H856</f>
        <v>11.1311018388216</v>
      </c>
      <c r="I868" s="14" t="n">
        <f aca="false">(Sens!I864*tk_hold_h100+Sens!I865*tk_hold_gb200+Sens!I866*tk_hold_gb300+Sens!I867*tk_hold_vr200)/Sens!I856</f>
        <v>11.3594282560989</v>
      </c>
      <c r="J868" s="14" t="n">
        <f aca="false">(Sens!J864*tk_hold_h100+Sens!J865*tk_hold_gb200+Sens!J866*tk_hold_gb300+Sens!J867*tk_hold_vr200)/Sens!J856</f>
        <v>11.5455817917599</v>
      </c>
      <c r="K868" s="14" t="n">
        <f aca="false">(Sens!K864*tk_hold_h100+Sens!K865*tk_hold_gb200+Sens!K866*tk_hold_gb300+Sens!K867*tk_hold_vr200)/Sens!K856</f>
        <v>11.8078187977246</v>
      </c>
    </row>
    <row r="869" customFormat="false" ht="17.15" hidden="false" customHeight="false" outlineLevel="0" collapsed="false">
      <c r="A869" s="0" t="s">
        <v>828</v>
      </c>
      <c r="B869" s="0" t="s">
        <v>185</v>
      </c>
      <c r="C869" s="14" t="n">
        <f aca="false">k_B</f>
        <v>1.17213932619116</v>
      </c>
      <c r="D869" s="14" t="n">
        <f aca="false">k_B</f>
        <v>1.17213932619116</v>
      </c>
      <c r="E869" s="14" t="n">
        <f aca="false">k_B</f>
        <v>1.17213932619116</v>
      </c>
      <c r="F869" s="14" t="n">
        <f aca="false">(k_B+((ls_B*k_long+(1-ls_B)*k_spot)-k_B)*MIN(1,(Sens!F854-base_fy)/k_ramp))*0.85</f>
        <v>0.996318427262482</v>
      </c>
      <c r="G869" s="14" t="n">
        <f aca="false">(k_B+((ls_B*k_long+(1-ls_B)*k_spot)-k_B)*MIN(1,(Sens!G854-base_fy)/k_ramp))*0.85</f>
        <v>0.996318427262482</v>
      </c>
      <c r="H869" s="14" t="n">
        <f aca="false">(k_B+((ls_B*k_long+(1-ls_B)*k_spot)-k_B)*MIN(1,(Sens!H854-base_fy)/k_ramp))*0.85</f>
        <v>0.996318427262482</v>
      </c>
      <c r="I869" s="14" t="n">
        <f aca="false">(k_B+((ls_B*k_long+(1-ls_B)*k_spot)-k_B)*MIN(1,(Sens!I854-base_fy)/k_ramp))*0.85</f>
        <v>0.996318427262482</v>
      </c>
      <c r="J869" s="14" t="n">
        <f aca="false">(k_B+((ls_B*k_long+(1-ls_B)*k_spot)-k_B)*MIN(1,(Sens!J854-base_fy)/k_ramp))*0.85</f>
        <v>0.996318427262482</v>
      </c>
      <c r="K869" s="14" t="n">
        <f aca="false">(k_B+((ls_B*k_long+(1-ls_B)*k_spot)-k_B)*MIN(1,(Sens!K854-base_fy)/k_ramp))*0.85</f>
        <v>0.996318427262482</v>
      </c>
      <c r="L869" s="1" t="s">
        <v>829</v>
      </c>
    </row>
    <row r="870" customFormat="false" ht="17.15" hidden="false" customHeight="false" outlineLevel="0" collapsed="false">
      <c r="A870" s="1" t="s">
        <v>830</v>
      </c>
      <c r="B870" s="0" t="s">
        <v>346</v>
      </c>
      <c r="C870" s="14" t="n">
        <f aca="false">Sens!C868*Sens!C869*chip_f</f>
        <v>11.3973387156315</v>
      </c>
      <c r="D870" s="14" t="n">
        <f aca="false">Sens!D868*Sens!D869*chip_f</f>
        <v>11.3973387156315</v>
      </c>
      <c r="E870" s="14" t="n">
        <f aca="false">Sens!E868*Sens!E869*chip_f</f>
        <v>11.3973387156315</v>
      </c>
      <c r="F870" s="14" t="n">
        <f aca="false">Sens!F868*Sens!F869*chip_f</f>
        <v>10.3696396642845</v>
      </c>
      <c r="G870" s="14" t="n">
        <f aca="false">Sens!G868*Sens!G869*chip_f</f>
        <v>10.7989092320753</v>
      </c>
      <c r="H870" s="14" t="n">
        <f aca="false">Sens!H868*Sens!H869*chip_f</f>
        <v>11.0901218777532</v>
      </c>
      <c r="I870" s="14" t="n">
        <f aca="false">Sens!I868*Sens!I869*chip_f</f>
        <v>11.3176076947175</v>
      </c>
      <c r="J870" s="14" t="n">
        <f aca="false">Sens!J868*Sens!J869*chip_f</f>
        <v>11.5030758925966</v>
      </c>
      <c r="K870" s="14" t="n">
        <f aca="false">Sens!K868*Sens!K869*chip_f</f>
        <v>11.7643474539493</v>
      </c>
      <c r="L870" s="1" t="s">
        <v>831</v>
      </c>
    </row>
    <row r="871" customFormat="false" ht="17.15" hidden="false" customHeight="false" outlineLevel="0" collapsed="false">
      <c r="A871" s="0" t="s">
        <v>832</v>
      </c>
      <c r="B871" s="0" t="s">
        <v>98</v>
      </c>
      <c r="D871" s="6" t="n">
        <f aca="false">(Sens!C856+Sens!D856)/2*Sens!D870/1000</f>
        <v>12.9359794422418</v>
      </c>
      <c r="E871" s="6" t="n">
        <f aca="false">(Sens!D856+Sens!E856)/2*Sens!E870/1000</f>
        <v>27.8095064661409</v>
      </c>
      <c r="F871" s="6" t="n">
        <f aca="false">(Sens!E856+Sens!F856)/2*Sens!F870/1000</f>
        <v>46.8044055887147</v>
      </c>
      <c r="G871" s="6" t="n">
        <f aca="false">(Sens!F856+Sens!G856)/2*Sens!G870/1000</f>
        <v>76.0329601211957</v>
      </c>
      <c r="H871" s="6" t="n">
        <f aca="false">(Sens!G856+Sens!H856)/2*Sens!H870/1000</f>
        <v>106.110286126343</v>
      </c>
      <c r="I871" s="6" t="n">
        <f aca="false">(Sens!H856+Sens!I856)/2*Sens!I870/1000</f>
        <v>132.734691225662</v>
      </c>
      <c r="J871" s="6" t="n">
        <f aca="false">(Sens!I856+Sens!J856)/2*Sens!J870/1000</f>
        <v>151.520392499145</v>
      </c>
      <c r="K871" s="6" t="n">
        <f aca="false">(Sens!J856+Sens!K856)/2*Sens!K870/1000</f>
        <v>163.823296678328</v>
      </c>
      <c r="L871" s="11" t="s">
        <v>833</v>
      </c>
    </row>
    <row r="872" customFormat="false" ht="17.15" hidden="false" customHeight="false" outlineLevel="0" collapsed="false">
      <c r="A872" s="1" t="s">
        <v>834</v>
      </c>
      <c r="B872" s="0" t="s">
        <v>346</v>
      </c>
      <c r="C872" s="14" t="n">
        <f aca="false">(Sens!C864*tk_opex_h100+Sens!C865*tk_opex_gb200+Sens!C866*tk_opex_gb300+Sens!C867*tk_opex_vr200)/Sens!C856</f>
        <v>1.88636041306092</v>
      </c>
      <c r="D872" s="14" t="n">
        <f aca="false">(Sens!D864*tk_opex_h100+Sens!D865*tk_opex_gb200+Sens!D866*tk_opex_gb300+Sens!D867*tk_opex_vr200)/Sens!D856</f>
        <v>1.88636041306092</v>
      </c>
      <c r="E872" s="14" t="n">
        <f aca="false">(Sens!E864*tk_opex_h100+Sens!E865*tk_opex_gb200+Sens!E866*tk_opex_gb300+Sens!E867*tk_opex_vr200)/Sens!E856</f>
        <v>1.88636041306092</v>
      </c>
      <c r="F872" s="14" t="n">
        <f aca="false">(Sens!F864*tk_opex_h100+Sens!F865*tk_opex_gb200+Sens!F866*tk_opex_gb300+Sens!F867*tk_opex_vr200)/Sens!F856</f>
        <v>1.9430236476499</v>
      </c>
      <c r="G872" s="14" t="n">
        <f aca="false">(Sens!G864*tk_opex_h100+Sens!G865*tk_opex_gb200+Sens!G866*tk_opex_gb300+Sens!G867*tk_opex_vr200)/Sens!G856</f>
        <v>1.9786941852423</v>
      </c>
      <c r="H872" s="14" t="n">
        <f aca="false">(Sens!H864*tk_opex_h100+Sens!H865*tk_opex_gb200+Sens!H866*tk_opex_gb300+Sens!H867*tk_opex_vr200)/Sens!H856</f>
        <v>2.00289275976156</v>
      </c>
      <c r="I872" s="14" t="n">
        <f aca="false">(Sens!I864*tk_opex_h100+Sens!I865*tk_opex_gb200+Sens!I866*tk_opex_gb300+Sens!I867*tk_opex_vr200)/Sens!I856</f>
        <v>2.02179589661219</v>
      </c>
      <c r="J872" s="14" t="n">
        <f aca="false">(Sens!J864*tk_opex_h100+Sens!J865*tk_opex_gb200+Sens!J866*tk_opex_gb300+Sens!J867*tk_opex_vr200)/Sens!J856</f>
        <v>2.03720754193029</v>
      </c>
      <c r="K872" s="14" t="n">
        <f aca="false">(Sens!K864*tk_opex_h100+Sens!K865*tk_opex_gb200+Sens!K866*tk_opex_gb300+Sens!K867*tk_opex_vr200)/Sens!K856</f>
        <v>2.0589181353437</v>
      </c>
    </row>
    <row r="873" customFormat="false" ht="17.15" hidden="false" customHeight="false" outlineLevel="0" collapsed="false">
      <c r="A873" s="0" t="s">
        <v>835</v>
      </c>
      <c r="B873" s="0" t="s">
        <v>98</v>
      </c>
      <c r="D873" s="6" t="n">
        <f aca="false">(Sens!C859+Sens!D859)/2*Sens!D872/1000</f>
        <v>2.70378325872065</v>
      </c>
      <c r="E873" s="6" t="n">
        <f aca="false">(Sens!D859+Sens!E859)/2*Sens!E872/1000</f>
        <v>6.17783035277451</v>
      </c>
      <c r="F873" s="6" t="n">
        <f aca="false">(Sens!E859+Sens!F859)/2*Sens!F872/1000</f>
        <v>12.5020618235287</v>
      </c>
      <c r="G873" s="6" t="n">
        <f aca="false">(Sens!F859+Sens!G859)/2*Sens!G872/1000</f>
        <v>20.7261620256847</v>
      </c>
      <c r="H873" s="6" t="n">
        <f aca="false">(Sens!G859+Sens!H859)/2*Sens!H872/1000</f>
        <v>29.4158183316982</v>
      </c>
      <c r="I873" s="6" t="n">
        <f aca="false">(Sens!H859+Sens!I859)/2*Sens!I872/1000</f>
        <v>36.9724400356344</v>
      </c>
      <c r="J873" s="6" t="n">
        <f aca="false">(Sens!I859+Sens!J859)/2*Sens!J872/1000</f>
        <v>42.1571687189816</v>
      </c>
      <c r="K873" s="6" t="n">
        <f aca="false">(Sens!J859+Sens!K859)/2*Sens!K872/1000</f>
        <v>45.1912095080704</v>
      </c>
    </row>
    <row r="874" customFormat="false" ht="17.15" hidden="false" customHeight="false" outlineLevel="0" collapsed="false">
      <c r="A874" s="0" t="s">
        <v>836</v>
      </c>
      <c r="B874" s="0" t="s">
        <v>98</v>
      </c>
      <c r="D874" s="6" t="n">
        <f aca="false">(Sens!C857+Sens!D857)/2*rent_mw/1000</f>
        <v>2.44475</v>
      </c>
      <c r="E874" s="6" t="n">
        <f aca="false">(Sens!D857+Sens!E857)/2*rent_mw/1000</f>
        <v>4.22275</v>
      </c>
      <c r="F874" s="6" t="n">
        <f aca="false">(Sens!E857+Sens!F857)/2*rent_mw/1000</f>
        <v>5.80517</v>
      </c>
      <c r="G874" s="6" t="n">
        <f aca="false">(Sens!F857+Sens!G857)/2*rent_mw/1000</f>
        <v>6.72084</v>
      </c>
      <c r="H874" s="6" t="n">
        <f aca="false">(Sens!G857+Sens!H857)/2*rent_mw/1000</f>
        <v>6.72084</v>
      </c>
      <c r="I874" s="6" t="n">
        <f aca="false">(Sens!H857+Sens!I857)/2*rent_mw/1000</f>
        <v>6.72084</v>
      </c>
      <c r="J874" s="6" t="n">
        <f aca="false">(Sens!I857+Sens!J857)/2*rent_mw/1000</f>
        <v>6.72084</v>
      </c>
      <c r="K874" s="6" t="n">
        <f aca="false">(Sens!J857+Sens!K857)/2*rent_mw/1000</f>
        <v>6.72084</v>
      </c>
    </row>
    <row r="875" customFormat="false" ht="17.15" hidden="false" customHeight="false" outlineLevel="0" collapsed="false">
      <c r="A875" s="0" t="s">
        <v>837</v>
      </c>
      <c r="B875" s="0" t="s">
        <v>98</v>
      </c>
      <c r="D875" s="6" t="n">
        <f aca="false">(Sens!C859+Sens!D859)/2*(1-self_build)*fac_rent/1000</f>
        <v>0.853242375631075</v>
      </c>
      <c r="E875" s="6" t="n">
        <f aca="false">(Sens!D859+Sens!E859)/2*(1-self_build)*fac_rent/1000</f>
        <v>1.94955961408728</v>
      </c>
      <c r="F875" s="6" t="n">
        <f aca="false">(Sens!E859+Sens!F859)/2*(1-self_build)*fac_rent/1000</f>
        <v>3.83026455274573</v>
      </c>
      <c r="G875" s="6" t="n">
        <f aca="false">(Sens!F859+Sens!G859)/2*(1-self_build)*fac_rent/1000</f>
        <v>6.23541590972812</v>
      </c>
      <c r="H875" s="6" t="n">
        <f aca="false">(Sens!G859+Sens!H859)/2*(1-self_build)*fac_rent/1000</f>
        <v>8.74275792332679</v>
      </c>
      <c r="I875" s="6" t="n">
        <f aca="false">(Sens!H859+Sens!I859)/2*(1-self_build)*fac_rent/1000</f>
        <v>10.8859420438599</v>
      </c>
      <c r="J875" s="6" t="n">
        <f aca="false">(Sens!I859+Sens!J859)/2*(1-self_build)*fac_rent/1000</f>
        <v>12.3186006405366</v>
      </c>
      <c r="K875" s="6" t="n">
        <f aca="false">(Sens!J859+Sens!K859)/2*(1-self_build)*fac_rent/1000</f>
        <v>13.0659232089824</v>
      </c>
      <c r="L875" s="11" t="s">
        <v>838</v>
      </c>
    </row>
    <row r="876" customFormat="false" ht="17.15" hidden="false" customHeight="false" outlineLevel="0" collapsed="false">
      <c r="A876" s="1" t="s">
        <v>839</v>
      </c>
      <c r="B876" s="0" t="s">
        <v>129</v>
      </c>
      <c r="D876" s="7" t="n">
        <f aca="false">(Sens!C858+Sens!D858)/(Sens!C859+Sens!D859)</f>
        <v>0.6</v>
      </c>
      <c r="E876" s="7" t="n">
        <f aca="false">(Sens!D858+Sens!E858)/(Sens!D859+Sens!E859)</f>
        <v>0.6</v>
      </c>
      <c r="F876" s="7" t="n">
        <f aca="false">(Sens!E858+Sens!F858)/(Sens!E859+Sens!F859)</f>
        <v>0.6</v>
      </c>
      <c r="G876" s="7" t="n">
        <f aca="false">(Sens!F858+Sens!G858)/(Sens!F859+Sens!G859)</f>
        <v>0.6</v>
      </c>
      <c r="H876" s="7" t="n">
        <f aca="false">(Sens!G858+Sens!H858)/(Sens!G859+Sens!H859)</f>
        <v>0.6</v>
      </c>
      <c r="I876" s="7" t="n">
        <f aca="false">(Sens!H858+Sens!I858)/(Sens!H859+Sens!I859)</f>
        <v>0.6</v>
      </c>
      <c r="J876" s="7" t="n">
        <f aca="false">(Sens!I858+Sens!J858)/(Sens!I859+Sens!J859)</f>
        <v>0.6</v>
      </c>
      <c r="K876" s="7" t="n">
        <f aca="false">(Sens!J858+Sens!K858)/(Sens!J859+Sens!K859)</f>
        <v>0.6</v>
      </c>
    </row>
    <row r="877" customFormat="false" ht="17.15" hidden="false" customHeight="false" outlineLevel="0" collapsed="false">
      <c r="A877" s="0" t="s">
        <v>840</v>
      </c>
      <c r="B877" s="0" t="s">
        <v>98</v>
      </c>
      <c r="D877" s="6" t="n">
        <f aca="false">Sens!D871-Sens!D876*(Sens!D873+Sens!D875)-Sens!D874</f>
        <v>8.35701406163072</v>
      </c>
      <c r="E877" s="6" t="n">
        <f aca="false">Sens!E871-Sens!E876*(Sens!E873+Sens!E875)-Sens!E874</f>
        <v>18.7103224860238</v>
      </c>
      <c r="F877" s="6" t="n">
        <f aca="false">Sens!F871-Sens!F876*(Sens!F873+Sens!F875)-Sens!F874</f>
        <v>31.1998397629501</v>
      </c>
      <c r="G877" s="6" t="n">
        <f aca="false">Sens!G871-Sens!G876*(Sens!G873+Sens!G875)-Sens!G874</f>
        <v>53.135173359948</v>
      </c>
      <c r="H877" s="6" t="n">
        <f aca="false">Sens!H871-Sens!H876*(Sens!H873+Sens!H875)-Sens!H874</f>
        <v>76.4943003733279</v>
      </c>
      <c r="I877" s="6" t="n">
        <f aca="false">Sens!I871-Sens!I876*(Sens!I873+Sens!I875)-Sens!I874</f>
        <v>97.2988219779655</v>
      </c>
      <c r="J877" s="6" t="n">
        <f aca="false">Sens!J871-Sens!J876*(Sens!J873+Sens!J875)-Sens!J874</f>
        <v>112.114090883434</v>
      </c>
      <c r="K877" s="6" t="n">
        <f aca="false">Sens!K871-Sens!K876*(Sens!K873+Sens!K875)-Sens!K874</f>
        <v>122.148177048096</v>
      </c>
    </row>
    <row r="878" customFormat="false" ht="17.15" hidden="false" customHeight="false" outlineLevel="0" collapsed="false">
      <c r="A878" s="1" t="s">
        <v>841</v>
      </c>
      <c r="B878" s="0" t="s">
        <v>98</v>
      </c>
      <c r="D878" s="6" t="n">
        <f aca="false">(1-Sens!D876)*(Sens!D873+Sens!D875)</f>
        <v>1.42281025374069</v>
      </c>
      <c r="E878" s="6" t="n">
        <f aca="false">(1-Sens!E876)*(Sens!E873+Sens!E875)</f>
        <v>3.25095598674472</v>
      </c>
      <c r="F878" s="6" t="n">
        <f aca="false">(1-Sens!F876)*(Sens!F873+Sens!F875)</f>
        <v>6.53293055050977</v>
      </c>
      <c r="G878" s="6" t="n">
        <f aca="false">(1-Sens!G876)*(Sens!G873+Sens!G875)</f>
        <v>10.7846311741651</v>
      </c>
      <c r="H878" s="6" t="n">
        <f aca="false">(1-Sens!H876)*(Sens!H873+Sens!H875)</f>
        <v>15.26343050201</v>
      </c>
      <c r="I878" s="6" t="n">
        <f aca="false">(1-Sens!I876)*(Sens!I873+Sens!I875)</f>
        <v>19.1433528317977</v>
      </c>
      <c r="J878" s="6" t="n">
        <f aca="false">(1-Sens!J876)*(Sens!J873+Sens!J875)</f>
        <v>21.7903077438073</v>
      </c>
      <c r="K878" s="6" t="n">
        <f aca="false">(1-Sens!K876)*(Sens!K873+Sens!K875)</f>
        <v>23.3028530868211</v>
      </c>
    </row>
    <row r="879" customFormat="false" ht="17.15" hidden="false" customHeight="false" outlineLevel="0" collapsed="false">
      <c r="A879" s="1" t="s">
        <v>842</v>
      </c>
      <c r="B879" s="0" t="s">
        <v>357</v>
      </c>
      <c r="C879" s="8" t="n">
        <f aca="false">cxit_open</f>
        <v>27.5918995</v>
      </c>
      <c r="D879" s="8" t="n">
        <f aca="false">cxit_open</f>
        <v>27.5918995</v>
      </c>
      <c r="E879" s="8" t="n">
        <f aca="false">cxit_open</f>
        <v>27.5918995</v>
      </c>
      <c r="F879" s="8" t="n">
        <f aca="false">(a_g3_27*tk_cxit_gb300+(1-a_g3_27)*tk_cxit_vr200)</f>
        <v>33.8419624</v>
      </c>
      <c r="G879" s="8" t="n">
        <f aca="false">(a_g3_28*tk_cxit_gb300+(1-a_g3_28)*tk_cxit_vr200)</f>
        <v>35.9816136</v>
      </c>
      <c r="H879" s="8" t="n">
        <f aca="false">(a_g3_29*tk_cxit_gb300+(1-a_g3_29)*tk_cxit_vr200)</f>
        <v>37.0514392</v>
      </c>
      <c r="I879" s="8" t="n">
        <f aca="false">(a_g3_29*tk_cxit_gb300+(1-a_g3_29)*tk_cxit_vr200)</f>
        <v>37.0514392</v>
      </c>
      <c r="J879" s="8" t="n">
        <f aca="false">(a_g3_29*tk_cxit_gb300+(1-a_g3_29)*tk_cxit_vr200)</f>
        <v>37.0514392</v>
      </c>
      <c r="K879" s="8" t="n">
        <f aca="false">(a_g3_29*tk_cxit_gb300+(1-a_g3_29)*tk_cxit_vr200)</f>
        <v>37.0514392</v>
      </c>
      <c r="L879" s="11" t="s">
        <v>843</v>
      </c>
    </row>
    <row r="880" customFormat="false" ht="17.15" hidden="false" customHeight="false" outlineLevel="0" collapsed="false">
      <c r="A880" s="0" t="s">
        <v>844</v>
      </c>
      <c r="B880" s="0" t="s">
        <v>399</v>
      </c>
      <c r="F880" s="29" t="n">
        <f aca="false">Sens!C861*IF(Sens!F854-Sens!C854=life_it,1,0)+Sens!D861*IF(Sens!F854-Sens!D854=life_it,1,0)+Sens!E861*IF(Sens!F854-Sens!E854=life_it,1,0)</f>
        <v>0</v>
      </c>
      <c r="G880" s="29" t="n">
        <f aca="false">Sens!C861*IF(Sens!G854-Sens!C854=life_it,1,0)+Sens!D861*IF(Sens!G854-Sens!D854=life_it,1,0)+Sens!E861*IF(Sens!G854-Sens!E854=life_it,1,0)+Sens!F861*IF(Sens!G854-Sens!F854=life_it,1,0)</f>
        <v>0</v>
      </c>
      <c r="H880" s="29" t="n">
        <f aca="false">Sens!C861*IF(Sens!H854-Sens!C854=life_it,1,0)+Sens!D861*IF(Sens!H854-Sens!D854=life_it,1,0)+Sens!E861*IF(Sens!H854-Sens!E854=life_it,1,0)+Sens!F861*IF(Sens!H854-Sens!F854=life_it,1,0)+Sens!G861*IF(Sens!H854-Sens!G854=life_it,1,0)</f>
        <v>0</v>
      </c>
      <c r="I880" s="29" t="n">
        <f aca="false">Sens!C861*IF(Sens!I854-Sens!C854=life_it,1,0)+Sens!D861*IF(Sens!I854-Sens!D854=life_it,1,0)+Sens!E861*IF(Sens!I854-Sens!E854=life_it,1,0)+Sens!F861*IF(Sens!I854-Sens!F854=life_it,1,0)+Sens!G861*IF(Sens!I854-Sens!G854=life_it,1,0)+Sens!H861*IF(Sens!I854-Sens!H854=life_it,1,0)</f>
        <v>816.666666666667</v>
      </c>
      <c r="J880" s="29" t="n">
        <f aca="false">Sens!C861*IF(Sens!J854-Sens!C854=life_it,1,0)+Sens!D861*IF(Sens!J854-Sens!D854=life_it,1,0)+Sens!E861*IF(Sens!J854-Sens!E854=life_it,1,0)+Sens!F861*IF(Sens!J854-Sens!F854=life_it,1,0)+Sens!G861*IF(Sens!J854-Sens!G854=life_it,1,0)+Sens!H861*IF(Sens!J854-Sens!H854=life_it,1,0)+Sens!I861*IF(Sens!J854-Sens!I854=life_it,1,0)</f>
        <v>1233.33333333333</v>
      </c>
      <c r="K880" s="29" t="n">
        <f aca="false">Sens!C861*IF(Sens!K854-Sens!C854=life_it,1,0)+Sens!D861*IF(Sens!K854-Sens!D854=life_it,1,0)+Sens!E861*IF(Sens!K854-Sens!E854=life_it,1,0)+Sens!F861*IF(Sens!K854-Sens!F854=life_it,1,0)+Sens!G861*IF(Sens!K854-Sens!G854=life_it,1,0)+Sens!H861*IF(Sens!K854-Sens!H854=life_it,1,0)+Sens!I861*IF(Sens!K854-Sens!I854=life_it,1,0)+Sens!J861*IF(Sens!K854-Sens!J854=life_it,1,0)</f>
        <v>2450</v>
      </c>
      <c r="L880" s="1" t="s">
        <v>845</v>
      </c>
    </row>
    <row r="881" customFormat="false" ht="17.15" hidden="false" customHeight="false" outlineLevel="0" collapsed="false">
      <c r="A881" s="0" t="s">
        <v>846</v>
      </c>
      <c r="B881" s="0" t="s">
        <v>98</v>
      </c>
      <c r="C881" s="6" t="n">
        <f aca="false">Sens!C861*Sens!C879/1000</f>
        <v>22.5333845916667</v>
      </c>
      <c r="D881" s="6" t="n">
        <f aca="false">Sens!D861*Sens!D879/1000</f>
        <v>34.0300093833333</v>
      </c>
      <c r="E881" s="6" t="n">
        <f aca="false">Sens!E861*Sens!E879/1000</f>
        <v>67.600153775</v>
      </c>
      <c r="F881" s="6" t="n">
        <f aca="false">(Sens!F861+Sens!F880)*Sens!F879/1000</f>
        <v>130.923271871467</v>
      </c>
      <c r="G881" s="6" t="n">
        <f aca="false">(Sens!G861+Sens!G880)*Sens!G879/1000</f>
        <v>151.5545564832</v>
      </c>
      <c r="H881" s="6" t="n">
        <f aca="false">(Sens!H861+Sens!H880)*Sens!H879/1000</f>
        <v>156.0606619104</v>
      </c>
      <c r="I881" s="6" t="n">
        <f aca="false">(Sens!I861+Sens!I880)*Sens!I879/1000</f>
        <v>140.987889434245</v>
      </c>
      <c r="J881" s="6" t="n">
        <f aca="false">(Sens!J861+Sens!J880)*Sens!J879/1000</f>
        <v>113.309125559842</v>
      </c>
      <c r="K881" s="6" t="n">
        <f aca="false">(Sens!K861+Sens!K880)*Sens!K879/1000</f>
        <v>116.192591420959</v>
      </c>
    </row>
    <row r="882" customFormat="false" ht="17.15" hidden="false" customHeight="false" outlineLevel="0" collapsed="false">
      <c r="A882" s="0" t="s">
        <v>847</v>
      </c>
      <c r="B882" s="0" t="s">
        <v>98</v>
      </c>
      <c r="C882" s="6" t="n">
        <f aca="false">Sens!C861*self_build*tk_cxfac/1000</f>
        <v>6.2083</v>
      </c>
      <c r="D882" s="6" t="n">
        <f aca="false">Sens!D861*self_build*tk_cxfac/1000</f>
        <v>9.3758</v>
      </c>
      <c r="E882" s="6" t="n">
        <f aca="false">Sens!E861*self_build*tk_cxfac/1000</f>
        <v>18.6249</v>
      </c>
      <c r="F882" s="6" t="n">
        <f aca="false">Sens!F861*self_build*tk_cxfac/1000</f>
        <v>29.409604</v>
      </c>
      <c r="G882" s="6" t="n">
        <f aca="false">Sens!G861*self_build*tk_cxfac/1000</f>
        <v>32.019624</v>
      </c>
      <c r="H882" s="6" t="n">
        <f aca="false">Sens!H861*self_build*tk_cxfac/1000</f>
        <v>32.019624</v>
      </c>
      <c r="I882" s="6" t="n">
        <f aca="false">Sens!I861*self_build*tk_cxfac/1000</f>
        <v>22.71877972</v>
      </c>
      <c r="J882" s="6" t="n">
        <f aca="false">Sens!J861*self_build*tk_cxfac/1000</f>
        <v>13.8723110344</v>
      </c>
      <c r="K882" s="6" t="n">
        <f aca="false">Sens!K861*self_build*tk_cxfac/1000</f>
        <v>5.214823882632</v>
      </c>
    </row>
    <row r="883" customFormat="false" ht="17.15" hidden="false" customHeight="false" outlineLevel="0" collapsed="false">
      <c r="A883" s="0" t="s">
        <v>848</v>
      </c>
      <c r="B883" s="0" t="s">
        <v>98</v>
      </c>
      <c r="F883" s="6" t="n">
        <f aca="false">MAX(0,capex_floor27-Sens!F881-Sens!F882-Sens!F977)</f>
        <v>8.28777689897088</v>
      </c>
    </row>
    <row r="884" customFormat="false" ht="17.15" hidden="false" customHeight="false" outlineLevel="0" collapsed="false">
      <c r="A884" s="0" t="s">
        <v>849</v>
      </c>
      <c r="B884" s="0" t="s">
        <v>98</v>
      </c>
      <c r="C884" s="6" t="n">
        <f aca="false">Sens!C881</f>
        <v>22.5333845916667</v>
      </c>
      <c r="D884" s="6" t="n">
        <f aca="false">Sens!D881</f>
        <v>34.0300093833333</v>
      </c>
      <c r="E884" s="6" t="n">
        <f aca="false">Sens!E881</f>
        <v>67.600153775</v>
      </c>
      <c r="F884" s="6" t="n">
        <f aca="false">Sens!F881</f>
        <v>130.923271871467</v>
      </c>
      <c r="G884" s="6" t="n">
        <f aca="false">Sens!G881</f>
        <v>151.5545564832</v>
      </c>
      <c r="H884" s="6" t="n">
        <f aca="false">Sens!H881</f>
        <v>156.0606619104</v>
      </c>
      <c r="I884" s="6" t="n">
        <f aca="false">Sens!I881</f>
        <v>140.987889434245</v>
      </c>
      <c r="J884" s="6" t="n">
        <f aca="false">Sens!J881</f>
        <v>113.309125559842</v>
      </c>
      <c r="K884" s="6" t="n">
        <f aca="false">Sens!K881</f>
        <v>116.192591420959</v>
      </c>
    </row>
    <row r="885" customFormat="false" ht="17.15" hidden="false" customHeight="false" outlineLevel="0" collapsed="false">
      <c r="A885" s="0" t="s">
        <v>850</v>
      </c>
      <c r="B885" s="0" t="s">
        <v>98</v>
      </c>
      <c r="C885" s="6" t="n">
        <f aca="false">Sens!C884+Sens!C882</f>
        <v>28.7416845916667</v>
      </c>
      <c r="D885" s="6" t="n">
        <f aca="false">Sens!D884+Sens!D882</f>
        <v>43.4058093833333</v>
      </c>
      <c r="E885" s="6" t="n">
        <f aca="false">Sens!E884+Sens!E882</f>
        <v>86.225053775</v>
      </c>
      <c r="F885" s="6" t="n">
        <f aca="false">Sens!F884+Sens!F882</f>
        <v>160.332875871467</v>
      </c>
      <c r="G885" s="6" t="n">
        <f aca="false">Sens!G884+Sens!G882</f>
        <v>183.5741804832</v>
      </c>
      <c r="H885" s="6" t="n">
        <f aca="false">Sens!H884+Sens!H882</f>
        <v>188.0802859104</v>
      </c>
      <c r="I885" s="6" t="n">
        <f aca="false">Sens!I884+Sens!I882</f>
        <v>163.706669154245</v>
      </c>
      <c r="J885" s="6" t="n">
        <f aca="false">Sens!J884+Sens!J882</f>
        <v>127.181436594242</v>
      </c>
      <c r="K885" s="6" t="n">
        <f aca="false">Sens!K884+Sens!K882</f>
        <v>121.407415303591</v>
      </c>
      <c r="L885" s="11" t="s">
        <v>851</v>
      </c>
    </row>
    <row r="886" customFormat="false" ht="17.15" hidden="false" customHeight="false" outlineLevel="0" collapsed="false">
      <c r="A886" s="0" t="s">
        <v>852</v>
      </c>
      <c r="B886" s="0" t="s">
        <v>98</v>
      </c>
      <c r="E886" s="6" t="n">
        <f aca="false">(Sens!C884*IF(2&lt;life_it,1,IF(2=life_it,0.5,0))+Sens!D884*IF(1&lt;life_it,1,IF(1=life_it,0.5,0))+Sens!E884*0.5)/life_it</f>
        <v>15.0605784770833</v>
      </c>
      <c r="F886" s="6" t="n">
        <f aca="false">(Sens!C884*IF(3&lt;life_it,1,IF(3=life_it,0.5,0))+Sens!D884*IF(2&lt;life_it,1,IF(2=life_it,0.5,0))+Sens!E884*IF(1&lt;life_it,1,IF(1=life_it,0.5,0))+Sens!F884*0.5)/life_it</f>
        <v>31.6041972809556</v>
      </c>
      <c r="G886" s="6" t="n">
        <f aca="false">(Sens!C884*IF(4&lt;life_it,1,IF(4=life_it,0.5,0))+Sens!D884*IF(3&lt;life_it,1,IF(3=life_it,0.5,0))+Sens!E884*IF(2&lt;life_it,1,IF(2=life_it,0.5,0))+Sens!F884*IF(1&lt;life_it,1,IF(1=life_it,0.5,0))+Sens!G884*0.5)/life_it</f>
        <v>55.1440163105111</v>
      </c>
      <c r="H886" s="6" t="n">
        <f aca="false">(Sens!C884*IF(5&lt;life_it,1,IF(5=life_it,0.5,0))+Sens!D884*IF(4&lt;life_it,1,IF(4=life_it,0.5,0))+Sens!E884*IF(3&lt;life_it,1,IF(3=life_it,0.5,0))+Sens!F884*IF(2&lt;life_it,1,IF(2=life_it,0.5,0))+Sens!G884*IF(1&lt;life_it,1,IF(1=life_it,0.5,0))+Sens!H884*0.5)/life_it</f>
        <v>80.7786178433111</v>
      </c>
      <c r="I886" s="6" t="n">
        <f aca="false">(Sens!C884*IF(6&lt;life_it,1,IF(6=life_it,0.5,0))+Sens!D884*IF(5&lt;life_it,1,IF(5=life_it,0.5,0))+Sens!E884*IF(4&lt;life_it,1,IF(4=life_it,0.5,0))+Sens!F884*IF(3&lt;life_it,1,IF(3=life_it,0.5,0))+Sens!G884*IF(2&lt;life_it,1,IF(2=life_it,0.5,0))+Sens!H884*IF(1&lt;life_it,1,IF(1=life_it,0.5,0))+Sens!I884*0.5)/life_it</f>
        <v>103.654881739393</v>
      </c>
      <c r="J886" s="6" t="n">
        <f aca="false">(Sens!C884*IF(7&lt;life_it,1,IF(7=life_it,0.5,0))+Sens!D884*IF(6&lt;life_it,1,IF(6=life_it,0.5,0))+Sens!E884*IF(5&lt;life_it,1,IF(5=life_it,0.5,0))+Sens!F884*IF(4&lt;life_it,1,IF(4=life_it,0.5,0))+Sens!G884*IF(3&lt;life_it,1,IF(3=life_it,0.5,0))+Sens!H884*IF(2&lt;life_it,1,IF(2=life_it,0.5,0))+Sens!I884*IF(1&lt;life_it,1,IF(1=life_it,0.5,0))+Sens!J884*0.5)/life_it</f>
        <v>120.132683490983</v>
      </c>
      <c r="K886" s="6" t="n">
        <f aca="false">(Sens!C884*IF(8&lt;life_it,1,IF(8=life_it,0.5,0))+Sens!D884*IF(7&lt;life_it,1,IF(7=life_it,0.5,0))+Sens!E884*IF(6&lt;life_it,1,IF(6=life_it,0.5,0))+Sens!F884*IF(5&lt;life_it,1,IF(5=life_it,0.5,0))+Sens!G884*IF(4&lt;life_it,1,IF(4=life_it,0.5,0))+Sens!H884*IF(3&lt;life_it,1,IF(3=life_it,0.5,0))+Sens!I884*IF(2&lt;life_it,1,IF(2=life_it,0.5,0))+Sens!J884*IF(1&lt;life_it,1,IF(1=life_it,0.5,0))+Sens!K884*0.5)/life_it</f>
        <v>130.788646309522</v>
      </c>
    </row>
    <row r="887" customFormat="false" ht="17.15" hidden="false" customHeight="false" outlineLevel="0" collapsed="false">
      <c r="A887" s="0" t="s">
        <v>853</v>
      </c>
      <c r="B887" s="0" t="s">
        <v>98</v>
      </c>
      <c r="E887" s="6" t="n">
        <f aca="false">(Sens!C882*IF(2&lt;life_fac,1,IF(2=life_fac,0.5,0))+Sens!D882*IF(1&lt;life_fac,1,IF(1=life_fac,0.5,0))+Sens!E882*0.5)/life_fac</f>
        <v>1.2448275</v>
      </c>
      <c r="F887" s="6" t="n">
        <f aca="false">(Sens!C882*IF(3&lt;life_fac,1,IF(3=life_fac,0.5,0))+Sens!D882*IF(2&lt;life_fac,1,IF(2=life_fac,0.5,0))+Sens!E882*IF(1&lt;life_fac,1,IF(1=life_fac,0.5,0))+Sens!F882*0.5)/life_fac</f>
        <v>2.4456901</v>
      </c>
      <c r="G887" s="6" t="n">
        <f aca="false">(Sens!C882*IF(4&lt;life_fac,1,IF(4=life_fac,0.5,0))+Sens!D882*IF(3&lt;life_fac,1,IF(3=life_fac,0.5,0))+Sens!E882*IF(2&lt;life_fac,1,IF(2=life_fac,0.5,0))+Sens!F882*IF(1&lt;life_fac,1,IF(1=life_fac,0.5,0))+Sens!G882*0.5)/life_fac</f>
        <v>3.9814208</v>
      </c>
      <c r="H887" s="6" t="n">
        <f aca="false">(Sens!C882*IF(5&lt;life_fac,1,IF(5=life_fac,0.5,0))+Sens!D882*IF(4&lt;life_fac,1,IF(4=life_fac,0.5,0))+Sens!E882*IF(3&lt;life_fac,1,IF(3=life_fac,0.5,0))+Sens!F882*IF(2&lt;life_fac,1,IF(2=life_fac,0.5,0))+Sens!G882*IF(1&lt;life_fac,1,IF(1=life_fac,0.5,0))+Sens!H882*0.5)/life_fac</f>
        <v>5.582402</v>
      </c>
      <c r="I887" s="6" t="n">
        <f aca="false">(Sens!C882*IF(6&lt;life_fac,1,IF(6=life_fac,0.5,0))+Sens!D882*IF(5&lt;life_fac,1,IF(5=life_fac,0.5,0))+Sens!E882*IF(4&lt;life_fac,1,IF(4=life_fac,0.5,0))+Sens!F882*IF(3&lt;life_fac,1,IF(3=life_fac,0.5,0))+Sens!G882*IF(2&lt;life_fac,1,IF(2=life_fac,0.5,0))+Sens!H882*IF(1&lt;life_fac,1,IF(1=life_fac,0.5,0))+Sens!I882*0.5)/life_fac</f>
        <v>6.950862093</v>
      </c>
      <c r="J887" s="6" t="n">
        <f aca="false">(Sens!C882*IF(7&lt;life_fac,1,IF(7=life_fac,0.5,0))+Sens!D882*IF(6&lt;life_fac,1,IF(6=life_fac,0.5,0))+Sens!E882*IF(5&lt;life_fac,1,IF(5=life_fac,0.5,0))+Sens!F882*IF(4&lt;life_fac,1,IF(4=life_fac,0.5,0))+Sens!G882*IF(3&lt;life_fac,1,IF(3=life_fac,0.5,0))+Sens!H882*IF(2&lt;life_fac,1,IF(2=life_fac,0.5,0))+Sens!I882*IF(1&lt;life_fac,1,IF(1=life_fac,0.5,0))+Sens!J882*0.5)/life_fac</f>
        <v>7.86563936186</v>
      </c>
      <c r="K887" s="6" t="n">
        <f aca="false">(Sens!C882*IF(8&lt;life_fac,1,IF(8=life_fac,0.5,0))+Sens!D882*IF(7&lt;life_fac,1,IF(7=life_fac,0.5,0))+Sens!E882*IF(6&lt;life_fac,1,IF(6=life_fac,0.5,0))+Sens!F882*IF(5&lt;life_fac,1,IF(5=life_fac,0.5,0))+Sens!G882*IF(4&lt;life_fac,1,IF(4=life_fac,0.5,0))+Sens!H882*IF(3&lt;life_fac,1,IF(3=life_fac,0.5,0))+Sens!I882*IF(2&lt;life_fac,1,IF(2=life_fac,0.5,0))+Sens!J882*IF(1&lt;life_fac,1,IF(1=life_fac,0.5,0))+Sens!K882*0.5)/life_fac</f>
        <v>8.3428177347858</v>
      </c>
    </row>
    <row r="888" customFormat="false" ht="17.15" hidden="false" customHeight="false" outlineLevel="0" collapsed="false">
      <c r="A888" s="0" t="s">
        <v>854</v>
      </c>
      <c r="B888" s="0" t="s">
        <v>98</v>
      </c>
      <c r="E888" s="6" t="n">
        <f aca="false">Sens!E886+Sens!E887</f>
        <v>16.3054059770833</v>
      </c>
      <c r="F888" s="6" t="n">
        <f aca="false">Sens!F886+Sens!F887</f>
        <v>34.0498873809555</v>
      </c>
      <c r="G888" s="6" t="n">
        <f aca="false">Sens!G886+Sens!G887</f>
        <v>59.1254371105111</v>
      </c>
      <c r="H888" s="6" t="n">
        <f aca="false">Sens!H886+Sens!H887</f>
        <v>86.3610198433111</v>
      </c>
      <c r="I888" s="6" t="n">
        <f aca="false">Sens!I886+Sens!I887</f>
        <v>110.605743832393</v>
      </c>
      <c r="J888" s="6" t="n">
        <f aca="false">Sens!J886+Sens!J887</f>
        <v>127.998322852843</v>
      </c>
      <c r="K888" s="6" t="n">
        <f aca="false">Sens!K886+Sens!K887</f>
        <v>139.131464044308</v>
      </c>
    </row>
    <row r="889" customFormat="false" ht="17.15" hidden="false" customHeight="false" outlineLevel="0" collapsed="false">
      <c r="A889" s="0" t="s">
        <v>855</v>
      </c>
      <c r="B889" s="0" t="s">
        <v>98</v>
      </c>
      <c r="E889" s="6" t="n">
        <f aca="false">Sens!E877-Sens!E876*Sens!E888</f>
        <v>8.92707889977379</v>
      </c>
      <c r="F889" s="6" t="n">
        <f aca="false">Sens!F877-Sens!F876*Sens!F888</f>
        <v>10.7699073343768</v>
      </c>
      <c r="G889" s="6" t="n">
        <f aca="false">Sens!G877-Sens!G876*Sens!G888</f>
        <v>17.6599110936414</v>
      </c>
      <c r="H889" s="6" t="n">
        <f aca="false">Sens!H877-Sens!H876*Sens!H888</f>
        <v>24.6776884673412</v>
      </c>
      <c r="I889" s="6" t="n">
        <f aca="false">Sens!I877-Sens!I876*Sens!I888</f>
        <v>30.9353756785299</v>
      </c>
      <c r="J889" s="6" t="n">
        <f aca="false">Sens!J877-Sens!J876*Sens!J888</f>
        <v>35.3150971717279</v>
      </c>
      <c r="K889" s="6" t="n">
        <f aca="false">Sens!K877-Sens!K876*Sens!K888</f>
        <v>38.6692986215115</v>
      </c>
    </row>
    <row r="890" customFormat="false" ht="17.15" hidden="false" customHeight="false" outlineLevel="0" collapsed="false">
      <c r="A890" s="3" t="s">
        <v>1283</v>
      </c>
    </row>
    <row r="891" customFormat="false" ht="15" hidden="false" customHeight="false" outlineLevel="0" collapsed="false">
      <c r="A891" s="4" t="s">
        <v>43</v>
      </c>
      <c r="B891" s="4" t="s">
        <v>65</v>
      </c>
      <c r="C891" s="20" t="s">
        <v>799</v>
      </c>
      <c r="D891" s="20" t="s">
        <v>800</v>
      </c>
      <c r="E891" s="20" t="s">
        <v>801</v>
      </c>
      <c r="F891" s="20" t="s">
        <v>802</v>
      </c>
      <c r="G891" s="20" t="s">
        <v>803</v>
      </c>
      <c r="H891" s="20" t="s">
        <v>804</v>
      </c>
      <c r="I891" s="20" t="s">
        <v>805</v>
      </c>
      <c r="J891" s="20" t="s">
        <v>806</v>
      </c>
      <c r="K891" s="20" t="s">
        <v>807</v>
      </c>
      <c r="L891" s="4" t="s">
        <v>47</v>
      </c>
    </row>
    <row r="892" customFormat="false" ht="17.15" hidden="false" customHeight="false" outlineLevel="0" collapsed="false">
      <c r="A892" s="0" t="s">
        <v>874</v>
      </c>
      <c r="B892" s="0" t="s">
        <v>98</v>
      </c>
      <c r="D892" s="6" t="n">
        <f aca="false">Sens!D871</f>
        <v>12.9359794422418</v>
      </c>
      <c r="E892" s="6" t="n">
        <f aca="false">Sens!E871</f>
        <v>27.8095064661409</v>
      </c>
      <c r="F892" s="6" t="n">
        <f aca="false">Sens!F871</f>
        <v>46.8044055887147</v>
      </c>
      <c r="G892" s="6" t="n">
        <f aca="false">Sens!G871</f>
        <v>76.0329601211957</v>
      </c>
      <c r="H892" s="6" t="n">
        <f aca="false">Sens!H871</f>
        <v>106.110286126343</v>
      </c>
      <c r="I892" s="6" t="n">
        <f aca="false">Sens!I871</f>
        <v>132.734691225662</v>
      </c>
      <c r="J892" s="6" t="n">
        <f aca="false">Sens!J871</f>
        <v>151.520392499145</v>
      </c>
      <c r="K892" s="6" t="n">
        <f aca="false">Sens!K871</f>
        <v>163.823296678328</v>
      </c>
    </row>
    <row r="893" customFormat="false" ht="17.15" hidden="false" customHeight="false" outlineLevel="0" collapsed="false">
      <c r="A893" s="0" t="s">
        <v>875</v>
      </c>
      <c r="B893" s="0" t="s">
        <v>98</v>
      </c>
      <c r="D893" s="6" t="n">
        <f aca="false">Q!L6-Sens!D892</f>
        <v>59.6740205577583</v>
      </c>
      <c r="E893" s="6" t="n">
        <f aca="false">Q!M6-Sens!E892</f>
        <v>74.1284935338591</v>
      </c>
      <c r="F893" s="6" t="n">
        <f aca="false">Sens!E893*(1+Sens!F894)</f>
        <v>90.0799497373663</v>
      </c>
      <c r="G893" s="6" t="n">
        <f aca="false">Sens!F893*(1+Sens!G894)</f>
        <v>107.02842520331</v>
      </c>
      <c r="H893" s="6" t="n">
        <f aca="false">Sens!G893*(1+Sens!H894)</f>
        <v>124.271982585636</v>
      </c>
      <c r="I893" s="6" t="n">
        <f aca="false">Sens!H893*(1+Sens!I894)</f>
        <v>140.933702381855</v>
      </c>
      <c r="J893" s="6" t="n">
        <f aca="false">Sens!I893*(1+Sens!J894)</f>
        <v>156.018867314332</v>
      </c>
      <c r="K893" s="6" t="n">
        <f aca="false">Sens!J893*(1+Sens!K894)</f>
        <v>168.500376699478</v>
      </c>
    </row>
    <row r="894" customFormat="false" ht="15" hidden="false" customHeight="false" outlineLevel="0" collapsed="false">
      <c r="A894" s="1" t="s">
        <v>876</v>
      </c>
      <c r="B894" s="0" t="s">
        <v>129</v>
      </c>
      <c r="E894" s="7" t="n">
        <f aca="false">Sens!E893/Sens!D893-1</f>
        <v>0.242223883039864</v>
      </c>
      <c r="F894" s="7" t="n">
        <f aca="false">Sens!$E$894+(glt_azo-Sens!$E$894)*MIN(1,(Sens!F854-base_fy)/n_conv)</f>
        <v>0.215186569199887</v>
      </c>
      <c r="G894" s="7" t="n">
        <f aca="false">Sens!$E$894+(glt_azo-Sens!$E$894)*MIN(1,(Sens!G854-base_fy)/n_conv)</f>
        <v>0.18814925535991</v>
      </c>
      <c r="H894" s="7" t="n">
        <f aca="false">Sens!$E$894+(glt_azo-Sens!$E$894)*MIN(1,(Sens!H854-base_fy)/n_conv)</f>
        <v>0.161111941519932</v>
      </c>
      <c r="I894" s="7" t="n">
        <f aca="false">Sens!$E$894+(glt_azo-Sens!$E$894)*MIN(1,(Sens!I854-base_fy)/n_conv)</f>
        <v>0.134074627679955</v>
      </c>
      <c r="J894" s="7" t="n">
        <f aca="false">Sens!$E$894+(glt_azo-Sens!$E$894)*MIN(1,(Sens!J854-base_fy)/n_conv)</f>
        <v>0.107037313839977</v>
      </c>
      <c r="K894" s="7" t="n">
        <f aca="false">Sens!$E$894+(glt_azo-Sens!$E$894)*MIN(1,(Sens!K854-base_fy)/n_conv)</f>
        <v>0.08</v>
      </c>
    </row>
    <row r="895" customFormat="false" ht="15" hidden="false" customHeight="false" outlineLevel="0" collapsed="false">
      <c r="A895" s="0" t="s">
        <v>877</v>
      </c>
      <c r="B895" s="0" t="s">
        <v>98</v>
      </c>
      <c r="D895" s="6" t="n">
        <f aca="false">Sens!D892+Sens!D893</f>
        <v>72.61</v>
      </c>
      <c r="E895" s="6" t="n">
        <f aca="false">Sens!E892+Sens!E893</f>
        <v>101.938</v>
      </c>
      <c r="F895" s="6" t="n">
        <f aca="false">Sens!F892+Sens!F893</f>
        <v>136.884355326081</v>
      </c>
      <c r="G895" s="6" t="n">
        <f aca="false">Sens!G892+Sens!G893</f>
        <v>183.061385324506</v>
      </c>
      <c r="H895" s="6" t="n">
        <f aca="false">Sens!H892+Sens!H893</f>
        <v>230.382268711979</v>
      </c>
      <c r="I895" s="6" t="n">
        <f aca="false">Sens!I892+Sens!I893</f>
        <v>273.668393607517</v>
      </c>
      <c r="J895" s="6" t="n">
        <f aca="false">Sens!J892+Sens!J893</f>
        <v>307.539259813476</v>
      </c>
      <c r="K895" s="6" t="n">
        <f aca="false">Sens!K892+Sens!K893</f>
        <v>332.323673377806</v>
      </c>
    </row>
    <row r="896" customFormat="false" ht="17.15" hidden="false" customHeight="false" outlineLevel="0" collapsed="false">
      <c r="A896" s="0" t="s">
        <v>878</v>
      </c>
      <c r="B896" s="1" t="s">
        <v>528</v>
      </c>
      <c r="C896" s="29" t="n">
        <f aca="false">cop_s24</f>
        <v>1</v>
      </c>
      <c r="D896" s="29" t="n">
        <f aca="false">cop_s25</f>
        <v>5</v>
      </c>
      <c r="E896" s="29" t="n">
        <f aca="false">cop_s26</f>
        <v>30</v>
      </c>
      <c r="F896" s="29" t="n">
        <f aca="false">Sens!E896+cop_add_B</f>
        <v>50</v>
      </c>
      <c r="G896" s="29" t="n">
        <f aca="false">Sens!F896+cop_add_B</f>
        <v>70</v>
      </c>
      <c r="H896" s="29" t="n">
        <f aca="false">Sens!G896+cop_add_B</f>
        <v>90</v>
      </c>
      <c r="I896" s="29" t="n">
        <f aca="false">Sens!H896+cop_add_B*cop_tail</f>
        <v>100</v>
      </c>
      <c r="J896" s="29" t="n">
        <f aca="false">Sens!I896+cop_add_B*cop_tail</f>
        <v>110</v>
      </c>
      <c r="K896" s="29" t="n">
        <f aca="false">Sens!J896+cop_add_B*cop_tail</f>
        <v>120</v>
      </c>
      <c r="L896" s="11" t="s">
        <v>879</v>
      </c>
    </row>
    <row r="897" customFormat="false" ht="17.15" hidden="false" customHeight="false" outlineLevel="0" collapsed="false">
      <c r="A897" s="0" t="s">
        <v>880</v>
      </c>
      <c r="B897" s="0" t="s">
        <v>98</v>
      </c>
      <c r="D897" s="6" t="n">
        <f aca="false">(Sens!C896+Sens!D896)/2*cop_px*12/1000</f>
        <v>0.9</v>
      </c>
      <c r="E897" s="6" t="n">
        <f aca="false">(Sens!D896+Sens!E896)/2*cop_px*12/1000</f>
        <v>5.25</v>
      </c>
      <c r="F897" s="6" t="n">
        <f aca="false">(Sens!E896+Sens!F896)/2*cop_px*12/1000</f>
        <v>12</v>
      </c>
      <c r="G897" s="6" t="n">
        <f aca="false">(Sens!F896+Sens!G896)/2*cop_px*12/1000</f>
        <v>18</v>
      </c>
      <c r="H897" s="6" t="n">
        <f aca="false">(Sens!G896+Sens!H896)/2*cop_px*12/1000</f>
        <v>24</v>
      </c>
      <c r="I897" s="6" t="n">
        <f aca="false">(Sens!H896+Sens!I896)/2*cop_px*12/1000</f>
        <v>28.5</v>
      </c>
      <c r="J897" s="6" t="n">
        <f aca="false">(Sens!I896+Sens!J896)/2*cop_px*12/1000</f>
        <v>31.5</v>
      </c>
      <c r="K897" s="6" t="n">
        <f aca="false">(Sens!J896+Sens!K896)/2*cop_px*12/1000</f>
        <v>34.5</v>
      </c>
      <c r="L897" s="1" t="s">
        <v>881</v>
      </c>
    </row>
    <row r="898" customFormat="false" ht="17.15" hidden="false" customHeight="false" outlineLevel="0" collapsed="false">
      <c r="A898" s="0" t="s">
        <v>882</v>
      </c>
      <c r="B898" s="0" t="s">
        <v>98</v>
      </c>
      <c r="D898" s="6" t="n">
        <f aca="false">Q!L7-Sens!D897</f>
        <v>83.705</v>
      </c>
      <c r="E898" s="6" t="n">
        <f aca="false">Q!M7-Sens!E897</f>
        <v>95.049</v>
      </c>
      <c r="F898" s="6" t="n">
        <f aca="false">Sens!E898*(1+Sens!F899)</f>
        <v>106.89238776686</v>
      </c>
      <c r="G898" s="6" t="n">
        <f aca="false">Sens!F898*(1+Sens!G899)</f>
        <v>119.044168448684</v>
      </c>
      <c r="H898" s="6" t="n">
        <f aca="false">Sens!G898*(1+Sens!H899)</f>
        <v>131.277359388781</v>
      </c>
      <c r="I898" s="6" t="n">
        <f aca="false">Sens!H898*(1+Sens!I899)</f>
        <v>143.334028071957</v>
      </c>
      <c r="J898" s="6" t="n">
        <f aca="false">Sens!I898*(1+Sens!J899)</f>
        <v>154.932702785465</v>
      </c>
      <c r="K898" s="6" t="n">
        <f aca="false">Sens!J898*(1+Sens!K899)</f>
        <v>165.777991980448</v>
      </c>
    </row>
    <row r="899" customFormat="false" ht="15" hidden="false" customHeight="false" outlineLevel="0" collapsed="false">
      <c r="A899" s="1" t="s">
        <v>876</v>
      </c>
      <c r="B899" s="0" t="s">
        <v>129</v>
      </c>
      <c r="E899" s="7" t="n">
        <f aca="false">Sens!E898/Sens!D898-1</f>
        <v>0.135523564900544</v>
      </c>
      <c r="F899" s="7" t="n">
        <f aca="false">Sens!$E$899+(glt_m365b-Sens!$E$899)*MIN(1,(Sens!F854-base_fy)/n_conv)</f>
        <v>0.124602970750453</v>
      </c>
      <c r="G899" s="7" t="n">
        <f aca="false">Sens!$E$899+(glt_m365b-Sens!$E$899)*MIN(1,(Sens!G854-base_fy)/n_conv)</f>
        <v>0.113682376600363</v>
      </c>
      <c r="H899" s="7" t="n">
        <f aca="false">Sens!$E$899+(glt_m365b-Sens!$E$899)*MIN(1,(Sens!H854-base_fy)/n_conv)</f>
        <v>0.102761782450272</v>
      </c>
      <c r="I899" s="7" t="n">
        <f aca="false">Sens!$E$899+(glt_m365b-Sens!$E$899)*MIN(1,(Sens!I854-base_fy)/n_conv)</f>
        <v>0.0918411883001813</v>
      </c>
      <c r="J899" s="7" t="n">
        <f aca="false">Sens!$E$899+(glt_m365b-Sens!$E$899)*MIN(1,(Sens!J854-base_fy)/n_conv)</f>
        <v>0.0809205941500906</v>
      </c>
      <c r="K899" s="7" t="n">
        <f aca="false">Sens!$E$899+(glt_m365b-Sens!$E$899)*MIN(1,(Sens!K854-base_fy)/n_conv)</f>
        <v>0.07</v>
      </c>
    </row>
    <row r="900" customFormat="false" ht="15" hidden="false" customHeight="false" outlineLevel="0" collapsed="false">
      <c r="A900" s="0" t="s">
        <v>883</v>
      </c>
      <c r="B900" s="0" t="s">
        <v>98</v>
      </c>
      <c r="D900" s="6" t="n">
        <f aca="false">Sens!D898+Sens!D897</f>
        <v>84.605</v>
      </c>
      <c r="E900" s="6" t="n">
        <f aca="false">Sens!E898+Sens!E897</f>
        <v>100.299</v>
      </c>
      <c r="F900" s="6" t="n">
        <f aca="false">Sens!F898+Sens!F897</f>
        <v>118.89238776686</v>
      </c>
      <c r="G900" s="6" t="n">
        <f aca="false">Sens!G898+Sens!G897</f>
        <v>137.044168448684</v>
      </c>
      <c r="H900" s="6" t="n">
        <f aca="false">Sens!H898+Sens!H897</f>
        <v>155.277359388781</v>
      </c>
      <c r="I900" s="6" t="n">
        <f aca="false">Sens!I898+Sens!I897</f>
        <v>171.834028071957</v>
      </c>
      <c r="J900" s="6" t="n">
        <f aca="false">Sens!J898+Sens!J897</f>
        <v>186.432702785465</v>
      </c>
      <c r="K900" s="6" t="n">
        <f aca="false">Sens!K898+Sens!K897</f>
        <v>200.277991980448</v>
      </c>
    </row>
    <row r="901" customFormat="false" ht="15" hidden="false" customHeight="false" outlineLevel="0" collapsed="false">
      <c r="A901" s="0" t="s">
        <v>884</v>
      </c>
      <c r="B901" s="0" t="s">
        <v>98</v>
      </c>
      <c r="D901" s="6" t="n">
        <f aca="false">Q!L8</f>
        <v>35.391</v>
      </c>
      <c r="E901" s="6" t="n">
        <f aca="false">Q!M8</f>
        <v>37.285</v>
      </c>
      <c r="F901" s="6" t="n">
        <f aca="false">Sens!E901*(1+Sens!F902)</f>
        <v>39.0720834331704</v>
      </c>
      <c r="G901" s="6" t="n">
        <f aca="false">Sens!F901*(1+Sens!G902)</f>
        <v>40.726562953769</v>
      </c>
      <c r="H901" s="6" t="n">
        <f aca="false">Sens!G901*(1+Sens!H902)</f>
        <v>42.2235987259198</v>
      </c>
      <c r="I901" s="6" t="n">
        <f aca="false">Sens!H901*(1+Sens!I902)</f>
        <v>43.5397988077414</v>
      </c>
      <c r="J901" s="6" t="n">
        <f aca="false">Sens!I901*(1+Sens!J902)</f>
        <v>44.653811225693</v>
      </c>
      <c r="K901" s="6" t="n">
        <f aca="false">Sens!J901*(1+Sens!K902)</f>
        <v>45.5468874502068</v>
      </c>
    </row>
    <row r="902" customFormat="false" ht="15" hidden="false" customHeight="false" outlineLevel="0" collapsed="false">
      <c r="A902" s="1" t="s">
        <v>876</v>
      </c>
      <c r="B902" s="0" t="s">
        <v>129</v>
      </c>
      <c r="E902" s="7" t="n">
        <f aca="false">Sens!E901/Sens!D901-1</f>
        <v>0.0535164307309768</v>
      </c>
      <c r="F902" s="7" t="n">
        <f aca="false">Sens!$E$902+(glt_lic-Sens!$E$902)*MIN(1,(Sens!F854-base_fy)/n_conv)</f>
        <v>0.0479303589424807</v>
      </c>
      <c r="G902" s="7" t="n">
        <f aca="false">Sens!$E$902+(glt_lic-Sens!$E$902)*MIN(1,(Sens!G854-base_fy)/n_conv)</f>
        <v>0.0423442871539845</v>
      </c>
      <c r="H902" s="7" t="n">
        <f aca="false">Sens!$E$902+(glt_lic-Sens!$E$902)*MIN(1,(Sens!H854-base_fy)/n_conv)</f>
        <v>0.0367582153654884</v>
      </c>
      <c r="I902" s="7" t="n">
        <f aca="false">Sens!$E$902+(glt_lic-Sens!$E$902)*MIN(1,(Sens!I854-base_fy)/n_conv)</f>
        <v>0.0311721435769923</v>
      </c>
      <c r="J902" s="7" t="n">
        <f aca="false">Sens!$E$902+(glt_lic-Sens!$E$902)*MIN(1,(Sens!J854-base_fy)/n_conv)</f>
        <v>0.0255860717884961</v>
      </c>
      <c r="K902" s="7" t="n">
        <f aca="false">Sens!$E$902+(glt_lic-Sens!$E$902)*MIN(1,(Sens!K854-base_fy)/n_conv)</f>
        <v>0.02</v>
      </c>
    </row>
    <row r="903" customFormat="false" ht="15" hidden="false" customHeight="false" outlineLevel="0" collapsed="false">
      <c r="A903" s="0" t="s">
        <v>885</v>
      </c>
      <c r="B903" s="0" t="s">
        <v>98</v>
      </c>
      <c r="D903" s="6" t="n">
        <f aca="false">Q!L9</f>
        <v>18.417</v>
      </c>
      <c r="E903" s="6" t="n">
        <f aca="false">Q!M9</f>
        <v>20.345</v>
      </c>
      <c r="F903" s="6" t="n">
        <f aca="false">Sens!E903*(1+Sens!F904)</f>
        <v>22.3572203267814</v>
      </c>
      <c r="G903" s="6" t="n">
        <f aca="false">Sens!F903*(1+Sens!G904)</f>
        <v>24.4392124437232</v>
      </c>
      <c r="H903" s="6" t="n">
        <f aca="false">Sens!G903*(1+Sens!H904)</f>
        <v>26.5738052080665</v>
      </c>
      <c r="I903" s="6" t="n">
        <f aca="false">Sens!H903*(1+Sens!I904)</f>
        <v>28.7412169166967</v>
      </c>
      <c r="J903" s="6" t="n">
        <f aca="false">Sens!I903*(1+Sens!J904)</f>
        <v>30.9192545395413</v>
      </c>
      <c r="K903" s="6" t="n">
        <f aca="false">Sens!J903*(1+Sens!K904)</f>
        <v>33.0836023573092</v>
      </c>
    </row>
    <row r="904" customFormat="false" ht="15" hidden="false" customHeight="false" outlineLevel="0" collapsed="false">
      <c r="A904" s="1" t="s">
        <v>876</v>
      </c>
      <c r="B904" s="0" t="s">
        <v>129</v>
      </c>
      <c r="E904" s="7" t="n">
        <f aca="false">Sens!E903/Sens!D903-1</f>
        <v>0.104685888038225</v>
      </c>
      <c r="F904" s="7" t="n">
        <f aca="false">Sens!$E$904+(glt_ind-Sens!$E$904)*MIN(1,(Sens!F854-base_fy)/n_conv)</f>
        <v>0.0989049066985211</v>
      </c>
      <c r="G904" s="7" t="n">
        <f aca="false">Sens!$E$904+(glt_ind-Sens!$E$904)*MIN(1,(Sens!G854-base_fy)/n_conv)</f>
        <v>0.0931239253588169</v>
      </c>
      <c r="H904" s="7" t="n">
        <f aca="false">Sens!$E$904+(glt_ind-Sens!$E$904)*MIN(1,(Sens!H854-base_fy)/n_conv)</f>
        <v>0.0873429440191127</v>
      </c>
      <c r="I904" s="7" t="n">
        <f aca="false">Sens!$E$904+(glt_ind-Sens!$E$904)*MIN(1,(Sens!I854-base_fy)/n_conv)</f>
        <v>0.0815619626794085</v>
      </c>
      <c r="J904" s="7" t="n">
        <f aca="false">Sens!$E$904+(glt_ind-Sens!$E$904)*MIN(1,(Sens!J854-base_fy)/n_conv)</f>
        <v>0.0757809813397042</v>
      </c>
      <c r="K904" s="7" t="n">
        <f aca="false">Sens!$E$904+(glt_ind-Sens!$E$904)*MIN(1,(Sens!K854-base_fy)/n_conv)</f>
        <v>0.07</v>
      </c>
    </row>
    <row r="905" customFormat="false" ht="15" hidden="false" customHeight="false" outlineLevel="0" collapsed="false">
      <c r="A905" s="0" t="s">
        <v>886</v>
      </c>
      <c r="B905" s="0" t="s">
        <v>98</v>
      </c>
      <c r="D905" s="6" t="n">
        <f aca="false">Q!L10</f>
        <v>7.76</v>
      </c>
      <c r="E905" s="6" t="n">
        <f aca="false">Q!M10</f>
        <v>8.26</v>
      </c>
      <c r="F905" s="6" t="n">
        <f aca="false">Sens!E905*(1+Sens!F906)</f>
        <v>8.79988041237113</v>
      </c>
      <c r="G905" s="6" t="n">
        <f aca="false">Sens!F905*(1+Sens!G906)</f>
        <v>9.38321269125306</v>
      </c>
      <c r="H905" s="6" t="n">
        <f aca="false">Sens!G905*(1+Sens!H906)</f>
        <v>10.0139193587476</v>
      </c>
      <c r="I905" s="6" t="n">
        <f aca="false">Sens!H905*(1+Sens!I906)</f>
        <v>10.6963111830911</v>
      </c>
      <c r="J905" s="6" t="n">
        <f aca="false">Sens!I905*(1+Sens!J906)</f>
        <v>11.4351285534696</v>
      </c>
      <c r="K905" s="6" t="n">
        <f aca="false">Sens!J905*(1+Sens!K906)</f>
        <v>12.2355875522124</v>
      </c>
    </row>
    <row r="906" customFormat="false" ht="15" hidden="false" customHeight="false" outlineLevel="0" collapsed="false">
      <c r="A906" s="1" t="s">
        <v>876</v>
      </c>
      <c r="B906" s="0" t="s">
        <v>129</v>
      </c>
      <c r="E906" s="7" t="n">
        <f aca="false">Sens!E905/Sens!D905-1</f>
        <v>0.0644329896907216</v>
      </c>
      <c r="F906" s="7" t="n">
        <f aca="false">Sens!$E$906+(glt_fro-Sens!$E$906)*MIN(1,(Sens!F854-base_fy)/n_conv)</f>
        <v>0.065360824742268</v>
      </c>
      <c r="G906" s="7" t="n">
        <f aca="false">Sens!$E$906+(glt_fro-Sens!$E$906)*MIN(1,(Sens!G854-base_fy)/n_conv)</f>
        <v>0.0662886597938144</v>
      </c>
      <c r="H906" s="7" t="n">
        <f aca="false">Sens!$E$906+(glt_fro-Sens!$E$906)*MIN(1,(Sens!H854-base_fy)/n_conv)</f>
        <v>0.0672164948453608</v>
      </c>
      <c r="I906" s="7" t="n">
        <f aca="false">Sens!$E$906+(glt_fro-Sens!$E$906)*MIN(1,(Sens!I854-base_fy)/n_conv)</f>
        <v>0.0681443298969072</v>
      </c>
      <c r="J906" s="7" t="n">
        <f aca="false">Sens!$E$906+(glt_fro-Sens!$E$906)*MIN(1,(Sens!J854-base_fy)/n_conv)</f>
        <v>0.0690721649484536</v>
      </c>
      <c r="K906" s="7" t="n">
        <f aca="false">Sens!$E$906+(glt_fro-Sens!$E$906)*MIN(1,(Sens!K854-base_fy)/n_conv)</f>
        <v>0.07</v>
      </c>
    </row>
    <row r="907" customFormat="false" ht="15" hidden="false" customHeight="false" outlineLevel="0" collapsed="false">
      <c r="A907" s="0" t="s">
        <v>715</v>
      </c>
      <c r="B907" s="0" t="s">
        <v>98</v>
      </c>
      <c r="D907" s="6" t="n">
        <f aca="false">Sens!D895+Sens!D900+Sens!D901+Sens!D903+Sens!D905</f>
        <v>218.783</v>
      </c>
      <c r="E907" s="6" t="n">
        <f aca="false">Sens!E895+Sens!E900+Sens!E901+Sens!E903+Sens!E905</f>
        <v>268.127</v>
      </c>
      <c r="F907" s="6" t="n">
        <f aca="false">Sens!F895+Sens!F900+Sens!F901+Sens!F903+Sens!F905</f>
        <v>326.005927265264</v>
      </c>
      <c r="G907" s="6" t="n">
        <f aca="false">Sens!G895+Sens!G900+Sens!G901+Sens!G903+Sens!G905</f>
        <v>394.654541861935</v>
      </c>
      <c r="H907" s="6" t="n">
        <f aca="false">Sens!H895+Sens!H900+Sens!H901+Sens!H903+Sens!H905</f>
        <v>464.470951393494</v>
      </c>
      <c r="I907" s="6" t="n">
        <f aca="false">Sens!I895+Sens!I900+Sens!I901+Sens!I903+Sens!I905</f>
        <v>528.479748587003</v>
      </c>
      <c r="J907" s="6" t="n">
        <f aca="false">Sens!J895+Sens!J900+Sens!J901+Sens!J903+Sens!J905</f>
        <v>580.980156917645</v>
      </c>
      <c r="K907" s="6" t="n">
        <f aca="false">Sens!K895+Sens!K900+Sens!K901+Sens!K903+Sens!K905</f>
        <v>623.467742717982</v>
      </c>
    </row>
    <row r="908" customFormat="false" ht="15" hidden="false" customHeight="false" outlineLevel="0" collapsed="false">
      <c r="A908" s="0" t="s">
        <v>887</v>
      </c>
      <c r="B908" s="0" t="s">
        <v>98</v>
      </c>
      <c r="D908" s="6" t="n">
        <f aca="false">Q!L13</f>
        <v>22.171</v>
      </c>
      <c r="E908" s="6" t="n">
        <f aca="false">Q!M13</f>
        <v>24.835</v>
      </c>
      <c r="F908" s="6" t="n">
        <f aca="false">Sens!E908*(1+Sens!F909)</f>
        <v>27.6114901218559</v>
      </c>
      <c r="G908" s="6" t="n">
        <f aca="false">Sens!F908*(1+Sens!G909)</f>
        <v>30.4675667338515</v>
      </c>
      <c r="H908" s="6" t="n">
        <f aca="false">Sens!G908*(1+Sens!H909)</f>
        <v>33.3643766955789</v>
      </c>
      <c r="I908" s="6" t="n">
        <f aca="false">Sens!H908*(1+Sens!I909)</f>
        <v>36.2577016533691</v>
      </c>
      <c r="J908" s="6" t="n">
        <f aca="false">Sens!I908*(1+Sens!J909)</f>
        <v>39.0988367952171</v>
      </c>
      <c r="K908" s="6" t="n">
        <f aca="false">Sens!J908*(1+Sens!K909)</f>
        <v>41.8357553708823</v>
      </c>
    </row>
    <row r="909" customFormat="false" ht="15" hidden="false" customHeight="false" outlineLevel="0" collapsed="false">
      <c r="A909" s="1" t="s">
        <v>876</v>
      </c>
      <c r="B909" s="0" t="s">
        <v>129</v>
      </c>
      <c r="E909" s="7" t="n">
        <f aca="false">Sens!E908/Sens!D908-1</f>
        <v>0.120156961796942</v>
      </c>
      <c r="F909" s="7" t="n">
        <f aca="false">Sens!$E$909+(glt_srch-Sens!$E$909)*MIN(1,(Sens!F854-base_fy)/n_conv)</f>
        <v>0.111797468164118</v>
      </c>
      <c r="G909" s="7" t="n">
        <f aca="false">Sens!$E$909+(glt_srch-Sens!$E$909)*MIN(1,(Sens!G854-base_fy)/n_conv)</f>
        <v>0.103437974531295</v>
      </c>
      <c r="H909" s="7" t="n">
        <f aca="false">Sens!$E$909+(glt_srch-Sens!$E$909)*MIN(1,(Sens!H854-base_fy)/n_conv)</f>
        <v>0.095078480898471</v>
      </c>
      <c r="I909" s="7" t="n">
        <f aca="false">Sens!$E$909+(glt_srch-Sens!$E$909)*MIN(1,(Sens!I854-base_fy)/n_conv)</f>
        <v>0.0867189872656474</v>
      </c>
      <c r="J909" s="7" t="n">
        <f aca="false">Sens!$E$909+(glt_srch-Sens!$E$909)*MIN(1,(Sens!J854-base_fy)/n_conv)</f>
        <v>0.0783594936328237</v>
      </c>
      <c r="K909" s="7" t="n">
        <f aca="false">Sens!$E$909+(glt_srch-Sens!$E$909)*MIN(1,(Sens!K854-base_fy)/n_conv)</f>
        <v>0.07</v>
      </c>
    </row>
    <row r="910" customFormat="false" ht="15" hidden="false" customHeight="false" outlineLevel="0" collapsed="false">
      <c r="A910" s="0" t="s">
        <v>888</v>
      </c>
      <c r="B910" s="0" t="s">
        <v>98</v>
      </c>
      <c r="D910" s="6" t="n">
        <f aca="false">Q!L14</f>
        <v>23.455</v>
      </c>
      <c r="E910" s="6" t="n">
        <f aca="false">Q!M14</f>
        <v>21.79</v>
      </c>
      <c r="F910" s="6" t="n">
        <f aca="false">Sens!E910*(1+Sens!F911)</f>
        <v>20.5736277908051</v>
      </c>
      <c r="G910" s="6" t="n">
        <f aca="false">Sens!F910*(1+Sens!G911)</f>
        <v>19.7371452817919</v>
      </c>
      <c r="H910" s="6" t="n">
        <f aca="false">Sens!G910*(1+Sens!H911)</f>
        <v>19.2339764043138</v>
      </c>
      <c r="I910" s="6" t="n">
        <f aca="false">Sens!H910*(1+Sens!I911)</f>
        <v>19.0353086852681</v>
      </c>
      <c r="J910" s="6" t="n">
        <f aca="false">Sens!I910*(1+Sens!J911)</f>
        <v>19.1273539319129</v>
      </c>
      <c r="K910" s="6" t="n">
        <f aca="false">Sens!J910*(1+Sens!K911)</f>
        <v>19.5099010105511</v>
      </c>
    </row>
    <row r="911" customFormat="false" ht="15" hidden="false" customHeight="false" outlineLevel="0" collapsed="false">
      <c r="A911" s="1" t="s">
        <v>876</v>
      </c>
      <c r="B911" s="0" t="s">
        <v>129</v>
      </c>
      <c r="E911" s="7" t="n">
        <f aca="false">Sens!E910/Sens!D910-1</f>
        <v>-0.0709869963760392</v>
      </c>
      <c r="F911" s="7" t="n">
        <f aca="false">Sens!$E$911+(glt_xbox-Sens!$E$911)*MIN(1,(Sens!F854-base_fy)/n_conv)</f>
        <v>-0.0558224969800327</v>
      </c>
      <c r="G911" s="7" t="n">
        <f aca="false">Sens!$E$911+(glt_xbox-Sens!$E$911)*MIN(1,(Sens!G854-base_fy)/n_conv)</f>
        <v>-0.0406579975840262</v>
      </c>
      <c r="H911" s="7" t="n">
        <f aca="false">Sens!$E$911+(glt_xbox-Sens!$E$911)*MIN(1,(Sens!H854-base_fy)/n_conv)</f>
        <v>-0.0254934981880196</v>
      </c>
      <c r="I911" s="7" t="n">
        <f aca="false">Sens!$E$911+(glt_xbox-Sens!$E$911)*MIN(1,(Sens!I854-base_fy)/n_conv)</f>
        <v>-0.0103289987920131</v>
      </c>
      <c r="J911" s="7" t="n">
        <f aca="false">Sens!$E$911+(glt_xbox-Sens!$E$911)*MIN(1,(Sens!J854-base_fy)/n_conv)</f>
        <v>0.00483550060399347</v>
      </c>
      <c r="K911" s="7" t="n">
        <f aca="false">Sens!$E$911+(glt_xbox-Sens!$E$911)*MIN(1,(Sens!K854-base_fy)/n_conv)</f>
        <v>0.02</v>
      </c>
    </row>
    <row r="912" customFormat="false" ht="15" hidden="false" customHeight="false" outlineLevel="0" collapsed="false">
      <c r="A912" s="0" t="s">
        <v>889</v>
      </c>
      <c r="B912" s="0" t="s">
        <v>98</v>
      </c>
      <c r="D912" s="6" t="n">
        <f aca="false">Q!L15</f>
        <v>17.315</v>
      </c>
      <c r="E912" s="6" t="n">
        <f aca="false">Q!M15</f>
        <v>17.087</v>
      </c>
      <c r="F912" s="6" t="n">
        <f aca="false">Sens!E912*(1+Sens!F913)</f>
        <v>16.9564585436519</v>
      </c>
      <c r="G912" s="6" t="n">
        <f aca="false">Sens!F912*(1+Sens!G913)</f>
        <v>16.9206490624268</v>
      </c>
      <c r="H912" s="6" t="n">
        <f aca="false">Sens!G912*(1+Sens!H913)</f>
        <v>16.9784519149849</v>
      </c>
      <c r="I912" s="6" t="n">
        <f aca="false">Sens!H912*(1+Sens!I913)</f>
        <v>17.1303084701817</v>
      </c>
      <c r="J912" s="6" t="n">
        <f aca="false">Sens!I912*(1+Sens!J913)</f>
        <v>17.3782189407267</v>
      </c>
      <c r="K912" s="6" t="n">
        <f aca="false">Sens!J912*(1+Sens!K913)</f>
        <v>17.7257833195413</v>
      </c>
    </row>
    <row r="913" customFormat="false" ht="15" hidden="false" customHeight="false" outlineLevel="0" collapsed="false">
      <c r="A913" s="1" t="s">
        <v>876</v>
      </c>
      <c r="B913" s="0" t="s">
        <v>129</v>
      </c>
      <c r="E913" s="7" t="n">
        <f aca="false">Sens!E912/Sens!D912-1</f>
        <v>-0.0131677736066995</v>
      </c>
      <c r="F913" s="7" t="n">
        <f aca="false">Sens!$E$913+(glt_win-Sens!$E$913)*MIN(1,(Sens!F854-base_fy)/n_conv)</f>
        <v>-0.00763981133891627</v>
      </c>
      <c r="G913" s="7" t="n">
        <f aca="false">Sens!$E$913+(glt_win-Sens!$E$913)*MIN(1,(Sens!G854-base_fy)/n_conv)</f>
        <v>-0.00211184907113301</v>
      </c>
      <c r="H913" s="7" t="n">
        <f aca="false">Sens!$E$913+(glt_win-Sens!$E$913)*MIN(1,(Sens!H854-base_fy)/n_conv)</f>
        <v>0.00341611319665024</v>
      </c>
      <c r="I913" s="7" t="n">
        <f aca="false">Sens!$E$913+(glt_win-Sens!$E$913)*MIN(1,(Sens!I854-base_fy)/n_conv)</f>
        <v>0.00894407546443349</v>
      </c>
      <c r="J913" s="7" t="n">
        <f aca="false">Sens!$E$913+(glt_win-Sens!$E$913)*MIN(1,(Sens!J854-base_fy)/n_conv)</f>
        <v>0.0144720377322168</v>
      </c>
      <c r="K913" s="7" t="n">
        <f aca="false">Sens!$E$913+(glt_win-Sens!$E$913)*MIN(1,(Sens!K854-base_fy)/n_conv)</f>
        <v>0.02</v>
      </c>
    </row>
    <row r="914" customFormat="false" ht="15" hidden="false" customHeight="false" outlineLevel="0" collapsed="false">
      <c r="A914" s="0" t="s">
        <v>729</v>
      </c>
      <c r="B914" s="0" t="s">
        <v>98</v>
      </c>
      <c r="D914" s="6" t="n">
        <f aca="false">Sens!D908+Sens!D910+Sens!D912</f>
        <v>62.941</v>
      </c>
      <c r="E914" s="6" t="n">
        <f aca="false">Sens!E908+Sens!E910+Sens!E912</f>
        <v>63.712</v>
      </c>
      <c r="F914" s="6" t="n">
        <f aca="false">Sens!F908+Sens!F910+Sens!F912</f>
        <v>65.1415764563129</v>
      </c>
      <c r="G914" s="6" t="n">
        <f aca="false">Sens!G908+Sens!G910+Sens!G912</f>
        <v>67.1253610780702</v>
      </c>
      <c r="H914" s="6" t="n">
        <f aca="false">Sens!H908+Sens!H910+Sens!H912</f>
        <v>69.5768050148776</v>
      </c>
      <c r="I914" s="6" t="n">
        <f aca="false">Sens!I908+Sens!I910+Sens!I912</f>
        <v>72.4233188088189</v>
      </c>
      <c r="J914" s="6" t="n">
        <f aca="false">Sens!J908+Sens!J910+Sens!J912</f>
        <v>75.6044096678567</v>
      </c>
      <c r="K914" s="6" t="n">
        <f aca="false">Sens!K908+Sens!K910+Sens!K912</f>
        <v>79.0714397009747</v>
      </c>
    </row>
    <row r="915" customFormat="false" ht="15" hidden="false" customHeight="false" outlineLevel="0" collapsed="false">
      <c r="A915" s="1" t="s">
        <v>890</v>
      </c>
      <c r="B915" s="0" t="s">
        <v>98</v>
      </c>
      <c r="D915" s="6" t="n">
        <f aca="false">Sens!D907+Sens!D914</f>
        <v>281.724</v>
      </c>
      <c r="E915" s="6" t="n">
        <f aca="false">Sens!E907+Sens!E914</f>
        <v>331.839</v>
      </c>
      <c r="F915" s="6" t="n">
        <f aca="false">Sens!F907+Sens!F914</f>
        <v>391.147503721577</v>
      </c>
      <c r="G915" s="6" t="n">
        <f aca="false">Sens!G907+Sens!G914</f>
        <v>461.779902940005</v>
      </c>
      <c r="H915" s="6" t="n">
        <f aca="false">Sens!H907+Sens!H914</f>
        <v>534.047756408372</v>
      </c>
      <c r="I915" s="6" t="n">
        <f aca="false">Sens!I907+Sens!I914</f>
        <v>600.903067395822</v>
      </c>
      <c r="J915" s="6" t="n">
        <f aca="false">Sens!J907+Sens!J914</f>
        <v>656.584566585502</v>
      </c>
      <c r="K915" s="6" t="n">
        <f aca="false">Sens!K907+Sens!K914</f>
        <v>702.539182418957</v>
      </c>
    </row>
    <row r="916" customFormat="false" ht="15" hidden="false" customHeight="false" outlineLevel="0" collapsed="false">
      <c r="A916" s="23" t="s">
        <v>891</v>
      </c>
      <c r="B916" s="30" t="s">
        <v>98</v>
      </c>
      <c r="C916" s="30"/>
      <c r="D916" s="24" t="n">
        <f aca="false">(Sens!D895+Sens!D900+Sens!D901+Sens!D903+Sens!D905-Sens!D907)+(Sens!D908+Sens!D910+Sens!D912-Sens!D914)+(Sens!D907-Q!L5)+(Sens!D914-Q!L12)+(Sens!D895-Q!L6)+(Sens!D900-Q!L7)</f>
        <v>0</v>
      </c>
      <c r="E916" s="24" t="n">
        <f aca="false">(Sens!E895+Sens!E900+Sens!E901+Sens!E903+Sens!E905-Sens!E907)+(Sens!E908+Sens!E910+Sens!E912-Sens!E914)+(Sens!E907-Q!M5)+(Sens!E914-Q!M12)+(Sens!E895-Q!M6)+(Sens!E900-Q!M7)</f>
        <v>0</v>
      </c>
      <c r="F916" s="24" t="n">
        <f aca="false">(Sens!F895+Sens!F900+Sens!F901+Sens!F903+Sens!F905-Sens!F907)+(Sens!F908+Sens!F910+Sens!F912-Sens!F914)</f>
        <v>0</v>
      </c>
      <c r="G916" s="24" t="n">
        <f aca="false">(Sens!G895+Sens!G900+Sens!G901+Sens!G903+Sens!G905-Sens!G907)+(Sens!G908+Sens!G910+Sens!G912-Sens!G914)</f>
        <v>0</v>
      </c>
      <c r="H916" s="24" t="n">
        <f aca="false">(Sens!H895+Sens!H900+Sens!H901+Sens!H903+Sens!H905-Sens!H907)+(Sens!H908+Sens!H910+Sens!H912-Sens!H914)</f>
        <v>0</v>
      </c>
      <c r="I916" s="24" t="n">
        <f aca="false">(Sens!I895+Sens!I900+Sens!I901+Sens!I903+Sens!I905-Sens!I907)+(Sens!I908+Sens!I910+Sens!I912-Sens!I914)</f>
        <v>0</v>
      </c>
      <c r="J916" s="24" t="n">
        <f aca="false">(Sens!J895+Sens!J900+Sens!J901+Sens!J903+Sens!J905-Sens!J907)+(Sens!J908+Sens!J910+Sens!J912-Sens!J914)</f>
        <v>0</v>
      </c>
      <c r="K916" s="24" t="n">
        <f aca="false">(Sens!K895+Sens!K900+Sens!K901+Sens!K903+Sens!K905-Sens!K907)+(Sens!K908+Sens!K910+Sens!K912-Sens!K914)</f>
        <v>0</v>
      </c>
    </row>
    <row r="917" customFormat="false" ht="17.15" hidden="false" customHeight="false" outlineLevel="0" collapsed="false">
      <c r="A917" s="3" t="s">
        <v>1284</v>
      </c>
    </row>
    <row r="918" customFormat="false" ht="15" hidden="false" customHeight="false" outlineLevel="0" collapsed="false">
      <c r="A918" s="4" t="s">
        <v>43</v>
      </c>
      <c r="B918" s="4" t="s">
        <v>65</v>
      </c>
      <c r="C918" s="20" t="s">
        <v>799</v>
      </c>
      <c r="D918" s="20" t="s">
        <v>800</v>
      </c>
      <c r="E918" s="20" t="s">
        <v>801</v>
      </c>
      <c r="F918" s="20" t="s">
        <v>802</v>
      </c>
      <c r="G918" s="20" t="s">
        <v>803</v>
      </c>
      <c r="H918" s="20" t="s">
        <v>804</v>
      </c>
      <c r="I918" s="20" t="s">
        <v>805</v>
      </c>
      <c r="J918" s="20" t="s">
        <v>806</v>
      </c>
      <c r="K918" s="20" t="s">
        <v>807</v>
      </c>
      <c r="L918" s="4" t="s">
        <v>47</v>
      </c>
    </row>
    <row r="919" customFormat="false" ht="15" hidden="false" customHeight="false" outlineLevel="0" collapsed="false">
      <c r="A919" s="0" t="s">
        <v>877</v>
      </c>
      <c r="B919" s="0" t="s">
        <v>98</v>
      </c>
      <c r="D919" s="6" t="n">
        <f aca="false">Sens!D895</f>
        <v>72.61</v>
      </c>
      <c r="E919" s="6" t="n">
        <f aca="false">Sens!E895</f>
        <v>101.938</v>
      </c>
      <c r="F919" s="6" t="n">
        <f aca="false">Sens!F895</f>
        <v>136.884355326081</v>
      </c>
      <c r="G919" s="6" t="n">
        <f aca="false">Sens!G895</f>
        <v>183.061385324506</v>
      </c>
      <c r="H919" s="6" t="n">
        <f aca="false">Sens!H895</f>
        <v>230.382268711979</v>
      </c>
      <c r="I919" s="6" t="n">
        <f aca="false">Sens!I895</f>
        <v>273.668393607517</v>
      </c>
      <c r="J919" s="6" t="n">
        <f aca="false">Sens!J895</f>
        <v>307.539259813476</v>
      </c>
      <c r="K919" s="6" t="n">
        <f aca="false">Sens!K895</f>
        <v>332.323673377806</v>
      </c>
    </row>
    <row r="920" customFormat="false" ht="17.15" hidden="false" customHeight="false" outlineLevel="0" collapsed="false">
      <c r="A920" s="0" t="s">
        <v>874</v>
      </c>
      <c r="B920" s="0" t="s">
        <v>98</v>
      </c>
      <c r="D920" s="6" t="n">
        <f aca="false">Sens!D892</f>
        <v>12.9359794422418</v>
      </c>
      <c r="E920" s="6" t="n">
        <f aca="false">Sens!E892</f>
        <v>27.8095064661409</v>
      </c>
      <c r="F920" s="6" t="n">
        <f aca="false">Sens!F892</f>
        <v>46.8044055887147</v>
      </c>
      <c r="G920" s="6" t="n">
        <f aca="false">Sens!G892</f>
        <v>76.0329601211957</v>
      </c>
      <c r="H920" s="6" t="n">
        <f aca="false">Sens!H892</f>
        <v>106.110286126343</v>
      </c>
      <c r="I920" s="6" t="n">
        <f aca="false">Sens!I892</f>
        <v>132.734691225662</v>
      </c>
      <c r="J920" s="6" t="n">
        <f aca="false">Sens!J892</f>
        <v>151.520392499145</v>
      </c>
      <c r="K920" s="6" t="n">
        <f aca="false">Sens!K892</f>
        <v>163.823296678328</v>
      </c>
    </row>
    <row r="921" customFormat="false" ht="17.15" hidden="false" customHeight="false" outlineLevel="0" collapsed="false">
      <c r="A921" s="0" t="s">
        <v>902</v>
      </c>
      <c r="B921" s="0" t="s">
        <v>98</v>
      </c>
      <c r="D921" s="6" t="n">
        <f aca="false">Sens!D893</f>
        <v>59.6740205577583</v>
      </c>
      <c r="E921" s="6" t="n">
        <f aca="false">Sens!E893</f>
        <v>74.1284935338591</v>
      </c>
      <c r="F921" s="6" t="n">
        <f aca="false">Sens!F893</f>
        <v>90.0799497373663</v>
      </c>
      <c r="G921" s="6" t="n">
        <f aca="false">Sens!G893</f>
        <v>107.02842520331</v>
      </c>
      <c r="H921" s="6" t="n">
        <f aca="false">Sens!H893</f>
        <v>124.271982585636</v>
      </c>
      <c r="I921" s="6" t="n">
        <f aca="false">Sens!I893</f>
        <v>140.933702381855</v>
      </c>
      <c r="J921" s="6" t="n">
        <f aca="false">Sens!J893</f>
        <v>156.018867314332</v>
      </c>
      <c r="K921" s="6" t="n">
        <f aca="false">Sens!K893</f>
        <v>168.500376699478</v>
      </c>
    </row>
    <row r="922" customFormat="false" ht="15" hidden="false" customHeight="false" outlineLevel="0" collapsed="false">
      <c r="A922" s="0" t="s">
        <v>883</v>
      </c>
      <c r="B922" s="0" t="s">
        <v>98</v>
      </c>
      <c r="D922" s="6" t="n">
        <f aca="false">Sens!D900</f>
        <v>84.605</v>
      </c>
      <c r="E922" s="6" t="n">
        <f aca="false">Sens!E900</f>
        <v>100.299</v>
      </c>
      <c r="F922" s="6" t="n">
        <f aca="false">Sens!F900</f>
        <v>118.89238776686</v>
      </c>
      <c r="G922" s="6" t="n">
        <f aca="false">Sens!G900</f>
        <v>137.044168448684</v>
      </c>
      <c r="H922" s="6" t="n">
        <f aca="false">Sens!H900</f>
        <v>155.277359388781</v>
      </c>
      <c r="I922" s="6" t="n">
        <f aca="false">Sens!I900</f>
        <v>171.834028071957</v>
      </c>
      <c r="J922" s="6" t="n">
        <f aca="false">Sens!J900</f>
        <v>186.432702785465</v>
      </c>
      <c r="K922" s="6" t="n">
        <f aca="false">Sens!K900</f>
        <v>200.277991980448</v>
      </c>
    </row>
    <row r="923" customFormat="false" ht="17.15" hidden="false" customHeight="false" outlineLevel="0" collapsed="false">
      <c r="A923" s="0" t="s">
        <v>903</v>
      </c>
      <c r="B923" s="0" t="s">
        <v>98</v>
      </c>
      <c r="D923" s="6" t="n">
        <f aca="false">Sens!D898</f>
        <v>83.705</v>
      </c>
      <c r="E923" s="6" t="n">
        <f aca="false">Sens!E898</f>
        <v>95.049</v>
      </c>
      <c r="F923" s="6" t="n">
        <f aca="false">Sens!F898</f>
        <v>106.89238776686</v>
      </c>
      <c r="G923" s="6" t="n">
        <f aca="false">Sens!G898</f>
        <v>119.044168448684</v>
      </c>
      <c r="H923" s="6" t="n">
        <f aca="false">Sens!H898</f>
        <v>131.277359388781</v>
      </c>
      <c r="I923" s="6" t="n">
        <f aca="false">Sens!I898</f>
        <v>143.334028071957</v>
      </c>
      <c r="J923" s="6" t="n">
        <f aca="false">Sens!J898</f>
        <v>154.932702785465</v>
      </c>
      <c r="K923" s="6" t="n">
        <f aca="false">Sens!K898</f>
        <v>165.777991980448</v>
      </c>
    </row>
    <row r="924" customFormat="false" ht="17.15" hidden="false" customHeight="false" outlineLevel="0" collapsed="false">
      <c r="A924" s="0" t="s">
        <v>904</v>
      </c>
      <c r="B924" s="0" t="s">
        <v>98</v>
      </c>
      <c r="D924" s="6" t="n">
        <f aca="false">Sens!D897</f>
        <v>0.9</v>
      </c>
      <c r="E924" s="6" t="n">
        <f aca="false">Sens!E897</f>
        <v>5.25</v>
      </c>
      <c r="F924" s="6" t="n">
        <f aca="false">Sens!F897</f>
        <v>12</v>
      </c>
      <c r="G924" s="6" t="n">
        <f aca="false">Sens!G897</f>
        <v>18</v>
      </c>
      <c r="H924" s="6" t="n">
        <f aca="false">Sens!H897</f>
        <v>24</v>
      </c>
      <c r="I924" s="6" t="n">
        <f aca="false">Sens!I897</f>
        <v>28.5</v>
      </c>
      <c r="J924" s="6" t="n">
        <f aca="false">Sens!J897</f>
        <v>31.5</v>
      </c>
      <c r="K924" s="6" t="n">
        <f aca="false">Sens!K897</f>
        <v>34.5</v>
      </c>
    </row>
    <row r="925" customFormat="false" ht="15" hidden="false" customHeight="false" outlineLevel="0" collapsed="false">
      <c r="A925" s="0" t="s">
        <v>884</v>
      </c>
      <c r="B925" s="0" t="s">
        <v>98</v>
      </c>
      <c r="D925" s="6" t="n">
        <f aca="false">Sens!D901</f>
        <v>35.391</v>
      </c>
      <c r="E925" s="6" t="n">
        <f aca="false">Sens!E901</f>
        <v>37.285</v>
      </c>
      <c r="F925" s="6" t="n">
        <f aca="false">Sens!F901</f>
        <v>39.0720834331704</v>
      </c>
      <c r="G925" s="6" t="n">
        <f aca="false">Sens!G901</f>
        <v>40.726562953769</v>
      </c>
      <c r="H925" s="6" t="n">
        <f aca="false">Sens!H901</f>
        <v>42.2235987259198</v>
      </c>
      <c r="I925" s="6" t="n">
        <f aca="false">Sens!I901</f>
        <v>43.5397988077414</v>
      </c>
      <c r="J925" s="6" t="n">
        <f aca="false">Sens!J901</f>
        <v>44.653811225693</v>
      </c>
      <c r="K925" s="6" t="n">
        <f aca="false">Sens!K901</f>
        <v>45.5468874502068</v>
      </c>
    </row>
    <row r="926" customFormat="false" ht="15" hidden="false" customHeight="false" outlineLevel="0" collapsed="false">
      <c r="A926" s="0" t="s">
        <v>885</v>
      </c>
      <c r="B926" s="0" t="s">
        <v>98</v>
      </c>
      <c r="D926" s="6" t="n">
        <f aca="false">Sens!D903</f>
        <v>18.417</v>
      </c>
      <c r="E926" s="6" t="n">
        <f aca="false">Sens!E903</f>
        <v>20.345</v>
      </c>
      <c r="F926" s="6" t="n">
        <f aca="false">Sens!F903</f>
        <v>22.3572203267814</v>
      </c>
      <c r="G926" s="6" t="n">
        <f aca="false">Sens!G903</f>
        <v>24.4392124437232</v>
      </c>
      <c r="H926" s="6" t="n">
        <f aca="false">Sens!H903</f>
        <v>26.5738052080665</v>
      </c>
      <c r="I926" s="6" t="n">
        <f aca="false">Sens!I903</f>
        <v>28.7412169166967</v>
      </c>
      <c r="J926" s="6" t="n">
        <f aca="false">Sens!J903</f>
        <v>30.9192545395413</v>
      </c>
      <c r="K926" s="6" t="n">
        <f aca="false">Sens!K903</f>
        <v>33.0836023573092</v>
      </c>
    </row>
    <row r="927" customFormat="false" ht="15" hidden="false" customHeight="false" outlineLevel="0" collapsed="false">
      <c r="A927" s="0" t="s">
        <v>886</v>
      </c>
      <c r="B927" s="0" t="s">
        <v>98</v>
      </c>
      <c r="D927" s="6" t="n">
        <f aca="false">Sens!D905</f>
        <v>7.76</v>
      </c>
      <c r="E927" s="6" t="n">
        <f aca="false">Sens!E905</f>
        <v>8.26</v>
      </c>
      <c r="F927" s="6" t="n">
        <f aca="false">Sens!F905</f>
        <v>8.79988041237113</v>
      </c>
      <c r="G927" s="6" t="n">
        <f aca="false">Sens!G905</f>
        <v>9.38321269125306</v>
      </c>
      <c r="H927" s="6" t="n">
        <f aca="false">Sens!H905</f>
        <v>10.0139193587476</v>
      </c>
      <c r="I927" s="6" t="n">
        <f aca="false">Sens!I905</f>
        <v>10.6963111830911</v>
      </c>
      <c r="J927" s="6" t="n">
        <f aca="false">Sens!J905</f>
        <v>11.4351285534696</v>
      </c>
      <c r="K927" s="6" t="n">
        <f aca="false">Sens!K905</f>
        <v>12.2355875522124</v>
      </c>
    </row>
    <row r="928" customFormat="false" ht="15" hidden="false" customHeight="false" outlineLevel="0" collapsed="false">
      <c r="A928" s="0" t="s">
        <v>715</v>
      </c>
      <c r="B928" s="0" t="s">
        <v>98</v>
      </c>
      <c r="D928" s="6" t="n">
        <f aca="false">Sens!D907</f>
        <v>218.783</v>
      </c>
      <c r="E928" s="6" t="n">
        <f aca="false">Sens!E907</f>
        <v>268.127</v>
      </c>
      <c r="F928" s="6" t="n">
        <f aca="false">Sens!F907</f>
        <v>326.005927265264</v>
      </c>
      <c r="G928" s="6" t="n">
        <f aca="false">Sens!G907</f>
        <v>394.654541861935</v>
      </c>
      <c r="H928" s="6" t="n">
        <f aca="false">Sens!H907</f>
        <v>464.470951393494</v>
      </c>
      <c r="I928" s="6" t="n">
        <f aca="false">Sens!I907</f>
        <v>528.479748587003</v>
      </c>
      <c r="J928" s="6" t="n">
        <f aca="false">Sens!J907</f>
        <v>580.980156917645</v>
      </c>
      <c r="K928" s="6" t="n">
        <f aca="false">Sens!K907</f>
        <v>623.467742717982</v>
      </c>
    </row>
    <row r="929" customFormat="false" ht="15" hidden="false" customHeight="false" outlineLevel="0" collapsed="false">
      <c r="A929" s="0" t="s">
        <v>887</v>
      </c>
      <c r="B929" s="0" t="s">
        <v>98</v>
      </c>
      <c r="D929" s="6" t="n">
        <f aca="false">Sens!D908</f>
        <v>22.171</v>
      </c>
      <c r="E929" s="6" t="n">
        <f aca="false">Sens!E908</f>
        <v>24.835</v>
      </c>
      <c r="F929" s="6" t="n">
        <f aca="false">Sens!F908</f>
        <v>27.6114901218559</v>
      </c>
      <c r="G929" s="6" t="n">
        <f aca="false">Sens!G908</f>
        <v>30.4675667338515</v>
      </c>
      <c r="H929" s="6" t="n">
        <f aca="false">Sens!H908</f>
        <v>33.3643766955789</v>
      </c>
      <c r="I929" s="6" t="n">
        <f aca="false">Sens!I908</f>
        <v>36.2577016533691</v>
      </c>
      <c r="J929" s="6" t="n">
        <f aca="false">Sens!J908</f>
        <v>39.0988367952171</v>
      </c>
      <c r="K929" s="6" t="n">
        <f aca="false">Sens!K908</f>
        <v>41.8357553708823</v>
      </c>
    </row>
    <row r="930" customFormat="false" ht="15" hidden="false" customHeight="false" outlineLevel="0" collapsed="false">
      <c r="A930" s="0" t="s">
        <v>888</v>
      </c>
      <c r="B930" s="0" t="s">
        <v>98</v>
      </c>
      <c r="D930" s="6" t="n">
        <f aca="false">Sens!D910</f>
        <v>23.455</v>
      </c>
      <c r="E930" s="6" t="n">
        <f aca="false">Sens!E910</f>
        <v>21.79</v>
      </c>
      <c r="F930" s="6" t="n">
        <f aca="false">Sens!F910</f>
        <v>20.5736277908051</v>
      </c>
      <c r="G930" s="6" t="n">
        <f aca="false">Sens!G910</f>
        <v>19.7371452817919</v>
      </c>
      <c r="H930" s="6" t="n">
        <f aca="false">Sens!H910</f>
        <v>19.2339764043138</v>
      </c>
      <c r="I930" s="6" t="n">
        <f aca="false">Sens!I910</f>
        <v>19.0353086852681</v>
      </c>
      <c r="J930" s="6" t="n">
        <f aca="false">Sens!J910</f>
        <v>19.1273539319129</v>
      </c>
      <c r="K930" s="6" t="n">
        <f aca="false">Sens!K910</f>
        <v>19.5099010105511</v>
      </c>
    </row>
    <row r="931" customFormat="false" ht="15" hidden="false" customHeight="false" outlineLevel="0" collapsed="false">
      <c r="A931" s="0" t="s">
        <v>889</v>
      </c>
      <c r="B931" s="0" t="s">
        <v>98</v>
      </c>
      <c r="D931" s="6" t="n">
        <f aca="false">Sens!D912</f>
        <v>17.315</v>
      </c>
      <c r="E931" s="6" t="n">
        <f aca="false">Sens!E912</f>
        <v>17.087</v>
      </c>
      <c r="F931" s="6" t="n">
        <f aca="false">Sens!F912</f>
        <v>16.9564585436519</v>
      </c>
      <c r="G931" s="6" t="n">
        <f aca="false">Sens!G912</f>
        <v>16.9206490624268</v>
      </c>
      <c r="H931" s="6" t="n">
        <f aca="false">Sens!H912</f>
        <v>16.9784519149849</v>
      </c>
      <c r="I931" s="6" t="n">
        <f aca="false">Sens!I912</f>
        <v>17.1303084701817</v>
      </c>
      <c r="J931" s="6" t="n">
        <f aca="false">Sens!J912</f>
        <v>17.3782189407267</v>
      </c>
      <c r="K931" s="6" t="n">
        <f aca="false">Sens!K912</f>
        <v>17.7257833195413</v>
      </c>
    </row>
    <row r="932" customFormat="false" ht="15" hidden="false" customHeight="false" outlineLevel="0" collapsed="false">
      <c r="A932" s="0" t="s">
        <v>729</v>
      </c>
      <c r="B932" s="0" t="s">
        <v>98</v>
      </c>
      <c r="D932" s="6" t="n">
        <f aca="false">Sens!D914</f>
        <v>62.941</v>
      </c>
      <c r="E932" s="6" t="n">
        <f aca="false">Sens!E914</f>
        <v>63.712</v>
      </c>
      <c r="F932" s="6" t="n">
        <f aca="false">Sens!F914</f>
        <v>65.1415764563129</v>
      </c>
      <c r="G932" s="6" t="n">
        <f aca="false">Sens!G914</f>
        <v>67.1253610780702</v>
      </c>
      <c r="H932" s="6" t="n">
        <f aca="false">Sens!H914</f>
        <v>69.5768050148776</v>
      </c>
      <c r="I932" s="6" t="n">
        <f aca="false">Sens!I914</f>
        <v>72.4233188088189</v>
      </c>
      <c r="J932" s="6" t="n">
        <f aca="false">Sens!J914</f>
        <v>75.6044096678567</v>
      </c>
      <c r="K932" s="6" t="n">
        <f aca="false">Sens!K914</f>
        <v>79.0714397009747</v>
      </c>
    </row>
    <row r="933" customFormat="false" ht="15" hidden="false" customHeight="false" outlineLevel="0" collapsed="false">
      <c r="A933" s="1" t="s">
        <v>905</v>
      </c>
      <c r="B933" s="0" t="s">
        <v>98</v>
      </c>
      <c r="D933" s="6" t="n">
        <f aca="false">Sens!D915</f>
        <v>281.724</v>
      </c>
      <c r="E933" s="6" t="n">
        <f aca="false">Sens!E915</f>
        <v>331.839</v>
      </c>
      <c r="F933" s="6" t="n">
        <f aca="false">Sens!F915</f>
        <v>391.147503721577</v>
      </c>
      <c r="G933" s="6" t="n">
        <f aca="false">Sens!G915</f>
        <v>461.779902940005</v>
      </c>
      <c r="H933" s="6" t="n">
        <f aca="false">Sens!H915</f>
        <v>534.047756408372</v>
      </c>
      <c r="I933" s="6" t="n">
        <f aca="false">Sens!I915</f>
        <v>600.903067395822</v>
      </c>
      <c r="J933" s="6" t="n">
        <f aca="false">Sens!J915</f>
        <v>656.584566585502</v>
      </c>
      <c r="K933" s="6" t="n">
        <f aca="false">Sens!K915</f>
        <v>702.539182418957</v>
      </c>
    </row>
    <row r="934" customFormat="false" ht="15" hidden="false" customHeight="false" outlineLevel="0" collapsed="false">
      <c r="A934" s="1" t="s">
        <v>906</v>
      </c>
      <c r="B934" s="0" t="s">
        <v>129</v>
      </c>
      <c r="E934" s="7" t="n">
        <f aca="false">Sens!E933/Sens!D933-1</f>
        <v>0.177886867998467</v>
      </c>
      <c r="F934" s="7" t="n">
        <f aca="false">Sens!F933/Sens!E933-1</f>
        <v>0.178726743154291</v>
      </c>
      <c r="G934" s="7" t="n">
        <f aca="false">Sens!G933/Sens!F933-1</f>
        <v>0.180577399948601</v>
      </c>
      <c r="H934" s="7" t="n">
        <f aca="false">Sens!H933/Sens!G933-1</f>
        <v>0.156498481220729</v>
      </c>
      <c r="I934" s="7" t="n">
        <f aca="false">Sens!I933/Sens!H933-1</f>
        <v>0.125186016016755</v>
      </c>
      <c r="J934" s="7" t="n">
        <f aca="false">Sens!J933/Sens!I933-1</f>
        <v>0.0926630303802429</v>
      </c>
      <c r="K934" s="7" t="n">
        <f aca="false">Sens!K933/Sens!J933-1</f>
        <v>0.0699903990622823</v>
      </c>
    </row>
    <row r="935" customFormat="false" ht="17.15" hidden="false" customHeight="false" outlineLevel="0" collapsed="false">
      <c r="A935" s="23" t="s">
        <v>907</v>
      </c>
      <c r="B935" s="30" t="s">
        <v>98</v>
      </c>
      <c r="C935" s="30"/>
      <c r="D935" s="24" t="n">
        <f aca="false">(Sens!D928+Sens!D932-Sens!D933)+(Sens!D920+Sens!D921-Sens!D919)+(Sens!D923+Sens!D924-Sens!D922)+(Sens!D933-Q!L18)</f>
        <v>0</v>
      </c>
      <c r="E935" s="24" t="n">
        <f aca="false">(Sens!E928+Sens!E932-Sens!E933)+(Sens!E920+Sens!E921-Sens!E919)+(Sens!E923+Sens!E924-Sens!E922)+(Sens!E933-Q!M18)</f>
        <v>0</v>
      </c>
      <c r="F935" s="24" t="n">
        <f aca="false">(Sens!F928+Sens!F932-Sens!F933)+(Sens!F920+Sens!F921-Sens!F919)+(Sens!F923+Sens!F924-Sens!F922)</f>
        <v>0</v>
      </c>
      <c r="G935" s="24" t="n">
        <f aca="false">(Sens!G928+Sens!G932-Sens!G933)+(Sens!G920+Sens!G921-Sens!G919)+(Sens!G923+Sens!G924-Sens!G922)</f>
        <v>0</v>
      </c>
      <c r="H935" s="24" t="n">
        <f aca="false">(Sens!H928+Sens!H932-Sens!H933)+(Sens!H920+Sens!H921-Sens!H919)+(Sens!H923+Sens!H924-Sens!H922)</f>
        <v>0</v>
      </c>
      <c r="I935" s="24" t="n">
        <f aca="false">(Sens!I928+Sens!I932-Sens!I933)+(Sens!I920+Sens!I921-Sens!I919)+(Sens!I923+Sens!I924-Sens!I922)</f>
        <v>0</v>
      </c>
      <c r="J935" s="24" t="n">
        <f aca="false">(Sens!J928+Sens!J932-Sens!J933)+(Sens!J920+Sens!J921-Sens!J919)+(Sens!J923+Sens!J924-Sens!J922)</f>
        <v>0</v>
      </c>
      <c r="K935" s="24" t="n">
        <f aca="false">(Sens!K928+Sens!K932-Sens!K933)+(Sens!K920+Sens!K921-Sens!K919)+(Sens!K923+Sens!K924-Sens!K922)</f>
        <v>0</v>
      </c>
    </row>
    <row r="936" customFormat="false" ht="17.15" hidden="false" customHeight="false" outlineLevel="0" collapsed="false">
      <c r="A936" s="0" t="s">
        <v>908</v>
      </c>
      <c r="B936" s="0" t="s">
        <v>129</v>
      </c>
      <c r="E936" s="7" t="n">
        <f aca="false">(Q!M21+Sens!E873+Sens!E874+Sens!E875+Sens!E888-Sens!E871)/(Q!M5-Sens!E871)</f>
        <v>0.570957350878296</v>
      </c>
      <c r="F936" s="7" t="n">
        <f aca="false">Sens!$E$936+dm_seg</f>
        <v>0.570957350878296</v>
      </c>
      <c r="G936" s="7" t="n">
        <f aca="false">Sens!$E$936+dm_seg</f>
        <v>0.570957350878296</v>
      </c>
      <c r="H936" s="7" t="n">
        <f aca="false">Sens!$E$936+dm_seg</f>
        <v>0.570957350878296</v>
      </c>
      <c r="I936" s="7" t="n">
        <f aca="false">Sens!$E$936+dm_seg</f>
        <v>0.570957350878296</v>
      </c>
      <c r="J936" s="7" t="n">
        <f aca="false">Sens!$E$936+dm_seg</f>
        <v>0.570957350878296</v>
      </c>
      <c r="K936" s="7" t="n">
        <f aca="false">Sens!$E$936+dm_seg</f>
        <v>0.570957350878296</v>
      </c>
      <c r="L936" s="11" t="s">
        <v>909</v>
      </c>
    </row>
    <row r="937" customFormat="false" ht="17.15" hidden="false" customHeight="false" outlineLevel="0" collapsed="false">
      <c r="A937" s="0" t="s">
        <v>743</v>
      </c>
      <c r="B937" s="0" t="s">
        <v>98</v>
      </c>
      <c r="D937" s="6" t="n">
        <f aca="false">Q!L21</f>
        <v>110.814</v>
      </c>
      <c r="E937" s="6" t="n">
        <f aca="false">Q!M21</f>
        <v>136.365</v>
      </c>
      <c r="F937" s="6" t="n">
        <f aca="false">Sens!F936*(Sens!F907-Sens!F871)+Sens!F871-(Sens!F873+Sens!F874+Sens!F875)-Sens!F888-Sens!F971</f>
        <v>149.200405319219</v>
      </c>
      <c r="G937" s="6" t="n">
        <f aca="false">Sens!G936*(Sens!G907-Sens!G871)+Sens!G871-(Sens!G873+Sens!G874+Sens!G875)-Sens!G888-Sens!G971</f>
        <v>164.398539397709</v>
      </c>
      <c r="H937" s="6" t="n">
        <f aca="false">Sens!H936*(Sens!H907-Sens!H871)+Sens!H871-(Sens!H873+Sens!H874+Sens!H875)-Sens!H888-Sens!H971</f>
        <v>178.807196199107</v>
      </c>
      <c r="I937" s="6" t="n">
        <f aca="false">Sens!I936*(Sens!I907-Sens!I871)+Sens!I871-(Sens!I873+Sens!I874+Sens!I875)-Sens!I888-Sens!I971</f>
        <v>192.899095952051</v>
      </c>
      <c r="J937" s="6" t="n">
        <f aca="false">Sens!J936*(Sens!J907-Sens!J871)+Sens!J871-(Sens!J873+Sens!J874+Sens!J875)-Sens!J888-Sens!J971</f>
        <v>206.984908645646</v>
      </c>
      <c r="K937" s="6" t="n">
        <f aca="false">Sens!K936*(Sens!K907-Sens!K871)+Sens!K871-(Sens!K873+Sens!K874+Sens!K875)-Sens!K888-Sens!K971</f>
        <v>221.661850235583</v>
      </c>
      <c r="L937" s="1" t="s">
        <v>910</v>
      </c>
    </row>
    <row r="938" customFormat="false" ht="17.15" hidden="false" customHeight="false" outlineLevel="0" collapsed="false">
      <c r="A938" s="0" t="s">
        <v>911</v>
      </c>
      <c r="B938" s="0" t="s">
        <v>129</v>
      </c>
      <c r="E938" s="7" t="n">
        <f aca="false">Q!M22/Q!M12</f>
        <v>0.296207935710698</v>
      </c>
      <c r="F938" s="7" t="n">
        <f aca="false">Sens!$E$938+dm_seg</f>
        <v>0.296207935710698</v>
      </c>
      <c r="G938" s="7" t="n">
        <f aca="false">Sens!$E$938+dm_seg</f>
        <v>0.296207935710698</v>
      </c>
      <c r="H938" s="7" t="n">
        <f aca="false">Sens!$E$938+dm_seg</f>
        <v>0.296207935710698</v>
      </c>
      <c r="I938" s="7" t="n">
        <f aca="false">Sens!$E$938+dm_seg</f>
        <v>0.296207935710698</v>
      </c>
      <c r="J938" s="7" t="n">
        <f aca="false">Sens!$E$938+dm_seg</f>
        <v>0.296207935710698</v>
      </c>
      <c r="K938" s="7" t="n">
        <f aca="false">Sens!$E$938+dm_seg</f>
        <v>0.296207935710698</v>
      </c>
      <c r="L938" s="11" t="s">
        <v>912</v>
      </c>
    </row>
    <row r="939" customFormat="false" ht="17.15" hidden="false" customHeight="false" outlineLevel="0" collapsed="false">
      <c r="A939" s="0" t="s">
        <v>745</v>
      </c>
      <c r="B939" s="0" t="s">
        <v>98</v>
      </c>
      <c r="D939" s="6" t="n">
        <f aca="false">Q!L22</f>
        <v>17.714</v>
      </c>
      <c r="E939" s="6" t="n">
        <f aca="false">Q!M22</f>
        <v>18.872</v>
      </c>
      <c r="F939" s="6" t="n">
        <f aca="false">Sens!F914*Sens!F938</f>
        <v>19.2954518910651</v>
      </c>
      <c r="G939" s="6" t="n">
        <f aca="false">Sens!G914*Sens!G938</f>
        <v>19.8830646387704</v>
      </c>
      <c r="H939" s="6" t="n">
        <f aca="false">Sens!H914*Sens!H938</f>
        <v>20.6092017868026</v>
      </c>
      <c r="I939" s="6" t="n">
        <f aca="false">Sens!I914*Sens!I938</f>
        <v>21.452361761678</v>
      </c>
      <c r="J939" s="6" t="n">
        <f aca="false">Sens!J914*Sens!J938</f>
        <v>22.3946261183418</v>
      </c>
      <c r="K939" s="6" t="n">
        <f aca="false">Sens!K914*Sens!K938</f>
        <v>23.4215879274986</v>
      </c>
    </row>
    <row r="940" customFormat="false" ht="15" hidden="false" customHeight="false" outlineLevel="0" collapsed="false">
      <c r="A940" s="1" t="s">
        <v>913</v>
      </c>
      <c r="B940" s="0" t="s">
        <v>98</v>
      </c>
      <c r="D940" s="6" t="n">
        <f aca="false">Sens!D937+Sens!D939</f>
        <v>128.528</v>
      </c>
      <c r="E940" s="6" t="n">
        <f aca="false">Sens!E937+Sens!E939</f>
        <v>155.237</v>
      </c>
      <c r="F940" s="6" t="n">
        <f aca="false">Sens!F937+Sens!F939</f>
        <v>168.495857210284</v>
      </c>
      <c r="G940" s="6" t="n">
        <f aca="false">Sens!G937+Sens!G939</f>
        <v>184.28160403648</v>
      </c>
      <c r="H940" s="6" t="n">
        <f aca="false">Sens!H937+Sens!H939</f>
        <v>199.416397985909</v>
      </c>
      <c r="I940" s="6" t="n">
        <f aca="false">Sens!I937+Sens!I939</f>
        <v>214.351457713729</v>
      </c>
      <c r="J940" s="6" t="n">
        <f aca="false">Sens!J937+Sens!J939</f>
        <v>229.379534763988</v>
      </c>
      <c r="K940" s="6" t="n">
        <f aca="false">Sens!K937+Sens!K939</f>
        <v>245.083438163081</v>
      </c>
    </row>
    <row r="941" customFormat="false" ht="15" hidden="false" customHeight="false" outlineLevel="0" collapsed="false">
      <c r="A941" s="23" t="s">
        <v>914</v>
      </c>
      <c r="B941" s="30" t="s">
        <v>98</v>
      </c>
      <c r="C941" s="30"/>
      <c r="D941" s="24" t="n">
        <f aca="false">Sens!D940-Q!L23</f>
        <v>0</v>
      </c>
      <c r="E941" s="24" t="n">
        <f aca="false">Sens!E940-Q!M23</f>
        <v>0</v>
      </c>
      <c r="F941" s="30"/>
      <c r="G941" s="30"/>
      <c r="H941" s="30"/>
      <c r="I941" s="30"/>
      <c r="J941" s="30"/>
      <c r="K941" s="30"/>
    </row>
    <row r="942" customFormat="false" ht="15" hidden="false" customHeight="false" outlineLevel="0" collapsed="false">
      <c r="A942" s="1" t="s">
        <v>915</v>
      </c>
      <c r="B942" s="0" t="s">
        <v>129</v>
      </c>
      <c r="D942" s="7" t="n">
        <f aca="false">Sens!D940/Sens!D933</f>
        <v>0.456219562408598</v>
      </c>
      <c r="E942" s="7" t="n">
        <f aca="false">Sens!E940/Sens!E933</f>
        <v>0.467808184089272</v>
      </c>
      <c r="F942" s="7" t="n">
        <f aca="false">Sens!F940/Sens!F933</f>
        <v>0.430773188137797</v>
      </c>
      <c r="G942" s="7" t="n">
        <f aca="false">Sens!G940/Sens!G933</f>
        <v>0.399068047057089</v>
      </c>
      <c r="H942" s="7" t="n">
        <f aca="false">Sens!H940/Sens!H933</f>
        <v>0.373405553329244</v>
      </c>
      <c r="I942" s="7" t="n">
        <f aca="false">Sens!I940/Sens!I933</f>
        <v>0.356715532577791</v>
      </c>
      <c r="J942" s="7" t="n">
        <f aca="false">Sens!J940/Sens!J933</f>
        <v>0.349352614175584</v>
      </c>
      <c r="K942" s="7" t="n">
        <f aca="false">Sens!K940/Sens!K933</f>
        <v>0.348853764026683</v>
      </c>
    </row>
    <row r="943" customFormat="false" ht="17.15" hidden="false" customHeight="false" outlineLevel="0" collapsed="false">
      <c r="A943" s="1" t="s">
        <v>916</v>
      </c>
      <c r="B943" s="0" t="s">
        <v>98</v>
      </c>
      <c r="F943" s="6" t="n">
        <f aca="false">Sens!F958</f>
        <v>9.29892047395526</v>
      </c>
      <c r="G943" s="6" t="n">
        <f aca="false">Sens!G958</f>
        <v>23.9346303607031</v>
      </c>
      <c r="H943" s="6" t="n">
        <f aca="false">Sens!H958</f>
        <v>40.1043191979728</v>
      </c>
      <c r="I943" s="6" t="n">
        <f aca="false">Sens!I958</f>
        <v>54.9360183203111</v>
      </c>
      <c r="J943" s="6" t="n">
        <f aca="false">Sens!J958</f>
        <v>65.4555422613168</v>
      </c>
      <c r="K943" s="6" t="n">
        <f aca="false">Sens!K958</f>
        <v>71.4992160033785</v>
      </c>
      <c r="L943" s="1" t="s">
        <v>917</v>
      </c>
    </row>
    <row r="944" customFormat="false" ht="17.15" hidden="false" customHeight="false" outlineLevel="0" collapsed="false">
      <c r="A944" s="1" t="s">
        <v>918</v>
      </c>
      <c r="B944" s="0" t="s">
        <v>98</v>
      </c>
      <c r="D944" s="6" t="n">
        <f aca="false">Sens!D940</f>
        <v>128.528</v>
      </c>
      <c r="E944" s="6" t="n">
        <f aca="false">Sens!E940</f>
        <v>155.237</v>
      </c>
      <c r="F944" s="6" t="n">
        <f aca="false">Sens!F940+Sens!F943</f>
        <v>177.79477768424</v>
      </c>
      <c r="G944" s="6" t="n">
        <f aca="false">Sens!G940+Sens!G943</f>
        <v>208.216234397183</v>
      </c>
      <c r="H944" s="6" t="n">
        <f aca="false">Sens!H940+Sens!H943</f>
        <v>239.520717183882</v>
      </c>
      <c r="I944" s="6" t="n">
        <f aca="false">Sens!I940+Sens!I943</f>
        <v>269.28747603404</v>
      </c>
      <c r="J944" s="6" t="n">
        <f aca="false">Sens!J940+Sens!J943</f>
        <v>294.835077025305</v>
      </c>
      <c r="K944" s="6" t="n">
        <f aca="false">Sens!K940+Sens!K943</f>
        <v>316.58265416646</v>
      </c>
    </row>
    <row r="945" customFormat="false" ht="17.15" hidden="false" customHeight="false" outlineLevel="0" collapsed="false">
      <c r="A945" s="1" t="s">
        <v>919</v>
      </c>
      <c r="B945" s="0" t="s">
        <v>98</v>
      </c>
      <c r="E945" s="6" t="n">
        <f aca="false">Sens!E888</f>
        <v>16.3054059770833</v>
      </c>
      <c r="F945" s="6" t="n">
        <f aca="false">Sens!F888</f>
        <v>34.0498873809555</v>
      </c>
      <c r="G945" s="6" t="n">
        <f aca="false">Sens!G888</f>
        <v>59.1254371105111</v>
      </c>
      <c r="H945" s="6" t="n">
        <f aca="false">Sens!H888</f>
        <v>86.3610198433111</v>
      </c>
      <c r="I945" s="6" t="n">
        <f aca="false">Sens!I888</f>
        <v>110.605743832393</v>
      </c>
      <c r="J945" s="6" t="n">
        <f aca="false">Sens!J888</f>
        <v>127.998322852843</v>
      </c>
      <c r="K945" s="6" t="n">
        <f aca="false">Sens!K888</f>
        <v>139.131464044308</v>
      </c>
    </row>
    <row r="946" customFormat="false" ht="17.15" hidden="false" customHeight="false" outlineLevel="0" collapsed="false">
      <c r="A946" s="1" t="s">
        <v>920</v>
      </c>
      <c r="B946" s="0" t="s">
        <v>98</v>
      </c>
      <c r="E946" s="6" t="n">
        <f aca="false">Sens!E970</f>
        <v>22.2285940229167</v>
      </c>
      <c r="F946" s="6" t="n">
        <f aca="false">Sens!F970</f>
        <v>24.3924470334783</v>
      </c>
      <c r="G946" s="6" t="n">
        <f aca="false">Sens!G970</f>
        <v>26.0684916871694</v>
      </c>
      <c r="H946" s="6" t="n">
        <f aca="false">Sens!H970</f>
        <v>28.1427938828615</v>
      </c>
      <c r="I946" s="6" t="n">
        <f aca="false">Sens!I970</f>
        <v>30.5483545257397</v>
      </c>
      <c r="J946" s="6" t="n">
        <f aca="false">Sens!J970</f>
        <v>33.2016103982031</v>
      </c>
      <c r="K946" s="6" t="n">
        <f aca="false">Sens!K970</f>
        <v>36.0183196325822</v>
      </c>
    </row>
    <row r="947" customFormat="false" ht="17.15" hidden="false" customHeight="false" outlineLevel="0" collapsed="false">
      <c r="A947" s="1" t="s">
        <v>921</v>
      </c>
      <c r="B947" s="0" t="s">
        <v>98</v>
      </c>
      <c r="D947" s="6" t="n">
        <f aca="false">Q!L27</f>
        <v>-4.901</v>
      </c>
      <c r="E947" s="6" t="n">
        <f aca="false">Q!M27</f>
        <v>10.697</v>
      </c>
      <c r="F947" s="6" t="n">
        <f aca="false">oie_f</f>
        <v>-0.4</v>
      </c>
      <c r="G947" s="6" t="n">
        <f aca="false">oie_f</f>
        <v>-0.4</v>
      </c>
      <c r="H947" s="6" t="n">
        <f aca="false">oie_f</f>
        <v>-0.4</v>
      </c>
      <c r="I947" s="6" t="n">
        <f aca="false">oie_f</f>
        <v>-0.4</v>
      </c>
      <c r="J947" s="6" t="n">
        <f aca="false">oie_f</f>
        <v>-0.4</v>
      </c>
      <c r="K947" s="6" t="n">
        <f aca="false">oie_f</f>
        <v>-0.4</v>
      </c>
      <c r="L947" s="11" t="s">
        <v>922</v>
      </c>
    </row>
    <row r="948" customFormat="false" ht="15" hidden="false" customHeight="false" outlineLevel="0" collapsed="false">
      <c r="A948" s="1" t="s">
        <v>923</v>
      </c>
      <c r="B948" s="0" t="s">
        <v>98</v>
      </c>
      <c r="D948" s="6" t="n">
        <f aca="false">Sens!D940+Sens!D947</f>
        <v>123.627</v>
      </c>
      <c r="E948" s="6" t="n">
        <f aca="false">Sens!E940+Sens!E947</f>
        <v>165.934</v>
      </c>
      <c r="F948" s="6" t="n">
        <f aca="false">Sens!F940+Sens!F947</f>
        <v>168.095857210284</v>
      </c>
      <c r="G948" s="6" t="n">
        <f aca="false">Sens!G940+Sens!G947</f>
        <v>183.88160403648</v>
      </c>
      <c r="H948" s="6" t="n">
        <f aca="false">Sens!H940+Sens!H947</f>
        <v>199.016397985909</v>
      </c>
      <c r="I948" s="6" t="n">
        <f aca="false">Sens!I940+Sens!I947</f>
        <v>213.951457713729</v>
      </c>
      <c r="J948" s="6" t="n">
        <f aca="false">Sens!J940+Sens!J947</f>
        <v>228.979534763988</v>
      </c>
      <c r="K948" s="6" t="n">
        <f aca="false">Sens!K940+Sens!K947</f>
        <v>244.683438163081</v>
      </c>
    </row>
    <row r="949" customFormat="false" ht="15" hidden="false" customHeight="false" outlineLevel="0" collapsed="false">
      <c r="A949" s="1" t="s">
        <v>924</v>
      </c>
      <c r="B949" s="0" t="s">
        <v>98</v>
      </c>
      <c r="D949" s="6" t="n">
        <f aca="false">Q!L29</f>
        <v>21.795</v>
      </c>
      <c r="E949" s="6" t="n">
        <f aca="false">Q!M29</f>
        <v>32.185</v>
      </c>
      <c r="F949" s="6" t="n">
        <f aca="false">Sens!F948*tax_f</f>
        <v>33.6191714420569</v>
      </c>
      <c r="G949" s="6" t="n">
        <f aca="false">Sens!G948*tax_f</f>
        <v>36.7763208072959</v>
      </c>
      <c r="H949" s="6" t="n">
        <f aca="false">Sens!H948*tax_f</f>
        <v>39.8032795971818</v>
      </c>
      <c r="I949" s="6" t="n">
        <f aca="false">Sens!I948*tax_f</f>
        <v>42.7902915427457</v>
      </c>
      <c r="J949" s="6" t="n">
        <f aca="false">Sens!J948*tax_f</f>
        <v>45.7959069527975</v>
      </c>
      <c r="K949" s="6" t="n">
        <f aca="false">Sens!K948*tax_f</f>
        <v>48.9366876326163</v>
      </c>
    </row>
    <row r="950" customFormat="false" ht="15" hidden="false" customHeight="false" outlineLevel="0" collapsed="false">
      <c r="A950" s="1" t="s">
        <v>925</v>
      </c>
      <c r="B950" s="0" t="s">
        <v>98</v>
      </c>
      <c r="D950" s="6" t="n">
        <f aca="false">Sens!D948-Sens!D949</f>
        <v>101.832</v>
      </c>
      <c r="E950" s="6" t="n">
        <f aca="false">Sens!E948-Sens!E949</f>
        <v>133.749</v>
      </c>
      <c r="F950" s="6" t="n">
        <f aca="false">Sens!F948-Sens!F949</f>
        <v>134.476685768227</v>
      </c>
      <c r="G950" s="6" t="n">
        <f aca="false">Sens!G948-Sens!G949</f>
        <v>147.105283229184</v>
      </c>
      <c r="H950" s="6" t="n">
        <f aca="false">Sens!H948-Sens!H949</f>
        <v>159.213118388727</v>
      </c>
      <c r="I950" s="6" t="n">
        <f aca="false">Sens!I948-Sens!I949</f>
        <v>171.161166170983</v>
      </c>
      <c r="J950" s="6" t="n">
        <f aca="false">Sens!J948-Sens!J949</f>
        <v>183.18362781119</v>
      </c>
      <c r="K950" s="6" t="n">
        <f aca="false">Sens!K948-Sens!K949</f>
        <v>195.746750530465</v>
      </c>
    </row>
    <row r="951" customFormat="false" ht="17.15" hidden="false" customHeight="false" outlineLevel="0" collapsed="false">
      <c r="A951" s="1" t="s">
        <v>926</v>
      </c>
      <c r="B951" s="1" t="s">
        <v>81</v>
      </c>
      <c r="D951" s="14" t="n">
        <f aca="false">Q!L31</f>
        <v>7.465</v>
      </c>
      <c r="E951" s="14" t="n">
        <f aca="false">Q!M31</f>
        <v>7.453</v>
      </c>
      <c r="F951" s="14" t="n">
        <f aca="false">Sens!F994</f>
        <v>7.4735</v>
      </c>
      <c r="G951" s="14" t="n">
        <f aca="false">Sens!G994</f>
        <v>7.5185</v>
      </c>
      <c r="H951" s="14" t="n">
        <f aca="false">Sens!H994</f>
        <v>7.54880543929668</v>
      </c>
      <c r="I951" s="14" t="n">
        <f aca="false">Sens!I994</f>
        <v>7.56314012475073</v>
      </c>
      <c r="J951" s="14" t="n">
        <f aca="false">Sens!J994</f>
        <v>7.57738163586861</v>
      </c>
      <c r="K951" s="14" t="n">
        <f aca="false">Sens!K994</f>
        <v>7.59390155357035</v>
      </c>
    </row>
    <row r="952" customFormat="false" ht="17.15" hidden="false" customHeight="false" outlineLevel="0" collapsed="false">
      <c r="A952" s="0" t="s">
        <v>927</v>
      </c>
      <c r="B952" s="0" t="s">
        <v>75</v>
      </c>
      <c r="D952" s="8" t="n">
        <f aca="false">Sens!D950/Sens!D951</f>
        <v>13.641259209645</v>
      </c>
      <c r="E952" s="8" t="n">
        <f aca="false">Sens!E950/Sens!E951</f>
        <v>17.9456594659869</v>
      </c>
      <c r="F952" s="8" t="n">
        <f aca="false">Sens!F950/Sens!F951</f>
        <v>17.9938028725801</v>
      </c>
      <c r="G952" s="8" t="n">
        <f aca="false">Sens!G950/Sens!G951</f>
        <v>19.5657755176144</v>
      </c>
      <c r="H952" s="8" t="n">
        <f aca="false">Sens!H950/Sens!H951</f>
        <v>21.091167293823</v>
      </c>
      <c r="I952" s="8" t="n">
        <f aca="false">Sens!I950/Sens!I951</f>
        <v>22.6309658882096</v>
      </c>
      <c r="J952" s="8" t="n">
        <f aca="false">Sens!J950/Sens!J951</f>
        <v>24.175056320783</v>
      </c>
      <c r="K952" s="8" t="n">
        <f aca="false">Sens!K950/Sens!K951</f>
        <v>25.7768354184724</v>
      </c>
      <c r="L952" s="1" t="s">
        <v>928</v>
      </c>
    </row>
    <row r="953" customFormat="false" ht="17.15" hidden="false" customHeight="false" outlineLevel="0" collapsed="false">
      <c r="A953" s="1" t="s">
        <v>929</v>
      </c>
      <c r="B953" s="0" t="s">
        <v>98</v>
      </c>
      <c r="D953" s="6" t="n">
        <f aca="false">Sens!D950</f>
        <v>101.832</v>
      </c>
      <c r="E953" s="6" t="n">
        <f aca="false">Sens!E950</f>
        <v>133.749</v>
      </c>
      <c r="F953" s="6" t="n">
        <f aca="false">Sens!F950+Sens!F943*(1-tax_f)</f>
        <v>141.915822147392</v>
      </c>
      <c r="G953" s="6" t="n">
        <f aca="false">Sens!G950+Sens!G943*(1-tax_f)</f>
        <v>166.252987517746</v>
      </c>
      <c r="H953" s="6" t="n">
        <f aca="false">Sens!H950+Sens!H943*(1-tax_f)</f>
        <v>191.296573747106</v>
      </c>
      <c r="I953" s="6" t="n">
        <f aca="false">Sens!I950+Sens!I943*(1-tax_f)</f>
        <v>215.109980827232</v>
      </c>
      <c r="J953" s="6" t="n">
        <f aca="false">Sens!J950+Sens!J943*(1-tax_f)</f>
        <v>235.548061620244</v>
      </c>
      <c r="K953" s="6" t="n">
        <f aca="false">Sens!K950+Sens!K943*(1-tax_f)</f>
        <v>252.946123333168</v>
      </c>
    </row>
    <row r="954" customFormat="false" ht="17.15" hidden="false" customHeight="false" outlineLevel="0" collapsed="false">
      <c r="A954" s="0" t="s">
        <v>930</v>
      </c>
      <c r="B954" s="0" t="s">
        <v>75</v>
      </c>
      <c r="D954" s="8" t="n">
        <f aca="false">Sens!D953/Sens!D951</f>
        <v>13.641259209645</v>
      </c>
      <c r="E954" s="8" t="n">
        <f aca="false">Sens!E953/Sens!E951</f>
        <v>17.9456594659869</v>
      </c>
      <c r="F954" s="8" t="n">
        <f aca="false">Sens!F953/Sens!F951</f>
        <v>18.9892048099808</v>
      </c>
      <c r="G954" s="8" t="n">
        <f aca="false">Sens!G953/Sens!G951</f>
        <v>22.1125207844312</v>
      </c>
      <c r="H954" s="8" t="n">
        <f aca="false">Sens!H953/Sens!H951</f>
        <v>25.3413040361693</v>
      </c>
      <c r="I954" s="8" t="n">
        <f aca="false">Sens!I953/Sens!I951</f>
        <v>28.4418875333639</v>
      </c>
      <c r="J954" s="8" t="n">
        <f aca="false">Sens!J953/Sens!J951</f>
        <v>31.0856801121437</v>
      </c>
      <c r="K954" s="8" t="n">
        <f aca="false">Sens!K953/Sens!K951</f>
        <v>33.3091127859358</v>
      </c>
      <c r="L954" s="1" t="s">
        <v>931</v>
      </c>
    </row>
    <row r="955" customFormat="false" ht="17.15" hidden="false" customHeight="false" outlineLevel="0" collapsed="false">
      <c r="A955" s="0" t="s">
        <v>932</v>
      </c>
      <c r="B955" s="0" t="s">
        <v>129</v>
      </c>
      <c r="E955" s="7" t="n">
        <f aca="false">Sens!E954/Sens!D954-1</f>
        <v>0.315542736208578</v>
      </c>
      <c r="F955" s="7" t="n">
        <f aca="false">Sens!F954/Sens!E954-1</f>
        <v>0.0581502923295654</v>
      </c>
      <c r="G955" s="7" t="n">
        <f aca="false">Sens!G954/Sens!F954-1</f>
        <v>0.164478502691634</v>
      </c>
      <c r="H955" s="7" t="n">
        <f aca="false">Sens!H954/Sens!G954-1</f>
        <v>0.146016064075848</v>
      </c>
      <c r="I955" s="7" t="n">
        <f aca="false">Sens!I954/Sens!H954-1</f>
        <v>0.122352957557716</v>
      </c>
      <c r="J955" s="7" t="n">
        <f aca="false">Sens!J954/Sens!I954-1</f>
        <v>0.0929541886303607</v>
      </c>
      <c r="K955" s="7" t="n">
        <f aca="false">Sens!K954/Sens!J954-1</f>
        <v>0.0715259458944095</v>
      </c>
    </row>
    <row r="956" customFormat="false" ht="17.15" hidden="false" customHeight="false" outlineLevel="0" collapsed="false">
      <c r="A956" s="0" t="s">
        <v>856</v>
      </c>
      <c r="B956" s="0" t="s">
        <v>98</v>
      </c>
      <c r="E956" s="6" t="n">
        <f aca="false">Sens!E897</f>
        <v>5.25</v>
      </c>
      <c r="F956" s="6" t="n">
        <f aca="false">Sens!F897</f>
        <v>12</v>
      </c>
      <c r="G956" s="6" t="n">
        <f aca="false">Sens!G897</f>
        <v>18</v>
      </c>
      <c r="H956" s="6" t="n">
        <f aca="false">Sens!H897</f>
        <v>24</v>
      </c>
      <c r="I956" s="6" t="n">
        <f aca="false">Sens!I897</f>
        <v>28.5</v>
      </c>
      <c r="J956" s="6" t="n">
        <f aca="false">Sens!J897</f>
        <v>31.5</v>
      </c>
      <c r="K956" s="6" t="n">
        <f aca="false">Sens!K897</f>
        <v>34.5</v>
      </c>
    </row>
    <row r="957" customFormat="false" ht="17.15" hidden="false" customHeight="false" outlineLevel="0" collapsed="false">
      <c r="A957" s="1" t="s">
        <v>857</v>
      </c>
      <c r="B957" s="0" t="s">
        <v>98</v>
      </c>
      <c r="F957" s="6" t="n">
        <f aca="false">MAX(0,((Sens!E860+Sens!F860)/2-(shadow_base*(Sens!$D$860+Sens!$E$860)/2+(1-shadow_base)*Sens!$E$860))*Sens!F868/1000-(Sens!F956-Sens!$E$956)*Sens!F936)</f>
        <v>9.29892047395526</v>
      </c>
      <c r="G957" s="6" t="n">
        <f aca="false">MAX(0,((Sens!F860+Sens!G860)/2-(shadow_base*(Sens!$D$860+Sens!$E$860)/2+(1-shadow_base)*Sens!$E$860))*Sens!G868/1000-(Sens!G956-Sens!$E$956)*Sens!G936)</f>
        <v>23.9346303607031</v>
      </c>
      <c r="H957" s="6" t="n">
        <f aca="false">MAX(0,((Sens!G860+Sens!H860)/2-(shadow_base*(Sens!$D$860+Sens!$E$860)/2+(1-shadow_base)*Sens!$E$860))*Sens!H868/1000-(Sens!H956-Sens!$E$956)*Sens!H936)</f>
        <v>40.1043191979728</v>
      </c>
      <c r="I957" s="6" t="n">
        <f aca="false">MAX(0,((Sens!H860+Sens!I860)/2-(shadow_base*(Sens!$D$860+Sens!$E$860)/2+(1-shadow_base)*Sens!$E$860))*Sens!I868/1000-(Sens!I956-Sens!$E$956)*Sens!I936)</f>
        <v>54.9360183203111</v>
      </c>
      <c r="J957" s="6" t="n">
        <f aca="false">MAX(0,((Sens!I860+Sens!J860)/2-(shadow_base*(Sens!$D$860+Sens!$E$860)/2+(1-shadow_base)*Sens!$E$860))*Sens!J868/1000-(Sens!J956-Sens!$E$956)*Sens!J936)</f>
        <v>65.4555422613168</v>
      </c>
      <c r="K957" s="6" t="n">
        <f aca="false">MAX(0,((Sens!J860+Sens!K860)/2-(shadow_base*(Sens!$D$860+Sens!$E$860)/2+(1-shadow_base)*Sens!$E$860))*Sens!K868/1000-(Sens!K956-Sens!$E$956)*Sens!K936)</f>
        <v>71.4992160033785</v>
      </c>
      <c r="L957" s="1" t="s">
        <v>858</v>
      </c>
    </row>
    <row r="958" customFormat="false" ht="17.15" hidden="false" customHeight="false" outlineLevel="0" collapsed="false">
      <c r="A958" s="1" t="s">
        <v>859</v>
      </c>
      <c r="B958" s="0" t="s">
        <v>98</v>
      </c>
      <c r="F958" s="6" t="n">
        <f aca="false">IF(internal_ai_reading=2,1,0)*Sens!F957</f>
        <v>9.29892047395526</v>
      </c>
      <c r="G958" s="6" t="n">
        <f aca="false">IF(internal_ai_reading=2,1,0)*Sens!G957</f>
        <v>23.9346303607031</v>
      </c>
      <c r="H958" s="6" t="n">
        <f aca="false">IF(internal_ai_reading=2,1,0)*Sens!H957</f>
        <v>40.1043191979728</v>
      </c>
      <c r="I958" s="6" t="n">
        <f aca="false">IF(internal_ai_reading=2,1,0)*Sens!I957</f>
        <v>54.9360183203111</v>
      </c>
      <c r="J958" s="6" t="n">
        <f aca="false">IF(internal_ai_reading=2,1,0)*Sens!J957</f>
        <v>65.4555422613168</v>
      </c>
      <c r="K958" s="6" t="n">
        <f aca="false">IF(internal_ai_reading=2,1,0)*Sens!K957</f>
        <v>71.4992160033785</v>
      </c>
    </row>
    <row r="959" customFormat="false" ht="17.15" hidden="false" customHeight="false" outlineLevel="0" collapsed="false">
      <c r="A959" s="0" t="s">
        <v>860</v>
      </c>
      <c r="B959" s="0" t="s">
        <v>98</v>
      </c>
      <c r="F959" s="6" t="n">
        <f aca="false">Sens!F877+Sens!F956*Sens!F936+Sens!F958-Sens!F878-Sens!F888</f>
        <v>6.76743051597958</v>
      </c>
      <c r="G959" s="6" t="n">
        <f aca="false">Sens!G877+Sens!G956*Sens!G936+Sens!G958-Sens!G878-Sens!G888</f>
        <v>17.4369677517843</v>
      </c>
      <c r="H959" s="6" t="n">
        <f aca="false">Sens!H877+Sens!H956*Sens!H936+Sens!H958-Sens!H878-Sens!H888</f>
        <v>28.6771456470587</v>
      </c>
      <c r="I959" s="6" t="n">
        <f aca="false">Sens!I877+Sens!I956*Sens!I936+Sens!I958-Sens!I878-Sens!I888</f>
        <v>38.7580281341176</v>
      </c>
      <c r="J959" s="6" t="n">
        <f aca="false">Sens!J877+Sens!J956*Sens!J936+Sens!J958-Sens!J878-Sens!J888</f>
        <v>45.7661591007664</v>
      </c>
      <c r="K959" s="6" t="n">
        <f aca="false">Sens!K877+Sens!K956*Sens!K936+Sens!K958-Sens!K878-Sens!K888</f>
        <v>50.9111045256469</v>
      </c>
    </row>
    <row r="960" customFormat="false" ht="17.15" hidden="false" customHeight="false" outlineLevel="0" collapsed="false">
      <c r="A960" s="0" t="s">
        <v>861</v>
      </c>
      <c r="B960" s="0" t="s">
        <v>98</v>
      </c>
      <c r="E960" s="6" t="n">
        <f aca="false">Sens!E859*(cxit_open+self_build*tk_cxfac)/1000*ai_net_open</f>
        <v>126.6980382</v>
      </c>
      <c r="F960" s="6" t="n">
        <f aca="false">Sens!E960+Sens!F885-Sens!F888</f>
        <v>252.981026690511</v>
      </c>
      <c r="G960" s="6" t="n">
        <f aca="false">Sens!F960+Sens!G885-Sens!G888</f>
        <v>377.4297700632</v>
      </c>
      <c r="H960" s="6" t="n">
        <f aca="false">Sens!G960+Sens!H885-Sens!H888</f>
        <v>479.149036130289</v>
      </c>
      <c r="I960" s="6" t="n">
        <f aca="false">Sens!H960+Sens!I885-Sens!I888</f>
        <v>532.249961452141</v>
      </c>
      <c r="J960" s="6" t="n">
        <f aca="false">Sens!I960+Sens!J885-Sens!J888</f>
        <v>531.43307519354</v>
      </c>
      <c r="K960" s="6" t="n">
        <f aca="false">Sens!J960+Sens!K885-Sens!K888</f>
        <v>513.709026452823</v>
      </c>
      <c r="L960" s="1" t="s">
        <v>862</v>
      </c>
    </row>
    <row r="961" customFormat="false" ht="17.15" hidden="false" customHeight="false" outlineLevel="0" collapsed="false">
      <c r="A961" s="0" t="s">
        <v>863</v>
      </c>
      <c r="B961" s="0" t="s">
        <v>129</v>
      </c>
      <c r="F961" s="7" t="n">
        <f aca="false">Sens!F959*(1-tax_f)/((Sens!E960+Sens!F960)/2)</f>
        <v>0.0285185300608812</v>
      </c>
      <c r="G961" s="7" t="n">
        <f aca="false">Sens!G959*(1-tax_f)/((Sens!F960+Sens!G960)/2)</f>
        <v>0.0442555053728791</v>
      </c>
      <c r="H961" s="7" t="n">
        <f aca="false">Sens!H959*(1-tax_f)/((Sens!G960+Sens!H960)/2)</f>
        <v>0.0535659214348219</v>
      </c>
      <c r="I961" s="7" t="n">
        <f aca="false">Sens!I959*(1-tax_f)/((Sens!H960+Sens!I960)/2)</f>
        <v>0.0613139277009557</v>
      </c>
      <c r="J961" s="7" t="n">
        <f aca="false">Sens!J959*(1-tax_f)/((Sens!I960+Sens!J960)/2)</f>
        <v>0.068841799707687</v>
      </c>
      <c r="K961" s="7" t="n">
        <f aca="false">Sens!K959*(1-tax_f)/((Sens!J960+Sens!K960)/2)</f>
        <v>0.0779394181066081</v>
      </c>
    </row>
    <row r="962" customFormat="false" ht="17.15" hidden="false" customHeight="false" outlineLevel="0" collapsed="false">
      <c r="A962" s="1" t="s">
        <v>864</v>
      </c>
      <c r="B962" s="0" t="s">
        <v>129</v>
      </c>
      <c r="F962" s="7" t="n">
        <f aca="false">(Sens!F959-Sens!F958)*(1-tax_f)/((Sens!E960+Sens!F960)/2)</f>
        <v>-0.0106679148452104</v>
      </c>
      <c r="G962" s="7" t="n">
        <f aca="false">(Sens!G959-Sens!G958)*(1-tax_f)/((Sens!F960+Sens!G960)/2)</f>
        <v>-0.0164912470214748</v>
      </c>
      <c r="H962" s="7" t="n">
        <f aca="false">(Sens!H959-Sens!H958)*(1-tax_f)/((Sens!G960+Sens!H960)/2)</f>
        <v>-0.021344770089178</v>
      </c>
      <c r="I962" s="7" t="n">
        <f aca="false">(Sens!I959-Sens!I958)*(1-tax_f)/((Sens!H960+Sens!I960)/2)</f>
        <v>-0.0255930491920425</v>
      </c>
      <c r="J962" s="7" t="n">
        <f aca="false">(Sens!J959-Sens!J958)*(1-tax_f)/((Sens!I960+Sens!J960)/2)</f>
        <v>-0.0296169177955729</v>
      </c>
      <c r="K962" s="7" t="n">
        <f aca="false">(Sens!K959-Sens!K958)*(1-tax_f)/((Sens!J960+Sens!K960)/2)</f>
        <v>-0.0315181814152164</v>
      </c>
    </row>
    <row r="963" customFormat="false" ht="17.15" hidden="false" customHeight="false" outlineLevel="0" collapsed="false">
      <c r="A963" s="1" t="s">
        <v>865</v>
      </c>
      <c r="B963" s="0" t="s">
        <v>129</v>
      </c>
      <c r="F963" s="7" t="n">
        <f aca="false">(Sens!F959-Sens!F958+Sens!F957)*(1-tax_f)/((Sens!E960+Sens!F960)/2)</f>
        <v>0.0285185300608812</v>
      </c>
      <c r="G963" s="7" t="n">
        <f aca="false">(Sens!G959-Sens!G958+Sens!G957)*(1-tax_f)/((Sens!F960+Sens!G960)/2)</f>
        <v>0.0442555053728791</v>
      </c>
      <c r="H963" s="7" t="n">
        <f aca="false">(Sens!H959-Sens!H958+Sens!H957)*(1-tax_f)/((Sens!G960+Sens!H960)/2)</f>
        <v>0.0535659214348219</v>
      </c>
      <c r="I963" s="7" t="n">
        <f aca="false">(Sens!I959-Sens!I958+Sens!I957)*(1-tax_f)/((Sens!H960+Sens!I960)/2)</f>
        <v>0.0613139277009557</v>
      </c>
      <c r="J963" s="7" t="n">
        <f aca="false">(Sens!J959-Sens!J958+Sens!J957)*(1-tax_f)/((Sens!I960+Sens!J960)/2)</f>
        <v>0.068841799707687</v>
      </c>
      <c r="K963" s="7" t="n">
        <f aca="false">(Sens!K959-Sens!K958+Sens!K957)*(1-tax_f)/((Sens!J960+Sens!K960)/2)</f>
        <v>0.0779394181066081</v>
      </c>
    </row>
    <row r="964" customFormat="false" ht="17.15" hidden="false" customHeight="false" outlineLevel="0" collapsed="false">
      <c r="A964" s="1" t="s">
        <v>866</v>
      </c>
      <c r="B964" s="0" t="s">
        <v>129</v>
      </c>
      <c r="F964" s="7" t="n">
        <f aca="false">Sens!F889*(1-tax_f)/(Sens!F876*(Sens!E960+Sens!F960)/2)</f>
        <v>0.0756421819042178</v>
      </c>
      <c r="G964" s="7" t="n">
        <f aca="false">Sens!G889*(1-tax_f)/(Sens!G876*(Sens!F960+Sens!G960)/2)</f>
        <v>0.0747022362120308</v>
      </c>
      <c r="H964" s="7" t="n">
        <f aca="false">Sens!H889*(1-tax_f)/(Sens!H876*(Sens!G960+Sens!H960)/2)</f>
        <v>0.0768255865898441</v>
      </c>
      <c r="I964" s="7" t="n">
        <f aca="false">Sens!I889*(1-tax_f)/(Sens!I876*(Sens!H960+Sens!I960)/2)</f>
        <v>0.0815645806847093</v>
      </c>
      <c r="J964" s="7" t="n">
        <f aca="false">Sens!J889*(1-tax_f)/(Sens!J876*(Sens!I960+Sens!J960)/2)</f>
        <v>0.0885353899738</v>
      </c>
      <c r="K964" s="7" t="n">
        <f aca="false">Sens!K889*(1-tax_f)/(Sens!K876*(Sens!J960+Sens!K960)/2)</f>
        <v>0.0986642194347802</v>
      </c>
    </row>
    <row r="965" customFormat="false" ht="17.15" hidden="false" customHeight="false" outlineLevel="0" collapsed="false">
      <c r="A965" s="0" t="s">
        <v>867</v>
      </c>
      <c r="B965" s="0" t="s">
        <v>209</v>
      </c>
      <c r="F965" s="7" t="n">
        <f aca="false">Sens!F961-wacc</f>
        <v>-0.0744158900319945</v>
      </c>
      <c r="G965" s="7" t="n">
        <f aca="false">Sens!G961-wacc</f>
        <v>-0.0586789147199967</v>
      </c>
      <c r="H965" s="7" t="n">
        <f aca="false">Sens!H961-wacc</f>
        <v>-0.0493684986580539</v>
      </c>
      <c r="I965" s="7" t="n">
        <f aca="false">Sens!I961-wacc</f>
        <v>-0.04162049239192</v>
      </c>
      <c r="J965" s="7" t="n">
        <f aca="false">Sens!J961-wacc</f>
        <v>-0.0340926203851887</v>
      </c>
      <c r="K965" s="7" t="n">
        <f aca="false">Sens!K961-wacc</f>
        <v>-0.0249950019862676</v>
      </c>
    </row>
    <row r="966" customFormat="false" ht="17.15" hidden="false" customHeight="false" outlineLevel="0" collapsed="false">
      <c r="A966" s="0" t="s">
        <v>868</v>
      </c>
      <c r="B966" s="0" t="s">
        <v>98</v>
      </c>
      <c r="F966" s="6" t="n">
        <f aca="false">Sens!F959*(1-tax_f)-wacc*(Sens!E960+Sens!F960)/2</f>
        <v>-14.1270777701714</v>
      </c>
      <c r="G966" s="6" t="n">
        <f aca="false">Sens!G959*(1-tax_f)-wacc*(Sens!F960+Sens!G960)/2</f>
        <v>-18.4959106906381</v>
      </c>
      <c r="H966" s="6" t="n">
        <f aca="false">Sens!H959*(1-tax_f)-wacc*(Sens!G960+Sens!H960)/2</f>
        <v>-21.1440048220403</v>
      </c>
      <c r="I966" s="6" t="n">
        <f aca="false">Sens!I959*(1-tax_f)-wacc*(Sens!H960+Sens!I960)/2</f>
        <v>-21.0474621420375</v>
      </c>
      <c r="J966" s="6" t="n">
        <f aca="false">Sens!J959*(1-tax_f)-wacc*(Sens!I960+Sens!J960)/2</f>
        <v>-18.131870989263</v>
      </c>
      <c r="K966" s="6" t="n">
        <f aca="false">Sens!K959*(1-tax_f)-wacc*(Sens!J960+Sens!K960)/2</f>
        <v>-13.0616644532914</v>
      </c>
    </row>
    <row r="967" customFormat="false" ht="17.15" hidden="false" customHeight="false" outlineLevel="0" collapsed="false">
      <c r="A967" s="3" t="s">
        <v>1285</v>
      </c>
    </row>
    <row r="968" customFormat="false" ht="15" hidden="false" customHeight="false" outlineLevel="0" collapsed="false">
      <c r="A968" s="4" t="s">
        <v>43</v>
      </c>
      <c r="B968" s="4" t="s">
        <v>65</v>
      </c>
      <c r="C968" s="20" t="s">
        <v>799</v>
      </c>
      <c r="D968" s="20" t="s">
        <v>800</v>
      </c>
      <c r="E968" s="20" t="s">
        <v>801</v>
      </c>
      <c r="F968" s="20" t="s">
        <v>802</v>
      </c>
      <c r="G968" s="20" t="s">
        <v>803</v>
      </c>
      <c r="H968" s="20" t="s">
        <v>804</v>
      </c>
      <c r="I968" s="20" t="s">
        <v>805</v>
      </c>
      <c r="J968" s="20" t="s">
        <v>806</v>
      </c>
      <c r="K968" s="20" t="s">
        <v>807</v>
      </c>
      <c r="L968" s="4" t="s">
        <v>47</v>
      </c>
    </row>
    <row r="969" customFormat="false" ht="15" hidden="false" customHeight="false" outlineLevel="0" collapsed="false">
      <c r="A969" s="1" t="s">
        <v>925</v>
      </c>
      <c r="B969" s="0" t="s">
        <v>98</v>
      </c>
      <c r="F969" s="6" t="n">
        <f aca="false">Sens!F950</f>
        <v>134.476685768227</v>
      </c>
      <c r="G969" s="6" t="n">
        <f aca="false">Sens!G950</f>
        <v>147.105283229184</v>
      </c>
      <c r="H969" s="6" t="n">
        <f aca="false">Sens!H950</f>
        <v>159.213118388727</v>
      </c>
      <c r="I969" s="6" t="n">
        <f aca="false">Sens!I950</f>
        <v>171.161166170983</v>
      </c>
      <c r="J969" s="6" t="n">
        <f aca="false">Sens!J950</f>
        <v>183.18362781119</v>
      </c>
      <c r="K969" s="6" t="n">
        <f aca="false">Sens!K950</f>
        <v>195.746750530465</v>
      </c>
    </row>
    <row r="970" customFormat="false" ht="17.15" hidden="false" customHeight="false" outlineLevel="0" collapsed="false">
      <c r="A970" s="1" t="s">
        <v>947</v>
      </c>
      <c r="B970" s="0" t="s">
        <v>98</v>
      </c>
      <c r="E970" s="6" t="n">
        <f aca="false">Q!M38-Sens!E888</f>
        <v>22.2285940229167</v>
      </c>
      <c r="F970" s="6" t="n">
        <f aca="false">Sens!E970*(1-1/life_nonai)+(Sens!F977+Sens!F978)/life_nonai</f>
        <v>24.3924470334783</v>
      </c>
      <c r="G970" s="6" t="n">
        <f aca="false">Sens!F970*(1-1/life_nonai)+(Sens!G977)/life_nonai</f>
        <v>26.0684916871694</v>
      </c>
      <c r="H970" s="6" t="n">
        <f aca="false">Sens!G970*(1-1/life_nonai)+(Sens!H977)/life_nonai</f>
        <v>28.1427938828615</v>
      </c>
      <c r="I970" s="6" t="n">
        <f aca="false">Sens!H970*(1-1/life_nonai)+(Sens!I977)/life_nonai</f>
        <v>30.5483545257397</v>
      </c>
      <c r="J970" s="6" t="n">
        <f aca="false">Sens!I970*(1-1/life_nonai)+(Sens!J977)/life_nonai</f>
        <v>33.2016103982031</v>
      </c>
      <c r="K970" s="6" t="n">
        <f aca="false">Sens!J970*(1-1/life_nonai)+(Sens!K977)/life_nonai</f>
        <v>36.0183196325822</v>
      </c>
      <c r="L970" s="11" t="s">
        <v>948</v>
      </c>
    </row>
    <row r="971" customFormat="false" ht="17.15" hidden="false" customHeight="false" outlineLevel="0" collapsed="false">
      <c r="A971" s="1" t="s">
        <v>949</v>
      </c>
      <c r="B971" s="0" t="s">
        <v>98</v>
      </c>
      <c r="F971" s="6" t="n">
        <f aca="false">Sens!$F$978/life_nonai*(1-1/life_nonai)^(Sens!F854-2027)</f>
        <v>0.828777689897088</v>
      </c>
      <c r="G971" s="6" t="n">
        <f aca="false">Sens!$F$978/life_nonai*(1-1/life_nonai)^(Sens!G854-2027)</f>
        <v>0.745899920907379</v>
      </c>
      <c r="H971" s="6" t="n">
        <f aca="false">Sens!$F$978/life_nonai*(1-1/life_nonai)^(Sens!H854-2027)</f>
        <v>0.671309928816642</v>
      </c>
      <c r="I971" s="6" t="n">
        <f aca="false">Sens!$F$978/life_nonai*(1-1/life_nonai)^(Sens!I854-2027)</f>
        <v>0.604178935934977</v>
      </c>
      <c r="J971" s="6" t="n">
        <f aca="false">Sens!$F$978/life_nonai*(1-1/life_nonai)^(Sens!J854-2027)</f>
        <v>0.54376104234148</v>
      </c>
      <c r="K971" s="6" t="n">
        <f aca="false">Sens!$F$978/life_nonai*(1-1/life_nonai)^(Sens!K854-2027)</f>
        <v>0.489384938107332</v>
      </c>
      <c r="L971" s="1" t="s">
        <v>950</v>
      </c>
    </row>
    <row r="972" customFormat="false" ht="17.15" hidden="false" customHeight="false" outlineLevel="0" collapsed="false">
      <c r="A972" s="1" t="s">
        <v>951</v>
      </c>
      <c r="B972" s="0" t="s">
        <v>98</v>
      </c>
      <c r="E972" s="6" t="n">
        <f aca="false">Sens!E888+Sens!E970</f>
        <v>38.534</v>
      </c>
      <c r="F972" s="6" t="n">
        <f aca="false">Sens!F888+Sens!F970</f>
        <v>58.4423344144339</v>
      </c>
      <c r="G972" s="6" t="n">
        <f aca="false">Sens!G888+Sens!G970</f>
        <v>85.1939287976805</v>
      </c>
      <c r="H972" s="6" t="n">
        <f aca="false">Sens!H888+Sens!H970</f>
        <v>114.503813726173</v>
      </c>
      <c r="I972" s="6" t="n">
        <f aca="false">Sens!I888+Sens!I970</f>
        <v>141.154098358132</v>
      </c>
      <c r="J972" s="6" t="n">
        <f aca="false">Sens!J888+Sens!J970</f>
        <v>161.199933251046</v>
      </c>
      <c r="K972" s="6" t="n">
        <f aca="false">Sens!K888+Sens!K970</f>
        <v>175.14978367689</v>
      </c>
    </row>
    <row r="973" customFormat="false" ht="17.15" hidden="false" customHeight="false" outlineLevel="0" collapsed="false">
      <c r="A973" s="1" t="s">
        <v>952</v>
      </c>
      <c r="B973" s="0" t="s">
        <v>98</v>
      </c>
      <c r="F973" s="6" t="n">
        <f aca="false">Sens!F915*sbc_r</f>
        <v>14.622105248829</v>
      </c>
      <c r="G973" s="6" t="n">
        <f aca="false">Sens!G915*sbc_r</f>
        <v>17.2625269964373</v>
      </c>
      <c r="H973" s="6" t="n">
        <f aca="false">Sens!H915*sbc_r</f>
        <v>19.9640862534116</v>
      </c>
      <c r="I973" s="6" t="n">
        <f aca="false">Sens!I915*sbc_r</f>
        <v>22.463310674891</v>
      </c>
      <c r="J973" s="6" t="n">
        <f aca="false">Sens!J915*sbc_r</f>
        <v>24.5448291143993</v>
      </c>
      <c r="K973" s="6" t="n">
        <f aca="false">Sens!K915*sbc_r</f>
        <v>26.2627314990316</v>
      </c>
    </row>
    <row r="974" customFormat="false" ht="17.15" hidden="false" customHeight="false" outlineLevel="0" collapsed="false">
      <c r="A974" s="1" t="s">
        <v>953</v>
      </c>
      <c r="B974" s="0" t="s">
        <v>98</v>
      </c>
      <c r="F974" s="6" t="n">
        <f aca="false">wc27</f>
        <v>-4.895</v>
      </c>
      <c r="G974" s="6" t="n">
        <f aca="false">wc_f</f>
        <v>0</v>
      </c>
      <c r="H974" s="6" t="n">
        <f aca="false">wc_f</f>
        <v>0</v>
      </c>
      <c r="I974" s="6" t="n">
        <f aca="false">wc_f</f>
        <v>0</v>
      </c>
      <c r="J974" s="6" t="n">
        <f aca="false">wc_f</f>
        <v>0</v>
      </c>
      <c r="K974" s="6" t="n">
        <f aca="false">wc_f</f>
        <v>0</v>
      </c>
      <c r="L974" s="11" t="s">
        <v>954</v>
      </c>
    </row>
    <row r="975" customFormat="false" ht="15" hidden="false" customHeight="false" outlineLevel="0" collapsed="false">
      <c r="A975" s="1" t="s">
        <v>767</v>
      </c>
      <c r="B975" s="0" t="s">
        <v>98</v>
      </c>
      <c r="E975" s="6" t="n">
        <f aca="false">Q!M35</f>
        <v>182.935</v>
      </c>
      <c r="F975" s="6" t="n">
        <f aca="false">Sens!F969+Sens!F972+Sens!F973+Sens!F974</f>
        <v>202.64612543149</v>
      </c>
      <c r="G975" s="6" t="n">
        <f aca="false">Sens!G969+Sens!G972+Sens!G973+Sens!G974</f>
        <v>249.561739023302</v>
      </c>
      <c r="H975" s="6" t="n">
        <f aca="false">Sens!H969+Sens!H972+Sens!H973+Sens!H974</f>
        <v>293.681018368311</v>
      </c>
      <c r="I975" s="6" t="n">
        <f aca="false">Sens!I969+Sens!I972+Sens!I973+Sens!I974</f>
        <v>334.778575204006</v>
      </c>
      <c r="J975" s="6" t="n">
        <f aca="false">Sens!J969+Sens!J972+Sens!J973+Sens!J974</f>
        <v>368.928390176636</v>
      </c>
      <c r="K975" s="6" t="n">
        <f aca="false">Sens!K969+Sens!K972+Sens!K973+Sens!K974</f>
        <v>397.159265706387</v>
      </c>
    </row>
    <row r="976" customFormat="false" ht="17.15" hidden="false" customHeight="false" outlineLevel="0" collapsed="false">
      <c r="A976" s="0" t="s">
        <v>955</v>
      </c>
      <c r="B976" s="0" t="s">
        <v>98</v>
      </c>
      <c r="F976" s="6" t="n">
        <f aca="false">Sens!F885</f>
        <v>160.332875871467</v>
      </c>
      <c r="G976" s="6" t="n">
        <f aca="false">Sens!G885</f>
        <v>183.5741804832</v>
      </c>
      <c r="H976" s="6" t="n">
        <f aca="false">Sens!H885</f>
        <v>188.0802859104</v>
      </c>
      <c r="I976" s="6" t="n">
        <f aca="false">Sens!I885</f>
        <v>163.706669154245</v>
      </c>
      <c r="J976" s="6" t="n">
        <f aca="false">Sens!J885</f>
        <v>127.181436594242</v>
      </c>
      <c r="K976" s="6" t="n">
        <f aca="false">Sens!K885</f>
        <v>121.407415303591</v>
      </c>
    </row>
    <row r="977" customFormat="false" ht="17.15" hidden="false" customHeight="false" outlineLevel="0" collapsed="false">
      <c r="A977" s="1" t="s">
        <v>956</v>
      </c>
      <c r="B977" s="0" t="s">
        <v>98</v>
      </c>
      <c r="E977" s="6" t="n">
        <f aca="false">Sens!E893*cx_azo+Sens!E900*cx_m365+Sens!E901*cx_lic+(Sens!E903+Sens!E905)*cx_ind+Sens!E908*cx_srch+(Sens!E910+Sens!E912)*cx_dev</f>
        <v>30.1846587067718</v>
      </c>
      <c r="F977" s="6" t="n">
        <f aca="false">Sens!F893*cx_azo+Sens!F900*cx_m365+Sens!F901*cx_lic+(Sens!F903+Sens!F905)*cx_ind+Sens!F908*cx_srch+(Sens!F910+Sens!F912)*cx_dev</f>
        <v>35.5793472295625</v>
      </c>
      <c r="G977" s="6" t="n">
        <f aca="false">Sens!G893*cx_azo+Sens!G900*cx_m365+Sens!G901*cx_lic+(Sens!G903+Sens!G905)*cx_ind+Sens!G908*cx_srch+(Sens!G910+Sens!G912)*cx_dev</f>
        <v>41.1528935703892</v>
      </c>
      <c r="H977" s="6" t="n">
        <f aca="false">Sens!H893*cx_azo+Sens!H900*cx_m365+Sens!H901*cx_lic+(Sens!H903+Sens!H905)*cx_ind+Sens!H908*cx_srch+(Sens!H910+Sens!H912)*cx_dev</f>
        <v>46.8115136440897</v>
      </c>
      <c r="I977" s="6" t="n">
        <f aca="false">Sens!I893*cx_azo+Sens!I900*cx_m365+Sens!I901*cx_lic+(Sens!I903+Sens!I905)*cx_ind+Sens!I908*cx_srch+(Sens!I910+Sens!I912)*cx_dev</f>
        <v>52.1984003116439</v>
      </c>
      <c r="J977" s="6" t="n">
        <f aca="false">Sens!J893*cx_azo+Sens!J900*cx_m365+Sens!J901*cx_lic+(Sens!J903+Sens!J905)*cx_ind+Sens!J908*cx_srch+(Sens!J910+Sens!J912)*cx_dev</f>
        <v>57.0809132503738</v>
      </c>
      <c r="K977" s="6" t="n">
        <f aca="false">Sens!K893*cx_azo+Sens!K900*cx_m365+Sens!K901*cx_lic+(Sens!K903+Sens!K905)*cx_ind+Sens!K908*cx_srch+(Sens!K910+Sens!K912)*cx_dev</f>
        <v>61.368702741994</v>
      </c>
    </row>
    <row r="978" customFormat="false" ht="17.15" hidden="false" customHeight="false" outlineLevel="0" collapsed="false">
      <c r="A978" s="0" t="s">
        <v>957</v>
      </c>
      <c r="B978" s="0" t="s">
        <v>98</v>
      </c>
      <c r="F978" s="6" t="n">
        <f aca="false">Sens!F883</f>
        <v>8.28777689897088</v>
      </c>
      <c r="L978" s="1" t="s">
        <v>958</v>
      </c>
    </row>
    <row r="979" customFormat="false" ht="17.15" hidden="false" customHeight="false" outlineLevel="0" collapsed="false">
      <c r="A979" s="1" t="s">
        <v>959</v>
      </c>
      <c r="B979" s="0" t="s">
        <v>98</v>
      </c>
      <c r="E979" s="6" t="n">
        <f aca="false">Q!M42</f>
        <v>145.3</v>
      </c>
      <c r="F979" s="6" t="n">
        <f aca="false">Sens!F976+Sens!F977+Sens!F978</f>
        <v>204.2</v>
      </c>
      <c r="G979" s="6" t="n">
        <f aca="false">Sens!G976+Sens!G977</f>
        <v>224.727074053589</v>
      </c>
      <c r="H979" s="6" t="n">
        <f aca="false">Sens!H976+Sens!H977</f>
        <v>234.89179955449</v>
      </c>
      <c r="I979" s="6" t="n">
        <f aca="false">Sens!I976+Sens!I977</f>
        <v>215.905069465889</v>
      </c>
      <c r="J979" s="6" t="n">
        <f aca="false">Sens!J976+Sens!J977</f>
        <v>184.262349844616</v>
      </c>
      <c r="K979" s="6" t="n">
        <f aca="false">Sens!K976+Sens!K977</f>
        <v>182.776118045585</v>
      </c>
      <c r="L979" s="1" t="s">
        <v>960</v>
      </c>
    </row>
    <row r="980" customFormat="false" ht="15" hidden="false" customHeight="false" outlineLevel="0" collapsed="false">
      <c r="A980" s="1" t="s">
        <v>961</v>
      </c>
      <c r="B980" s="0" t="s">
        <v>98</v>
      </c>
      <c r="E980" s="6" t="n">
        <f aca="false">fl_liab</f>
        <v>66.594</v>
      </c>
      <c r="F980" s="6" t="n">
        <f aca="false">Sens!E980-Sens!F981</f>
        <v>62.46973</v>
      </c>
      <c r="G980" s="6" t="n">
        <f aca="false">Sens!F980-Sens!G981</f>
        <v>57.98686785</v>
      </c>
      <c r="H980" s="6" t="n">
        <f aca="false">Sens!G980-Sens!H981</f>
        <v>53.92827690325</v>
      </c>
      <c r="I980" s="6" t="n">
        <f aca="false">Sens!H980-Sens!I981</f>
        <v>49.7850493638962</v>
      </c>
      <c r="J980" s="6" t="n">
        <f aca="false">Sens!I980-Sens!J981</f>
        <v>45.4823765852716</v>
      </c>
      <c r="K980" s="6" t="n">
        <f aca="false">Sens!J980-Sens!K981</f>
        <v>40.9860835316088</v>
      </c>
    </row>
    <row r="981" customFormat="false" ht="15" hidden="false" customHeight="false" outlineLevel="0" collapsed="false">
      <c r="A981" s="1" t="s">
        <v>962</v>
      </c>
      <c r="B981" s="0" t="s">
        <v>98</v>
      </c>
      <c r="F981" s="6" t="n">
        <f aca="false">fl_pay_27-Sens!E980*fl_rate</f>
        <v>4.12427</v>
      </c>
      <c r="G981" s="6" t="n">
        <f aca="false">fl_pay_28-Sens!F980*fl_rate</f>
        <v>4.48286215</v>
      </c>
      <c r="H981" s="6" t="n">
        <f aca="false">fl_pay_29-Sens!G980*fl_rate</f>
        <v>4.05859094675</v>
      </c>
      <c r="I981" s="6" t="n">
        <f aca="false">fl_pay_30-Sens!H980*fl_rate</f>
        <v>4.14322753935375</v>
      </c>
      <c r="J981" s="6" t="n">
        <f aca="false">fl_pay_31-Sens!I980*fl_rate</f>
        <v>4.30267277862467</v>
      </c>
      <c r="K981" s="6" t="n">
        <f aca="false">fl_pay_32-Sens!J980*fl_rate</f>
        <v>4.49629305366278</v>
      </c>
    </row>
    <row r="982" customFormat="false" ht="17.15" hidden="false" customHeight="false" outlineLevel="0" collapsed="false">
      <c r="A982" s="1" t="s">
        <v>963</v>
      </c>
      <c r="B982" s="0" t="s">
        <v>98</v>
      </c>
      <c r="E982" s="6" t="n">
        <f aca="false">Q!M35-Q!M36-Q!M43</f>
        <v>63.886</v>
      </c>
      <c r="F982" s="6" t="n">
        <f aca="false">Sens!F975-Sens!F979-Sens!F981</f>
        <v>-5.67814456850969</v>
      </c>
      <c r="G982" s="6" t="n">
        <f aca="false">Sens!G975-Sens!G979-Sens!G981</f>
        <v>20.3518028197124</v>
      </c>
      <c r="H982" s="6" t="n">
        <f aca="false">Sens!H975-Sens!H979-Sens!H981</f>
        <v>54.7306278670719</v>
      </c>
      <c r="I982" s="6" t="n">
        <f aca="false">Sens!I975-Sens!I979-Sens!I981</f>
        <v>114.730278198763</v>
      </c>
      <c r="J982" s="6" t="n">
        <f aca="false">Sens!J975-Sens!J979-Sens!J981</f>
        <v>180.363367553395</v>
      </c>
      <c r="K982" s="6" t="n">
        <f aca="false">Sens!K975-Sens!K979-Sens!K981</f>
        <v>209.88685460714</v>
      </c>
      <c r="L982" s="11" t="s">
        <v>964</v>
      </c>
    </row>
    <row r="983" customFormat="false" ht="15" hidden="false" customHeight="false" outlineLevel="0" collapsed="false">
      <c r="A983" s="1" t="s">
        <v>965</v>
      </c>
      <c r="B983" s="0" t="s">
        <v>75</v>
      </c>
      <c r="F983" s="8" t="n">
        <f aca="false">dps_27</f>
        <v>3.85</v>
      </c>
      <c r="G983" s="8" t="n">
        <f aca="false">Sens!F983*(1+dps_g)</f>
        <v>4.158</v>
      </c>
      <c r="H983" s="8" t="n">
        <f aca="false">Sens!G983*(1+dps_g)</f>
        <v>4.49064</v>
      </c>
      <c r="I983" s="8" t="n">
        <f aca="false">Sens!H983*(1+dps_g)</f>
        <v>4.8498912</v>
      </c>
      <c r="J983" s="8" t="n">
        <f aca="false">Sens!I983*(1+dps_g)</f>
        <v>5.237882496</v>
      </c>
      <c r="K983" s="8" t="n">
        <f aca="false">Sens!J983*(1+dps_g)</f>
        <v>5.65691309568</v>
      </c>
    </row>
    <row r="984" customFormat="false" ht="17.15" hidden="false" customHeight="false" outlineLevel="0" collapsed="false">
      <c r="A984" s="1" t="s">
        <v>966</v>
      </c>
      <c r="B984" s="0" t="s">
        <v>98</v>
      </c>
      <c r="E984" s="6" t="n">
        <f aca="false">Q!M41</f>
        <v>26.445</v>
      </c>
      <c r="F984" s="6" t="n">
        <f aca="false">Sens!F983*Sens!E993</f>
        <v>28.59395</v>
      </c>
      <c r="G984" s="6" t="n">
        <f aca="false">Sens!G983*Sens!F993</f>
        <v>31.068576</v>
      </c>
      <c r="H984" s="6" t="n">
        <f aca="false">Sens!H983*Sens!G993</f>
        <v>33.75614088</v>
      </c>
      <c r="I984" s="6" t="n">
        <f aca="false">Sens!I983*Sens!H993</f>
        <v>36.5323432131142</v>
      </c>
      <c r="J984" s="6" t="n">
        <f aca="false">Sens!J983*Sens!I993</f>
        <v>39.5233295184828</v>
      </c>
      <c r="K984" s="6" t="n">
        <f aca="false">Sens!K983*Sens!J993</f>
        <v>42.7724511052665</v>
      </c>
      <c r="L984" s="1" t="s">
        <v>967</v>
      </c>
    </row>
    <row r="985" customFormat="false" ht="15" hidden="false" customHeight="false" outlineLevel="0" collapsed="false">
      <c r="A985" s="1" t="s">
        <v>968</v>
      </c>
      <c r="B985" s="0" t="s">
        <v>98</v>
      </c>
      <c r="E985" s="6" t="n">
        <f aca="false">Sens!E982-Sens!E984</f>
        <v>37.441</v>
      </c>
      <c r="F985" s="6" t="n">
        <f aca="false">Sens!F982-Sens!F984</f>
        <v>-34.2720945685097</v>
      </c>
      <c r="G985" s="6" t="n">
        <f aca="false">Sens!G982-Sens!G984</f>
        <v>-10.7167731802877</v>
      </c>
      <c r="H985" s="6" t="n">
        <f aca="false">Sens!H982-Sens!H984</f>
        <v>20.9744869870719</v>
      </c>
      <c r="I985" s="6" t="n">
        <f aca="false">Sens!I982-Sens!I984</f>
        <v>78.197934985649</v>
      </c>
      <c r="J985" s="6" t="n">
        <f aca="false">Sens!J982-Sens!J984</f>
        <v>140.840038034912</v>
      </c>
      <c r="K985" s="6" t="n">
        <f aca="false">Sens!K982-Sens!K984</f>
        <v>167.114403501873</v>
      </c>
    </row>
    <row r="986" customFormat="false" ht="15" hidden="false" customHeight="false" outlineLevel="0" collapsed="false">
      <c r="A986" s="1" t="s">
        <v>969</v>
      </c>
      <c r="B986" s="0" t="s">
        <v>98</v>
      </c>
      <c r="F986" s="6" t="n">
        <f aca="false">debt_mat_27</f>
        <v>9.25</v>
      </c>
      <c r="G986" s="6" t="n">
        <f aca="false">debt_mat_28</f>
        <v>0</v>
      </c>
      <c r="H986" s="6" t="n">
        <f aca="false">debt_mat_29</f>
        <v>2.001</v>
      </c>
      <c r="I986" s="6" t="n">
        <f aca="false">debt_mat_30</f>
        <v>0</v>
      </c>
      <c r="J986" s="6" t="n">
        <f aca="false">debt_mat_31</f>
        <v>0.5</v>
      </c>
      <c r="K986" s="6" t="n">
        <f aca="false">debt_mat_32</f>
        <v>0</v>
      </c>
    </row>
    <row r="987" customFormat="false" ht="15" hidden="false" customHeight="false" outlineLevel="0" collapsed="false">
      <c r="A987" s="1" t="s">
        <v>970</v>
      </c>
      <c r="B987" s="0" t="s">
        <v>98</v>
      </c>
      <c r="E987" s="6" t="n">
        <f aca="false">Q!M40</f>
        <v>22.271</v>
      </c>
      <c r="F987" s="6" t="n">
        <f aca="false">MAX(0,MIN(bb_target,Sens!E989+Sens!F985-Sens!F986-min_cash))</f>
        <v>0</v>
      </c>
      <c r="G987" s="6" t="n">
        <f aca="false">MAX(0,MIN(bb_target,Sens!F989+Sens!G985-Sens!G986-min_cash))</f>
        <v>0</v>
      </c>
      <c r="H987" s="6" t="n">
        <f aca="false">MAX(0,MIN(bb_target,Sens!G989+Sens!H985-Sens!H986-min_cash))</f>
        <v>18.9734869870719</v>
      </c>
      <c r="I987" s="6" t="n">
        <f aca="false">MAX(0,MIN(bb_target,Sens!H989+Sens!I985-Sens!I986-min_cash))</f>
        <v>22.271</v>
      </c>
      <c r="J987" s="6" t="n">
        <f aca="false">MAX(0,MIN(bb_target,Sens!I989+Sens!J985-Sens!J986-min_cash))</f>
        <v>22.271</v>
      </c>
      <c r="K987" s="6" t="n">
        <f aca="false">MAX(0,MIN(bb_target,Sens!J989+Sens!K985-Sens!K986-min_cash))</f>
        <v>22.271</v>
      </c>
    </row>
    <row r="988" customFormat="false" ht="15" hidden="false" customHeight="false" outlineLevel="0" collapsed="false">
      <c r="A988" s="1" t="s">
        <v>971</v>
      </c>
      <c r="B988" s="0" t="s">
        <v>98</v>
      </c>
      <c r="F988" s="6" t="n">
        <f aca="false">MAX(0,min_cash-(Sens!E989+Sens!F985-Sens!F986-Sens!F987))</f>
        <v>16.6790945685097</v>
      </c>
      <c r="G988" s="6" t="n">
        <f aca="false">MAX(0,min_cash-(Sens!F989+Sens!G985-Sens!G986-Sens!G987))</f>
        <v>10.7167731802876</v>
      </c>
      <c r="H988" s="6" t="n">
        <f aca="false">MAX(0,min_cash-(Sens!G989+Sens!H985-Sens!H986-Sens!H987))</f>
        <v>0</v>
      </c>
      <c r="I988" s="6" t="n">
        <f aca="false">MAX(0,min_cash-(Sens!H989+Sens!I985-Sens!I986-Sens!I987))</f>
        <v>0</v>
      </c>
      <c r="J988" s="6" t="n">
        <f aca="false">MAX(0,min_cash-(Sens!I989+Sens!J985-Sens!J986-Sens!J987))</f>
        <v>0</v>
      </c>
      <c r="K988" s="6" t="n">
        <f aca="false">MAX(0,min_cash-(Sens!J989+Sens!K985-Sens!K986-Sens!K987))</f>
        <v>0</v>
      </c>
    </row>
    <row r="989" customFormat="false" ht="15" hidden="false" customHeight="false" outlineLevel="0" collapsed="false">
      <c r="A989" s="1" t="s">
        <v>972</v>
      </c>
      <c r="B989" s="0" t="s">
        <v>98</v>
      </c>
      <c r="E989" s="6" t="n">
        <f aca="false">cash_open</f>
        <v>76.843</v>
      </c>
      <c r="F989" s="6" t="n">
        <f aca="false">Sens!E989+Sens!F985-Sens!F986-Sens!F987+Sens!F988</f>
        <v>50</v>
      </c>
      <c r="G989" s="6" t="n">
        <f aca="false">Sens!F989+Sens!G985-Sens!G986-Sens!G987+Sens!G988</f>
        <v>50</v>
      </c>
      <c r="H989" s="6" t="n">
        <f aca="false">Sens!G989+Sens!H985-Sens!H986-Sens!H987+Sens!H988</f>
        <v>50</v>
      </c>
      <c r="I989" s="6" t="n">
        <f aca="false">Sens!H989+Sens!I985-Sens!I986-Sens!I987+Sens!I988</f>
        <v>105.926934985649</v>
      </c>
      <c r="J989" s="6" t="n">
        <f aca="false">Sens!I989+Sens!J985-Sens!J986-Sens!J987+Sens!J988</f>
        <v>223.995973020561</v>
      </c>
      <c r="K989" s="6" t="n">
        <f aca="false">Sens!J989+Sens!K985-Sens!K986-Sens!K987+Sens!K988</f>
        <v>368.839376522435</v>
      </c>
    </row>
    <row r="990" customFormat="false" ht="15" hidden="false" customHeight="false" outlineLevel="0" collapsed="false">
      <c r="A990" s="1" t="s">
        <v>973</v>
      </c>
      <c r="B990" s="0" t="s">
        <v>98</v>
      </c>
      <c r="E990" s="6" t="n">
        <f aca="false">debt_face</f>
        <v>46.136</v>
      </c>
      <c r="F990" s="6" t="n">
        <f aca="false">Sens!E990-Sens!F986+Sens!F988</f>
        <v>53.5650945685097</v>
      </c>
      <c r="G990" s="6" t="n">
        <f aca="false">Sens!F990-Sens!G986+Sens!G988</f>
        <v>64.2818677487973</v>
      </c>
      <c r="H990" s="6" t="n">
        <f aca="false">Sens!G990-Sens!H986+Sens!H988</f>
        <v>62.2808677487973</v>
      </c>
      <c r="I990" s="6" t="n">
        <f aca="false">Sens!H990-Sens!I986+Sens!I988</f>
        <v>62.2808677487973</v>
      </c>
      <c r="J990" s="6" t="n">
        <f aca="false">Sens!I990-Sens!J986+Sens!J988</f>
        <v>61.7808677487973</v>
      </c>
      <c r="K990" s="6" t="n">
        <f aca="false">Sens!J990-Sens!K986+Sens!K988</f>
        <v>61.7808677487973</v>
      </c>
    </row>
    <row r="991" customFormat="false" ht="15" hidden="false" customHeight="false" outlineLevel="0" collapsed="false">
      <c r="A991" s="1" t="s">
        <v>974</v>
      </c>
      <c r="B991" s="0" t="s">
        <v>98</v>
      </c>
      <c r="E991" s="6" t="n">
        <f aca="false">Sens!E989-Sens!E990</f>
        <v>30.707</v>
      </c>
      <c r="F991" s="6" t="n">
        <f aca="false">Sens!F989-Sens!F990</f>
        <v>-3.56509456850969</v>
      </c>
      <c r="G991" s="6" t="n">
        <f aca="false">Sens!G989-Sens!G990</f>
        <v>-14.2818677487973</v>
      </c>
      <c r="H991" s="6" t="n">
        <f aca="false">Sens!H989-Sens!H990</f>
        <v>-12.2808677487973</v>
      </c>
      <c r="I991" s="6" t="n">
        <f aca="false">Sens!I989-Sens!I990</f>
        <v>43.6460672368517</v>
      </c>
      <c r="J991" s="6" t="n">
        <f aca="false">Sens!J989-Sens!J990</f>
        <v>162.215105271764</v>
      </c>
      <c r="K991" s="6" t="n">
        <f aca="false">Sens!K989-Sens!K990</f>
        <v>307.058508773637</v>
      </c>
    </row>
    <row r="992" customFormat="false" ht="15" hidden="false" customHeight="false" outlineLevel="0" collapsed="false">
      <c r="A992" s="1" t="s">
        <v>975</v>
      </c>
      <c r="B992" s="0" t="s">
        <v>75</v>
      </c>
      <c r="F992" s="29" t="n">
        <f aca="false">px*(1+bb_g)^(Sens!F854-base_fy-mid_yr)</f>
        <v>553.494156066711</v>
      </c>
      <c r="G992" s="29" t="n">
        <f aca="false">px*(1+bb_g)^(Sens!G854-base_fy-mid_yr)</f>
        <v>597.773688552047</v>
      </c>
      <c r="H992" s="29" t="n">
        <f aca="false">px*(1+bb_g)^(Sens!H854-base_fy-mid_yr)</f>
        <v>645.595583636211</v>
      </c>
      <c r="I992" s="29" t="n">
        <f aca="false">px*(1+bb_g)^(Sens!I854-base_fy-mid_yr)</f>
        <v>697.243230327108</v>
      </c>
      <c r="J992" s="29" t="n">
        <f aca="false">px*(1+bb_g)^(Sens!J854-base_fy-mid_yr)</f>
        <v>753.022688753277</v>
      </c>
      <c r="K992" s="29" t="n">
        <f aca="false">px*(1+bb_g)^(Sens!K854-base_fy-mid_yr)</f>
        <v>813.264503853539</v>
      </c>
    </row>
    <row r="993" customFormat="false" ht="15" hidden="false" customHeight="false" outlineLevel="0" collapsed="false">
      <c r="A993" s="1" t="s">
        <v>976</v>
      </c>
      <c r="B993" s="1" t="s">
        <v>81</v>
      </c>
      <c r="E993" s="14" t="n">
        <f aca="false">sh_out26</f>
        <v>7.427</v>
      </c>
      <c r="F993" s="14" t="n">
        <f aca="false">Sens!E993+sh_iss-Sens!F987/Sens!F992</f>
        <v>7.472</v>
      </c>
      <c r="G993" s="14" t="n">
        <f aca="false">Sens!F993+sh_iss-Sens!G987/Sens!G992</f>
        <v>7.517</v>
      </c>
      <c r="H993" s="14" t="n">
        <f aca="false">Sens!G993+sh_iss-Sens!H987/Sens!H992</f>
        <v>7.53261087859336</v>
      </c>
      <c r="I993" s="14" t="n">
        <f aca="false">Sens!H993+sh_iss-Sens!I987/Sens!I992</f>
        <v>7.54566937090809</v>
      </c>
      <c r="J993" s="14" t="n">
        <f aca="false">Sens!I993+sh_iss-Sens!J987/Sens!J992</f>
        <v>7.56109390082913</v>
      </c>
      <c r="K993" s="14" t="n">
        <f aca="false">Sens!J993+sh_iss-Sens!K987/Sens!K992</f>
        <v>7.57870920631157</v>
      </c>
    </row>
    <row r="994" customFormat="false" ht="15" hidden="false" customHeight="false" outlineLevel="0" collapsed="false">
      <c r="A994" s="1" t="s">
        <v>977</v>
      </c>
      <c r="B994" s="1" t="s">
        <v>81</v>
      </c>
      <c r="E994" s="14" t="n">
        <f aca="false">sh_dil26</f>
        <v>7.453</v>
      </c>
      <c r="F994" s="14" t="n">
        <f aca="false">(Sens!E993+Sens!F993)/2+dil_gap</f>
        <v>7.4735</v>
      </c>
      <c r="G994" s="14" t="n">
        <f aca="false">(Sens!F993+Sens!G993)/2+dil_gap</f>
        <v>7.5185</v>
      </c>
      <c r="H994" s="14" t="n">
        <f aca="false">(Sens!G993+Sens!H993)/2+dil_gap</f>
        <v>7.54880543929668</v>
      </c>
      <c r="I994" s="14" t="n">
        <f aca="false">(Sens!H993+Sens!I993)/2+dil_gap</f>
        <v>7.56314012475073</v>
      </c>
      <c r="J994" s="14" t="n">
        <f aca="false">(Sens!I993+Sens!J993)/2+dil_gap</f>
        <v>7.57738163586861</v>
      </c>
      <c r="K994" s="14" t="n">
        <f aca="false">(Sens!J993+Sens!K993)/2+dil_gap</f>
        <v>7.59390155357035</v>
      </c>
    </row>
    <row r="995" customFormat="false" ht="17.15" hidden="false" customHeight="false" outlineLevel="0" collapsed="false">
      <c r="A995" s="1" t="s">
        <v>978</v>
      </c>
      <c r="B995" s="0" t="s">
        <v>98</v>
      </c>
      <c r="C995" s="6" t="n">
        <f aca="false">SUM(Sens!F985:J985)</f>
        <v>195.023592258836</v>
      </c>
    </row>
    <row r="996" customFormat="false" ht="15" hidden="false" customHeight="false" outlineLevel="0" collapsed="false">
      <c r="A996" s="23" t="s">
        <v>945</v>
      </c>
      <c r="B996" s="30" t="s">
        <v>98</v>
      </c>
      <c r="C996" s="24" t="n">
        <f aca="false">Sens!$C$995-(Sens!F985+Sens!G985+Sens!H985+Sens!I985+Sens!J985)</f>
        <v>0</v>
      </c>
      <c r="D996" s="30"/>
      <c r="E996" s="30"/>
      <c r="F996" s="30"/>
      <c r="G996" s="30"/>
      <c r="H996" s="30"/>
      <c r="I996" s="30"/>
      <c r="J996" s="30"/>
      <c r="K996" s="30"/>
    </row>
    <row r="997" customFormat="false" ht="17.15" hidden="false" customHeight="false" outlineLevel="0" collapsed="false">
      <c r="A997" s="1" t="s">
        <v>939</v>
      </c>
      <c r="B997" s="1" t="s">
        <v>979</v>
      </c>
      <c r="C997" s="32" t="str">
        <f aca="false">IF(SUM(Sens!F988:J988)&gt;0.05,"需要舉債 "&amp;TEXT(SUM(Sens!F988:J988),"0.0")&amp;" 十億美元","不需舉債")&amp;"；"&amp;IF(SUM(Sens!F987:J987)&lt;COUNT(Sens!F987:J987)*bb_target-0.05,"回購較每年 "&amp;TEXT(bb_target,"0.0")&amp;" 的目標少 "&amp;TEXT(COUNT(Sens!F987:J987)*bb_target-SUM(Sens!F987:J987),"0.0")&amp;" 十億美元（"&amp;TEXT(COUNTIF(Sens!F987:J987,"&lt;"&amp;(bb_target-0.05)),"0")&amp;" 年減少）","回購不減")</f>
        <v>需要舉債 27.4 十億美元；回購較每年 22.3 的目標少 47.8 十億美元（3 年減少）</v>
      </c>
    </row>
    <row r="998" customFormat="false" ht="17.15" hidden="false" customHeight="false" outlineLevel="0" collapsed="false">
      <c r="A998" s="3" t="s">
        <v>1286</v>
      </c>
    </row>
    <row r="999" customFormat="false" ht="15" hidden="false" customHeight="false" outlineLevel="0" collapsed="false">
      <c r="A999" s="4" t="s">
        <v>43</v>
      </c>
      <c r="B999" s="4" t="s">
        <v>65</v>
      </c>
      <c r="C999" s="20" t="s">
        <v>799</v>
      </c>
      <c r="D999" s="20" t="s">
        <v>800</v>
      </c>
      <c r="E999" s="20" t="s">
        <v>801</v>
      </c>
      <c r="F999" s="20" t="s">
        <v>802</v>
      </c>
      <c r="G999" s="20" t="s">
        <v>803</v>
      </c>
      <c r="H999" s="20" t="s">
        <v>804</v>
      </c>
      <c r="I999" s="20" t="s">
        <v>805</v>
      </c>
      <c r="J999" s="20" t="s">
        <v>806</v>
      </c>
      <c r="K999" s="20" t="s">
        <v>807</v>
      </c>
      <c r="L999" s="4" t="s">
        <v>47</v>
      </c>
    </row>
    <row r="1000" customFormat="false" ht="15" hidden="false" customHeight="false" outlineLevel="0" collapsed="false">
      <c r="A1000" s="1" t="s">
        <v>1057</v>
      </c>
      <c r="B1000" s="1" t="s">
        <v>235</v>
      </c>
      <c r="F1000" s="36" t="n">
        <f aca="false">Sens!F854-base_fy-mid_yr</f>
        <v>0.5</v>
      </c>
      <c r="G1000" s="36" t="n">
        <f aca="false">Sens!G854-base_fy-mid_yr</f>
        <v>1.5</v>
      </c>
      <c r="H1000" s="36" t="n">
        <f aca="false">Sens!H854-base_fy-mid_yr</f>
        <v>2.5</v>
      </c>
      <c r="I1000" s="36" t="n">
        <f aca="false">Sens!I854-base_fy-mid_yr</f>
        <v>3.5</v>
      </c>
      <c r="J1000" s="36" t="n">
        <f aca="false">Sens!J854-base_fy-mid_yr</f>
        <v>4.5</v>
      </c>
      <c r="K1000" s="36" t="n">
        <f aca="false">Sens!K854-base_fy-mid_yr</f>
        <v>5.5</v>
      </c>
    </row>
    <row r="1001" customFormat="false" ht="15" hidden="false" customHeight="false" outlineLevel="0" collapsed="false">
      <c r="A1001" s="1" t="s">
        <v>1058</v>
      </c>
      <c r="B1001" s="0" t="s">
        <v>185</v>
      </c>
      <c r="F1001" s="14" t="n">
        <f aca="false">1/(1+wacc)^Sens!F1000</f>
        <v>0.952193373608246</v>
      </c>
      <c r="G1001" s="14" t="n">
        <f aca="false">1/(1+wacc)^Sens!G1000</f>
        <v>0.863327280626589</v>
      </c>
      <c r="H1001" s="14" t="n">
        <f aca="false">1/(1+wacc)^Sens!H1000</f>
        <v>0.782754862754115</v>
      </c>
      <c r="I1001" s="14" t="n">
        <f aca="false">1/(1+wacc)^Sens!I1000</f>
        <v>0.709702089711011</v>
      </c>
      <c r="J1001" s="14" t="n">
        <f aca="false">1/(1+wacc)^Sens!J1000</f>
        <v>0.643467169744551</v>
      </c>
      <c r="K1001" s="14" t="n">
        <f aca="false">1/(1+wacc)^Sens!K1000</f>
        <v>0.583413807767797</v>
      </c>
    </row>
    <row r="1002" customFormat="false" ht="17.15" hidden="false" customHeight="false" outlineLevel="0" collapsed="false">
      <c r="A1002" s="1" t="s">
        <v>1059</v>
      </c>
      <c r="B1002" s="0" t="s">
        <v>98</v>
      </c>
      <c r="F1002" s="6" t="n">
        <f aca="false">Sens!F975-Sens!F973-Sens!F979+Sens!F958*(1-tax_f)</f>
        <v>-8.73684343817445</v>
      </c>
      <c r="G1002" s="6" t="n">
        <f aca="false">Sens!G975-Sens!G973-Sens!G979+Sens!G958*(1-tax_f)</f>
        <v>26.7198422618376</v>
      </c>
      <c r="H1002" s="6" t="n">
        <f aca="false">Sens!H975-Sens!H973-Sens!H979+Sens!H958*(1-tax_f)</f>
        <v>70.9085879187885</v>
      </c>
      <c r="I1002" s="6" t="n">
        <f aca="false">Sens!I975-Sens!I973-Sens!I979+Sens!I958*(1-tax_f)</f>
        <v>140.359009719475</v>
      </c>
      <c r="J1002" s="6" t="n">
        <f aca="false">Sens!J975-Sens!J973-Sens!J979+Sens!J958*(1-tax_f)</f>
        <v>212.485645026674</v>
      </c>
      <c r="K1002" s="6" t="n">
        <f aca="false">Sens!K975-Sens!K973-Sens!K979+Sens!K958*(1-tax_f)</f>
        <v>245.319788964474</v>
      </c>
      <c r="L1002" s="1" t="s">
        <v>1060</v>
      </c>
    </row>
    <row r="1003" customFormat="false" ht="15" hidden="false" customHeight="false" outlineLevel="0" collapsed="false">
      <c r="A1003" s="1" t="s">
        <v>1061</v>
      </c>
      <c r="B1003" s="0" t="s">
        <v>98</v>
      </c>
      <c r="F1003" s="6" t="n">
        <f aca="false">Sens!F1002*Sens!F1001</f>
        <v>-8.3191644280824</v>
      </c>
      <c r="G1003" s="6" t="n">
        <f aca="false">Sens!G1002*Sens!G1001</f>
        <v>23.0679687586836</v>
      </c>
      <c r="H1003" s="6" t="n">
        <f aca="false">Sens!H1002*Sens!H1001</f>
        <v>55.5040420044594</v>
      </c>
      <c r="I1003" s="6" t="n">
        <f aca="false">Sens!I1002*Sens!I1001</f>
        <v>99.6130825076794</v>
      </c>
      <c r="J1003" s="6" t="n">
        <f aca="false">Sens!J1002*Sens!J1001</f>
        <v>136.727536616659</v>
      </c>
      <c r="K1003" s="6" t="n">
        <f aca="false">Sens!K1002*Sens!K1001</f>
        <v>143.122952200556</v>
      </c>
    </row>
    <row r="1004" customFormat="false" ht="17.15" hidden="false" customHeight="false" outlineLevel="0" collapsed="false">
      <c r="A1004" s="1" t="s">
        <v>1062</v>
      </c>
      <c r="B1004" s="0" t="s">
        <v>98</v>
      </c>
      <c r="C1004" s="6" t="n">
        <f aca="false">SUM(Sens!F1003:K1003)</f>
        <v>449.716417659955</v>
      </c>
    </row>
    <row r="1005" customFormat="false" ht="17.15" hidden="false" customHeight="false" outlineLevel="0" collapsed="false">
      <c r="A1005" s="1" t="s">
        <v>1063</v>
      </c>
      <c r="B1005" s="0" t="s">
        <v>98</v>
      </c>
      <c r="C1005" s="6" t="n">
        <f aca="false">Sens!K944*(1+g_tv)*(1-tax_f)</f>
        <v>260.864107033163</v>
      </c>
    </row>
    <row r="1006" customFormat="false" ht="17.15" hidden="false" customHeight="false" outlineLevel="0" collapsed="false">
      <c r="A1006" s="1" t="s">
        <v>1064</v>
      </c>
      <c r="B1006" s="0" t="s">
        <v>98</v>
      </c>
      <c r="C1006" s="6" t="n">
        <f aca="false">Sens!$C$1005*(1-g_tv/(wacc+ronic_prem))</f>
        <v>184.835862992601</v>
      </c>
    </row>
    <row r="1007" customFormat="false" ht="17.15" hidden="false" customHeight="false" outlineLevel="0" collapsed="false">
      <c r="A1007" s="1" t="s">
        <v>1065</v>
      </c>
      <c r="B1007" s="0" t="s">
        <v>98</v>
      </c>
      <c r="C1007" s="6" t="n">
        <f aca="false">Sens!$C$1006/(wacc-g_tv)</f>
        <v>2534.27480135207</v>
      </c>
    </row>
    <row r="1008" customFormat="false" ht="15" hidden="false" customHeight="false" outlineLevel="0" collapsed="false">
      <c r="A1008" s="1" t="s">
        <v>1066</v>
      </c>
      <c r="B1008" s="0" t="s">
        <v>98</v>
      </c>
      <c r="C1008" s="6" t="n">
        <f aca="false">Sens!$C$1007/(1+wacc)^(Sens!K1000+mid_yr)</f>
        <v>1407.84733687834</v>
      </c>
    </row>
    <row r="1009" customFormat="false" ht="17.15" hidden="false" customHeight="false" outlineLevel="0" collapsed="false">
      <c r="A1009" s="0" t="s">
        <v>986</v>
      </c>
      <c r="B1009" s="0" t="s">
        <v>98</v>
      </c>
      <c r="C1009" s="6" t="n">
        <f aca="false">Sens!$C$1004+Sens!$C$1008</f>
        <v>1857.56375453829</v>
      </c>
    </row>
    <row r="1010" customFormat="false" ht="15" hidden="false" customHeight="false" outlineLevel="0" collapsed="false">
      <c r="A1010" s="1" t="s">
        <v>987</v>
      </c>
      <c r="B1010" s="0" t="s">
        <v>129</v>
      </c>
      <c r="C1010" s="7" t="n">
        <f aca="false">Sens!$C$1008/Sens!$C$1009</f>
        <v>0.757899874735802</v>
      </c>
    </row>
    <row r="1011" customFormat="false" ht="17.15" hidden="false" customHeight="false" outlineLevel="0" collapsed="false">
      <c r="A1011" s="1" t="s">
        <v>1067</v>
      </c>
      <c r="B1011" s="0" t="s">
        <v>98</v>
      </c>
      <c r="C1011" s="6" t="n">
        <f aca="false">Sens!$C$1009+Sens!E991-Sens!E980+oai_v</f>
        <v>1992.07675453829</v>
      </c>
    </row>
    <row r="1012" customFormat="false" ht="17.15" hidden="false" customHeight="false" outlineLevel="0" collapsed="false">
      <c r="A1012" s="0" t="s">
        <v>994</v>
      </c>
      <c r="B1012" s="0" t="s">
        <v>75</v>
      </c>
      <c r="C1012" s="5" t="n">
        <f aca="false">Sens!$C$1011/sh_dil26</f>
        <v>267.285221325411</v>
      </c>
    </row>
    <row r="1013" customFormat="false" ht="15" hidden="false" customHeight="false" outlineLevel="0" collapsed="false">
      <c r="A1013" s="1" t="s">
        <v>1068</v>
      </c>
      <c r="B1013" s="0" t="s">
        <v>75</v>
      </c>
      <c r="C1013" s="8" t="n">
        <f aca="false">dps_27+Sens!G983*roll_div_q/q_per_yr</f>
        <v>4.8895</v>
      </c>
    </row>
    <row r="1014" customFormat="false" ht="17.15" hidden="false" customHeight="false" outlineLevel="0" collapsed="false">
      <c r="A1014" s="0" t="s">
        <v>1069</v>
      </c>
      <c r="B1014" s="0" t="s">
        <v>75</v>
      </c>
      <c r="C1014" s="5" t="n">
        <f aca="false">Sens!$C$1012*(1+wacc)^t_roll-Sens!$C$1013</f>
        <v>299.477106050024</v>
      </c>
    </row>
    <row r="1015" customFormat="false" ht="17.15" hidden="false" customHeight="false" outlineLevel="0" collapsed="false">
      <c r="A1015" s="1" t="s">
        <v>1070</v>
      </c>
      <c r="B1015" s="0" t="s">
        <v>129</v>
      </c>
      <c r="F1015" s="7" t="n">
        <f aca="false">Sens!F970/(Sens!F915-Sens!F871)</f>
        <v>0.0708376243512414</v>
      </c>
      <c r="G1015" s="7" t="n">
        <f aca="false">Sens!G970/(Sens!G915-Sens!G871)</f>
        <v>0.0675792567445289</v>
      </c>
      <c r="H1015" s="7" t="n">
        <f aca="false">Sens!H970/(Sens!H915-Sens!H871)</f>
        <v>0.0657637992399081</v>
      </c>
      <c r="I1015" s="7" t="n">
        <f aca="false">Sens!I970/(Sens!I915-Sens!I871)</f>
        <v>0.0652507860006261</v>
      </c>
      <c r="J1015" s="7" t="n">
        <f aca="false">Sens!J970/(Sens!J915-Sens!J871)</f>
        <v>0.0657374094257698</v>
      </c>
      <c r="K1015" s="7" t="n">
        <f aca="false">Sens!K970/(Sens!K915-Sens!K871)</f>
        <v>0.0668595832904835</v>
      </c>
    </row>
    <row r="1016" customFormat="false" ht="17.15" hidden="false" customHeight="false" outlineLevel="0" collapsed="false">
      <c r="A1016" s="0" t="s">
        <v>1071</v>
      </c>
      <c r="B1016" s="0" t="s">
        <v>98</v>
      </c>
      <c r="F1016" s="6" t="n">
        <f aca="false">Sens!F900*(al_m365+Sens!F1015+sbc_r)</f>
        <v>84.2019918892952</v>
      </c>
      <c r="G1016" s="6" t="n">
        <f aca="false">Sens!G900*(al_m365+Sens!G1015+sbc_r)</f>
        <v>96.61090954529</v>
      </c>
      <c r="H1016" s="6" t="n">
        <f aca="false">Sens!H900*(al_m365+Sens!H1015+sbc_r)</f>
        <v>109.18271398457</v>
      </c>
      <c r="I1016" s="6" t="n">
        <f aca="false">Sens!I900*(al_m365+Sens!I1015+sbc_r)</f>
        <v>120.736322591613</v>
      </c>
      <c r="J1016" s="6" t="n">
        <f aca="false">Sens!J900*(al_m365+Sens!J1015+sbc_r)</f>
        <v>131.084561154645</v>
      </c>
      <c r="K1016" s="6" t="n">
        <f aca="false">Sens!K900*(al_m365+Sens!K1015+sbc_r)</f>
        <v>141.044207560217</v>
      </c>
      <c r="L1016" s="11" t="s">
        <v>1072</v>
      </c>
    </row>
    <row r="1017" customFormat="false" ht="17.15" hidden="false" customHeight="false" outlineLevel="0" collapsed="false">
      <c r="A1017" s="0" t="s">
        <v>1073</v>
      </c>
      <c r="B1017" s="0" t="s">
        <v>98</v>
      </c>
      <c r="F1017" s="6" t="n">
        <f aca="false">Sens!F901*(al_lic+Sens!F1015+sbc_r)</f>
        <v>33.5324516680982</v>
      </c>
      <c r="G1017" s="6" t="n">
        <f aca="false">Sens!G901*(al_lic+Sens!G1015+sbc_r)</f>
        <v>34.819657317048</v>
      </c>
      <c r="H1017" s="6" t="n">
        <f aca="false">Sens!H901*(al_lic+Sens!H1015+sbc_r)</f>
        <v>36.0229106304815</v>
      </c>
      <c r="I1017" s="6" t="n">
        <f aca="false">Sens!I901*(al_lic+Sens!I1015+sbc_r)</f>
        <v>37.1234854794919</v>
      </c>
      <c r="J1017" s="6" t="n">
        <f aca="false">Sens!J901*(al_lic+Sens!J1015+sbc_r)</f>
        <v>38.0950592345738</v>
      </c>
      <c r="K1017" s="6" t="n">
        <f aca="false">Sens!K901*(al_lic+Sens!K1015+sbc_r)</f>
        <v>38.9080719459809</v>
      </c>
    </row>
    <row r="1018" customFormat="false" ht="17.15" hidden="false" customHeight="false" outlineLevel="0" collapsed="false">
      <c r="A1018" s="0" t="s">
        <v>1074</v>
      </c>
      <c r="B1018" s="0" t="s">
        <v>98</v>
      </c>
      <c r="F1018" s="6" t="n">
        <f aca="false">Sens!F903*(al_ind+Sens!F1015+sbc_r)</f>
        <v>9.12666918765551</v>
      </c>
      <c r="G1018" s="6" t="n">
        <f aca="false">Sens!G903*(al_ind+Sens!G1015+sbc_r)</f>
        <v>9.89694850970116</v>
      </c>
      <c r="H1018" s="6" t="n">
        <f aca="false">Sens!H903*(al_ind+Sens!H1015+sbc_r)</f>
        <v>10.7131335152527</v>
      </c>
      <c r="I1018" s="6" t="n">
        <f aca="false">Sens!I903*(al_ind+Sens!I1015+sbc_r)</f>
        <v>11.5721730864119</v>
      </c>
      <c r="J1018" s="6" t="n">
        <f aca="false">Sens!J903*(al_ind+Sens!J1015+sbc_r)</f>
        <v>12.4641697526801</v>
      </c>
      <c r="K1018" s="6" t="n">
        <f aca="false">Sens!K903*(al_ind+Sens!K1015+sbc_r)</f>
        <v>13.3737871892836</v>
      </c>
    </row>
    <row r="1019" customFormat="false" ht="17.15" hidden="false" customHeight="false" outlineLevel="0" collapsed="false">
      <c r="A1019" s="0" t="s">
        <v>1075</v>
      </c>
      <c r="B1019" s="0" t="s">
        <v>98</v>
      </c>
      <c r="F1019" s="6" t="n">
        <f aca="false">Sens!F905*(al_fro+Sens!F1015+sbc_r)</f>
        <v>3.5922890341799</v>
      </c>
      <c r="G1019" s="6" t="n">
        <f aca="false">Sens!G905*(al_fro+Sens!G1015+sbc_r)</f>
        <v>3.79984310356763</v>
      </c>
      <c r="H1019" s="6" t="n">
        <f aca="false">Sens!H905*(al_fro+Sens!H1015+sbc_r)</f>
        <v>4.03707539290126</v>
      </c>
      <c r="I1019" s="6" t="n">
        <f aca="false">Sens!I905*(al_fro+Sens!I1015+sbc_r)</f>
        <v>4.30669184104541</v>
      </c>
      <c r="J1019" s="6" t="n">
        <f aca="false">Sens!J905*(al_fro+Sens!J1015+sbc_r)</f>
        <v>4.6097289716959</v>
      </c>
      <c r="K1019" s="6" t="n">
        <f aca="false">Sens!K905*(al_fro+Sens!K1015+sbc_r)</f>
        <v>4.94614045628512</v>
      </c>
    </row>
    <row r="1020" customFormat="false" ht="17.15" hidden="false" customHeight="false" outlineLevel="0" collapsed="false">
      <c r="A1020" s="0" t="s">
        <v>1076</v>
      </c>
      <c r="B1020" s="0" t="s">
        <v>98</v>
      </c>
      <c r="F1020" s="6" t="n">
        <f aca="false">Sens!F908*(al_srch+Sens!F1015+sbc_r)</f>
        <v>11.2715683093452</v>
      </c>
      <c r="G1020" s="6" t="n">
        <f aca="false">Sens!G908*(al_srch+Sens!G1015+sbc_r)</f>
        <v>12.338201972554</v>
      </c>
      <c r="H1020" s="6" t="n">
        <f aca="false">Sens!H908*(al_srch+Sens!H1015+sbc_r)</f>
        <v>13.450727865064</v>
      </c>
      <c r="I1020" s="6" t="n">
        <f aca="false">Sens!I908*(al_srch+Sens!I1015+sbc_r)</f>
        <v>14.598560682534</v>
      </c>
      <c r="J1020" s="6" t="n">
        <f aca="false">Sens!J908*(al_srch+Sens!J1015+sbc_r)</f>
        <v>15.7615229152659</v>
      </c>
      <c r="K1020" s="6" t="n">
        <f aca="false">Sens!K908*(al_srch+Sens!K1015+sbc_r)</f>
        <v>16.9117765106222</v>
      </c>
    </row>
    <row r="1021" customFormat="false" ht="17.15" hidden="false" customHeight="false" outlineLevel="0" collapsed="false">
      <c r="A1021" s="0" t="s">
        <v>1077</v>
      </c>
      <c r="B1021" s="0" t="s">
        <v>98</v>
      </c>
      <c r="F1021" s="6" t="n">
        <f aca="false">Sens!F877-Sens!F878+Sens!F958</f>
        <v>33.9658296863956</v>
      </c>
      <c r="G1021" s="6" t="n">
        <f aca="false">Sens!G877-Sens!G878+Sens!G958</f>
        <v>66.2851725464861</v>
      </c>
      <c r="H1021" s="6" t="n">
        <f aca="false">Sens!H877-Sens!H878+Sens!H958</f>
        <v>101.335189069291</v>
      </c>
      <c r="I1021" s="6" t="n">
        <f aca="false">Sens!I877-Sens!I878+Sens!I958</f>
        <v>133.091487466479</v>
      </c>
      <c r="J1021" s="6" t="n">
        <f aca="false">Sens!J877-Sens!J878+Sens!J958</f>
        <v>155.779325400943</v>
      </c>
      <c r="K1021" s="6" t="n">
        <f aca="false">Sens!K877-Sens!K878+Sens!K958</f>
        <v>170.344539964654</v>
      </c>
    </row>
    <row r="1022" customFormat="false" ht="17.15" hidden="false" customHeight="false" outlineLevel="0" collapsed="false">
      <c r="A1022" s="0" t="s">
        <v>1078</v>
      </c>
      <c r="B1022" s="0" t="s">
        <v>98</v>
      </c>
      <c r="F1022" s="6" t="n">
        <f aca="false">Sens!F937+Sens!F958+Sens!F888+Sens!F1015*(Sens!F907-Sens!F871)+sbc_r*Sens!F907</f>
        <v>224.514130341018</v>
      </c>
      <c r="G1022" s="6" t="n">
        <f aca="false">Sens!G937+Sens!G958+Sens!G888+Sens!G1015*(Sens!G907-Sens!G871)+sbc_r*Sens!G907</f>
        <v>283.744023949914</v>
      </c>
      <c r="H1022" s="6" t="n">
        <f aca="false">Sens!H937+Sens!H958+Sens!H888+Sens!H1015*(Sens!H907-Sens!H871)+sbc_r*Sens!H907</f>
        <v>346.202819433539</v>
      </c>
      <c r="I1022" s="6" t="n">
        <f aca="false">Sens!I937+Sens!I958+Sens!I888+Sens!I1015*(Sens!I907-Sens!I871)+sbc_r*Sens!I907</f>
        <v>404.019473874881</v>
      </c>
      <c r="J1022" s="6" t="n">
        <f aca="false">Sens!J937+Sens!J958+Sens!J888+Sens!J1015*(Sens!J907-Sens!J871)+sbc_r*Sens!J907</f>
        <v>450.388886883188</v>
      </c>
      <c r="K1022" s="6" t="n">
        <f aca="false">Sens!K937+Sens!K958+Sens!K888+Sens!K1015*(Sens!K907-Sens!K871)+sbc_r*Sens!K907</f>
        <v>486.331003000965</v>
      </c>
    </row>
    <row r="1023" customFormat="false" ht="17.15" hidden="false" customHeight="false" outlineLevel="0" collapsed="false">
      <c r="A1023" s="0" t="s">
        <v>1079</v>
      </c>
      <c r="B1023" s="0" t="s">
        <v>98</v>
      </c>
      <c r="F1023" s="6" t="n">
        <f aca="false">Sens!F1022-Sens!F1016-Sens!F1017-Sens!F1018-Sens!F1019-Sens!F1021</f>
        <v>60.094898875394</v>
      </c>
      <c r="G1023" s="6" t="n">
        <f aca="false">Sens!G1022-Sens!G1016-Sens!G1017-Sens!G1018-Sens!G1019-Sens!G1021</f>
        <v>72.3314929278208</v>
      </c>
      <c r="H1023" s="6" t="n">
        <f aca="false">Sens!H1022-Sens!H1016-Sens!H1017-Sens!H1018-Sens!H1019-Sens!H1021</f>
        <v>84.9117968410424</v>
      </c>
      <c r="I1023" s="6" t="n">
        <f aca="false">Sens!I1022-Sens!I1016-Sens!I1017-Sens!I1018-Sens!I1019-Sens!I1021</f>
        <v>97.1893134098406</v>
      </c>
      <c r="J1023" s="6" t="n">
        <f aca="false">Sens!J1022-Sens!J1016-Sens!J1017-Sens!J1018-Sens!J1019-Sens!J1021</f>
        <v>108.35604236865</v>
      </c>
      <c r="K1023" s="6" t="n">
        <f aca="false">Sens!K1022-Sens!K1016-Sens!K1017-Sens!K1018-Sens!K1019-Sens!K1021</f>
        <v>117.714255884544</v>
      </c>
    </row>
    <row r="1024" customFormat="false" ht="17.15" hidden="false" customHeight="false" outlineLevel="0" collapsed="false">
      <c r="A1024" s="0" t="s">
        <v>1080</v>
      </c>
      <c r="B1024" s="0" t="s">
        <v>98</v>
      </c>
      <c r="F1024" s="6" t="n">
        <f aca="false">Sens!F939+Sens!F1015*Sens!F914+sbc_r*Sens!F914</f>
        <v>26.345087006484</v>
      </c>
      <c r="G1024" s="6" t="n">
        <f aca="false">Sens!G939+Sens!G1015*Sens!G914+sbc_r*Sens!G914</f>
        <v>26.928666241387</v>
      </c>
      <c r="H1024" s="6" t="n">
        <f aca="false">Sens!H939+Sens!H1015*Sens!H914+sbc_r*Sens!H914</f>
        <v>27.7857977299272</v>
      </c>
      <c r="I1024" s="6" t="n">
        <f aca="false">Sens!I939+Sens!I1015*Sens!I914+sbc_r*Sens!I914</f>
        <v>28.8854111921819</v>
      </c>
      <c r="J1024" s="6" t="n">
        <f aca="false">Sens!J939+Sens!J1015*Sens!J914+sbc_r*Sens!J914</f>
        <v>30.1909525075627</v>
      </c>
      <c r="K1024" s="6" t="n">
        <f aca="false">Sens!K939+Sens!K1015*Sens!K914+sbc_r*Sens!K914</f>
        <v>31.6641663414168</v>
      </c>
    </row>
    <row r="1025" customFormat="false" ht="17.15" hidden="false" customHeight="false" outlineLevel="0" collapsed="false">
      <c r="A1025" s="0" t="s">
        <v>1081</v>
      </c>
      <c r="B1025" s="0" t="s">
        <v>98</v>
      </c>
      <c r="F1025" s="6" t="n">
        <f aca="false">(Sens!F1024-Sens!F1020)*Sens!F910/(Sens!F910+Sens!F912)</f>
        <v>8.26315613582677</v>
      </c>
      <c r="G1025" s="6" t="n">
        <f aca="false">(Sens!G1024-Sens!G1020)*Sens!G910/(Sens!G910+Sens!G912)</f>
        <v>7.85574031810689</v>
      </c>
      <c r="H1025" s="6" t="n">
        <f aca="false">(Sens!H1024-Sens!H1020)*Sens!H910/(Sens!H910+Sens!H912)</f>
        <v>7.61397145487838</v>
      </c>
      <c r="I1025" s="6" t="n">
        <f aca="false">(Sens!I1024-Sens!I1020)*Sens!I910/(Sens!I910+Sens!I912)</f>
        <v>7.51970050510933</v>
      </c>
      <c r="J1025" s="6" t="n">
        <f aca="false">(Sens!J1024-Sens!J1020)*Sens!J910/(Sens!J910+Sens!J912)</f>
        <v>7.56040201890202</v>
      </c>
      <c r="K1025" s="6" t="n">
        <f aca="false">(Sens!K1024-Sens!K1020)*Sens!K910/(Sens!K910+Sens!K912)</f>
        <v>7.72961932742727</v>
      </c>
    </row>
    <row r="1026" customFormat="false" ht="17.15" hidden="false" customHeight="false" outlineLevel="0" collapsed="false">
      <c r="A1026" s="0" t="s">
        <v>1082</v>
      </c>
      <c r="B1026" s="0" t="s">
        <v>98</v>
      </c>
      <c r="F1026" s="6" t="n">
        <f aca="false">Sens!F1024-Sens!F1020-Sens!F1025</f>
        <v>6.81036256131213</v>
      </c>
      <c r="G1026" s="6" t="n">
        <f aca="false">Sens!G1024-Sens!G1020-Sens!G1025</f>
        <v>6.73472395072608</v>
      </c>
      <c r="H1026" s="6" t="n">
        <f aca="false">Sens!H1024-Sens!H1020-Sens!H1025</f>
        <v>6.72109840998485</v>
      </c>
      <c r="I1026" s="6" t="n">
        <f aca="false">Sens!I1024-Sens!I1020-Sens!I1025</f>
        <v>6.76715000453853</v>
      </c>
      <c r="J1026" s="6" t="n">
        <f aca="false">Sens!J1024-Sens!J1020-Sens!J1025</f>
        <v>6.86902757339483</v>
      </c>
      <c r="K1026" s="6" t="n">
        <f aca="false">Sens!K1024-Sens!K1020-Sens!K1025</f>
        <v>7.02277050336727</v>
      </c>
    </row>
    <row r="1027" customFormat="false" ht="17.15" hidden="false" customHeight="false" outlineLevel="0" collapsed="false">
      <c r="A1027" s="0" t="s">
        <v>1083</v>
      </c>
      <c r="B1027" s="0" t="s">
        <v>98</v>
      </c>
      <c r="F1027" s="6" t="n">
        <f aca="false">Sens!F1021-tax_f*(Sens!F1021-Sens!F888)-Sens!F885</f>
        <v>-126.350234646159</v>
      </c>
      <c r="G1027" s="6" t="n">
        <f aca="false">Sens!G1021-tax_f*(Sens!G1021-Sens!G888)-Sens!G885</f>
        <v>-118.720955023909</v>
      </c>
      <c r="H1027" s="6" t="n">
        <f aca="false">Sens!H1021-tax_f*(Sens!H1021-Sens!H888)-Sens!H885</f>
        <v>-89.7399306863051</v>
      </c>
      <c r="I1027" s="6" t="n">
        <f aca="false">Sens!I1021-tax_f*(Sens!I1021-Sens!I888)-Sens!I885</f>
        <v>-35.1123304145838</v>
      </c>
      <c r="J1027" s="6" t="n">
        <f aca="false">Sens!J1021-tax_f*(Sens!J1021-Sens!J888)-Sens!J885</f>
        <v>23.0416882970812</v>
      </c>
      <c r="K1027" s="6" t="n">
        <f aca="false">Sens!K1021-tax_f*(Sens!K1021-Sens!K888)-Sens!K885</f>
        <v>42.694509476994</v>
      </c>
    </row>
    <row r="1028" customFormat="false" ht="17.15" hidden="false" customHeight="false" outlineLevel="0" collapsed="false">
      <c r="A1028" s="0" t="s">
        <v>1084</v>
      </c>
      <c r="B1028" s="0" t="s">
        <v>98</v>
      </c>
      <c r="G1028" s="6" t="n">
        <f aca="false">Sens!G1027/(1+wacc)^(Sens!G1000-(Sens!F1000+mid_yr))</f>
        <v>-113.045306682209</v>
      </c>
      <c r="H1028" s="6" t="n">
        <f aca="false">Sens!H1027/(1+wacc)^(Sens!H1000-(Sens!F1000+mid_yr))</f>
        <v>-77.4749303230264</v>
      </c>
      <c r="I1028" s="6" t="n">
        <f aca="false">Sens!I1027/(1+wacc)^(Sens!I1000-(Sens!F1000+mid_yr))</f>
        <v>-27.4843473746447</v>
      </c>
      <c r="J1028" s="6" t="n">
        <f aca="false">Sens!J1027/(1+wacc)^(Sens!J1000-(Sens!F1000+mid_yr))</f>
        <v>16.3527343349083</v>
      </c>
      <c r="K1028" s="6" t="n">
        <f aca="false">Sens!K1027/(1+wacc)^(Sens!K1000-(Sens!F1000+mid_yr))</f>
        <v>27.4725151767932</v>
      </c>
      <c r="L1028" s="1" t="s">
        <v>1085</v>
      </c>
    </row>
    <row r="1029" customFormat="false" ht="17.15" hidden="false" customHeight="false" outlineLevel="0" collapsed="false">
      <c r="A1029" s="0" t="s">
        <v>1086</v>
      </c>
      <c r="B1029" s="0" t="s">
        <v>98</v>
      </c>
      <c r="C1029" s="6" t="n">
        <f aca="false">(Sens!K1021-Sens!K888)*(1-tax_f)*(1+g_tv)*(1-g_tv/(wacc+ronic_prem))/(wacc-g_tv)/(1+wacc)^(Sens!K1000+mid_yr-(Sens!F1000+mid_yr))</f>
        <v>153.092779079526</v>
      </c>
    </row>
    <row r="1030" customFormat="false" ht="17.15" hidden="false" customHeight="false" outlineLevel="0" collapsed="false">
      <c r="A1030" s="1" t="s">
        <v>1087</v>
      </c>
      <c r="B1030" s="0" t="s">
        <v>98</v>
      </c>
      <c r="C1030" s="6" t="n">
        <f aca="false">(SUM(Sens!G1028:K1028)+Sens!$C$1029)*(1+wacc)^(t_roll-(Sens!F1000+mid_yr))</f>
        <v>-21.7709817639148</v>
      </c>
      <c r="L1030" s="11" t="s">
        <v>1088</v>
      </c>
    </row>
    <row r="1031" customFormat="false" ht="17.15" hidden="false" customHeight="false" outlineLevel="0" collapsed="false">
      <c r="A1031" s="1" t="s">
        <v>1089</v>
      </c>
      <c r="B1031" s="0" t="s">
        <v>98</v>
      </c>
      <c r="C1031" s="6" t="n">
        <f aca="false">(w_ntm28*Sens!G877+(1-w_ntm28)*Sens!H877)*m_ai</f>
        <v>364.121346804819</v>
      </c>
    </row>
    <row r="1032" customFormat="false" ht="17.15" hidden="false" customHeight="false" outlineLevel="0" collapsed="false">
      <c r="A1032" s="1" t="s">
        <v>1090</v>
      </c>
      <c r="B1032" s="0" t="s">
        <v>98</v>
      </c>
      <c r="C1032" s="6" t="n">
        <f aca="false">(w_ntm28*Sens!G1023+(1-w_ntm28)*Sens!H1023)*m_cloud</f>
        <v>1055.82796215159</v>
      </c>
    </row>
    <row r="1033" customFormat="false" ht="17.15" hidden="false" customHeight="false" outlineLevel="0" collapsed="false">
      <c r="A1033" s="1" t="s">
        <v>1091</v>
      </c>
      <c r="B1033" s="0" t="s">
        <v>98</v>
      </c>
      <c r="C1033" s="6" t="n">
        <f aca="false">(w_ntm28*Sens!G1016+(1-w_ntm28)*Sens!H1016)*m_sw</f>
        <v>1087.29236439713</v>
      </c>
    </row>
    <row r="1034" customFormat="false" ht="17.15" hidden="false" customHeight="false" outlineLevel="0" collapsed="false">
      <c r="A1034" s="1" t="s">
        <v>1092</v>
      </c>
      <c r="B1034" s="0" t="s">
        <v>98</v>
      </c>
      <c r="C1034" s="6" t="n">
        <f aca="false">(w_ntm28*Sens!G1017+(1-w_ntm28)*Sens!H1017)*m_sw</f>
        <v>380.253466209432</v>
      </c>
    </row>
    <row r="1035" customFormat="false" ht="17.15" hidden="false" customHeight="false" outlineLevel="0" collapsed="false">
      <c r="A1035" s="1" t="s">
        <v>1093</v>
      </c>
      <c r="B1035" s="0" t="s">
        <v>98</v>
      </c>
      <c r="C1035" s="6" t="n">
        <f aca="false">(w_ntm28*Sens!G1018+(1-w_ntm28)*Sens!H1018)*m_sw</f>
        <v>109.736759441964</v>
      </c>
    </row>
    <row r="1036" customFormat="false" ht="17.15" hidden="false" customHeight="false" outlineLevel="0" collapsed="false">
      <c r="A1036" s="1" t="s">
        <v>1094</v>
      </c>
      <c r="B1036" s="0" t="s">
        <v>98</v>
      </c>
      <c r="C1036" s="6" t="n">
        <f aca="false">(w_ntm28*Sens!G1019+(1-w_ntm28)*Sens!H1019)*m_sw</f>
        <v>41.8666036816175</v>
      </c>
    </row>
    <row r="1037" customFormat="false" ht="17.15" hidden="false" customHeight="false" outlineLevel="0" collapsed="false">
      <c r="A1037" s="1" t="s">
        <v>1095</v>
      </c>
      <c r="B1037" s="0" t="s">
        <v>98</v>
      </c>
      <c r="C1037" s="6" t="n">
        <f aca="false">(w_ntm28*Sens!G1020+(1-w_ntm28)*Sens!H1020)*m_ads</f>
        <v>115.677576364297</v>
      </c>
    </row>
    <row r="1038" customFormat="false" ht="17.15" hidden="false" customHeight="false" outlineLevel="0" collapsed="false">
      <c r="A1038" s="1" t="s">
        <v>1096</v>
      </c>
      <c r="B1038" s="0" t="s">
        <v>98</v>
      </c>
      <c r="C1038" s="6" t="n">
        <f aca="false">(w_ntm28*Sens!G1025+(1-w_ntm28)*Sens!H1025)*m_game</f>
        <v>98.230828142008</v>
      </c>
    </row>
    <row r="1039" customFormat="false" ht="17.15" hidden="false" customHeight="false" outlineLevel="0" collapsed="false">
      <c r="A1039" s="1" t="s">
        <v>1097</v>
      </c>
      <c r="B1039" s="0" t="s">
        <v>98</v>
      </c>
      <c r="C1039" s="6" t="n">
        <f aca="false">(w_ntm28*Sens!G1026+(1-w_ntm28)*Sens!H1026)*m_pc</f>
        <v>97.3877156607214</v>
      </c>
    </row>
    <row r="1040" customFormat="false" ht="17.15" hidden="false" customHeight="false" outlineLevel="0" collapsed="false">
      <c r="A1040" s="1" t="s">
        <v>1098</v>
      </c>
      <c r="B1040" s="0" t="s">
        <v>98</v>
      </c>
      <c r="C1040" s="6" t="n">
        <f aca="false">Sens!$C$1030+Sens!$C$1032+Sens!$C$1033+Sens!$C$1034+Sens!$C$1035+Sens!$C$1036+Sens!$C$1037+Sens!$C$1038+Sens!$C$1039</f>
        <v>2964.50229428485</v>
      </c>
    </row>
    <row r="1041" customFormat="false" ht="17.15" hidden="false" customHeight="false" outlineLevel="0" collapsed="false">
      <c r="A1041" s="1" t="s">
        <v>1099</v>
      </c>
      <c r="B1041" s="0" t="s">
        <v>98</v>
      </c>
      <c r="C1041" s="6" t="n">
        <f aca="false">(Sens!G1002-Sens!G1027)*t_stub</f>
        <v>47.417684594531</v>
      </c>
      <c r="L1041" s="1" t="s">
        <v>1100</v>
      </c>
    </row>
    <row r="1042" customFormat="false" ht="17.15" hidden="false" customHeight="false" outlineLevel="0" collapsed="false">
      <c r="A1042" s="1" t="s">
        <v>1014</v>
      </c>
      <c r="B1042" s="0" t="s">
        <v>98</v>
      </c>
      <c r="C1042" s="6" t="n">
        <f aca="false">Sens!F991+oai_v-Sens!F980+Sens!$C$1041</f>
        <v>151.782860026021</v>
      </c>
      <c r="L1042" s="1" t="s">
        <v>1101</v>
      </c>
    </row>
    <row r="1043" customFormat="false" ht="17.15" hidden="false" customHeight="false" outlineLevel="0" collapsed="false">
      <c r="A1043" s="1" t="s">
        <v>1102</v>
      </c>
      <c r="B1043" s="0" t="s">
        <v>75</v>
      </c>
      <c r="C1043" s="5" t="n">
        <f aca="false">(Sens!$C$1040+Sens!$C$1042)/(Sens!F993+dil_gap)-Sens!G983*roll_div_q/q_per_yr</f>
        <v>414.686907992379</v>
      </c>
      <c r="L1043" s="1" t="s">
        <v>1103</v>
      </c>
    </row>
    <row r="1044" customFormat="false" ht="17.15" hidden="false" customHeight="false" outlineLevel="0" collapsed="false">
      <c r="A1044" s="1" t="s">
        <v>1104</v>
      </c>
      <c r="B1044" s="0" t="s">
        <v>75</v>
      </c>
      <c r="C1044" s="5" t="n">
        <f aca="false">w_dcf*Sens!$C$1014+(1-w_dcf)*Sens!$C$1043</f>
        <v>357.082007021201</v>
      </c>
    </row>
    <row r="1045" customFormat="false" ht="17.15" hidden="false" customHeight="false" outlineLevel="0" collapsed="false">
      <c r="A1045" s="3" t="s">
        <v>1287</v>
      </c>
    </row>
    <row r="1046" customFormat="false" ht="15" hidden="false" customHeight="false" outlineLevel="0" collapsed="false">
      <c r="A1046" s="4" t="s">
        <v>43</v>
      </c>
      <c r="B1046" s="4" t="s">
        <v>65</v>
      </c>
      <c r="C1046" s="20" t="s">
        <v>799</v>
      </c>
      <c r="D1046" s="20" t="s">
        <v>800</v>
      </c>
      <c r="E1046" s="20" t="s">
        <v>801</v>
      </c>
      <c r="F1046" s="20" t="s">
        <v>802</v>
      </c>
      <c r="G1046" s="20" t="s">
        <v>803</v>
      </c>
      <c r="H1046" s="20" t="s">
        <v>804</v>
      </c>
      <c r="I1046" s="20" t="s">
        <v>805</v>
      </c>
      <c r="J1046" s="20" t="s">
        <v>806</v>
      </c>
      <c r="K1046" s="20" t="s">
        <v>807</v>
      </c>
      <c r="L1046" s="4" t="s">
        <v>47</v>
      </c>
    </row>
    <row r="1047" customFormat="false" ht="17.15" hidden="false" customHeight="false" outlineLevel="0" collapsed="false">
      <c r="A1047" s="1" t="s">
        <v>808</v>
      </c>
      <c r="B1047" s="1" t="s">
        <v>235</v>
      </c>
      <c r="C1047" s="28" t="n">
        <v>2024</v>
      </c>
      <c r="D1047" s="28" t="n">
        <v>2025</v>
      </c>
      <c r="E1047" s="28" t="n">
        <v>2026</v>
      </c>
      <c r="F1047" s="28" t="n">
        <v>2027</v>
      </c>
      <c r="G1047" s="28" t="n">
        <v>2028</v>
      </c>
      <c r="H1047" s="28" t="n">
        <v>2029</v>
      </c>
      <c r="I1047" s="28" t="n">
        <v>2030</v>
      </c>
      <c r="J1047" s="28" t="n">
        <v>2031</v>
      </c>
      <c r="K1047" s="28" t="n">
        <v>2032</v>
      </c>
    </row>
    <row r="1048" customFormat="false" ht="17.15" hidden="false" customHeight="false" outlineLevel="0" collapsed="false">
      <c r="A1048" s="1" t="s">
        <v>809</v>
      </c>
      <c r="B1048" s="0" t="s">
        <v>399</v>
      </c>
      <c r="F1048" s="29" t="n">
        <f aca="false">pace</f>
        <v>2527.2</v>
      </c>
      <c r="G1048" s="29" t="n">
        <f aca="false">pace</f>
        <v>2527.2</v>
      </c>
      <c r="H1048" s="29" t="n">
        <f aca="false">pace</f>
        <v>2527.2</v>
      </c>
      <c r="I1048" s="29" t="n">
        <f aca="false">pace+(g_tv*Sens!H1049-pace)*MIN(1,(Sens!I1047-pace_y0)/(pace_y1-pace_y0))</f>
        <v>1793.116</v>
      </c>
      <c r="J1048" s="29" t="n">
        <f aca="false">pace+(g_tv*Sens!I1049-pace)*MIN(1,(Sens!J1047-pace_y0)/(pace_y1-pace_y0))</f>
        <v>1094.89432</v>
      </c>
      <c r="K1048" s="29" t="n">
        <f aca="false">pace+(g_tv*Sens!J1049-pace)*MIN(1,(Sens!K1047-pace_y0)/(pace_y1-pace_y0))</f>
        <v>411.5883096</v>
      </c>
      <c r="L1048" s="11" t="s">
        <v>810</v>
      </c>
    </row>
    <row r="1049" customFormat="false" ht="17.15" hidden="false" customHeight="false" outlineLevel="0" collapsed="false">
      <c r="A1049" s="1" t="s">
        <v>811</v>
      </c>
      <c r="B1049" s="0" t="s">
        <v>399</v>
      </c>
      <c r="C1049" s="29" t="n">
        <f aca="false">mw_ext_24</f>
        <v>640</v>
      </c>
      <c r="D1049" s="29" t="n">
        <f aca="false">mw_ext_25</f>
        <v>1630</v>
      </c>
      <c r="E1049" s="29" t="n">
        <f aca="false">mw_ext_26</f>
        <v>3250</v>
      </c>
      <c r="F1049" s="29" t="n">
        <f aca="false">Sens!E1049+Sens!F1048</f>
        <v>5777.2</v>
      </c>
      <c r="G1049" s="29" t="n">
        <f aca="false">Sens!F1049+Sens!G1048</f>
        <v>8304.4</v>
      </c>
      <c r="H1049" s="29" t="n">
        <f aca="false">Sens!G1049+Sens!H1048</f>
        <v>10831.6</v>
      </c>
      <c r="I1049" s="29" t="n">
        <f aca="false">Sens!H1049+Sens!I1048</f>
        <v>12624.716</v>
      </c>
      <c r="J1049" s="29" t="n">
        <f aca="false">Sens!I1049+Sens!J1048</f>
        <v>13719.61032</v>
      </c>
      <c r="K1049" s="29" t="n">
        <f aca="false">Sens!J1049+Sens!K1048</f>
        <v>14131.1986296</v>
      </c>
      <c r="L1049" s="1" t="s">
        <v>812</v>
      </c>
    </row>
    <row r="1050" customFormat="false" ht="17.15" hidden="false" customHeight="false" outlineLevel="0" collapsed="false">
      <c r="A1050" s="1" t="s">
        <v>813</v>
      </c>
      <c r="B1050" s="0" t="s">
        <v>399</v>
      </c>
      <c r="C1050" s="29" t="n">
        <f aca="false">rent_ext_24</f>
        <v>150</v>
      </c>
      <c r="D1050" s="29" t="n">
        <f aca="false">rent_ext_25</f>
        <v>400</v>
      </c>
      <c r="E1050" s="29" t="n">
        <f aca="false">rent_ext_26</f>
        <v>550</v>
      </c>
      <c r="F1050" s="29" t="n">
        <f aca="false">rent_ext_f</f>
        <v>756</v>
      </c>
      <c r="G1050" s="29" t="n">
        <f aca="false">rent_ext_f</f>
        <v>756</v>
      </c>
      <c r="H1050" s="29" t="n">
        <f aca="false">rent_ext_f</f>
        <v>756</v>
      </c>
      <c r="I1050" s="29" t="n">
        <f aca="false">rent_ext_f</f>
        <v>756</v>
      </c>
      <c r="J1050" s="29" t="n">
        <f aca="false">rent_ext_f</f>
        <v>756</v>
      </c>
      <c r="K1050" s="29" t="n">
        <f aca="false">rent_ext_f</f>
        <v>756</v>
      </c>
      <c r="L1050" s="1" t="s">
        <v>814</v>
      </c>
    </row>
    <row r="1051" customFormat="false" ht="17.15" hidden="false" customHeight="false" outlineLevel="0" collapsed="false">
      <c r="A1051" s="1" t="s">
        <v>815</v>
      </c>
      <c r="B1051" s="0" t="s">
        <v>399</v>
      </c>
      <c r="C1051" s="29" t="n">
        <f aca="false">Sens!C1049-Sens!C1050</f>
        <v>490</v>
      </c>
      <c r="D1051" s="29" t="n">
        <f aca="false">Sens!D1049-Sens!D1050</f>
        <v>1230</v>
      </c>
      <c r="E1051" s="29" t="n">
        <f aca="false">Sens!E1049-Sens!E1050</f>
        <v>2700</v>
      </c>
      <c r="F1051" s="29" t="n">
        <f aca="false">Sens!F1049-Sens!F1050</f>
        <v>5021.2</v>
      </c>
      <c r="G1051" s="29" t="n">
        <f aca="false">Sens!G1049-Sens!G1050</f>
        <v>7548.4</v>
      </c>
      <c r="H1051" s="29" t="n">
        <f aca="false">Sens!H1049-Sens!H1050</f>
        <v>10075.6</v>
      </c>
      <c r="I1051" s="29" t="n">
        <f aca="false">Sens!I1049-Sens!I1050</f>
        <v>11868.716</v>
      </c>
      <c r="J1051" s="29" t="n">
        <f aca="false">Sens!J1049-Sens!J1050</f>
        <v>12963.61032</v>
      </c>
      <c r="K1051" s="29" t="n">
        <f aca="false">Sens!K1049-Sens!K1050</f>
        <v>13375.1986296</v>
      </c>
    </row>
    <row r="1052" customFormat="false" ht="17.15" hidden="false" customHeight="false" outlineLevel="0" collapsed="false">
      <c r="A1052" s="1" t="s">
        <v>816</v>
      </c>
      <c r="B1052" s="0" t="s">
        <v>399</v>
      </c>
      <c r="C1052" s="29" t="n">
        <f aca="false">Sens!C1051/ext_sh</f>
        <v>816.666666666667</v>
      </c>
      <c r="D1052" s="29" t="n">
        <f aca="false">Sens!D1051/ext_sh</f>
        <v>2050</v>
      </c>
      <c r="E1052" s="29" t="n">
        <f aca="false">Sens!E1051/ext_sh</f>
        <v>4500</v>
      </c>
      <c r="F1052" s="29" t="n">
        <f aca="false">Sens!F1051/ext_sh</f>
        <v>8368.66666666667</v>
      </c>
      <c r="G1052" s="29" t="n">
        <f aca="false">Sens!G1051/ext_sh</f>
        <v>12580.6666666667</v>
      </c>
      <c r="H1052" s="29" t="n">
        <f aca="false">Sens!H1051/ext_sh</f>
        <v>16792.6666666667</v>
      </c>
      <c r="I1052" s="29" t="n">
        <f aca="false">Sens!I1051/ext_sh</f>
        <v>19781.1933333333</v>
      </c>
      <c r="J1052" s="29" t="n">
        <f aca="false">Sens!J1051/ext_sh</f>
        <v>21606.0172</v>
      </c>
      <c r="K1052" s="29" t="n">
        <f aca="false">Sens!K1051/ext_sh</f>
        <v>22291.997716</v>
      </c>
      <c r="L1052" s="1" t="s">
        <v>817</v>
      </c>
    </row>
    <row r="1053" customFormat="false" ht="17.15" hidden="false" customHeight="false" outlineLevel="0" collapsed="false">
      <c r="A1053" s="1" t="s">
        <v>818</v>
      </c>
      <c r="B1053" s="0" t="s">
        <v>399</v>
      </c>
      <c r="C1053" s="29" t="n">
        <f aca="false">Sens!C1052-Sens!C1051</f>
        <v>326.666666666667</v>
      </c>
      <c r="D1053" s="29" t="n">
        <f aca="false">Sens!D1052-Sens!D1051</f>
        <v>820</v>
      </c>
      <c r="E1053" s="29" t="n">
        <f aca="false">Sens!E1052-Sens!E1051</f>
        <v>1800</v>
      </c>
      <c r="F1053" s="29" t="n">
        <f aca="false">Sens!F1052-Sens!F1051</f>
        <v>3347.46666666667</v>
      </c>
      <c r="G1053" s="29" t="n">
        <f aca="false">Sens!G1052-Sens!G1051</f>
        <v>5032.26666666667</v>
      </c>
      <c r="H1053" s="29" t="n">
        <f aca="false">Sens!H1052-Sens!H1051</f>
        <v>6717.06666666667</v>
      </c>
      <c r="I1053" s="29" t="n">
        <f aca="false">Sens!I1052-Sens!I1051</f>
        <v>7912.47733333333</v>
      </c>
      <c r="J1053" s="29" t="n">
        <f aca="false">Sens!J1052-Sens!J1051</f>
        <v>8642.40688</v>
      </c>
      <c r="K1053" s="29" t="n">
        <f aca="false">Sens!K1052-Sens!K1051</f>
        <v>8916.7990864</v>
      </c>
    </row>
    <row r="1054" customFormat="false" ht="17.15" hidden="false" customHeight="false" outlineLevel="0" collapsed="false">
      <c r="A1054" s="1" t="s">
        <v>819</v>
      </c>
      <c r="B1054" s="0" t="s">
        <v>399</v>
      </c>
      <c r="C1054" s="29" t="n">
        <f aca="false">Sens!C1052</f>
        <v>816.666666666667</v>
      </c>
      <c r="D1054" s="29" t="n">
        <f aca="false">Sens!D1052-Sens!C1052</f>
        <v>1233.33333333333</v>
      </c>
      <c r="E1054" s="29" t="n">
        <f aca="false">Sens!E1052-Sens!D1052</f>
        <v>2450</v>
      </c>
      <c r="F1054" s="29" t="n">
        <f aca="false">Sens!F1052-Sens!E1052</f>
        <v>3868.66666666667</v>
      </c>
      <c r="G1054" s="29" t="n">
        <f aca="false">Sens!G1052-Sens!F1052</f>
        <v>4212</v>
      </c>
      <c r="H1054" s="29" t="n">
        <f aca="false">Sens!H1052-Sens!G1052</f>
        <v>4212</v>
      </c>
      <c r="I1054" s="29" t="n">
        <f aca="false">Sens!I1052-Sens!H1052</f>
        <v>2988.52666666667</v>
      </c>
      <c r="J1054" s="29" t="n">
        <f aca="false">Sens!J1052-Sens!I1052</f>
        <v>1824.82386666667</v>
      </c>
      <c r="K1054" s="29" t="n">
        <f aca="false">Sens!K1052-Sens!J1052</f>
        <v>685.980516</v>
      </c>
    </row>
    <row r="1055" customFormat="false" ht="17.15" hidden="false" customHeight="false" outlineLevel="0" collapsed="false">
      <c r="A1055" s="1" t="s">
        <v>820</v>
      </c>
      <c r="B1055" s="0" t="s">
        <v>399</v>
      </c>
      <c r="D1055" s="29" t="n">
        <f aca="false">Sens!D1049-Sens!C1049</f>
        <v>990</v>
      </c>
      <c r="E1055" s="29" t="n">
        <f aca="false">Sens!E1049-Sens!D1049</f>
        <v>1620</v>
      </c>
      <c r="F1055" s="29" t="n">
        <f aca="false">Sens!F1049-Sens!E1049</f>
        <v>2527.2</v>
      </c>
      <c r="G1055" s="29" t="n">
        <f aca="false">Sens!G1049-Sens!F1049</f>
        <v>2527.2</v>
      </c>
      <c r="H1055" s="29" t="n">
        <f aca="false">Sens!H1049-Sens!G1049</f>
        <v>2527.2</v>
      </c>
      <c r="I1055" s="29" t="n">
        <f aca="false">Sens!I1049-Sens!H1049</f>
        <v>1793.116</v>
      </c>
      <c r="J1055" s="29" t="n">
        <f aca="false">Sens!J1049-Sens!I1049</f>
        <v>1094.89432</v>
      </c>
      <c r="K1055" s="29" t="n">
        <f aca="false">Sens!K1049-Sens!J1049</f>
        <v>411.5883096</v>
      </c>
    </row>
    <row r="1056" customFormat="false" ht="17.15" hidden="false" customHeight="false" outlineLevel="0" collapsed="false">
      <c r="A1056" s="1" t="s">
        <v>821</v>
      </c>
      <c r="B1056" s="0" t="s">
        <v>399</v>
      </c>
      <c r="F1056" s="29" t="n">
        <f aca="false">Sens!F1073*ext_sh</f>
        <v>0</v>
      </c>
      <c r="G1056" s="29" t="n">
        <f aca="false">Sens!G1073*ext_sh</f>
        <v>0</v>
      </c>
      <c r="H1056" s="29" t="n">
        <f aca="false">Sens!H1073*ext_sh</f>
        <v>0</v>
      </c>
      <c r="I1056" s="29" t="n">
        <f aca="false">Sens!I1073*ext_sh</f>
        <v>490</v>
      </c>
      <c r="J1056" s="29" t="n">
        <f aca="false">Sens!J1073*ext_sh</f>
        <v>740</v>
      </c>
      <c r="K1056" s="29" t="n">
        <f aca="false">Sens!K1073*ext_sh</f>
        <v>1470</v>
      </c>
      <c r="L1056" s="1" t="s">
        <v>822</v>
      </c>
    </row>
    <row r="1057" customFormat="false" ht="17.15" hidden="false" customHeight="false" outlineLevel="0" collapsed="false">
      <c r="A1057" s="1" t="s">
        <v>823</v>
      </c>
      <c r="B1057" s="0" t="s">
        <v>399</v>
      </c>
      <c r="C1057" s="29" t="n">
        <f aca="false">mix_h*Sens!C1049</f>
        <v>128</v>
      </c>
      <c r="D1057" s="29" t="n">
        <f aca="false">mix_h*Sens!D1049</f>
        <v>326</v>
      </c>
      <c r="E1057" s="29" t="n">
        <f aca="false">mix_h*Sens!E1049</f>
        <v>650</v>
      </c>
      <c r="F1057" s="29" t="n">
        <f aca="false">Sens!E1057-Sens!F1056*mix_h</f>
        <v>650</v>
      </c>
      <c r="G1057" s="29" t="n">
        <f aca="false">Sens!F1057-Sens!G1056*mix_h</f>
        <v>650</v>
      </c>
      <c r="H1057" s="29" t="n">
        <f aca="false">Sens!G1057-Sens!H1056*mix_h</f>
        <v>650</v>
      </c>
      <c r="I1057" s="29" t="n">
        <f aca="false">Sens!H1057-Sens!I1056*mix_h</f>
        <v>552</v>
      </c>
      <c r="J1057" s="29" t="n">
        <f aca="false">Sens!I1057-Sens!J1056*mix_h</f>
        <v>404</v>
      </c>
      <c r="K1057" s="29" t="n">
        <f aca="false">Sens!J1057-Sens!K1056*mix_h</f>
        <v>110</v>
      </c>
    </row>
    <row r="1058" customFormat="false" ht="17.15" hidden="false" customHeight="false" outlineLevel="0" collapsed="false">
      <c r="A1058" s="1" t="s">
        <v>824</v>
      </c>
      <c r="B1058" s="0" t="s">
        <v>399</v>
      </c>
      <c r="C1058" s="29" t="n">
        <f aca="false">mix_g2*Sens!C1049</f>
        <v>288</v>
      </c>
      <c r="D1058" s="29" t="n">
        <f aca="false">mix_g2*Sens!D1049</f>
        <v>733.5</v>
      </c>
      <c r="E1058" s="29" t="n">
        <f aca="false">mix_g2*Sens!E1049</f>
        <v>1462.5</v>
      </c>
      <c r="F1058" s="29" t="n">
        <f aca="false">Sens!E1058-Sens!F1056*mix_g2</f>
        <v>1462.5</v>
      </c>
      <c r="G1058" s="29" t="n">
        <f aca="false">Sens!F1058-Sens!G1056*mix_g2</f>
        <v>1462.5</v>
      </c>
      <c r="H1058" s="29" t="n">
        <f aca="false">Sens!G1058-Sens!H1056*mix_g2</f>
        <v>1462.5</v>
      </c>
      <c r="I1058" s="29" t="n">
        <f aca="false">Sens!H1058-Sens!I1056*mix_g2</f>
        <v>1242</v>
      </c>
      <c r="J1058" s="29" t="n">
        <f aca="false">Sens!I1058-Sens!J1056*mix_g2</f>
        <v>909</v>
      </c>
      <c r="K1058" s="29" t="n">
        <f aca="false">Sens!J1058-Sens!K1056*mix_g2</f>
        <v>247.5</v>
      </c>
    </row>
    <row r="1059" customFormat="false" ht="17.15" hidden="false" customHeight="false" outlineLevel="0" collapsed="false">
      <c r="A1059" s="1" t="s">
        <v>825</v>
      </c>
      <c r="B1059" s="0" t="s">
        <v>399</v>
      </c>
      <c r="C1059" s="29" t="n">
        <f aca="false">mix_g3*Sens!C1049</f>
        <v>224</v>
      </c>
      <c r="D1059" s="29" t="n">
        <f aca="false">mix_g3*Sens!D1049</f>
        <v>570.5</v>
      </c>
      <c r="E1059" s="29" t="n">
        <f aca="false">mix_g3*Sens!E1049</f>
        <v>1137.5</v>
      </c>
      <c r="F1059" s="29" t="n">
        <f aca="false">Sens!E1059+(Sens!F1055+Sens!F1056)*a_g3_27-Sens!F1056*mix_g3</f>
        <v>2906.54</v>
      </c>
      <c r="G1059" s="29" t="n">
        <f aca="false">Sens!F1059+(Sens!G1055+Sens!G1056)*a_g3_28-Sens!G1056*mix_g3</f>
        <v>3664.7</v>
      </c>
      <c r="H1059" s="29" t="n">
        <f aca="false">Sens!G1059+(Sens!H1055+Sens!H1056)*a_g3_29-Sens!H1056*mix_g3</f>
        <v>3917.42</v>
      </c>
      <c r="I1059" s="29" t="n">
        <f aca="false">Sens!H1059+(Sens!I1055+Sens!I1056)*a_g3_29-Sens!I1056*mix_g3</f>
        <v>3974.2316</v>
      </c>
      <c r="J1059" s="29" t="n">
        <f aca="false">Sens!I1059+(Sens!J1055+Sens!J1056)*a_g3_29-Sens!J1056*mix_g3</f>
        <v>3898.721032</v>
      </c>
      <c r="K1059" s="29" t="n">
        <f aca="false">Sens!J1059+(Sens!K1055+Sens!K1056)*a_g3_29-Sens!K1056*mix_g3</f>
        <v>3572.37986296</v>
      </c>
    </row>
    <row r="1060" customFormat="false" ht="17.15" hidden="false" customHeight="false" outlineLevel="0" collapsed="false">
      <c r="A1060" s="1" t="s">
        <v>826</v>
      </c>
      <c r="B1060" s="0" t="s">
        <v>399</v>
      </c>
      <c r="C1060" s="29" t="n">
        <v>0</v>
      </c>
      <c r="D1060" s="29" t="n">
        <v>0</v>
      </c>
      <c r="E1060" s="29" t="n">
        <v>0</v>
      </c>
      <c r="F1060" s="29" t="n">
        <f aca="false">Sens!E1060+(Sens!F1055+Sens!F1056)*(1-a_g3_27)</f>
        <v>758.16</v>
      </c>
      <c r="G1060" s="29" t="n">
        <f aca="false">Sens!F1060+(Sens!G1055+Sens!G1056)*(1-a_g3_28)</f>
        <v>2527.2</v>
      </c>
      <c r="H1060" s="29" t="n">
        <f aca="false">Sens!G1060+(Sens!H1055+Sens!H1056)*(1-a_g3_29)</f>
        <v>4801.68</v>
      </c>
      <c r="I1060" s="29" t="n">
        <f aca="false">Sens!H1060+(Sens!I1055+Sens!I1056)*(1-a_g3_29)</f>
        <v>6856.4844</v>
      </c>
      <c r="J1060" s="29" t="n">
        <f aca="false">Sens!I1060+(Sens!J1055+Sens!J1056)*(1-a_g3_29)</f>
        <v>8507.889288</v>
      </c>
      <c r="K1060" s="29" t="n">
        <f aca="false">Sens!J1060+(Sens!K1055+Sens!K1056)*(1-a_g3_29)</f>
        <v>10201.31876664</v>
      </c>
    </row>
    <row r="1061" customFormat="false" ht="17.15" hidden="false" customHeight="false" outlineLevel="0" collapsed="false">
      <c r="A1061" s="1" t="s">
        <v>827</v>
      </c>
      <c r="B1061" s="0" t="s">
        <v>346</v>
      </c>
      <c r="C1061" s="14" t="n">
        <f aca="false">(Sens!C1057*tk_hold_h100+Sens!C1058*tk_hold_gb200+Sens!C1059*tk_hold_gb300+Sens!C1060*tk_hold_vr200)/Sens!C1049</f>
        <v>9.7235358126469</v>
      </c>
      <c r="D1061" s="14" t="n">
        <f aca="false">(Sens!D1057*tk_hold_h100+Sens!D1058*tk_hold_gb200+Sens!D1059*tk_hold_gb300+Sens!D1060*tk_hold_vr200)/Sens!D1049</f>
        <v>9.7235358126469</v>
      </c>
      <c r="E1061" s="14" t="n">
        <f aca="false">(Sens!E1057*tk_hold_h100+Sens!E1058*tk_hold_gb200+Sens!E1059*tk_hold_gb300+Sens!E1060*tk_hold_vr200)/Sens!E1049</f>
        <v>9.7235358126469</v>
      </c>
      <c r="F1061" s="14" t="n">
        <f aca="false">(Sens!F1057*tk_hold_h100+Sens!F1058*tk_hold_gb200+Sens!F1059*tk_hold_gb300+Sens!F1060*tk_hold_vr200)/Sens!F1049</f>
        <v>10.4079573161931</v>
      </c>
      <c r="G1061" s="14" t="n">
        <f aca="false">(Sens!G1057*tk_hold_h100+Sens!G1058*tk_hold_gb200+Sens!G1059*tk_hold_gb300+Sens!G1060*tk_hold_vr200)/Sens!G1049</f>
        <v>10.8388131109316</v>
      </c>
      <c r="H1061" s="14" t="n">
        <f aca="false">(Sens!H1057*tk_hold_h100+Sens!H1058*tk_hold_gb200+Sens!H1059*tk_hold_gb300+Sens!H1060*tk_hold_vr200)/Sens!H1049</f>
        <v>11.1311018388216</v>
      </c>
      <c r="I1061" s="14" t="n">
        <f aca="false">(Sens!I1057*tk_hold_h100+Sens!I1058*tk_hold_gb200+Sens!I1059*tk_hold_gb300+Sens!I1060*tk_hold_vr200)/Sens!I1049</f>
        <v>11.3594282560989</v>
      </c>
      <c r="J1061" s="14" t="n">
        <f aca="false">(Sens!J1057*tk_hold_h100+Sens!J1058*tk_hold_gb200+Sens!J1059*tk_hold_gb300+Sens!J1060*tk_hold_vr200)/Sens!J1049</f>
        <v>11.5455817917599</v>
      </c>
      <c r="K1061" s="14" t="n">
        <f aca="false">(Sens!K1057*tk_hold_h100+Sens!K1058*tk_hold_gb200+Sens!K1059*tk_hold_gb300+Sens!K1060*tk_hold_vr200)/Sens!K1049</f>
        <v>11.8078187977246</v>
      </c>
    </row>
    <row r="1062" customFormat="false" ht="17.15" hidden="false" customHeight="false" outlineLevel="0" collapsed="false">
      <c r="A1062" s="0" t="s">
        <v>828</v>
      </c>
      <c r="B1062" s="0" t="s">
        <v>185</v>
      </c>
      <c r="C1062" s="14" t="n">
        <f aca="false">k_B</f>
        <v>1.17213932619116</v>
      </c>
      <c r="D1062" s="14" t="n">
        <f aca="false">k_B</f>
        <v>1.17213932619116</v>
      </c>
      <c r="E1062" s="14" t="n">
        <f aca="false">k_B</f>
        <v>1.17213932619116</v>
      </c>
      <c r="F1062" s="14" t="n">
        <f aca="false">(k_B+((ls_C*k_long+(1-ls_C)*k_spot)-k_B)*MIN(1,(Sens!F1047-base_fy)/k_ramp))*0.85</f>
        <v>0.916667693038224</v>
      </c>
      <c r="G1062" s="14" t="n">
        <f aca="false">(k_B+((ls_C*k_long+(1-ls_C)*k_spot)-k_B)*MIN(1,(Sens!G1047-base_fy)/k_ramp))*0.85</f>
        <v>0.837016958813967</v>
      </c>
      <c r="H1062" s="14" t="n">
        <f aca="false">(k_B+((ls_C*k_long+(1-ls_C)*k_spot)-k_B)*MIN(1,(Sens!H1047-base_fy)/k_ramp))*0.85</f>
        <v>0.757366224589709</v>
      </c>
      <c r="I1062" s="14" t="n">
        <f aca="false">(k_B+((ls_C*k_long+(1-ls_C)*k_spot)-k_B)*MIN(1,(Sens!I1047-base_fy)/k_ramp))*0.85</f>
        <v>0.757366224589709</v>
      </c>
      <c r="J1062" s="14" t="n">
        <f aca="false">(k_B+((ls_C*k_long+(1-ls_C)*k_spot)-k_B)*MIN(1,(Sens!J1047-base_fy)/k_ramp))*0.85</f>
        <v>0.757366224589709</v>
      </c>
      <c r="K1062" s="14" t="n">
        <f aca="false">(k_B+((ls_C*k_long+(1-ls_C)*k_spot)-k_B)*MIN(1,(Sens!K1047-base_fy)/k_ramp))*0.85</f>
        <v>0.757366224589709</v>
      </c>
      <c r="L1062" s="1" t="s">
        <v>829</v>
      </c>
    </row>
    <row r="1063" customFormat="false" ht="17.15" hidden="false" customHeight="false" outlineLevel="0" collapsed="false">
      <c r="A1063" s="1" t="s">
        <v>830</v>
      </c>
      <c r="B1063" s="0" t="s">
        <v>346</v>
      </c>
      <c r="C1063" s="14" t="n">
        <f aca="false">Sens!C1061*Sens!C1062*chip_f</f>
        <v>11.3973387156315</v>
      </c>
      <c r="D1063" s="14" t="n">
        <f aca="false">Sens!D1061*Sens!D1062*chip_f</f>
        <v>11.3973387156315</v>
      </c>
      <c r="E1063" s="14" t="n">
        <f aca="false">Sens!E1061*Sens!E1062*chip_f</f>
        <v>11.3973387156315</v>
      </c>
      <c r="F1063" s="14" t="n">
        <f aca="false">Sens!F1061*Sens!F1062*chip_f</f>
        <v>9.54063822227503</v>
      </c>
      <c r="G1063" s="14" t="n">
        <f aca="false">Sens!G1061*Sens!G1062*chip_f</f>
        <v>9.07227038726488</v>
      </c>
      <c r="H1063" s="14" t="n">
        <f aca="false">Sens!H1061*Sens!H1062*chip_f</f>
        <v>8.43032057519186</v>
      </c>
      <c r="I1063" s="14" t="n">
        <f aca="false">Sens!I1061*Sens!I1062*chip_f</f>
        <v>8.60324729181929</v>
      </c>
      <c r="J1063" s="14" t="n">
        <f aca="false">Sens!J1061*Sens!J1062*chip_f</f>
        <v>8.7442336923169</v>
      </c>
      <c r="K1063" s="14" t="n">
        <f aca="false">Sens!K1061*Sens!K1062*chip_f</f>
        <v>8.94284314347207</v>
      </c>
      <c r="L1063" s="1" t="s">
        <v>831</v>
      </c>
    </row>
    <row r="1064" customFormat="false" ht="17.15" hidden="false" customHeight="false" outlineLevel="0" collapsed="false">
      <c r="A1064" s="0" t="s">
        <v>832</v>
      </c>
      <c r="B1064" s="0" t="s">
        <v>98</v>
      </c>
      <c r="D1064" s="6" t="n">
        <f aca="false">(Sens!C1049+Sens!D1049)/2*Sens!D1063/1000</f>
        <v>12.9359794422418</v>
      </c>
      <c r="E1064" s="6" t="n">
        <f aca="false">(Sens!D1049+Sens!E1049)/2*Sens!E1063/1000</f>
        <v>27.8095064661409</v>
      </c>
      <c r="F1064" s="6" t="n">
        <f aca="false">(Sens!E1049+Sens!F1049)/2*Sens!F1063/1000</f>
        <v>43.0626246800606</v>
      </c>
      <c r="G1064" s="6" t="n">
        <f aca="false">(Sens!F1049+Sens!G1049)/2*Sens!G1063/1000</f>
        <v>63.8760413426546</v>
      </c>
      <c r="H1064" s="6" t="n">
        <f aca="false">(Sens!G1049+Sens!H1049)/2*Sens!H1063/1000</f>
        <v>80.6613072634357</v>
      </c>
      <c r="I1064" s="6" t="n">
        <f aca="false">(Sens!H1049+Sens!I1049)/2*Sens!I1063/1000</f>
        <v>100.900243551529</v>
      </c>
      <c r="J1064" s="6" t="n">
        <f aca="false">(Sens!I1049+Sens!J1049)/2*Sens!J1063/1000</f>
        <v>115.180472904367</v>
      </c>
      <c r="K1064" s="6" t="n">
        <f aca="false">(Sens!J1049+Sens!K1049)/2*Sens!K1063/1000</f>
        <v>124.53270792754</v>
      </c>
      <c r="L1064" s="11" t="s">
        <v>833</v>
      </c>
    </row>
    <row r="1065" customFormat="false" ht="17.15" hidden="false" customHeight="false" outlineLevel="0" collapsed="false">
      <c r="A1065" s="1" t="s">
        <v>834</v>
      </c>
      <c r="B1065" s="0" t="s">
        <v>346</v>
      </c>
      <c r="C1065" s="14" t="n">
        <f aca="false">(Sens!C1057*tk_opex_h100+Sens!C1058*tk_opex_gb200+Sens!C1059*tk_opex_gb300+Sens!C1060*tk_opex_vr200)/Sens!C1049</f>
        <v>1.88636041306092</v>
      </c>
      <c r="D1065" s="14" t="n">
        <f aca="false">(Sens!D1057*tk_opex_h100+Sens!D1058*tk_opex_gb200+Sens!D1059*tk_opex_gb300+Sens!D1060*tk_opex_vr200)/Sens!D1049</f>
        <v>1.88636041306092</v>
      </c>
      <c r="E1065" s="14" t="n">
        <f aca="false">(Sens!E1057*tk_opex_h100+Sens!E1058*tk_opex_gb200+Sens!E1059*tk_opex_gb300+Sens!E1060*tk_opex_vr200)/Sens!E1049</f>
        <v>1.88636041306092</v>
      </c>
      <c r="F1065" s="14" t="n">
        <f aca="false">(Sens!F1057*tk_opex_h100+Sens!F1058*tk_opex_gb200+Sens!F1059*tk_opex_gb300+Sens!F1060*tk_opex_vr200)/Sens!F1049</f>
        <v>1.9430236476499</v>
      </c>
      <c r="G1065" s="14" t="n">
        <f aca="false">(Sens!G1057*tk_opex_h100+Sens!G1058*tk_opex_gb200+Sens!G1059*tk_opex_gb300+Sens!G1060*tk_opex_vr200)/Sens!G1049</f>
        <v>1.9786941852423</v>
      </c>
      <c r="H1065" s="14" t="n">
        <f aca="false">(Sens!H1057*tk_opex_h100+Sens!H1058*tk_opex_gb200+Sens!H1059*tk_opex_gb300+Sens!H1060*tk_opex_vr200)/Sens!H1049</f>
        <v>2.00289275976156</v>
      </c>
      <c r="I1065" s="14" t="n">
        <f aca="false">(Sens!I1057*tk_opex_h100+Sens!I1058*tk_opex_gb200+Sens!I1059*tk_opex_gb300+Sens!I1060*tk_opex_vr200)/Sens!I1049</f>
        <v>2.02179589661219</v>
      </c>
      <c r="J1065" s="14" t="n">
        <f aca="false">(Sens!J1057*tk_opex_h100+Sens!J1058*tk_opex_gb200+Sens!J1059*tk_opex_gb300+Sens!J1060*tk_opex_vr200)/Sens!J1049</f>
        <v>2.03720754193029</v>
      </c>
      <c r="K1065" s="14" t="n">
        <f aca="false">(Sens!K1057*tk_opex_h100+Sens!K1058*tk_opex_gb200+Sens!K1059*tk_opex_gb300+Sens!K1060*tk_opex_vr200)/Sens!K1049</f>
        <v>2.0589181353437</v>
      </c>
    </row>
    <row r="1066" customFormat="false" ht="17.15" hidden="false" customHeight="false" outlineLevel="0" collapsed="false">
      <c r="A1066" s="0" t="s">
        <v>835</v>
      </c>
      <c r="B1066" s="0" t="s">
        <v>98</v>
      </c>
      <c r="D1066" s="6" t="n">
        <f aca="false">(Sens!C1052+Sens!D1052)/2*Sens!D1065/1000</f>
        <v>2.70378325872065</v>
      </c>
      <c r="E1066" s="6" t="n">
        <f aca="false">(Sens!D1052+Sens!E1052)/2*Sens!E1065/1000</f>
        <v>6.17783035277451</v>
      </c>
      <c r="F1066" s="6" t="n">
        <f aca="false">(Sens!E1052+Sens!F1052)/2*Sens!F1065/1000</f>
        <v>12.5020618235287</v>
      </c>
      <c r="G1066" s="6" t="n">
        <f aca="false">(Sens!F1052+Sens!G1052)/2*Sens!G1065/1000</f>
        <v>20.7261620256847</v>
      </c>
      <c r="H1066" s="6" t="n">
        <f aca="false">(Sens!G1052+Sens!H1052)/2*Sens!H1065/1000</f>
        <v>29.4158183316982</v>
      </c>
      <c r="I1066" s="6" t="n">
        <f aca="false">(Sens!H1052+Sens!I1052)/2*Sens!I1065/1000</f>
        <v>36.9724400356344</v>
      </c>
      <c r="J1066" s="6" t="n">
        <f aca="false">(Sens!I1052+Sens!J1052)/2*Sens!J1065/1000</f>
        <v>42.1571687189816</v>
      </c>
      <c r="K1066" s="6" t="n">
        <f aca="false">(Sens!J1052+Sens!K1052)/2*Sens!K1065/1000</f>
        <v>45.1912095080704</v>
      </c>
    </row>
    <row r="1067" customFormat="false" ht="17.15" hidden="false" customHeight="false" outlineLevel="0" collapsed="false">
      <c r="A1067" s="0" t="s">
        <v>836</v>
      </c>
      <c r="B1067" s="0" t="s">
        <v>98</v>
      </c>
      <c r="D1067" s="6" t="n">
        <f aca="false">(Sens!C1050+Sens!D1050)/2*rent_mw/1000</f>
        <v>2.44475</v>
      </c>
      <c r="E1067" s="6" t="n">
        <f aca="false">(Sens!D1050+Sens!E1050)/2*rent_mw/1000</f>
        <v>4.22275</v>
      </c>
      <c r="F1067" s="6" t="n">
        <f aca="false">(Sens!E1050+Sens!F1050)/2*rent_mw/1000</f>
        <v>5.80517</v>
      </c>
      <c r="G1067" s="6" t="n">
        <f aca="false">(Sens!F1050+Sens!G1050)/2*rent_mw/1000</f>
        <v>6.72084</v>
      </c>
      <c r="H1067" s="6" t="n">
        <f aca="false">(Sens!G1050+Sens!H1050)/2*rent_mw/1000</f>
        <v>6.72084</v>
      </c>
      <c r="I1067" s="6" t="n">
        <f aca="false">(Sens!H1050+Sens!I1050)/2*rent_mw/1000</f>
        <v>6.72084</v>
      </c>
      <c r="J1067" s="6" t="n">
        <f aca="false">(Sens!I1050+Sens!J1050)/2*rent_mw/1000</f>
        <v>6.72084</v>
      </c>
      <c r="K1067" s="6" t="n">
        <f aca="false">(Sens!J1050+Sens!K1050)/2*rent_mw/1000</f>
        <v>6.72084</v>
      </c>
    </row>
    <row r="1068" customFormat="false" ht="17.15" hidden="false" customHeight="false" outlineLevel="0" collapsed="false">
      <c r="A1068" s="0" t="s">
        <v>837</v>
      </c>
      <c r="B1068" s="0" t="s">
        <v>98</v>
      </c>
      <c r="D1068" s="6" t="n">
        <f aca="false">(Sens!C1052+Sens!D1052)/2*(1-self_build)*fac_rent/1000</f>
        <v>0.853242375631075</v>
      </c>
      <c r="E1068" s="6" t="n">
        <f aca="false">(Sens!D1052+Sens!E1052)/2*(1-self_build)*fac_rent/1000</f>
        <v>1.94955961408728</v>
      </c>
      <c r="F1068" s="6" t="n">
        <f aca="false">(Sens!E1052+Sens!F1052)/2*(1-self_build)*fac_rent/1000</f>
        <v>3.83026455274573</v>
      </c>
      <c r="G1068" s="6" t="n">
        <f aca="false">(Sens!F1052+Sens!G1052)/2*(1-self_build)*fac_rent/1000</f>
        <v>6.23541590972812</v>
      </c>
      <c r="H1068" s="6" t="n">
        <f aca="false">(Sens!G1052+Sens!H1052)/2*(1-self_build)*fac_rent/1000</f>
        <v>8.74275792332679</v>
      </c>
      <c r="I1068" s="6" t="n">
        <f aca="false">(Sens!H1052+Sens!I1052)/2*(1-self_build)*fac_rent/1000</f>
        <v>10.8859420438599</v>
      </c>
      <c r="J1068" s="6" t="n">
        <f aca="false">(Sens!I1052+Sens!J1052)/2*(1-self_build)*fac_rent/1000</f>
        <v>12.3186006405366</v>
      </c>
      <c r="K1068" s="6" t="n">
        <f aca="false">(Sens!J1052+Sens!K1052)/2*(1-self_build)*fac_rent/1000</f>
        <v>13.0659232089824</v>
      </c>
      <c r="L1068" s="11" t="s">
        <v>838</v>
      </c>
    </row>
    <row r="1069" customFormat="false" ht="17.15" hidden="false" customHeight="false" outlineLevel="0" collapsed="false">
      <c r="A1069" s="1" t="s">
        <v>839</v>
      </c>
      <c r="B1069" s="0" t="s">
        <v>129</v>
      </c>
      <c r="D1069" s="7" t="n">
        <f aca="false">(Sens!C1051+Sens!D1051)/(Sens!C1052+Sens!D1052)</f>
        <v>0.6</v>
      </c>
      <c r="E1069" s="7" t="n">
        <f aca="false">(Sens!D1051+Sens!E1051)/(Sens!D1052+Sens!E1052)</f>
        <v>0.6</v>
      </c>
      <c r="F1069" s="7" t="n">
        <f aca="false">(Sens!E1051+Sens!F1051)/(Sens!E1052+Sens!F1052)</f>
        <v>0.6</v>
      </c>
      <c r="G1069" s="7" t="n">
        <f aca="false">(Sens!F1051+Sens!G1051)/(Sens!F1052+Sens!G1052)</f>
        <v>0.6</v>
      </c>
      <c r="H1069" s="7" t="n">
        <f aca="false">(Sens!G1051+Sens!H1051)/(Sens!G1052+Sens!H1052)</f>
        <v>0.6</v>
      </c>
      <c r="I1069" s="7" t="n">
        <f aca="false">(Sens!H1051+Sens!I1051)/(Sens!H1052+Sens!I1052)</f>
        <v>0.6</v>
      </c>
      <c r="J1069" s="7" t="n">
        <f aca="false">(Sens!I1051+Sens!J1051)/(Sens!I1052+Sens!J1052)</f>
        <v>0.6</v>
      </c>
      <c r="K1069" s="7" t="n">
        <f aca="false">(Sens!J1051+Sens!K1051)/(Sens!J1052+Sens!K1052)</f>
        <v>0.6</v>
      </c>
    </row>
    <row r="1070" customFormat="false" ht="17.15" hidden="false" customHeight="false" outlineLevel="0" collapsed="false">
      <c r="A1070" s="0" t="s">
        <v>840</v>
      </c>
      <c r="B1070" s="0" t="s">
        <v>98</v>
      </c>
      <c r="D1070" s="6" t="n">
        <f aca="false">Sens!D1064-Sens!D1069*(Sens!D1066+Sens!D1068)-Sens!D1067</f>
        <v>8.35701406163072</v>
      </c>
      <c r="E1070" s="6" t="n">
        <f aca="false">Sens!E1064-Sens!E1069*(Sens!E1066+Sens!E1068)-Sens!E1067</f>
        <v>18.7103224860238</v>
      </c>
      <c r="F1070" s="6" t="n">
        <f aca="false">Sens!F1064-Sens!F1069*(Sens!F1066+Sens!F1068)-Sens!F1067</f>
        <v>27.4580588542959</v>
      </c>
      <c r="G1070" s="6" t="n">
        <f aca="false">Sens!G1064-Sens!G1069*(Sens!G1066+Sens!G1068)-Sens!G1067</f>
        <v>40.9782545814069</v>
      </c>
      <c r="H1070" s="6" t="n">
        <f aca="false">Sens!H1064-Sens!H1069*(Sens!H1066+Sens!H1068)-Sens!H1067</f>
        <v>51.0453215104207</v>
      </c>
      <c r="I1070" s="6" t="n">
        <f aca="false">Sens!I1064-Sens!I1069*(Sens!I1066+Sens!I1068)-Sens!I1067</f>
        <v>65.4643743038321</v>
      </c>
      <c r="J1070" s="6" t="n">
        <f aca="false">Sens!J1064-Sens!J1069*(Sens!J1066+Sens!J1068)-Sens!J1067</f>
        <v>75.7741712886565</v>
      </c>
      <c r="K1070" s="6" t="n">
        <f aca="false">Sens!K1064-Sens!K1069*(Sens!K1066+Sens!K1068)-Sens!K1067</f>
        <v>82.8575882973088</v>
      </c>
    </row>
    <row r="1071" customFormat="false" ht="17.15" hidden="false" customHeight="false" outlineLevel="0" collapsed="false">
      <c r="A1071" s="1" t="s">
        <v>841</v>
      </c>
      <c r="B1071" s="0" t="s">
        <v>98</v>
      </c>
      <c r="D1071" s="6" t="n">
        <f aca="false">(1-Sens!D1069)*(Sens!D1066+Sens!D1068)</f>
        <v>1.42281025374069</v>
      </c>
      <c r="E1071" s="6" t="n">
        <f aca="false">(1-Sens!E1069)*(Sens!E1066+Sens!E1068)</f>
        <v>3.25095598674472</v>
      </c>
      <c r="F1071" s="6" t="n">
        <f aca="false">(1-Sens!F1069)*(Sens!F1066+Sens!F1068)</f>
        <v>6.53293055050977</v>
      </c>
      <c r="G1071" s="6" t="n">
        <f aca="false">(1-Sens!G1069)*(Sens!G1066+Sens!G1068)</f>
        <v>10.7846311741651</v>
      </c>
      <c r="H1071" s="6" t="n">
        <f aca="false">(1-Sens!H1069)*(Sens!H1066+Sens!H1068)</f>
        <v>15.26343050201</v>
      </c>
      <c r="I1071" s="6" t="n">
        <f aca="false">(1-Sens!I1069)*(Sens!I1066+Sens!I1068)</f>
        <v>19.1433528317977</v>
      </c>
      <c r="J1071" s="6" t="n">
        <f aca="false">(1-Sens!J1069)*(Sens!J1066+Sens!J1068)</f>
        <v>21.7903077438073</v>
      </c>
      <c r="K1071" s="6" t="n">
        <f aca="false">(1-Sens!K1069)*(Sens!K1066+Sens!K1068)</f>
        <v>23.3028530868211</v>
      </c>
    </row>
    <row r="1072" customFormat="false" ht="17.15" hidden="false" customHeight="false" outlineLevel="0" collapsed="false">
      <c r="A1072" s="1" t="s">
        <v>842</v>
      </c>
      <c r="B1072" s="0" t="s">
        <v>357</v>
      </c>
      <c r="C1072" s="8" t="n">
        <f aca="false">cxit_open</f>
        <v>27.5918995</v>
      </c>
      <c r="D1072" s="8" t="n">
        <f aca="false">cxit_open</f>
        <v>27.5918995</v>
      </c>
      <c r="E1072" s="8" t="n">
        <f aca="false">cxit_open</f>
        <v>27.5918995</v>
      </c>
      <c r="F1072" s="8" t="n">
        <f aca="false">(a_g3_27*tk_cxit_gb300+(1-a_g3_27)*tk_cxit_vr200)</f>
        <v>33.8419624</v>
      </c>
      <c r="G1072" s="8" t="n">
        <f aca="false">(a_g3_28*tk_cxit_gb300+(1-a_g3_28)*tk_cxit_vr200)</f>
        <v>35.9816136</v>
      </c>
      <c r="H1072" s="8" t="n">
        <f aca="false">(a_g3_29*tk_cxit_gb300+(1-a_g3_29)*tk_cxit_vr200)</f>
        <v>37.0514392</v>
      </c>
      <c r="I1072" s="8" t="n">
        <f aca="false">(a_g3_29*tk_cxit_gb300+(1-a_g3_29)*tk_cxit_vr200)</f>
        <v>37.0514392</v>
      </c>
      <c r="J1072" s="8" t="n">
        <f aca="false">(a_g3_29*tk_cxit_gb300+(1-a_g3_29)*tk_cxit_vr200)</f>
        <v>37.0514392</v>
      </c>
      <c r="K1072" s="8" t="n">
        <f aca="false">(a_g3_29*tk_cxit_gb300+(1-a_g3_29)*tk_cxit_vr200)</f>
        <v>37.0514392</v>
      </c>
      <c r="L1072" s="11" t="s">
        <v>843</v>
      </c>
    </row>
    <row r="1073" customFormat="false" ht="17.15" hidden="false" customHeight="false" outlineLevel="0" collapsed="false">
      <c r="A1073" s="0" t="s">
        <v>844</v>
      </c>
      <c r="B1073" s="0" t="s">
        <v>399</v>
      </c>
      <c r="F1073" s="29" t="n">
        <f aca="false">Sens!C1054*IF(Sens!F1047-Sens!C1047=life_it,1,0)+Sens!D1054*IF(Sens!F1047-Sens!D1047=life_it,1,0)+Sens!E1054*IF(Sens!F1047-Sens!E1047=life_it,1,0)</f>
        <v>0</v>
      </c>
      <c r="G1073" s="29" t="n">
        <f aca="false">Sens!C1054*IF(Sens!G1047-Sens!C1047=life_it,1,0)+Sens!D1054*IF(Sens!G1047-Sens!D1047=life_it,1,0)+Sens!E1054*IF(Sens!G1047-Sens!E1047=life_it,1,0)+Sens!F1054*IF(Sens!G1047-Sens!F1047=life_it,1,0)</f>
        <v>0</v>
      </c>
      <c r="H1073" s="29" t="n">
        <f aca="false">Sens!C1054*IF(Sens!H1047-Sens!C1047=life_it,1,0)+Sens!D1054*IF(Sens!H1047-Sens!D1047=life_it,1,0)+Sens!E1054*IF(Sens!H1047-Sens!E1047=life_it,1,0)+Sens!F1054*IF(Sens!H1047-Sens!F1047=life_it,1,0)+Sens!G1054*IF(Sens!H1047-Sens!G1047=life_it,1,0)</f>
        <v>0</v>
      </c>
      <c r="I1073" s="29" t="n">
        <f aca="false">Sens!C1054*IF(Sens!I1047-Sens!C1047=life_it,1,0)+Sens!D1054*IF(Sens!I1047-Sens!D1047=life_it,1,0)+Sens!E1054*IF(Sens!I1047-Sens!E1047=life_it,1,0)+Sens!F1054*IF(Sens!I1047-Sens!F1047=life_it,1,0)+Sens!G1054*IF(Sens!I1047-Sens!G1047=life_it,1,0)+Sens!H1054*IF(Sens!I1047-Sens!H1047=life_it,1,0)</f>
        <v>816.666666666667</v>
      </c>
      <c r="J1073" s="29" t="n">
        <f aca="false">Sens!C1054*IF(Sens!J1047-Sens!C1047=life_it,1,0)+Sens!D1054*IF(Sens!J1047-Sens!D1047=life_it,1,0)+Sens!E1054*IF(Sens!J1047-Sens!E1047=life_it,1,0)+Sens!F1054*IF(Sens!J1047-Sens!F1047=life_it,1,0)+Sens!G1054*IF(Sens!J1047-Sens!G1047=life_it,1,0)+Sens!H1054*IF(Sens!J1047-Sens!H1047=life_it,1,0)+Sens!I1054*IF(Sens!J1047-Sens!I1047=life_it,1,0)</f>
        <v>1233.33333333333</v>
      </c>
      <c r="K1073" s="29" t="n">
        <f aca="false">Sens!C1054*IF(Sens!K1047-Sens!C1047=life_it,1,0)+Sens!D1054*IF(Sens!K1047-Sens!D1047=life_it,1,0)+Sens!E1054*IF(Sens!K1047-Sens!E1047=life_it,1,0)+Sens!F1054*IF(Sens!K1047-Sens!F1047=life_it,1,0)+Sens!G1054*IF(Sens!K1047-Sens!G1047=life_it,1,0)+Sens!H1054*IF(Sens!K1047-Sens!H1047=life_it,1,0)+Sens!I1054*IF(Sens!K1047-Sens!I1047=life_it,1,0)+Sens!J1054*IF(Sens!K1047-Sens!J1047=life_it,1,0)</f>
        <v>2450</v>
      </c>
      <c r="L1073" s="1" t="s">
        <v>845</v>
      </c>
    </row>
    <row r="1074" customFormat="false" ht="17.15" hidden="false" customHeight="false" outlineLevel="0" collapsed="false">
      <c r="A1074" s="0" t="s">
        <v>846</v>
      </c>
      <c r="B1074" s="0" t="s">
        <v>98</v>
      </c>
      <c r="C1074" s="6" t="n">
        <f aca="false">Sens!C1054*Sens!C1072/1000</f>
        <v>22.5333845916667</v>
      </c>
      <c r="D1074" s="6" t="n">
        <f aca="false">Sens!D1054*Sens!D1072/1000</f>
        <v>34.0300093833333</v>
      </c>
      <c r="E1074" s="6" t="n">
        <f aca="false">Sens!E1054*Sens!E1072/1000</f>
        <v>67.600153775</v>
      </c>
      <c r="F1074" s="6" t="n">
        <f aca="false">(Sens!F1054+Sens!F1073)*Sens!F1072/1000</f>
        <v>130.923271871467</v>
      </c>
      <c r="G1074" s="6" t="n">
        <f aca="false">(Sens!G1054+Sens!G1073)*Sens!G1072/1000</f>
        <v>151.5545564832</v>
      </c>
      <c r="H1074" s="6" t="n">
        <f aca="false">(Sens!H1054+Sens!H1073)*Sens!H1072/1000</f>
        <v>156.0606619104</v>
      </c>
      <c r="I1074" s="6" t="n">
        <f aca="false">(Sens!I1054+Sens!I1073)*Sens!I1072/1000</f>
        <v>140.987889434245</v>
      </c>
      <c r="J1074" s="6" t="n">
        <f aca="false">(Sens!J1054+Sens!J1073)*Sens!J1072/1000</f>
        <v>113.309125559842</v>
      </c>
      <c r="K1074" s="6" t="n">
        <f aca="false">(Sens!K1054+Sens!K1073)*Sens!K1072/1000</f>
        <v>116.192591420959</v>
      </c>
    </row>
    <row r="1075" customFormat="false" ht="17.15" hidden="false" customHeight="false" outlineLevel="0" collapsed="false">
      <c r="A1075" s="0" t="s">
        <v>847</v>
      </c>
      <c r="B1075" s="0" t="s">
        <v>98</v>
      </c>
      <c r="C1075" s="6" t="n">
        <f aca="false">Sens!C1054*self_build*tk_cxfac/1000</f>
        <v>6.2083</v>
      </c>
      <c r="D1075" s="6" t="n">
        <f aca="false">Sens!D1054*self_build*tk_cxfac/1000</f>
        <v>9.3758</v>
      </c>
      <c r="E1075" s="6" t="n">
        <f aca="false">Sens!E1054*self_build*tk_cxfac/1000</f>
        <v>18.6249</v>
      </c>
      <c r="F1075" s="6" t="n">
        <f aca="false">Sens!F1054*self_build*tk_cxfac/1000</f>
        <v>29.409604</v>
      </c>
      <c r="G1075" s="6" t="n">
        <f aca="false">Sens!G1054*self_build*tk_cxfac/1000</f>
        <v>32.019624</v>
      </c>
      <c r="H1075" s="6" t="n">
        <f aca="false">Sens!H1054*self_build*tk_cxfac/1000</f>
        <v>32.019624</v>
      </c>
      <c r="I1075" s="6" t="n">
        <f aca="false">Sens!I1054*self_build*tk_cxfac/1000</f>
        <v>22.71877972</v>
      </c>
      <c r="J1075" s="6" t="n">
        <f aca="false">Sens!J1054*self_build*tk_cxfac/1000</f>
        <v>13.8723110344</v>
      </c>
      <c r="K1075" s="6" t="n">
        <f aca="false">Sens!K1054*self_build*tk_cxfac/1000</f>
        <v>5.214823882632</v>
      </c>
    </row>
    <row r="1076" customFormat="false" ht="17.15" hidden="false" customHeight="false" outlineLevel="0" collapsed="false">
      <c r="A1076" s="0" t="s">
        <v>848</v>
      </c>
      <c r="B1076" s="0" t="s">
        <v>98</v>
      </c>
      <c r="F1076" s="6" t="n">
        <f aca="false">MAX(0,capex_floor27-Sens!F1074-Sens!F1075-Sens!F1170)</f>
        <v>8.43777689897088</v>
      </c>
    </row>
    <row r="1077" customFormat="false" ht="17.15" hidden="false" customHeight="false" outlineLevel="0" collapsed="false">
      <c r="A1077" s="0" t="s">
        <v>849</v>
      </c>
      <c r="B1077" s="0" t="s">
        <v>98</v>
      </c>
      <c r="C1077" s="6" t="n">
        <f aca="false">Sens!C1074</f>
        <v>22.5333845916667</v>
      </c>
      <c r="D1077" s="6" t="n">
        <f aca="false">Sens!D1074</f>
        <v>34.0300093833333</v>
      </c>
      <c r="E1077" s="6" t="n">
        <f aca="false">Sens!E1074</f>
        <v>67.600153775</v>
      </c>
      <c r="F1077" s="6" t="n">
        <f aca="false">Sens!F1074</f>
        <v>130.923271871467</v>
      </c>
      <c r="G1077" s="6" t="n">
        <f aca="false">Sens!G1074</f>
        <v>151.5545564832</v>
      </c>
      <c r="H1077" s="6" t="n">
        <f aca="false">Sens!H1074</f>
        <v>156.0606619104</v>
      </c>
      <c r="I1077" s="6" t="n">
        <f aca="false">Sens!I1074</f>
        <v>140.987889434245</v>
      </c>
      <c r="J1077" s="6" t="n">
        <f aca="false">Sens!J1074</f>
        <v>113.309125559842</v>
      </c>
      <c r="K1077" s="6" t="n">
        <f aca="false">Sens!K1074</f>
        <v>116.192591420959</v>
      </c>
    </row>
    <row r="1078" customFormat="false" ht="17.15" hidden="false" customHeight="false" outlineLevel="0" collapsed="false">
      <c r="A1078" s="0" t="s">
        <v>850</v>
      </c>
      <c r="B1078" s="0" t="s">
        <v>98</v>
      </c>
      <c r="C1078" s="6" t="n">
        <f aca="false">Sens!C1077+Sens!C1075</f>
        <v>28.7416845916667</v>
      </c>
      <c r="D1078" s="6" t="n">
        <f aca="false">Sens!D1077+Sens!D1075</f>
        <v>43.4058093833333</v>
      </c>
      <c r="E1078" s="6" t="n">
        <f aca="false">Sens!E1077+Sens!E1075</f>
        <v>86.225053775</v>
      </c>
      <c r="F1078" s="6" t="n">
        <f aca="false">Sens!F1077+Sens!F1075</f>
        <v>160.332875871467</v>
      </c>
      <c r="G1078" s="6" t="n">
        <f aca="false">Sens!G1077+Sens!G1075</f>
        <v>183.5741804832</v>
      </c>
      <c r="H1078" s="6" t="n">
        <f aca="false">Sens!H1077+Sens!H1075</f>
        <v>188.0802859104</v>
      </c>
      <c r="I1078" s="6" t="n">
        <f aca="false">Sens!I1077+Sens!I1075</f>
        <v>163.706669154245</v>
      </c>
      <c r="J1078" s="6" t="n">
        <f aca="false">Sens!J1077+Sens!J1075</f>
        <v>127.181436594242</v>
      </c>
      <c r="K1078" s="6" t="n">
        <f aca="false">Sens!K1077+Sens!K1075</f>
        <v>121.407415303591</v>
      </c>
      <c r="L1078" s="11" t="s">
        <v>851</v>
      </c>
    </row>
    <row r="1079" customFormat="false" ht="17.15" hidden="false" customHeight="false" outlineLevel="0" collapsed="false">
      <c r="A1079" s="0" t="s">
        <v>852</v>
      </c>
      <c r="B1079" s="0" t="s">
        <v>98</v>
      </c>
      <c r="E1079" s="6" t="n">
        <f aca="false">(Sens!C1077*IF(2&lt;life_it,1,IF(2=life_it,0.5,0))+Sens!D1077*IF(1&lt;life_it,1,IF(1=life_it,0.5,0))+Sens!E1077*0.5)/life_it</f>
        <v>15.0605784770833</v>
      </c>
      <c r="F1079" s="6" t="n">
        <f aca="false">(Sens!C1077*IF(3&lt;life_it,1,IF(3=life_it,0.5,0))+Sens!D1077*IF(2&lt;life_it,1,IF(2=life_it,0.5,0))+Sens!E1077*IF(1&lt;life_it,1,IF(1=life_it,0.5,0))+Sens!F1077*0.5)/life_it</f>
        <v>31.6041972809556</v>
      </c>
      <c r="G1079" s="6" t="n">
        <f aca="false">(Sens!C1077*IF(4&lt;life_it,1,IF(4=life_it,0.5,0))+Sens!D1077*IF(3&lt;life_it,1,IF(3=life_it,0.5,0))+Sens!E1077*IF(2&lt;life_it,1,IF(2=life_it,0.5,0))+Sens!F1077*IF(1&lt;life_it,1,IF(1=life_it,0.5,0))+Sens!G1077*0.5)/life_it</f>
        <v>55.1440163105111</v>
      </c>
      <c r="H1079" s="6" t="n">
        <f aca="false">(Sens!C1077*IF(5&lt;life_it,1,IF(5=life_it,0.5,0))+Sens!D1077*IF(4&lt;life_it,1,IF(4=life_it,0.5,0))+Sens!E1077*IF(3&lt;life_it,1,IF(3=life_it,0.5,0))+Sens!F1077*IF(2&lt;life_it,1,IF(2=life_it,0.5,0))+Sens!G1077*IF(1&lt;life_it,1,IF(1=life_it,0.5,0))+Sens!H1077*0.5)/life_it</f>
        <v>80.7786178433111</v>
      </c>
      <c r="I1079" s="6" t="n">
        <f aca="false">(Sens!C1077*IF(6&lt;life_it,1,IF(6=life_it,0.5,0))+Sens!D1077*IF(5&lt;life_it,1,IF(5=life_it,0.5,0))+Sens!E1077*IF(4&lt;life_it,1,IF(4=life_it,0.5,0))+Sens!F1077*IF(3&lt;life_it,1,IF(3=life_it,0.5,0))+Sens!G1077*IF(2&lt;life_it,1,IF(2=life_it,0.5,0))+Sens!H1077*IF(1&lt;life_it,1,IF(1=life_it,0.5,0))+Sens!I1077*0.5)/life_it</f>
        <v>103.654881739393</v>
      </c>
      <c r="J1079" s="6" t="n">
        <f aca="false">(Sens!C1077*IF(7&lt;life_it,1,IF(7=life_it,0.5,0))+Sens!D1077*IF(6&lt;life_it,1,IF(6=life_it,0.5,0))+Sens!E1077*IF(5&lt;life_it,1,IF(5=life_it,0.5,0))+Sens!F1077*IF(4&lt;life_it,1,IF(4=life_it,0.5,0))+Sens!G1077*IF(3&lt;life_it,1,IF(3=life_it,0.5,0))+Sens!H1077*IF(2&lt;life_it,1,IF(2=life_it,0.5,0))+Sens!I1077*IF(1&lt;life_it,1,IF(1=life_it,0.5,0))+Sens!J1077*0.5)/life_it</f>
        <v>120.132683490983</v>
      </c>
      <c r="K1079" s="6" t="n">
        <f aca="false">(Sens!C1077*IF(8&lt;life_it,1,IF(8=life_it,0.5,0))+Sens!D1077*IF(7&lt;life_it,1,IF(7=life_it,0.5,0))+Sens!E1077*IF(6&lt;life_it,1,IF(6=life_it,0.5,0))+Sens!F1077*IF(5&lt;life_it,1,IF(5=life_it,0.5,0))+Sens!G1077*IF(4&lt;life_it,1,IF(4=life_it,0.5,0))+Sens!H1077*IF(3&lt;life_it,1,IF(3=life_it,0.5,0))+Sens!I1077*IF(2&lt;life_it,1,IF(2=life_it,0.5,0))+Sens!J1077*IF(1&lt;life_it,1,IF(1=life_it,0.5,0))+Sens!K1077*0.5)/life_it</f>
        <v>130.788646309522</v>
      </c>
    </row>
    <row r="1080" customFormat="false" ht="17.15" hidden="false" customHeight="false" outlineLevel="0" collapsed="false">
      <c r="A1080" s="0" t="s">
        <v>853</v>
      </c>
      <c r="B1080" s="0" t="s">
        <v>98</v>
      </c>
      <c r="E1080" s="6" t="n">
        <f aca="false">(Sens!C1075*IF(2&lt;life_fac,1,IF(2=life_fac,0.5,0))+Sens!D1075*IF(1&lt;life_fac,1,IF(1=life_fac,0.5,0))+Sens!E1075*0.5)/life_fac</f>
        <v>1.2448275</v>
      </c>
      <c r="F1080" s="6" t="n">
        <f aca="false">(Sens!C1075*IF(3&lt;life_fac,1,IF(3=life_fac,0.5,0))+Sens!D1075*IF(2&lt;life_fac,1,IF(2=life_fac,0.5,0))+Sens!E1075*IF(1&lt;life_fac,1,IF(1=life_fac,0.5,0))+Sens!F1075*0.5)/life_fac</f>
        <v>2.4456901</v>
      </c>
      <c r="G1080" s="6" t="n">
        <f aca="false">(Sens!C1075*IF(4&lt;life_fac,1,IF(4=life_fac,0.5,0))+Sens!D1075*IF(3&lt;life_fac,1,IF(3=life_fac,0.5,0))+Sens!E1075*IF(2&lt;life_fac,1,IF(2=life_fac,0.5,0))+Sens!F1075*IF(1&lt;life_fac,1,IF(1=life_fac,0.5,0))+Sens!G1075*0.5)/life_fac</f>
        <v>3.9814208</v>
      </c>
      <c r="H1080" s="6" t="n">
        <f aca="false">(Sens!C1075*IF(5&lt;life_fac,1,IF(5=life_fac,0.5,0))+Sens!D1075*IF(4&lt;life_fac,1,IF(4=life_fac,0.5,0))+Sens!E1075*IF(3&lt;life_fac,1,IF(3=life_fac,0.5,0))+Sens!F1075*IF(2&lt;life_fac,1,IF(2=life_fac,0.5,0))+Sens!G1075*IF(1&lt;life_fac,1,IF(1=life_fac,0.5,0))+Sens!H1075*0.5)/life_fac</f>
        <v>5.582402</v>
      </c>
      <c r="I1080" s="6" t="n">
        <f aca="false">(Sens!C1075*IF(6&lt;life_fac,1,IF(6=life_fac,0.5,0))+Sens!D1075*IF(5&lt;life_fac,1,IF(5=life_fac,0.5,0))+Sens!E1075*IF(4&lt;life_fac,1,IF(4=life_fac,0.5,0))+Sens!F1075*IF(3&lt;life_fac,1,IF(3=life_fac,0.5,0))+Sens!G1075*IF(2&lt;life_fac,1,IF(2=life_fac,0.5,0))+Sens!H1075*IF(1&lt;life_fac,1,IF(1=life_fac,0.5,0))+Sens!I1075*0.5)/life_fac</f>
        <v>6.950862093</v>
      </c>
      <c r="J1080" s="6" t="n">
        <f aca="false">(Sens!C1075*IF(7&lt;life_fac,1,IF(7=life_fac,0.5,0))+Sens!D1075*IF(6&lt;life_fac,1,IF(6=life_fac,0.5,0))+Sens!E1075*IF(5&lt;life_fac,1,IF(5=life_fac,0.5,0))+Sens!F1075*IF(4&lt;life_fac,1,IF(4=life_fac,0.5,0))+Sens!G1075*IF(3&lt;life_fac,1,IF(3=life_fac,0.5,0))+Sens!H1075*IF(2&lt;life_fac,1,IF(2=life_fac,0.5,0))+Sens!I1075*IF(1&lt;life_fac,1,IF(1=life_fac,0.5,0))+Sens!J1075*0.5)/life_fac</f>
        <v>7.86563936186</v>
      </c>
      <c r="K1080" s="6" t="n">
        <f aca="false">(Sens!C1075*IF(8&lt;life_fac,1,IF(8=life_fac,0.5,0))+Sens!D1075*IF(7&lt;life_fac,1,IF(7=life_fac,0.5,0))+Sens!E1075*IF(6&lt;life_fac,1,IF(6=life_fac,0.5,0))+Sens!F1075*IF(5&lt;life_fac,1,IF(5=life_fac,0.5,0))+Sens!G1075*IF(4&lt;life_fac,1,IF(4=life_fac,0.5,0))+Sens!H1075*IF(3&lt;life_fac,1,IF(3=life_fac,0.5,0))+Sens!I1075*IF(2&lt;life_fac,1,IF(2=life_fac,0.5,0))+Sens!J1075*IF(1&lt;life_fac,1,IF(1=life_fac,0.5,0))+Sens!K1075*0.5)/life_fac</f>
        <v>8.3428177347858</v>
      </c>
    </row>
    <row r="1081" customFormat="false" ht="17.15" hidden="false" customHeight="false" outlineLevel="0" collapsed="false">
      <c r="A1081" s="0" t="s">
        <v>854</v>
      </c>
      <c r="B1081" s="0" t="s">
        <v>98</v>
      </c>
      <c r="E1081" s="6" t="n">
        <f aca="false">Sens!E1079+Sens!E1080</f>
        <v>16.3054059770833</v>
      </c>
      <c r="F1081" s="6" t="n">
        <f aca="false">Sens!F1079+Sens!F1080</f>
        <v>34.0498873809555</v>
      </c>
      <c r="G1081" s="6" t="n">
        <f aca="false">Sens!G1079+Sens!G1080</f>
        <v>59.1254371105111</v>
      </c>
      <c r="H1081" s="6" t="n">
        <f aca="false">Sens!H1079+Sens!H1080</f>
        <v>86.3610198433111</v>
      </c>
      <c r="I1081" s="6" t="n">
        <f aca="false">Sens!I1079+Sens!I1080</f>
        <v>110.605743832393</v>
      </c>
      <c r="J1081" s="6" t="n">
        <f aca="false">Sens!J1079+Sens!J1080</f>
        <v>127.998322852843</v>
      </c>
      <c r="K1081" s="6" t="n">
        <f aca="false">Sens!K1079+Sens!K1080</f>
        <v>139.131464044308</v>
      </c>
    </row>
    <row r="1082" customFormat="false" ht="17.15" hidden="false" customHeight="false" outlineLevel="0" collapsed="false">
      <c r="A1082" s="0" t="s">
        <v>855</v>
      </c>
      <c r="B1082" s="0" t="s">
        <v>98</v>
      </c>
      <c r="E1082" s="6" t="n">
        <f aca="false">Sens!E1070-Sens!E1069*Sens!E1081</f>
        <v>8.92707889977379</v>
      </c>
      <c r="F1082" s="6" t="n">
        <f aca="false">Sens!F1070-Sens!F1069*Sens!F1081</f>
        <v>7.0281264257226</v>
      </c>
      <c r="G1082" s="6" t="n">
        <f aca="false">Sens!G1070-Sens!G1069*Sens!G1081</f>
        <v>5.50299231510022</v>
      </c>
      <c r="H1082" s="6" t="n">
        <f aca="false">Sens!H1070-Sens!H1069*Sens!H1081</f>
        <v>-0.771290395565927</v>
      </c>
      <c r="I1082" s="6" t="n">
        <f aca="false">Sens!I1070-Sens!I1069*Sens!I1081</f>
        <v>-0.899071995603464</v>
      </c>
      <c r="J1082" s="6" t="n">
        <f aca="false">Sens!J1070-Sens!J1069*Sens!J1081</f>
        <v>-1.02482242304949</v>
      </c>
      <c r="K1082" s="6" t="n">
        <f aca="false">Sens!K1070-Sens!K1069*Sens!K1081</f>
        <v>-0.621290129275991</v>
      </c>
    </row>
    <row r="1083" customFormat="false" ht="17.15" hidden="false" customHeight="false" outlineLevel="0" collapsed="false">
      <c r="A1083" s="3" t="s">
        <v>1288</v>
      </c>
    </row>
    <row r="1084" customFormat="false" ht="15" hidden="false" customHeight="false" outlineLevel="0" collapsed="false">
      <c r="A1084" s="4" t="s">
        <v>43</v>
      </c>
      <c r="B1084" s="4" t="s">
        <v>65</v>
      </c>
      <c r="C1084" s="20" t="s">
        <v>799</v>
      </c>
      <c r="D1084" s="20" t="s">
        <v>800</v>
      </c>
      <c r="E1084" s="20" t="s">
        <v>801</v>
      </c>
      <c r="F1084" s="20" t="s">
        <v>802</v>
      </c>
      <c r="G1084" s="20" t="s">
        <v>803</v>
      </c>
      <c r="H1084" s="20" t="s">
        <v>804</v>
      </c>
      <c r="I1084" s="20" t="s">
        <v>805</v>
      </c>
      <c r="J1084" s="20" t="s">
        <v>806</v>
      </c>
      <c r="K1084" s="20" t="s">
        <v>807</v>
      </c>
      <c r="L1084" s="4" t="s">
        <v>47</v>
      </c>
    </row>
    <row r="1085" customFormat="false" ht="17.15" hidden="false" customHeight="false" outlineLevel="0" collapsed="false">
      <c r="A1085" s="0" t="s">
        <v>874</v>
      </c>
      <c r="B1085" s="0" t="s">
        <v>98</v>
      </c>
      <c r="D1085" s="6" t="n">
        <f aca="false">Sens!D1064</f>
        <v>12.9359794422418</v>
      </c>
      <c r="E1085" s="6" t="n">
        <f aca="false">Sens!E1064</f>
        <v>27.8095064661409</v>
      </c>
      <c r="F1085" s="6" t="n">
        <f aca="false">Sens!F1064</f>
        <v>43.0626246800606</v>
      </c>
      <c r="G1085" s="6" t="n">
        <f aca="false">Sens!G1064</f>
        <v>63.8760413426546</v>
      </c>
      <c r="H1085" s="6" t="n">
        <f aca="false">Sens!H1064</f>
        <v>80.6613072634357</v>
      </c>
      <c r="I1085" s="6" t="n">
        <f aca="false">Sens!I1064</f>
        <v>100.900243551529</v>
      </c>
      <c r="J1085" s="6" t="n">
        <f aca="false">Sens!J1064</f>
        <v>115.180472904367</v>
      </c>
      <c r="K1085" s="6" t="n">
        <f aca="false">Sens!K1064</f>
        <v>124.53270792754</v>
      </c>
    </row>
    <row r="1086" customFormat="false" ht="17.15" hidden="false" customHeight="false" outlineLevel="0" collapsed="false">
      <c r="A1086" s="0" t="s">
        <v>875</v>
      </c>
      <c r="B1086" s="0" t="s">
        <v>98</v>
      </c>
      <c r="D1086" s="6" t="n">
        <f aca="false">Q!L6-Sens!D1085</f>
        <v>59.6740205577583</v>
      </c>
      <c r="E1086" s="6" t="n">
        <f aca="false">Q!M6-Sens!E1085</f>
        <v>74.1284935338591</v>
      </c>
      <c r="F1086" s="6" t="n">
        <f aca="false">Sens!E1086*(1+Sens!F1087)</f>
        <v>90.0799497373663</v>
      </c>
      <c r="G1086" s="6" t="n">
        <f aca="false">Sens!F1086*(1+Sens!G1087)</f>
        <v>107.02842520331</v>
      </c>
      <c r="H1086" s="6" t="n">
        <f aca="false">Sens!G1086*(1+Sens!H1087)</f>
        <v>124.271982585636</v>
      </c>
      <c r="I1086" s="6" t="n">
        <f aca="false">Sens!H1086*(1+Sens!I1087)</f>
        <v>140.933702381855</v>
      </c>
      <c r="J1086" s="6" t="n">
        <f aca="false">Sens!I1086*(1+Sens!J1087)</f>
        <v>156.018867314332</v>
      </c>
      <c r="K1086" s="6" t="n">
        <f aca="false">Sens!J1086*(1+Sens!K1087)</f>
        <v>168.500376699478</v>
      </c>
    </row>
    <row r="1087" customFormat="false" ht="15" hidden="false" customHeight="false" outlineLevel="0" collapsed="false">
      <c r="A1087" s="1" t="s">
        <v>876</v>
      </c>
      <c r="B1087" s="0" t="s">
        <v>129</v>
      </c>
      <c r="E1087" s="7" t="n">
        <f aca="false">Sens!E1086/Sens!D1086-1</f>
        <v>0.242223883039864</v>
      </c>
      <c r="F1087" s="7" t="n">
        <f aca="false">Sens!$E$1087+(glt_azo-Sens!$E$1087)*MIN(1,(Sens!F1047-base_fy)/n_conv)</f>
        <v>0.215186569199887</v>
      </c>
      <c r="G1087" s="7" t="n">
        <f aca="false">Sens!$E$1087+(glt_azo-Sens!$E$1087)*MIN(1,(Sens!G1047-base_fy)/n_conv)</f>
        <v>0.18814925535991</v>
      </c>
      <c r="H1087" s="7" t="n">
        <f aca="false">Sens!$E$1087+(glt_azo-Sens!$E$1087)*MIN(1,(Sens!H1047-base_fy)/n_conv)</f>
        <v>0.161111941519932</v>
      </c>
      <c r="I1087" s="7" t="n">
        <f aca="false">Sens!$E$1087+(glt_azo-Sens!$E$1087)*MIN(1,(Sens!I1047-base_fy)/n_conv)</f>
        <v>0.134074627679955</v>
      </c>
      <c r="J1087" s="7" t="n">
        <f aca="false">Sens!$E$1087+(glt_azo-Sens!$E$1087)*MIN(1,(Sens!J1047-base_fy)/n_conv)</f>
        <v>0.107037313839977</v>
      </c>
      <c r="K1087" s="7" t="n">
        <f aca="false">Sens!$E$1087+(glt_azo-Sens!$E$1087)*MIN(1,(Sens!K1047-base_fy)/n_conv)</f>
        <v>0.08</v>
      </c>
    </row>
    <row r="1088" customFormat="false" ht="15" hidden="false" customHeight="false" outlineLevel="0" collapsed="false">
      <c r="A1088" s="0" t="s">
        <v>877</v>
      </c>
      <c r="B1088" s="0" t="s">
        <v>98</v>
      </c>
      <c r="D1088" s="6" t="n">
        <f aca="false">Sens!D1085+Sens!D1086</f>
        <v>72.61</v>
      </c>
      <c r="E1088" s="6" t="n">
        <f aca="false">Sens!E1085+Sens!E1086</f>
        <v>101.938</v>
      </c>
      <c r="F1088" s="6" t="n">
        <f aca="false">Sens!F1085+Sens!F1086</f>
        <v>133.142574417427</v>
      </c>
      <c r="G1088" s="6" t="n">
        <f aca="false">Sens!G1085+Sens!G1086</f>
        <v>170.904466545964</v>
      </c>
      <c r="H1088" s="6" t="n">
        <f aca="false">Sens!H1085+Sens!H1086</f>
        <v>204.933289849072</v>
      </c>
      <c r="I1088" s="6" t="n">
        <f aca="false">Sens!I1085+Sens!I1086</f>
        <v>241.833945933384</v>
      </c>
      <c r="J1088" s="6" t="n">
        <f aca="false">Sens!J1085+Sens!J1086</f>
        <v>271.199340218699</v>
      </c>
      <c r="K1088" s="6" t="n">
        <f aca="false">Sens!K1085+Sens!K1086</f>
        <v>293.033084627019</v>
      </c>
    </row>
    <row r="1089" customFormat="false" ht="17.15" hidden="false" customHeight="false" outlineLevel="0" collapsed="false">
      <c r="A1089" s="0" t="s">
        <v>878</v>
      </c>
      <c r="B1089" s="1" t="s">
        <v>528</v>
      </c>
      <c r="C1089" s="29" t="n">
        <f aca="false">cop_s24</f>
        <v>1</v>
      </c>
      <c r="D1089" s="29" t="n">
        <f aca="false">cop_s25</f>
        <v>5</v>
      </c>
      <c r="E1089" s="29" t="n">
        <f aca="false">cop_s26</f>
        <v>30</v>
      </c>
      <c r="F1089" s="29" t="n">
        <f aca="false">Sens!E1089+cop_add_C</f>
        <v>40</v>
      </c>
      <c r="G1089" s="29" t="n">
        <f aca="false">Sens!F1089+cop_add_C</f>
        <v>50</v>
      </c>
      <c r="H1089" s="29" t="n">
        <f aca="false">Sens!G1089+cop_add_C</f>
        <v>60</v>
      </c>
      <c r="I1089" s="29" t="n">
        <f aca="false">Sens!H1089+cop_add_C*cop_tail</f>
        <v>65</v>
      </c>
      <c r="J1089" s="29" t="n">
        <f aca="false">Sens!I1089+cop_add_C*cop_tail</f>
        <v>70</v>
      </c>
      <c r="K1089" s="29" t="n">
        <f aca="false">Sens!J1089+cop_add_C*cop_tail</f>
        <v>75</v>
      </c>
      <c r="L1089" s="11" t="s">
        <v>879</v>
      </c>
    </row>
    <row r="1090" customFormat="false" ht="17.15" hidden="false" customHeight="false" outlineLevel="0" collapsed="false">
      <c r="A1090" s="0" t="s">
        <v>880</v>
      </c>
      <c r="B1090" s="0" t="s">
        <v>98</v>
      </c>
      <c r="D1090" s="6" t="n">
        <f aca="false">(Sens!C1089+Sens!D1089)/2*cop_px*12/1000</f>
        <v>0.9</v>
      </c>
      <c r="E1090" s="6" t="n">
        <f aca="false">(Sens!D1089+Sens!E1089)/2*cop_px*12/1000</f>
        <v>5.25</v>
      </c>
      <c r="F1090" s="6" t="n">
        <f aca="false">(Sens!E1089+Sens!F1089)/2*cop_px*12/1000</f>
        <v>10.5</v>
      </c>
      <c r="G1090" s="6" t="n">
        <f aca="false">(Sens!F1089+Sens!G1089)/2*cop_px*12/1000</f>
        <v>13.5</v>
      </c>
      <c r="H1090" s="6" t="n">
        <f aca="false">(Sens!G1089+Sens!H1089)/2*cop_px*12/1000</f>
        <v>16.5</v>
      </c>
      <c r="I1090" s="6" t="n">
        <f aca="false">(Sens!H1089+Sens!I1089)/2*cop_px*12/1000</f>
        <v>18.75</v>
      </c>
      <c r="J1090" s="6" t="n">
        <f aca="false">(Sens!I1089+Sens!J1089)/2*cop_px*12/1000</f>
        <v>20.25</v>
      </c>
      <c r="K1090" s="6" t="n">
        <f aca="false">(Sens!J1089+Sens!K1089)/2*cop_px*12/1000</f>
        <v>21.75</v>
      </c>
      <c r="L1090" s="1" t="s">
        <v>881</v>
      </c>
    </row>
    <row r="1091" customFormat="false" ht="17.15" hidden="false" customHeight="false" outlineLevel="0" collapsed="false">
      <c r="A1091" s="0" t="s">
        <v>882</v>
      </c>
      <c r="B1091" s="0" t="s">
        <v>98</v>
      </c>
      <c r="D1091" s="6" t="n">
        <f aca="false">Q!L7-Sens!D1090</f>
        <v>83.705</v>
      </c>
      <c r="E1091" s="6" t="n">
        <f aca="false">Q!M7-Sens!E1090</f>
        <v>95.049</v>
      </c>
      <c r="F1091" s="6" t="n">
        <f aca="false">Sens!E1091*(1+Sens!F1092)</f>
        <v>106.89238776686</v>
      </c>
      <c r="G1091" s="6" t="n">
        <f aca="false">Sens!F1091*(1+Sens!G1092)</f>
        <v>119.044168448684</v>
      </c>
      <c r="H1091" s="6" t="n">
        <f aca="false">Sens!G1091*(1+Sens!H1092)</f>
        <v>131.277359388781</v>
      </c>
      <c r="I1091" s="6" t="n">
        <f aca="false">Sens!H1091*(1+Sens!I1092)</f>
        <v>143.334028071957</v>
      </c>
      <c r="J1091" s="6" t="n">
        <f aca="false">Sens!I1091*(1+Sens!J1092)</f>
        <v>154.932702785465</v>
      </c>
      <c r="K1091" s="6" t="n">
        <f aca="false">Sens!J1091*(1+Sens!K1092)</f>
        <v>165.777991980448</v>
      </c>
    </row>
    <row r="1092" customFormat="false" ht="15" hidden="false" customHeight="false" outlineLevel="0" collapsed="false">
      <c r="A1092" s="1" t="s">
        <v>876</v>
      </c>
      <c r="B1092" s="0" t="s">
        <v>129</v>
      </c>
      <c r="E1092" s="7" t="n">
        <f aca="false">Sens!E1091/Sens!D1091-1</f>
        <v>0.135523564900544</v>
      </c>
      <c r="F1092" s="7" t="n">
        <f aca="false">Sens!$E$1092+(glt_m365b-Sens!$E$1092)*MIN(1,(Sens!F1047-base_fy)/n_conv)</f>
        <v>0.124602970750453</v>
      </c>
      <c r="G1092" s="7" t="n">
        <f aca="false">Sens!$E$1092+(glt_m365b-Sens!$E$1092)*MIN(1,(Sens!G1047-base_fy)/n_conv)</f>
        <v>0.113682376600363</v>
      </c>
      <c r="H1092" s="7" t="n">
        <f aca="false">Sens!$E$1092+(glt_m365b-Sens!$E$1092)*MIN(1,(Sens!H1047-base_fy)/n_conv)</f>
        <v>0.102761782450272</v>
      </c>
      <c r="I1092" s="7" t="n">
        <f aca="false">Sens!$E$1092+(glt_m365b-Sens!$E$1092)*MIN(1,(Sens!I1047-base_fy)/n_conv)</f>
        <v>0.0918411883001813</v>
      </c>
      <c r="J1092" s="7" t="n">
        <f aca="false">Sens!$E$1092+(glt_m365b-Sens!$E$1092)*MIN(1,(Sens!J1047-base_fy)/n_conv)</f>
        <v>0.0809205941500906</v>
      </c>
      <c r="K1092" s="7" t="n">
        <f aca="false">Sens!$E$1092+(glt_m365b-Sens!$E$1092)*MIN(1,(Sens!K1047-base_fy)/n_conv)</f>
        <v>0.07</v>
      </c>
    </row>
    <row r="1093" customFormat="false" ht="15" hidden="false" customHeight="false" outlineLevel="0" collapsed="false">
      <c r="A1093" s="0" t="s">
        <v>883</v>
      </c>
      <c r="B1093" s="0" t="s">
        <v>98</v>
      </c>
      <c r="D1093" s="6" t="n">
        <f aca="false">Sens!D1091+Sens!D1090</f>
        <v>84.605</v>
      </c>
      <c r="E1093" s="6" t="n">
        <f aca="false">Sens!E1091+Sens!E1090</f>
        <v>100.299</v>
      </c>
      <c r="F1093" s="6" t="n">
        <f aca="false">Sens!F1091+Sens!F1090</f>
        <v>117.39238776686</v>
      </c>
      <c r="G1093" s="6" t="n">
        <f aca="false">Sens!G1091+Sens!G1090</f>
        <v>132.544168448684</v>
      </c>
      <c r="H1093" s="6" t="n">
        <f aca="false">Sens!H1091+Sens!H1090</f>
        <v>147.777359388781</v>
      </c>
      <c r="I1093" s="6" t="n">
        <f aca="false">Sens!I1091+Sens!I1090</f>
        <v>162.084028071957</v>
      </c>
      <c r="J1093" s="6" t="n">
        <f aca="false">Sens!J1091+Sens!J1090</f>
        <v>175.182702785465</v>
      </c>
      <c r="K1093" s="6" t="n">
        <f aca="false">Sens!K1091+Sens!K1090</f>
        <v>187.527991980448</v>
      </c>
    </row>
    <row r="1094" customFormat="false" ht="15" hidden="false" customHeight="false" outlineLevel="0" collapsed="false">
      <c r="A1094" s="0" t="s">
        <v>884</v>
      </c>
      <c r="B1094" s="0" t="s">
        <v>98</v>
      </c>
      <c r="D1094" s="6" t="n">
        <f aca="false">Q!L8</f>
        <v>35.391</v>
      </c>
      <c r="E1094" s="6" t="n">
        <f aca="false">Q!M8</f>
        <v>37.285</v>
      </c>
      <c r="F1094" s="6" t="n">
        <f aca="false">Sens!E1094*(1+Sens!F1095)</f>
        <v>39.0720834331704</v>
      </c>
      <c r="G1094" s="6" t="n">
        <f aca="false">Sens!F1094*(1+Sens!G1095)</f>
        <v>40.726562953769</v>
      </c>
      <c r="H1094" s="6" t="n">
        <f aca="false">Sens!G1094*(1+Sens!H1095)</f>
        <v>42.2235987259198</v>
      </c>
      <c r="I1094" s="6" t="n">
        <f aca="false">Sens!H1094*(1+Sens!I1095)</f>
        <v>43.5397988077414</v>
      </c>
      <c r="J1094" s="6" t="n">
        <f aca="false">Sens!I1094*(1+Sens!J1095)</f>
        <v>44.653811225693</v>
      </c>
      <c r="K1094" s="6" t="n">
        <f aca="false">Sens!J1094*(1+Sens!K1095)</f>
        <v>45.5468874502068</v>
      </c>
    </row>
    <row r="1095" customFormat="false" ht="15" hidden="false" customHeight="false" outlineLevel="0" collapsed="false">
      <c r="A1095" s="1" t="s">
        <v>876</v>
      </c>
      <c r="B1095" s="0" t="s">
        <v>129</v>
      </c>
      <c r="E1095" s="7" t="n">
        <f aca="false">Sens!E1094/Sens!D1094-1</f>
        <v>0.0535164307309768</v>
      </c>
      <c r="F1095" s="7" t="n">
        <f aca="false">Sens!$E$1095+(glt_lic-Sens!$E$1095)*MIN(1,(Sens!F1047-base_fy)/n_conv)</f>
        <v>0.0479303589424807</v>
      </c>
      <c r="G1095" s="7" t="n">
        <f aca="false">Sens!$E$1095+(glt_lic-Sens!$E$1095)*MIN(1,(Sens!G1047-base_fy)/n_conv)</f>
        <v>0.0423442871539845</v>
      </c>
      <c r="H1095" s="7" t="n">
        <f aca="false">Sens!$E$1095+(glt_lic-Sens!$E$1095)*MIN(1,(Sens!H1047-base_fy)/n_conv)</f>
        <v>0.0367582153654884</v>
      </c>
      <c r="I1095" s="7" t="n">
        <f aca="false">Sens!$E$1095+(glt_lic-Sens!$E$1095)*MIN(1,(Sens!I1047-base_fy)/n_conv)</f>
        <v>0.0311721435769923</v>
      </c>
      <c r="J1095" s="7" t="n">
        <f aca="false">Sens!$E$1095+(glt_lic-Sens!$E$1095)*MIN(1,(Sens!J1047-base_fy)/n_conv)</f>
        <v>0.0255860717884961</v>
      </c>
      <c r="K1095" s="7" t="n">
        <f aca="false">Sens!$E$1095+(glt_lic-Sens!$E$1095)*MIN(1,(Sens!K1047-base_fy)/n_conv)</f>
        <v>0.02</v>
      </c>
    </row>
    <row r="1096" customFormat="false" ht="15" hidden="false" customHeight="false" outlineLevel="0" collapsed="false">
      <c r="A1096" s="0" t="s">
        <v>885</v>
      </c>
      <c r="B1096" s="0" t="s">
        <v>98</v>
      </c>
      <c r="D1096" s="6" t="n">
        <f aca="false">Q!L9</f>
        <v>18.417</v>
      </c>
      <c r="E1096" s="6" t="n">
        <f aca="false">Q!M9</f>
        <v>20.345</v>
      </c>
      <c r="F1096" s="6" t="n">
        <f aca="false">Sens!E1096*(1+Sens!F1097)</f>
        <v>22.3572203267814</v>
      </c>
      <c r="G1096" s="6" t="n">
        <f aca="false">Sens!F1096*(1+Sens!G1097)</f>
        <v>24.4392124437232</v>
      </c>
      <c r="H1096" s="6" t="n">
        <f aca="false">Sens!G1096*(1+Sens!H1097)</f>
        <v>26.5738052080665</v>
      </c>
      <c r="I1096" s="6" t="n">
        <f aca="false">Sens!H1096*(1+Sens!I1097)</f>
        <v>28.7412169166967</v>
      </c>
      <c r="J1096" s="6" t="n">
        <f aca="false">Sens!I1096*(1+Sens!J1097)</f>
        <v>30.9192545395413</v>
      </c>
      <c r="K1096" s="6" t="n">
        <f aca="false">Sens!J1096*(1+Sens!K1097)</f>
        <v>33.0836023573092</v>
      </c>
    </row>
    <row r="1097" customFormat="false" ht="15" hidden="false" customHeight="false" outlineLevel="0" collapsed="false">
      <c r="A1097" s="1" t="s">
        <v>876</v>
      </c>
      <c r="B1097" s="0" t="s">
        <v>129</v>
      </c>
      <c r="E1097" s="7" t="n">
        <f aca="false">Sens!E1096/Sens!D1096-1</f>
        <v>0.104685888038225</v>
      </c>
      <c r="F1097" s="7" t="n">
        <f aca="false">Sens!$E$1097+(glt_ind-Sens!$E$1097)*MIN(1,(Sens!F1047-base_fy)/n_conv)</f>
        <v>0.0989049066985211</v>
      </c>
      <c r="G1097" s="7" t="n">
        <f aca="false">Sens!$E$1097+(glt_ind-Sens!$E$1097)*MIN(1,(Sens!G1047-base_fy)/n_conv)</f>
        <v>0.0931239253588169</v>
      </c>
      <c r="H1097" s="7" t="n">
        <f aca="false">Sens!$E$1097+(glt_ind-Sens!$E$1097)*MIN(1,(Sens!H1047-base_fy)/n_conv)</f>
        <v>0.0873429440191127</v>
      </c>
      <c r="I1097" s="7" t="n">
        <f aca="false">Sens!$E$1097+(glt_ind-Sens!$E$1097)*MIN(1,(Sens!I1047-base_fy)/n_conv)</f>
        <v>0.0815619626794085</v>
      </c>
      <c r="J1097" s="7" t="n">
        <f aca="false">Sens!$E$1097+(glt_ind-Sens!$E$1097)*MIN(1,(Sens!J1047-base_fy)/n_conv)</f>
        <v>0.0757809813397042</v>
      </c>
      <c r="K1097" s="7" t="n">
        <f aca="false">Sens!$E$1097+(glt_ind-Sens!$E$1097)*MIN(1,(Sens!K1047-base_fy)/n_conv)</f>
        <v>0.07</v>
      </c>
    </row>
    <row r="1098" customFormat="false" ht="15" hidden="false" customHeight="false" outlineLevel="0" collapsed="false">
      <c r="A1098" s="0" t="s">
        <v>886</v>
      </c>
      <c r="B1098" s="0" t="s">
        <v>98</v>
      </c>
      <c r="D1098" s="6" t="n">
        <f aca="false">Q!L10</f>
        <v>7.76</v>
      </c>
      <c r="E1098" s="6" t="n">
        <f aca="false">Q!M10</f>
        <v>8.26</v>
      </c>
      <c r="F1098" s="6" t="n">
        <f aca="false">Sens!E1098*(1+Sens!F1099)</f>
        <v>8.79988041237113</v>
      </c>
      <c r="G1098" s="6" t="n">
        <f aca="false">Sens!F1098*(1+Sens!G1099)</f>
        <v>9.38321269125306</v>
      </c>
      <c r="H1098" s="6" t="n">
        <f aca="false">Sens!G1098*(1+Sens!H1099)</f>
        <v>10.0139193587476</v>
      </c>
      <c r="I1098" s="6" t="n">
        <f aca="false">Sens!H1098*(1+Sens!I1099)</f>
        <v>10.6963111830911</v>
      </c>
      <c r="J1098" s="6" t="n">
        <f aca="false">Sens!I1098*(1+Sens!J1099)</f>
        <v>11.4351285534696</v>
      </c>
      <c r="K1098" s="6" t="n">
        <f aca="false">Sens!J1098*(1+Sens!K1099)</f>
        <v>12.2355875522124</v>
      </c>
    </row>
    <row r="1099" customFormat="false" ht="15" hidden="false" customHeight="false" outlineLevel="0" collapsed="false">
      <c r="A1099" s="1" t="s">
        <v>876</v>
      </c>
      <c r="B1099" s="0" t="s">
        <v>129</v>
      </c>
      <c r="E1099" s="7" t="n">
        <f aca="false">Sens!E1098/Sens!D1098-1</f>
        <v>0.0644329896907216</v>
      </c>
      <c r="F1099" s="7" t="n">
        <f aca="false">Sens!$E$1099+(glt_fro-Sens!$E$1099)*MIN(1,(Sens!F1047-base_fy)/n_conv)</f>
        <v>0.065360824742268</v>
      </c>
      <c r="G1099" s="7" t="n">
        <f aca="false">Sens!$E$1099+(glt_fro-Sens!$E$1099)*MIN(1,(Sens!G1047-base_fy)/n_conv)</f>
        <v>0.0662886597938144</v>
      </c>
      <c r="H1099" s="7" t="n">
        <f aca="false">Sens!$E$1099+(glt_fro-Sens!$E$1099)*MIN(1,(Sens!H1047-base_fy)/n_conv)</f>
        <v>0.0672164948453608</v>
      </c>
      <c r="I1099" s="7" t="n">
        <f aca="false">Sens!$E$1099+(glt_fro-Sens!$E$1099)*MIN(1,(Sens!I1047-base_fy)/n_conv)</f>
        <v>0.0681443298969072</v>
      </c>
      <c r="J1099" s="7" t="n">
        <f aca="false">Sens!$E$1099+(glt_fro-Sens!$E$1099)*MIN(1,(Sens!J1047-base_fy)/n_conv)</f>
        <v>0.0690721649484536</v>
      </c>
      <c r="K1099" s="7" t="n">
        <f aca="false">Sens!$E$1099+(glt_fro-Sens!$E$1099)*MIN(1,(Sens!K1047-base_fy)/n_conv)</f>
        <v>0.07</v>
      </c>
    </row>
    <row r="1100" customFormat="false" ht="15" hidden="false" customHeight="false" outlineLevel="0" collapsed="false">
      <c r="A1100" s="0" t="s">
        <v>715</v>
      </c>
      <c r="B1100" s="0" t="s">
        <v>98</v>
      </c>
      <c r="D1100" s="6" t="n">
        <f aca="false">Sens!D1088+Sens!D1093+Sens!D1094+Sens!D1096+Sens!D1098</f>
        <v>218.783</v>
      </c>
      <c r="E1100" s="6" t="n">
        <f aca="false">Sens!E1088+Sens!E1093+Sens!E1094+Sens!E1096+Sens!E1098</f>
        <v>268.127</v>
      </c>
      <c r="F1100" s="6" t="n">
        <f aca="false">Sens!F1088+Sens!F1093+Sens!F1094+Sens!F1096+Sens!F1098</f>
        <v>320.76414635661</v>
      </c>
      <c r="G1100" s="6" t="n">
        <f aca="false">Sens!G1088+Sens!G1093+Sens!G1094+Sens!G1096+Sens!G1098</f>
        <v>377.997623083394</v>
      </c>
      <c r="H1100" s="6" t="n">
        <f aca="false">Sens!H1088+Sens!H1093+Sens!H1094+Sens!H1096+Sens!H1098</f>
        <v>431.521972530587</v>
      </c>
      <c r="I1100" s="6" t="n">
        <f aca="false">Sens!I1088+Sens!I1093+Sens!I1094+Sens!I1096+Sens!I1098</f>
        <v>486.89530091287</v>
      </c>
      <c r="J1100" s="6" t="n">
        <f aca="false">Sens!J1088+Sens!J1093+Sens!J1094+Sens!J1096+Sens!J1098</f>
        <v>533.390237322868</v>
      </c>
      <c r="K1100" s="6" t="n">
        <f aca="false">Sens!K1088+Sens!K1093+Sens!K1094+Sens!K1096+Sens!K1098</f>
        <v>571.427153967195</v>
      </c>
    </row>
    <row r="1101" customFormat="false" ht="15" hidden="false" customHeight="false" outlineLevel="0" collapsed="false">
      <c r="A1101" s="0" t="s">
        <v>887</v>
      </c>
      <c r="B1101" s="0" t="s">
        <v>98</v>
      </c>
      <c r="D1101" s="6" t="n">
        <f aca="false">Q!L13</f>
        <v>22.171</v>
      </c>
      <c r="E1101" s="6" t="n">
        <f aca="false">Q!M13</f>
        <v>24.835</v>
      </c>
      <c r="F1101" s="6" t="n">
        <f aca="false">Sens!E1101*(1+Sens!F1102)</f>
        <v>27.6114901218559</v>
      </c>
      <c r="G1101" s="6" t="n">
        <f aca="false">Sens!F1101*(1+Sens!G1102)</f>
        <v>30.4675667338515</v>
      </c>
      <c r="H1101" s="6" t="n">
        <f aca="false">Sens!G1101*(1+Sens!H1102)</f>
        <v>33.3643766955789</v>
      </c>
      <c r="I1101" s="6" t="n">
        <f aca="false">Sens!H1101*(1+Sens!I1102)</f>
        <v>36.2577016533691</v>
      </c>
      <c r="J1101" s="6" t="n">
        <f aca="false">Sens!I1101*(1+Sens!J1102)</f>
        <v>39.0988367952171</v>
      </c>
      <c r="K1101" s="6" t="n">
        <f aca="false">Sens!J1101*(1+Sens!K1102)</f>
        <v>41.8357553708823</v>
      </c>
    </row>
    <row r="1102" customFormat="false" ht="15" hidden="false" customHeight="false" outlineLevel="0" collapsed="false">
      <c r="A1102" s="1" t="s">
        <v>876</v>
      </c>
      <c r="B1102" s="0" t="s">
        <v>129</v>
      </c>
      <c r="E1102" s="7" t="n">
        <f aca="false">Sens!E1101/Sens!D1101-1</f>
        <v>0.120156961796942</v>
      </c>
      <c r="F1102" s="7" t="n">
        <f aca="false">Sens!$E$1102+(glt_srch-Sens!$E$1102)*MIN(1,(Sens!F1047-base_fy)/n_conv)</f>
        <v>0.111797468164118</v>
      </c>
      <c r="G1102" s="7" t="n">
        <f aca="false">Sens!$E$1102+(glt_srch-Sens!$E$1102)*MIN(1,(Sens!G1047-base_fy)/n_conv)</f>
        <v>0.103437974531295</v>
      </c>
      <c r="H1102" s="7" t="n">
        <f aca="false">Sens!$E$1102+(glt_srch-Sens!$E$1102)*MIN(1,(Sens!H1047-base_fy)/n_conv)</f>
        <v>0.095078480898471</v>
      </c>
      <c r="I1102" s="7" t="n">
        <f aca="false">Sens!$E$1102+(glt_srch-Sens!$E$1102)*MIN(1,(Sens!I1047-base_fy)/n_conv)</f>
        <v>0.0867189872656474</v>
      </c>
      <c r="J1102" s="7" t="n">
        <f aca="false">Sens!$E$1102+(glt_srch-Sens!$E$1102)*MIN(1,(Sens!J1047-base_fy)/n_conv)</f>
        <v>0.0783594936328237</v>
      </c>
      <c r="K1102" s="7" t="n">
        <f aca="false">Sens!$E$1102+(glt_srch-Sens!$E$1102)*MIN(1,(Sens!K1047-base_fy)/n_conv)</f>
        <v>0.07</v>
      </c>
    </row>
    <row r="1103" customFormat="false" ht="15" hidden="false" customHeight="false" outlineLevel="0" collapsed="false">
      <c r="A1103" s="0" t="s">
        <v>888</v>
      </c>
      <c r="B1103" s="0" t="s">
        <v>98</v>
      </c>
      <c r="D1103" s="6" t="n">
        <f aca="false">Q!L14</f>
        <v>23.455</v>
      </c>
      <c r="E1103" s="6" t="n">
        <f aca="false">Q!M14</f>
        <v>21.79</v>
      </c>
      <c r="F1103" s="6" t="n">
        <f aca="false">Sens!E1103*(1+Sens!F1104)</f>
        <v>20.5736277908051</v>
      </c>
      <c r="G1103" s="6" t="n">
        <f aca="false">Sens!F1103*(1+Sens!G1104)</f>
        <v>19.7371452817919</v>
      </c>
      <c r="H1103" s="6" t="n">
        <f aca="false">Sens!G1103*(1+Sens!H1104)</f>
        <v>19.2339764043138</v>
      </c>
      <c r="I1103" s="6" t="n">
        <f aca="false">Sens!H1103*(1+Sens!I1104)</f>
        <v>19.0353086852681</v>
      </c>
      <c r="J1103" s="6" t="n">
        <f aca="false">Sens!I1103*(1+Sens!J1104)</f>
        <v>19.1273539319129</v>
      </c>
      <c r="K1103" s="6" t="n">
        <f aca="false">Sens!J1103*(1+Sens!K1104)</f>
        <v>19.5099010105511</v>
      </c>
    </row>
    <row r="1104" customFormat="false" ht="15" hidden="false" customHeight="false" outlineLevel="0" collapsed="false">
      <c r="A1104" s="1" t="s">
        <v>876</v>
      </c>
      <c r="B1104" s="0" t="s">
        <v>129</v>
      </c>
      <c r="E1104" s="7" t="n">
        <f aca="false">Sens!E1103/Sens!D1103-1</f>
        <v>-0.0709869963760392</v>
      </c>
      <c r="F1104" s="7" t="n">
        <f aca="false">Sens!$E$1104+(glt_xbox-Sens!$E$1104)*MIN(1,(Sens!F1047-base_fy)/n_conv)</f>
        <v>-0.0558224969800327</v>
      </c>
      <c r="G1104" s="7" t="n">
        <f aca="false">Sens!$E$1104+(glt_xbox-Sens!$E$1104)*MIN(1,(Sens!G1047-base_fy)/n_conv)</f>
        <v>-0.0406579975840262</v>
      </c>
      <c r="H1104" s="7" t="n">
        <f aca="false">Sens!$E$1104+(glt_xbox-Sens!$E$1104)*MIN(1,(Sens!H1047-base_fy)/n_conv)</f>
        <v>-0.0254934981880196</v>
      </c>
      <c r="I1104" s="7" t="n">
        <f aca="false">Sens!$E$1104+(glt_xbox-Sens!$E$1104)*MIN(1,(Sens!I1047-base_fy)/n_conv)</f>
        <v>-0.0103289987920131</v>
      </c>
      <c r="J1104" s="7" t="n">
        <f aca="false">Sens!$E$1104+(glt_xbox-Sens!$E$1104)*MIN(1,(Sens!J1047-base_fy)/n_conv)</f>
        <v>0.00483550060399347</v>
      </c>
      <c r="K1104" s="7" t="n">
        <f aca="false">Sens!$E$1104+(glt_xbox-Sens!$E$1104)*MIN(1,(Sens!K1047-base_fy)/n_conv)</f>
        <v>0.02</v>
      </c>
    </row>
    <row r="1105" customFormat="false" ht="15" hidden="false" customHeight="false" outlineLevel="0" collapsed="false">
      <c r="A1105" s="0" t="s">
        <v>889</v>
      </c>
      <c r="B1105" s="0" t="s">
        <v>98</v>
      </c>
      <c r="D1105" s="6" t="n">
        <f aca="false">Q!L15</f>
        <v>17.315</v>
      </c>
      <c r="E1105" s="6" t="n">
        <f aca="false">Q!M15</f>
        <v>17.087</v>
      </c>
      <c r="F1105" s="6" t="n">
        <f aca="false">Sens!E1105*(1+Sens!F1106)</f>
        <v>16.9564585436519</v>
      </c>
      <c r="G1105" s="6" t="n">
        <f aca="false">Sens!F1105*(1+Sens!G1106)</f>
        <v>16.9206490624268</v>
      </c>
      <c r="H1105" s="6" t="n">
        <f aca="false">Sens!G1105*(1+Sens!H1106)</f>
        <v>16.9784519149849</v>
      </c>
      <c r="I1105" s="6" t="n">
        <f aca="false">Sens!H1105*(1+Sens!I1106)</f>
        <v>17.1303084701817</v>
      </c>
      <c r="J1105" s="6" t="n">
        <f aca="false">Sens!I1105*(1+Sens!J1106)</f>
        <v>17.3782189407267</v>
      </c>
      <c r="K1105" s="6" t="n">
        <f aca="false">Sens!J1105*(1+Sens!K1106)</f>
        <v>17.7257833195413</v>
      </c>
    </row>
    <row r="1106" customFormat="false" ht="15" hidden="false" customHeight="false" outlineLevel="0" collapsed="false">
      <c r="A1106" s="1" t="s">
        <v>876</v>
      </c>
      <c r="B1106" s="0" t="s">
        <v>129</v>
      </c>
      <c r="E1106" s="7" t="n">
        <f aca="false">Sens!E1105/Sens!D1105-1</f>
        <v>-0.0131677736066995</v>
      </c>
      <c r="F1106" s="7" t="n">
        <f aca="false">Sens!$E$1106+(glt_win-Sens!$E$1106)*MIN(1,(Sens!F1047-base_fy)/n_conv)</f>
        <v>-0.00763981133891627</v>
      </c>
      <c r="G1106" s="7" t="n">
        <f aca="false">Sens!$E$1106+(glt_win-Sens!$E$1106)*MIN(1,(Sens!G1047-base_fy)/n_conv)</f>
        <v>-0.00211184907113301</v>
      </c>
      <c r="H1106" s="7" t="n">
        <f aca="false">Sens!$E$1106+(glt_win-Sens!$E$1106)*MIN(1,(Sens!H1047-base_fy)/n_conv)</f>
        <v>0.00341611319665024</v>
      </c>
      <c r="I1106" s="7" t="n">
        <f aca="false">Sens!$E$1106+(glt_win-Sens!$E$1106)*MIN(1,(Sens!I1047-base_fy)/n_conv)</f>
        <v>0.00894407546443349</v>
      </c>
      <c r="J1106" s="7" t="n">
        <f aca="false">Sens!$E$1106+(glt_win-Sens!$E$1106)*MIN(1,(Sens!J1047-base_fy)/n_conv)</f>
        <v>0.0144720377322168</v>
      </c>
      <c r="K1106" s="7" t="n">
        <f aca="false">Sens!$E$1106+(glt_win-Sens!$E$1106)*MIN(1,(Sens!K1047-base_fy)/n_conv)</f>
        <v>0.02</v>
      </c>
    </row>
    <row r="1107" customFormat="false" ht="15" hidden="false" customHeight="false" outlineLevel="0" collapsed="false">
      <c r="A1107" s="0" t="s">
        <v>729</v>
      </c>
      <c r="B1107" s="0" t="s">
        <v>98</v>
      </c>
      <c r="D1107" s="6" t="n">
        <f aca="false">Sens!D1101+Sens!D1103+Sens!D1105</f>
        <v>62.941</v>
      </c>
      <c r="E1107" s="6" t="n">
        <f aca="false">Sens!E1101+Sens!E1103+Sens!E1105</f>
        <v>63.712</v>
      </c>
      <c r="F1107" s="6" t="n">
        <f aca="false">Sens!F1101+Sens!F1103+Sens!F1105</f>
        <v>65.1415764563129</v>
      </c>
      <c r="G1107" s="6" t="n">
        <f aca="false">Sens!G1101+Sens!G1103+Sens!G1105</f>
        <v>67.1253610780702</v>
      </c>
      <c r="H1107" s="6" t="n">
        <f aca="false">Sens!H1101+Sens!H1103+Sens!H1105</f>
        <v>69.5768050148776</v>
      </c>
      <c r="I1107" s="6" t="n">
        <f aca="false">Sens!I1101+Sens!I1103+Sens!I1105</f>
        <v>72.4233188088189</v>
      </c>
      <c r="J1107" s="6" t="n">
        <f aca="false">Sens!J1101+Sens!J1103+Sens!J1105</f>
        <v>75.6044096678567</v>
      </c>
      <c r="K1107" s="6" t="n">
        <f aca="false">Sens!K1101+Sens!K1103+Sens!K1105</f>
        <v>79.0714397009747</v>
      </c>
    </row>
    <row r="1108" customFormat="false" ht="15" hidden="false" customHeight="false" outlineLevel="0" collapsed="false">
      <c r="A1108" s="1" t="s">
        <v>890</v>
      </c>
      <c r="B1108" s="0" t="s">
        <v>98</v>
      </c>
      <c r="D1108" s="6" t="n">
        <f aca="false">Sens!D1100+Sens!D1107</f>
        <v>281.724</v>
      </c>
      <c r="E1108" s="6" t="n">
        <f aca="false">Sens!E1100+Sens!E1107</f>
        <v>331.839</v>
      </c>
      <c r="F1108" s="6" t="n">
        <f aca="false">Sens!F1100+Sens!F1107</f>
        <v>385.905722812923</v>
      </c>
      <c r="G1108" s="6" t="n">
        <f aca="false">Sens!G1100+Sens!G1107</f>
        <v>445.122984161464</v>
      </c>
      <c r="H1108" s="6" t="n">
        <f aca="false">Sens!H1100+Sens!H1107</f>
        <v>501.098777545464</v>
      </c>
      <c r="I1108" s="6" t="n">
        <f aca="false">Sens!I1100+Sens!I1107</f>
        <v>559.318619721689</v>
      </c>
      <c r="J1108" s="6" t="n">
        <f aca="false">Sens!J1100+Sens!J1107</f>
        <v>608.994646990725</v>
      </c>
      <c r="K1108" s="6" t="n">
        <f aca="false">Sens!K1100+Sens!K1107</f>
        <v>650.49859366817</v>
      </c>
    </row>
    <row r="1109" customFormat="false" ht="15" hidden="false" customHeight="false" outlineLevel="0" collapsed="false">
      <c r="A1109" s="23" t="s">
        <v>891</v>
      </c>
      <c r="B1109" s="30" t="s">
        <v>98</v>
      </c>
      <c r="C1109" s="30"/>
      <c r="D1109" s="24" t="n">
        <f aca="false">(Sens!D1088+Sens!D1093+Sens!D1094+Sens!D1096+Sens!D1098-Sens!D1100)+(Sens!D1101+Sens!D1103+Sens!D1105-Sens!D1107)+(Sens!D1100-Q!L5)+(Sens!D1107-Q!L12)+(Sens!D1088-Q!L6)+(Sens!D1093-Q!L7)</f>
        <v>0</v>
      </c>
      <c r="E1109" s="24" t="n">
        <f aca="false">(Sens!E1088+Sens!E1093+Sens!E1094+Sens!E1096+Sens!E1098-Sens!E1100)+(Sens!E1101+Sens!E1103+Sens!E1105-Sens!E1107)+(Sens!E1100-Q!M5)+(Sens!E1107-Q!M12)+(Sens!E1088-Q!M6)+(Sens!E1093-Q!M7)</f>
        <v>0</v>
      </c>
      <c r="F1109" s="24" t="n">
        <f aca="false">(Sens!F1088+Sens!F1093+Sens!F1094+Sens!F1096+Sens!F1098-Sens!F1100)+(Sens!F1101+Sens!F1103+Sens!F1105-Sens!F1107)</f>
        <v>0</v>
      </c>
      <c r="G1109" s="24" t="n">
        <f aca="false">(Sens!G1088+Sens!G1093+Sens!G1094+Sens!G1096+Sens!G1098-Sens!G1100)+(Sens!G1101+Sens!G1103+Sens!G1105-Sens!G1107)</f>
        <v>0</v>
      </c>
      <c r="H1109" s="24" t="n">
        <f aca="false">(Sens!H1088+Sens!H1093+Sens!H1094+Sens!H1096+Sens!H1098-Sens!H1100)+(Sens!H1101+Sens!H1103+Sens!H1105-Sens!H1107)</f>
        <v>0</v>
      </c>
      <c r="I1109" s="24" t="n">
        <f aca="false">(Sens!I1088+Sens!I1093+Sens!I1094+Sens!I1096+Sens!I1098-Sens!I1100)+(Sens!I1101+Sens!I1103+Sens!I1105-Sens!I1107)</f>
        <v>0</v>
      </c>
      <c r="J1109" s="24" t="n">
        <f aca="false">(Sens!J1088+Sens!J1093+Sens!J1094+Sens!J1096+Sens!J1098-Sens!J1100)+(Sens!J1101+Sens!J1103+Sens!J1105-Sens!J1107)</f>
        <v>0</v>
      </c>
      <c r="K1109" s="24" t="n">
        <f aca="false">(Sens!K1088+Sens!K1093+Sens!K1094+Sens!K1096+Sens!K1098-Sens!K1100)+(Sens!K1101+Sens!K1103+Sens!K1105-Sens!K1107)</f>
        <v>0</v>
      </c>
    </row>
    <row r="1110" customFormat="false" ht="17.15" hidden="false" customHeight="false" outlineLevel="0" collapsed="false">
      <c r="A1110" s="3" t="s">
        <v>1289</v>
      </c>
    </row>
    <row r="1111" customFormat="false" ht="15" hidden="false" customHeight="false" outlineLevel="0" collapsed="false">
      <c r="A1111" s="4" t="s">
        <v>43</v>
      </c>
      <c r="B1111" s="4" t="s">
        <v>65</v>
      </c>
      <c r="C1111" s="20" t="s">
        <v>799</v>
      </c>
      <c r="D1111" s="20" t="s">
        <v>800</v>
      </c>
      <c r="E1111" s="20" t="s">
        <v>801</v>
      </c>
      <c r="F1111" s="20" t="s">
        <v>802</v>
      </c>
      <c r="G1111" s="20" t="s">
        <v>803</v>
      </c>
      <c r="H1111" s="20" t="s">
        <v>804</v>
      </c>
      <c r="I1111" s="20" t="s">
        <v>805</v>
      </c>
      <c r="J1111" s="20" t="s">
        <v>806</v>
      </c>
      <c r="K1111" s="20" t="s">
        <v>807</v>
      </c>
      <c r="L1111" s="4" t="s">
        <v>47</v>
      </c>
    </row>
    <row r="1112" customFormat="false" ht="15" hidden="false" customHeight="false" outlineLevel="0" collapsed="false">
      <c r="A1112" s="0" t="s">
        <v>877</v>
      </c>
      <c r="B1112" s="0" t="s">
        <v>98</v>
      </c>
      <c r="D1112" s="6" t="n">
        <f aca="false">Sens!D1088</f>
        <v>72.61</v>
      </c>
      <c r="E1112" s="6" t="n">
        <f aca="false">Sens!E1088</f>
        <v>101.938</v>
      </c>
      <c r="F1112" s="6" t="n">
        <f aca="false">Sens!F1088</f>
        <v>133.142574417427</v>
      </c>
      <c r="G1112" s="6" t="n">
        <f aca="false">Sens!G1088</f>
        <v>170.904466545964</v>
      </c>
      <c r="H1112" s="6" t="n">
        <f aca="false">Sens!H1088</f>
        <v>204.933289849072</v>
      </c>
      <c r="I1112" s="6" t="n">
        <f aca="false">Sens!I1088</f>
        <v>241.833945933384</v>
      </c>
      <c r="J1112" s="6" t="n">
        <f aca="false">Sens!J1088</f>
        <v>271.199340218699</v>
      </c>
      <c r="K1112" s="6" t="n">
        <f aca="false">Sens!K1088</f>
        <v>293.033084627019</v>
      </c>
    </row>
    <row r="1113" customFormat="false" ht="17.15" hidden="false" customHeight="false" outlineLevel="0" collapsed="false">
      <c r="A1113" s="0" t="s">
        <v>874</v>
      </c>
      <c r="B1113" s="0" t="s">
        <v>98</v>
      </c>
      <c r="D1113" s="6" t="n">
        <f aca="false">Sens!D1085</f>
        <v>12.9359794422418</v>
      </c>
      <c r="E1113" s="6" t="n">
        <f aca="false">Sens!E1085</f>
        <v>27.8095064661409</v>
      </c>
      <c r="F1113" s="6" t="n">
        <f aca="false">Sens!F1085</f>
        <v>43.0626246800606</v>
      </c>
      <c r="G1113" s="6" t="n">
        <f aca="false">Sens!G1085</f>
        <v>63.8760413426546</v>
      </c>
      <c r="H1113" s="6" t="n">
        <f aca="false">Sens!H1085</f>
        <v>80.6613072634357</v>
      </c>
      <c r="I1113" s="6" t="n">
        <f aca="false">Sens!I1085</f>
        <v>100.900243551529</v>
      </c>
      <c r="J1113" s="6" t="n">
        <f aca="false">Sens!J1085</f>
        <v>115.180472904367</v>
      </c>
      <c r="K1113" s="6" t="n">
        <f aca="false">Sens!K1085</f>
        <v>124.53270792754</v>
      </c>
    </row>
    <row r="1114" customFormat="false" ht="17.15" hidden="false" customHeight="false" outlineLevel="0" collapsed="false">
      <c r="A1114" s="0" t="s">
        <v>902</v>
      </c>
      <c r="B1114" s="0" t="s">
        <v>98</v>
      </c>
      <c r="D1114" s="6" t="n">
        <f aca="false">Sens!D1086</f>
        <v>59.6740205577583</v>
      </c>
      <c r="E1114" s="6" t="n">
        <f aca="false">Sens!E1086</f>
        <v>74.1284935338591</v>
      </c>
      <c r="F1114" s="6" t="n">
        <f aca="false">Sens!F1086</f>
        <v>90.0799497373663</v>
      </c>
      <c r="G1114" s="6" t="n">
        <f aca="false">Sens!G1086</f>
        <v>107.02842520331</v>
      </c>
      <c r="H1114" s="6" t="n">
        <f aca="false">Sens!H1086</f>
        <v>124.271982585636</v>
      </c>
      <c r="I1114" s="6" t="n">
        <f aca="false">Sens!I1086</f>
        <v>140.933702381855</v>
      </c>
      <c r="J1114" s="6" t="n">
        <f aca="false">Sens!J1086</f>
        <v>156.018867314332</v>
      </c>
      <c r="K1114" s="6" t="n">
        <f aca="false">Sens!K1086</f>
        <v>168.500376699478</v>
      </c>
    </row>
    <row r="1115" customFormat="false" ht="15" hidden="false" customHeight="false" outlineLevel="0" collapsed="false">
      <c r="A1115" s="0" t="s">
        <v>883</v>
      </c>
      <c r="B1115" s="0" t="s">
        <v>98</v>
      </c>
      <c r="D1115" s="6" t="n">
        <f aca="false">Sens!D1093</f>
        <v>84.605</v>
      </c>
      <c r="E1115" s="6" t="n">
        <f aca="false">Sens!E1093</f>
        <v>100.299</v>
      </c>
      <c r="F1115" s="6" t="n">
        <f aca="false">Sens!F1093</f>
        <v>117.39238776686</v>
      </c>
      <c r="G1115" s="6" t="n">
        <f aca="false">Sens!G1093</f>
        <v>132.544168448684</v>
      </c>
      <c r="H1115" s="6" t="n">
        <f aca="false">Sens!H1093</f>
        <v>147.777359388781</v>
      </c>
      <c r="I1115" s="6" t="n">
        <f aca="false">Sens!I1093</f>
        <v>162.084028071957</v>
      </c>
      <c r="J1115" s="6" t="n">
        <f aca="false">Sens!J1093</f>
        <v>175.182702785465</v>
      </c>
      <c r="K1115" s="6" t="n">
        <f aca="false">Sens!K1093</f>
        <v>187.527991980448</v>
      </c>
    </row>
    <row r="1116" customFormat="false" ht="17.15" hidden="false" customHeight="false" outlineLevel="0" collapsed="false">
      <c r="A1116" s="0" t="s">
        <v>903</v>
      </c>
      <c r="B1116" s="0" t="s">
        <v>98</v>
      </c>
      <c r="D1116" s="6" t="n">
        <f aca="false">Sens!D1091</f>
        <v>83.705</v>
      </c>
      <c r="E1116" s="6" t="n">
        <f aca="false">Sens!E1091</f>
        <v>95.049</v>
      </c>
      <c r="F1116" s="6" t="n">
        <f aca="false">Sens!F1091</f>
        <v>106.89238776686</v>
      </c>
      <c r="G1116" s="6" t="n">
        <f aca="false">Sens!G1091</f>
        <v>119.044168448684</v>
      </c>
      <c r="H1116" s="6" t="n">
        <f aca="false">Sens!H1091</f>
        <v>131.277359388781</v>
      </c>
      <c r="I1116" s="6" t="n">
        <f aca="false">Sens!I1091</f>
        <v>143.334028071957</v>
      </c>
      <c r="J1116" s="6" t="n">
        <f aca="false">Sens!J1091</f>
        <v>154.932702785465</v>
      </c>
      <c r="K1116" s="6" t="n">
        <f aca="false">Sens!K1091</f>
        <v>165.777991980448</v>
      </c>
    </row>
    <row r="1117" customFormat="false" ht="17.15" hidden="false" customHeight="false" outlineLevel="0" collapsed="false">
      <c r="A1117" s="0" t="s">
        <v>904</v>
      </c>
      <c r="B1117" s="0" t="s">
        <v>98</v>
      </c>
      <c r="D1117" s="6" t="n">
        <f aca="false">Sens!D1090</f>
        <v>0.9</v>
      </c>
      <c r="E1117" s="6" t="n">
        <f aca="false">Sens!E1090</f>
        <v>5.25</v>
      </c>
      <c r="F1117" s="6" t="n">
        <f aca="false">Sens!F1090</f>
        <v>10.5</v>
      </c>
      <c r="G1117" s="6" t="n">
        <f aca="false">Sens!G1090</f>
        <v>13.5</v>
      </c>
      <c r="H1117" s="6" t="n">
        <f aca="false">Sens!H1090</f>
        <v>16.5</v>
      </c>
      <c r="I1117" s="6" t="n">
        <f aca="false">Sens!I1090</f>
        <v>18.75</v>
      </c>
      <c r="J1117" s="6" t="n">
        <f aca="false">Sens!J1090</f>
        <v>20.25</v>
      </c>
      <c r="K1117" s="6" t="n">
        <f aca="false">Sens!K1090</f>
        <v>21.75</v>
      </c>
    </row>
    <row r="1118" customFormat="false" ht="15" hidden="false" customHeight="false" outlineLevel="0" collapsed="false">
      <c r="A1118" s="0" t="s">
        <v>884</v>
      </c>
      <c r="B1118" s="0" t="s">
        <v>98</v>
      </c>
      <c r="D1118" s="6" t="n">
        <f aca="false">Sens!D1094</f>
        <v>35.391</v>
      </c>
      <c r="E1118" s="6" t="n">
        <f aca="false">Sens!E1094</f>
        <v>37.285</v>
      </c>
      <c r="F1118" s="6" t="n">
        <f aca="false">Sens!F1094</f>
        <v>39.0720834331704</v>
      </c>
      <c r="G1118" s="6" t="n">
        <f aca="false">Sens!G1094</f>
        <v>40.726562953769</v>
      </c>
      <c r="H1118" s="6" t="n">
        <f aca="false">Sens!H1094</f>
        <v>42.2235987259198</v>
      </c>
      <c r="I1118" s="6" t="n">
        <f aca="false">Sens!I1094</f>
        <v>43.5397988077414</v>
      </c>
      <c r="J1118" s="6" t="n">
        <f aca="false">Sens!J1094</f>
        <v>44.653811225693</v>
      </c>
      <c r="K1118" s="6" t="n">
        <f aca="false">Sens!K1094</f>
        <v>45.5468874502068</v>
      </c>
    </row>
    <row r="1119" customFormat="false" ht="15" hidden="false" customHeight="false" outlineLevel="0" collapsed="false">
      <c r="A1119" s="0" t="s">
        <v>885</v>
      </c>
      <c r="B1119" s="0" t="s">
        <v>98</v>
      </c>
      <c r="D1119" s="6" t="n">
        <f aca="false">Sens!D1096</f>
        <v>18.417</v>
      </c>
      <c r="E1119" s="6" t="n">
        <f aca="false">Sens!E1096</f>
        <v>20.345</v>
      </c>
      <c r="F1119" s="6" t="n">
        <f aca="false">Sens!F1096</f>
        <v>22.3572203267814</v>
      </c>
      <c r="G1119" s="6" t="n">
        <f aca="false">Sens!G1096</f>
        <v>24.4392124437232</v>
      </c>
      <c r="H1119" s="6" t="n">
        <f aca="false">Sens!H1096</f>
        <v>26.5738052080665</v>
      </c>
      <c r="I1119" s="6" t="n">
        <f aca="false">Sens!I1096</f>
        <v>28.7412169166967</v>
      </c>
      <c r="J1119" s="6" t="n">
        <f aca="false">Sens!J1096</f>
        <v>30.9192545395413</v>
      </c>
      <c r="K1119" s="6" t="n">
        <f aca="false">Sens!K1096</f>
        <v>33.0836023573092</v>
      </c>
    </row>
    <row r="1120" customFormat="false" ht="15" hidden="false" customHeight="false" outlineLevel="0" collapsed="false">
      <c r="A1120" s="0" t="s">
        <v>886</v>
      </c>
      <c r="B1120" s="0" t="s">
        <v>98</v>
      </c>
      <c r="D1120" s="6" t="n">
        <f aca="false">Sens!D1098</f>
        <v>7.76</v>
      </c>
      <c r="E1120" s="6" t="n">
        <f aca="false">Sens!E1098</f>
        <v>8.26</v>
      </c>
      <c r="F1120" s="6" t="n">
        <f aca="false">Sens!F1098</f>
        <v>8.79988041237113</v>
      </c>
      <c r="G1120" s="6" t="n">
        <f aca="false">Sens!G1098</f>
        <v>9.38321269125306</v>
      </c>
      <c r="H1120" s="6" t="n">
        <f aca="false">Sens!H1098</f>
        <v>10.0139193587476</v>
      </c>
      <c r="I1120" s="6" t="n">
        <f aca="false">Sens!I1098</f>
        <v>10.6963111830911</v>
      </c>
      <c r="J1120" s="6" t="n">
        <f aca="false">Sens!J1098</f>
        <v>11.4351285534696</v>
      </c>
      <c r="K1120" s="6" t="n">
        <f aca="false">Sens!K1098</f>
        <v>12.2355875522124</v>
      </c>
    </row>
    <row r="1121" customFormat="false" ht="15" hidden="false" customHeight="false" outlineLevel="0" collapsed="false">
      <c r="A1121" s="0" t="s">
        <v>715</v>
      </c>
      <c r="B1121" s="0" t="s">
        <v>98</v>
      </c>
      <c r="D1121" s="6" t="n">
        <f aca="false">Sens!D1100</f>
        <v>218.783</v>
      </c>
      <c r="E1121" s="6" t="n">
        <f aca="false">Sens!E1100</f>
        <v>268.127</v>
      </c>
      <c r="F1121" s="6" t="n">
        <f aca="false">Sens!F1100</f>
        <v>320.76414635661</v>
      </c>
      <c r="G1121" s="6" t="n">
        <f aca="false">Sens!G1100</f>
        <v>377.997623083394</v>
      </c>
      <c r="H1121" s="6" t="n">
        <f aca="false">Sens!H1100</f>
        <v>431.521972530587</v>
      </c>
      <c r="I1121" s="6" t="n">
        <f aca="false">Sens!I1100</f>
        <v>486.89530091287</v>
      </c>
      <c r="J1121" s="6" t="n">
        <f aca="false">Sens!J1100</f>
        <v>533.390237322868</v>
      </c>
      <c r="K1121" s="6" t="n">
        <f aca="false">Sens!K1100</f>
        <v>571.427153967195</v>
      </c>
    </row>
    <row r="1122" customFormat="false" ht="15" hidden="false" customHeight="false" outlineLevel="0" collapsed="false">
      <c r="A1122" s="0" t="s">
        <v>887</v>
      </c>
      <c r="B1122" s="0" t="s">
        <v>98</v>
      </c>
      <c r="D1122" s="6" t="n">
        <f aca="false">Sens!D1101</f>
        <v>22.171</v>
      </c>
      <c r="E1122" s="6" t="n">
        <f aca="false">Sens!E1101</f>
        <v>24.835</v>
      </c>
      <c r="F1122" s="6" t="n">
        <f aca="false">Sens!F1101</f>
        <v>27.6114901218559</v>
      </c>
      <c r="G1122" s="6" t="n">
        <f aca="false">Sens!G1101</f>
        <v>30.4675667338515</v>
      </c>
      <c r="H1122" s="6" t="n">
        <f aca="false">Sens!H1101</f>
        <v>33.3643766955789</v>
      </c>
      <c r="I1122" s="6" t="n">
        <f aca="false">Sens!I1101</f>
        <v>36.2577016533691</v>
      </c>
      <c r="J1122" s="6" t="n">
        <f aca="false">Sens!J1101</f>
        <v>39.0988367952171</v>
      </c>
      <c r="K1122" s="6" t="n">
        <f aca="false">Sens!K1101</f>
        <v>41.8357553708823</v>
      </c>
    </row>
    <row r="1123" customFormat="false" ht="15" hidden="false" customHeight="false" outlineLevel="0" collapsed="false">
      <c r="A1123" s="0" t="s">
        <v>888</v>
      </c>
      <c r="B1123" s="0" t="s">
        <v>98</v>
      </c>
      <c r="D1123" s="6" t="n">
        <f aca="false">Sens!D1103</f>
        <v>23.455</v>
      </c>
      <c r="E1123" s="6" t="n">
        <f aca="false">Sens!E1103</f>
        <v>21.79</v>
      </c>
      <c r="F1123" s="6" t="n">
        <f aca="false">Sens!F1103</f>
        <v>20.5736277908051</v>
      </c>
      <c r="G1123" s="6" t="n">
        <f aca="false">Sens!G1103</f>
        <v>19.7371452817919</v>
      </c>
      <c r="H1123" s="6" t="n">
        <f aca="false">Sens!H1103</f>
        <v>19.2339764043138</v>
      </c>
      <c r="I1123" s="6" t="n">
        <f aca="false">Sens!I1103</f>
        <v>19.0353086852681</v>
      </c>
      <c r="J1123" s="6" t="n">
        <f aca="false">Sens!J1103</f>
        <v>19.1273539319129</v>
      </c>
      <c r="K1123" s="6" t="n">
        <f aca="false">Sens!K1103</f>
        <v>19.5099010105511</v>
      </c>
    </row>
    <row r="1124" customFormat="false" ht="15" hidden="false" customHeight="false" outlineLevel="0" collapsed="false">
      <c r="A1124" s="0" t="s">
        <v>889</v>
      </c>
      <c r="B1124" s="0" t="s">
        <v>98</v>
      </c>
      <c r="D1124" s="6" t="n">
        <f aca="false">Sens!D1105</f>
        <v>17.315</v>
      </c>
      <c r="E1124" s="6" t="n">
        <f aca="false">Sens!E1105</f>
        <v>17.087</v>
      </c>
      <c r="F1124" s="6" t="n">
        <f aca="false">Sens!F1105</f>
        <v>16.9564585436519</v>
      </c>
      <c r="G1124" s="6" t="n">
        <f aca="false">Sens!G1105</f>
        <v>16.9206490624268</v>
      </c>
      <c r="H1124" s="6" t="n">
        <f aca="false">Sens!H1105</f>
        <v>16.9784519149849</v>
      </c>
      <c r="I1124" s="6" t="n">
        <f aca="false">Sens!I1105</f>
        <v>17.1303084701817</v>
      </c>
      <c r="J1124" s="6" t="n">
        <f aca="false">Sens!J1105</f>
        <v>17.3782189407267</v>
      </c>
      <c r="K1124" s="6" t="n">
        <f aca="false">Sens!K1105</f>
        <v>17.7257833195413</v>
      </c>
    </row>
    <row r="1125" customFormat="false" ht="15" hidden="false" customHeight="false" outlineLevel="0" collapsed="false">
      <c r="A1125" s="0" t="s">
        <v>729</v>
      </c>
      <c r="B1125" s="0" t="s">
        <v>98</v>
      </c>
      <c r="D1125" s="6" t="n">
        <f aca="false">Sens!D1107</f>
        <v>62.941</v>
      </c>
      <c r="E1125" s="6" t="n">
        <f aca="false">Sens!E1107</f>
        <v>63.712</v>
      </c>
      <c r="F1125" s="6" t="n">
        <f aca="false">Sens!F1107</f>
        <v>65.1415764563129</v>
      </c>
      <c r="G1125" s="6" t="n">
        <f aca="false">Sens!G1107</f>
        <v>67.1253610780702</v>
      </c>
      <c r="H1125" s="6" t="n">
        <f aca="false">Sens!H1107</f>
        <v>69.5768050148776</v>
      </c>
      <c r="I1125" s="6" t="n">
        <f aca="false">Sens!I1107</f>
        <v>72.4233188088189</v>
      </c>
      <c r="J1125" s="6" t="n">
        <f aca="false">Sens!J1107</f>
        <v>75.6044096678567</v>
      </c>
      <c r="K1125" s="6" t="n">
        <f aca="false">Sens!K1107</f>
        <v>79.0714397009747</v>
      </c>
    </row>
    <row r="1126" customFormat="false" ht="15" hidden="false" customHeight="false" outlineLevel="0" collapsed="false">
      <c r="A1126" s="1" t="s">
        <v>905</v>
      </c>
      <c r="B1126" s="0" t="s">
        <v>98</v>
      </c>
      <c r="D1126" s="6" t="n">
        <f aca="false">Sens!D1108</f>
        <v>281.724</v>
      </c>
      <c r="E1126" s="6" t="n">
        <f aca="false">Sens!E1108</f>
        <v>331.839</v>
      </c>
      <c r="F1126" s="6" t="n">
        <f aca="false">Sens!F1108</f>
        <v>385.905722812923</v>
      </c>
      <c r="G1126" s="6" t="n">
        <f aca="false">Sens!G1108</f>
        <v>445.122984161464</v>
      </c>
      <c r="H1126" s="6" t="n">
        <f aca="false">Sens!H1108</f>
        <v>501.098777545464</v>
      </c>
      <c r="I1126" s="6" t="n">
        <f aca="false">Sens!I1108</f>
        <v>559.318619721689</v>
      </c>
      <c r="J1126" s="6" t="n">
        <f aca="false">Sens!J1108</f>
        <v>608.994646990725</v>
      </c>
      <c r="K1126" s="6" t="n">
        <f aca="false">Sens!K1108</f>
        <v>650.49859366817</v>
      </c>
    </row>
    <row r="1127" customFormat="false" ht="15" hidden="false" customHeight="false" outlineLevel="0" collapsed="false">
      <c r="A1127" s="1" t="s">
        <v>906</v>
      </c>
      <c r="B1127" s="0" t="s">
        <v>129</v>
      </c>
      <c r="E1127" s="7" t="n">
        <f aca="false">Sens!E1126/Sens!D1126-1</f>
        <v>0.177886867998467</v>
      </c>
      <c r="F1127" s="7" t="n">
        <f aca="false">Sens!F1126/Sens!E1126-1</f>
        <v>0.162930586256958</v>
      </c>
      <c r="G1127" s="7" t="n">
        <f aca="false">Sens!G1126/Sens!F1126-1</f>
        <v>0.153450073030527</v>
      </c>
      <c r="H1127" s="7" t="n">
        <f aca="false">Sens!H1126/Sens!G1126-1</f>
        <v>0.12575354537005</v>
      </c>
      <c r="I1127" s="7" t="n">
        <f aca="false">Sens!I1126/Sens!H1126-1</f>
        <v>0.116184362814459</v>
      </c>
      <c r="J1127" s="7" t="n">
        <f aca="false">Sens!J1126/Sens!I1126-1</f>
        <v>0.0888152575606267</v>
      </c>
      <c r="K1127" s="7" t="n">
        <f aca="false">Sens!K1126/Sens!J1126-1</f>
        <v>0.0681515788070255</v>
      </c>
    </row>
    <row r="1128" customFormat="false" ht="17.15" hidden="false" customHeight="false" outlineLevel="0" collapsed="false">
      <c r="A1128" s="23" t="s">
        <v>907</v>
      </c>
      <c r="B1128" s="30" t="s">
        <v>98</v>
      </c>
      <c r="C1128" s="30"/>
      <c r="D1128" s="24" t="n">
        <f aca="false">(Sens!D1121+Sens!D1125-Sens!D1126)+(Sens!D1113+Sens!D1114-Sens!D1112)+(Sens!D1116+Sens!D1117-Sens!D1115)+(Sens!D1126-Q!L18)</f>
        <v>0</v>
      </c>
      <c r="E1128" s="24" t="n">
        <f aca="false">(Sens!E1121+Sens!E1125-Sens!E1126)+(Sens!E1113+Sens!E1114-Sens!E1112)+(Sens!E1116+Sens!E1117-Sens!E1115)+(Sens!E1126-Q!M18)</f>
        <v>0</v>
      </c>
      <c r="F1128" s="24" t="n">
        <f aca="false">(Sens!F1121+Sens!F1125-Sens!F1126)+(Sens!F1113+Sens!F1114-Sens!F1112)+(Sens!F1116+Sens!F1117-Sens!F1115)</f>
        <v>0</v>
      </c>
      <c r="G1128" s="24" t="n">
        <f aca="false">(Sens!G1121+Sens!G1125-Sens!G1126)+(Sens!G1113+Sens!G1114-Sens!G1112)+(Sens!G1116+Sens!G1117-Sens!G1115)</f>
        <v>0</v>
      </c>
      <c r="H1128" s="24" t="n">
        <f aca="false">(Sens!H1121+Sens!H1125-Sens!H1126)+(Sens!H1113+Sens!H1114-Sens!H1112)+(Sens!H1116+Sens!H1117-Sens!H1115)</f>
        <v>0</v>
      </c>
      <c r="I1128" s="24" t="n">
        <f aca="false">(Sens!I1121+Sens!I1125-Sens!I1126)+(Sens!I1113+Sens!I1114-Sens!I1112)+(Sens!I1116+Sens!I1117-Sens!I1115)</f>
        <v>0</v>
      </c>
      <c r="J1128" s="24" t="n">
        <f aca="false">(Sens!J1121+Sens!J1125-Sens!J1126)+(Sens!J1113+Sens!J1114-Sens!J1112)+(Sens!J1116+Sens!J1117-Sens!J1115)</f>
        <v>0</v>
      </c>
      <c r="K1128" s="24" t="n">
        <f aca="false">(Sens!K1121+Sens!K1125-Sens!K1126)+(Sens!K1113+Sens!K1114-Sens!K1112)+(Sens!K1116+Sens!K1117-Sens!K1115)</f>
        <v>0</v>
      </c>
    </row>
    <row r="1129" customFormat="false" ht="17.15" hidden="false" customHeight="false" outlineLevel="0" collapsed="false">
      <c r="A1129" s="0" t="s">
        <v>908</v>
      </c>
      <c r="B1129" s="0" t="s">
        <v>129</v>
      </c>
      <c r="E1129" s="7" t="n">
        <f aca="false">(Q!M21+Sens!E1066+Sens!E1067+Sens!E1068+Sens!E1081-Sens!E1064)/(Q!M5-Sens!E1064)</f>
        <v>0.570957350878296</v>
      </c>
      <c r="F1129" s="7" t="n">
        <f aca="false">Sens!$E$1129+dm_seg</f>
        <v>0.570957350878296</v>
      </c>
      <c r="G1129" s="7" t="n">
        <f aca="false">Sens!$E$1129+dm_seg</f>
        <v>0.570957350878296</v>
      </c>
      <c r="H1129" s="7" t="n">
        <f aca="false">Sens!$E$1129+dm_seg</f>
        <v>0.570957350878296</v>
      </c>
      <c r="I1129" s="7" t="n">
        <f aca="false">Sens!$E$1129+dm_seg</f>
        <v>0.570957350878296</v>
      </c>
      <c r="J1129" s="7" t="n">
        <f aca="false">Sens!$E$1129+dm_seg</f>
        <v>0.570957350878296</v>
      </c>
      <c r="K1129" s="7" t="n">
        <f aca="false">Sens!$E$1129+dm_seg</f>
        <v>0.570957350878296</v>
      </c>
      <c r="L1129" s="11" t="s">
        <v>909</v>
      </c>
    </row>
    <row r="1130" customFormat="false" ht="17.15" hidden="false" customHeight="false" outlineLevel="0" collapsed="false">
      <c r="A1130" s="0" t="s">
        <v>743</v>
      </c>
      <c r="B1130" s="0" t="s">
        <v>98</v>
      </c>
      <c r="D1130" s="6" t="n">
        <f aca="false">Q!L21</f>
        <v>110.814</v>
      </c>
      <c r="E1130" s="6" t="n">
        <f aca="false">Q!M21</f>
        <v>136.365</v>
      </c>
      <c r="F1130" s="6" t="n">
        <f aca="false">Sens!F1129*(Sens!F1100-Sens!F1064)+Sens!F1064-(Sens!F1066+Sens!F1067+Sens!F1068)-Sens!F1081-Sens!F1164</f>
        <v>144.587188384248</v>
      </c>
      <c r="G1130" s="6" t="n">
        <f aca="false">Sens!G1129*(Sens!G1100-Sens!G1064)+Sens!G1064-(Sens!G1066+Sens!G1067+Sens!G1068)-Sens!G1081-Sens!G1164</f>
        <v>149.658812540216</v>
      </c>
      <c r="H1130" s="6" t="n">
        <f aca="false">Sens!H1129*(Sens!H1100-Sens!H1064)+Sens!H1064-(Sens!H1066+Sens!H1067+Sens!H1068)-Sens!H1081-Sens!H1164</f>
        <v>149.063887204612</v>
      </c>
      <c r="I1130" s="6" t="n">
        <f aca="false">Sens!I1129*(Sens!I1100-Sens!I1064)+Sens!I1064-(Sens!I1066+Sens!I1067+Sens!I1068)-Sens!I1081-Sens!I1164</f>
        <v>155.486879106854</v>
      </c>
      <c r="J1130" s="6" t="n">
        <f aca="false">Sens!J1129*(Sens!J1100-Sens!J1064)+Sens!J1064-(Sens!J1066+Sens!J1067+Sens!J1068)-Sens!J1081-Sens!J1164</f>
        <v>164.211877353488</v>
      </c>
      <c r="K1130" s="6" t="n">
        <f aca="false">Sens!K1129*(Sens!K1100-Sens!K1064)+Sens!K1064-(Sens!K1066+Sens!K1067+Sens!K1068)-Sens!K1081-Sens!K1164</f>
        <v>175.082697911097</v>
      </c>
      <c r="L1130" s="1" t="s">
        <v>910</v>
      </c>
    </row>
    <row r="1131" customFormat="false" ht="17.15" hidden="false" customHeight="false" outlineLevel="0" collapsed="false">
      <c r="A1131" s="0" t="s">
        <v>911</v>
      </c>
      <c r="B1131" s="0" t="s">
        <v>129</v>
      </c>
      <c r="E1131" s="7" t="n">
        <f aca="false">Q!M22/Q!M12</f>
        <v>0.296207935710698</v>
      </c>
      <c r="F1131" s="7" t="n">
        <f aca="false">Sens!$E$1131+dm_seg</f>
        <v>0.296207935710698</v>
      </c>
      <c r="G1131" s="7" t="n">
        <f aca="false">Sens!$E$1131+dm_seg</f>
        <v>0.296207935710698</v>
      </c>
      <c r="H1131" s="7" t="n">
        <f aca="false">Sens!$E$1131+dm_seg</f>
        <v>0.296207935710698</v>
      </c>
      <c r="I1131" s="7" t="n">
        <f aca="false">Sens!$E$1131+dm_seg</f>
        <v>0.296207935710698</v>
      </c>
      <c r="J1131" s="7" t="n">
        <f aca="false">Sens!$E$1131+dm_seg</f>
        <v>0.296207935710698</v>
      </c>
      <c r="K1131" s="7" t="n">
        <f aca="false">Sens!$E$1131+dm_seg</f>
        <v>0.296207935710698</v>
      </c>
      <c r="L1131" s="11" t="s">
        <v>912</v>
      </c>
    </row>
    <row r="1132" customFormat="false" ht="17.15" hidden="false" customHeight="false" outlineLevel="0" collapsed="false">
      <c r="A1132" s="0" t="s">
        <v>745</v>
      </c>
      <c r="B1132" s="0" t="s">
        <v>98</v>
      </c>
      <c r="D1132" s="6" t="n">
        <f aca="false">Q!L22</f>
        <v>17.714</v>
      </c>
      <c r="E1132" s="6" t="n">
        <f aca="false">Q!M22</f>
        <v>18.872</v>
      </c>
      <c r="F1132" s="6" t="n">
        <f aca="false">Sens!F1107*Sens!F1131</f>
        <v>19.2954518910651</v>
      </c>
      <c r="G1132" s="6" t="n">
        <f aca="false">Sens!G1107*Sens!G1131</f>
        <v>19.8830646387704</v>
      </c>
      <c r="H1132" s="6" t="n">
        <f aca="false">Sens!H1107*Sens!H1131</f>
        <v>20.6092017868026</v>
      </c>
      <c r="I1132" s="6" t="n">
        <f aca="false">Sens!I1107*Sens!I1131</f>
        <v>21.452361761678</v>
      </c>
      <c r="J1132" s="6" t="n">
        <f aca="false">Sens!J1107*Sens!J1131</f>
        <v>22.3946261183418</v>
      </c>
      <c r="K1132" s="6" t="n">
        <f aca="false">Sens!K1107*Sens!K1131</f>
        <v>23.4215879274986</v>
      </c>
    </row>
    <row r="1133" customFormat="false" ht="15" hidden="false" customHeight="false" outlineLevel="0" collapsed="false">
      <c r="A1133" s="1" t="s">
        <v>913</v>
      </c>
      <c r="B1133" s="0" t="s">
        <v>98</v>
      </c>
      <c r="D1133" s="6" t="n">
        <f aca="false">Sens!D1130+Sens!D1132</f>
        <v>128.528</v>
      </c>
      <c r="E1133" s="6" t="n">
        <f aca="false">Sens!E1130+Sens!E1132</f>
        <v>155.237</v>
      </c>
      <c r="F1133" s="6" t="n">
        <f aca="false">Sens!F1130+Sens!F1132</f>
        <v>163.882640275313</v>
      </c>
      <c r="G1133" s="6" t="n">
        <f aca="false">Sens!G1130+Sens!G1132</f>
        <v>169.541877178986</v>
      </c>
      <c r="H1133" s="6" t="n">
        <f aca="false">Sens!H1130+Sens!H1132</f>
        <v>169.673088991415</v>
      </c>
      <c r="I1133" s="6" t="n">
        <f aca="false">Sens!I1130+Sens!I1132</f>
        <v>176.939240868532</v>
      </c>
      <c r="J1133" s="6" t="n">
        <f aca="false">Sens!J1130+Sens!J1132</f>
        <v>186.606503471829</v>
      </c>
      <c r="K1133" s="6" t="n">
        <f aca="false">Sens!K1130+Sens!K1132</f>
        <v>198.504285838596</v>
      </c>
    </row>
    <row r="1134" customFormat="false" ht="15" hidden="false" customHeight="false" outlineLevel="0" collapsed="false">
      <c r="A1134" s="23" t="s">
        <v>914</v>
      </c>
      <c r="B1134" s="30" t="s">
        <v>98</v>
      </c>
      <c r="C1134" s="30"/>
      <c r="D1134" s="24" t="n">
        <f aca="false">Sens!D1133-Q!L23</f>
        <v>0</v>
      </c>
      <c r="E1134" s="24" t="n">
        <f aca="false">Sens!E1133-Q!M23</f>
        <v>0</v>
      </c>
      <c r="F1134" s="30"/>
      <c r="G1134" s="30"/>
      <c r="H1134" s="30"/>
      <c r="I1134" s="30"/>
      <c r="J1134" s="30"/>
      <c r="K1134" s="30"/>
    </row>
    <row r="1135" customFormat="false" ht="15" hidden="false" customHeight="false" outlineLevel="0" collapsed="false">
      <c r="A1135" s="1" t="s">
        <v>915</v>
      </c>
      <c r="B1135" s="0" t="s">
        <v>129</v>
      </c>
      <c r="D1135" s="7" t="n">
        <f aca="false">Sens!D1133/Sens!D1126</f>
        <v>0.456219562408598</v>
      </c>
      <c r="E1135" s="7" t="n">
        <f aca="false">Sens!E1133/Sens!E1126</f>
        <v>0.467808184089272</v>
      </c>
      <c r="F1135" s="7" t="n">
        <f aca="false">Sens!F1133/Sens!F1126</f>
        <v>0.424670147622452</v>
      </c>
      <c r="G1135" s="7" t="n">
        <f aca="false">Sens!G1133/Sens!G1126</f>
        <v>0.380887716904519</v>
      </c>
      <c r="H1135" s="7" t="n">
        <f aca="false">Sens!H1133/Sens!H1126</f>
        <v>0.338602081255368</v>
      </c>
      <c r="I1135" s="7" t="n">
        <f aca="false">Sens!I1133/Sens!I1126</f>
        <v>0.316347846521854</v>
      </c>
      <c r="J1135" s="7" t="n">
        <f aca="false">Sens!J1133/Sens!J1126</f>
        <v>0.306417313179884</v>
      </c>
      <c r="K1135" s="7" t="n">
        <f aca="false">Sens!K1133/Sens!K1126</f>
        <v>0.305157132960469</v>
      </c>
    </row>
    <row r="1136" customFormat="false" ht="17.15" hidden="false" customHeight="false" outlineLevel="0" collapsed="false">
      <c r="A1136" s="1" t="s">
        <v>916</v>
      </c>
      <c r="B1136" s="0" t="s">
        <v>98</v>
      </c>
      <c r="F1136" s="6" t="n">
        <f aca="false">Sens!F1151</f>
        <v>10.1553565002727</v>
      </c>
      <c r="G1136" s="6" t="n">
        <f aca="false">Sens!G1151</f>
        <v>26.5039384396555</v>
      </c>
      <c r="H1136" s="6" t="n">
        <f aca="false">Sens!H1151</f>
        <v>44.38649932956</v>
      </c>
      <c r="I1136" s="6" t="n">
        <f aca="false">Sens!I1151</f>
        <v>60.5028524913745</v>
      </c>
      <c r="J1136" s="6" t="n">
        <f aca="false">Sens!J1151</f>
        <v>71.8788124586976</v>
      </c>
      <c r="K1136" s="6" t="n">
        <f aca="false">Sens!K1151</f>
        <v>78.7789222270768</v>
      </c>
      <c r="L1136" s="1" t="s">
        <v>917</v>
      </c>
    </row>
    <row r="1137" customFormat="false" ht="17.15" hidden="false" customHeight="false" outlineLevel="0" collapsed="false">
      <c r="A1137" s="1" t="s">
        <v>918</v>
      </c>
      <c r="B1137" s="0" t="s">
        <v>98</v>
      </c>
      <c r="D1137" s="6" t="n">
        <f aca="false">Sens!D1133</f>
        <v>128.528</v>
      </c>
      <c r="E1137" s="6" t="n">
        <f aca="false">Sens!E1133</f>
        <v>155.237</v>
      </c>
      <c r="F1137" s="6" t="n">
        <f aca="false">Sens!F1133+Sens!F1136</f>
        <v>174.037996775585</v>
      </c>
      <c r="G1137" s="6" t="n">
        <f aca="false">Sens!G1133+Sens!G1136</f>
        <v>196.045815618642</v>
      </c>
      <c r="H1137" s="6" t="n">
        <f aca="false">Sens!H1133+Sens!H1136</f>
        <v>214.059588320975</v>
      </c>
      <c r="I1137" s="6" t="n">
        <f aca="false">Sens!I1133+Sens!I1136</f>
        <v>237.442093359906</v>
      </c>
      <c r="J1137" s="6" t="n">
        <f aca="false">Sens!J1133+Sens!J1136</f>
        <v>258.485315930527</v>
      </c>
      <c r="K1137" s="6" t="n">
        <f aca="false">Sens!K1133+Sens!K1136</f>
        <v>277.283208065672</v>
      </c>
    </row>
    <row r="1138" customFormat="false" ht="17.15" hidden="false" customHeight="false" outlineLevel="0" collapsed="false">
      <c r="A1138" s="1" t="s">
        <v>919</v>
      </c>
      <c r="B1138" s="0" t="s">
        <v>98</v>
      </c>
      <c r="E1138" s="6" t="n">
        <f aca="false">Sens!E1081</f>
        <v>16.3054059770833</v>
      </c>
      <c r="F1138" s="6" t="n">
        <f aca="false">Sens!F1081</f>
        <v>34.0498873809555</v>
      </c>
      <c r="G1138" s="6" t="n">
        <f aca="false">Sens!G1081</f>
        <v>59.1254371105111</v>
      </c>
      <c r="H1138" s="6" t="n">
        <f aca="false">Sens!H1081</f>
        <v>86.3610198433111</v>
      </c>
      <c r="I1138" s="6" t="n">
        <f aca="false">Sens!I1081</f>
        <v>110.605743832393</v>
      </c>
      <c r="J1138" s="6" t="n">
        <f aca="false">Sens!J1081</f>
        <v>127.998322852843</v>
      </c>
      <c r="K1138" s="6" t="n">
        <f aca="false">Sens!K1081</f>
        <v>139.131464044308</v>
      </c>
    </row>
    <row r="1139" customFormat="false" ht="17.15" hidden="false" customHeight="false" outlineLevel="0" collapsed="false">
      <c r="A1139" s="1" t="s">
        <v>920</v>
      </c>
      <c r="B1139" s="0" t="s">
        <v>98</v>
      </c>
      <c r="E1139" s="6" t="n">
        <f aca="false">Sens!E1163</f>
        <v>22.2285940229167</v>
      </c>
      <c r="F1139" s="6" t="n">
        <f aca="false">Sens!F1163</f>
        <v>24.3924470334783</v>
      </c>
      <c r="G1139" s="6" t="n">
        <f aca="false">Sens!G1163</f>
        <v>26.0234916871694</v>
      </c>
      <c r="H1139" s="6" t="n">
        <f aca="false">Sens!H1163</f>
        <v>28.0272938828615</v>
      </c>
      <c r="I1139" s="6" t="n">
        <f aca="false">Sens!I1163</f>
        <v>30.3469045257397</v>
      </c>
      <c r="J1139" s="6" t="n">
        <f aca="false">Sens!J1163</f>
        <v>32.9078053982031</v>
      </c>
      <c r="K1139" s="6" t="n">
        <f aca="false">Sens!K1163</f>
        <v>35.6263951325822</v>
      </c>
    </row>
    <row r="1140" customFormat="false" ht="17.15" hidden="false" customHeight="false" outlineLevel="0" collapsed="false">
      <c r="A1140" s="1" t="s">
        <v>921</v>
      </c>
      <c r="B1140" s="0" t="s">
        <v>98</v>
      </c>
      <c r="D1140" s="6" t="n">
        <f aca="false">Q!L27</f>
        <v>-4.901</v>
      </c>
      <c r="E1140" s="6" t="n">
        <f aca="false">Q!M27</f>
        <v>10.697</v>
      </c>
      <c r="F1140" s="6" t="n">
        <f aca="false">oie_f</f>
        <v>-0.4</v>
      </c>
      <c r="G1140" s="6" t="n">
        <f aca="false">oie_f</f>
        <v>-0.4</v>
      </c>
      <c r="H1140" s="6" t="n">
        <f aca="false">oie_f</f>
        <v>-0.4</v>
      </c>
      <c r="I1140" s="6" t="n">
        <f aca="false">oie_f</f>
        <v>-0.4</v>
      </c>
      <c r="J1140" s="6" t="n">
        <f aca="false">oie_f</f>
        <v>-0.4</v>
      </c>
      <c r="K1140" s="6" t="n">
        <f aca="false">oie_f</f>
        <v>-0.4</v>
      </c>
      <c r="L1140" s="11" t="s">
        <v>922</v>
      </c>
    </row>
    <row r="1141" customFormat="false" ht="15" hidden="false" customHeight="false" outlineLevel="0" collapsed="false">
      <c r="A1141" s="1" t="s">
        <v>923</v>
      </c>
      <c r="B1141" s="0" t="s">
        <v>98</v>
      </c>
      <c r="D1141" s="6" t="n">
        <f aca="false">Sens!D1133+Sens!D1140</f>
        <v>123.627</v>
      </c>
      <c r="E1141" s="6" t="n">
        <f aca="false">Sens!E1133+Sens!E1140</f>
        <v>165.934</v>
      </c>
      <c r="F1141" s="6" t="n">
        <f aca="false">Sens!F1133+Sens!F1140</f>
        <v>163.482640275313</v>
      </c>
      <c r="G1141" s="6" t="n">
        <f aca="false">Sens!G1133+Sens!G1140</f>
        <v>169.141877178986</v>
      </c>
      <c r="H1141" s="6" t="n">
        <f aca="false">Sens!H1133+Sens!H1140</f>
        <v>169.273088991415</v>
      </c>
      <c r="I1141" s="6" t="n">
        <f aca="false">Sens!I1133+Sens!I1140</f>
        <v>176.539240868532</v>
      </c>
      <c r="J1141" s="6" t="n">
        <f aca="false">Sens!J1133+Sens!J1140</f>
        <v>186.206503471829</v>
      </c>
      <c r="K1141" s="6" t="n">
        <f aca="false">Sens!K1133+Sens!K1140</f>
        <v>198.104285838596</v>
      </c>
    </row>
    <row r="1142" customFormat="false" ht="15" hidden="false" customHeight="false" outlineLevel="0" collapsed="false">
      <c r="A1142" s="1" t="s">
        <v>924</v>
      </c>
      <c r="B1142" s="0" t="s">
        <v>98</v>
      </c>
      <c r="D1142" s="6" t="n">
        <f aca="false">Q!L29</f>
        <v>21.795</v>
      </c>
      <c r="E1142" s="6" t="n">
        <f aca="false">Q!M29</f>
        <v>32.185</v>
      </c>
      <c r="F1142" s="6" t="n">
        <f aca="false">Sens!F1141*tax_f</f>
        <v>32.6965280550626</v>
      </c>
      <c r="G1142" s="6" t="n">
        <f aca="false">Sens!G1141*tax_f</f>
        <v>33.8283754357972</v>
      </c>
      <c r="H1142" s="6" t="n">
        <f aca="false">Sens!H1141*tax_f</f>
        <v>33.854617798283</v>
      </c>
      <c r="I1142" s="6" t="n">
        <f aca="false">Sens!I1141*tax_f</f>
        <v>35.3078481737064</v>
      </c>
      <c r="J1142" s="6" t="n">
        <f aca="false">Sens!J1141*tax_f</f>
        <v>37.2413006943659</v>
      </c>
      <c r="K1142" s="6" t="n">
        <f aca="false">Sens!K1141*tax_f</f>
        <v>39.6208571677191</v>
      </c>
    </row>
    <row r="1143" customFormat="false" ht="15" hidden="false" customHeight="false" outlineLevel="0" collapsed="false">
      <c r="A1143" s="1" t="s">
        <v>925</v>
      </c>
      <c r="B1143" s="0" t="s">
        <v>98</v>
      </c>
      <c r="D1143" s="6" t="n">
        <f aca="false">Sens!D1141-Sens!D1142</f>
        <v>101.832</v>
      </c>
      <c r="E1143" s="6" t="n">
        <f aca="false">Sens!E1141-Sens!E1142</f>
        <v>133.749</v>
      </c>
      <c r="F1143" s="6" t="n">
        <f aca="false">Sens!F1141-Sens!F1142</f>
        <v>130.78611222025</v>
      </c>
      <c r="G1143" s="6" t="n">
        <f aca="false">Sens!G1141-Sens!G1142</f>
        <v>135.313501743189</v>
      </c>
      <c r="H1143" s="6" t="n">
        <f aca="false">Sens!H1141-Sens!H1142</f>
        <v>135.418471193132</v>
      </c>
      <c r="I1143" s="6" t="n">
        <f aca="false">Sens!I1141-Sens!I1142</f>
        <v>141.231392694826</v>
      </c>
      <c r="J1143" s="6" t="n">
        <f aca="false">Sens!J1141-Sens!J1142</f>
        <v>148.965202777464</v>
      </c>
      <c r="K1143" s="6" t="n">
        <f aca="false">Sens!K1141-Sens!K1142</f>
        <v>158.483428670876</v>
      </c>
    </row>
    <row r="1144" customFormat="false" ht="17.15" hidden="false" customHeight="false" outlineLevel="0" collapsed="false">
      <c r="A1144" s="1" t="s">
        <v>926</v>
      </c>
      <c r="B1144" s="1" t="s">
        <v>81</v>
      </c>
      <c r="D1144" s="14" t="n">
        <f aca="false">Q!L31</f>
        <v>7.465</v>
      </c>
      <c r="E1144" s="14" t="n">
        <f aca="false">Q!M31</f>
        <v>7.453</v>
      </c>
      <c r="F1144" s="14" t="n">
        <f aca="false">Sens!F1187</f>
        <v>7.4735</v>
      </c>
      <c r="G1144" s="14" t="n">
        <f aca="false">Sens!G1187</f>
        <v>7.5185</v>
      </c>
      <c r="H1144" s="14" t="n">
        <f aca="false">Sens!H1187</f>
        <v>7.5635</v>
      </c>
      <c r="I1144" s="14" t="n">
        <f aca="false">Sens!I1187</f>
        <v>7.59252924615736</v>
      </c>
      <c r="J1144" s="14" t="n">
        <f aca="false">Sens!J1187</f>
        <v>7.60677075727524</v>
      </c>
      <c r="K1144" s="14" t="n">
        <f aca="false">Sens!K1187</f>
        <v>7.62329067497699</v>
      </c>
    </row>
    <row r="1145" customFormat="false" ht="17.15" hidden="false" customHeight="false" outlineLevel="0" collapsed="false">
      <c r="A1145" s="0" t="s">
        <v>927</v>
      </c>
      <c r="B1145" s="0" t="s">
        <v>75</v>
      </c>
      <c r="D1145" s="8" t="n">
        <f aca="false">Sens!D1143/Sens!D1144</f>
        <v>13.641259209645</v>
      </c>
      <c r="E1145" s="8" t="n">
        <f aca="false">Sens!E1143/Sens!E1144</f>
        <v>17.9456594659869</v>
      </c>
      <c r="F1145" s="8" t="n">
        <f aca="false">Sens!F1143/Sens!F1144</f>
        <v>17.499981564227</v>
      </c>
      <c r="G1145" s="8" t="n">
        <f aca="false">Sens!G1143/Sens!G1144</f>
        <v>17.997406629406</v>
      </c>
      <c r="H1145" s="8" t="n">
        <f aca="false">Sens!H1143/Sens!H1144</f>
        <v>17.9042072047507</v>
      </c>
      <c r="I1145" s="8" t="n">
        <f aca="false">Sens!I1143/Sens!I1144</f>
        <v>18.6013630130307</v>
      </c>
      <c r="J1145" s="8" t="n">
        <f aca="false">Sens!J1143/Sens!J1144</f>
        <v>19.5832380823348</v>
      </c>
      <c r="K1145" s="8" t="n">
        <f aca="false">Sens!K1143/Sens!K1144</f>
        <v>20.7893723888936</v>
      </c>
      <c r="L1145" s="1" t="s">
        <v>928</v>
      </c>
    </row>
    <row r="1146" customFormat="false" ht="17.15" hidden="false" customHeight="false" outlineLevel="0" collapsed="false">
      <c r="A1146" s="1" t="s">
        <v>929</v>
      </c>
      <c r="B1146" s="0" t="s">
        <v>98</v>
      </c>
      <c r="D1146" s="6" t="n">
        <f aca="false">Sens!D1143</f>
        <v>101.832</v>
      </c>
      <c r="E1146" s="6" t="n">
        <f aca="false">Sens!E1143</f>
        <v>133.749</v>
      </c>
      <c r="F1146" s="6" t="n">
        <f aca="false">Sens!F1143+Sens!F1136*(1-tax_f)</f>
        <v>138.910397420468</v>
      </c>
      <c r="G1146" s="6" t="n">
        <f aca="false">Sens!G1143+Sens!G1136*(1-tax_f)</f>
        <v>156.516652494913</v>
      </c>
      <c r="H1146" s="6" t="n">
        <f aca="false">Sens!H1143+Sens!H1136*(1-tax_f)</f>
        <v>170.92767065678</v>
      </c>
      <c r="I1146" s="6" t="n">
        <f aca="false">Sens!I1143+Sens!I1136*(1-tax_f)</f>
        <v>189.633674687925</v>
      </c>
      <c r="J1146" s="6" t="n">
        <f aca="false">Sens!J1143+Sens!J1136*(1-tax_f)</f>
        <v>206.468252744422</v>
      </c>
      <c r="K1146" s="6" t="n">
        <f aca="false">Sens!K1143+Sens!K1136*(1-tax_f)</f>
        <v>221.506566452538</v>
      </c>
    </row>
    <row r="1147" customFormat="false" ht="17.15" hidden="false" customHeight="false" outlineLevel="0" collapsed="false">
      <c r="A1147" s="0" t="s">
        <v>930</v>
      </c>
      <c r="B1147" s="0" t="s">
        <v>75</v>
      </c>
      <c r="D1147" s="8" t="n">
        <f aca="false">Sens!D1146/Sens!D1144</f>
        <v>13.641259209645</v>
      </c>
      <c r="E1147" s="8" t="n">
        <f aca="false">Sens!E1146/Sens!E1144</f>
        <v>17.9456594659869</v>
      </c>
      <c r="F1147" s="8" t="n">
        <f aca="false">Sens!F1146/Sens!F1144</f>
        <v>18.5870606035283</v>
      </c>
      <c r="G1147" s="8" t="n">
        <f aca="false">Sens!G1146/Sens!G1144</f>
        <v>20.8175370745379</v>
      </c>
      <c r="H1147" s="8" t="n">
        <f aca="false">Sens!H1146/Sens!H1144</f>
        <v>22.599017737394</v>
      </c>
      <c r="I1147" s="8" t="n">
        <f aca="false">Sens!I1146/Sens!I1144</f>
        <v>24.9763509022899</v>
      </c>
      <c r="J1147" s="8" t="n">
        <f aca="false">Sens!J1146/Sens!J1144</f>
        <v>27.1426942302621</v>
      </c>
      <c r="K1147" s="8" t="n">
        <f aca="false">Sens!K1146/Sens!K1144</f>
        <v>29.056555219601</v>
      </c>
      <c r="L1147" s="1" t="s">
        <v>931</v>
      </c>
    </row>
    <row r="1148" customFormat="false" ht="17.15" hidden="false" customHeight="false" outlineLevel="0" collapsed="false">
      <c r="A1148" s="0" t="s">
        <v>932</v>
      </c>
      <c r="B1148" s="0" t="s">
        <v>129</v>
      </c>
      <c r="E1148" s="7" t="n">
        <f aca="false">Sens!E1147/Sens!D1147-1</f>
        <v>0.315542736208578</v>
      </c>
      <c r="F1148" s="7" t="n">
        <f aca="false">Sens!F1147/Sens!E1147-1</f>
        <v>0.0357412965935899</v>
      </c>
      <c r="G1148" s="7" t="n">
        <f aca="false">Sens!G1147/Sens!F1147-1</f>
        <v>0.120001570909295</v>
      </c>
      <c r="H1148" s="7" t="n">
        <f aca="false">Sens!H1147/Sens!G1147-1</f>
        <v>0.085575957255533</v>
      </c>
      <c r="I1148" s="7" t="n">
        <f aca="false">Sens!I1147/Sens!H1147-1</f>
        <v>0.105196305101446</v>
      </c>
      <c r="J1148" s="7" t="n">
        <f aca="false">Sens!J1147/Sens!I1147-1</f>
        <v>0.0867357820382639</v>
      </c>
      <c r="K1148" s="7" t="n">
        <f aca="false">Sens!K1147/Sens!J1147-1</f>
        <v>0.0705110912388718</v>
      </c>
    </row>
    <row r="1149" customFormat="false" ht="17.15" hidden="false" customHeight="false" outlineLevel="0" collapsed="false">
      <c r="A1149" s="0" t="s">
        <v>856</v>
      </c>
      <c r="B1149" s="0" t="s">
        <v>98</v>
      </c>
      <c r="E1149" s="6" t="n">
        <f aca="false">Sens!E1090</f>
        <v>5.25</v>
      </c>
      <c r="F1149" s="6" t="n">
        <f aca="false">Sens!F1090</f>
        <v>10.5</v>
      </c>
      <c r="G1149" s="6" t="n">
        <f aca="false">Sens!G1090</f>
        <v>13.5</v>
      </c>
      <c r="H1149" s="6" t="n">
        <f aca="false">Sens!H1090</f>
        <v>16.5</v>
      </c>
      <c r="I1149" s="6" t="n">
        <f aca="false">Sens!I1090</f>
        <v>18.75</v>
      </c>
      <c r="J1149" s="6" t="n">
        <f aca="false">Sens!J1090</f>
        <v>20.25</v>
      </c>
      <c r="K1149" s="6" t="n">
        <f aca="false">Sens!K1090</f>
        <v>21.75</v>
      </c>
    </row>
    <row r="1150" customFormat="false" ht="17.15" hidden="false" customHeight="false" outlineLevel="0" collapsed="false">
      <c r="A1150" s="1" t="s">
        <v>857</v>
      </c>
      <c r="B1150" s="0" t="s">
        <v>98</v>
      </c>
      <c r="F1150" s="6" t="n">
        <f aca="false">MAX(0,((Sens!E1053+Sens!F1053)/2-(shadow_base*(Sens!$D$1053+Sens!$E$1053)/2+(1-shadow_base)*Sens!$E$1053))*Sens!F1061/1000-(Sens!F1149-Sens!$E$1149)*Sens!F1129)</f>
        <v>10.1553565002727</v>
      </c>
      <c r="G1150" s="6" t="n">
        <f aca="false">MAX(0,((Sens!F1053+Sens!G1053)/2-(shadow_base*(Sens!$D$1053+Sens!$E$1053)/2+(1-shadow_base)*Sens!$E$1053))*Sens!G1061/1000-(Sens!G1149-Sens!$E$1149)*Sens!G1129)</f>
        <v>26.5039384396555</v>
      </c>
      <c r="H1150" s="6" t="n">
        <f aca="false">MAX(0,((Sens!G1053+Sens!H1053)/2-(shadow_base*(Sens!$D$1053+Sens!$E$1053)/2+(1-shadow_base)*Sens!$E$1053))*Sens!H1061/1000-(Sens!H1149-Sens!$E$1149)*Sens!H1129)</f>
        <v>44.38649932956</v>
      </c>
      <c r="I1150" s="6" t="n">
        <f aca="false">MAX(0,((Sens!H1053+Sens!I1053)/2-(shadow_base*(Sens!$D$1053+Sens!$E$1053)/2+(1-shadow_base)*Sens!$E$1053))*Sens!I1061/1000-(Sens!I1149-Sens!$E$1149)*Sens!I1129)</f>
        <v>60.5028524913745</v>
      </c>
      <c r="J1150" s="6" t="n">
        <f aca="false">MAX(0,((Sens!I1053+Sens!J1053)/2-(shadow_base*(Sens!$D$1053+Sens!$E$1053)/2+(1-shadow_base)*Sens!$E$1053))*Sens!J1061/1000-(Sens!J1149-Sens!$E$1149)*Sens!J1129)</f>
        <v>71.8788124586976</v>
      </c>
      <c r="K1150" s="6" t="n">
        <f aca="false">MAX(0,((Sens!J1053+Sens!K1053)/2-(shadow_base*(Sens!$D$1053+Sens!$E$1053)/2+(1-shadow_base)*Sens!$E$1053))*Sens!K1061/1000-(Sens!K1149-Sens!$E$1149)*Sens!K1129)</f>
        <v>78.7789222270768</v>
      </c>
      <c r="L1150" s="1" t="s">
        <v>858</v>
      </c>
    </row>
    <row r="1151" customFormat="false" ht="17.15" hidden="false" customHeight="false" outlineLevel="0" collapsed="false">
      <c r="A1151" s="1" t="s">
        <v>859</v>
      </c>
      <c r="B1151" s="0" t="s">
        <v>98</v>
      </c>
      <c r="F1151" s="6" t="n">
        <f aca="false">IF(internal_ai_reading=2,1,0)*Sens!F1150</f>
        <v>10.1553565002727</v>
      </c>
      <c r="G1151" s="6" t="n">
        <f aca="false">IF(internal_ai_reading=2,1,0)*Sens!G1150</f>
        <v>26.5039384396555</v>
      </c>
      <c r="H1151" s="6" t="n">
        <f aca="false">IF(internal_ai_reading=2,1,0)*Sens!H1150</f>
        <v>44.38649932956</v>
      </c>
      <c r="I1151" s="6" t="n">
        <f aca="false">IF(internal_ai_reading=2,1,0)*Sens!I1150</f>
        <v>60.5028524913745</v>
      </c>
      <c r="J1151" s="6" t="n">
        <f aca="false">IF(internal_ai_reading=2,1,0)*Sens!J1150</f>
        <v>71.8788124586976</v>
      </c>
      <c r="K1151" s="6" t="n">
        <f aca="false">IF(internal_ai_reading=2,1,0)*Sens!K1150</f>
        <v>78.7789222270768</v>
      </c>
    </row>
    <row r="1152" customFormat="false" ht="17.15" hidden="false" customHeight="false" outlineLevel="0" collapsed="false">
      <c r="A1152" s="0" t="s">
        <v>860</v>
      </c>
      <c r="B1152" s="0" t="s">
        <v>98</v>
      </c>
      <c r="F1152" s="6" t="n">
        <f aca="false">Sens!F1070+Sens!F1149*Sens!F1129+Sens!F1151-Sens!F1071-Sens!F1081</f>
        <v>3.02564960732543</v>
      </c>
      <c r="G1152" s="6" t="n">
        <f aca="false">Sens!G1070+Sens!G1149*Sens!G1129+Sens!G1151-Sens!G1071-Sens!G1081</f>
        <v>5.28004897324311</v>
      </c>
      <c r="H1152" s="6" t="n">
        <f aca="false">Sens!H1070+Sens!H1149*Sens!H1129+Sens!H1151-Sens!H1071-Sens!H1081</f>
        <v>3.22816678415157</v>
      </c>
      <c r="I1152" s="6" t="n">
        <f aca="false">Sens!I1070+Sens!I1149*Sens!I1129+Sens!I1151-Sens!I1071-Sens!I1081</f>
        <v>6.92358045998432</v>
      </c>
      <c r="J1152" s="6" t="n">
        <f aca="false">Sens!J1070+Sens!J1149*Sens!J1129+Sens!J1151-Sens!J1071-Sens!J1081</f>
        <v>9.426239505989</v>
      </c>
      <c r="K1152" s="6" t="n">
        <f aca="false">Sens!K1070+Sens!K1149*Sens!K1129+Sens!K1151-Sens!K1071-Sens!K1081</f>
        <v>11.6205157748593</v>
      </c>
    </row>
    <row r="1153" customFormat="false" ht="17.15" hidden="false" customHeight="false" outlineLevel="0" collapsed="false">
      <c r="A1153" s="0" t="s">
        <v>861</v>
      </c>
      <c r="B1153" s="0" t="s">
        <v>98</v>
      </c>
      <c r="E1153" s="6" t="n">
        <f aca="false">Sens!E1052*(cxit_open+self_build*tk_cxfac)/1000*ai_net_open</f>
        <v>126.6980382</v>
      </c>
      <c r="F1153" s="6" t="n">
        <f aca="false">Sens!E1153+Sens!F1078-Sens!F1081</f>
        <v>252.981026690511</v>
      </c>
      <c r="G1153" s="6" t="n">
        <f aca="false">Sens!F1153+Sens!G1078-Sens!G1081</f>
        <v>377.4297700632</v>
      </c>
      <c r="H1153" s="6" t="n">
        <f aca="false">Sens!G1153+Sens!H1078-Sens!H1081</f>
        <v>479.149036130289</v>
      </c>
      <c r="I1153" s="6" t="n">
        <f aca="false">Sens!H1153+Sens!I1078-Sens!I1081</f>
        <v>532.249961452141</v>
      </c>
      <c r="J1153" s="6" t="n">
        <f aca="false">Sens!I1153+Sens!J1078-Sens!J1081</f>
        <v>531.43307519354</v>
      </c>
      <c r="K1153" s="6" t="n">
        <f aca="false">Sens!J1153+Sens!K1078-Sens!K1081</f>
        <v>513.709026452823</v>
      </c>
      <c r="L1153" s="1" t="s">
        <v>862</v>
      </c>
    </row>
    <row r="1154" customFormat="false" ht="17.15" hidden="false" customHeight="false" outlineLevel="0" collapsed="false">
      <c r="A1154" s="0" t="s">
        <v>863</v>
      </c>
      <c r="B1154" s="0" t="s">
        <v>129</v>
      </c>
      <c r="F1154" s="7" t="n">
        <f aca="false">Sens!F1152*(1-tax_f)/((Sens!E1153+Sens!F1153)/2)</f>
        <v>0.0127503458035452</v>
      </c>
      <c r="G1154" s="7" t="n">
        <f aca="false">Sens!G1152*(1-tax_f)/((Sens!F1153+Sens!G1153)/2)</f>
        <v>0.0134009100108885</v>
      </c>
      <c r="H1154" s="7" t="n">
        <f aca="false">Sens!H1152*(1-tax_f)/((Sens!G1153+Sens!H1153)/2)</f>
        <v>0.00602987934944984</v>
      </c>
      <c r="I1154" s="7" t="n">
        <f aca="false">Sens!I1152*(1-tax_f)/((Sens!H1153+Sens!I1153)/2)</f>
        <v>0.0109528769184607</v>
      </c>
      <c r="J1154" s="7" t="n">
        <f aca="false">Sens!J1152*(1-tax_f)/((Sens!I1153+Sens!J1153)/2)</f>
        <v>0.0141790201497839</v>
      </c>
      <c r="K1154" s="7" t="n">
        <f aca="false">Sens!K1152*(1-tax_f)/((Sens!J1153+Sens!K1153)/2)</f>
        <v>0.0177897581682783</v>
      </c>
    </row>
    <row r="1155" customFormat="false" ht="17.15" hidden="false" customHeight="false" outlineLevel="0" collapsed="false">
      <c r="A1155" s="1" t="s">
        <v>864</v>
      </c>
      <c r="B1155" s="0" t="s">
        <v>129</v>
      </c>
      <c r="F1155" s="7" t="n">
        <f aca="false">(Sens!F1152-Sens!F1151)*(1-tax_f)/((Sens!E1153+Sens!F1153)/2)</f>
        <v>-0.0300451936479702</v>
      </c>
      <c r="G1155" s="7" t="n">
        <f aca="false">(Sens!G1152-Sens!G1151)*(1-tax_f)/((Sens!F1153+Sens!G1153)/2)</f>
        <v>-0.0538668171946405</v>
      </c>
      <c r="H1155" s="7" t="n">
        <f aca="false">(Sens!H1152-Sens!H1151)*(1-tax_f)/((Sens!G1153+Sens!H1153)/2)</f>
        <v>-0.0768794786848581</v>
      </c>
      <c r="I1155" s="7" t="n">
        <f aca="false">(Sens!I1152-Sens!I1151)*(1-tax_f)/((Sens!H1153+Sens!I1153)/2)</f>
        <v>-0.0847606488192485</v>
      </c>
      <c r="J1155" s="7" t="n">
        <f aca="false">(Sens!J1152-Sens!J1151)*(1-tax_f)/((Sens!I1153+Sens!J1153)/2)</f>
        <v>-0.0939416285507794</v>
      </c>
      <c r="K1155" s="7" t="n">
        <f aca="false">(Sens!K1152-Sens!K1151)*(1-tax_f)/((Sens!J1153+Sens!K1153)/2)</f>
        <v>-0.102812287586809</v>
      </c>
    </row>
    <row r="1156" customFormat="false" ht="17.15" hidden="false" customHeight="false" outlineLevel="0" collapsed="false">
      <c r="A1156" s="1" t="s">
        <v>865</v>
      </c>
      <c r="B1156" s="0" t="s">
        <v>129</v>
      </c>
      <c r="F1156" s="7" t="n">
        <f aca="false">(Sens!F1152-Sens!F1151+Sens!F1150)*(1-tax_f)/((Sens!E1153+Sens!F1153)/2)</f>
        <v>0.0127503458035452</v>
      </c>
      <c r="G1156" s="7" t="n">
        <f aca="false">(Sens!G1152-Sens!G1151+Sens!G1150)*(1-tax_f)/((Sens!F1153+Sens!G1153)/2)</f>
        <v>0.0134009100108885</v>
      </c>
      <c r="H1156" s="7" t="n">
        <f aca="false">(Sens!H1152-Sens!H1151+Sens!H1150)*(1-tax_f)/((Sens!G1153+Sens!H1153)/2)</f>
        <v>0.00602987934944984</v>
      </c>
      <c r="I1156" s="7" t="n">
        <f aca="false">(Sens!I1152-Sens!I1151+Sens!I1150)*(1-tax_f)/((Sens!H1153+Sens!I1153)/2)</f>
        <v>0.0109528769184607</v>
      </c>
      <c r="J1156" s="7" t="n">
        <f aca="false">(Sens!J1152-Sens!J1151+Sens!J1150)*(1-tax_f)/((Sens!I1153+Sens!J1153)/2)</f>
        <v>0.0141790201497839</v>
      </c>
      <c r="K1156" s="7" t="n">
        <f aca="false">(Sens!K1152-Sens!K1151+Sens!K1150)*(1-tax_f)/((Sens!J1153+Sens!K1153)/2)</f>
        <v>0.0177897581682783</v>
      </c>
    </row>
    <row r="1157" customFormat="false" ht="17.15" hidden="false" customHeight="false" outlineLevel="0" collapsed="false">
      <c r="A1157" s="1" t="s">
        <v>866</v>
      </c>
      <c r="B1157" s="0" t="s">
        <v>129</v>
      </c>
      <c r="F1157" s="7" t="n">
        <f aca="false">Sens!F1082*(1-tax_f)/(Sens!F1069*(Sens!E1153+Sens!F1153)/2)</f>
        <v>0.0493618748086577</v>
      </c>
      <c r="G1157" s="7" t="n">
        <f aca="false">Sens!G1082*(1-tax_f)/(Sens!G1069*(Sens!F1153+Sens!G1153)/2)</f>
        <v>0.0232779106087132</v>
      </c>
      <c r="H1157" s="7" t="n">
        <f aca="false">Sens!H1082*(1-tax_f)/(Sens!H1069*(Sens!G1153+Sens!H1153)/2)</f>
        <v>-0.00240115021910922</v>
      </c>
      <c r="I1157" s="7" t="n">
        <f aca="false">Sens!I1082*(1-tax_f)/(Sens!I1069*(Sens!H1153+Sens!I1153)/2)</f>
        <v>-0.00237050395278233</v>
      </c>
      <c r="J1157" s="7" t="n">
        <f aca="false">Sens!J1082*(1-tax_f)/(Sens!J1069*(Sens!I1153+Sens!J1153)/2)</f>
        <v>-0.00256924262270524</v>
      </c>
      <c r="K1157" s="7" t="n">
        <f aca="false">Sens!K1082*(1-tax_f)/(Sens!K1069*(Sens!J1153+Sens!K1153)/2)</f>
        <v>-0.00158521379576947</v>
      </c>
    </row>
    <row r="1158" customFormat="false" ht="17.15" hidden="false" customHeight="false" outlineLevel="0" collapsed="false">
      <c r="A1158" s="0" t="s">
        <v>867</v>
      </c>
      <c r="B1158" s="0" t="s">
        <v>209</v>
      </c>
      <c r="F1158" s="7" t="n">
        <f aca="false">Sens!F1154-wacc</f>
        <v>-0.0901840742893306</v>
      </c>
      <c r="G1158" s="7" t="n">
        <f aca="false">Sens!G1154-wacc</f>
        <v>-0.0895335100819873</v>
      </c>
      <c r="H1158" s="7" t="n">
        <f aca="false">Sens!H1154-wacc</f>
        <v>-0.0969045407434259</v>
      </c>
      <c r="I1158" s="7" t="n">
        <f aca="false">Sens!I1154-wacc</f>
        <v>-0.091981543174415</v>
      </c>
      <c r="J1158" s="7" t="n">
        <f aca="false">Sens!J1154-wacc</f>
        <v>-0.0887553999430919</v>
      </c>
      <c r="K1158" s="7" t="n">
        <f aca="false">Sens!K1154-wacc</f>
        <v>-0.0851446619245974</v>
      </c>
    </row>
    <row r="1159" customFormat="false" ht="17.15" hidden="false" customHeight="false" outlineLevel="0" collapsed="false">
      <c r="A1159" s="0" t="s">
        <v>868</v>
      </c>
      <c r="B1159" s="0" t="s">
        <v>98</v>
      </c>
      <c r="F1159" s="6" t="n">
        <f aca="false">Sens!F1152*(1-tax_f)-wacc*(Sens!E1153+Sens!F1153)/2</f>
        <v>-17.1205024970947</v>
      </c>
      <c r="G1159" s="6" t="n">
        <f aca="false">Sens!G1152*(1-tax_f)-wacc*(Sens!F1153+Sens!G1153)/2</f>
        <v>-28.221445713471</v>
      </c>
      <c r="H1159" s="6" t="n">
        <f aca="false">Sens!H1152*(1-tax_f)-wacc*(Sens!G1153+Sens!H1153)/2</f>
        <v>-41.503187912366</v>
      </c>
      <c r="I1159" s="6" t="n">
        <f aca="false">Sens!I1152*(1-tax_f)-wacc*(Sens!H1153+Sens!I1153)/2</f>
        <v>-46.5150202813442</v>
      </c>
      <c r="J1159" s="6" t="n">
        <f aca="false">Sens!J1152*(1-tax_f)-wacc*(Sens!I1153+Sens!J1153)/2</f>
        <v>-47.203806665085</v>
      </c>
      <c r="K1159" s="6" t="n">
        <f aca="false">Sens!K1152*(1-tax_f)-wacc*(Sens!J1153+Sens!K1153)/2</f>
        <v>-44.4941354539214</v>
      </c>
    </row>
    <row r="1160" customFormat="false" ht="17.15" hidden="false" customHeight="false" outlineLevel="0" collapsed="false">
      <c r="A1160" s="3" t="s">
        <v>1290</v>
      </c>
    </row>
    <row r="1161" customFormat="false" ht="15" hidden="false" customHeight="false" outlineLevel="0" collapsed="false">
      <c r="A1161" s="4" t="s">
        <v>43</v>
      </c>
      <c r="B1161" s="4" t="s">
        <v>65</v>
      </c>
      <c r="C1161" s="20" t="s">
        <v>799</v>
      </c>
      <c r="D1161" s="20" t="s">
        <v>800</v>
      </c>
      <c r="E1161" s="20" t="s">
        <v>801</v>
      </c>
      <c r="F1161" s="20" t="s">
        <v>802</v>
      </c>
      <c r="G1161" s="20" t="s">
        <v>803</v>
      </c>
      <c r="H1161" s="20" t="s">
        <v>804</v>
      </c>
      <c r="I1161" s="20" t="s">
        <v>805</v>
      </c>
      <c r="J1161" s="20" t="s">
        <v>806</v>
      </c>
      <c r="K1161" s="20" t="s">
        <v>807</v>
      </c>
      <c r="L1161" s="4" t="s">
        <v>47</v>
      </c>
    </row>
    <row r="1162" customFormat="false" ht="15" hidden="false" customHeight="false" outlineLevel="0" collapsed="false">
      <c r="A1162" s="1" t="s">
        <v>925</v>
      </c>
      <c r="B1162" s="0" t="s">
        <v>98</v>
      </c>
      <c r="F1162" s="6" t="n">
        <f aca="false">Sens!F1143</f>
        <v>130.78611222025</v>
      </c>
      <c r="G1162" s="6" t="n">
        <f aca="false">Sens!G1143</f>
        <v>135.313501743189</v>
      </c>
      <c r="H1162" s="6" t="n">
        <f aca="false">Sens!H1143</f>
        <v>135.418471193132</v>
      </c>
      <c r="I1162" s="6" t="n">
        <f aca="false">Sens!I1143</f>
        <v>141.231392694826</v>
      </c>
      <c r="J1162" s="6" t="n">
        <f aca="false">Sens!J1143</f>
        <v>148.965202777464</v>
      </c>
      <c r="K1162" s="6" t="n">
        <f aca="false">Sens!K1143</f>
        <v>158.483428670876</v>
      </c>
    </row>
    <row r="1163" customFormat="false" ht="17.15" hidden="false" customHeight="false" outlineLevel="0" collapsed="false">
      <c r="A1163" s="1" t="s">
        <v>947</v>
      </c>
      <c r="B1163" s="0" t="s">
        <v>98</v>
      </c>
      <c r="E1163" s="6" t="n">
        <f aca="false">Q!M38-Sens!E1081</f>
        <v>22.2285940229167</v>
      </c>
      <c r="F1163" s="6" t="n">
        <f aca="false">Sens!E1163*(1-1/life_nonai)+(Sens!F1170+Sens!F1171)/life_nonai</f>
        <v>24.3924470334783</v>
      </c>
      <c r="G1163" s="6" t="n">
        <f aca="false">Sens!F1163*(1-1/life_nonai)+(Sens!G1170)/life_nonai</f>
        <v>26.0234916871694</v>
      </c>
      <c r="H1163" s="6" t="n">
        <f aca="false">Sens!G1163*(1-1/life_nonai)+(Sens!H1170)/life_nonai</f>
        <v>28.0272938828615</v>
      </c>
      <c r="I1163" s="6" t="n">
        <f aca="false">Sens!H1163*(1-1/life_nonai)+(Sens!I1170)/life_nonai</f>
        <v>30.3469045257397</v>
      </c>
      <c r="J1163" s="6" t="n">
        <f aca="false">Sens!I1163*(1-1/life_nonai)+(Sens!J1170)/life_nonai</f>
        <v>32.9078053982031</v>
      </c>
      <c r="K1163" s="6" t="n">
        <f aca="false">Sens!J1163*(1-1/life_nonai)+(Sens!K1170)/life_nonai</f>
        <v>35.6263951325822</v>
      </c>
      <c r="L1163" s="11" t="s">
        <v>948</v>
      </c>
    </row>
    <row r="1164" customFormat="false" ht="17.15" hidden="false" customHeight="false" outlineLevel="0" collapsed="false">
      <c r="A1164" s="1" t="s">
        <v>949</v>
      </c>
      <c r="B1164" s="0" t="s">
        <v>98</v>
      </c>
      <c r="F1164" s="6" t="n">
        <f aca="false">Sens!$F$1171/life_nonai*(1-1/life_nonai)^(Sens!F1047-2027)</f>
        <v>0.843777689897088</v>
      </c>
      <c r="G1164" s="6" t="n">
        <f aca="false">Sens!$F$1171/life_nonai*(1-1/life_nonai)^(Sens!G1047-2027)</f>
        <v>0.759399920907379</v>
      </c>
      <c r="H1164" s="6" t="n">
        <f aca="false">Sens!$F$1171/life_nonai*(1-1/life_nonai)^(Sens!H1047-2027)</f>
        <v>0.683459928816641</v>
      </c>
      <c r="I1164" s="6" t="n">
        <f aca="false">Sens!$F$1171/life_nonai*(1-1/life_nonai)^(Sens!I1047-2027)</f>
        <v>0.615113935934977</v>
      </c>
      <c r="J1164" s="6" t="n">
        <f aca="false">Sens!$F$1171/life_nonai*(1-1/life_nonai)^(Sens!J1047-2027)</f>
        <v>0.55360254234148</v>
      </c>
      <c r="K1164" s="6" t="n">
        <f aca="false">Sens!$F$1171/life_nonai*(1-1/life_nonai)^(Sens!K1047-2027)</f>
        <v>0.498242288107332</v>
      </c>
      <c r="L1164" s="1" t="s">
        <v>950</v>
      </c>
    </row>
    <row r="1165" customFormat="false" ht="17.15" hidden="false" customHeight="false" outlineLevel="0" collapsed="false">
      <c r="A1165" s="1" t="s">
        <v>951</v>
      </c>
      <c r="B1165" s="0" t="s">
        <v>98</v>
      </c>
      <c r="E1165" s="6" t="n">
        <f aca="false">Sens!E1081+Sens!E1163</f>
        <v>38.534</v>
      </c>
      <c r="F1165" s="6" t="n">
        <f aca="false">Sens!F1081+Sens!F1163</f>
        <v>58.4423344144339</v>
      </c>
      <c r="G1165" s="6" t="n">
        <f aca="false">Sens!G1081+Sens!G1163</f>
        <v>85.1489287976805</v>
      </c>
      <c r="H1165" s="6" t="n">
        <f aca="false">Sens!H1081+Sens!H1163</f>
        <v>114.388313726173</v>
      </c>
      <c r="I1165" s="6" t="n">
        <f aca="false">Sens!I1081+Sens!I1163</f>
        <v>140.952648358132</v>
      </c>
      <c r="J1165" s="6" t="n">
        <f aca="false">Sens!J1081+Sens!J1163</f>
        <v>160.906128251046</v>
      </c>
      <c r="K1165" s="6" t="n">
        <f aca="false">Sens!K1081+Sens!K1163</f>
        <v>174.75785917689</v>
      </c>
    </row>
    <row r="1166" customFormat="false" ht="17.15" hidden="false" customHeight="false" outlineLevel="0" collapsed="false">
      <c r="A1166" s="1" t="s">
        <v>952</v>
      </c>
      <c r="B1166" s="0" t="s">
        <v>98</v>
      </c>
      <c r="F1166" s="6" t="n">
        <f aca="false">Sens!F1108*sbc_r</f>
        <v>14.4261539225176</v>
      </c>
      <c r="G1166" s="6" t="n">
        <f aca="false">Sens!G1108*sbc_r</f>
        <v>16.6398482954775</v>
      </c>
      <c r="H1166" s="6" t="n">
        <f aca="false">Sens!H1108*sbc_r</f>
        <v>18.7323682130536</v>
      </c>
      <c r="I1166" s="6" t="n">
        <f aca="false">Sens!I1108*sbc_r</f>
        <v>20.908776477893</v>
      </c>
      <c r="J1166" s="6" t="n">
        <f aca="false">Sens!J1108*sbc_r</f>
        <v>22.7657948460547</v>
      </c>
      <c r="K1166" s="6" t="n">
        <f aca="false">Sens!K1108*sbc_r</f>
        <v>24.3173197076101</v>
      </c>
    </row>
    <row r="1167" customFormat="false" ht="17.15" hidden="false" customHeight="false" outlineLevel="0" collapsed="false">
      <c r="A1167" s="1" t="s">
        <v>953</v>
      </c>
      <c r="B1167" s="0" t="s">
        <v>98</v>
      </c>
      <c r="F1167" s="6" t="n">
        <f aca="false">wc27</f>
        <v>-4.895</v>
      </c>
      <c r="G1167" s="6" t="n">
        <f aca="false">wc_f</f>
        <v>0</v>
      </c>
      <c r="H1167" s="6" t="n">
        <f aca="false">wc_f</f>
        <v>0</v>
      </c>
      <c r="I1167" s="6" t="n">
        <f aca="false">wc_f</f>
        <v>0</v>
      </c>
      <c r="J1167" s="6" t="n">
        <f aca="false">wc_f</f>
        <v>0</v>
      </c>
      <c r="K1167" s="6" t="n">
        <f aca="false">wc_f</f>
        <v>0</v>
      </c>
      <c r="L1167" s="11" t="s">
        <v>954</v>
      </c>
    </row>
    <row r="1168" customFormat="false" ht="15" hidden="false" customHeight="false" outlineLevel="0" collapsed="false">
      <c r="A1168" s="1" t="s">
        <v>767</v>
      </c>
      <c r="B1168" s="0" t="s">
        <v>98</v>
      </c>
      <c r="E1168" s="6" t="n">
        <f aca="false">Q!M35</f>
        <v>182.935</v>
      </c>
      <c r="F1168" s="6" t="n">
        <f aca="false">Sens!F1162+Sens!F1165+Sens!F1166+Sens!F1167</f>
        <v>198.759600557202</v>
      </c>
      <c r="G1168" s="6" t="n">
        <f aca="false">Sens!G1162+Sens!G1165+Sens!G1166+Sens!G1167</f>
        <v>237.102278836347</v>
      </c>
      <c r="H1168" s="6" t="n">
        <f aca="false">Sens!H1162+Sens!H1165+Sens!H1166+Sens!H1167</f>
        <v>268.539153132358</v>
      </c>
      <c r="I1168" s="6" t="n">
        <f aca="false">Sens!I1162+Sens!I1165+Sens!I1166+Sens!I1167</f>
        <v>303.092817530851</v>
      </c>
      <c r="J1168" s="6" t="n">
        <f aca="false">Sens!J1162+Sens!J1165+Sens!J1166+Sens!J1167</f>
        <v>332.637125874565</v>
      </c>
      <c r="K1168" s="6" t="n">
        <f aca="false">Sens!K1162+Sens!K1165+Sens!K1166+Sens!K1167</f>
        <v>357.558607555377</v>
      </c>
    </row>
    <row r="1169" customFormat="false" ht="17.15" hidden="false" customHeight="false" outlineLevel="0" collapsed="false">
      <c r="A1169" s="0" t="s">
        <v>955</v>
      </c>
      <c r="B1169" s="0" t="s">
        <v>98</v>
      </c>
      <c r="F1169" s="6" t="n">
        <f aca="false">Sens!F1078</f>
        <v>160.332875871467</v>
      </c>
      <c r="G1169" s="6" t="n">
        <f aca="false">Sens!G1078</f>
        <v>183.5741804832</v>
      </c>
      <c r="H1169" s="6" t="n">
        <f aca="false">Sens!H1078</f>
        <v>188.0802859104</v>
      </c>
      <c r="I1169" s="6" t="n">
        <f aca="false">Sens!I1078</f>
        <v>163.706669154245</v>
      </c>
      <c r="J1169" s="6" t="n">
        <f aca="false">Sens!J1078</f>
        <v>127.181436594242</v>
      </c>
      <c r="K1169" s="6" t="n">
        <f aca="false">Sens!K1078</f>
        <v>121.407415303591</v>
      </c>
    </row>
    <row r="1170" customFormat="false" ht="17.15" hidden="false" customHeight="false" outlineLevel="0" collapsed="false">
      <c r="A1170" s="1" t="s">
        <v>956</v>
      </c>
      <c r="B1170" s="0" t="s">
        <v>98</v>
      </c>
      <c r="E1170" s="6" t="n">
        <f aca="false">Sens!E1086*cx_azo+Sens!E1093*cx_m365+Sens!E1094*cx_lic+(Sens!E1096+Sens!E1098)*cx_ind+Sens!E1101*cx_srch+(Sens!E1103+Sens!E1105)*cx_dev</f>
        <v>30.1846587067718</v>
      </c>
      <c r="F1170" s="6" t="n">
        <f aca="false">Sens!F1086*cx_azo+Sens!F1093*cx_m365+Sens!F1094*cx_lic+(Sens!F1096+Sens!F1098)*cx_ind+Sens!F1101*cx_srch+(Sens!F1103+Sens!F1105)*cx_dev</f>
        <v>35.4293472295625</v>
      </c>
      <c r="G1170" s="6" t="n">
        <f aca="false">Sens!G1086*cx_azo+Sens!G1093*cx_m365+Sens!G1094*cx_lic+(Sens!G1096+Sens!G1098)*cx_ind+Sens!G1101*cx_srch+(Sens!G1103+Sens!G1105)*cx_dev</f>
        <v>40.7028935703892</v>
      </c>
      <c r="H1170" s="6" t="n">
        <f aca="false">Sens!H1086*cx_azo+Sens!H1093*cx_m365+Sens!H1094*cx_lic+(Sens!H1096+Sens!H1098)*cx_ind+Sens!H1101*cx_srch+(Sens!H1103+Sens!H1105)*cx_dev</f>
        <v>46.0615136440897</v>
      </c>
      <c r="I1170" s="6" t="n">
        <f aca="false">Sens!I1086*cx_azo+Sens!I1093*cx_m365+Sens!I1094*cx_lic+(Sens!I1096+Sens!I1098)*cx_ind+Sens!I1101*cx_srch+(Sens!I1103+Sens!I1105)*cx_dev</f>
        <v>51.2234003116439</v>
      </c>
      <c r="J1170" s="6" t="n">
        <f aca="false">Sens!J1086*cx_azo+Sens!J1093*cx_m365+Sens!J1094*cx_lic+(Sens!J1096+Sens!J1098)*cx_ind+Sens!J1101*cx_srch+(Sens!J1103+Sens!J1105)*cx_dev</f>
        <v>55.9559132503738</v>
      </c>
      <c r="K1170" s="6" t="n">
        <f aca="false">Sens!K1086*cx_azo+Sens!K1093*cx_m365+Sens!K1094*cx_lic+(Sens!K1096+Sens!K1098)*cx_ind+Sens!K1101*cx_srch+(Sens!K1103+Sens!K1105)*cx_dev</f>
        <v>60.093702741994</v>
      </c>
    </row>
    <row r="1171" customFormat="false" ht="17.15" hidden="false" customHeight="false" outlineLevel="0" collapsed="false">
      <c r="A1171" s="0" t="s">
        <v>957</v>
      </c>
      <c r="B1171" s="0" t="s">
        <v>98</v>
      </c>
      <c r="F1171" s="6" t="n">
        <f aca="false">Sens!F1076</f>
        <v>8.43777689897088</v>
      </c>
      <c r="L1171" s="1" t="s">
        <v>958</v>
      </c>
    </row>
    <row r="1172" customFormat="false" ht="17.15" hidden="false" customHeight="false" outlineLevel="0" collapsed="false">
      <c r="A1172" s="1" t="s">
        <v>959</v>
      </c>
      <c r="B1172" s="0" t="s">
        <v>98</v>
      </c>
      <c r="E1172" s="6" t="n">
        <f aca="false">Q!M42</f>
        <v>145.3</v>
      </c>
      <c r="F1172" s="6" t="n">
        <f aca="false">Sens!F1169+Sens!F1170+Sens!F1171</f>
        <v>204.2</v>
      </c>
      <c r="G1172" s="6" t="n">
        <f aca="false">Sens!G1169+Sens!G1170</f>
        <v>224.277074053589</v>
      </c>
      <c r="H1172" s="6" t="n">
        <f aca="false">Sens!H1169+Sens!H1170</f>
        <v>234.14179955449</v>
      </c>
      <c r="I1172" s="6" t="n">
        <f aca="false">Sens!I1169+Sens!I1170</f>
        <v>214.930069465889</v>
      </c>
      <c r="J1172" s="6" t="n">
        <f aca="false">Sens!J1169+Sens!J1170</f>
        <v>183.137349844616</v>
      </c>
      <c r="K1172" s="6" t="n">
        <f aca="false">Sens!K1169+Sens!K1170</f>
        <v>181.501118045585</v>
      </c>
      <c r="L1172" s="1" t="s">
        <v>960</v>
      </c>
    </row>
    <row r="1173" customFormat="false" ht="15" hidden="false" customHeight="false" outlineLevel="0" collapsed="false">
      <c r="A1173" s="1" t="s">
        <v>961</v>
      </c>
      <c r="B1173" s="0" t="s">
        <v>98</v>
      </c>
      <c r="E1173" s="6" t="n">
        <f aca="false">fl_liab</f>
        <v>66.594</v>
      </c>
      <c r="F1173" s="6" t="n">
        <f aca="false">Sens!E1173-Sens!F1174</f>
        <v>62.46973</v>
      </c>
      <c r="G1173" s="6" t="n">
        <f aca="false">Sens!F1173-Sens!G1174</f>
        <v>57.98686785</v>
      </c>
      <c r="H1173" s="6" t="n">
        <f aca="false">Sens!G1173-Sens!H1174</f>
        <v>53.92827690325</v>
      </c>
      <c r="I1173" s="6" t="n">
        <f aca="false">Sens!H1173-Sens!I1174</f>
        <v>49.7850493638962</v>
      </c>
      <c r="J1173" s="6" t="n">
        <f aca="false">Sens!I1173-Sens!J1174</f>
        <v>45.4823765852716</v>
      </c>
      <c r="K1173" s="6" t="n">
        <f aca="false">Sens!J1173-Sens!K1174</f>
        <v>40.9860835316088</v>
      </c>
    </row>
    <row r="1174" customFormat="false" ht="15" hidden="false" customHeight="false" outlineLevel="0" collapsed="false">
      <c r="A1174" s="1" t="s">
        <v>962</v>
      </c>
      <c r="B1174" s="0" t="s">
        <v>98</v>
      </c>
      <c r="F1174" s="6" t="n">
        <f aca="false">fl_pay_27-Sens!E1173*fl_rate</f>
        <v>4.12427</v>
      </c>
      <c r="G1174" s="6" t="n">
        <f aca="false">fl_pay_28-Sens!F1173*fl_rate</f>
        <v>4.48286215</v>
      </c>
      <c r="H1174" s="6" t="n">
        <f aca="false">fl_pay_29-Sens!G1173*fl_rate</f>
        <v>4.05859094675</v>
      </c>
      <c r="I1174" s="6" t="n">
        <f aca="false">fl_pay_30-Sens!H1173*fl_rate</f>
        <v>4.14322753935375</v>
      </c>
      <c r="J1174" s="6" t="n">
        <f aca="false">fl_pay_31-Sens!I1173*fl_rate</f>
        <v>4.30267277862467</v>
      </c>
      <c r="K1174" s="6" t="n">
        <f aca="false">fl_pay_32-Sens!J1173*fl_rate</f>
        <v>4.49629305366278</v>
      </c>
    </row>
    <row r="1175" customFormat="false" ht="17.15" hidden="false" customHeight="false" outlineLevel="0" collapsed="false">
      <c r="A1175" s="1" t="s">
        <v>963</v>
      </c>
      <c r="B1175" s="0" t="s">
        <v>98</v>
      </c>
      <c r="E1175" s="6" t="n">
        <f aca="false">Q!M35-Q!M36-Q!M43</f>
        <v>63.886</v>
      </c>
      <c r="F1175" s="6" t="n">
        <f aca="false">Sens!F1168-Sens!F1172-Sens!F1174</f>
        <v>-9.56466944279831</v>
      </c>
      <c r="G1175" s="6" t="n">
        <f aca="false">Sens!G1168-Sens!G1172-Sens!G1174</f>
        <v>8.34234263275774</v>
      </c>
      <c r="H1175" s="6" t="n">
        <f aca="false">Sens!H1168-Sens!H1172-Sens!H1174</f>
        <v>30.3387626311184</v>
      </c>
      <c r="I1175" s="6" t="n">
        <f aca="false">Sens!I1168-Sens!I1172-Sens!I1174</f>
        <v>84.0195205256078</v>
      </c>
      <c r="J1175" s="6" t="n">
        <f aca="false">Sens!J1168-Sens!J1172-Sens!J1174</f>
        <v>145.197103251324</v>
      </c>
      <c r="K1175" s="6" t="n">
        <f aca="false">Sens!K1168-Sens!K1172-Sens!K1174</f>
        <v>171.561196456129</v>
      </c>
      <c r="L1175" s="11" t="s">
        <v>964</v>
      </c>
    </row>
    <row r="1176" customFormat="false" ht="15" hidden="false" customHeight="false" outlineLevel="0" collapsed="false">
      <c r="A1176" s="1" t="s">
        <v>965</v>
      </c>
      <c r="B1176" s="0" t="s">
        <v>75</v>
      </c>
      <c r="F1176" s="8" t="n">
        <f aca="false">dps_27</f>
        <v>3.85</v>
      </c>
      <c r="G1176" s="8" t="n">
        <f aca="false">Sens!F1176*(1+dps_g)</f>
        <v>4.158</v>
      </c>
      <c r="H1176" s="8" t="n">
        <f aca="false">Sens!G1176*(1+dps_g)</f>
        <v>4.49064</v>
      </c>
      <c r="I1176" s="8" t="n">
        <f aca="false">Sens!H1176*(1+dps_g)</f>
        <v>4.8498912</v>
      </c>
      <c r="J1176" s="8" t="n">
        <f aca="false">Sens!I1176*(1+dps_g)</f>
        <v>5.237882496</v>
      </c>
      <c r="K1176" s="8" t="n">
        <f aca="false">Sens!J1176*(1+dps_g)</f>
        <v>5.65691309568</v>
      </c>
    </row>
    <row r="1177" customFormat="false" ht="17.15" hidden="false" customHeight="false" outlineLevel="0" collapsed="false">
      <c r="A1177" s="1" t="s">
        <v>966</v>
      </c>
      <c r="B1177" s="0" t="s">
        <v>98</v>
      </c>
      <c r="E1177" s="6" t="n">
        <f aca="false">Q!M41</f>
        <v>26.445</v>
      </c>
      <c r="F1177" s="6" t="n">
        <f aca="false">Sens!F1176*Sens!E1186</f>
        <v>28.59395</v>
      </c>
      <c r="G1177" s="6" t="n">
        <f aca="false">Sens!G1176*Sens!F1186</f>
        <v>31.068576</v>
      </c>
      <c r="H1177" s="6" t="n">
        <f aca="false">Sens!H1176*Sens!G1186</f>
        <v>33.75614088</v>
      </c>
      <c r="I1177" s="6" t="n">
        <f aca="false">Sens!I1176*Sens!H1186</f>
        <v>36.6748772544</v>
      </c>
      <c r="J1177" s="6" t="n">
        <f aca="false">Sens!J1176*Sens!I1186</f>
        <v>39.6772662830715</v>
      </c>
      <c r="K1177" s="6" t="n">
        <f aca="false">Sens!K1176*Sens!J1186</f>
        <v>42.9387028110222</v>
      </c>
      <c r="L1177" s="1" t="s">
        <v>967</v>
      </c>
    </row>
    <row r="1178" customFormat="false" ht="15" hidden="false" customHeight="false" outlineLevel="0" collapsed="false">
      <c r="A1178" s="1" t="s">
        <v>968</v>
      </c>
      <c r="B1178" s="0" t="s">
        <v>98</v>
      </c>
      <c r="E1178" s="6" t="n">
        <f aca="false">Sens!E1175-Sens!E1177</f>
        <v>37.441</v>
      </c>
      <c r="F1178" s="6" t="n">
        <f aca="false">Sens!F1175-Sens!F1177</f>
        <v>-38.1586194427983</v>
      </c>
      <c r="G1178" s="6" t="n">
        <f aca="false">Sens!G1175-Sens!G1177</f>
        <v>-22.7262333672423</v>
      </c>
      <c r="H1178" s="6" t="n">
        <f aca="false">Sens!H1175-Sens!H1177</f>
        <v>-3.41737824888162</v>
      </c>
      <c r="I1178" s="6" t="n">
        <f aca="false">Sens!I1175-Sens!I1177</f>
        <v>47.3446432712078</v>
      </c>
      <c r="J1178" s="6" t="n">
        <f aca="false">Sens!J1175-Sens!J1177</f>
        <v>105.519836968253</v>
      </c>
      <c r="K1178" s="6" t="n">
        <f aca="false">Sens!K1175-Sens!K1177</f>
        <v>128.622493645107</v>
      </c>
    </row>
    <row r="1179" customFormat="false" ht="15" hidden="false" customHeight="false" outlineLevel="0" collapsed="false">
      <c r="A1179" s="1" t="s">
        <v>969</v>
      </c>
      <c r="B1179" s="0" t="s">
        <v>98</v>
      </c>
      <c r="F1179" s="6" t="n">
        <f aca="false">debt_mat_27</f>
        <v>9.25</v>
      </c>
      <c r="G1179" s="6" t="n">
        <f aca="false">debt_mat_28</f>
        <v>0</v>
      </c>
      <c r="H1179" s="6" t="n">
        <f aca="false">debt_mat_29</f>
        <v>2.001</v>
      </c>
      <c r="I1179" s="6" t="n">
        <f aca="false">debt_mat_30</f>
        <v>0</v>
      </c>
      <c r="J1179" s="6" t="n">
        <f aca="false">debt_mat_31</f>
        <v>0.5</v>
      </c>
      <c r="K1179" s="6" t="n">
        <f aca="false">debt_mat_32</f>
        <v>0</v>
      </c>
    </row>
    <row r="1180" customFormat="false" ht="15" hidden="false" customHeight="false" outlineLevel="0" collapsed="false">
      <c r="A1180" s="1" t="s">
        <v>970</v>
      </c>
      <c r="B1180" s="0" t="s">
        <v>98</v>
      </c>
      <c r="E1180" s="6" t="n">
        <f aca="false">Q!M40</f>
        <v>22.271</v>
      </c>
      <c r="F1180" s="6" t="n">
        <f aca="false">MAX(0,MIN(bb_target,Sens!E1182+Sens!F1178-Sens!F1179-min_cash))</f>
        <v>0</v>
      </c>
      <c r="G1180" s="6" t="n">
        <f aca="false">MAX(0,MIN(bb_target,Sens!F1182+Sens!G1178-Sens!G1179-min_cash))</f>
        <v>0</v>
      </c>
      <c r="H1180" s="6" t="n">
        <f aca="false">MAX(0,MIN(bb_target,Sens!G1182+Sens!H1178-Sens!H1179-min_cash))</f>
        <v>0</v>
      </c>
      <c r="I1180" s="6" t="n">
        <f aca="false">MAX(0,MIN(bb_target,Sens!H1182+Sens!I1178-Sens!I1179-min_cash))</f>
        <v>22.271</v>
      </c>
      <c r="J1180" s="6" t="n">
        <f aca="false">MAX(0,MIN(bb_target,Sens!I1182+Sens!J1178-Sens!J1179-min_cash))</f>
        <v>22.271</v>
      </c>
      <c r="K1180" s="6" t="n">
        <f aca="false">MAX(0,MIN(bb_target,Sens!J1182+Sens!K1178-Sens!K1179-min_cash))</f>
        <v>22.271</v>
      </c>
    </row>
    <row r="1181" customFormat="false" ht="15" hidden="false" customHeight="false" outlineLevel="0" collapsed="false">
      <c r="A1181" s="1" t="s">
        <v>971</v>
      </c>
      <c r="B1181" s="0" t="s">
        <v>98</v>
      </c>
      <c r="F1181" s="6" t="n">
        <f aca="false">MAX(0,min_cash-(Sens!E1182+Sens!F1178-Sens!F1179-Sens!F1180))</f>
        <v>20.5656194427983</v>
      </c>
      <c r="G1181" s="6" t="n">
        <f aca="false">MAX(0,min_cash-(Sens!F1182+Sens!G1178-Sens!G1179-Sens!G1180))</f>
        <v>22.7262333672423</v>
      </c>
      <c r="H1181" s="6" t="n">
        <f aca="false">MAX(0,min_cash-(Sens!G1182+Sens!H1178-Sens!H1179-Sens!H1180))</f>
        <v>5.41837824888162</v>
      </c>
      <c r="I1181" s="6" t="n">
        <f aca="false">MAX(0,min_cash-(Sens!H1182+Sens!I1178-Sens!I1179-Sens!I1180))</f>
        <v>0</v>
      </c>
      <c r="J1181" s="6" t="n">
        <f aca="false">MAX(0,min_cash-(Sens!I1182+Sens!J1178-Sens!J1179-Sens!J1180))</f>
        <v>0</v>
      </c>
      <c r="K1181" s="6" t="n">
        <f aca="false">MAX(0,min_cash-(Sens!J1182+Sens!K1178-Sens!K1179-Sens!K1180))</f>
        <v>0</v>
      </c>
    </row>
    <row r="1182" customFormat="false" ht="15" hidden="false" customHeight="false" outlineLevel="0" collapsed="false">
      <c r="A1182" s="1" t="s">
        <v>972</v>
      </c>
      <c r="B1182" s="0" t="s">
        <v>98</v>
      </c>
      <c r="E1182" s="6" t="n">
        <f aca="false">cash_open</f>
        <v>76.843</v>
      </c>
      <c r="F1182" s="6" t="n">
        <f aca="false">Sens!E1182+Sens!F1178-Sens!F1179-Sens!F1180+Sens!F1181</f>
        <v>50</v>
      </c>
      <c r="G1182" s="6" t="n">
        <f aca="false">Sens!F1182+Sens!G1178-Sens!G1179-Sens!G1180+Sens!G1181</f>
        <v>50</v>
      </c>
      <c r="H1182" s="6" t="n">
        <f aca="false">Sens!G1182+Sens!H1178-Sens!H1179-Sens!H1180+Sens!H1181</f>
        <v>50</v>
      </c>
      <c r="I1182" s="6" t="n">
        <f aca="false">Sens!H1182+Sens!I1178-Sens!I1179-Sens!I1180+Sens!I1181</f>
        <v>75.0736432712078</v>
      </c>
      <c r="J1182" s="6" t="n">
        <f aca="false">Sens!I1182+Sens!J1178-Sens!J1179-Sens!J1180+Sens!J1181</f>
        <v>157.82248023946</v>
      </c>
      <c r="K1182" s="6" t="n">
        <f aca="false">Sens!J1182+Sens!K1178-Sens!K1179-Sens!K1180+Sens!K1181</f>
        <v>264.173973884568</v>
      </c>
    </row>
    <row r="1183" customFormat="false" ht="15" hidden="false" customHeight="false" outlineLevel="0" collapsed="false">
      <c r="A1183" s="1" t="s">
        <v>973</v>
      </c>
      <c r="B1183" s="0" t="s">
        <v>98</v>
      </c>
      <c r="E1183" s="6" t="n">
        <f aca="false">debt_face</f>
        <v>46.136</v>
      </c>
      <c r="F1183" s="6" t="n">
        <f aca="false">Sens!E1183-Sens!F1179+Sens!F1181</f>
        <v>57.4516194427983</v>
      </c>
      <c r="G1183" s="6" t="n">
        <f aca="false">Sens!F1183-Sens!G1179+Sens!G1181</f>
        <v>80.1778528100406</v>
      </c>
      <c r="H1183" s="6" t="n">
        <f aca="false">Sens!G1183-Sens!H1179+Sens!H1181</f>
        <v>83.5952310589222</v>
      </c>
      <c r="I1183" s="6" t="n">
        <f aca="false">Sens!H1183-Sens!I1179+Sens!I1181</f>
        <v>83.5952310589222</v>
      </c>
      <c r="J1183" s="6" t="n">
        <f aca="false">Sens!I1183-Sens!J1179+Sens!J1181</f>
        <v>83.0952310589222</v>
      </c>
      <c r="K1183" s="6" t="n">
        <f aca="false">Sens!J1183-Sens!K1179+Sens!K1181</f>
        <v>83.0952310589222</v>
      </c>
    </row>
    <row r="1184" customFormat="false" ht="15" hidden="false" customHeight="false" outlineLevel="0" collapsed="false">
      <c r="A1184" s="1" t="s">
        <v>974</v>
      </c>
      <c r="B1184" s="0" t="s">
        <v>98</v>
      </c>
      <c r="E1184" s="6" t="n">
        <f aca="false">Sens!E1182-Sens!E1183</f>
        <v>30.707</v>
      </c>
      <c r="F1184" s="6" t="n">
        <f aca="false">Sens!F1182-Sens!F1183</f>
        <v>-7.45161944279831</v>
      </c>
      <c r="G1184" s="6" t="n">
        <f aca="false">Sens!G1182-Sens!G1183</f>
        <v>-30.1778528100406</v>
      </c>
      <c r="H1184" s="6" t="n">
        <f aca="false">Sens!H1182-Sens!H1183</f>
        <v>-33.5952310589222</v>
      </c>
      <c r="I1184" s="6" t="n">
        <f aca="false">Sens!I1182-Sens!I1183</f>
        <v>-8.52158778771438</v>
      </c>
      <c r="J1184" s="6" t="n">
        <f aca="false">Sens!J1182-Sens!J1183</f>
        <v>74.7272491805382</v>
      </c>
      <c r="K1184" s="6" t="n">
        <f aca="false">Sens!K1182-Sens!K1183</f>
        <v>181.078742825645</v>
      </c>
    </row>
    <row r="1185" customFormat="false" ht="15" hidden="false" customHeight="false" outlineLevel="0" collapsed="false">
      <c r="A1185" s="1" t="s">
        <v>975</v>
      </c>
      <c r="B1185" s="0" t="s">
        <v>75</v>
      </c>
      <c r="F1185" s="29" t="n">
        <f aca="false">px*(1+bb_g)^(Sens!F1047-base_fy-mid_yr)</f>
        <v>553.494156066711</v>
      </c>
      <c r="G1185" s="29" t="n">
        <f aca="false">px*(1+bb_g)^(Sens!G1047-base_fy-mid_yr)</f>
        <v>597.773688552047</v>
      </c>
      <c r="H1185" s="29" t="n">
        <f aca="false">px*(1+bb_g)^(Sens!H1047-base_fy-mid_yr)</f>
        <v>645.595583636211</v>
      </c>
      <c r="I1185" s="29" t="n">
        <f aca="false">px*(1+bb_g)^(Sens!I1047-base_fy-mid_yr)</f>
        <v>697.243230327108</v>
      </c>
      <c r="J1185" s="29" t="n">
        <f aca="false">px*(1+bb_g)^(Sens!J1047-base_fy-mid_yr)</f>
        <v>753.022688753277</v>
      </c>
      <c r="K1185" s="29" t="n">
        <f aca="false">px*(1+bb_g)^(Sens!K1047-base_fy-mid_yr)</f>
        <v>813.264503853539</v>
      </c>
    </row>
    <row r="1186" customFormat="false" ht="15" hidden="false" customHeight="false" outlineLevel="0" collapsed="false">
      <c r="A1186" s="1" t="s">
        <v>976</v>
      </c>
      <c r="B1186" s="1" t="s">
        <v>81</v>
      </c>
      <c r="E1186" s="14" t="n">
        <f aca="false">sh_out26</f>
        <v>7.427</v>
      </c>
      <c r="F1186" s="14" t="n">
        <f aca="false">Sens!E1186+sh_iss-Sens!F1180/Sens!F1185</f>
        <v>7.472</v>
      </c>
      <c r="G1186" s="14" t="n">
        <f aca="false">Sens!F1186+sh_iss-Sens!G1180/Sens!G1185</f>
        <v>7.517</v>
      </c>
      <c r="H1186" s="14" t="n">
        <f aca="false">Sens!G1186+sh_iss-Sens!H1180/Sens!H1185</f>
        <v>7.562</v>
      </c>
      <c r="I1186" s="14" t="n">
        <f aca="false">Sens!H1186+sh_iss-Sens!I1180/Sens!I1185</f>
        <v>7.57505849231472</v>
      </c>
      <c r="J1186" s="14" t="n">
        <f aca="false">Sens!I1186+sh_iss-Sens!J1180/Sens!J1185</f>
        <v>7.59048302223576</v>
      </c>
      <c r="K1186" s="14" t="n">
        <f aca="false">Sens!J1186+sh_iss-Sens!K1180/Sens!K1185</f>
        <v>7.60809832771821</v>
      </c>
    </row>
    <row r="1187" customFormat="false" ht="15" hidden="false" customHeight="false" outlineLevel="0" collapsed="false">
      <c r="A1187" s="1" t="s">
        <v>977</v>
      </c>
      <c r="B1187" s="1" t="s">
        <v>81</v>
      </c>
      <c r="E1187" s="14" t="n">
        <f aca="false">sh_dil26</f>
        <v>7.453</v>
      </c>
      <c r="F1187" s="14" t="n">
        <f aca="false">(Sens!E1186+Sens!F1186)/2+dil_gap</f>
        <v>7.4735</v>
      </c>
      <c r="G1187" s="14" t="n">
        <f aca="false">(Sens!F1186+Sens!G1186)/2+dil_gap</f>
        <v>7.5185</v>
      </c>
      <c r="H1187" s="14" t="n">
        <f aca="false">(Sens!G1186+Sens!H1186)/2+dil_gap</f>
        <v>7.5635</v>
      </c>
      <c r="I1187" s="14" t="n">
        <f aca="false">(Sens!H1186+Sens!I1186)/2+dil_gap</f>
        <v>7.59252924615736</v>
      </c>
      <c r="J1187" s="14" t="n">
        <f aca="false">(Sens!I1186+Sens!J1186)/2+dil_gap</f>
        <v>7.60677075727524</v>
      </c>
      <c r="K1187" s="14" t="n">
        <f aca="false">(Sens!J1186+Sens!K1186)/2+dil_gap</f>
        <v>7.62329067497699</v>
      </c>
    </row>
    <row r="1188" customFormat="false" ht="17.15" hidden="false" customHeight="false" outlineLevel="0" collapsed="false">
      <c r="A1188" s="1" t="s">
        <v>978</v>
      </c>
      <c r="B1188" s="0" t="s">
        <v>98</v>
      </c>
      <c r="C1188" s="6" t="n">
        <f aca="false">SUM(Sens!F1178:J1178)</f>
        <v>88.5622491805382</v>
      </c>
    </row>
    <row r="1189" customFormat="false" ht="15" hidden="false" customHeight="false" outlineLevel="0" collapsed="false">
      <c r="A1189" s="23" t="s">
        <v>945</v>
      </c>
      <c r="B1189" s="30" t="s">
        <v>98</v>
      </c>
      <c r="C1189" s="24" t="n">
        <f aca="false">Sens!$C$1188-(Sens!F1178+Sens!G1178+Sens!H1178+Sens!I1178+Sens!J1178)</f>
        <v>0</v>
      </c>
      <c r="D1189" s="30"/>
      <c r="E1189" s="30"/>
      <c r="F1189" s="30"/>
      <c r="G1189" s="30"/>
      <c r="H1189" s="30"/>
      <c r="I1189" s="30"/>
      <c r="J1189" s="30"/>
      <c r="K1189" s="30"/>
    </row>
    <row r="1190" customFormat="false" ht="17.15" hidden="false" customHeight="false" outlineLevel="0" collapsed="false">
      <c r="A1190" s="1" t="s">
        <v>939</v>
      </c>
      <c r="B1190" s="1" t="s">
        <v>979</v>
      </c>
      <c r="C1190" s="32" t="str">
        <f aca="false">IF(SUM(Sens!F1181:J1181)&gt;0.05,"需要舉債 "&amp;TEXT(SUM(Sens!F1181:J1181),"0.0")&amp;" 十億美元","不需舉債")&amp;"；"&amp;IF(SUM(Sens!F1180:J1180)&lt;COUNT(Sens!F1180:J1180)*bb_target-0.05,"回購較每年 "&amp;TEXT(bb_target,"0.0")&amp;" 的目標少 "&amp;TEXT(COUNT(Sens!F1180:J1180)*bb_target-SUM(Sens!F1180:J1180),"0.0")&amp;" 十億美元（"&amp;TEXT(COUNTIF(Sens!F1180:J1180,"&lt;"&amp;(bb_target-0.05)),"0")&amp;" 年減少）","回購不減")</f>
        <v>需要舉債 48.7 十億美元；回購較每年 22.3 的目標少 66.8 十億美元（3 年減少）</v>
      </c>
    </row>
    <row r="1191" customFormat="false" ht="17.15" hidden="false" customHeight="false" outlineLevel="0" collapsed="false">
      <c r="A1191" s="3" t="s">
        <v>1291</v>
      </c>
    </row>
    <row r="1192" customFormat="false" ht="15" hidden="false" customHeight="false" outlineLevel="0" collapsed="false">
      <c r="A1192" s="4" t="s">
        <v>43</v>
      </c>
      <c r="B1192" s="4" t="s">
        <v>65</v>
      </c>
      <c r="C1192" s="20" t="s">
        <v>799</v>
      </c>
      <c r="D1192" s="20" t="s">
        <v>800</v>
      </c>
      <c r="E1192" s="20" t="s">
        <v>801</v>
      </c>
      <c r="F1192" s="20" t="s">
        <v>802</v>
      </c>
      <c r="G1192" s="20" t="s">
        <v>803</v>
      </c>
      <c r="H1192" s="20" t="s">
        <v>804</v>
      </c>
      <c r="I1192" s="20" t="s">
        <v>805</v>
      </c>
      <c r="J1192" s="20" t="s">
        <v>806</v>
      </c>
      <c r="K1192" s="20" t="s">
        <v>807</v>
      </c>
      <c r="L1192" s="4" t="s">
        <v>47</v>
      </c>
    </row>
    <row r="1193" customFormat="false" ht="15" hidden="false" customHeight="false" outlineLevel="0" collapsed="false">
      <c r="A1193" s="1" t="s">
        <v>1057</v>
      </c>
      <c r="B1193" s="1" t="s">
        <v>235</v>
      </c>
      <c r="F1193" s="36" t="n">
        <f aca="false">Sens!F1047-base_fy-mid_yr</f>
        <v>0.5</v>
      </c>
      <c r="G1193" s="36" t="n">
        <f aca="false">Sens!G1047-base_fy-mid_yr</f>
        <v>1.5</v>
      </c>
      <c r="H1193" s="36" t="n">
        <f aca="false">Sens!H1047-base_fy-mid_yr</f>
        <v>2.5</v>
      </c>
      <c r="I1193" s="36" t="n">
        <f aca="false">Sens!I1047-base_fy-mid_yr</f>
        <v>3.5</v>
      </c>
      <c r="J1193" s="36" t="n">
        <f aca="false">Sens!J1047-base_fy-mid_yr</f>
        <v>4.5</v>
      </c>
      <c r="K1193" s="36" t="n">
        <f aca="false">Sens!K1047-base_fy-mid_yr</f>
        <v>5.5</v>
      </c>
    </row>
    <row r="1194" customFormat="false" ht="15" hidden="false" customHeight="false" outlineLevel="0" collapsed="false">
      <c r="A1194" s="1" t="s">
        <v>1058</v>
      </c>
      <c r="B1194" s="0" t="s">
        <v>185</v>
      </c>
      <c r="F1194" s="14" t="n">
        <f aca="false">1/(1+wacc)^Sens!F1193</f>
        <v>0.952193373608246</v>
      </c>
      <c r="G1194" s="14" t="n">
        <f aca="false">1/(1+wacc)^Sens!G1193</f>
        <v>0.863327280626589</v>
      </c>
      <c r="H1194" s="14" t="n">
        <f aca="false">1/(1+wacc)^Sens!H1193</f>
        <v>0.782754862754115</v>
      </c>
      <c r="I1194" s="14" t="n">
        <f aca="false">1/(1+wacc)^Sens!I1193</f>
        <v>0.709702089711011</v>
      </c>
      <c r="J1194" s="14" t="n">
        <f aca="false">1/(1+wacc)^Sens!J1193</f>
        <v>0.643467169744551</v>
      </c>
      <c r="K1194" s="14" t="n">
        <f aca="false">1/(1+wacc)^Sens!K1193</f>
        <v>0.583413807767797</v>
      </c>
    </row>
    <row r="1195" customFormat="false" ht="17.15" hidden="false" customHeight="false" outlineLevel="0" collapsed="false">
      <c r="A1195" s="1" t="s">
        <v>1059</v>
      </c>
      <c r="B1195" s="0" t="s">
        <v>98</v>
      </c>
      <c r="F1195" s="6" t="n">
        <f aca="false">Sens!F1168-Sens!F1166-Sens!F1172+Sens!F1151*(1-tax_f)</f>
        <v>-11.7422681650977</v>
      </c>
      <c r="G1195" s="6" t="n">
        <f aca="false">Sens!G1168-Sens!G1166-Sens!G1172+Sens!G1151*(1-tax_f)</f>
        <v>17.3885072390046</v>
      </c>
      <c r="H1195" s="6" t="n">
        <f aca="false">Sens!H1168-Sens!H1166-Sens!H1172+Sens!H1151*(1-tax_f)</f>
        <v>51.1741848284628</v>
      </c>
      <c r="I1195" s="6" t="n">
        <f aca="false">Sens!I1168-Sens!I1166-Sens!I1172+Sens!I1151*(1-tax_f)</f>
        <v>115.656253580168</v>
      </c>
      <c r="J1195" s="6" t="n">
        <f aca="false">Sens!J1168-Sens!J1166-Sens!J1172+Sens!J1151*(1-tax_f)</f>
        <v>184.237031150852</v>
      </c>
      <c r="K1195" s="6" t="n">
        <f aca="false">Sens!K1168-Sens!K1166-Sens!K1172+Sens!K1151*(1-tax_f)</f>
        <v>214.763307583844</v>
      </c>
      <c r="L1195" s="1" t="s">
        <v>1060</v>
      </c>
    </row>
    <row r="1196" customFormat="false" ht="15" hidden="false" customHeight="false" outlineLevel="0" collapsed="false">
      <c r="A1196" s="1" t="s">
        <v>1061</v>
      </c>
      <c r="B1196" s="0" t="s">
        <v>98</v>
      </c>
      <c r="F1196" s="6" t="n">
        <f aca="false">Sens!F1195*Sens!F1194</f>
        <v>-11.1809099379371</v>
      </c>
      <c r="G1196" s="6" t="n">
        <f aca="false">Sens!G1195*Sens!G1194</f>
        <v>15.0119726688056</v>
      </c>
      <c r="H1196" s="6" t="n">
        <f aca="false">Sens!H1195*Sens!H1194</f>
        <v>40.0568420219572</v>
      </c>
      <c r="I1196" s="6" t="n">
        <f aca="false">Sens!I1195*Sens!I1194</f>
        <v>82.0814848539919</v>
      </c>
      <c r="J1196" s="6" t="n">
        <f aca="false">Sens!J1195*Sens!J1194</f>
        <v>118.550480996778</v>
      </c>
      <c r="K1196" s="6" t="n">
        <f aca="false">Sens!K1195*Sens!K1194</f>
        <v>125.295879046297</v>
      </c>
    </row>
    <row r="1197" customFormat="false" ht="17.15" hidden="false" customHeight="false" outlineLevel="0" collapsed="false">
      <c r="A1197" s="1" t="s">
        <v>1062</v>
      </c>
      <c r="B1197" s="0" t="s">
        <v>98</v>
      </c>
      <c r="C1197" s="6" t="n">
        <f aca="false">SUM(Sens!F1196:K1196)</f>
        <v>369.815749649892</v>
      </c>
    </row>
    <row r="1198" customFormat="false" ht="17.15" hidden="false" customHeight="false" outlineLevel="0" collapsed="false">
      <c r="A1198" s="1" t="s">
        <v>1063</v>
      </c>
      <c r="B1198" s="0" t="s">
        <v>98</v>
      </c>
      <c r="C1198" s="6" t="n">
        <f aca="false">Sens!K1137*(1+g_tv)*(1-tax_f)</f>
        <v>228.481363446114</v>
      </c>
    </row>
    <row r="1199" customFormat="false" ht="17.15" hidden="false" customHeight="false" outlineLevel="0" collapsed="false">
      <c r="A1199" s="1" t="s">
        <v>1064</v>
      </c>
      <c r="B1199" s="0" t="s">
        <v>98</v>
      </c>
      <c r="C1199" s="6" t="n">
        <f aca="false">Sens!$C$1198*(1-g_tv/(wacc+ronic_prem))</f>
        <v>161.890995547808</v>
      </c>
    </row>
    <row r="1200" customFormat="false" ht="17.15" hidden="false" customHeight="false" outlineLevel="0" collapsed="false">
      <c r="A1200" s="1" t="s">
        <v>1065</v>
      </c>
      <c r="B1200" s="0" t="s">
        <v>98</v>
      </c>
      <c r="C1200" s="6" t="n">
        <f aca="false">Sens!$C$1199/(wacc-g_tv)</f>
        <v>2219.67892994355</v>
      </c>
    </row>
    <row r="1201" customFormat="false" ht="15" hidden="false" customHeight="false" outlineLevel="0" collapsed="false">
      <c r="A1201" s="1" t="s">
        <v>1066</v>
      </c>
      <c r="B1201" s="0" t="s">
        <v>98</v>
      </c>
      <c r="C1201" s="6" t="n">
        <f aca="false">Sens!$C$1200/(1+wacc)^(Sens!K1193+mid_yr)</f>
        <v>1233.08216953377</v>
      </c>
    </row>
    <row r="1202" customFormat="false" ht="17.15" hidden="false" customHeight="false" outlineLevel="0" collapsed="false">
      <c r="A1202" s="0" t="s">
        <v>986</v>
      </c>
      <c r="B1202" s="0" t="s">
        <v>98</v>
      </c>
      <c r="C1202" s="6" t="n">
        <f aca="false">Sens!$C$1197+Sens!$C$1201</f>
        <v>1602.89791918366</v>
      </c>
    </row>
    <row r="1203" customFormat="false" ht="15" hidden="false" customHeight="false" outlineLevel="0" collapsed="false">
      <c r="A1203" s="1" t="s">
        <v>987</v>
      </c>
      <c r="B1203" s="0" t="s">
        <v>129</v>
      </c>
      <c r="C1203" s="7" t="n">
        <f aca="false">Sens!$C$1201/Sens!$C$1202</f>
        <v>0.769283030925491</v>
      </c>
    </row>
    <row r="1204" customFormat="false" ht="17.15" hidden="false" customHeight="false" outlineLevel="0" collapsed="false">
      <c r="A1204" s="1" t="s">
        <v>1067</v>
      </c>
      <c r="B1204" s="0" t="s">
        <v>98</v>
      </c>
      <c r="C1204" s="6" t="n">
        <f aca="false">Sens!$C$1202+Sens!E1184-Sens!E1173+oai_v</f>
        <v>1737.41091918366</v>
      </c>
    </row>
    <row r="1205" customFormat="false" ht="17.15" hidden="false" customHeight="false" outlineLevel="0" collapsed="false">
      <c r="A1205" s="0" t="s">
        <v>994</v>
      </c>
      <c r="B1205" s="0" t="s">
        <v>75</v>
      </c>
      <c r="C1205" s="5" t="n">
        <f aca="false">Sens!$C$1204/sh_dil26</f>
        <v>233.115647280782</v>
      </c>
    </row>
    <row r="1206" customFormat="false" ht="15" hidden="false" customHeight="false" outlineLevel="0" collapsed="false">
      <c r="A1206" s="1" t="s">
        <v>1068</v>
      </c>
      <c r="B1206" s="0" t="s">
        <v>75</v>
      </c>
      <c r="C1206" s="8" t="n">
        <f aca="false">dps_27+Sens!G1176*roll_div_q/q_per_yr</f>
        <v>4.8895</v>
      </c>
    </row>
    <row r="1207" customFormat="false" ht="17.15" hidden="false" customHeight="false" outlineLevel="0" collapsed="false">
      <c r="A1207" s="0" t="s">
        <v>1069</v>
      </c>
      <c r="B1207" s="0" t="s">
        <v>75</v>
      </c>
      <c r="C1207" s="5" t="n">
        <f aca="false">Sens!$C$1205*(1+wacc)^t_roll-Sens!$C$1206</f>
        <v>260.567071179532</v>
      </c>
    </row>
    <row r="1208" customFormat="false" ht="17.15" hidden="false" customHeight="false" outlineLevel="0" collapsed="false">
      <c r="A1208" s="1" t="s">
        <v>1070</v>
      </c>
      <c r="B1208" s="0" t="s">
        <v>129</v>
      </c>
      <c r="F1208" s="7" t="n">
        <f aca="false">Sens!F1163/(Sens!F1108-Sens!F1064)</f>
        <v>0.0711475516535717</v>
      </c>
      <c r="G1208" s="7" t="n">
        <f aca="false">Sens!G1163/(Sens!G1108-Sens!G1064)</f>
        <v>0.0682588862083999</v>
      </c>
      <c r="H1208" s="7" t="n">
        <f aca="false">Sens!H1163/(Sens!H1108-Sens!H1064)</f>
        <v>0.0666622170094897</v>
      </c>
      <c r="I1208" s="7" t="n">
        <f aca="false">Sens!I1163/(Sens!I1108-Sens!I1064)</f>
        <v>0.0661991449367101</v>
      </c>
      <c r="J1208" s="7" t="n">
        <f aca="false">Sens!J1163/(Sens!J1108-Sens!J1064)</f>
        <v>0.0666400583966394</v>
      </c>
      <c r="K1208" s="7" t="n">
        <f aca="false">Sens!K1163/(Sens!K1108-Sens!K1064)</f>
        <v>0.0677351822588561</v>
      </c>
    </row>
    <row r="1209" customFormat="false" ht="17.15" hidden="false" customHeight="false" outlineLevel="0" collapsed="false">
      <c r="A1209" s="0" t="s">
        <v>1071</v>
      </c>
      <c r="B1209" s="0" t="s">
        <v>98</v>
      </c>
      <c r="F1209" s="6" t="n">
        <f aca="false">Sens!F1093*(al_m365+Sens!F1208+sbc_r)</f>
        <v>83.1760446796226</v>
      </c>
      <c r="G1209" s="6" t="n">
        <f aca="false">Sens!G1093*(al_m365+Sens!G1208+sbc_r)</f>
        <v>93.5286621744803</v>
      </c>
      <c r="H1209" s="6" t="n">
        <f aca="false">Sens!H1093*(al_m365+Sens!H1208+sbc_r)</f>
        <v>104.041881899886</v>
      </c>
      <c r="I1209" s="6" t="n">
        <f aca="false">Sens!I1093*(al_m365+Sens!I1208+sbc_r)</f>
        <v>114.039361049722</v>
      </c>
      <c r="J1209" s="6" t="n">
        <f aca="false">Sens!J1093*(al_m365+Sens!J1208+sbc_r)</f>
        <v>123.332589690985</v>
      </c>
      <c r="K1209" s="6" t="n">
        <f aca="false">Sens!K1093*(al_m365+Sens!K1208+sbc_r)</f>
        <v>132.229319216379</v>
      </c>
      <c r="L1209" s="11" t="s">
        <v>1072</v>
      </c>
    </row>
    <row r="1210" customFormat="false" ht="17.15" hidden="false" customHeight="false" outlineLevel="0" collapsed="false">
      <c r="A1210" s="0" t="s">
        <v>1073</v>
      </c>
      <c r="B1210" s="0" t="s">
        <v>98</v>
      </c>
      <c r="F1210" s="6" t="n">
        <f aca="false">Sens!F1094*(al_lic+Sens!F1208+sbc_r)</f>
        <v>33.5445611735131</v>
      </c>
      <c r="G1210" s="6" t="n">
        <f aca="false">Sens!G1094*(al_lic+Sens!G1208+sbc_r)</f>
        <v>34.8473362891936</v>
      </c>
      <c r="H1210" s="6" t="n">
        <f aca="false">Sens!H1094*(al_lic+Sens!H1208+sbc_r)</f>
        <v>36.0608450618725</v>
      </c>
      <c r="I1210" s="6" t="n">
        <f aca="false">Sens!I1094*(al_lic+Sens!I1208+sbc_r)</f>
        <v>37.1647768367666</v>
      </c>
      <c r="J1210" s="6" t="n">
        <f aca="false">Sens!J1094*(al_lic+Sens!J1208+sbc_r)</f>
        <v>38.1353659513221</v>
      </c>
      <c r="K1210" s="6" t="n">
        <f aca="false">Sens!K1094*(al_lic+Sens!K1208+sbc_r)</f>
        <v>38.9479527536449</v>
      </c>
    </row>
    <row r="1211" customFormat="false" ht="17.15" hidden="false" customHeight="false" outlineLevel="0" collapsed="false">
      <c r="A1211" s="0" t="s">
        <v>1074</v>
      </c>
      <c r="B1211" s="0" t="s">
        <v>98</v>
      </c>
      <c r="F1211" s="6" t="n">
        <f aca="false">Sens!F1096*(al_ind+Sens!F1208+sbc_r)</f>
        <v>9.13359830063899</v>
      </c>
      <c r="G1211" s="6" t="n">
        <f aca="false">Sens!G1096*(al_ind+Sens!G1208+sbc_r)</f>
        <v>9.91355811855172</v>
      </c>
      <c r="H1211" s="6" t="n">
        <f aca="false">Sens!H1096*(al_ind+Sens!H1208+sbc_r)</f>
        <v>10.737007894057</v>
      </c>
      <c r="I1211" s="6" t="n">
        <f aca="false">Sens!I1096*(al_ind+Sens!I1208+sbc_r)</f>
        <v>11.5994300763088</v>
      </c>
      <c r="J1211" s="6" t="n">
        <f aca="false">Sens!J1096*(al_ind+Sens!J1208+sbc_r)</f>
        <v>12.4920789859702</v>
      </c>
      <c r="K1211" s="6" t="n">
        <f aca="false">Sens!K1096*(al_ind+Sens!K1208+sbc_r)</f>
        <v>13.4027551573777</v>
      </c>
    </row>
    <row r="1212" customFormat="false" ht="17.15" hidden="false" customHeight="false" outlineLevel="0" collapsed="false">
      <c r="A1212" s="0" t="s">
        <v>1075</v>
      </c>
      <c r="B1212" s="0" t="s">
        <v>98</v>
      </c>
      <c r="F1212" s="6" t="n">
        <f aca="false">Sens!F1098*(al_fro+Sens!F1208+sbc_r)</f>
        <v>3.59501635737694</v>
      </c>
      <c r="G1212" s="6" t="n">
        <f aca="false">Sens!G1098*(al_fro+Sens!G1208+sbc_r)</f>
        <v>3.80622021137838</v>
      </c>
      <c r="H1212" s="6" t="n">
        <f aca="false">Sens!H1098*(al_fro+Sens!H1208+sbc_r)</f>
        <v>4.04607207599632</v>
      </c>
      <c r="I1212" s="6" t="n">
        <f aca="false">Sens!I1098*(al_fro+Sens!I1208+sbc_r)</f>
        <v>4.31683578333903</v>
      </c>
      <c r="J1212" s="6" t="n">
        <f aca="false">Sens!J1098*(al_fro+Sens!J1208+sbc_r)</f>
        <v>4.62005087871645</v>
      </c>
      <c r="K1212" s="6" t="n">
        <f aca="false">Sens!K1098*(al_fro+Sens!K1208+sbc_r)</f>
        <v>4.95685392412327</v>
      </c>
    </row>
    <row r="1213" customFormat="false" ht="17.15" hidden="false" customHeight="false" outlineLevel="0" collapsed="false">
      <c r="A1213" s="0" t="s">
        <v>1076</v>
      </c>
      <c r="B1213" s="0" t="s">
        <v>98</v>
      </c>
      <c r="F1213" s="6" t="n">
        <f aca="false">Sens!F1101*(al_srch+Sens!F1208+sbc_r)</f>
        <v>11.2801258639919</v>
      </c>
      <c r="G1213" s="6" t="n">
        <f aca="false">Sens!G1101*(al_srch+Sens!G1208+sbc_r)</f>
        <v>12.3589086285988</v>
      </c>
      <c r="H1213" s="6" t="n">
        <f aca="false">Sens!H1101*(al_srch+Sens!H1208+sbc_r)</f>
        <v>13.4807030139583</v>
      </c>
      <c r="I1213" s="6" t="n">
        <f aca="false">Sens!I1101*(al_srch+Sens!I1208+sbc_r)</f>
        <v>14.6329459978989</v>
      </c>
      <c r="J1213" s="6" t="n">
        <f aca="false">Sens!J1101*(al_srch+Sens!J1208+sbc_r)</f>
        <v>15.7968154400613</v>
      </c>
      <c r="K1213" s="6" t="n">
        <f aca="false">Sens!K1101*(al_srch+Sens!K1208+sbc_r)</f>
        <v>16.9484078548661</v>
      </c>
    </row>
    <row r="1214" customFormat="false" ht="17.15" hidden="false" customHeight="false" outlineLevel="0" collapsed="false">
      <c r="A1214" s="0" t="s">
        <v>1077</v>
      </c>
      <c r="B1214" s="0" t="s">
        <v>98</v>
      </c>
      <c r="F1214" s="6" t="n">
        <f aca="false">Sens!F1070-Sens!F1071+Sens!F1151</f>
        <v>31.0804848040589</v>
      </c>
      <c r="G1214" s="6" t="n">
        <f aca="false">Sens!G1070-Sens!G1071+Sens!G1151</f>
        <v>56.6975618468972</v>
      </c>
      <c r="H1214" s="6" t="n">
        <f aca="false">Sens!H1070-Sens!H1071+Sens!H1151</f>
        <v>80.1683903379708</v>
      </c>
      <c r="I1214" s="6" t="n">
        <f aca="false">Sens!I1070-Sens!I1071+Sens!I1151</f>
        <v>106.823873963409</v>
      </c>
      <c r="J1214" s="6" t="n">
        <f aca="false">Sens!J1070-Sens!J1071+Sens!J1151</f>
        <v>125.862676003547</v>
      </c>
      <c r="K1214" s="6" t="n">
        <f aca="false">Sens!K1070-Sens!K1071+Sens!K1151</f>
        <v>138.333657437564</v>
      </c>
    </row>
    <row r="1215" customFormat="false" ht="17.15" hidden="false" customHeight="false" outlineLevel="0" collapsed="false">
      <c r="A1215" s="0" t="s">
        <v>1078</v>
      </c>
      <c r="B1215" s="0" t="s">
        <v>98</v>
      </c>
      <c r="F1215" s="6" t="n">
        <f aca="false">Sens!F1130+Sens!F1151+Sens!F1081+Sens!F1208*(Sens!F1100-Sens!F1064)+sbc_r*Sens!F1100</f>
        <v>220.541208952992</v>
      </c>
      <c r="G1215" s="6" t="n">
        <f aca="false">Sens!G1130+Sens!G1151+Sens!G1081+Sens!G1208*(Sens!G1100-Sens!G1064)+sbc_r*Sens!G1100</f>
        <v>270.860306097251</v>
      </c>
      <c r="H1215" s="6" t="n">
        <f aca="false">Sens!H1130+Sens!H1151+Sens!H1081+Sens!H1208*(Sens!H1100-Sens!H1064)+sbc_r*Sens!H1100</f>
        <v>319.331963492298</v>
      </c>
      <c r="I1215" s="6" t="n">
        <f aca="false">Sens!I1130+Sens!I1151+Sens!I1081+Sens!I1208*(Sens!I1100-Sens!I1064)+sbc_r*Sens!I1100</f>
        <v>370.349423702177</v>
      </c>
      <c r="J1215" s="6" t="n">
        <f aca="false">Sens!J1130+Sens!J1151+Sens!J1081+Sens!J1208*(Sens!J1100-Sens!J1064)+sbc_r*Sens!J1100</f>
        <v>411.898042277486</v>
      </c>
      <c r="K1215" s="6" t="n">
        <f aca="false">Sens!K1130+Sens!K1151+Sens!K1081+Sens!K1208*(Sens!K1100-Sens!K1064)+sbc_r*Sens!K1100</f>
        <v>444.624985737726</v>
      </c>
    </row>
    <row r="1216" customFormat="false" ht="17.15" hidden="false" customHeight="false" outlineLevel="0" collapsed="false">
      <c r="A1216" s="0" t="s">
        <v>1079</v>
      </c>
      <c r="B1216" s="0" t="s">
        <v>98</v>
      </c>
      <c r="F1216" s="6" t="n">
        <f aca="false">Sens!F1215-Sens!F1209-Sens!F1210-Sens!F1211-Sens!F1212-Sens!F1214</f>
        <v>60.0115036377817</v>
      </c>
      <c r="G1216" s="6" t="n">
        <f aca="false">Sens!G1215-Sens!G1209-Sens!G1210-Sens!G1211-Sens!G1212-Sens!G1214</f>
        <v>72.0669674567499</v>
      </c>
      <c r="H1216" s="6" t="n">
        <f aca="false">Sens!H1215-Sens!H1209-Sens!H1210-Sens!H1211-Sens!H1212-Sens!H1214</f>
        <v>84.2777662225155</v>
      </c>
      <c r="I1216" s="6" t="n">
        <f aca="false">Sens!I1215-Sens!I1209-Sens!I1210-Sens!I1211-Sens!I1212-Sens!I1214</f>
        <v>96.4051459926312</v>
      </c>
      <c r="J1216" s="6" t="n">
        <f aca="false">Sens!J1215-Sens!J1209-Sens!J1210-Sens!J1211-Sens!J1212-Sens!J1214</f>
        <v>107.455280766945</v>
      </c>
      <c r="K1216" s="6" t="n">
        <f aca="false">Sens!K1215-Sens!K1209-Sens!K1210-Sens!K1211-Sens!K1212-Sens!K1214</f>
        <v>116.754447248637</v>
      </c>
    </row>
    <row r="1217" customFormat="false" ht="17.15" hidden="false" customHeight="false" outlineLevel="0" collapsed="false">
      <c r="A1217" s="0" t="s">
        <v>1080</v>
      </c>
      <c r="B1217" s="0" t="s">
        <v>98</v>
      </c>
      <c r="F1217" s="6" t="n">
        <f aca="false">Sens!F1132+Sens!F1208*Sens!F1107+sbc_r*Sens!F1107</f>
        <v>26.3652761595447</v>
      </c>
      <c r="G1217" s="6" t="n">
        <f aca="false">Sens!G1132+Sens!G1208*Sens!G1107+sbc_r*Sens!G1107</f>
        <v>26.9742866145486</v>
      </c>
      <c r="H1217" s="6" t="n">
        <f aca="false">Sens!H1132+Sens!H1208*Sens!H1107+sbc_r*Sens!H1107</f>
        <v>27.8483067679033</v>
      </c>
      <c r="I1217" s="6" t="n">
        <f aca="false">Sens!I1132+Sens!I1208*Sens!I1107+sbc_r*Sens!I1107</f>
        <v>28.9540944937551</v>
      </c>
      <c r="J1217" s="6" t="n">
        <f aca="false">Sens!J1132+Sens!J1208*Sens!J1107+sbc_r*Sens!J1107</f>
        <v>30.2591967501426</v>
      </c>
      <c r="K1217" s="6" t="n">
        <f aca="false">Sens!K1132+Sens!K1208*Sens!K1107+sbc_r*Sens!K1107</f>
        <v>31.7334012124467</v>
      </c>
    </row>
    <row r="1218" customFormat="false" ht="17.15" hidden="false" customHeight="false" outlineLevel="0" collapsed="false">
      <c r="A1218" s="0" t="s">
        <v>1081</v>
      </c>
      <c r="B1218" s="0" t="s">
        <v>98</v>
      </c>
      <c r="F1218" s="6" t="n">
        <f aca="false">(Sens!F1217-Sens!F1213)*Sens!F1103/(Sens!F1103+Sens!F1105)</f>
        <v>8.26953246478712</v>
      </c>
      <c r="G1218" s="6" t="n">
        <f aca="false">(Sens!G1217-Sens!G1213)*Sens!G1103/(Sens!G1103+Sens!G1105)</f>
        <v>7.8691542635731</v>
      </c>
      <c r="H1218" s="6" t="n">
        <f aca="false">(Sens!H1217-Sens!H1213)*Sens!H1103/(Sens!H1103+Sens!H1105)</f>
        <v>7.63125160105973</v>
      </c>
      <c r="I1218" s="6" t="n">
        <f aca="false">(Sens!I1217-Sens!I1213)*Sens!I1103/(Sens!I1103+Sens!I1105)</f>
        <v>7.53775281020212</v>
      </c>
      <c r="J1218" s="6" t="n">
        <f aca="false">(Sens!J1217-Sens!J1213)*Sens!J1103/(Sens!J1103+Sens!J1105)</f>
        <v>7.57766730524412</v>
      </c>
      <c r="K1218" s="6" t="n">
        <f aca="false">(Sens!K1217-Sens!K1213)*Sens!K1103/(Sens!K1103+Sens!K1105)</f>
        <v>7.74670217662516</v>
      </c>
    </row>
    <row r="1219" customFormat="false" ht="17.15" hidden="false" customHeight="false" outlineLevel="0" collapsed="false">
      <c r="A1219" s="0" t="s">
        <v>1082</v>
      </c>
      <c r="B1219" s="0" t="s">
        <v>98</v>
      </c>
      <c r="F1219" s="6" t="n">
        <f aca="false">Sens!F1217-Sens!F1213-Sens!F1218</f>
        <v>6.81561783076564</v>
      </c>
      <c r="G1219" s="6" t="n">
        <f aca="false">Sens!G1217-Sens!G1213-Sens!G1218</f>
        <v>6.74622372237672</v>
      </c>
      <c r="H1219" s="6" t="n">
        <f aca="false">Sens!H1217-Sens!H1213-Sens!H1218</f>
        <v>6.73635215288526</v>
      </c>
      <c r="I1219" s="6" t="n">
        <f aca="false">Sens!I1217-Sens!I1213-Sens!I1218</f>
        <v>6.78339568565411</v>
      </c>
      <c r="J1219" s="6" t="n">
        <f aca="false">Sens!J1217-Sens!J1213-Sens!J1218</f>
        <v>6.88471400483723</v>
      </c>
      <c r="K1219" s="6" t="n">
        <f aca="false">Sens!K1217-Sens!K1213-Sens!K1218</f>
        <v>7.03829118095546</v>
      </c>
    </row>
    <row r="1220" customFormat="false" ht="17.15" hidden="false" customHeight="false" outlineLevel="0" collapsed="false">
      <c r="A1220" s="0" t="s">
        <v>1083</v>
      </c>
      <c r="B1220" s="0" t="s">
        <v>98</v>
      </c>
      <c r="F1220" s="6" t="n">
        <f aca="false">Sens!F1214-tax_f*(Sens!F1214-Sens!F1081)-Sens!F1078</f>
        <v>-128.658510552028</v>
      </c>
      <c r="G1220" s="6" t="n">
        <f aca="false">Sens!G1214-tax_f*(Sens!G1214-Sens!G1081)-Sens!G1078</f>
        <v>-126.39104358358</v>
      </c>
      <c r="H1220" s="6" t="n">
        <f aca="false">Sens!H1214-tax_f*(Sens!H1214-Sens!H1081)-Sens!H1078</f>
        <v>-106.673369671361</v>
      </c>
      <c r="I1220" s="6" t="n">
        <f aca="false">Sens!I1214-tax_f*(Sens!I1214-Sens!I1081)-Sens!I1078</f>
        <v>-56.1264212170397</v>
      </c>
      <c r="J1220" s="6" t="n">
        <f aca="false">Sens!J1214-tax_f*(Sens!J1214-Sens!J1081)-Sens!J1078</f>
        <v>-0.891631220836075</v>
      </c>
      <c r="K1220" s="6" t="n">
        <f aca="false">Sens!K1214-tax_f*(Sens!K1214-Sens!K1081)-Sens!K1078</f>
        <v>17.0858034553226</v>
      </c>
    </row>
    <row r="1221" customFormat="false" ht="17.15" hidden="false" customHeight="false" outlineLevel="0" collapsed="false">
      <c r="A1221" s="0" t="s">
        <v>1084</v>
      </c>
      <c r="B1221" s="0" t="s">
        <v>98</v>
      </c>
      <c r="G1221" s="6" t="n">
        <f aca="false">Sens!G1220/(1+wacc)^(Sens!G1193-(Sens!F1193+mid_yr))</f>
        <v>-120.348714183716</v>
      </c>
      <c r="H1221" s="6" t="n">
        <f aca="false">Sens!H1220/(1+wacc)^(Sens!H1193-(Sens!F1193+mid_yr))</f>
        <v>-92.094030153651</v>
      </c>
      <c r="I1221" s="6" t="n">
        <f aca="false">Sens!I1220/(1+wacc)^(Sens!I1193-(Sens!F1193+mid_yr))</f>
        <v>-43.9332291366236</v>
      </c>
      <c r="J1221" s="6" t="n">
        <f aca="false">Sens!J1220/(1+wacc)^(Sens!J1193-(Sens!F1193+mid_yr))</f>
        <v>-0.632792540678942</v>
      </c>
      <c r="K1221" s="6" t="n">
        <f aca="false">Sens!K1220/(1+wacc)^(Sens!K1193-(Sens!F1193+mid_yr))</f>
        <v>10.9941535922081</v>
      </c>
      <c r="L1221" s="1" t="s">
        <v>1085</v>
      </c>
    </row>
    <row r="1222" customFormat="false" ht="17.15" hidden="false" customHeight="false" outlineLevel="0" collapsed="false">
      <c r="A1222" s="0" t="s">
        <v>1086</v>
      </c>
      <c r="B1222" s="0" t="s">
        <v>98</v>
      </c>
      <c r="C1222" s="6" t="n">
        <f aca="false">(Sens!K1214-Sens!K1081)*(1-tax_f)*(1+g_tv)*(1-g_tv/(wacc+ronic_prem))/(wacc-g_tv)/(1+wacc)^(Sens!K1193+mid_yr-(Sens!F1193+mid_yr))</f>
        <v>-3.91305332758855</v>
      </c>
    </row>
    <row r="1223" customFormat="false" ht="17.15" hidden="false" customHeight="false" outlineLevel="0" collapsed="false">
      <c r="A1223" s="1" t="s">
        <v>1087</v>
      </c>
      <c r="B1223" s="0" t="s">
        <v>98</v>
      </c>
      <c r="C1223" s="6" t="n">
        <f aca="false">(SUM(Sens!G1221:K1221)+Sens!$C$1222)*(1+wacc)^(t_roll-(Sens!F1193+mid_yr))</f>
        <v>-258.039800708954</v>
      </c>
      <c r="L1223" s="11" t="s">
        <v>1088</v>
      </c>
    </row>
    <row r="1224" customFormat="false" ht="17.15" hidden="false" customHeight="false" outlineLevel="0" collapsed="false">
      <c r="A1224" s="1" t="s">
        <v>1089</v>
      </c>
      <c r="B1224" s="0" t="s">
        <v>98</v>
      </c>
      <c r="C1224" s="6" t="n">
        <f aca="false">(w_ntm28*Sens!G1070+(1-w_ntm28)*Sens!H1070)*m_ai</f>
        <v>265.3968792302</v>
      </c>
    </row>
    <row r="1225" customFormat="false" ht="17.15" hidden="false" customHeight="false" outlineLevel="0" collapsed="false">
      <c r="A1225" s="1" t="s">
        <v>1090</v>
      </c>
      <c r="B1225" s="0" t="s">
        <v>98</v>
      </c>
      <c r="C1225" s="6" t="n">
        <f aca="false">(w_ntm28*Sens!G1216+(1-w_ntm28)*Sens!H1216)*m_cloud</f>
        <v>1050.52133188313</v>
      </c>
    </row>
    <row r="1226" customFormat="false" ht="17.15" hidden="false" customHeight="false" outlineLevel="0" collapsed="false">
      <c r="A1226" s="1" t="s">
        <v>1091</v>
      </c>
      <c r="B1226" s="0" t="s">
        <v>98</v>
      </c>
      <c r="C1226" s="6" t="n">
        <f aca="false">(w_ntm28*Sens!G1209+(1-w_ntm28)*Sens!H1209)*m_sw</f>
        <v>1046.81653016399</v>
      </c>
    </row>
    <row r="1227" customFormat="false" ht="17.15" hidden="false" customHeight="false" outlineLevel="0" collapsed="false">
      <c r="A1227" s="1" t="s">
        <v>1092</v>
      </c>
      <c r="B1227" s="0" t="s">
        <v>98</v>
      </c>
      <c r="C1227" s="6" t="n">
        <f aca="false">(w_ntm28*Sens!G1210+(1-w_ntm28)*Sens!H1210)*m_sw</f>
        <v>380.588206114803</v>
      </c>
    </row>
    <row r="1228" customFormat="false" ht="17.15" hidden="false" customHeight="false" outlineLevel="0" collapsed="false">
      <c r="A1228" s="1" t="s">
        <v>1093</v>
      </c>
      <c r="B1228" s="0" t="s">
        <v>98</v>
      </c>
      <c r="C1228" s="6" t="n">
        <f aca="false">(w_ntm28*Sens!G1211+(1-w_ntm28)*Sens!H1211)*m_sw</f>
        <v>109.941508211602</v>
      </c>
    </row>
    <row r="1229" customFormat="false" ht="17.15" hidden="false" customHeight="false" outlineLevel="0" collapsed="false">
      <c r="A1229" s="1" t="s">
        <v>1094</v>
      </c>
      <c r="B1229" s="0" t="s">
        <v>98</v>
      </c>
      <c r="C1229" s="6" t="n">
        <f aca="false">(w_ntm28*Sens!G1212+(1-w_ntm28)*Sens!H1212)*m_sw</f>
        <v>41.944622711021</v>
      </c>
    </row>
    <row r="1230" customFormat="false" ht="17.15" hidden="false" customHeight="false" outlineLevel="0" collapsed="false">
      <c r="A1230" s="1" t="s">
        <v>1095</v>
      </c>
      <c r="B1230" s="0" t="s">
        <v>98</v>
      </c>
      <c r="C1230" s="6" t="n">
        <f aca="false">(w_ntm28*Sens!G1213+(1-w_ntm28)*Sens!H1213)*m_ads</f>
        <v>115.893511108929</v>
      </c>
    </row>
    <row r="1231" customFormat="false" ht="17.15" hidden="false" customHeight="false" outlineLevel="0" collapsed="false">
      <c r="A1231" s="1" t="s">
        <v>1096</v>
      </c>
      <c r="B1231" s="0" t="s">
        <v>98</v>
      </c>
      <c r="C1231" s="6" t="n">
        <f aca="false">(w_ntm28*Sens!G1218+(1-w_ntm28)*Sens!H1218)*m_game</f>
        <v>98.416032447421</v>
      </c>
    </row>
    <row r="1232" customFormat="false" ht="17.15" hidden="false" customHeight="false" outlineLevel="0" collapsed="false">
      <c r="A1232" s="1" t="s">
        <v>1097</v>
      </c>
      <c r="B1232" s="0" t="s">
        <v>98</v>
      </c>
      <c r="C1232" s="6" t="n">
        <f aca="false">(w_ntm28*Sens!G1219+(1-w_ntm28)*Sens!H1219)*m_pc</f>
        <v>97.5716783311641</v>
      </c>
    </row>
    <row r="1233" customFormat="false" ht="17.15" hidden="false" customHeight="false" outlineLevel="0" collapsed="false">
      <c r="A1233" s="1" t="s">
        <v>1098</v>
      </c>
      <c r="B1233" s="0" t="s">
        <v>98</v>
      </c>
      <c r="C1233" s="6" t="n">
        <f aca="false">Sens!$C$1223+Sens!$C$1225+Sens!$C$1226+Sens!$C$1227+Sens!$C$1228+Sens!$C$1229+Sens!$C$1230+Sens!$C$1231+Sens!$C$1232</f>
        <v>2683.65362026311</v>
      </c>
    </row>
    <row r="1234" customFormat="false" ht="17.15" hidden="false" customHeight="false" outlineLevel="0" collapsed="false">
      <c r="A1234" s="1" t="s">
        <v>1099</v>
      </c>
      <c r="B1234" s="0" t="s">
        <v>98</v>
      </c>
      <c r="C1234" s="6" t="n">
        <f aca="false">(Sens!G1195-Sens!G1220)*t_stub</f>
        <v>46.8760727339385</v>
      </c>
      <c r="L1234" s="1" t="s">
        <v>1100</v>
      </c>
    </row>
    <row r="1235" customFormat="false" ht="17.15" hidden="false" customHeight="false" outlineLevel="0" collapsed="false">
      <c r="A1235" s="1" t="s">
        <v>1014</v>
      </c>
      <c r="B1235" s="0" t="s">
        <v>98</v>
      </c>
      <c r="C1235" s="6" t="n">
        <f aca="false">Sens!F1184+oai_v-Sens!F1173+Sens!$C$1234</f>
        <v>147.35472329114</v>
      </c>
      <c r="L1235" s="1" t="s">
        <v>1101</v>
      </c>
    </row>
    <row r="1236" customFormat="false" ht="17.15" hidden="false" customHeight="false" outlineLevel="0" collapsed="false">
      <c r="A1236" s="1" t="s">
        <v>1102</v>
      </c>
      <c r="B1236" s="0" t="s">
        <v>75</v>
      </c>
      <c r="C1236" s="5" t="n">
        <f aca="false">(Sens!$C$1233+Sens!$C$1235)/(Sens!F1186+dil_gap)-Sens!G1176*roll_div_q/q_per_yr</f>
        <v>376.629702715349</v>
      </c>
      <c r="L1236" s="1" t="s">
        <v>1103</v>
      </c>
    </row>
    <row r="1237" customFormat="false" ht="17.15" hidden="false" customHeight="false" outlineLevel="0" collapsed="false">
      <c r="A1237" s="1" t="s">
        <v>1104</v>
      </c>
      <c r="B1237" s="0" t="s">
        <v>75</v>
      </c>
      <c r="C1237" s="5" t="n">
        <f aca="false">w_dcf*Sens!$C$1207+(1-w_dcf)*Sens!$C$1236</f>
        <v>318.59838694744</v>
      </c>
    </row>
    <row r="1238" customFormat="false" ht="17.15" hidden="false" customHeight="false" outlineLevel="0" collapsed="false">
      <c r="A1238" s="3" t="s">
        <v>1292</v>
      </c>
    </row>
    <row r="1239" customFormat="false" ht="15" hidden="false" customHeight="false" outlineLevel="0" collapsed="false">
      <c r="A1239" s="4" t="s">
        <v>43</v>
      </c>
      <c r="B1239" s="4" t="s">
        <v>65</v>
      </c>
      <c r="C1239" s="20" t="s">
        <v>799</v>
      </c>
      <c r="D1239" s="20" t="s">
        <v>800</v>
      </c>
      <c r="E1239" s="20" t="s">
        <v>801</v>
      </c>
      <c r="F1239" s="20" t="s">
        <v>802</v>
      </c>
      <c r="G1239" s="20" t="s">
        <v>803</v>
      </c>
      <c r="H1239" s="20" t="s">
        <v>804</v>
      </c>
      <c r="I1239" s="20" t="s">
        <v>805</v>
      </c>
      <c r="J1239" s="20" t="s">
        <v>806</v>
      </c>
      <c r="K1239" s="20" t="s">
        <v>807</v>
      </c>
      <c r="L1239" s="4" t="s">
        <v>47</v>
      </c>
    </row>
    <row r="1240" customFormat="false" ht="17.15" hidden="false" customHeight="false" outlineLevel="0" collapsed="false">
      <c r="A1240" s="1" t="s">
        <v>808</v>
      </c>
      <c r="B1240" s="1" t="s">
        <v>235</v>
      </c>
      <c r="C1240" s="28" t="n">
        <v>2024</v>
      </c>
      <c r="D1240" s="28" t="n">
        <v>2025</v>
      </c>
      <c r="E1240" s="28" t="n">
        <v>2026</v>
      </c>
      <c r="F1240" s="28" t="n">
        <v>2027</v>
      </c>
      <c r="G1240" s="28" t="n">
        <v>2028</v>
      </c>
      <c r="H1240" s="28" t="n">
        <v>2029</v>
      </c>
      <c r="I1240" s="28" t="n">
        <v>2030</v>
      </c>
      <c r="J1240" s="28" t="n">
        <v>2031</v>
      </c>
      <c r="K1240" s="28" t="n">
        <v>2032</v>
      </c>
    </row>
    <row r="1241" customFormat="false" ht="17.15" hidden="false" customHeight="false" outlineLevel="0" collapsed="false">
      <c r="A1241" s="1" t="s">
        <v>809</v>
      </c>
      <c r="B1241" s="0" t="s">
        <v>399</v>
      </c>
      <c r="F1241" s="29" t="n">
        <f aca="false">pace</f>
        <v>2527.2</v>
      </c>
      <c r="G1241" s="29" t="n">
        <f aca="false">pace</f>
        <v>2527.2</v>
      </c>
      <c r="H1241" s="29" t="n">
        <f aca="false">pace</f>
        <v>2527.2</v>
      </c>
      <c r="I1241" s="29" t="n">
        <f aca="false">pace+(g_tv*Sens!H1242-pace)*MIN(1,(Sens!I1240-pace_y0)/(pace_y1-pace_y0))</f>
        <v>1793.116</v>
      </c>
      <c r="J1241" s="29" t="n">
        <f aca="false">pace+(g_tv*Sens!I1242-pace)*MIN(1,(Sens!J1240-pace_y0)/(pace_y1-pace_y0))</f>
        <v>1094.89432</v>
      </c>
      <c r="K1241" s="29" t="n">
        <f aca="false">pace+(g_tv*Sens!J1242-pace)*MIN(1,(Sens!K1240-pace_y0)/(pace_y1-pace_y0))</f>
        <v>411.5883096</v>
      </c>
      <c r="L1241" s="11" t="s">
        <v>810</v>
      </c>
    </row>
    <row r="1242" customFormat="false" ht="17.15" hidden="false" customHeight="false" outlineLevel="0" collapsed="false">
      <c r="A1242" s="1" t="s">
        <v>811</v>
      </c>
      <c r="B1242" s="0" t="s">
        <v>399</v>
      </c>
      <c r="C1242" s="29" t="n">
        <f aca="false">mw_ext_24</f>
        <v>640</v>
      </c>
      <c r="D1242" s="29" t="n">
        <f aca="false">mw_ext_25</f>
        <v>1630</v>
      </c>
      <c r="E1242" s="29" t="n">
        <f aca="false">mw_ext_26</f>
        <v>3250</v>
      </c>
      <c r="F1242" s="29" t="n">
        <f aca="false">Sens!E1242+Sens!F1241</f>
        <v>5777.2</v>
      </c>
      <c r="G1242" s="29" t="n">
        <f aca="false">Sens!F1242+Sens!G1241</f>
        <v>8304.4</v>
      </c>
      <c r="H1242" s="29" t="n">
        <f aca="false">Sens!G1242+Sens!H1241</f>
        <v>10831.6</v>
      </c>
      <c r="I1242" s="29" t="n">
        <f aca="false">Sens!H1242+Sens!I1241</f>
        <v>12624.716</v>
      </c>
      <c r="J1242" s="29" t="n">
        <f aca="false">Sens!I1242+Sens!J1241</f>
        <v>13719.61032</v>
      </c>
      <c r="K1242" s="29" t="n">
        <f aca="false">Sens!J1242+Sens!K1241</f>
        <v>14131.1986296</v>
      </c>
      <c r="L1242" s="1" t="s">
        <v>812</v>
      </c>
    </row>
    <row r="1243" customFormat="false" ht="17.15" hidden="false" customHeight="false" outlineLevel="0" collapsed="false">
      <c r="A1243" s="1" t="s">
        <v>813</v>
      </c>
      <c r="B1243" s="0" t="s">
        <v>399</v>
      </c>
      <c r="C1243" s="29" t="n">
        <f aca="false">rent_ext_24</f>
        <v>150</v>
      </c>
      <c r="D1243" s="29" t="n">
        <f aca="false">rent_ext_25</f>
        <v>400</v>
      </c>
      <c r="E1243" s="29" t="n">
        <f aca="false">rent_ext_26</f>
        <v>550</v>
      </c>
      <c r="F1243" s="29" t="n">
        <f aca="false">rent_ext_f</f>
        <v>756</v>
      </c>
      <c r="G1243" s="29" t="n">
        <f aca="false">rent_ext_f</f>
        <v>756</v>
      </c>
      <c r="H1243" s="29" t="n">
        <f aca="false">rent_ext_f</f>
        <v>756</v>
      </c>
      <c r="I1243" s="29" t="n">
        <f aca="false">rent_ext_f</f>
        <v>756</v>
      </c>
      <c r="J1243" s="29" t="n">
        <f aca="false">rent_ext_f</f>
        <v>756</v>
      </c>
      <c r="K1243" s="29" t="n">
        <f aca="false">rent_ext_f</f>
        <v>756</v>
      </c>
      <c r="L1243" s="1" t="s">
        <v>814</v>
      </c>
    </row>
    <row r="1244" customFormat="false" ht="17.15" hidden="false" customHeight="false" outlineLevel="0" collapsed="false">
      <c r="A1244" s="1" t="s">
        <v>815</v>
      </c>
      <c r="B1244" s="0" t="s">
        <v>399</v>
      </c>
      <c r="C1244" s="29" t="n">
        <f aca="false">Sens!C1242-Sens!C1243</f>
        <v>490</v>
      </c>
      <c r="D1244" s="29" t="n">
        <f aca="false">Sens!D1242-Sens!D1243</f>
        <v>1230</v>
      </c>
      <c r="E1244" s="29" t="n">
        <f aca="false">Sens!E1242-Sens!E1243</f>
        <v>2700</v>
      </c>
      <c r="F1244" s="29" t="n">
        <f aca="false">Sens!F1242-Sens!F1243</f>
        <v>5021.2</v>
      </c>
      <c r="G1244" s="29" t="n">
        <f aca="false">Sens!G1242-Sens!G1243</f>
        <v>7548.4</v>
      </c>
      <c r="H1244" s="29" t="n">
        <f aca="false">Sens!H1242-Sens!H1243</f>
        <v>10075.6</v>
      </c>
      <c r="I1244" s="29" t="n">
        <f aca="false">Sens!I1242-Sens!I1243</f>
        <v>11868.716</v>
      </c>
      <c r="J1244" s="29" t="n">
        <f aca="false">Sens!J1242-Sens!J1243</f>
        <v>12963.61032</v>
      </c>
      <c r="K1244" s="29" t="n">
        <f aca="false">Sens!K1242-Sens!K1243</f>
        <v>13375.1986296</v>
      </c>
    </row>
    <row r="1245" customFormat="false" ht="17.15" hidden="false" customHeight="false" outlineLevel="0" collapsed="false">
      <c r="A1245" s="1" t="s">
        <v>816</v>
      </c>
      <c r="B1245" s="0" t="s">
        <v>399</v>
      </c>
      <c r="C1245" s="29" t="n">
        <f aca="false">Sens!C1244/ext_sh</f>
        <v>816.666666666667</v>
      </c>
      <c r="D1245" s="29" t="n">
        <f aca="false">Sens!D1244/ext_sh</f>
        <v>2050</v>
      </c>
      <c r="E1245" s="29" t="n">
        <f aca="false">Sens!E1244/ext_sh</f>
        <v>4500</v>
      </c>
      <c r="F1245" s="29" t="n">
        <f aca="false">Sens!F1244/ext_sh</f>
        <v>8368.66666666667</v>
      </c>
      <c r="G1245" s="29" t="n">
        <f aca="false">Sens!G1244/ext_sh</f>
        <v>12580.6666666667</v>
      </c>
      <c r="H1245" s="29" t="n">
        <f aca="false">Sens!H1244/ext_sh</f>
        <v>16792.6666666667</v>
      </c>
      <c r="I1245" s="29" t="n">
        <f aca="false">Sens!I1244/ext_sh</f>
        <v>19781.1933333333</v>
      </c>
      <c r="J1245" s="29" t="n">
        <f aca="false">Sens!J1244/ext_sh</f>
        <v>21606.0172</v>
      </c>
      <c r="K1245" s="29" t="n">
        <f aca="false">Sens!K1244/ext_sh</f>
        <v>22291.997716</v>
      </c>
      <c r="L1245" s="1" t="s">
        <v>817</v>
      </c>
    </row>
    <row r="1246" customFormat="false" ht="17.15" hidden="false" customHeight="false" outlineLevel="0" collapsed="false">
      <c r="A1246" s="1" t="s">
        <v>818</v>
      </c>
      <c r="B1246" s="0" t="s">
        <v>399</v>
      </c>
      <c r="C1246" s="29" t="n">
        <f aca="false">Sens!C1245-Sens!C1244</f>
        <v>326.666666666667</v>
      </c>
      <c r="D1246" s="29" t="n">
        <f aca="false">Sens!D1245-Sens!D1244</f>
        <v>820</v>
      </c>
      <c r="E1246" s="29" t="n">
        <f aca="false">Sens!E1245-Sens!E1244</f>
        <v>1800</v>
      </c>
      <c r="F1246" s="29" t="n">
        <f aca="false">Sens!F1245-Sens!F1244</f>
        <v>3347.46666666667</v>
      </c>
      <c r="G1246" s="29" t="n">
        <f aca="false">Sens!G1245-Sens!G1244</f>
        <v>5032.26666666667</v>
      </c>
      <c r="H1246" s="29" t="n">
        <f aca="false">Sens!H1245-Sens!H1244</f>
        <v>6717.06666666667</v>
      </c>
      <c r="I1246" s="29" t="n">
        <f aca="false">Sens!I1245-Sens!I1244</f>
        <v>7912.47733333333</v>
      </c>
      <c r="J1246" s="29" t="n">
        <f aca="false">Sens!J1245-Sens!J1244</f>
        <v>8642.40688</v>
      </c>
      <c r="K1246" s="29" t="n">
        <f aca="false">Sens!K1245-Sens!K1244</f>
        <v>8916.7990864</v>
      </c>
    </row>
    <row r="1247" customFormat="false" ht="17.15" hidden="false" customHeight="false" outlineLevel="0" collapsed="false">
      <c r="A1247" s="1" t="s">
        <v>819</v>
      </c>
      <c r="B1247" s="0" t="s">
        <v>399</v>
      </c>
      <c r="C1247" s="29" t="n">
        <f aca="false">Sens!C1245</f>
        <v>816.666666666667</v>
      </c>
      <c r="D1247" s="29" t="n">
        <f aca="false">Sens!D1245-Sens!C1245</f>
        <v>1233.33333333333</v>
      </c>
      <c r="E1247" s="29" t="n">
        <f aca="false">Sens!E1245-Sens!D1245</f>
        <v>2450</v>
      </c>
      <c r="F1247" s="29" t="n">
        <f aca="false">Sens!F1245-Sens!E1245</f>
        <v>3868.66666666667</v>
      </c>
      <c r="G1247" s="29" t="n">
        <f aca="false">Sens!G1245-Sens!F1245</f>
        <v>4212</v>
      </c>
      <c r="H1247" s="29" t="n">
        <f aca="false">Sens!H1245-Sens!G1245</f>
        <v>4212</v>
      </c>
      <c r="I1247" s="29" t="n">
        <f aca="false">Sens!I1245-Sens!H1245</f>
        <v>2988.52666666667</v>
      </c>
      <c r="J1247" s="29" t="n">
        <f aca="false">Sens!J1245-Sens!I1245</f>
        <v>1824.82386666667</v>
      </c>
      <c r="K1247" s="29" t="n">
        <f aca="false">Sens!K1245-Sens!J1245</f>
        <v>685.980516</v>
      </c>
    </row>
    <row r="1248" customFormat="false" ht="17.15" hidden="false" customHeight="false" outlineLevel="0" collapsed="false">
      <c r="A1248" s="1" t="s">
        <v>820</v>
      </c>
      <c r="B1248" s="0" t="s">
        <v>399</v>
      </c>
      <c r="D1248" s="29" t="n">
        <f aca="false">Sens!D1242-Sens!C1242</f>
        <v>990</v>
      </c>
      <c r="E1248" s="29" t="n">
        <f aca="false">Sens!E1242-Sens!D1242</f>
        <v>1620</v>
      </c>
      <c r="F1248" s="29" t="n">
        <f aca="false">Sens!F1242-Sens!E1242</f>
        <v>2527.2</v>
      </c>
      <c r="G1248" s="29" t="n">
        <f aca="false">Sens!G1242-Sens!F1242</f>
        <v>2527.2</v>
      </c>
      <c r="H1248" s="29" t="n">
        <f aca="false">Sens!H1242-Sens!G1242</f>
        <v>2527.2</v>
      </c>
      <c r="I1248" s="29" t="n">
        <f aca="false">Sens!I1242-Sens!H1242</f>
        <v>1793.116</v>
      </c>
      <c r="J1248" s="29" t="n">
        <f aca="false">Sens!J1242-Sens!I1242</f>
        <v>1094.89432</v>
      </c>
      <c r="K1248" s="29" t="n">
        <f aca="false">Sens!K1242-Sens!J1242</f>
        <v>411.5883096</v>
      </c>
    </row>
    <row r="1249" customFormat="false" ht="17.15" hidden="false" customHeight="false" outlineLevel="0" collapsed="false">
      <c r="A1249" s="1" t="s">
        <v>821</v>
      </c>
      <c r="B1249" s="0" t="s">
        <v>399</v>
      </c>
      <c r="F1249" s="29" t="n">
        <f aca="false">Sens!F1266*ext_sh</f>
        <v>0</v>
      </c>
      <c r="G1249" s="29" t="n">
        <f aca="false">Sens!G1266*ext_sh</f>
        <v>0</v>
      </c>
      <c r="H1249" s="29" t="n">
        <f aca="false">Sens!H1266*ext_sh</f>
        <v>0</v>
      </c>
      <c r="I1249" s="29" t="n">
        <f aca="false">Sens!I1266*ext_sh</f>
        <v>490</v>
      </c>
      <c r="J1249" s="29" t="n">
        <f aca="false">Sens!J1266*ext_sh</f>
        <v>740</v>
      </c>
      <c r="K1249" s="29" t="n">
        <f aca="false">Sens!K1266*ext_sh</f>
        <v>1470</v>
      </c>
      <c r="L1249" s="1" t="s">
        <v>822</v>
      </c>
    </row>
    <row r="1250" customFormat="false" ht="17.15" hidden="false" customHeight="false" outlineLevel="0" collapsed="false">
      <c r="A1250" s="1" t="s">
        <v>823</v>
      </c>
      <c r="B1250" s="0" t="s">
        <v>399</v>
      </c>
      <c r="C1250" s="29" t="n">
        <f aca="false">mix_h*Sens!C1242</f>
        <v>128</v>
      </c>
      <c r="D1250" s="29" t="n">
        <f aca="false">mix_h*Sens!D1242</f>
        <v>326</v>
      </c>
      <c r="E1250" s="29" t="n">
        <f aca="false">mix_h*Sens!E1242</f>
        <v>650</v>
      </c>
      <c r="F1250" s="29" t="n">
        <f aca="false">Sens!E1250-Sens!F1249*mix_h</f>
        <v>650</v>
      </c>
      <c r="G1250" s="29" t="n">
        <f aca="false">Sens!F1250-Sens!G1249*mix_h</f>
        <v>650</v>
      </c>
      <c r="H1250" s="29" t="n">
        <f aca="false">Sens!G1250-Sens!H1249*mix_h</f>
        <v>650</v>
      </c>
      <c r="I1250" s="29" t="n">
        <f aca="false">Sens!H1250-Sens!I1249*mix_h</f>
        <v>552</v>
      </c>
      <c r="J1250" s="29" t="n">
        <f aca="false">Sens!I1250-Sens!J1249*mix_h</f>
        <v>404</v>
      </c>
      <c r="K1250" s="29" t="n">
        <f aca="false">Sens!J1250-Sens!K1249*mix_h</f>
        <v>110</v>
      </c>
    </row>
    <row r="1251" customFormat="false" ht="17.15" hidden="false" customHeight="false" outlineLevel="0" collapsed="false">
      <c r="A1251" s="1" t="s">
        <v>824</v>
      </c>
      <c r="B1251" s="0" t="s">
        <v>399</v>
      </c>
      <c r="C1251" s="29" t="n">
        <f aca="false">mix_g2*Sens!C1242</f>
        <v>288</v>
      </c>
      <c r="D1251" s="29" t="n">
        <f aca="false">mix_g2*Sens!D1242</f>
        <v>733.5</v>
      </c>
      <c r="E1251" s="29" t="n">
        <f aca="false">mix_g2*Sens!E1242</f>
        <v>1462.5</v>
      </c>
      <c r="F1251" s="29" t="n">
        <f aca="false">Sens!E1251-Sens!F1249*mix_g2</f>
        <v>1462.5</v>
      </c>
      <c r="G1251" s="29" t="n">
        <f aca="false">Sens!F1251-Sens!G1249*mix_g2</f>
        <v>1462.5</v>
      </c>
      <c r="H1251" s="29" t="n">
        <f aca="false">Sens!G1251-Sens!H1249*mix_g2</f>
        <v>1462.5</v>
      </c>
      <c r="I1251" s="29" t="n">
        <f aca="false">Sens!H1251-Sens!I1249*mix_g2</f>
        <v>1242</v>
      </c>
      <c r="J1251" s="29" t="n">
        <f aca="false">Sens!I1251-Sens!J1249*mix_g2</f>
        <v>909</v>
      </c>
      <c r="K1251" s="29" t="n">
        <f aca="false">Sens!J1251-Sens!K1249*mix_g2</f>
        <v>247.5</v>
      </c>
    </row>
    <row r="1252" customFormat="false" ht="17.15" hidden="false" customHeight="false" outlineLevel="0" collapsed="false">
      <c r="A1252" s="1" t="s">
        <v>825</v>
      </c>
      <c r="B1252" s="0" t="s">
        <v>399</v>
      </c>
      <c r="C1252" s="29" t="n">
        <f aca="false">mix_g3*Sens!C1242</f>
        <v>224</v>
      </c>
      <c r="D1252" s="29" t="n">
        <f aca="false">mix_g3*Sens!D1242</f>
        <v>570.5</v>
      </c>
      <c r="E1252" s="29" t="n">
        <f aca="false">mix_g3*Sens!E1242</f>
        <v>1137.5</v>
      </c>
      <c r="F1252" s="29" t="n">
        <f aca="false">Sens!E1252+(Sens!F1248+Sens!F1249)*a_g3_27-Sens!F1249*mix_g3</f>
        <v>2906.54</v>
      </c>
      <c r="G1252" s="29" t="n">
        <f aca="false">Sens!F1252+(Sens!G1248+Sens!G1249)*a_g3_28-Sens!G1249*mix_g3</f>
        <v>3664.7</v>
      </c>
      <c r="H1252" s="29" t="n">
        <f aca="false">Sens!G1252+(Sens!H1248+Sens!H1249)*a_g3_29-Sens!H1249*mix_g3</f>
        <v>3917.42</v>
      </c>
      <c r="I1252" s="29" t="n">
        <f aca="false">Sens!H1252+(Sens!I1248+Sens!I1249)*a_g3_29-Sens!I1249*mix_g3</f>
        <v>3974.2316</v>
      </c>
      <c r="J1252" s="29" t="n">
        <f aca="false">Sens!I1252+(Sens!J1248+Sens!J1249)*a_g3_29-Sens!J1249*mix_g3</f>
        <v>3898.721032</v>
      </c>
      <c r="K1252" s="29" t="n">
        <f aca="false">Sens!J1252+(Sens!K1248+Sens!K1249)*a_g3_29-Sens!K1249*mix_g3</f>
        <v>3572.37986296</v>
      </c>
    </row>
    <row r="1253" customFormat="false" ht="17.15" hidden="false" customHeight="false" outlineLevel="0" collapsed="false">
      <c r="A1253" s="1" t="s">
        <v>826</v>
      </c>
      <c r="B1253" s="0" t="s">
        <v>399</v>
      </c>
      <c r="C1253" s="29" t="n">
        <v>0</v>
      </c>
      <c r="D1253" s="29" t="n">
        <v>0</v>
      </c>
      <c r="E1253" s="29" t="n">
        <v>0</v>
      </c>
      <c r="F1253" s="29" t="n">
        <f aca="false">Sens!E1253+(Sens!F1248+Sens!F1249)*(1-a_g3_27)</f>
        <v>758.16</v>
      </c>
      <c r="G1253" s="29" t="n">
        <f aca="false">Sens!F1253+(Sens!G1248+Sens!G1249)*(1-a_g3_28)</f>
        <v>2527.2</v>
      </c>
      <c r="H1253" s="29" t="n">
        <f aca="false">Sens!G1253+(Sens!H1248+Sens!H1249)*(1-a_g3_29)</f>
        <v>4801.68</v>
      </c>
      <c r="I1253" s="29" t="n">
        <f aca="false">Sens!H1253+(Sens!I1248+Sens!I1249)*(1-a_g3_29)</f>
        <v>6856.4844</v>
      </c>
      <c r="J1253" s="29" t="n">
        <f aca="false">Sens!I1253+(Sens!J1248+Sens!J1249)*(1-a_g3_29)</f>
        <v>8507.889288</v>
      </c>
      <c r="K1253" s="29" t="n">
        <f aca="false">Sens!J1253+(Sens!K1248+Sens!K1249)*(1-a_g3_29)</f>
        <v>10201.31876664</v>
      </c>
    </row>
    <row r="1254" customFormat="false" ht="17.15" hidden="false" customHeight="false" outlineLevel="0" collapsed="false">
      <c r="A1254" s="1" t="s">
        <v>827</v>
      </c>
      <c r="B1254" s="0" t="s">
        <v>346</v>
      </c>
      <c r="C1254" s="14" t="n">
        <f aca="false">(Sens!C1250*tk_hold_h100+Sens!C1251*tk_hold_gb200+Sens!C1252*tk_hold_gb300+Sens!C1253*tk_hold_vr200)/Sens!C1242</f>
        <v>9.7235358126469</v>
      </c>
      <c r="D1254" s="14" t="n">
        <f aca="false">(Sens!D1250*tk_hold_h100+Sens!D1251*tk_hold_gb200+Sens!D1252*tk_hold_gb300+Sens!D1253*tk_hold_vr200)/Sens!D1242</f>
        <v>9.7235358126469</v>
      </c>
      <c r="E1254" s="14" t="n">
        <f aca="false">(Sens!E1250*tk_hold_h100+Sens!E1251*tk_hold_gb200+Sens!E1252*tk_hold_gb300+Sens!E1253*tk_hold_vr200)/Sens!E1242</f>
        <v>9.7235358126469</v>
      </c>
      <c r="F1254" s="14" t="n">
        <f aca="false">(Sens!F1250*tk_hold_h100+Sens!F1251*tk_hold_gb200+Sens!F1252*tk_hold_gb300+Sens!F1253*tk_hold_vr200)/Sens!F1242</f>
        <v>10.4079573161931</v>
      </c>
      <c r="G1254" s="14" t="n">
        <f aca="false">(Sens!G1250*tk_hold_h100+Sens!G1251*tk_hold_gb200+Sens!G1252*tk_hold_gb300+Sens!G1253*tk_hold_vr200)/Sens!G1242</f>
        <v>10.8388131109316</v>
      </c>
      <c r="H1254" s="14" t="n">
        <f aca="false">(Sens!H1250*tk_hold_h100+Sens!H1251*tk_hold_gb200+Sens!H1252*tk_hold_gb300+Sens!H1253*tk_hold_vr200)/Sens!H1242</f>
        <v>11.1311018388216</v>
      </c>
      <c r="I1254" s="14" t="n">
        <f aca="false">(Sens!I1250*tk_hold_h100+Sens!I1251*tk_hold_gb200+Sens!I1252*tk_hold_gb300+Sens!I1253*tk_hold_vr200)/Sens!I1242</f>
        <v>11.3594282560989</v>
      </c>
      <c r="J1254" s="14" t="n">
        <f aca="false">(Sens!J1250*tk_hold_h100+Sens!J1251*tk_hold_gb200+Sens!J1252*tk_hold_gb300+Sens!J1253*tk_hold_vr200)/Sens!J1242</f>
        <v>11.5455817917599</v>
      </c>
      <c r="K1254" s="14" t="n">
        <f aca="false">(Sens!K1250*tk_hold_h100+Sens!K1251*tk_hold_gb200+Sens!K1252*tk_hold_gb300+Sens!K1253*tk_hold_vr200)/Sens!K1242</f>
        <v>11.8078187977246</v>
      </c>
    </row>
    <row r="1255" customFormat="false" ht="17.15" hidden="false" customHeight="false" outlineLevel="0" collapsed="false">
      <c r="A1255" s="0" t="s">
        <v>828</v>
      </c>
      <c r="B1255" s="0" t="s">
        <v>185</v>
      </c>
      <c r="C1255" s="14" t="n">
        <f aca="false">k_B</f>
        <v>1.17213932619116</v>
      </c>
      <c r="D1255" s="14" t="n">
        <f aca="false">k_B</f>
        <v>1.17213932619116</v>
      </c>
      <c r="E1255" s="14" t="n">
        <f aca="false">k_B</f>
        <v>1.17213932619116</v>
      </c>
      <c r="F1255" s="14" t="n">
        <f aca="false">(k_B+((ls_A*k_long+(1-ls_A)*k_spot)-k_B)*MIN(1,(Sens!F1240-base_fy)/k_ramp))*1.15</f>
        <v>1.43776252350992</v>
      </c>
      <c r="G1255" s="14" t="n">
        <f aca="false">(k_B+((ls_A*k_long+(1-ls_A)*k_spot)-k_B)*MIN(1,(Sens!G1240-base_fy)/k_ramp))*1.15</f>
        <v>1.52756482190002</v>
      </c>
      <c r="H1255" s="14" t="n">
        <f aca="false">(k_B+((ls_A*k_long+(1-ls_A)*k_spot)-k_B)*MIN(1,(Sens!H1240-base_fy)/k_ramp))*1.15</f>
        <v>1.61736712029011</v>
      </c>
      <c r="I1255" s="14" t="n">
        <f aca="false">(k_B+((ls_A*k_long+(1-ls_A)*k_spot)-k_B)*MIN(1,(Sens!I1240-base_fy)/k_ramp))*1.15</f>
        <v>1.61736712029011</v>
      </c>
      <c r="J1255" s="14" t="n">
        <f aca="false">(k_B+((ls_A*k_long+(1-ls_A)*k_spot)-k_B)*MIN(1,(Sens!J1240-base_fy)/k_ramp))*1.15</f>
        <v>1.61736712029011</v>
      </c>
      <c r="K1255" s="14" t="n">
        <f aca="false">(k_B+((ls_A*k_long+(1-ls_A)*k_spot)-k_B)*MIN(1,(Sens!K1240-base_fy)/k_ramp))*1.15</f>
        <v>1.61736712029011</v>
      </c>
      <c r="L1255" s="1" t="s">
        <v>829</v>
      </c>
    </row>
    <row r="1256" customFormat="false" ht="17.15" hidden="false" customHeight="false" outlineLevel="0" collapsed="false">
      <c r="A1256" s="1" t="s">
        <v>830</v>
      </c>
      <c r="B1256" s="0" t="s">
        <v>346</v>
      </c>
      <c r="C1256" s="14" t="n">
        <f aca="false">Sens!C1254*Sens!C1255*chip_f</f>
        <v>11.3973387156315</v>
      </c>
      <c r="D1256" s="14" t="n">
        <f aca="false">Sens!D1254*Sens!D1255*chip_f</f>
        <v>11.3973387156315</v>
      </c>
      <c r="E1256" s="14" t="n">
        <f aca="false">Sens!E1254*Sens!E1255*chip_f</f>
        <v>11.3973387156315</v>
      </c>
      <c r="F1256" s="14" t="n">
        <f aca="false">Sens!F1254*Sens!F1255*chip_f</f>
        <v>14.9641709755133</v>
      </c>
      <c r="G1256" s="14" t="n">
        <f aca="false">Sens!G1254*Sens!G1255*chip_f</f>
        <v>16.5569896194077</v>
      </c>
      <c r="H1256" s="14" t="n">
        <f aca="false">Sens!H1254*Sens!H1255*chip_f</f>
        <v>18.0030781267108</v>
      </c>
      <c r="I1256" s="14" t="n">
        <f aca="false">Sens!I1254*Sens!I1255*chip_f</f>
        <v>18.3723657667088</v>
      </c>
      <c r="J1256" s="14" t="n">
        <f aca="false">Sens!J1254*Sens!J1255*chip_f</f>
        <v>18.6734443746127</v>
      </c>
      <c r="K1256" s="14" t="n">
        <f aca="false">Sens!K1254*Sens!K1255*chip_f</f>
        <v>19.0975778857833</v>
      </c>
      <c r="L1256" s="1" t="s">
        <v>831</v>
      </c>
    </row>
    <row r="1257" customFormat="false" ht="17.15" hidden="false" customHeight="false" outlineLevel="0" collapsed="false">
      <c r="A1257" s="0" t="s">
        <v>832</v>
      </c>
      <c r="B1257" s="0" t="s">
        <v>98</v>
      </c>
      <c r="D1257" s="6" t="n">
        <f aca="false">(Sens!C1242+Sens!D1242)/2*Sens!D1256/1000</f>
        <v>12.9359794422418</v>
      </c>
      <c r="E1257" s="6" t="n">
        <f aca="false">(Sens!D1242+Sens!E1242)/2*Sens!E1256/1000</f>
        <v>27.8095064661409</v>
      </c>
      <c r="F1257" s="6" t="n">
        <f aca="false">(Sens!E1242+Sens!F1242)/2*Sens!F1256/1000</f>
        <v>67.542282115077</v>
      </c>
      <c r="G1257" s="6" t="n">
        <f aca="false">(Sens!F1242+Sens!G1242)/2*Sens!G1256/1000</f>
        <v>116.574452512326</v>
      </c>
      <c r="H1257" s="6" t="n">
        <f aca="false">(Sens!G1242+Sens!H1242)/2*Sens!H1256/1000</f>
        <v>172.253451516369</v>
      </c>
      <c r="I1257" s="6" t="n">
        <f aca="false">(Sens!H1242+Sens!I1242)/2*Sens!I1256/1000</f>
        <v>215.474008545752</v>
      </c>
      <c r="J1257" s="6" t="n">
        <f aca="false">(Sens!I1242+Sens!J1242)/2*Sens!J1256/1000</f>
        <v>245.969656061582</v>
      </c>
      <c r="K1257" s="6" t="n">
        <f aca="false">(Sens!J1242+Sens!K1242)/2*Sens!K1256/1000</f>
        <v>265.941496548528</v>
      </c>
      <c r="L1257" s="11" t="s">
        <v>833</v>
      </c>
    </row>
    <row r="1258" customFormat="false" ht="17.15" hidden="false" customHeight="false" outlineLevel="0" collapsed="false">
      <c r="A1258" s="1" t="s">
        <v>834</v>
      </c>
      <c r="B1258" s="0" t="s">
        <v>346</v>
      </c>
      <c r="C1258" s="14" t="n">
        <f aca="false">(Sens!C1250*tk_opex_h100+Sens!C1251*tk_opex_gb200+Sens!C1252*tk_opex_gb300+Sens!C1253*tk_opex_vr200)/Sens!C1242</f>
        <v>1.88636041306092</v>
      </c>
      <c r="D1258" s="14" t="n">
        <f aca="false">(Sens!D1250*tk_opex_h100+Sens!D1251*tk_opex_gb200+Sens!D1252*tk_opex_gb300+Sens!D1253*tk_opex_vr200)/Sens!D1242</f>
        <v>1.88636041306092</v>
      </c>
      <c r="E1258" s="14" t="n">
        <f aca="false">(Sens!E1250*tk_opex_h100+Sens!E1251*tk_opex_gb200+Sens!E1252*tk_opex_gb300+Sens!E1253*tk_opex_vr200)/Sens!E1242</f>
        <v>1.88636041306092</v>
      </c>
      <c r="F1258" s="14" t="n">
        <f aca="false">(Sens!F1250*tk_opex_h100+Sens!F1251*tk_opex_gb200+Sens!F1252*tk_opex_gb300+Sens!F1253*tk_opex_vr200)/Sens!F1242</f>
        <v>1.9430236476499</v>
      </c>
      <c r="G1258" s="14" t="n">
        <f aca="false">(Sens!G1250*tk_opex_h100+Sens!G1251*tk_opex_gb200+Sens!G1252*tk_opex_gb300+Sens!G1253*tk_opex_vr200)/Sens!G1242</f>
        <v>1.9786941852423</v>
      </c>
      <c r="H1258" s="14" t="n">
        <f aca="false">(Sens!H1250*tk_opex_h100+Sens!H1251*tk_opex_gb200+Sens!H1252*tk_opex_gb300+Sens!H1253*tk_opex_vr200)/Sens!H1242</f>
        <v>2.00289275976156</v>
      </c>
      <c r="I1258" s="14" t="n">
        <f aca="false">(Sens!I1250*tk_opex_h100+Sens!I1251*tk_opex_gb200+Sens!I1252*tk_opex_gb300+Sens!I1253*tk_opex_vr200)/Sens!I1242</f>
        <v>2.02179589661219</v>
      </c>
      <c r="J1258" s="14" t="n">
        <f aca="false">(Sens!J1250*tk_opex_h100+Sens!J1251*tk_opex_gb200+Sens!J1252*tk_opex_gb300+Sens!J1253*tk_opex_vr200)/Sens!J1242</f>
        <v>2.03720754193029</v>
      </c>
      <c r="K1258" s="14" t="n">
        <f aca="false">(Sens!K1250*tk_opex_h100+Sens!K1251*tk_opex_gb200+Sens!K1252*tk_opex_gb300+Sens!K1253*tk_opex_vr200)/Sens!K1242</f>
        <v>2.0589181353437</v>
      </c>
    </row>
    <row r="1259" customFormat="false" ht="17.15" hidden="false" customHeight="false" outlineLevel="0" collapsed="false">
      <c r="A1259" s="0" t="s">
        <v>835</v>
      </c>
      <c r="B1259" s="0" t="s">
        <v>98</v>
      </c>
      <c r="D1259" s="6" t="n">
        <f aca="false">(Sens!C1245+Sens!D1245)/2*Sens!D1258/1000</f>
        <v>2.70378325872065</v>
      </c>
      <c r="E1259" s="6" t="n">
        <f aca="false">(Sens!D1245+Sens!E1245)/2*Sens!E1258/1000</f>
        <v>6.17783035277451</v>
      </c>
      <c r="F1259" s="6" t="n">
        <f aca="false">(Sens!E1245+Sens!F1245)/2*Sens!F1258/1000</f>
        <v>12.5020618235287</v>
      </c>
      <c r="G1259" s="6" t="n">
        <f aca="false">(Sens!F1245+Sens!G1245)/2*Sens!G1258/1000</f>
        <v>20.7261620256847</v>
      </c>
      <c r="H1259" s="6" t="n">
        <f aca="false">(Sens!G1245+Sens!H1245)/2*Sens!H1258/1000</f>
        <v>29.4158183316982</v>
      </c>
      <c r="I1259" s="6" t="n">
        <f aca="false">(Sens!H1245+Sens!I1245)/2*Sens!I1258/1000</f>
        <v>36.9724400356344</v>
      </c>
      <c r="J1259" s="6" t="n">
        <f aca="false">(Sens!I1245+Sens!J1245)/2*Sens!J1258/1000</f>
        <v>42.1571687189816</v>
      </c>
      <c r="K1259" s="6" t="n">
        <f aca="false">(Sens!J1245+Sens!K1245)/2*Sens!K1258/1000</f>
        <v>45.1912095080704</v>
      </c>
    </row>
    <row r="1260" customFormat="false" ht="17.15" hidden="false" customHeight="false" outlineLevel="0" collapsed="false">
      <c r="A1260" s="0" t="s">
        <v>836</v>
      </c>
      <c r="B1260" s="0" t="s">
        <v>98</v>
      </c>
      <c r="D1260" s="6" t="n">
        <f aca="false">(Sens!C1243+Sens!D1243)/2*rent_mw/1000</f>
        <v>2.44475</v>
      </c>
      <c r="E1260" s="6" t="n">
        <f aca="false">(Sens!D1243+Sens!E1243)/2*rent_mw/1000</f>
        <v>4.22275</v>
      </c>
      <c r="F1260" s="6" t="n">
        <f aca="false">(Sens!E1243+Sens!F1243)/2*rent_mw/1000</f>
        <v>5.80517</v>
      </c>
      <c r="G1260" s="6" t="n">
        <f aca="false">(Sens!F1243+Sens!G1243)/2*rent_mw/1000</f>
        <v>6.72084</v>
      </c>
      <c r="H1260" s="6" t="n">
        <f aca="false">(Sens!G1243+Sens!H1243)/2*rent_mw/1000</f>
        <v>6.72084</v>
      </c>
      <c r="I1260" s="6" t="n">
        <f aca="false">(Sens!H1243+Sens!I1243)/2*rent_mw/1000</f>
        <v>6.72084</v>
      </c>
      <c r="J1260" s="6" t="n">
        <f aca="false">(Sens!I1243+Sens!J1243)/2*rent_mw/1000</f>
        <v>6.72084</v>
      </c>
      <c r="K1260" s="6" t="n">
        <f aca="false">(Sens!J1243+Sens!K1243)/2*rent_mw/1000</f>
        <v>6.72084</v>
      </c>
    </row>
    <row r="1261" customFormat="false" ht="17.15" hidden="false" customHeight="false" outlineLevel="0" collapsed="false">
      <c r="A1261" s="0" t="s">
        <v>837</v>
      </c>
      <c r="B1261" s="0" t="s">
        <v>98</v>
      </c>
      <c r="D1261" s="6" t="n">
        <f aca="false">(Sens!C1245+Sens!D1245)/2*(1-self_build)*fac_rent/1000</f>
        <v>0.853242375631075</v>
      </c>
      <c r="E1261" s="6" t="n">
        <f aca="false">(Sens!D1245+Sens!E1245)/2*(1-self_build)*fac_rent/1000</f>
        <v>1.94955961408728</v>
      </c>
      <c r="F1261" s="6" t="n">
        <f aca="false">(Sens!E1245+Sens!F1245)/2*(1-self_build)*fac_rent/1000</f>
        <v>3.83026455274573</v>
      </c>
      <c r="G1261" s="6" t="n">
        <f aca="false">(Sens!F1245+Sens!G1245)/2*(1-self_build)*fac_rent/1000</f>
        <v>6.23541590972812</v>
      </c>
      <c r="H1261" s="6" t="n">
        <f aca="false">(Sens!G1245+Sens!H1245)/2*(1-self_build)*fac_rent/1000</f>
        <v>8.74275792332679</v>
      </c>
      <c r="I1261" s="6" t="n">
        <f aca="false">(Sens!H1245+Sens!I1245)/2*(1-self_build)*fac_rent/1000</f>
        <v>10.8859420438599</v>
      </c>
      <c r="J1261" s="6" t="n">
        <f aca="false">(Sens!I1245+Sens!J1245)/2*(1-self_build)*fac_rent/1000</f>
        <v>12.3186006405366</v>
      </c>
      <c r="K1261" s="6" t="n">
        <f aca="false">(Sens!J1245+Sens!K1245)/2*(1-self_build)*fac_rent/1000</f>
        <v>13.0659232089824</v>
      </c>
      <c r="L1261" s="11" t="s">
        <v>838</v>
      </c>
    </row>
    <row r="1262" customFormat="false" ht="17.15" hidden="false" customHeight="false" outlineLevel="0" collapsed="false">
      <c r="A1262" s="1" t="s">
        <v>839</v>
      </c>
      <c r="B1262" s="0" t="s">
        <v>129</v>
      </c>
      <c r="D1262" s="7" t="n">
        <f aca="false">(Sens!C1244+Sens!D1244)/(Sens!C1245+Sens!D1245)</f>
        <v>0.6</v>
      </c>
      <c r="E1262" s="7" t="n">
        <f aca="false">(Sens!D1244+Sens!E1244)/(Sens!D1245+Sens!E1245)</f>
        <v>0.6</v>
      </c>
      <c r="F1262" s="7" t="n">
        <f aca="false">(Sens!E1244+Sens!F1244)/(Sens!E1245+Sens!F1245)</f>
        <v>0.6</v>
      </c>
      <c r="G1262" s="7" t="n">
        <f aca="false">(Sens!F1244+Sens!G1244)/(Sens!F1245+Sens!G1245)</f>
        <v>0.6</v>
      </c>
      <c r="H1262" s="7" t="n">
        <f aca="false">(Sens!G1244+Sens!H1244)/(Sens!G1245+Sens!H1245)</f>
        <v>0.6</v>
      </c>
      <c r="I1262" s="7" t="n">
        <f aca="false">(Sens!H1244+Sens!I1244)/(Sens!H1245+Sens!I1245)</f>
        <v>0.6</v>
      </c>
      <c r="J1262" s="7" t="n">
        <f aca="false">(Sens!I1244+Sens!J1244)/(Sens!I1245+Sens!J1245)</f>
        <v>0.6</v>
      </c>
      <c r="K1262" s="7" t="n">
        <f aca="false">(Sens!J1244+Sens!K1244)/(Sens!J1245+Sens!K1245)</f>
        <v>0.6</v>
      </c>
    </row>
    <row r="1263" customFormat="false" ht="17.15" hidden="false" customHeight="false" outlineLevel="0" collapsed="false">
      <c r="A1263" s="0" t="s">
        <v>840</v>
      </c>
      <c r="B1263" s="0" t="s">
        <v>98</v>
      </c>
      <c r="D1263" s="6" t="n">
        <f aca="false">Sens!D1257-Sens!D1262*(Sens!D1259+Sens!D1261)-Sens!D1260</f>
        <v>8.35701406163072</v>
      </c>
      <c r="E1263" s="6" t="n">
        <f aca="false">Sens!E1257-Sens!E1262*(Sens!E1259+Sens!E1261)-Sens!E1260</f>
        <v>18.7103224860238</v>
      </c>
      <c r="F1263" s="6" t="n">
        <f aca="false">Sens!F1257-Sens!F1262*(Sens!F1259+Sens!F1261)-Sens!F1260</f>
        <v>51.9377162893124</v>
      </c>
      <c r="G1263" s="6" t="n">
        <f aca="false">Sens!G1257-Sens!G1262*(Sens!G1259+Sens!G1261)-Sens!G1260</f>
        <v>93.6766657510782</v>
      </c>
      <c r="H1263" s="6" t="n">
        <f aca="false">Sens!H1257-Sens!H1262*(Sens!H1259+Sens!H1261)-Sens!H1260</f>
        <v>142.637465763354</v>
      </c>
      <c r="I1263" s="6" t="n">
        <f aca="false">Sens!I1257-Sens!I1262*(Sens!I1259+Sens!I1261)-Sens!I1260</f>
        <v>180.038139298055</v>
      </c>
      <c r="J1263" s="6" t="n">
        <f aca="false">Sens!J1257-Sens!J1262*(Sens!J1259+Sens!J1261)-Sens!J1260</f>
        <v>206.563354445871</v>
      </c>
      <c r="K1263" s="6" t="n">
        <f aca="false">Sens!K1257-Sens!K1262*(Sens!K1259+Sens!K1261)-Sens!K1260</f>
        <v>224.266376918296</v>
      </c>
    </row>
    <row r="1264" customFormat="false" ht="17.15" hidden="false" customHeight="false" outlineLevel="0" collapsed="false">
      <c r="A1264" s="1" t="s">
        <v>841</v>
      </c>
      <c r="B1264" s="0" t="s">
        <v>98</v>
      </c>
      <c r="D1264" s="6" t="n">
        <f aca="false">(1-Sens!D1262)*(Sens!D1259+Sens!D1261)</f>
        <v>1.42281025374069</v>
      </c>
      <c r="E1264" s="6" t="n">
        <f aca="false">(1-Sens!E1262)*(Sens!E1259+Sens!E1261)</f>
        <v>3.25095598674472</v>
      </c>
      <c r="F1264" s="6" t="n">
        <f aca="false">(1-Sens!F1262)*(Sens!F1259+Sens!F1261)</f>
        <v>6.53293055050977</v>
      </c>
      <c r="G1264" s="6" t="n">
        <f aca="false">(1-Sens!G1262)*(Sens!G1259+Sens!G1261)</f>
        <v>10.7846311741651</v>
      </c>
      <c r="H1264" s="6" t="n">
        <f aca="false">(1-Sens!H1262)*(Sens!H1259+Sens!H1261)</f>
        <v>15.26343050201</v>
      </c>
      <c r="I1264" s="6" t="n">
        <f aca="false">(1-Sens!I1262)*(Sens!I1259+Sens!I1261)</f>
        <v>19.1433528317977</v>
      </c>
      <c r="J1264" s="6" t="n">
        <f aca="false">(1-Sens!J1262)*(Sens!J1259+Sens!J1261)</f>
        <v>21.7903077438073</v>
      </c>
      <c r="K1264" s="6" t="n">
        <f aca="false">(1-Sens!K1262)*(Sens!K1259+Sens!K1261)</f>
        <v>23.3028530868211</v>
      </c>
    </row>
    <row r="1265" customFormat="false" ht="17.15" hidden="false" customHeight="false" outlineLevel="0" collapsed="false">
      <c r="A1265" s="1" t="s">
        <v>842</v>
      </c>
      <c r="B1265" s="0" t="s">
        <v>357</v>
      </c>
      <c r="C1265" s="8" t="n">
        <f aca="false">cxit_open</f>
        <v>27.5918995</v>
      </c>
      <c r="D1265" s="8" t="n">
        <f aca="false">cxit_open</f>
        <v>27.5918995</v>
      </c>
      <c r="E1265" s="8" t="n">
        <f aca="false">cxit_open</f>
        <v>27.5918995</v>
      </c>
      <c r="F1265" s="8" t="n">
        <f aca="false">(a_g3_27*tk_cxit_gb300+(1-a_g3_27)*tk_cxit_vr200)</f>
        <v>33.8419624</v>
      </c>
      <c r="G1265" s="8" t="n">
        <f aca="false">(a_g3_28*tk_cxit_gb300+(1-a_g3_28)*tk_cxit_vr200)</f>
        <v>35.9816136</v>
      </c>
      <c r="H1265" s="8" t="n">
        <f aca="false">(a_g3_29*tk_cxit_gb300+(1-a_g3_29)*tk_cxit_vr200)</f>
        <v>37.0514392</v>
      </c>
      <c r="I1265" s="8" t="n">
        <f aca="false">(a_g3_29*tk_cxit_gb300+(1-a_g3_29)*tk_cxit_vr200)</f>
        <v>37.0514392</v>
      </c>
      <c r="J1265" s="8" t="n">
        <f aca="false">(a_g3_29*tk_cxit_gb300+(1-a_g3_29)*tk_cxit_vr200)</f>
        <v>37.0514392</v>
      </c>
      <c r="K1265" s="8" t="n">
        <f aca="false">(a_g3_29*tk_cxit_gb300+(1-a_g3_29)*tk_cxit_vr200)</f>
        <v>37.0514392</v>
      </c>
      <c r="L1265" s="11" t="s">
        <v>843</v>
      </c>
    </row>
    <row r="1266" customFormat="false" ht="17.15" hidden="false" customHeight="false" outlineLevel="0" collapsed="false">
      <c r="A1266" s="0" t="s">
        <v>844</v>
      </c>
      <c r="B1266" s="0" t="s">
        <v>399</v>
      </c>
      <c r="F1266" s="29" t="n">
        <f aca="false">Sens!C1247*IF(Sens!F1240-Sens!C1240=life_it,1,0)+Sens!D1247*IF(Sens!F1240-Sens!D1240=life_it,1,0)+Sens!E1247*IF(Sens!F1240-Sens!E1240=life_it,1,0)</f>
        <v>0</v>
      </c>
      <c r="G1266" s="29" t="n">
        <f aca="false">Sens!C1247*IF(Sens!G1240-Sens!C1240=life_it,1,0)+Sens!D1247*IF(Sens!G1240-Sens!D1240=life_it,1,0)+Sens!E1247*IF(Sens!G1240-Sens!E1240=life_it,1,0)+Sens!F1247*IF(Sens!G1240-Sens!F1240=life_it,1,0)</f>
        <v>0</v>
      </c>
      <c r="H1266" s="29" t="n">
        <f aca="false">Sens!C1247*IF(Sens!H1240-Sens!C1240=life_it,1,0)+Sens!D1247*IF(Sens!H1240-Sens!D1240=life_it,1,0)+Sens!E1247*IF(Sens!H1240-Sens!E1240=life_it,1,0)+Sens!F1247*IF(Sens!H1240-Sens!F1240=life_it,1,0)+Sens!G1247*IF(Sens!H1240-Sens!G1240=life_it,1,0)</f>
        <v>0</v>
      </c>
      <c r="I1266" s="29" t="n">
        <f aca="false">Sens!C1247*IF(Sens!I1240-Sens!C1240=life_it,1,0)+Sens!D1247*IF(Sens!I1240-Sens!D1240=life_it,1,0)+Sens!E1247*IF(Sens!I1240-Sens!E1240=life_it,1,0)+Sens!F1247*IF(Sens!I1240-Sens!F1240=life_it,1,0)+Sens!G1247*IF(Sens!I1240-Sens!G1240=life_it,1,0)+Sens!H1247*IF(Sens!I1240-Sens!H1240=life_it,1,0)</f>
        <v>816.666666666667</v>
      </c>
      <c r="J1266" s="29" t="n">
        <f aca="false">Sens!C1247*IF(Sens!J1240-Sens!C1240=life_it,1,0)+Sens!D1247*IF(Sens!J1240-Sens!D1240=life_it,1,0)+Sens!E1247*IF(Sens!J1240-Sens!E1240=life_it,1,0)+Sens!F1247*IF(Sens!J1240-Sens!F1240=life_it,1,0)+Sens!G1247*IF(Sens!J1240-Sens!G1240=life_it,1,0)+Sens!H1247*IF(Sens!J1240-Sens!H1240=life_it,1,0)+Sens!I1247*IF(Sens!J1240-Sens!I1240=life_it,1,0)</f>
        <v>1233.33333333333</v>
      </c>
      <c r="K1266" s="29" t="n">
        <f aca="false">Sens!C1247*IF(Sens!K1240-Sens!C1240=life_it,1,0)+Sens!D1247*IF(Sens!K1240-Sens!D1240=life_it,1,0)+Sens!E1247*IF(Sens!K1240-Sens!E1240=life_it,1,0)+Sens!F1247*IF(Sens!K1240-Sens!F1240=life_it,1,0)+Sens!G1247*IF(Sens!K1240-Sens!G1240=life_it,1,0)+Sens!H1247*IF(Sens!K1240-Sens!H1240=life_it,1,0)+Sens!I1247*IF(Sens!K1240-Sens!I1240=life_it,1,0)+Sens!J1247*IF(Sens!K1240-Sens!J1240=life_it,1,0)</f>
        <v>2450</v>
      </c>
      <c r="L1266" s="1" t="s">
        <v>845</v>
      </c>
    </row>
    <row r="1267" customFormat="false" ht="17.15" hidden="false" customHeight="false" outlineLevel="0" collapsed="false">
      <c r="A1267" s="0" t="s">
        <v>846</v>
      </c>
      <c r="B1267" s="0" t="s">
        <v>98</v>
      </c>
      <c r="C1267" s="6" t="n">
        <f aca="false">Sens!C1247*Sens!C1265/1000</f>
        <v>22.5333845916667</v>
      </c>
      <c r="D1267" s="6" t="n">
        <f aca="false">Sens!D1247*Sens!D1265/1000</f>
        <v>34.0300093833333</v>
      </c>
      <c r="E1267" s="6" t="n">
        <f aca="false">Sens!E1247*Sens!E1265/1000</f>
        <v>67.600153775</v>
      </c>
      <c r="F1267" s="6" t="n">
        <f aca="false">(Sens!F1247+Sens!F1266)*Sens!F1265/1000</f>
        <v>130.923271871467</v>
      </c>
      <c r="G1267" s="6" t="n">
        <f aca="false">(Sens!G1247+Sens!G1266)*Sens!G1265/1000</f>
        <v>151.5545564832</v>
      </c>
      <c r="H1267" s="6" t="n">
        <f aca="false">(Sens!H1247+Sens!H1266)*Sens!H1265/1000</f>
        <v>156.0606619104</v>
      </c>
      <c r="I1267" s="6" t="n">
        <f aca="false">(Sens!I1247+Sens!I1266)*Sens!I1265/1000</f>
        <v>140.987889434245</v>
      </c>
      <c r="J1267" s="6" t="n">
        <f aca="false">(Sens!J1247+Sens!J1266)*Sens!J1265/1000</f>
        <v>113.309125559842</v>
      </c>
      <c r="K1267" s="6" t="n">
        <f aca="false">(Sens!K1247+Sens!K1266)*Sens!K1265/1000</f>
        <v>116.192591420959</v>
      </c>
    </row>
    <row r="1268" customFormat="false" ht="17.15" hidden="false" customHeight="false" outlineLevel="0" collapsed="false">
      <c r="A1268" s="0" t="s">
        <v>847</v>
      </c>
      <c r="B1268" s="0" t="s">
        <v>98</v>
      </c>
      <c r="C1268" s="6" t="n">
        <f aca="false">Sens!C1247*self_build*tk_cxfac/1000</f>
        <v>6.2083</v>
      </c>
      <c r="D1268" s="6" t="n">
        <f aca="false">Sens!D1247*self_build*tk_cxfac/1000</f>
        <v>9.3758</v>
      </c>
      <c r="E1268" s="6" t="n">
        <f aca="false">Sens!E1247*self_build*tk_cxfac/1000</f>
        <v>18.6249</v>
      </c>
      <c r="F1268" s="6" t="n">
        <f aca="false">Sens!F1247*self_build*tk_cxfac/1000</f>
        <v>29.409604</v>
      </c>
      <c r="G1268" s="6" t="n">
        <f aca="false">Sens!G1247*self_build*tk_cxfac/1000</f>
        <v>32.019624</v>
      </c>
      <c r="H1268" s="6" t="n">
        <f aca="false">Sens!H1247*self_build*tk_cxfac/1000</f>
        <v>32.019624</v>
      </c>
      <c r="I1268" s="6" t="n">
        <f aca="false">Sens!I1247*self_build*tk_cxfac/1000</f>
        <v>22.71877972</v>
      </c>
      <c r="J1268" s="6" t="n">
        <f aca="false">Sens!J1247*self_build*tk_cxfac/1000</f>
        <v>13.8723110344</v>
      </c>
      <c r="K1268" s="6" t="n">
        <f aca="false">Sens!K1247*self_build*tk_cxfac/1000</f>
        <v>5.214823882632</v>
      </c>
    </row>
    <row r="1269" customFormat="false" ht="17.15" hidden="false" customHeight="false" outlineLevel="0" collapsed="false">
      <c r="A1269" s="0" t="s">
        <v>848</v>
      </c>
      <c r="B1269" s="0" t="s">
        <v>98</v>
      </c>
      <c r="F1269" s="6" t="n">
        <f aca="false">MAX(0,capex_floor27-Sens!F1267-Sens!F1268-Sens!F1363)</f>
        <v>8.13777689897088</v>
      </c>
    </row>
    <row r="1270" customFormat="false" ht="17.15" hidden="false" customHeight="false" outlineLevel="0" collapsed="false">
      <c r="A1270" s="0" t="s">
        <v>849</v>
      </c>
      <c r="B1270" s="0" t="s">
        <v>98</v>
      </c>
      <c r="C1270" s="6" t="n">
        <f aca="false">Sens!C1267</f>
        <v>22.5333845916667</v>
      </c>
      <c r="D1270" s="6" t="n">
        <f aca="false">Sens!D1267</f>
        <v>34.0300093833333</v>
      </c>
      <c r="E1270" s="6" t="n">
        <f aca="false">Sens!E1267</f>
        <v>67.600153775</v>
      </c>
      <c r="F1270" s="6" t="n">
        <f aca="false">Sens!F1267</f>
        <v>130.923271871467</v>
      </c>
      <c r="G1270" s="6" t="n">
        <f aca="false">Sens!G1267</f>
        <v>151.5545564832</v>
      </c>
      <c r="H1270" s="6" t="n">
        <f aca="false">Sens!H1267</f>
        <v>156.0606619104</v>
      </c>
      <c r="I1270" s="6" t="n">
        <f aca="false">Sens!I1267</f>
        <v>140.987889434245</v>
      </c>
      <c r="J1270" s="6" t="n">
        <f aca="false">Sens!J1267</f>
        <v>113.309125559842</v>
      </c>
      <c r="K1270" s="6" t="n">
        <f aca="false">Sens!K1267</f>
        <v>116.192591420959</v>
      </c>
    </row>
    <row r="1271" customFormat="false" ht="17.15" hidden="false" customHeight="false" outlineLevel="0" collapsed="false">
      <c r="A1271" s="0" t="s">
        <v>850</v>
      </c>
      <c r="B1271" s="0" t="s">
        <v>98</v>
      </c>
      <c r="C1271" s="6" t="n">
        <f aca="false">Sens!C1270+Sens!C1268</f>
        <v>28.7416845916667</v>
      </c>
      <c r="D1271" s="6" t="n">
        <f aca="false">Sens!D1270+Sens!D1268</f>
        <v>43.4058093833333</v>
      </c>
      <c r="E1271" s="6" t="n">
        <f aca="false">Sens!E1270+Sens!E1268</f>
        <v>86.225053775</v>
      </c>
      <c r="F1271" s="6" t="n">
        <f aca="false">Sens!F1270+Sens!F1268</f>
        <v>160.332875871467</v>
      </c>
      <c r="G1271" s="6" t="n">
        <f aca="false">Sens!G1270+Sens!G1268</f>
        <v>183.5741804832</v>
      </c>
      <c r="H1271" s="6" t="n">
        <f aca="false">Sens!H1270+Sens!H1268</f>
        <v>188.0802859104</v>
      </c>
      <c r="I1271" s="6" t="n">
        <f aca="false">Sens!I1270+Sens!I1268</f>
        <v>163.706669154245</v>
      </c>
      <c r="J1271" s="6" t="n">
        <f aca="false">Sens!J1270+Sens!J1268</f>
        <v>127.181436594242</v>
      </c>
      <c r="K1271" s="6" t="n">
        <f aca="false">Sens!K1270+Sens!K1268</f>
        <v>121.407415303591</v>
      </c>
      <c r="L1271" s="11" t="s">
        <v>851</v>
      </c>
    </row>
    <row r="1272" customFormat="false" ht="17.15" hidden="false" customHeight="false" outlineLevel="0" collapsed="false">
      <c r="A1272" s="0" t="s">
        <v>852</v>
      </c>
      <c r="B1272" s="0" t="s">
        <v>98</v>
      </c>
      <c r="E1272" s="6" t="n">
        <f aca="false">(Sens!C1270*IF(2&lt;life_it,1,IF(2=life_it,0.5,0))+Sens!D1270*IF(1&lt;life_it,1,IF(1=life_it,0.5,0))+Sens!E1270*0.5)/life_it</f>
        <v>15.0605784770833</v>
      </c>
      <c r="F1272" s="6" t="n">
        <f aca="false">(Sens!C1270*IF(3&lt;life_it,1,IF(3=life_it,0.5,0))+Sens!D1270*IF(2&lt;life_it,1,IF(2=life_it,0.5,0))+Sens!E1270*IF(1&lt;life_it,1,IF(1=life_it,0.5,0))+Sens!F1270*0.5)/life_it</f>
        <v>31.6041972809556</v>
      </c>
      <c r="G1272" s="6" t="n">
        <f aca="false">(Sens!C1270*IF(4&lt;life_it,1,IF(4=life_it,0.5,0))+Sens!D1270*IF(3&lt;life_it,1,IF(3=life_it,0.5,0))+Sens!E1270*IF(2&lt;life_it,1,IF(2=life_it,0.5,0))+Sens!F1270*IF(1&lt;life_it,1,IF(1=life_it,0.5,0))+Sens!G1270*0.5)/life_it</f>
        <v>55.1440163105111</v>
      </c>
      <c r="H1272" s="6" t="n">
        <f aca="false">(Sens!C1270*IF(5&lt;life_it,1,IF(5=life_it,0.5,0))+Sens!D1270*IF(4&lt;life_it,1,IF(4=life_it,0.5,0))+Sens!E1270*IF(3&lt;life_it,1,IF(3=life_it,0.5,0))+Sens!F1270*IF(2&lt;life_it,1,IF(2=life_it,0.5,0))+Sens!G1270*IF(1&lt;life_it,1,IF(1=life_it,0.5,0))+Sens!H1270*0.5)/life_it</f>
        <v>80.7786178433111</v>
      </c>
      <c r="I1272" s="6" t="n">
        <f aca="false">(Sens!C1270*IF(6&lt;life_it,1,IF(6=life_it,0.5,0))+Sens!D1270*IF(5&lt;life_it,1,IF(5=life_it,0.5,0))+Sens!E1270*IF(4&lt;life_it,1,IF(4=life_it,0.5,0))+Sens!F1270*IF(3&lt;life_it,1,IF(3=life_it,0.5,0))+Sens!G1270*IF(2&lt;life_it,1,IF(2=life_it,0.5,0))+Sens!H1270*IF(1&lt;life_it,1,IF(1=life_it,0.5,0))+Sens!I1270*0.5)/life_it</f>
        <v>103.654881739393</v>
      </c>
      <c r="J1272" s="6" t="n">
        <f aca="false">(Sens!C1270*IF(7&lt;life_it,1,IF(7=life_it,0.5,0))+Sens!D1270*IF(6&lt;life_it,1,IF(6=life_it,0.5,0))+Sens!E1270*IF(5&lt;life_it,1,IF(5=life_it,0.5,0))+Sens!F1270*IF(4&lt;life_it,1,IF(4=life_it,0.5,0))+Sens!G1270*IF(3&lt;life_it,1,IF(3=life_it,0.5,0))+Sens!H1270*IF(2&lt;life_it,1,IF(2=life_it,0.5,0))+Sens!I1270*IF(1&lt;life_it,1,IF(1=life_it,0.5,0))+Sens!J1270*0.5)/life_it</f>
        <v>120.132683490983</v>
      </c>
      <c r="K1272" s="6" t="n">
        <f aca="false">(Sens!C1270*IF(8&lt;life_it,1,IF(8=life_it,0.5,0))+Sens!D1270*IF(7&lt;life_it,1,IF(7=life_it,0.5,0))+Sens!E1270*IF(6&lt;life_it,1,IF(6=life_it,0.5,0))+Sens!F1270*IF(5&lt;life_it,1,IF(5=life_it,0.5,0))+Sens!G1270*IF(4&lt;life_it,1,IF(4=life_it,0.5,0))+Sens!H1270*IF(3&lt;life_it,1,IF(3=life_it,0.5,0))+Sens!I1270*IF(2&lt;life_it,1,IF(2=life_it,0.5,0))+Sens!J1270*IF(1&lt;life_it,1,IF(1=life_it,0.5,0))+Sens!K1270*0.5)/life_it</f>
        <v>130.788646309522</v>
      </c>
    </row>
    <row r="1273" customFormat="false" ht="17.15" hidden="false" customHeight="false" outlineLevel="0" collapsed="false">
      <c r="A1273" s="0" t="s">
        <v>853</v>
      </c>
      <c r="B1273" s="0" t="s">
        <v>98</v>
      </c>
      <c r="E1273" s="6" t="n">
        <f aca="false">(Sens!C1268*IF(2&lt;life_fac,1,IF(2=life_fac,0.5,0))+Sens!D1268*IF(1&lt;life_fac,1,IF(1=life_fac,0.5,0))+Sens!E1268*0.5)/life_fac</f>
        <v>1.2448275</v>
      </c>
      <c r="F1273" s="6" t="n">
        <f aca="false">(Sens!C1268*IF(3&lt;life_fac,1,IF(3=life_fac,0.5,0))+Sens!D1268*IF(2&lt;life_fac,1,IF(2=life_fac,0.5,0))+Sens!E1268*IF(1&lt;life_fac,1,IF(1=life_fac,0.5,0))+Sens!F1268*0.5)/life_fac</f>
        <v>2.4456901</v>
      </c>
      <c r="G1273" s="6" t="n">
        <f aca="false">(Sens!C1268*IF(4&lt;life_fac,1,IF(4=life_fac,0.5,0))+Sens!D1268*IF(3&lt;life_fac,1,IF(3=life_fac,0.5,0))+Sens!E1268*IF(2&lt;life_fac,1,IF(2=life_fac,0.5,0))+Sens!F1268*IF(1&lt;life_fac,1,IF(1=life_fac,0.5,0))+Sens!G1268*0.5)/life_fac</f>
        <v>3.9814208</v>
      </c>
      <c r="H1273" s="6" t="n">
        <f aca="false">(Sens!C1268*IF(5&lt;life_fac,1,IF(5=life_fac,0.5,0))+Sens!D1268*IF(4&lt;life_fac,1,IF(4=life_fac,0.5,0))+Sens!E1268*IF(3&lt;life_fac,1,IF(3=life_fac,0.5,0))+Sens!F1268*IF(2&lt;life_fac,1,IF(2=life_fac,0.5,0))+Sens!G1268*IF(1&lt;life_fac,1,IF(1=life_fac,0.5,0))+Sens!H1268*0.5)/life_fac</f>
        <v>5.582402</v>
      </c>
      <c r="I1273" s="6" t="n">
        <f aca="false">(Sens!C1268*IF(6&lt;life_fac,1,IF(6=life_fac,0.5,0))+Sens!D1268*IF(5&lt;life_fac,1,IF(5=life_fac,0.5,0))+Sens!E1268*IF(4&lt;life_fac,1,IF(4=life_fac,0.5,0))+Sens!F1268*IF(3&lt;life_fac,1,IF(3=life_fac,0.5,0))+Sens!G1268*IF(2&lt;life_fac,1,IF(2=life_fac,0.5,0))+Sens!H1268*IF(1&lt;life_fac,1,IF(1=life_fac,0.5,0))+Sens!I1268*0.5)/life_fac</f>
        <v>6.950862093</v>
      </c>
      <c r="J1273" s="6" t="n">
        <f aca="false">(Sens!C1268*IF(7&lt;life_fac,1,IF(7=life_fac,0.5,0))+Sens!D1268*IF(6&lt;life_fac,1,IF(6=life_fac,0.5,0))+Sens!E1268*IF(5&lt;life_fac,1,IF(5=life_fac,0.5,0))+Sens!F1268*IF(4&lt;life_fac,1,IF(4=life_fac,0.5,0))+Sens!G1268*IF(3&lt;life_fac,1,IF(3=life_fac,0.5,0))+Sens!H1268*IF(2&lt;life_fac,1,IF(2=life_fac,0.5,0))+Sens!I1268*IF(1&lt;life_fac,1,IF(1=life_fac,0.5,0))+Sens!J1268*0.5)/life_fac</f>
        <v>7.86563936186</v>
      </c>
      <c r="K1273" s="6" t="n">
        <f aca="false">(Sens!C1268*IF(8&lt;life_fac,1,IF(8=life_fac,0.5,0))+Sens!D1268*IF(7&lt;life_fac,1,IF(7=life_fac,0.5,0))+Sens!E1268*IF(6&lt;life_fac,1,IF(6=life_fac,0.5,0))+Sens!F1268*IF(5&lt;life_fac,1,IF(5=life_fac,0.5,0))+Sens!G1268*IF(4&lt;life_fac,1,IF(4=life_fac,0.5,0))+Sens!H1268*IF(3&lt;life_fac,1,IF(3=life_fac,0.5,0))+Sens!I1268*IF(2&lt;life_fac,1,IF(2=life_fac,0.5,0))+Sens!J1268*IF(1&lt;life_fac,1,IF(1=life_fac,0.5,0))+Sens!K1268*0.5)/life_fac</f>
        <v>8.3428177347858</v>
      </c>
    </row>
    <row r="1274" customFormat="false" ht="17.15" hidden="false" customHeight="false" outlineLevel="0" collapsed="false">
      <c r="A1274" s="0" t="s">
        <v>854</v>
      </c>
      <c r="B1274" s="0" t="s">
        <v>98</v>
      </c>
      <c r="E1274" s="6" t="n">
        <f aca="false">Sens!E1272+Sens!E1273</f>
        <v>16.3054059770833</v>
      </c>
      <c r="F1274" s="6" t="n">
        <f aca="false">Sens!F1272+Sens!F1273</f>
        <v>34.0498873809555</v>
      </c>
      <c r="G1274" s="6" t="n">
        <f aca="false">Sens!G1272+Sens!G1273</f>
        <v>59.1254371105111</v>
      </c>
      <c r="H1274" s="6" t="n">
        <f aca="false">Sens!H1272+Sens!H1273</f>
        <v>86.3610198433111</v>
      </c>
      <c r="I1274" s="6" t="n">
        <f aca="false">Sens!I1272+Sens!I1273</f>
        <v>110.605743832393</v>
      </c>
      <c r="J1274" s="6" t="n">
        <f aca="false">Sens!J1272+Sens!J1273</f>
        <v>127.998322852843</v>
      </c>
      <c r="K1274" s="6" t="n">
        <f aca="false">Sens!K1272+Sens!K1273</f>
        <v>139.131464044308</v>
      </c>
    </row>
    <row r="1275" customFormat="false" ht="17.15" hidden="false" customHeight="false" outlineLevel="0" collapsed="false">
      <c r="A1275" s="0" t="s">
        <v>855</v>
      </c>
      <c r="B1275" s="0" t="s">
        <v>98</v>
      </c>
      <c r="E1275" s="6" t="n">
        <f aca="false">Sens!E1263-Sens!E1262*Sens!E1274</f>
        <v>8.92707889977379</v>
      </c>
      <c r="F1275" s="6" t="n">
        <f aca="false">Sens!F1263-Sens!F1262*Sens!F1274</f>
        <v>31.5077838607391</v>
      </c>
      <c r="G1275" s="6" t="n">
        <f aca="false">Sens!G1263-Sens!G1262*Sens!G1274</f>
        <v>58.2014034847715</v>
      </c>
      <c r="H1275" s="6" t="n">
        <f aca="false">Sens!H1263-Sens!H1262*Sens!H1274</f>
        <v>90.8208538573672</v>
      </c>
      <c r="I1275" s="6" t="n">
        <f aca="false">Sens!I1263-Sens!I1262*Sens!I1274</f>
        <v>113.67469299862</v>
      </c>
      <c r="J1275" s="6" t="n">
        <f aca="false">Sens!J1263-Sens!J1262*Sens!J1274</f>
        <v>129.764360734165</v>
      </c>
      <c r="K1275" s="6" t="n">
        <f aca="false">Sens!K1263-Sens!K1262*Sens!K1274</f>
        <v>140.787498491711</v>
      </c>
    </row>
    <row r="1276" customFormat="false" ht="17.15" hidden="false" customHeight="false" outlineLevel="0" collapsed="false">
      <c r="A1276" s="3" t="s">
        <v>1293</v>
      </c>
    </row>
    <row r="1277" customFormat="false" ht="15" hidden="false" customHeight="false" outlineLevel="0" collapsed="false">
      <c r="A1277" s="4" t="s">
        <v>43</v>
      </c>
      <c r="B1277" s="4" t="s">
        <v>65</v>
      </c>
      <c r="C1277" s="20" t="s">
        <v>799</v>
      </c>
      <c r="D1277" s="20" t="s">
        <v>800</v>
      </c>
      <c r="E1277" s="20" t="s">
        <v>801</v>
      </c>
      <c r="F1277" s="20" t="s">
        <v>802</v>
      </c>
      <c r="G1277" s="20" t="s">
        <v>803</v>
      </c>
      <c r="H1277" s="20" t="s">
        <v>804</v>
      </c>
      <c r="I1277" s="20" t="s">
        <v>805</v>
      </c>
      <c r="J1277" s="20" t="s">
        <v>806</v>
      </c>
      <c r="K1277" s="20" t="s">
        <v>807</v>
      </c>
      <c r="L1277" s="4" t="s">
        <v>47</v>
      </c>
    </row>
    <row r="1278" customFormat="false" ht="17.15" hidden="false" customHeight="false" outlineLevel="0" collapsed="false">
      <c r="A1278" s="0" t="s">
        <v>874</v>
      </c>
      <c r="B1278" s="0" t="s">
        <v>98</v>
      </c>
      <c r="D1278" s="6" t="n">
        <f aca="false">Sens!D1257</f>
        <v>12.9359794422418</v>
      </c>
      <c r="E1278" s="6" t="n">
        <f aca="false">Sens!E1257</f>
        <v>27.8095064661409</v>
      </c>
      <c r="F1278" s="6" t="n">
        <f aca="false">Sens!F1257</f>
        <v>67.542282115077</v>
      </c>
      <c r="G1278" s="6" t="n">
        <f aca="false">Sens!G1257</f>
        <v>116.574452512326</v>
      </c>
      <c r="H1278" s="6" t="n">
        <f aca="false">Sens!H1257</f>
        <v>172.253451516369</v>
      </c>
      <c r="I1278" s="6" t="n">
        <f aca="false">Sens!I1257</f>
        <v>215.474008545752</v>
      </c>
      <c r="J1278" s="6" t="n">
        <f aca="false">Sens!J1257</f>
        <v>245.969656061582</v>
      </c>
      <c r="K1278" s="6" t="n">
        <f aca="false">Sens!K1257</f>
        <v>265.941496548528</v>
      </c>
    </row>
    <row r="1279" customFormat="false" ht="17.15" hidden="false" customHeight="false" outlineLevel="0" collapsed="false">
      <c r="A1279" s="0" t="s">
        <v>875</v>
      </c>
      <c r="B1279" s="0" t="s">
        <v>98</v>
      </c>
      <c r="D1279" s="6" t="n">
        <f aca="false">Q!L6-Sens!D1278</f>
        <v>59.6740205577583</v>
      </c>
      <c r="E1279" s="6" t="n">
        <f aca="false">Q!M6-Sens!E1278</f>
        <v>74.1284935338591</v>
      </c>
      <c r="F1279" s="6" t="n">
        <f aca="false">Sens!E1279*(1+Sens!F1280)</f>
        <v>90.0799497373663</v>
      </c>
      <c r="G1279" s="6" t="n">
        <f aca="false">Sens!F1279*(1+Sens!G1280)</f>
        <v>107.02842520331</v>
      </c>
      <c r="H1279" s="6" t="n">
        <f aca="false">Sens!G1279*(1+Sens!H1280)</f>
        <v>124.271982585636</v>
      </c>
      <c r="I1279" s="6" t="n">
        <f aca="false">Sens!H1279*(1+Sens!I1280)</f>
        <v>140.933702381855</v>
      </c>
      <c r="J1279" s="6" t="n">
        <f aca="false">Sens!I1279*(1+Sens!J1280)</f>
        <v>156.018867314332</v>
      </c>
      <c r="K1279" s="6" t="n">
        <f aca="false">Sens!J1279*(1+Sens!K1280)</f>
        <v>168.500376699478</v>
      </c>
    </row>
    <row r="1280" customFormat="false" ht="15" hidden="false" customHeight="false" outlineLevel="0" collapsed="false">
      <c r="A1280" s="1" t="s">
        <v>876</v>
      </c>
      <c r="B1280" s="0" t="s">
        <v>129</v>
      </c>
      <c r="E1280" s="7" t="n">
        <f aca="false">Sens!E1279/Sens!D1279-1</f>
        <v>0.242223883039864</v>
      </c>
      <c r="F1280" s="7" t="n">
        <f aca="false">Sens!$E$1280+(glt_azo-Sens!$E$1280)*MIN(1,(Sens!F1240-base_fy)/n_conv)</f>
        <v>0.215186569199887</v>
      </c>
      <c r="G1280" s="7" t="n">
        <f aca="false">Sens!$E$1280+(glt_azo-Sens!$E$1280)*MIN(1,(Sens!G1240-base_fy)/n_conv)</f>
        <v>0.18814925535991</v>
      </c>
      <c r="H1280" s="7" t="n">
        <f aca="false">Sens!$E$1280+(glt_azo-Sens!$E$1280)*MIN(1,(Sens!H1240-base_fy)/n_conv)</f>
        <v>0.161111941519932</v>
      </c>
      <c r="I1280" s="7" t="n">
        <f aca="false">Sens!$E$1280+(glt_azo-Sens!$E$1280)*MIN(1,(Sens!I1240-base_fy)/n_conv)</f>
        <v>0.134074627679955</v>
      </c>
      <c r="J1280" s="7" t="n">
        <f aca="false">Sens!$E$1280+(glt_azo-Sens!$E$1280)*MIN(1,(Sens!J1240-base_fy)/n_conv)</f>
        <v>0.107037313839977</v>
      </c>
      <c r="K1280" s="7" t="n">
        <f aca="false">Sens!$E$1280+(glt_azo-Sens!$E$1280)*MIN(1,(Sens!K1240-base_fy)/n_conv)</f>
        <v>0.08</v>
      </c>
    </row>
    <row r="1281" customFormat="false" ht="15" hidden="false" customHeight="false" outlineLevel="0" collapsed="false">
      <c r="A1281" s="0" t="s">
        <v>877</v>
      </c>
      <c r="B1281" s="0" t="s">
        <v>98</v>
      </c>
      <c r="D1281" s="6" t="n">
        <f aca="false">Sens!D1278+Sens!D1279</f>
        <v>72.61</v>
      </c>
      <c r="E1281" s="6" t="n">
        <f aca="false">Sens!E1278+Sens!E1279</f>
        <v>101.938</v>
      </c>
      <c r="F1281" s="6" t="n">
        <f aca="false">Sens!F1278+Sens!F1279</f>
        <v>157.622231852443</v>
      </c>
      <c r="G1281" s="6" t="n">
        <f aca="false">Sens!G1278+Sens!G1279</f>
        <v>223.602877715636</v>
      </c>
      <c r="H1281" s="6" t="n">
        <f aca="false">Sens!H1278+Sens!H1279</f>
        <v>296.525434102005</v>
      </c>
      <c r="I1281" s="6" t="n">
        <f aca="false">Sens!I1278+Sens!I1279</f>
        <v>356.407710927607</v>
      </c>
      <c r="J1281" s="6" t="n">
        <f aca="false">Sens!J1278+Sens!J1279</f>
        <v>401.988523375914</v>
      </c>
      <c r="K1281" s="6" t="n">
        <f aca="false">Sens!K1278+Sens!K1279</f>
        <v>434.441873248006</v>
      </c>
    </row>
    <row r="1282" customFormat="false" ht="17.15" hidden="false" customHeight="false" outlineLevel="0" collapsed="false">
      <c r="A1282" s="0" t="s">
        <v>878</v>
      </c>
      <c r="B1282" s="1" t="s">
        <v>528</v>
      </c>
      <c r="C1282" s="29" t="n">
        <f aca="false">cop_s24</f>
        <v>1</v>
      </c>
      <c r="D1282" s="29" t="n">
        <f aca="false">cop_s25</f>
        <v>5</v>
      </c>
      <c r="E1282" s="29" t="n">
        <f aca="false">cop_s26</f>
        <v>30</v>
      </c>
      <c r="F1282" s="29" t="n">
        <f aca="false">Sens!E1282+cop_add_A</f>
        <v>60</v>
      </c>
      <c r="G1282" s="29" t="n">
        <f aca="false">Sens!F1282+cop_add_A</f>
        <v>90</v>
      </c>
      <c r="H1282" s="29" t="n">
        <f aca="false">Sens!G1282+cop_add_A</f>
        <v>120</v>
      </c>
      <c r="I1282" s="29" t="n">
        <f aca="false">Sens!H1282+cop_add_A*cop_tail</f>
        <v>135</v>
      </c>
      <c r="J1282" s="29" t="n">
        <f aca="false">Sens!I1282+cop_add_A*cop_tail</f>
        <v>150</v>
      </c>
      <c r="K1282" s="29" t="n">
        <f aca="false">Sens!J1282+cop_add_A*cop_tail</f>
        <v>165</v>
      </c>
      <c r="L1282" s="11" t="s">
        <v>879</v>
      </c>
    </row>
    <row r="1283" customFormat="false" ht="17.15" hidden="false" customHeight="false" outlineLevel="0" collapsed="false">
      <c r="A1283" s="0" t="s">
        <v>880</v>
      </c>
      <c r="B1283" s="0" t="s">
        <v>98</v>
      </c>
      <c r="D1283" s="6" t="n">
        <f aca="false">(Sens!C1282+Sens!D1282)/2*cop_px*12/1000</f>
        <v>0.9</v>
      </c>
      <c r="E1283" s="6" t="n">
        <f aca="false">(Sens!D1282+Sens!E1282)/2*cop_px*12/1000</f>
        <v>5.25</v>
      </c>
      <c r="F1283" s="6" t="n">
        <f aca="false">(Sens!E1282+Sens!F1282)/2*cop_px*12/1000</f>
        <v>13.5</v>
      </c>
      <c r="G1283" s="6" t="n">
        <f aca="false">(Sens!F1282+Sens!G1282)/2*cop_px*12/1000</f>
        <v>22.5</v>
      </c>
      <c r="H1283" s="6" t="n">
        <f aca="false">(Sens!G1282+Sens!H1282)/2*cop_px*12/1000</f>
        <v>31.5</v>
      </c>
      <c r="I1283" s="6" t="n">
        <f aca="false">(Sens!H1282+Sens!I1282)/2*cop_px*12/1000</f>
        <v>38.25</v>
      </c>
      <c r="J1283" s="6" t="n">
        <f aca="false">(Sens!I1282+Sens!J1282)/2*cop_px*12/1000</f>
        <v>42.75</v>
      </c>
      <c r="K1283" s="6" t="n">
        <f aca="false">(Sens!J1282+Sens!K1282)/2*cop_px*12/1000</f>
        <v>47.25</v>
      </c>
      <c r="L1283" s="1" t="s">
        <v>881</v>
      </c>
    </row>
    <row r="1284" customFormat="false" ht="17.15" hidden="false" customHeight="false" outlineLevel="0" collapsed="false">
      <c r="A1284" s="0" t="s">
        <v>882</v>
      </c>
      <c r="B1284" s="0" t="s">
        <v>98</v>
      </c>
      <c r="D1284" s="6" t="n">
        <f aca="false">Q!L7-Sens!D1283</f>
        <v>83.705</v>
      </c>
      <c r="E1284" s="6" t="n">
        <f aca="false">Q!M7-Sens!E1283</f>
        <v>95.049</v>
      </c>
      <c r="F1284" s="6" t="n">
        <f aca="false">Sens!E1284*(1+Sens!F1285)</f>
        <v>106.89238776686</v>
      </c>
      <c r="G1284" s="6" t="n">
        <f aca="false">Sens!F1284*(1+Sens!G1285)</f>
        <v>119.044168448684</v>
      </c>
      <c r="H1284" s="6" t="n">
        <f aca="false">Sens!G1284*(1+Sens!H1285)</f>
        <v>131.277359388781</v>
      </c>
      <c r="I1284" s="6" t="n">
        <f aca="false">Sens!H1284*(1+Sens!I1285)</f>
        <v>143.334028071957</v>
      </c>
      <c r="J1284" s="6" t="n">
        <f aca="false">Sens!I1284*(1+Sens!J1285)</f>
        <v>154.932702785465</v>
      </c>
      <c r="K1284" s="6" t="n">
        <f aca="false">Sens!J1284*(1+Sens!K1285)</f>
        <v>165.777991980448</v>
      </c>
    </row>
    <row r="1285" customFormat="false" ht="15" hidden="false" customHeight="false" outlineLevel="0" collapsed="false">
      <c r="A1285" s="1" t="s">
        <v>876</v>
      </c>
      <c r="B1285" s="0" t="s">
        <v>129</v>
      </c>
      <c r="E1285" s="7" t="n">
        <f aca="false">Sens!E1284/Sens!D1284-1</f>
        <v>0.135523564900544</v>
      </c>
      <c r="F1285" s="7" t="n">
        <f aca="false">Sens!$E$1285+(glt_m365b-Sens!$E$1285)*MIN(1,(Sens!F1240-base_fy)/n_conv)</f>
        <v>0.124602970750453</v>
      </c>
      <c r="G1285" s="7" t="n">
        <f aca="false">Sens!$E$1285+(glt_m365b-Sens!$E$1285)*MIN(1,(Sens!G1240-base_fy)/n_conv)</f>
        <v>0.113682376600363</v>
      </c>
      <c r="H1285" s="7" t="n">
        <f aca="false">Sens!$E$1285+(glt_m365b-Sens!$E$1285)*MIN(1,(Sens!H1240-base_fy)/n_conv)</f>
        <v>0.102761782450272</v>
      </c>
      <c r="I1285" s="7" t="n">
        <f aca="false">Sens!$E$1285+(glt_m365b-Sens!$E$1285)*MIN(1,(Sens!I1240-base_fy)/n_conv)</f>
        <v>0.0918411883001813</v>
      </c>
      <c r="J1285" s="7" t="n">
        <f aca="false">Sens!$E$1285+(glt_m365b-Sens!$E$1285)*MIN(1,(Sens!J1240-base_fy)/n_conv)</f>
        <v>0.0809205941500906</v>
      </c>
      <c r="K1285" s="7" t="n">
        <f aca="false">Sens!$E$1285+(glt_m365b-Sens!$E$1285)*MIN(1,(Sens!K1240-base_fy)/n_conv)</f>
        <v>0.07</v>
      </c>
    </row>
    <row r="1286" customFormat="false" ht="15" hidden="false" customHeight="false" outlineLevel="0" collapsed="false">
      <c r="A1286" s="0" t="s">
        <v>883</v>
      </c>
      <c r="B1286" s="0" t="s">
        <v>98</v>
      </c>
      <c r="D1286" s="6" t="n">
        <f aca="false">Sens!D1284+Sens!D1283</f>
        <v>84.605</v>
      </c>
      <c r="E1286" s="6" t="n">
        <f aca="false">Sens!E1284+Sens!E1283</f>
        <v>100.299</v>
      </c>
      <c r="F1286" s="6" t="n">
        <f aca="false">Sens!F1284+Sens!F1283</f>
        <v>120.39238776686</v>
      </c>
      <c r="G1286" s="6" t="n">
        <f aca="false">Sens!G1284+Sens!G1283</f>
        <v>141.544168448684</v>
      </c>
      <c r="H1286" s="6" t="n">
        <f aca="false">Sens!H1284+Sens!H1283</f>
        <v>162.777359388781</v>
      </c>
      <c r="I1286" s="6" t="n">
        <f aca="false">Sens!I1284+Sens!I1283</f>
        <v>181.584028071957</v>
      </c>
      <c r="J1286" s="6" t="n">
        <f aca="false">Sens!J1284+Sens!J1283</f>
        <v>197.682702785465</v>
      </c>
      <c r="K1286" s="6" t="n">
        <f aca="false">Sens!K1284+Sens!K1283</f>
        <v>213.027991980448</v>
      </c>
    </row>
    <row r="1287" customFormat="false" ht="15" hidden="false" customHeight="false" outlineLevel="0" collapsed="false">
      <c r="A1287" s="0" t="s">
        <v>884</v>
      </c>
      <c r="B1287" s="0" t="s">
        <v>98</v>
      </c>
      <c r="D1287" s="6" t="n">
        <f aca="false">Q!L8</f>
        <v>35.391</v>
      </c>
      <c r="E1287" s="6" t="n">
        <f aca="false">Q!M8</f>
        <v>37.285</v>
      </c>
      <c r="F1287" s="6" t="n">
        <f aca="false">Sens!E1287*(1+Sens!F1288)</f>
        <v>39.0720834331704</v>
      </c>
      <c r="G1287" s="6" t="n">
        <f aca="false">Sens!F1287*(1+Sens!G1288)</f>
        <v>40.726562953769</v>
      </c>
      <c r="H1287" s="6" t="n">
        <f aca="false">Sens!G1287*(1+Sens!H1288)</f>
        <v>42.2235987259198</v>
      </c>
      <c r="I1287" s="6" t="n">
        <f aca="false">Sens!H1287*(1+Sens!I1288)</f>
        <v>43.5397988077414</v>
      </c>
      <c r="J1287" s="6" t="n">
        <f aca="false">Sens!I1287*(1+Sens!J1288)</f>
        <v>44.653811225693</v>
      </c>
      <c r="K1287" s="6" t="n">
        <f aca="false">Sens!J1287*(1+Sens!K1288)</f>
        <v>45.5468874502068</v>
      </c>
    </row>
    <row r="1288" customFormat="false" ht="15" hidden="false" customHeight="false" outlineLevel="0" collapsed="false">
      <c r="A1288" s="1" t="s">
        <v>876</v>
      </c>
      <c r="B1288" s="0" t="s">
        <v>129</v>
      </c>
      <c r="E1288" s="7" t="n">
        <f aca="false">Sens!E1287/Sens!D1287-1</f>
        <v>0.0535164307309768</v>
      </c>
      <c r="F1288" s="7" t="n">
        <f aca="false">Sens!$E$1288+(glt_lic-Sens!$E$1288)*MIN(1,(Sens!F1240-base_fy)/n_conv)</f>
        <v>0.0479303589424807</v>
      </c>
      <c r="G1288" s="7" t="n">
        <f aca="false">Sens!$E$1288+(glt_lic-Sens!$E$1288)*MIN(1,(Sens!G1240-base_fy)/n_conv)</f>
        <v>0.0423442871539845</v>
      </c>
      <c r="H1288" s="7" t="n">
        <f aca="false">Sens!$E$1288+(glt_lic-Sens!$E$1288)*MIN(1,(Sens!H1240-base_fy)/n_conv)</f>
        <v>0.0367582153654884</v>
      </c>
      <c r="I1288" s="7" t="n">
        <f aca="false">Sens!$E$1288+(glt_lic-Sens!$E$1288)*MIN(1,(Sens!I1240-base_fy)/n_conv)</f>
        <v>0.0311721435769923</v>
      </c>
      <c r="J1288" s="7" t="n">
        <f aca="false">Sens!$E$1288+(glt_lic-Sens!$E$1288)*MIN(1,(Sens!J1240-base_fy)/n_conv)</f>
        <v>0.0255860717884961</v>
      </c>
      <c r="K1288" s="7" t="n">
        <f aca="false">Sens!$E$1288+(glt_lic-Sens!$E$1288)*MIN(1,(Sens!K1240-base_fy)/n_conv)</f>
        <v>0.02</v>
      </c>
    </row>
    <row r="1289" customFormat="false" ht="15" hidden="false" customHeight="false" outlineLevel="0" collapsed="false">
      <c r="A1289" s="0" t="s">
        <v>885</v>
      </c>
      <c r="B1289" s="0" t="s">
        <v>98</v>
      </c>
      <c r="D1289" s="6" t="n">
        <f aca="false">Q!L9</f>
        <v>18.417</v>
      </c>
      <c r="E1289" s="6" t="n">
        <f aca="false">Q!M9</f>
        <v>20.345</v>
      </c>
      <c r="F1289" s="6" t="n">
        <f aca="false">Sens!E1289*(1+Sens!F1290)</f>
        <v>22.3572203267814</v>
      </c>
      <c r="G1289" s="6" t="n">
        <f aca="false">Sens!F1289*(1+Sens!G1290)</f>
        <v>24.4392124437232</v>
      </c>
      <c r="H1289" s="6" t="n">
        <f aca="false">Sens!G1289*(1+Sens!H1290)</f>
        <v>26.5738052080665</v>
      </c>
      <c r="I1289" s="6" t="n">
        <f aca="false">Sens!H1289*(1+Sens!I1290)</f>
        <v>28.7412169166967</v>
      </c>
      <c r="J1289" s="6" t="n">
        <f aca="false">Sens!I1289*(1+Sens!J1290)</f>
        <v>30.9192545395413</v>
      </c>
      <c r="K1289" s="6" t="n">
        <f aca="false">Sens!J1289*(1+Sens!K1290)</f>
        <v>33.0836023573092</v>
      </c>
    </row>
    <row r="1290" customFormat="false" ht="15" hidden="false" customHeight="false" outlineLevel="0" collapsed="false">
      <c r="A1290" s="1" t="s">
        <v>876</v>
      </c>
      <c r="B1290" s="0" t="s">
        <v>129</v>
      </c>
      <c r="E1290" s="7" t="n">
        <f aca="false">Sens!E1289/Sens!D1289-1</f>
        <v>0.104685888038225</v>
      </c>
      <c r="F1290" s="7" t="n">
        <f aca="false">Sens!$E$1290+(glt_ind-Sens!$E$1290)*MIN(1,(Sens!F1240-base_fy)/n_conv)</f>
        <v>0.0989049066985211</v>
      </c>
      <c r="G1290" s="7" t="n">
        <f aca="false">Sens!$E$1290+(glt_ind-Sens!$E$1290)*MIN(1,(Sens!G1240-base_fy)/n_conv)</f>
        <v>0.0931239253588169</v>
      </c>
      <c r="H1290" s="7" t="n">
        <f aca="false">Sens!$E$1290+(glt_ind-Sens!$E$1290)*MIN(1,(Sens!H1240-base_fy)/n_conv)</f>
        <v>0.0873429440191127</v>
      </c>
      <c r="I1290" s="7" t="n">
        <f aca="false">Sens!$E$1290+(glt_ind-Sens!$E$1290)*MIN(1,(Sens!I1240-base_fy)/n_conv)</f>
        <v>0.0815619626794085</v>
      </c>
      <c r="J1290" s="7" t="n">
        <f aca="false">Sens!$E$1290+(glt_ind-Sens!$E$1290)*MIN(1,(Sens!J1240-base_fy)/n_conv)</f>
        <v>0.0757809813397042</v>
      </c>
      <c r="K1290" s="7" t="n">
        <f aca="false">Sens!$E$1290+(glt_ind-Sens!$E$1290)*MIN(1,(Sens!K1240-base_fy)/n_conv)</f>
        <v>0.07</v>
      </c>
    </row>
    <row r="1291" customFormat="false" ht="15" hidden="false" customHeight="false" outlineLevel="0" collapsed="false">
      <c r="A1291" s="0" t="s">
        <v>886</v>
      </c>
      <c r="B1291" s="0" t="s">
        <v>98</v>
      </c>
      <c r="D1291" s="6" t="n">
        <f aca="false">Q!L10</f>
        <v>7.76</v>
      </c>
      <c r="E1291" s="6" t="n">
        <f aca="false">Q!M10</f>
        <v>8.26</v>
      </c>
      <c r="F1291" s="6" t="n">
        <f aca="false">Sens!E1291*(1+Sens!F1292)</f>
        <v>8.79988041237113</v>
      </c>
      <c r="G1291" s="6" t="n">
        <f aca="false">Sens!F1291*(1+Sens!G1292)</f>
        <v>9.38321269125306</v>
      </c>
      <c r="H1291" s="6" t="n">
        <f aca="false">Sens!G1291*(1+Sens!H1292)</f>
        <v>10.0139193587476</v>
      </c>
      <c r="I1291" s="6" t="n">
        <f aca="false">Sens!H1291*(1+Sens!I1292)</f>
        <v>10.6963111830911</v>
      </c>
      <c r="J1291" s="6" t="n">
        <f aca="false">Sens!I1291*(1+Sens!J1292)</f>
        <v>11.4351285534696</v>
      </c>
      <c r="K1291" s="6" t="n">
        <f aca="false">Sens!J1291*(1+Sens!K1292)</f>
        <v>12.2355875522124</v>
      </c>
    </row>
    <row r="1292" customFormat="false" ht="15" hidden="false" customHeight="false" outlineLevel="0" collapsed="false">
      <c r="A1292" s="1" t="s">
        <v>876</v>
      </c>
      <c r="B1292" s="0" t="s">
        <v>129</v>
      </c>
      <c r="E1292" s="7" t="n">
        <f aca="false">Sens!E1291/Sens!D1291-1</f>
        <v>0.0644329896907216</v>
      </c>
      <c r="F1292" s="7" t="n">
        <f aca="false">Sens!$E$1292+(glt_fro-Sens!$E$1292)*MIN(1,(Sens!F1240-base_fy)/n_conv)</f>
        <v>0.065360824742268</v>
      </c>
      <c r="G1292" s="7" t="n">
        <f aca="false">Sens!$E$1292+(glt_fro-Sens!$E$1292)*MIN(1,(Sens!G1240-base_fy)/n_conv)</f>
        <v>0.0662886597938144</v>
      </c>
      <c r="H1292" s="7" t="n">
        <f aca="false">Sens!$E$1292+(glt_fro-Sens!$E$1292)*MIN(1,(Sens!H1240-base_fy)/n_conv)</f>
        <v>0.0672164948453608</v>
      </c>
      <c r="I1292" s="7" t="n">
        <f aca="false">Sens!$E$1292+(glt_fro-Sens!$E$1292)*MIN(1,(Sens!I1240-base_fy)/n_conv)</f>
        <v>0.0681443298969072</v>
      </c>
      <c r="J1292" s="7" t="n">
        <f aca="false">Sens!$E$1292+(glt_fro-Sens!$E$1292)*MIN(1,(Sens!J1240-base_fy)/n_conv)</f>
        <v>0.0690721649484536</v>
      </c>
      <c r="K1292" s="7" t="n">
        <f aca="false">Sens!$E$1292+(glt_fro-Sens!$E$1292)*MIN(1,(Sens!K1240-base_fy)/n_conv)</f>
        <v>0.07</v>
      </c>
    </row>
    <row r="1293" customFormat="false" ht="15" hidden="false" customHeight="false" outlineLevel="0" collapsed="false">
      <c r="A1293" s="0" t="s">
        <v>715</v>
      </c>
      <c r="B1293" s="0" t="s">
        <v>98</v>
      </c>
      <c r="D1293" s="6" t="n">
        <f aca="false">Sens!D1281+Sens!D1286+Sens!D1287+Sens!D1289+Sens!D1291</f>
        <v>218.783</v>
      </c>
      <c r="E1293" s="6" t="n">
        <f aca="false">Sens!E1281+Sens!E1286+Sens!E1287+Sens!E1289+Sens!E1291</f>
        <v>268.127</v>
      </c>
      <c r="F1293" s="6" t="n">
        <f aca="false">Sens!F1281+Sens!F1286+Sens!F1287+Sens!F1289+Sens!F1291</f>
        <v>348.243803791626</v>
      </c>
      <c r="G1293" s="6" t="n">
        <f aca="false">Sens!G1281+Sens!G1286+Sens!G1287+Sens!G1289+Sens!G1291</f>
        <v>439.696034253065</v>
      </c>
      <c r="H1293" s="6" t="n">
        <f aca="false">Sens!H1281+Sens!H1286+Sens!H1287+Sens!H1289+Sens!H1291</f>
        <v>538.11411678352</v>
      </c>
      <c r="I1293" s="6" t="n">
        <f aca="false">Sens!I1281+Sens!I1286+Sens!I1287+Sens!I1289+Sens!I1291</f>
        <v>620.969065907093</v>
      </c>
      <c r="J1293" s="6" t="n">
        <f aca="false">Sens!J1281+Sens!J1286+Sens!J1287+Sens!J1289+Sens!J1291</f>
        <v>686.679420480083</v>
      </c>
      <c r="K1293" s="6" t="n">
        <f aca="false">Sens!K1281+Sens!K1286+Sens!K1287+Sens!K1289+Sens!K1291</f>
        <v>738.335942588182</v>
      </c>
    </row>
    <row r="1294" customFormat="false" ht="15" hidden="false" customHeight="false" outlineLevel="0" collapsed="false">
      <c r="A1294" s="0" t="s">
        <v>887</v>
      </c>
      <c r="B1294" s="0" t="s">
        <v>98</v>
      </c>
      <c r="D1294" s="6" t="n">
        <f aca="false">Q!L13</f>
        <v>22.171</v>
      </c>
      <c r="E1294" s="6" t="n">
        <f aca="false">Q!M13</f>
        <v>24.835</v>
      </c>
      <c r="F1294" s="6" t="n">
        <f aca="false">Sens!E1294*(1+Sens!F1295)</f>
        <v>27.6114901218559</v>
      </c>
      <c r="G1294" s="6" t="n">
        <f aca="false">Sens!F1294*(1+Sens!G1295)</f>
        <v>30.4675667338515</v>
      </c>
      <c r="H1294" s="6" t="n">
        <f aca="false">Sens!G1294*(1+Sens!H1295)</f>
        <v>33.3643766955789</v>
      </c>
      <c r="I1294" s="6" t="n">
        <f aca="false">Sens!H1294*(1+Sens!I1295)</f>
        <v>36.2577016533691</v>
      </c>
      <c r="J1294" s="6" t="n">
        <f aca="false">Sens!I1294*(1+Sens!J1295)</f>
        <v>39.0988367952171</v>
      </c>
      <c r="K1294" s="6" t="n">
        <f aca="false">Sens!J1294*(1+Sens!K1295)</f>
        <v>41.8357553708823</v>
      </c>
    </row>
    <row r="1295" customFormat="false" ht="15" hidden="false" customHeight="false" outlineLevel="0" collapsed="false">
      <c r="A1295" s="1" t="s">
        <v>876</v>
      </c>
      <c r="B1295" s="0" t="s">
        <v>129</v>
      </c>
      <c r="E1295" s="7" t="n">
        <f aca="false">Sens!E1294/Sens!D1294-1</f>
        <v>0.120156961796942</v>
      </c>
      <c r="F1295" s="7" t="n">
        <f aca="false">Sens!$E$1295+(glt_srch-Sens!$E$1295)*MIN(1,(Sens!F1240-base_fy)/n_conv)</f>
        <v>0.111797468164118</v>
      </c>
      <c r="G1295" s="7" t="n">
        <f aca="false">Sens!$E$1295+(glt_srch-Sens!$E$1295)*MIN(1,(Sens!G1240-base_fy)/n_conv)</f>
        <v>0.103437974531295</v>
      </c>
      <c r="H1295" s="7" t="n">
        <f aca="false">Sens!$E$1295+(glt_srch-Sens!$E$1295)*MIN(1,(Sens!H1240-base_fy)/n_conv)</f>
        <v>0.095078480898471</v>
      </c>
      <c r="I1295" s="7" t="n">
        <f aca="false">Sens!$E$1295+(glt_srch-Sens!$E$1295)*MIN(1,(Sens!I1240-base_fy)/n_conv)</f>
        <v>0.0867189872656474</v>
      </c>
      <c r="J1295" s="7" t="n">
        <f aca="false">Sens!$E$1295+(glt_srch-Sens!$E$1295)*MIN(1,(Sens!J1240-base_fy)/n_conv)</f>
        <v>0.0783594936328237</v>
      </c>
      <c r="K1295" s="7" t="n">
        <f aca="false">Sens!$E$1295+(glt_srch-Sens!$E$1295)*MIN(1,(Sens!K1240-base_fy)/n_conv)</f>
        <v>0.07</v>
      </c>
    </row>
    <row r="1296" customFormat="false" ht="15" hidden="false" customHeight="false" outlineLevel="0" collapsed="false">
      <c r="A1296" s="0" t="s">
        <v>888</v>
      </c>
      <c r="B1296" s="0" t="s">
        <v>98</v>
      </c>
      <c r="D1296" s="6" t="n">
        <f aca="false">Q!L14</f>
        <v>23.455</v>
      </c>
      <c r="E1296" s="6" t="n">
        <f aca="false">Q!M14</f>
        <v>21.79</v>
      </c>
      <c r="F1296" s="6" t="n">
        <f aca="false">Sens!E1296*(1+Sens!F1297)</f>
        <v>20.5736277908051</v>
      </c>
      <c r="G1296" s="6" t="n">
        <f aca="false">Sens!F1296*(1+Sens!G1297)</f>
        <v>19.7371452817919</v>
      </c>
      <c r="H1296" s="6" t="n">
        <f aca="false">Sens!G1296*(1+Sens!H1297)</f>
        <v>19.2339764043138</v>
      </c>
      <c r="I1296" s="6" t="n">
        <f aca="false">Sens!H1296*(1+Sens!I1297)</f>
        <v>19.0353086852681</v>
      </c>
      <c r="J1296" s="6" t="n">
        <f aca="false">Sens!I1296*(1+Sens!J1297)</f>
        <v>19.1273539319129</v>
      </c>
      <c r="K1296" s="6" t="n">
        <f aca="false">Sens!J1296*(1+Sens!K1297)</f>
        <v>19.5099010105511</v>
      </c>
    </row>
    <row r="1297" customFormat="false" ht="15" hidden="false" customHeight="false" outlineLevel="0" collapsed="false">
      <c r="A1297" s="1" t="s">
        <v>876</v>
      </c>
      <c r="B1297" s="0" t="s">
        <v>129</v>
      </c>
      <c r="E1297" s="7" t="n">
        <f aca="false">Sens!E1296/Sens!D1296-1</f>
        <v>-0.0709869963760392</v>
      </c>
      <c r="F1297" s="7" t="n">
        <f aca="false">Sens!$E$1297+(glt_xbox-Sens!$E$1297)*MIN(1,(Sens!F1240-base_fy)/n_conv)</f>
        <v>-0.0558224969800327</v>
      </c>
      <c r="G1297" s="7" t="n">
        <f aca="false">Sens!$E$1297+(glt_xbox-Sens!$E$1297)*MIN(1,(Sens!G1240-base_fy)/n_conv)</f>
        <v>-0.0406579975840262</v>
      </c>
      <c r="H1297" s="7" t="n">
        <f aca="false">Sens!$E$1297+(glt_xbox-Sens!$E$1297)*MIN(1,(Sens!H1240-base_fy)/n_conv)</f>
        <v>-0.0254934981880196</v>
      </c>
      <c r="I1297" s="7" t="n">
        <f aca="false">Sens!$E$1297+(glt_xbox-Sens!$E$1297)*MIN(1,(Sens!I1240-base_fy)/n_conv)</f>
        <v>-0.0103289987920131</v>
      </c>
      <c r="J1297" s="7" t="n">
        <f aca="false">Sens!$E$1297+(glt_xbox-Sens!$E$1297)*MIN(1,(Sens!J1240-base_fy)/n_conv)</f>
        <v>0.00483550060399347</v>
      </c>
      <c r="K1297" s="7" t="n">
        <f aca="false">Sens!$E$1297+(glt_xbox-Sens!$E$1297)*MIN(1,(Sens!K1240-base_fy)/n_conv)</f>
        <v>0.02</v>
      </c>
    </row>
    <row r="1298" customFormat="false" ht="15" hidden="false" customHeight="false" outlineLevel="0" collapsed="false">
      <c r="A1298" s="0" t="s">
        <v>889</v>
      </c>
      <c r="B1298" s="0" t="s">
        <v>98</v>
      </c>
      <c r="D1298" s="6" t="n">
        <f aca="false">Q!L15</f>
        <v>17.315</v>
      </c>
      <c r="E1298" s="6" t="n">
        <f aca="false">Q!M15</f>
        <v>17.087</v>
      </c>
      <c r="F1298" s="6" t="n">
        <f aca="false">Sens!E1298*(1+Sens!F1299)</f>
        <v>16.9564585436519</v>
      </c>
      <c r="G1298" s="6" t="n">
        <f aca="false">Sens!F1298*(1+Sens!G1299)</f>
        <v>16.9206490624268</v>
      </c>
      <c r="H1298" s="6" t="n">
        <f aca="false">Sens!G1298*(1+Sens!H1299)</f>
        <v>16.9784519149849</v>
      </c>
      <c r="I1298" s="6" t="n">
        <f aca="false">Sens!H1298*(1+Sens!I1299)</f>
        <v>17.1303084701817</v>
      </c>
      <c r="J1298" s="6" t="n">
        <f aca="false">Sens!I1298*(1+Sens!J1299)</f>
        <v>17.3782189407267</v>
      </c>
      <c r="K1298" s="6" t="n">
        <f aca="false">Sens!J1298*(1+Sens!K1299)</f>
        <v>17.7257833195413</v>
      </c>
    </row>
    <row r="1299" customFormat="false" ht="15" hidden="false" customHeight="false" outlineLevel="0" collapsed="false">
      <c r="A1299" s="1" t="s">
        <v>876</v>
      </c>
      <c r="B1299" s="0" t="s">
        <v>129</v>
      </c>
      <c r="E1299" s="7" t="n">
        <f aca="false">Sens!E1298/Sens!D1298-1</f>
        <v>-0.0131677736066995</v>
      </c>
      <c r="F1299" s="7" t="n">
        <f aca="false">Sens!$E$1299+(glt_win-Sens!$E$1299)*MIN(1,(Sens!F1240-base_fy)/n_conv)</f>
        <v>-0.00763981133891627</v>
      </c>
      <c r="G1299" s="7" t="n">
        <f aca="false">Sens!$E$1299+(glt_win-Sens!$E$1299)*MIN(1,(Sens!G1240-base_fy)/n_conv)</f>
        <v>-0.00211184907113301</v>
      </c>
      <c r="H1299" s="7" t="n">
        <f aca="false">Sens!$E$1299+(glt_win-Sens!$E$1299)*MIN(1,(Sens!H1240-base_fy)/n_conv)</f>
        <v>0.00341611319665024</v>
      </c>
      <c r="I1299" s="7" t="n">
        <f aca="false">Sens!$E$1299+(glt_win-Sens!$E$1299)*MIN(1,(Sens!I1240-base_fy)/n_conv)</f>
        <v>0.00894407546443349</v>
      </c>
      <c r="J1299" s="7" t="n">
        <f aca="false">Sens!$E$1299+(glt_win-Sens!$E$1299)*MIN(1,(Sens!J1240-base_fy)/n_conv)</f>
        <v>0.0144720377322168</v>
      </c>
      <c r="K1299" s="7" t="n">
        <f aca="false">Sens!$E$1299+(glt_win-Sens!$E$1299)*MIN(1,(Sens!K1240-base_fy)/n_conv)</f>
        <v>0.02</v>
      </c>
    </row>
    <row r="1300" customFormat="false" ht="15" hidden="false" customHeight="false" outlineLevel="0" collapsed="false">
      <c r="A1300" s="0" t="s">
        <v>729</v>
      </c>
      <c r="B1300" s="0" t="s">
        <v>98</v>
      </c>
      <c r="D1300" s="6" t="n">
        <f aca="false">Sens!D1294+Sens!D1296+Sens!D1298</f>
        <v>62.941</v>
      </c>
      <c r="E1300" s="6" t="n">
        <f aca="false">Sens!E1294+Sens!E1296+Sens!E1298</f>
        <v>63.712</v>
      </c>
      <c r="F1300" s="6" t="n">
        <f aca="false">Sens!F1294+Sens!F1296+Sens!F1298</f>
        <v>65.1415764563129</v>
      </c>
      <c r="G1300" s="6" t="n">
        <f aca="false">Sens!G1294+Sens!G1296+Sens!G1298</f>
        <v>67.1253610780702</v>
      </c>
      <c r="H1300" s="6" t="n">
        <f aca="false">Sens!H1294+Sens!H1296+Sens!H1298</f>
        <v>69.5768050148776</v>
      </c>
      <c r="I1300" s="6" t="n">
        <f aca="false">Sens!I1294+Sens!I1296+Sens!I1298</f>
        <v>72.4233188088189</v>
      </c>
      <c r="J1300" s="6" t="n">
        <f aca="false">Sens!J1294+Sens!J1296+Sens!J1298</f>
        <v>75.6044096678567</v>
      </c>
      <c r="K1300" s="6" t="n">
        <f aca="false">Sens!K1294+Sens!K1296+Sens!K1298</f>
        <v>79.0714397009747</v>
      </c>
    </row>
    <row r="1301" customFormat="false" ht="15" hidden="false" customHeight="false" outlineLevel="0" collapsed="false">
      <c r="A1301" s="1" t="s">
        <v>890</v>
      </c>
      <c r="B1301" s="0" t="s">
        <v>98</v>
      </c>
      <c r="D1301" s="6" t="n">
        <f aca="false">Sens!D1293+Sens!D1300</f>
        <v>281.724</v>
      </c>
      <c r="E1301" s="6" t="n">
        <f aca="false">Sens!E1293+Sens!E1300</f>
        <v>331.839</v>
      </c>
      <c r="F1301" s="6" t="n">
        <f aca="false">Sens!F1293+Sens!F1300</f>
        <v>413.385380247939</v>
      </c>
      <c r="G1301" s="6" t="n">
        <f aca="false">Sens!G1293+Sens!G1300</f>
        <v>506.821395331135</v>
      </c>
      <c r="H1301" s="6" t="n">
        <f aca="false">Sens!H1293+Sens!H1300</f>
        <v>607.690921798397</v>
      </c>
      <c r="I1301" s="6" t="n">
        <f aca="false">Sens!I1293+Sens!I1300</f>
        <v>693.392384715912</v>
      </c>
      <c r="J1301" s="6" t="n">
        <f aca="false">Sens!J1293+Sens!J1300</f>
        <v>762.283830147939</v>
      </c>
      <c r="K1301" s="6" t="n">
        <f aca="false">Sens!K1293+Sens!K1300</f>
        <v>817.407382289157</v>
      </c>
    </row>
    <row r="1302" customFormat="false" ht="15" hidden="false" customHeight="false" outlineLevel="0" collapsed="false">
      <c r="A1302" s="23" t="s">
        <v>891</v>
      </c>
      <c r="B1302" s="30" t="s">
        <v>98</v>
      </c>
      <c r="C1302" s="30"/>
      <c r="D1302" s="24" t="n">
        <f aca="false">(Sens!D1281+Sens!D1286+Sens!D1287+Sens!D1289+Sens!D1291-Sens!D1293)+(Sens!D1294+Sens!D1296+Sens!D1298-Sens!D1300)+(Sens!D1293-Q!L5)+(Sens!D1300-Q!L12)+(Sens!D1281-Q!L6)+(Sens!D1286-Q!L7)</f>
        <v>0</v>
      </c>
      <c r="E1302" s="24" t="n">
        <f aca="false">(Sens!E1281+Sens!E1286+Sens!E1287+Sens!E1289+Sens!E1291-Sens!E1293)+(Sens!E1294+Sens!E1296+Sens!E1298-Sens!E1300)+(Sens!E1293-Q!M5)+(Sens!E1300-Q!M12)+(Sens!E1281-Q!M6)+(Sens!E1286-Q!M7)</f>
        <v>0</v>
      </c>
      <c r="F1302" s="24" t="n">
        <f aca="false">(Sens!F1281+Sens!F1286+Sens!F1287+Sens!F1289+Sens!F1291-Sens!F1293)+(Sens!F1294+Sens!F1296+Sens!F1298-Sens!F1300)</f>
        <v>0</v>
      </c>
      <c r="G1302" s="24" t="n">
        <f aca="false">(Sens!G1281+Sens!G1286+Sens!G1287+Sens!G1289+Sens!G1291-Sens!G1293)+(Sens!G1294+Sens!G1296+Sens!G1298-Sens!G1300)</f>
        <v>0</v>
      </c>
      <c r="H1302" s="24" t="n">
        <f aca="false">(Sens!H1281+Sens!H1286+Sens!H1287+Sens!H1289+Sens!H1291-Sens!H1293)+(Sens!H1294+Sens!H1296+Sens!H1298-Sens!H1300)</f>
        <v>0</v>
      </c>
      <c r="I1302" s="24" t="n">
        <f aca="false">(Sens!I1281+Sens!I1286+Sens!I1287+Sens!I1289+Sens!I1291-Sens!I1293)+(Sens!I1294+Sens!I1296+Sens!I1298-Sens!I1300)</f>
        <v>0</v>
      </c>
      <c r="J1302" s="24" t="n">
        <f aca="false">(Sens!J1281+Sens!J1286+Sens!J1287+Sens!J1289+Sens!J1291-Sens!J1293)+(Sens!J1294+Sens!J1296+Sens!J1298-Sens!J1300)</f>
        <v>0</v>
      </c>
      <c r="K1302" s="24" t="n">
        <f aca="false">(Sens!K1281+Sens!K1286+Sens!K1287+Sens!K1289+Sens!K1291-Sens!K1293)+(Sens!K1294+Sens!K1296+Sens!K1298-Sens!K1300)</f>
        <v>0</v>
      </c>
    </row>
    <row r="1303" customFormat="false" ht="17.15" hidden="false" customHeight="false" outlineLevel="0" collapsed="false">
      <c r="A1303" s="3" t="s">
        <v>1294</v>
      </c>
    </row>
    <row r="1304" customFormat="false" ht="15" hidden="false" customHeight="false" outlineLevel="0" collapsed="false">
      <c r="A1304" s="4" t="s">
        <v>43</v>
      </c>
      <c r="B1304" s="4" t="s">
        <v>65</v>
      </c>
      <c r="C1304" s="20" t="s">
        <v>799</v>
      </c>
      <c r="D1304" s="20" t="s">
        <v>800</v>
      </c>
      <c r="E1304" s="20" t="s">
        <v>801</v>
      </c>
      <c r="F1304" s="20" t="s">
        <v>802</v>
      </c>
      <c r="G1304" s="20" t="s">
        <v>803</v>
      </c>
      <c r="H1304" s="20" t="s">
        <v>804</v>
      </c>
      <c r="I1304" s="20" t="s">
        <v>805</v>
      </c>
      <c r="J1304" s="20" t="s">
        <v>806</v>
      </c>
      <c r="K1304" s="20" t="s">
        <v>807</v>
      </c>
      <c r="L1304" s="4" t="s">
        <v>47</v>
      </c>
    </row>
    <row r="1305" customFormat="false" ht="15" hidden="false" customHeight="false" outlineLevel="0" collapsed="false">
      <c r="A1305" s="0" t="s">
        <v>877</v>
      </c>
      <c r="B1305" s="0" t="s">
        <v>98</v>
      </c>
      <c r="D1305" s="6" t="n">
        <f aca="false">Sens!D1281</f>
        <v>72.61</v>
      </c>
      <c r="E1305" s="6" t="n">
        <f aca="false">Sens!E1281</f>
        <v>101.938</v>
      </c>
      <c r="F1305" s="6" t="n">
        <f aca="false">Sens!F1281</f>
        <v>157.622231852443</v>
      </c>
      <c r="G1305" s="6" t="n">
        <f aca="false">Sens!G1281</f>
        <v>223.602877715636</v>
      </c>
      <c r="H1305" s="6" t="n">
        <f aca="false">Sens!H1281</f>
        <v>296.525434102005</v>
      </c>
      <c r="I1305" s="6" t="n">
        <f aca="false">Sens!I1281</f>
        <v>356.407710927607</v>
      </c>
      <c r="J1305" s="6" t="n">
        <f aca="false">Sens!J1281</f>
        <v>401.988523375914</v>
      </c>
      <c r="K1305" s="6" t="n">
        <f aca="false">Sens!K1281</f>
        <v>434.441873248006</v>
      </c>
    </row>
    <row r="1306" customFormat="false" ht="17.15" hidden="false" customHeight="false" outlineLevel="0" collapsed="false">
      <c r="A1306" s="0" t="s">
        <v>874</v>
      </c>
      <c r="B1306" s="0" t="s">
        <v>98</v>
      </c>
      <c r="D1306" s="6" t="n">
        <f aca="false">Sens!D1278</f>
        <v>12.9359794422418</v>
      </c>
      <c r="E1306" s="6" t="n">
        <f aca="false">Sens!E1278</f>
        <v>27.8095064661409</v>
      </c>
      <c r="F1306" s="6" t="n">
        <f aca="false">Sens!F1278</f>
        <v>67.542282115077</v>
      </c>
      <c r="G1306" s="6" t="n">
        <f aca="false">Sens!G1278</f>
        <v>116.574452512326</v>
      </c>
      <c r="H1306" s="6" t="n">
        <f aca="false">Sens!H1278</f>
        <v>172.253451516369</v>
      </c>
      <c r="I1306" s="6" t="n">
        <f aca="false">Sens!I1278</f>
        <v>215.474008545752</v>
      </c>
      <c r="J1306" s="6" t="n">
        <f aca="false">Sens!J1278</f>
        <v>245.969656061582</v>
      </c>
      <c r="K1306" s="6" t="n">
        <f aca="false">Sens!K1278</f>
        <v>265.941496548528</v>
      </c>
    </row>
    <row r="1307" customFormat="false" ht="17.15" hidden="false" customHeight="false" outlineLevel="0" collapsed="false">
      <c r="A1307" s="0" t="s">
        <v>902</v>
      </c>
      <c r="B1307" s="0" t="s">
        <v>98</v>
      </c>
      <c r="D1307" s="6" t="n">
        <f aca="false">Sens!D1279</f>
        <v>59.6740205577583</v>
      </c>
      <c r="E1307" s="6" t="n">
        <f aca="false">Sens!E1279</f>
        <v>74.1284935338591</v>
      </c>
      <c r="F1307" s="6" t="n">
        <f aca="false">Sens!F1279</f>
        <v>90.0799497373663</v>
      </c>
      <c r="G1307" s="6" t="n">
        <f aca="false">Sens!G1279</f>
        <v>107.02842520331</v>
      </c>
      <c r="H1307" s="6" t="n">
        <f aca="false">Sens!H1279</f>
        <v>124.271982585636</v>
      </c>
      <c r="I1307" s="6" t="n">
        <f aca="false">Sens!I1279</f>
        <v>140.933702381855</v>
      </c>
      <c r="J1307" s="6" t="n">
        <f aca="false">Sens!J1279</f>
        <v>156.018867314332</v>
      </c>
      <c r="K1307" s="6" t="n">
        <f aca="false">Sens!K1279</f>
        <v>168.500376699478</v>
      </c>
    </row>
    <row r="1308" customFormat="false" ht="15" hidden="false" customHeight="false" outlineLevel="0" collapsed="false">
      <c r="A1308" s="0" t="s">
        <v>883</v>
      </c>
      <c r="B1308" s="0" t="s">
        <v>98</v>
      </c>
      <c r="D1308" s="6" t="n">
        <f aca="false">Sens!D1286</f>
        <v>84.605</v>
      </c>
      <c r="E1308" s="6" t="n">
        <f aca="false">Sens!E1286</f>
        <v>100.299</v>
      </c>
      <c r="F1308" s="6" t="n">
        <f aca="false">Sens!F1286</f>
        <v>120.39238776686</v>
      </c>
      <c r="G1308" s="6" t="n">
        <f aca="false">Sens!G1286</f>
        <v>141.544168448684</v>
      </c>
      <c r="H1308" s="6" t="n">
        <f aca="false">Sens!H1286</f>
        <v>162.777359388781</v>
      </c>
      <c r="I1308" s="6" t="n">
        <f aca="false">Sens!I1286</f>
        <v>181.584028071957</v>
      </c>
      <c r="J1308" s="6" t="n">
        <f aca="false">Sens!J1286</f>
        <v>197.682702785465</v>
      </c>
      <c r="K1308" s="6" t="n">
        <f aca="false">Sens!K1286</f>
        <v>213.027991980448</v>
      </c>
    </row>
    <row r="1309" customFormat="false" ht="17.15" hidden="false" customHeight="false" outlineLevel="0" collapsed="false">
      <c r="A1309" s="0" t="s">
        <v>903</v>
      </c>
      <c r="B1309" s="0" t="s">
        <v>98</v>
      </c>
      <c r="D1309" s="6" t="n">
        <f aca="false">Sens!D1284</f>
        <v>83.705</v>
      </c>
      <c r="E1309" s="6" t="n">
        <f aca="false">Sens!E1284</f>
        <v>95.049</v>
      </c>
      <c r="F1309" s="6" t="n">
        <f aca="false">Sens!F1284</f>
        <v>106.89238776686</v>
      </c>
      <c r="G1309" s="6" t="n">
        <f aca="false">Sens!G1284</f>
        <v>119.044168448684</v>
      </c>
      <c r="H1309" s="6" t="n">
        <f aca="false">Sens!H1284</f>
        <v>131.277359388781</v>
      </c>
      <c r="I1309" s="6" t="n">
        <f aca="false">Sens!I1284</f>
        <v>143.334028071957</v>
      </c>
      <c r="J1309" s="6" t="n">
        <f aca="false">Sens!J1284</f>
        <v>154.932702785465</v>
      </c>
      <c r="K1309" s="6" t="n">
        <f aca="false">Sens!K1284</f>
        <v>165.777991980448</v>
      </c>
    </row>
    <row r="1310" customFormat="false" ht="17.15" hidden="false" customHeight="false" outlineLevel="0" collapsed="false">
      <c r="A1310" s="0" t="s">
        <v>904</v>
      </c>
      <c r="B1310" s="0" t="s">
        <v>98</v>
      </c>
      <c r="D1310" s="6" t="n">
        <f aca="false">Sens!D1283</f>
        <v>0.9</v>
      </c>
      <c r="E1310" s="6" t="n">
        <f aca="false">Sens!E1283</f>
        <v>5.25</v>
      </c>
      <c r="F1310" s="6" t="n">
        <f aca="false">Sens!F1283</f>
        <v>13.5</v>
      </c>
      <c r="G1310" s="6" t="n">
        <f aca="false">Sens!G1283</f>
        <v>22.5</v>
      </c>
      <c r="H1310" s="6" t="n">
        <f aca="false">Sens!H1283</f>
        <v>31.5</v>
      </c>
      <c r="I1310" s="6" t="n">
        <f aca="false">Sens!I1283</f>
        <v>38.25</v>
      </c>
      <c r="J1310" s="6" t="n">
        <f aca="false">Sens!J1283</f>
        <v>42.75</v>
      </c>
      <c r="K1310" s="6" t="n">
        <f aca="false">Sens!K1283</f>
        <v>47.25</v>
      </c>
    </row>
    <row r="1311" customFormat="false" ht="15" hidden="false" customHeight="false" outlineLevel="0" collapsed="false">
      <c r="A1311" s="0" t="s">
        <v>884</v>
      </c>
      <c r="B1311" s="0" t="s">
        <v>98</v>
      </c>
      <c r="D1311" s="6" t="n">
        <f aca="false">Sens!D1287</f>
        <v>35.391</v>
      </c>
      <c r="E1311" s="6" t="n">
        <f aca="false">Sens!E1287</f>
        <v>37.285</v>
      </c>
      <c r="F1311" s="6" t="n">
        <f aca="false">Sens!F1287</f>
        <v>39.0720834331704</v>
      </c>
      <c r="G1311" s="6" t="n">
        <f aca="false">Sens!G1287</f>
        <v>40.726562953769</v>
      </c>
      <c r="H1311" s="6" t="n">
        <f aca="false">Sens!H1287</f>
        <v>42.2235987259198</v>
      </c>
      <c r="I1311" s="6" t="n">
        <f aca="false">Sens!I1287</f>
        <v>43.5397988077414</v>
      </c>
      <c r="J1311" s="6" t="n">
        <f aca="false">Sens!J1287</f>
        <v>44.653811225693</v>
      </c>
      <c r="K1311" s="6" t="n">
        <f aca="false">Sens!K1287</f>
        <v>45.5468874502068</v>
      </c>
    </row>
    <row r="1312" customFormat="false" ht="15" hidden="false" customHeight="false" outlineLevel="0" collapsed="false">
      <c r="A1312" s="0" t="s">
        <v>885</v>
      </c>
      <c r="B1312" s="0" t="s">
        <v>98</v>
      </c>
      <c r="D1312" s="6" t="n">
        <f aca="false">Sens!D1289</f>
        <v>18.417</v>
      </c>
      <c r="E1312" s="6" t="n">
        <f aca="false">Sens!E1289</f>
        <v>20.345</v>
      </c>
      <c r="F1312" s="6" t="n">
        <f aca="false">Sens!F1289</f>
        <v>22.3572203267814</v>
      </c>
      <c r="G1312" s="6" t="n">
        <f aca="false">Sens!G1289</f>
        <v>24.4392124437232</v>
      </c>
      <c r="H1312" s="6" t="n">
        <f aca="false">Sens!H1289</f>
        <v>26.5738052080665</v>
      </c>
      <c r="I1312" s="6" t="n">
        <f aca="false">Sens!I1289</f>
        <v>28.7412169166967</v>
      </c>
      <c r="J1312" s="6" t="n">
        <f aca="false">Sens!J1289</f>
        <v>30.9192545395413</v>
      </c>
      <c r="K1312" s="6" t="n">
        <f aca="false">Sens!K1289</f>
        <v>33.0836023573092</v>
      </c>
    </row>
    <row r="1313" customFormat="false" ht="15" hidden="false" customHeight="false" outlineLevel="0" collapsed="false">
      <c r="A1313" s="0" t="s">
        <v>886</v>
      </c>
      <c r="B1313" s="0" t="s">
        <v>98</v>
      </c>
      <c r="D1313" s="6" t="n">
        <f aca="false">Sens!D1291</f>
        <v>7.76</v>
      </c>
      <c r="E1313" s="6" t="n">
        <f aca="false">Sens!E1291</f>
        <v>8.26</v>
      </c>
      <c r="F1313" s="6" t="n">
        <f aca="false">Sens!F1291</f>
        <v>8.79988041237113</v>
      </c>
      <c r="G1313" s="6" t="n">
        <f aca="false">Sens!G1291</f>
        <v>9.38321269125306</v>
      </c>
      <c r="H1313" s="6" t="n">
        <f aca="false">Sens!H1291</f>
        <v>10.0139193587476</v>
      </c>
      <c r="I1313" s="6" t="n">
        <f aca="false">Sens!I1291</f>
        <v>10.6963111830911</v>
      </c>
      <c r="J1313" s="6" t="n">
        <f aca="false">Sens!J1291</f>
        <v>11.4351285534696</v>
      </c>
      <c r="K1313" s="6" t="n">
        <f aca="false">Sens!K1291</f>
        <v>12.2355875522124</v>
      </c>
    </row>
    <row r="1314" customFormat="false" ht="15" hidden="false" customHeight="false" outlineLevel="0" collapsed="false">
      <c r="A1314" s="0" t="s">
        <v>715</v>
      </c>
      <c r="B1314" s="0" t="s">
        <v>98</v>
      </c>
      <c r="D1314" s="6" t="n">
        <f aca="false">Sens!D1293</f>
        <v>218.783</v>
      </c>
      <c r="E1314" s="6" t="n">
        <f aca="false">Sens!E1293</f>
        <v>268.127</v>
      </c>
      <c r="F1314" s="6" t="n">
        <f aca="false">Sens!F1293</f>
        <v>348.243803791626</v>
      </c>
      <c r="G1314" s="6" t="n">
        <f aca="false">Sens!G1293</f>
        <v>439.696034253065</v>
      </c>
      <c r="H1314" s="6" t="n">
        <f aca="false">Sens!H1293</f>
        <v>538.11411678352</v>
      </c>
      <c r="I1314" s="6" t="n">
        <f aca="false">Sens!I1293</f>
        <v>620.969065907093</v>
      </c>
      <c r="J1314" s="6" t="n">
        <f aca="false">Sens!J1293</f>
        <v>686.679420480083</v>
      </c>
      <c r="K1314" s="6" t="n">
        <f aca="false">Sens!K1293</f>
        <v>738.335942588182</v>
      </c>
    </row>
    <row r="1315" customFormat="false" ht="15" hidden="false" customHeight="false" outlineLevel="0" collapsed="false">
      <c r="A1315" s="0" t="s">
        <v>887</v>
      </c>
      <c r="B1315" s="0" t="s">
        <v>98</v>
      </c>
      <c r="D1315" s="6" t="n">
        <f aca="false">Sens!D1294</f>
        <v>22.171</v>
      </c>
      <c r="E1315" s="6" t="n">
        <f aca="false">Sens!E1294</f>
        <v>24.835</v>
      </c>
      <c r="F1315" s="6" t="n">
        <f aca="false">Sens!F1294</f>
        <v>27.6114901218559</v>
      </c>
      <c r="G1315" s="6" t="n">
        <f aca="false">Sens!G1294</f>
        <v>30.4675667338515</v>
      </c>
      <c r="H1315" s="6" t="n">
        <f aca="false">Sens!H1294</f>
        <v>33.3643766955789</v>
      </c>
      <c r="I1315" s="6" t="n">
        <f aca="false">Sens!I1294</f>
        <v>36.2577016533691</v>
      </c>
      <c r="J1315" s="6" t="n">
        <f aca="false">Sens!J1294</f>
        <v>39.0988367952171</v>
      </c>
      <c r="K1315" s="6" t="n">
        <f aca="false">Sens!K1294</f>
        <v>41.8357553708823</v>
      </c>
    </row>
    <row r="1316" customFormat="false" ht="15" hidden="false" customHeight="false" outlineLevel="0" collapsed="false">
      <c r="A1316" s="0" t="s">
        <v>888</v>
      </c>
      <c r="B1316" s="0" t="s">
        <v>98</v>
      </c>
      <c r="D1316" s="6" t="n">
        <f aca="false">Sens!D1296</f>
        <v>23.455</v>
      </c>
      <c r="E1316" s="6" t="n">
        <f aca="false">Sens!E1296</f>
        <v>21.79</v>
      </c>
      <c r="F1316" s="6" t="n">
        <f aca="false">Sens!F1296</f>
        <v>20.5736277908051</v>
      </c>
      <c r="G1316" s="6" t="n">
        <f aca="false">Sens!G1296</f>
        <v>19.7371452817919</v>
      </c>
      <c r="H1316" s="6" t="n">
        <f aca="false">Sens!H1296</f>
        <v>19.2339764043138</v>
      </c>
      <c r="I1316" s="6" t="n">
        <f aca="false">Sens!I1296</f>
        <v>19.0353086852681</v>
      </c>
      <c r="J1316" s="6" t="n">
        <f aca="false">Sens!J1296</f>
        <v>19.1273539319129</v>
      </c>
      <c r="K1316" s="6" t="n">
        <f aca="false">Sens!K1296</f>
        <v>19.5099010105511</v>
      </c>
    </row>
    <row r="1317" customFormat="false" ht="15" hidden="false" customHeight="false" outlineLevel="0" collapsed="false">
      <c r="A1317" s="0" t="s">
        <v>889</v>
      </c>
      <c r="B1317" s="0" t="s">
        <v>98</v>
      </c>
      <c r="D1317" s="6" t="n">
        <f aca="false">Sens!D1298</f>
        <v>17.315</v>
      </c>
      <c r="E1317" s="6" t="n">
        <f aca="false">Sens!E1298</f>
        <v>17.087</v>
      </c>
      <c r="F1317" s="6" t="n">
        <f aca="false">Sens!F1298</f>
        <v>16.9564585436519</v>
      </c>
      <c r="G1317" s="6" t="n">
        <f aca="false">Sens!G1298</f>
        <v>16.9206490624268</v>
      </c>
      <c r="H1317" s="6" t="n">
        <f aca="false">Sens!H1298</f>
        <v>16.9784519149849</v>
      </c>
      <c r="I1317" s="6" t="n">
        <f aca="false">Sens!I1298</f>
        <v>17.1303084701817</v>
      </c>
      <c r="J1317" s="6" t="n">
        <f aca="false">Sens!J1298</f>
        <v>17.3782189407267</v>
      </c>
      <c r="K1317" s="6" t="n">
        <f aca="false">Sens!K1298</f>
        <v>17.7257833195413</v>
      </c>
    </row>
    <row r="1318" customFormat="false" ht="15" hidden="false" customHeight="false" outlineLevel="0" collapsed="false">
      <c r="A1318" s="0" t="s">
        <v>729</v>
      </c>
      <c r="B1318" s="0" t="s">
        <v>98</v>
      </c>
      <c r="D1318" s="6" t="n">
        <f aca="false">Sens!D1300</f>
        <v>62.941</v>
      </c>
      <c r="E1318" s="6" t="n">
        <f aca="false">Sens!E1300</f>
        <v>63.712</v>
      </c>
      <c r="F1318" s="6" t="n">
        <f aca="false">Sens!F1300</f>
        <v>65.1415764563129</v>
      </c>
      <c r="G1318" s="6" t="n">
        <f aca="false">Sens!G1300</f>
        <v>67.1253610780702</v>
      </c>
      <c r="H1318" s="6" t="n">
        <f aca="false">Sens!H1300</f>
        <v>69.5768050148776</v>
      </c>
      <c r="I1318" s="6" t="n">
        <f aca="false">Sens!I1300</f>
        <v>72.4233188088189</v>
      </c>
      <c r="J1318" s="6" t="n">
        <f aca="false">Sens!J1300</f>
        <v>75.6044096678567</v>
      </c>
      <c r="K1318" s="6" t="n">
        <f aca="false">Sens!K1300</f>
        <v>79.0714397009747</v>
      </c>
    </row>
    <row r="1319" customFormat="false" ht="15" hidden="false" customHeight="false" outlineLevel="0" collapsed="false">
      <c r="A1319" s="1" t="s">
        <v>905</v>
      </c>
      <c r="B1319" s="0" t="s">
        <v>98</v>
      </c>
      <c r="D1319" s="6" t="n">
        <f aca="false">Sens!D1301</f>
        <v>281.724</v>
      </c>
      <c r="E1319" s="6" t="n">
        <f aca="false">Sens!E1301</f>
        <v>331.839</v>
      </c>
      <c r="F1319" s="6" t="n">
        <f aca="false">Sens!F1301</f>
        <v>413.385380247939</v>
      </c>
      <c r="G1319" s="6" t="n">
        <f aca="false">Sens!G1301</f>
        <v>506.821395331135</v>
      </c>
      <c r="H1319" s="6" t="n">
        <f aca="false">Sens!H1301</f>
        <v>607.690921798397</v>
      </c>
      <c r="I1319" s="6" t="n">
        <f aca="false">Sens!I1301</f>
        <v>693.392384715912</v>
      </c>
      <c r="J1319" s="6" t="n">
        <f aca="false">Sens!J1301</f>
        <v>762.283830147939</v>
      </c>
      <c r="K1319" s="6" t="n">
        <f aca="false">Sens!K1301</f>
        <v>817.407382289157</v>
      </c>
    </row>
    <row r="1320" customFormat="false" ht="15" hidden="false" customHeight="false" outlineLevel="0" collapsed="false">
      <c r="A1320" s="1" t="s">
        <v>906</v>
      </c>
      <c r="B1320" s="0" t="s">
        <v>129</v>
      </c>
      <c r="E1320" s="7" t="n">
        <f aca="false">Sens!E1319/Sens!D1319-1</f>
        <v>0.177886867998467</v>
      </c>
      <c r="F1320" s="7" t="n">
        <f aca="false">Sens!F1319/Sens!E1319-1</f>
        <v>0.245740796735583</v>
      </c>
      <c r="G1320" s="7" t="n">
        <f aca="false">Sens!G1319/Sens!F1319-1</f>
        <v>0.226026413965475</v>
      </c>
      <c r="H1320" s="7" t="n">
        <f aca="false">Sens!H1319/Sens!G1319-1</f>
        <v>0.199023812720768</v>
      </c>
      <c r="I1320" s="7" t="n">
        <f aca="false">Sens!I1319/Sens!H1319-1</f>
        <v>0.141028045414748</v>
      </c>
      <c r="J1320" s="7" t="n">
        <f aca="false">Sens!J1319/Sens!I1319-1</f>
        <v>0.099354199657461</v>
      </c>
      <c r="K1320" s="7" t="n">
        <f aca="false">Sens!K1319/Sens!J1319-1</f>
        <v>0.0723136841700014</v>
      </c>
    </row>
    <row r="1321" customFormat="false" ht="17.15" hidden="false" customHeight="false" outlineLevel="0" collapsed="false">
      <c r="A1321" s="23" t="s">
        <v>907</v>
      </c>
      <c r="B1321" s="30" t="s">
        <v>98</v>
      </c>
      <c r="C1321" s="30"/>
      <c r="D1321" s="24" t="n">
        <f aca="false">(Sens!D1314+Sens!D1318-Sens!D1319)+(Sens!D1306+Sens!D1307-Sens!D1305)+(Sens!D1309+Sens!D1310-Sens!D1308)+(Sens!D1319-Q!L18)</f>
        <v>0</v>
      </c>
      <c r="E1321" s="24" t="n">
        <f aca="false">(Sens!E1314+Sens!E1318-Sens!E1319)+(Sens!E1306+Sens!E1307-Sens!E1305)+(Sens!E1309+Sens!E1310-Sens!E1308)+(Sens!E1319-Q!M18)</f>
        <v>0</v>
      </c>
      <c r="F1321" s="24" t="n">
        <f aca="false">(Sens!F1314+Sens!F1318-Sens!F1319)+(Sens!F1306+Sens!F1307-Sens!F1305)+(Sens!F1309+Sens!F1310-Sens!F1308)</f>
        <v>0</v>
      </c>
      <c r="G1321" s="24" t="n">
        <f aca="false">(Sens!G1314+Sens!G1318-Sens!G1319)+(Sens!G1306+Sens!G1307-Sens!G1305)+(Sens!G1309+Sens!G1310-Sens!G1308)</f>
        <v>0</v>
      </c>
      <c r="H1321" s="24" t="n">
        <f aca="false">(Sens!H1314+Sens!H1318-Sens!H1319)+(Sens!H1306+Sens!H1307-Sens!H1305)+(Sens!H1309+Sens!H1310-Sens!H1308)</f>
        <v>0</v>
      </c>
      <c r="I1321" s="24" t="n">
        <f aca="false">(Sens!I1314+Sens!I1318-Sens!I1319)+(Sens!I1306+Sens!I1307-Sens!I1305)+(Sens!I1309+Sens!I1310-Sens!I1308)</f>
        <v>0</v>
      </c>
      <c r="J1321" s="24" t="n">
        <f aca="false">(Sens!J1314+Sens!J1318-Sens!J1319)+(Sens!J1306+Sens!J1307-Sens!J1305)+(Sens!J1309+Sens!J1310-Sens!J1308)</f>
        <v>0</v>
      </c>
      <c r="K1321" s="24" t="n">
        <f aca="false">(Sens!K1314+Sens!K1318-Sens!K1319)+(Sens!K1306+Sens!K1307-Sens!K1305)+(Sens!K1309+Sens!K1310-Sens!K1308)</f>
        <v>0</v>
      </c>
    </row>
    <row r="1322" customFormat="false" ht="17.15" hidden="false" customHeight="false" outlineLevel="0" collapsed="false">
      <c r="A1322" s="0" t="s">
        <v>908</v>
      </c>
      <c r="B1322" s="0" t="s">
        <v>129</v>
      </c>
      <c r="E1322" s="7" t="n">
        <f aca="false">(Q!M21+Sens!E1259+Sens!E1260+Sens!E1261+Sens!E1274-Sens!E1257)/(Q!M5-Sens!E1257)</f>
        <v>0.570957350878296</v>
      </c>
      <c r="F1322" s="7" t="n">
        <f aca="false">Sens!$E$1322+dm_seg</f>
        <v>0.570957350878296</v>
      </c>
      <c r="G1322" s="7" t="n">
        <f aca="false">Sens!$E$1322+dm_seg</f>
        <v>0.570957350878296</v>
      </c>
      <c r="H1322" s="7" t="n">
        <f aca="false">Sens!$E$1322+dm_seg</f>
        <v>0.570957350878296</v>
      </c>
      <c r="I1322" s="7" t="n">
        <f aca="false">Sens!$E$1322+dm_seg</f>
        <v>0.570957350878296</v>
      </c>
      <c r="J1322" s="7" t="n">
        <f aca="false">Sens!$E$1322+dm_seg</f>
        <v>0.570957350878296</v>
      </c>
      <c r="K1322" s="7" t="n">
        <f aca="false">Sens!$E$1322+dm_seg</f>
        <v>0.570957350878296</v>
      </c>
      <c r="L1322" s="11" t="s">
        <v>909</v>
      </c>
    </row>
    <row r="1323" customFormat="false" ht="17.15" hidden="false" customHeight="false" outlineLevel="0" collapsed="false">
      <c r="A1323" s="0" t="s">
        <v>743</v>
      </c>
      <c r="B1323" s="0" t="s">
        <v>98</v>
      </c>
      <c r="D1323" s="6" t="n">
        <f aca="false">Q!L21</f>
        <v>110.814</v>
      </c>
      <c r="E1323" s="6" t="n">
        <f aca="false">Q!M21</f>
        <v>136.365</v>
      </c>
      <c r="F1323" s="6" t="n">
        <f aca="false">Sens!F1322*(Sens!F1293-Sens!F1257)+Sens!F1257-(Sens!F1259+Sens!F1260+Sens!F1261)-Sens!F1274-Sens!F1357</f>
        <v>170.809717871899</v>
      </c>
      <c r="G1323" s="6" t="n">
        <f aca="false">Sens!G1322*(Sens!G1293-Sens!G1257)+Sens!G1257-(Sens!G1259+Sens!G1260+Sens!G1261)-Sens!G1274-Sens!G1357</f>
        <v>207.522839867792</v>
      </c>
      <c r="H1323" s="6" t="n">
        <f aca="false">Sens!H1322*(Sens!H1293-Sens!H1257)+Sens!H1257-(Sens!H1259+Sens!H1260+Sens!H1261)-Sens!H1274-Sens!H1357</f>
        <v>249.24469172072</v>
      </c>
      <c r="I1323" s="6" t="n">
        <f aca="false">Sens!I1322*(Sens!I1293-Sens!I1257)+Sens!I1257-(Sens!I1259+Sens!I1260+Sens!I1261)-Sens!I1274-Sens!I1357</f>
        <v>281.216182443204</v>
      </c>
      <c r="J1323" s="6" t="n">
        <f aca="false">Sens!J1322*(Sens!J1293-Sens!J1257)+Sens!J1257-(Sens!J1259+Sens!J1260+Sens!J1261)-Sens!J1274-Sens!J1357</f>
        <v>307.867283905464</v>
      </c>
      <c r="K1323" s="6" t="n">
        <f aca="false">Sens!K1322*(Sens!K1293-Sens!K1257)+Sens!K1257-(Sens!K1259+Sens!K1260+Sens!K1261)-Sens!K1274-Sens!K1357</f>
        <v>331.068613679481</v>
      </c>
      <c r="L1323" s="1" t="s">
        <v>910</v>
      </c>
    </row>
    <row r="1324" customFormat="false" ht="17.15" hidden="false" customHeight="false" outlineLevel="0" collapsed="false">
      <c r="A1324" s="0" t="s">
        <v>911</v>
      </c>
      <c r="B1324" s="0" t="s">
        <v>129</v>
      </c>
      <c r="E1324" s="7" t="n">
        <f aca="false">Q!M22/Q!M12</f>
        <v>0.296207935710698</v>
      </c>
      <c r="F1324" s="7" t="n">
        <f aca="false">Sens!$E$1324+dm_seg</f>
        <v>0.296207935710698</v>
      </c>
      <c r="G1324" s="7" t="n">
        <f aca="false">Sens!$E$1324+dm_seg</f>
        <v>0.296207935710698</v>
      </c>
      <c r="H1324" s="7" t="n">
        <f aca="false">Sens!$E$1324+dm_seg</f>
        <v>0.296207935710698</v>
      </c>
      <c r="I1324" s="7" t="n">
        <f aca="false">Sens!$E$1324+dm_seg</f>
        <v>0.296207935710698</v>
      </c>
      <c r="J1324" s="7" t="n">
        <f aca="false">Sens!$E$1324+dm_seg</f>
        <v>0.296207935710698</v>
      </c>
      <c r="K1324" s="7" t="n">
        <f aca="false">Sens!$E$1324+dm_seg</f>
        <v>0.296207935710698</v>
      </c>
      <c r="L1324" s="11" t="s">
        <v>912</v>
      </c>
    </row>
    <row r="1325" customFormat="false" ht="17.15" hidden="false" customHeight="false" outlineLevel="0" collapsed="false">
      <c r="A1325" s="0" t="s">
        <v>745</v>
      </c>
      <c r="B1325" s="0" t="s">
        <v>98</v>
      </c>
      <c r="D1325" s="6" t="n">
        <f aca="false">Q!L22</f>
        <v>17.714</v>
      </c>
      <c r="E1325" s="6" t="n">
        <f aca="false">Q!M22</f>
        <v>18.872</v>
      </c>
      <c r="F1325" s="6" t="n">
        <f aca="false">Sens!F1300*Sens!F1324</f>
        <v>19.2954518910651</v>
      </c>
      <c r="G1325" s="6" t="n">
        <f aca="false">Sens!G1300*Sens!G1324</f>
        <v>19.8830646387704</v>
      </c>
      <c r="H1325" s="6" t="n">
        <f aca="false">Sens!H1300*Sens!H1324</f>
        <v>20.6092017868026</v>
      </c>
      <c r="I1325" s="6" t="n">
        <f aca="false">Sens!I1300*Sens!I1324</f>
        <v>21.452361761678</v>
      </c>
      <c r="J1325" s="6" t="n">
        <f aca="false">Sens!J1300*Sens!J1324</f>
        <v>22.3946261183418</v>
      </c>
      <c r="K1325" s="6" t="n">
        <f aca="false">Sens!K1300*Sens!K1324</f>
        <v>23.4215879274986</v>
      </c>
    </row>
    <row r="1326" customFormat="false" ht="15" hidden="false" customHeight="false" outlineLevel="0" collapsed="false">
      <c r="A1326" s="1" t="s">
        <v>913</v>
      </c>
      <c r="B1326" s="0" t="s">
        <v>98</v>
      </c>
      <c r="D1326" s="6" t="n">
        <f aca="false">Sens!D1323+Sens!D1325</f>
        <v>128.528</v>
      </c>
      <c r="E1326" s="6" t="n">
        <f aca="false">Sens!E1323+Sens!E1325</f>
        <v>155.237</v>
      </c>
      <c r="F1326" s="6" t="n">
        <f aca="false">Sens!F1323+Sens!F1325</f>
        <v>190.105169762964</v>
      </c>
      <c r="G1326" s="6" t="n">
        <f aca="false">Sens!G1323+Sens!G1325</f>
        <v>227.405904506562</v>
      </c>
      <c r="H1326" s="6" t="n">
        <f aca="false">Sens!H1323+Sens!H1325</f>
        <v>269.853893507522</v>
      </c>
      <c r="I1326" s="6" t="n">
        <f aca="false">Sens!I1323+Sens!I1325</f>
        <v>302.668544204882</v>
      </c>
      <c r="J1326" s="6" t="n">
        <f aca="false">Sens!J1323+Sens!J1325</f>
        <v>330.261910023806</v>
      </c>
      <c r="K1326" s="6" t="n">
        <f aca="false">Sens!K1323+Sens!K1325</f>
        <v>354.490201606979</v>
      </c>
    </row>
    <row r="1327" customFormat="false" ht="15" hidden="false" customHeight="false" outlineLevel="0" collapsed="false">
      <c r="A1327" s="23" t="s">
        <v>914</v>
      </c>
      <c r="B1327" s="30" t="s">
        <v>98</v>
      </c>
      <c r="C1327" s="30"/>
      <c r="D1327" s="24" t="n">
        <f aca="false">Sens!D1326-Q!L23</f>
        <v>0</v>
      </c>
      <c r="E1327" s="24" t="n">
        <f aca="false">Sens!E1326-Q!M23</f>
        <v>0</v>
      </c>
      <c r="F1327" s="30"/>
      <c r="G1327" s="30"/>
      <c r="H1327" s="30"/>
      <c r="I1327" s="30"/>
      <c r="J1327" s="30"/>
      <c r="K1327" s="30"/>
    </row>
    <row r="1328" customFormat="false" ht="15" hidden="false" customHeight="false" outlineLevel="0" collapsed="false">
      <c r="A1328" s="1" t="s">
        <v>915</v>
      </c>
      <c r="B1328" s="0" t="s">
        <v>129</v>
      </c>
      <c r="D1328" s="7" t="n">
        <f aca="false">Sens!D1326/Sens!D1319</f>
        <v>0.456219562408598</v>
      </c>
      <c r="E1328" s="7" t="n">
        <f aca="false">Sens!E1326/Sens!E1319</f>
        <v>0.467808184089272</v>
      </c>
      <c r="F1328" s="7" t="n">
        <f aca="false">Sens!F1326/Sens!F1319</f>
        <v>0.459873955022172</v>
      </c>
      <c r="G1328" s="7" t="n">
        <f aca="false">Sens!G1326/Sens!G1319</f>
        <v>0.448690419547077</v>
      </c>
      <c r="H1328" s="7" t="n">
        <f aca="false">Sens!H1326/Sens!H1319</f>
        <v>0.444064381789542</v>
      </c>
      <c r="I1328" s="7" t="n">
        <f aca="false">Sens!I1326/Sens!I1319</f>
        <v>0.436503992366296</v>
      </c>
      <c r="J1328" s="7" t="n">
        <f aca="false">Sens!J1326/Sens!J1319</f>
        <v>0.433253201710589</v>
      </c>
      <c r="K1328" s="7" t="n">
        <f aca="false">Sens!K1326/Sens!K1319</f>
        <v>0.433676290779545</v>
      </c>
    </row>
    <row r="1329" customFormat="false" ht="17.15" hidden="false" customHeight="false" outlineLevel="0" collapsed="false">
      <c r="A1329" s="1" t="s">
        <v>916</v>
      </c>
      <c r="B1329" s="0" t="s">
        <v>98</v>
      </c>
      <c r="F1329" s="6" t="n">
        <f aca="false">Sens!F1344</f>
        <v>8.44248444763781</v>
      </c>
      <c r="G1329" s="6" t="n">
        <f aca="false">Sens!G1344</f>
        <v>21.3653222817508</v>
      </c>
      <c r="H1329" s="6" t="n">
        <f aca="false">Sens!H1344</f>
        <v>35.8221390663856</v>
      </c>
      <c r="I1329" s="6" t="n">
        <f aca="false">Sens!I1344</f>
        <v>49.3691841492478</v>
      </c>
      <c r="J1329" s="6" t="n">
        <f aca="false">Sens!J1344</f>
        <v>59.0322720639359</v>
      </c>
      <c r="K1329" s="6" t="n">
        <f aca="false">Sens!K1344</f>
        <v>64.2195097796802</v>
      </c>
      <c r="L1329" s="1" t="s">
        <v>917</v>
      </c>
    </row>
    <row r="1330" customFormat="false" ht="17.15" hidden="false" customHeight="false" outlineLevel="0" collapsed="false">
      <c r="A1330" s="1" t="s">
        <v>918</v>
      </c>
      <c r="B1330" s="0" t="s">
        <v>98</v>
      </c>
      <c r="D1330" s="6" t="n">
        <f aca="false">Sens!D1326</f>
        <v>128.528</v>
      </c>
      <c r="E1330" s="6" t="n">
        <f aca="false">Sens!E1326</f>
        <v>155.237</v>
      </c>
      <c r="F1330" s="6" t="n">
        <f aca="false">Sens!F1326+Sens!F1329</f>
        <v>198.547654210602</v>
      </c>
      <c r="G1330" s="6" t="n">
        <f aca="false">Sens!G1326+Sens!G1329</f>
        <v>248.771226788313</v>
      </c>
      <c r="H1330" s="6" t="n">
        <f aca="false">Sens!H1326+Sens!H1329</f>
        <v>305.676032573908</v>
      </c>
      <c r="I1330" s="6" t="n">
        <f aca="false">Sens!I1326+Sens!I1329</f>
        <v>352.03772835413</v>
      </c>
      <c r="J1330" s="6" t="n">
        <f aca="false">Sens!J1326+Sens!J1329</f>
        <v>389.294182087742</v>
      </c>
      <c r="K1330" s="6" t="n">
        <f aca="false">Sens!K1326+Sens!K1329</f>
        <v>418.70971138666</v>
      </c>
    </row>
    <row r="1331" customFormat="false" ht="17.15" hidden="false" customHeight="false" outlineLevel="0" collapsed="false">
      <c r="A1331" s="1" t="s">
        <v>919</v>
      </c>
      <c r="B1331" s="0" t="s">
        <v>98</v>
      </c>
      <c r="E1331" s="6" t="n">
        <f aca="false">Sens!E1274</f>
        <v>16.3054059770833</v>
      </c>
      <c r="F1331" s="6" t="n">
        <f aca="false">Sens!F1274</f>
        <v>34.0498873809555</v>
      </c>
      <c r="G1331" s="6" t="n">
        <f aca="false">Sens!G1274</f>
        <v>59.1254371105111</v>
      </c>
      <c r="H1331" s="6" t="n">
        <f aca="false">Sens!H1274</f>
        <v>86.3610198433111</v>
      </c>
      <c r="I1331" s="6" t="n">
        <f aca="false">Sens!I1274</f>
        <v>110.605743832393</v>
      </c>
      <c r="J1331" s="6" t="n">
        <f aca="false">Sens!J1274</f>
        <v>127.998322852843</v>
      </c>
      <c r="K1331" s="6" t="n">
        <f aca="false">Sens!K1274</f>
        <v>139.131464044308</v>
      </c>
    </row>
    <row r="1332" customFormat="false" ht="17.15" hidden="false" customHeight="false" outlineLevel="0" collapsed="false">
      <c r="A1332" s="1" t="s">
        <v>920</v>
      </c>
      <c r="B1332" s="0" t="s">
        <v>98</v>
      </c>
      <c r="E1332" s="6" t="n">
        <f aca="false">Sens!E1356</f>
        <v>22.2285940229167</v>
      </c>
      <c r="F1332" s="6" t="n">
        <f aca="false">Sens!F1356</f>
        <v>24.3924470334783</v>
      </c>
      <c r="G1332" s="6" t="n">
        <f aca="false">Sens!G1356</f>
        <v>26.1134916871694</v>
      </c>
      <c r="H1332" s="6" t="n">
        <f aca="false">Sens!H1356</f>
        <v>28.2582938828615</v>
      </c>
      <c r="I1332" s="6" t="n">
        <f aca="false">Sens!I1356</f>
        <v>30.7498045257397</v>
      </c>
      <c r="J1332" s="6" t="n">
        <f aca="false">Sens!J1356</f>
        <v>33.4954153982031</v>
      </c>
      <c r="K1332" s="6" t="n">
        <f aca="false">Sens!K1356</f>
        <v>36.4102441325822</v>
      </c>
    </row>
    <row r="1333" customFormat="false" ht="17.15" hidden="false" customHeight="false" outlineLevel="0" collapsed="false">
      <c r="A1333" s="1" t="s">
        <v>921</v>
      </c>
      <c r="B1333" s="0" t="s">
        <v>98</v>
      </c>
      <c r="D1333" s="6" t="n">
        <f aca="false">Q!L27</f>
        <v>-4.901</v>
      </c>
      <c r="E1333" s="6" t="n">
        <f aca="false">Q!M27</f>
        <v>10.697</v>
      </c>
      <c r="F1333" s="6" t="n">
        <f aca="false">oie_f</f>
        <v>-0.4</v>
      </c>
      <c r="G1333" s="6" t="n">
        <f aca="false">oie_f</f>
        <v>-0.4</v>
      </c>
      <c r="H1333" s="6" t="n">
        <f aca="false">oie_f</f>
        <v>-0.4</v>
      </c>
      <c r="I1333" s="6" t="n">
        <f aca="false">oie_f</f>
        <v>-0.4</v>
      </c>
      <c r="J1333" s="6" t="n">
        <f aca="false">oie_f</f>
        <v>-0.4</v>
      </c>
      <c r="K1333" s="6" t="n">
        <f aca="false">oie_f</f>
        <v>-0.4</v>
      </c>
      <c r="L1333" s="11" t="s">
        <v>922</v>
      </c>
    </row>
    <row r="1334" customFormat="false" ht="15" hidden="false" customHeight="false" outlineLevel="0" collapsed="false">
      <c r="A1334" s="1" t="s">
        <v>923</v>
      </c>
      <c r="B1334" s="0" t="s">
        <v>98</v>
      </c>
      <c r="D1334" s="6" t="n">
        <f aca="false">Sens!D1326+Sens!D1333</f>
        <v>123.627</v>
      </c>
      <c r="E1334" s="6" t="n">
        <f aca="false">Sens!E1326+Sens!E1333</f>
        <v>165.934</v>
      </c>
      <c r="F1334" s="6" t="n">
        <f aca="false">Sens!F1326+Sens!F1333</f>
        <v>189.705169762964</v>
      </c>
      <c r="G1334" s="6" t="n">
        <f aca="false">Sens!G1326+Sens!G1333</f>
        <v>227.005904506562</v>
      </c>
      <c r="H1334" s="6" t="n">
        <f aca="false">Sens!H1326+Sens!H1333</f>
        <v>269.453893507522</v>
      </c>
      <c r="I1334" s="6" t="n">
        <f aca="false">Sens!I1326+Sens!I1333</f>
        <v>302.268544204882</v>
      </c>
      <c r="J1334" s="6" t="n">
        <f aca="false">Sens!J1326+Sens!J1333</f>
        <v>329.861910023806</v>
      </c>
      <c r="K1334" s="6" t="n">
        <f aca="false">Sens!K1326+Sens!K1333</f>
        <v>354.090201606979</v>
      </c>
    </row>
    <row r="1335" customFormat="false" ht="15" hidden="false" customHeight="false" outlineLevel="0" collapsed="false">
      <c r="A1335" s="1" t="s">
        <v>924</v>
      </c>
      <c r="B1335" s="0" t="s">
        <v>98</v>
      </c>
      <c r="D1335" s="6" t="n">
        <f aca="false">Q!L29</f>
        <v>21.795</v>
      </c>
      <c r="E1335" s="6" t="n">
        <f aca="false">Q!M29</f>
        <v>32.185</v>
      </c>
      <c r="F1335" s="6" t="n">
        <f aca="false">Sens!F1334*tax_f</f>
        <v>37.9410339525928</v>
      </c>
      <c r="G1335" s="6" t="n">
        <f aca="false">Sens!G1334*tax_f</f>
        <v>45.4011809013124</v>
      </c>
      <c r="H1335" s="6" t="n">
        <f aca="false">Sens!H1334*tax_f</f>
        <v>53.8907787015045</v>
      </c>
      <c r="I1335" s="6" t="n">
        <f aca="false">Sens!I1334*tax_f</f>
        <v>60.4537088409764</v>
      </c>
      <c r="J1335" s="6" t="n">
        <f aca="false">Sens!J1334*tax_f</f>
        <v>65.9723820047612</v>
      </c>
      <c r="K1335" s="6" t="n">
        <f aca="false">Sens!K1334*tax_f</f>
        <v>70.8180403213959</v>
      </c>
    </row>
    <row r="1336" customFormat="false" ht="15" hidden="false" customHeight="false" outlineLevel="0" collapsed="false">
      <c r="A1336" s="1" t="s">
        <v>925</v>
      </c>
      <c r="B1336" s="0" t="s">
        <v>98</v>
      </c>
      <c r="D1336" s="6" t="n">
        <f aca="false">Sens!D1334-Sens!D1335</f>
        <v>101.832</v>
      </c>
      <c r="E1336" s="6" t="n">
        <f aca="false">Sens!E1334-Sens!E1335</f>
        <v>133.749</v>
      </c>
      <c r="F1336" s="6" t="n">
        <f aca="false">Sens!F1334-Sens!F1335</f>
        <v>151.764135810371</v>
      </c>
      <c r="G1336" s="6" t="n">
        <f aca="false">Sens!G1334-Sens!G1335</f>
        <v>181.60472360525</v>
      </c>
      <c r="H1336" s="6" t="n">
        <f aca="false">Sens!H1334-Sens!H1335</f>
        <v>215.563114806018</v>
      </c>
      <c r="I1336" s="6" t="n">
        <f aca="false">Sens!I1334-Sens!I1335</f>
        <v>241.814835363905</v>
      </c>
      <c r="J1336" s="6" t="n">
        <f aca="false">Sens!J1334-Sens!J1335</f>
        <v>263.889528019045</v>
      </c>
      <c r="K1336" s="6" t="n">
        <f aca="false">Sens!K1334-Sens!K1335</f>
        <v>283.272161285583</v>
      </c>
    </row>
    <row r="1337" customFormat="false" ht="17.15" hidden="false" customHeight="false" outlineLevel="0" collapsed="false">
      <c r="A1337" s="1" t="s">
        <v>926</v>
      </c>
      <c r="B1337" s="1" t="s">
        <v>81</v>
      </c>
      <c r="D1337" s="14" t="n">
        <f aca="false">Q!L31</f>
        <v>7.465</v>
      </c>
      <c r="E1337" s="14" t="n">
        <f aca="false">Q!M31</f>
        <v>7.453</v>
      </c>
      <c r="F1337" s="14" t="n">
        <f aca="false">Sens!F1380</f>
        <v>7.4721994760536</v>
      </c>
      <c r="G1337" s="14" t="n">
        <f aca="false">Sens!G1380</f>
        <v>7.49727066482515</v>
      </c>
      <c r="H1337" s="14" t="n">
        <f aca="false">Sens!H1380</f>
        <v>7.50639396339305</v>
      </c>
      <c r="I1337" s="14" t="n">
        <f aca="false">Sens!I1380</f>
        <v>7.51817479540037</v>
      </c>
      <c r="J1337" s="14" t="n">
        <f aca="false">Sens!J1380</f>
        <v>7.53241630651825</v>
      </c>
      <c r="K1337" s="14" t="n">
        <f aca="false">Sens!K1380</f>
        <v>7.54893622421999</v>
      </c>
    </row>
    <row r="1338" customFormat="false" ht="17.15" hidden="false" customHeight="false" outlineLevel="0" collapsed="false">
      <c r="A1338" s="0" t="s">
        <v>927</v>
      </c>
      <c r="B1338" s="0" t="s">
        <v>75</v>
      </c>
      <c r="D1338" s="8" t="n">
        <f aca="false">Sens!D1336/Sens!D1337</f>
        <v>13.641259209645</v>
      </c>
      <c r="E1338" s="8" t="n">
        <f aca="false">Sens!E1336/Sens!E1337</f>
        <v>17.9456594659869</v>
      </c>
      <c r="F1338" s="8" t="n">
        <f aca="false">Sens!F1336/Sens!F1337</f>
        <v>20.3105037943292</v>
      </c>
      <c r="G1338" s="8" t="n">
        <f aca="false">Sens!G1336/Sens!G1337</f>
        <v>24.2227780914036</v>
      </c>
      <c r="H1338" s="8" t="n">
        <f aca="false">Sens!H1336/Sens!H1337</f>
        <v>28.7172663541601</v>
      </c>
      <c r="I1338" s="8" t="n">
        <f aca="false">Sens!I1336/Sens!I1337</f>
        <v>32.1640347484137</v>
      </c>
      <c r="J1338" s="8" t="n">
        <f aca="false">Sens!J1336/Sens!J1337</f>
        <v>35.0338480084652</v>
      </c>
      <c r="K1338" s="8" t="n">
        <f aca="false">Sens!K1336/Sens!K1337</f>
        <v>37.5247787067976</v>
      </c>
      <c r="L1338" s="1" t="s">
        <v>928</v>
      </c>
    </row>
    <row r="1339" customFormat="false" ht="17.15" hidden="false" customHeight="false" outlineLevel="0" collapsed="false">
      <c r="A1339" s="1" t="s">
        <v>929</v>
      </c>
      <c r="B1339" s="0" t="s">
        <v>98</v>
      </c>
      <c r="D1339" s="6" t="n">
        <f aca="false">Sens!D1336</f>
        <v>101.832</v>
      </c>
      <c r="E1339" s="6" t="n">
        <f aca="false">Sens!E1336</f>
        <v>133.749</v>
      </c>
      <c r="F1339" s="6" t="n">
        <f aca="false">Sens!F1336+Sens!F1329*(1-tax_f)</f>
        <v>158.518123368482</v>
      </c>
      <c r="G1339" s="6" t="n">
        <f aca="false">Sens!G1336+Sens!G1329*(1-tax_f)</f>
        <v>198.69698143065</v>
      </c>
      <c r="H1339" s="6" t="n">
        <f aca="false">Sens!H1336+Sens!H1329*(1-tax_f)</f>
        <v>244.220826059126</v>
      </c>
      <c r="I1339" s="6" t="n">
        <f aca="false">Sens!I1336+Sens!I1329*(1-tax_f)</f>
        <v>281.310182683304</v>
      </c>
      <c r="J1339" s="6" t="n">
        <f aca="false">Sens!J1336+Sens!J1329*(1-tax_f)</f>
        <v>311.115345670194</v>
      </c>
      <c r="K1339" s="6" t="n">
        <f aca="false">Sens!K1336+Sens!K1329*(1-tax_f)</f>
        <v>334.647769109328</v>
      </c>
    </row>
    <row r="1340" customFormat="false" ht="17.15" hidden="false" customHeight="false" outlineLevel="0" collapsed="false">
      <c r="A1340" s="0" t="s">
        <v>930</v>
      </c>
      <c r="B1340" s="0" t="s">
        <v>75</v>
      </c>
      <c r="D1340" s="8" t="n">
        <f aca="false">Sens!D1339/Sens!D1337</f>
        <v>13.641259209645</v>
      </c>
      <c r="E1340" s="8" t="n">
        <f aca="false">Sens!E1339/Sens!E1337</f>
        <v>17.9456594659869</v>
      </c>
      <c r="F1340" s="8" t="n">
        <f aca="false">Sens!F1339/Sens!F1337</f>
        <v>21.2143859216406</v>
      </c>
      <c r="G1340" s="8" t="n">
        <f aca="false">Sens!G1339/Sens!G1337</f>
        <v>26.5025754456051</v>
      </c>
      <c r="H1340" s="8" t="n">
        <f aca="false">Sens!H1339/Sens!H1337</f>
        <v>32.5350397607873</v>
      </c>
      <c r="I1340" s="8" t="n">
        <f aca="false">Sens!I1339/Sens!I1337</f>
        <v>37.4173506654048</v>
      </c>
      <c r="J1340" s="8" t="n">
        <f aca="false">Sens!J1339/Sens!J1337</f>
        <v>41.3035250588801</v>
      </c>
      <c r="K1340" s="8" t="n">
        <f aca="false">Sens!K1339/Sens!K1337</f>
        <v>44.3304538771495</v>
      </c>
      <c r="L1340" s="1" t="s">
        <v>931</v>
      </c>
    </row>
    <row r="1341" customFormat="false" ht="17.15" hidden="false" customHeight="false" outlineLevel="0" collapsed="false">
      <c r="A1341" s="0" t="s">
        <v>932</v>
      </c>
      <c r="B1341" s="0" t="s">
        <v>129</v>
      </c>
      <c r="E1341" s="7" t="n">
        <f aca="false">Sens!E1340/Sens!D1340-1</f>
        <v>0.315542736208578</v>
      </c>
      <c r="F1341" s="7" t="n">
        <f aca="false">Sens!F1340/Sens!E1340-1</f>
        <v>0.1821457975311</v>
      </c>
      <c r="G1341" s="7" t="n">
        <f aca="false">Sens!G1340/Sens!F1340-1</f>
        <v>0.249273749591314</v>
      </c>
      <c r="H1341" s="7" t="n">
        <f aca="false">Sens!H1340/Sens!G1340-1</f>
        <v>0.227618041407464</v>
      </c>
      <c r="I1341" s="7" t="n">
        <f aca="false">Sens!I1340/Sens!H1340-1</f>
        <v>0.150063160841806</v>
      </c>
      <c r="J1341" s="7" t="n">
        <f aca="false">Sens!J1340/Sens!I1340-1</f>
        <v>0.103860223248471</v>
      </c>
      <c r="K1341" s="7" t="n">
        <f aca="false">Sens!K1340/Sens!J1340-1</f>
        <v>0.0732849996205991</v>
      </c>
    </row>
    <row r="1342" customFormat="false" ht="17.15" hidden="false" customHeight="false" outlineLevel="0" collapsed="false">
      <c r="A1342" s="0" t="s">
        <v>856</v>
      </c>
      <c r="B1342" s="0" t="s">
        <v>98</v>
      </c>
      <c r="E1342" s="6" t="n">
        <f aca="false">Sens!E1283</f>
        <v>5.25</v>
      </c>
      <c r="F1342" s="6" t="n">
        <f aca="false">Sens!F1283</f>
        <v>13.5</v>
      </c>
      <c r="G1342" s="6" t="n">
        <f aca="false">Sens!G1283</f>
        <v>22.5</v>
      </c>
      <c r="H1342" s="6" t="n">
        <f aca="false">Sens!H1283</f>
        <v>31.5</v>
      </c>
      <c r="I1342" s="6" t="n">
        <f aca="false">Sens!I1283</f>
        <v>38.25</v>
      </c>
      <c r="J1342" s="6" t="n">
        <f aca="false">Sens!J1283</f>
        <v>42.75</v>
      </c>
      <c r="K1342" s="6" t="n">
        <f aca="false">Sens!K1283</f>
        <v>47.25</v>
      </c>
    </row>
    <row r="1343" customFormat="false" ht="17.15" hidden="false" customHeight="false" outlineLevel="0" collapsed="false">
      <c r="A1343" s="1" t="s">
        <v>857</v>
      </c>
      <c r="B1343" s="0" t="s">
        <v>98</v>
      </c>
      <c r="F1343" s="6" t="n">
        <f aca="false">MAX(0,((Sens!E1246+Sens!F1246)/2-(shadow_base*(Sens!$D$1246+Sens!$E$1246)/2+(1-shadow_base)*Sens!$E$1246))*Sens!F1254/1000-(Sens!F1342-Sens!$E$1342)*Sens!F1322)</f>
        <v>8.44248444763781</v>
      </c>
      <c r="G1343" s="6" t="n">
        <f aca="false">MAX(0,((Sens!F1246+Sens!G1246)/2-(shadow_base*(Sens!$D$1246+Sens!$E$1246)/2+(1-shadow_base)*Sens!$E$1246))*Sens!G1254/1000-(Sens!G1342-Sens!$E$1342)*Sens!G1322)</f>
        <v>21.3653222817508</v>
      </c>
      <c r="H1343" s="6" t="n">
        <f aca="false">MAX(0,((Sens!G1246+Sens!H1246)/2-(shadow_base*(Sens!$D$1246+Sens!$E$1246)/2+(1-shadow_base)*Sens!$E$1246))*Sens!H1254/1000-(Sens!H1342-Sens!$E$1342)*Sens!H1322)</f>
        <v>35.8221390663856</v>
      </c>
      <c r="I1343" s="6" t="n">
        <f aca="false">MAX(0,((Sens!H1246+Sens!I1246)/2-(shadow_base*(Sens!$D$1246+Sens!$E$1246)/2+(1-shadow_base)*Sens!$E$1246))*Sens!I1254/1000-(Sens!I1342-Sens!$E$1342)*Sens!I1322)</f>
        <v>49.3691841492478</v>
      </c>
      <c r="J1343" s="6" t="n">
        <f aca="false">MAX(0,((Sens!I1246+Sens!J1246)/2-(shadow_base*(Sens!$D$1246+Sens!$E$1246)/2+(1-shadow_base)*Sens!$E$1246))*Sens!J1254/1000-(Sens!J1342-Sens!$E$1342)*Sens!J1322)</f>
        <v>59.0322720639359</v>
      </c>
      <c r="K1343" s="6" t="n">
        <f aca="false">MAX(0,((Sens!J1246+Sens!K1246)/2-(shadow_base*(Sens!$D$1246+Sens!$E$1246)/2+(1-shadow_base)*Sens!$E$1246))*Sens!K1254/1000-(Sens!K1342-Sens!$E$1342)*Sens!K1322)</f>
        <v>64.2195097796802</v>
      </c>
      <c r="L1343" s="1" t="s">
        <v>858</v>
      </c>
    </row>
    <row r="1344" customFormat="false" ht="17.15" hidden="false" customHeight="false" outlineLevel="0" collapsed="false">
      <c r="A1344" s="1" t="s">
        <v>859</v>
      </c>
      <c r="B1344" s="0" t="s">
        <v>98</v>
      </c>
      <c r="F1344" s="6" t="n">
        <f aca="false">IF(internal_ai_reading=2,1,0)*Sens!F1343</f>
        <v>8.44248444763781</v>
      </c>
      <c r="G1344" s="6" t="n">
        <f aca="false">IF(internal_ai_reading=2,1,0)*Sens!G1343</f>
        <v>21.3653222817508</v>
      </c>
      <c r="H1344" s="6" t="n">
        <f aca="false">IF(internal_ai_reading=2,1,0)*Sens!H1343</f>
        <v>35.8221390663856</v>
      </c>
      <c r="I1344" s="6" t="n">
        <f aca="false">IF(internal_ai_reading=2,1,0)*Sens!I1343</f>
        <v>49.3691841492478</v>
      </c>
      <c r="J1344" s="6" t="n">
        <f aca="false">IF(internal_ai_reading=2,1,0)*Sens!J1343</f>
        <v>59.0322720639359</v>
      </c>
      <c r="K1344" s="6" t="n">
        <f aca="false">IF(internal_ai_reading=2,1,0)*Sens!K1343</f>
        <v>64.2195097796802</v>
      </c>
    </row>
    <row r="1345" customFormat="false" ht="17.15" hidden="false" customHeight="false" outlineLevel="0" collapsed="false">
      <c r="A1345" s="0" t="s">
        <v>860</v>
      </c>
      <c r="B1345" s="0" t="s">
        <v>98</v>
      </c>
      <c r="F1345" s="6" t="n">
        <f aca="false">Sens!F1263+Sens!F1342*Sens!F1322+Sens!F1344-Sens!F1264-Sens!F1274</f>
        <v>27.5053070423419</v>
      </c>
      <c r="G1345" s="6" t="n">
        <f aca="false">Sens!G1263+Sens!G1342*Sens!G1322+Sens!G1344-Sens!G1264-Sens!G1274</f>
        <v>57.9784601429144</v>
      </c>
      <c r="H1345" s="6" t="n">
        <f aca="false">Sens!H1263+Sens!H1342*Sens!H1322+Sens!H1344-Sens!H1264-Sens!H1274</f>
        <v>94.8203110370847</v>
      </c>
      <c r="I1345" s="6" t="n">
        <f aca="false">Sens!I1263+Sens!I1342*Sens!I1322+Sens!I1344-Sens!I1264-Sens!I1274</f>
        <v>121.497345454207</v>
      </c>
      <c r="J1345" s="6" t="n">
        <f aca="false">Sens!J1263+Sens!J1342*Sens!J1322+Sens!J1344-Sens!J1264-Sens!J1274</f>
        <v>140.215422663204</v>
      </c>
      <c r="K1345" s="6" t="n">
        <f aca="false">Sens!K1263+Sens!K1342*Sens!K1322+Sens!K1344-Sens!K1264-Sens!K1274</f>
        <v>153.029304395846</v>
      </c>
    </row>
    <row r="1346" customFormat="false" ht="17.15" hidden="false" customHeight="false" outlineLevel="0" collapsed="false">
      <c r="A1346" s="0" t="s">
        <v>861</v>
      </c>
      <c r="B1346" s="0" t="s">
        <v>98</v>
      </c>
      <c r="E1346" s="6" t="n">
        <f aca="false">Sens!E1245*(cxit_open+self_build*tk_cxfac)/1000*ai_net_open</f>
        <v>126.6980382</v>
      </c>
      <c r="F1346" s="6" t="n">
        <f aca="false">Sens!E1346+Sens!F1271-Sens!F1274</f>
        <v>252.981026690511</v>
      </c>
      <c r="G1346" s="6" t="n">
        <f aca="false">Sens!F1346+Sens!G1271-Sens!G1274</f>
        <v>377.4297700632</v>
      </c>
      <c r="H1346" s="6" t="n">
        <f aca="false">Sens!G1346+Sens!H1271-Sens!H1274</f>
        <v>479.149036130289</v>
      </c>
      <c r="I1346" s="6" t="n">
        <f aca="false">Sens!H1346+Sens!I1271-Sens!I1274</f>
        <v>532.249961452141</v>
      </c>
      <c r="J1346" s="6" t="n">
        <f aca="false">Sens!I1346+Sens!J1271-Sens!J1274</f>
        <v>531.43307519354</v>
      </c>
      <c r="K1346" s="6" t="n">
        <f aca="false">Sens!J1346+Sens!K1271-Sens!K1274</f>
        <v>513.709026452823</v>
      </c>
      <c r="L1346" s="1" t="s">
        <v>862</v>
      </c>
    </row>
    <row r="1347" customFormat="false" ht="17.15" hidden="false" customHeight="false" outlineLevel="0" collapsed="false">
      <c r="A1347" s="0" t="s">
        <v>863</v>
      </c>
      <c r="B1347" s="0" t="s">
        <v>129</v>
      </c>
      <c r="F1347" s="7" t="n">
        <f aca="false">Sens!F1345*(1-tax_f)/((Sens!E1346+Sens!F1346)/2)</f>
        <v>0.115909712536923</v>
      </c>
      <c r="G1347" s="7" t="n">
        <f aca="false">Sens!G1345*(1-tax_f)/((Sens!F1346+Sens!G1346)/2)</f>
        <v>0.147150931910363</v>
      </c>
      <c r="H1347" s="7" t="n">
        <f aca="false">Sens!H1345*(1-tax_f)/((Sens!G1346+Sens!H1346)/2)</f>
        <v>0.177114465782225</v>
      </c>
      <c r="I1347" s="7" t="n">
        <f aca="false">Sens!I1345*(1-tax_f)/((Sens!H1346+Sens!I1346)/2)</f>
        <v>0.192204810555874</v>
      </c>
      <c r="J1347" s="7" t="n">
        <f aca="false">Sens!J1345*(1-tax_f)/((Sens!I1346+Sens!J1346)/2)</f>
        <v>0.210913090208335</v>
      </c>
      <c r="K1347" s="7" t="n">
        <f aca="false">Sens!K1345*(1-tax_f)/((Sens!J1346+Sens!K1346)/2)</f>
        <v>0.234271384386543</v>
      </c>
    </row>
    <row r="1348" customFormat="false" ht="17.15" hidden="false" customHeight="false" outlineLevel="0" collapsed="false">
      <c r="A1348" s="1" t="s">
        <v>864</v>
      </c>
      <c r="B1348" s="0" t="s">
        <v>129</v>
      </c>
      <c r="F1348" s="7" t="n">
        <f aca="false">(Sens!F1345-Sens!F1344)*(1-tax_f)/((Sens!E1346+Sens!F1346)/2)</f>
        <v>0.0803323621762553</v>
      </c>
      <c r="G1348" s="7" t="n">
        <f aca="false">(Sens!G1345-Sens!G1344)*(1-tax_f)/((Sens!F1346+Sens!G1346)/2)</f>
        <v>0.0929251543271843</v>
      </c>
      <c r="H1348" s="7" t="n">
        <f aca="false">(Sens!H1345-Sens!H1344)*(1-tax_f)/((Sens!G1346+Sens!H1346)/2)</f>
        <v>0.110202440768533</v>
      </c>
      <c r="I1348" s="7" t="n">
        <f aca="false">(Sens!I1345-Sens!I1344)*(1-tax_f)/((Sens!H1346+Sens!I1346)/2)</f>
        <v>0.114104382507587</v>
      </c>
      <c r="J1348" s="7" t="n">
        <f aca="false">(Sens!J1345-Sens!J1344)*(1-tax_f)/((Sens!I1346+Sens!J1346)/2)</f>
        <v>0.122116303902378</v>
      </c>
      <c r="K1348" s="7" t="n">
        <f aca="false">(Sens!K1345-Sens!K1344)*(1-tax_f)/((Sens!J1346+Sens!K1346)/2)</f>
        <v>0.135958231097981</v>
      </c>
    </row>
    <row r="1349" customFormat="false" ht="17.15" hidden="false" customHeight="false" outlineLevel="0" collapsed="false">
      <c r="A1349" s="1" t="s">
        <v>865</v>
      </c>
      <c r="B1349" s="0" t="s">
        <v>129</v>
      </c>
      <c r="F1349" s="7" t="n">
        <f aca="false">(Sens!F1345-Sens!F1344+Sens!F1343)*(1-tax_f)/((Sens!E1346+Sens!F1346)/2)</f>
        <v>0.115909712536923</v>
      </c>
      <c r="G1349" s="7" t="n">
        <f aca="false">(Sens!G1345-Sens!G1344+Sens!G1343)*(1-tax_f)/((Sens!F1346+Sens!G1346)/2)</f>
        <v>0.147150931910363</v>
      </c>
      <c r="H1349" s="7" t="n">
        <f aca="false">(Sens!H1345-Sens!H1344+Sens!H1343)*(1-tax_f)/((Sens!G1346+Sens!H1346)/2)</f>
        <v>0.177114465782225</v>
      </c>
      <c r="I1349" s="7" t="n">
        <f aca="false">(Sens!I1345-Sens!I1344+Sens!I1343)*(1-tax_f)/((Sens!H1346+Sens!I1346)/2)</f>
        <v>0.192204810555874</v>
      </c>
      <c r="J1349" s="7" t="n">
        <f aca="false">(Sens!J1345-Sens!J1344+Sens!J1343)*(1-tax_f)/((Sens!I1346+Sens!J1346)/2)</f>
        <v>0.210913090208335</v>
      </c>
      <c r="K1349" s="7" t="n">
        <f aca="false">(Sens!K1345-Sens!K1344+Sens!K1343)*(1-tax_f)/((Sens!J1346+Sens!K1346)/2)</f>
        <v>0.234271384386543</v>
      </c>
    </row>
    <row r="1350" customFormat="false" ht="17.15" hidden="false" customHeight="false" outlineLevel="0" collapsed="false">
      <c r="A1350" s="1" t="s">
        <v>866</v>
      </c>
      <c r="B1350" s="0" t="s">
        <v>129</v>
      </c>
      <c r="F1350" s="7" t="n">
        <f aca="false">Sens!F1275*(1-tax_f)/(Sens!F1262*(Sens!E1346+Sens!F1346)/2)</f>
        <v>0.221294152697621</v>
      </c>
      <c r="G1350" s="7" t="n">
        <f aca="false">Sens!G1275*(1-tax_f)/(Sens!G1262*(Sens!F1346+Sens!G1346)/2)</f>
        <v>0.246194613774504</v>
      </c>
      <c r="H1350" s="7" t="n">
        <f aca="false">Sens!H1275*(1-tax_f)/(Sens!H1262*(Sens!G1346+Sens!H1346)/2)</f>
        <v>0.282739827168849</v>
      </c>
      <c r="I1350" s="7" t="n">
        <f aca="false">Sens!I1275*(1-tax_f)/(Sens!I1262*(Sens!H1346+Sens!I1346)/2)</f>
        <v>0.299716052109573</v>
      </c>
      <c r="J1350" s="7" t="n">
        <f aca="false">Sens!J1275*(1-tax_f)/(Sens!J1262*(Sens!I1346+Sens!J1346)/2)</f>
        <v>0.325320874141546</v>
      </c>
      <c r="K1350" s="7" t="n">
        <f aca="false">Sens!K1275*(1-tax_f)/(Sens!K1262*(Sens!J1346+Sens!K1346)/2)</f>
        <v>0.359217496568005</v>
      </c>
    </row>
    <row r="1351" customFormat="false" ht="17.15" hidden="false" customHeight="false" outlineLevel="0" collapsed="false">
      <c r="A1351" s="0" t="s">
        <v>867</v>
      </c>
      <c r="B1351" s="0" t="s">
        <v>209</v>
      </c>
      <c r="F1351" s="7" t="n">
        <f aca="false">Sens!F1347-wacc</f>
        <v>0.0129752924440475</v>
      </c>
      <c r="G1351" s="7" t="n">
        <f aca="false">Sens!G1347-wacc</f>
        <v>0.0442165118174874</v>
      </c>
      <c r="H1351" s="7" t="n">
        <f aca="false">Sens!H1347-wacc</f>
        <v>0.074180045689349</v>
      </c>
      <c r="I1351" s="7" t="n">
        <f aca="false">Sens!I1347-wacc</f>
        <v>0.0892703904629983</v>
      </c>
      <c r="J1351" s="7" t="n">
        <f aca="false">Sens!J1347-wacc</f>
        <v>0.107978670115459</v>
      </c>
      <c r="K1351" s="7" t="n">
        <f aca="false">Sens!K1347-wacc</f>
        <v>0.131336964293667</v>
      </c>
    </row>
    <row r="1352" customFormat="false" ht="17.15" hidden="false" customHeight="false" outlineLevel="0" collapsed="false">
      <c r="A1352" s="0" t="s">
        <v>868</v>
      </c>
      <c r="B1352" s="0" t="s">
        <v>98</v>
      </c>
      <c r="F1352" s="6" t="n">
        <f aca="false">Sens!F1345*(1-tax_f)-wacc*(Sens!E1346+Sens!F1346)/2</f>
        <v>2.46322345091845</v>
      </c>
      <c r="G1352" s="6" t="n">
        <f aca="false">Sens!G1345*(1-tax_f)-wacc*(Sens!F1346+Sens!G1346)/2</f>
        <v>13.937283222266</v>
      </c>
      <c r="H1352" s="6" t="n">
        <f aca="false">Sens!H1345*(1-tax_f)-wacc*(Sens!G1346+Sens!H1346)/2</f>
        <v>31.7705274899805</v>
      </c>
      <c r="I1352" s="6" t="n">
        <f aca="false">Sens!I1345*(1-tax_f)-wacc*(Sens!H1346+Sens!I1346)/2</f>
        <v>45.1439917140343</v>
      </c>
      <c r="J1352" s="6" t="n">
        <f aca="false">Sens!J1345*(1-tax_f)-wacc*(Sens!I1346+Sens!J1346)/2</f>
        <v>57.4275398606869</v>
      </c>
      <c r="K1352" s="6" t="n">
        <f aca="false">Sens!K1345*(1-tax_f)-wacc*(Sens!J1346+Sens!K1346)/2</f>
        <v>68.6328954428683</v>
      </c>
    </row>
    <row r="1353" customFormat="false" ht="17.15" hidden="false" customHeight="false" outlineLevel="0" collapsed="false">
      <c r="A1353" s="3" t="s">
        <v>1295</v>
      </c>
    </row>
    <row r="1354" customFormat="false" ht="15" hidden="false" customHeight="false" outlineLevel="0" collapsed="false">
      <c r="A1354" s="4" t="s">
        <v>43</v>
      </c>
      <c r="B1354" s="4" t="s">
        <v>65</v>
      </c>
      <c r="C1354" s="20" t="s">
        <v>799</v>
      </c>
      <c r="D1354" s="20" t="s">
        <v>800</v>
      </c>
      <c r="E1354" s="20" t="s">
        <v>801</v>
      </c>
      <c r="F1354" s="20" t="s">
        <v>802</v>
      </c>
      <c r="G1354" s="20" t="s">
        <v>803</v>
      </c>
      <c r="H1354" s="20" t="s">
        <v>804</v>
      </c>
      <c r="I1354" s="20" t="s">
        <v>805</v>
      </c>
      <c r="J1354" s="20" t="s">
        <v>806</v>
      </c>
      <c r="K1354" s="20" t="s">
        <v>807</v>
      </c>
      <c r="L1354" s="4" t="s">
        <v>47</v>
      </c>
    </row>
    <row r="1355" customFormat="false" ht="15" hidden="false" customHeight="false" outlineLevel="0" collapsed="false">
      <c r="A1355" s="1" t="s">
        <v>925</v>
      </c>
      <c r="B1355" s="0" t="s">
        <v>98</v>
      </c>
      <c r="F1355" s="6" t="n">
        <f aca="false">Sens!F1336</f>
        <v>151.764135810371</v>
      </c>
      <c r="G1355" s="6" t="n">
        <f aca="false">Sens!G1336</f>
        <v>181.60472360525</v>
      </c>
      <c r="H1355" s="6" t="n">
        <f aca="false">Sens!H1336</f>
        <v>215.563114806018</v>
      </c>
      <c r="I1355" s="6" t="n">
        <f aca="false">Sens!I1336</f>
        <v>241.814835363905</v>
      </c>
      <c r="J1355" s="6" t="n">
        <f aca="false">Sens!J1336</f>
        <v>263.889528019045</v>
      </c>
      <c r="K1355" s="6" t="n">
        <f aca="false">Sens!K1336</f>
        <v>283.272161285583</v>
      </c>
    </row>
    <row r="1356" customFormat="false" ht="17.15" hidden="false" customHeight="false" outlineLevel="0" collapsed="false">
      <c r="A1356" s="1" t="s">
        <v>947</v>
      </c>
      <c r="B1356" s="0" t="s">
        <v>98</v>
      </c>
      <c r="E1356" s="6" t="n">
        <f aca="false">Q!M38-Sens!E1274</f>
        <v>22.2285940229167</v>
      </c>
      <c r="F1356" s="6" t="n">
        <f aca="false">Sens!E1356*(1-1/life_nonai)+(Sens!F1363+Sens!F1364)/life_nonai</f>
        <v>24.3924470334783</v>
      </c>
      <c r="G1356" s="6" t="n">
        <f aca="false">Sens!F1356*(1-1/life_nonai)+(Sens!G1363)/life_nonai</f>
        <v>26.1134916871694</v>
      </c>
      <c r="H1356" s="6" t="n">
        <f aca="false">Sens!G1356*(1-1/life_nonai)+(Sens!H1363)/life_nonai</f>
        <v>28.2582938828615</v>
      </c>
      <c r="I1356" s="6" t="n">
        <f aca="false">Sens!H1356*(1-1/life_nonai)+(Sens!I1363)/life_nonai</f>
        <v>30.7498045257397</v>
      </c>
      <c r="J1356" s="6" t="n">
        <f aca="false">Sens!I1356*(1-1/life_nonai)+(Sens!J1363)/life_nonai</f>
        <v>33.4954153982031</v>
      </c>
      <c r="K1356" s="6" t="n">
        <f aca="false">Sens!J1356*(1-1/life_nonai)+(Sens!K1363)/life_nonai</f>
        <v>36.4102441325822</v>
      </c>
      <c r="L1356" s="11" t="s">
        <v>948</v>
      </c>
    </row>
    <row r="1357" customFormat="false" ht="17.15" hidden="false" customHeight="false" outlineLevel="0" collapsed="false">
      <c r="A1357" s="1" t="s">
        <v>949</v>
      </c>
      <c r="B1357" s="0" t="s">
        <v>98</v>
      </c>
      <c r="F1357" s="6" t="n">
        <f aca="false">Sens!$F$1364/life_nonai*(1-1/life_nonai)^(Sens!F1240-2027)</f>
        <v>0.813777689897088</v>
      </c>
      <c r="G1357" s="6" t="n">
        <f aca="false">Sens!$F$1364/life_nonai*(1-1/life_nonai)^(Sens!G1240-2027)</f>
        <v>0.73239992090738</v>
      </c>
      <c r="H1357" s="6" t="n">
        <f aca="false">Sens!$F$1364/life_nonai*(1-1/life_nonai)^(Sens!H1240-2027)</f>
        <v>0.659159928816642</v>
      </c>
      <c r="I1357" s="6" t="n">
        <f aca="false">Sens!$F$1364/life_nonai*(1-1/life_nonai)^(Sens!I1240-2027)</f>
        <v>0.593243935934978</v>
      </c>
      <c r="J1357" s="6" t="n">
        <f aca="false">Sens!$F$1364/life_nonai*(1-1/life_nonai)^(Sens!J1240-2027)</f>
        <v>0.53391954234148</v>
      </c>
      <c r="K1357" s="6" t="n">
        <f aca="false">Sens!$F$1364/life_nonai*(1-1/life_nonai)^(Sens!K1240-2027)</f>
        <v>0.480527588107332</v>
      </c>
      <c r="L1357" s="1" t="s">
        <v>950</v>
      </c>
    </row>
    <row r="1358" customFormat="false" ht="17.15" hidden="false" customHeight="false" outlineLevel="0" collapsed="false">
      <c r="A1358" s="1" t="s">
        <v>951</v>
      </c>
      <c r="B1358" s="0" t="s">
        <v>98</v>
      </c>
      <c r="E1358" s="6" t="n">
        <f aca="false">Sens!E1274+Sens!E1356</f>
        <v>38.534</v>
      </c>
      <c r="F1358" s="6" t="n">
        <f aca="false">Sens!F1274+Sens!F1356</f>
        <v>58.4423344144339</v>
      </c>
      <c r="G1358" s="6" t="n">
        <f aca="false">Sens!G1274+Sens!G1356</f>
        <v>85.2389287976805</v>
      </c>
      <c r="H1358" s="6" t="n">
        <f aca="false">Sens!H1274+Sens!H1356</f>
        <v>114.619313726173</v>
      </c>
      <c r="I1358" s="6" t="n">
        <f aca="false">Sens!I1274+Sens!I1356</f>
        <v>141.355548358132</v>
      </c>
      <c r="J1358" s="6" t="n">
        <f aca="false">Sens!J1274+Sens!J1356</f>
        <v>161.493738251046</v>
      </c>
      <c r="K1358" s="6" t="n">
        <f aca="false">Sens!K1274+Sens!K1356</f>
        <v>175.54170817689</v>
      </c>
    </row>
    <row r="1359" customFormat="false" ht="17.15" hidden="false" customHeight="false" outlineLevel="0" collapsed="false">
      <c r="A1359" s="1" t="s">
        <v>952</v>
      </c>
      <c r="B1359" s="0" t="s">
        <v>98</v>
      </c>
      <c r="F1359" s="6" t="n">
        <f aca="false">Sens!F1301*sbc_r</f>
        <v>15.4534145835049</v>
      </c>
      <c r="G1359" s="6" t="n">
        <f aca="false">Sens!G1301*sbc_r</f>
        <v>18.9462944653363</v>
      </c>
      <c r="H1359" s="6" t="n">
        <f aca="false">Sens!H1301*sbc_r</f>
        <v>22.7170582267579</v>
      </c>
      <c r="I1359" s="6" t="n">
        <f aca="false">Sens!I1301*sbc_r</f>
        <v>25.9208005460506</v>
      </c>
      <c r="J1359" s="6" t="n">
        <f aca="false">Sens!J1301*sbc_r</f>
        <v>28.4961409387841</v>
      </c>
      <c r="K1359" s="6" t="n">
        <f aca="false">Sens!K1301*sbc_r</f>
        <v>30.5568018746952</v>
      </c>
    </row>
    <row r="1360" customFormat="false" ht="17.15" hidden="false" customHeight="false" outlineLevel="0" collapsed="false">
      <c r="A1360" s="1" t="s">
        <v>953</v>
      </c>
      <c r="B1360" s="0" t="s">
        <v>98</v>
      </c>
      <c r="F1360" s="6" t="n">
        <f aca="false">wc27</f>
        <v>-4.895</v>
      </c>
      <c r="G1360" s="6" t="n">
        <f aca="false">wc_f</f>
        <v>0</v>
      </c>
      <c r="H1360" s="6" t="n">
        <f aca="false">wc_f</f>
        <v>0</v>
      </c>
      <c r="I1360" s="6" t="n">
        <f aca="false">wc_f</f>
        <v>0</v>
      </c>
      <c r="J1360" s="6" t="n">
        <f aca="false">wc_f</f>
        <v>0</v>
      </c>
      <c r="K1360" s="6" t="n">
        <f aca="false">wc_f</f>
        <v>0</v>
      </c>
      <c r="L1360" s="11" t="s">
        <v>954</v>
      </c>
    </row>
    <row r="1361" customFormat="false" ht="15" hidden="false" customHeight="false" outlineLevel="0" collapsed="false">
      <c r="A1361" s="1" t="s">
        <v>767</v>
      </c>
      <c r="B1361" s="0" t="s">
        <v>98</v>
      </c>
      <c r="E1361" s="6" t="n">
        <f aca="false">Q!M35</f>
        <v>182.935</v>
      </c>
      <c r="F1361" s="6" t="n">
        <f aca="false">Sens!F1355+Sens!F1358+Sens!F1359+Sens!F1360</f>
        <v>220.76488480831</v>
      </c>
      <c r="G1361" s="6" t="n">
        <f aca="false">Sens!G1355+Sens!G1358+Sens!G1359+Sens!G1360</f>
        <v>285.789946868267</v>
      </c>
      <c r="H1361" s="6" t="n">
        <f aca="false">Sens!H1355+Sens!H1358+Sens!H1359+Sens!H1360</f>
        <v>352.899486758948</v>
      </c>
      <c r="I1361" s="6" t="n">
        <f aca="false">Sens!I1355+Sens!I1358+Sens!I1359+Sens!I1360</f>
        <v>409.091184268088</v>
      </c>
      <c r="J1361" s="6" t="n">
        <f aca="false">Sens!J1355+Sens!J1358+Sens!J1359+Sens!J1360</f>
        <v>453.879407208875</v>
      </c>
      <c r="K1361" s="6" t="n">
        <f aca="false">Sens!K1355+Sens!K1358+Sens!K1359+Sens!K1360</f>
        <v>489.370671337169</v>
      </c>
    </row>
    <row r="1362" customFormat="false" ht="17.15" hidden="false" customHeight="false" outlineLevel="0" collapsed="false">
      <c r="A1362" s="0" t="s">
        <v>955</v>
      </c>
      <c r="B1362" s="0" t="s">
        <v>98</v>
      </c>
      <c r="F1362" s="6" t="n">
        <f aca="false">Sens!F1271</f>
        <v>160.332875871467</v>
      </c>
      <c r="G1362" s="6" t="n">
        <f aca="false">Sens!G1271</f>
        <v>183.5741804832</v>
      </c>
      <c r="H1362" s="6" t="n">
        <f aca="false">Sens!H1271</f>
        <v>188.0802859104</v>
      </c>
      <c r="I1362" s="6" t="n">
        <f aca="false">Sens!I1271</f>
        <v>163.706669154245</v>
      </c>
      <c r="J1362" s="6" t="n">
        <f aca="false">Sens!J1271</f>
        <v>127.181436594242</v>
      </c>
      <c r="K1362" s="6" t="n">
        <f aca="false">Sens!K1271</f>
        <v>121.407415303591</v>
      </c>
    </row>
    <row r="1363" customFormat="false" ht="17.15" hidden="false" customHeight="false" outlineLevel="0" collapsed="false">
      <c r="A1363" s="1" t="s">
        <v>956</v>
      </c>
      <c r="B1363" s="0" t="s">
        <v>98</v>
      </c>
      <c r="E1363" s="6" t="n">
        <f aca="false">Sens!E1279*cx_azo+Sens!E1286*cx_m365+Sens!E1287*cx_lic+(Sens!E1289+Sens!E1291)*cx_ind+Sens!E1294*cx_srch+(Sens!E1296+Sens!E1298)*cx_dev</f>
        <v>30.1846587067718</v>
      </c>
      <c r="F1363" s="6" t="n">
        <f aca="false">Sens!F1279*cx_azo+Sens!F1286*cx_m365+Sens!F1287*cx_lic+(Sens!F1289+Sens!F1291)*cx_ind+Sens!F1294*cx_srch+(Sens!F1296+Sens!F1298)*cx_dev</f>
        <v>35.7293472295625</v>
      </c>
      <c r="G1363" s="6" t="n">
        <f aca="false">Sens!G1279*cx_azo+Sens!G1286*cx_m365+Sens!G1287*cx_lic+(Sens!G1289+Sens!G1291)*cx_ind+Sens!G1294*cx_srch+(Sens!G1296+Sens!G1298)*cx_dev</f>
        <v>41.6028935703892</v>
      </c>
      <c r="H1363" s="6" t="n">
        <f aca="false">Sens!H1279*cx_azo+Sens!H1286*cx_m365+Sens!H1287*cx_lic+(Sens!H1289+Sens!H1291)*cx_ind+Sens!H1294*cx_srch+(Sens!H1296+Sens!H1298)*cx_dev</f>
        <v>47.5615136440897</v>
      </c>
      <c r="I1363" s="6" t="n">
        <f aca="false">Sens!I1279*cx_azo+Sens!I1286*cx_m365+Sens!I1287*cx_lic+(Sens!I1289+Sens!I1291)*cx_ind+Sens!I1294*cx_srch+(Sens!I1296+Sens!I1298)*cx_dev</f>
        <v>53.1734003116439</v>
      </c>
      <c r="J1363" s="6" t="n">
        <f aca="false">Sens!J1279*cx_azo+Sens!J1286*cx_m365+Sens!J1287*cx_lic+(Sens!J1289+Sens!J1291)*cx_ind+Sens!J1294*cx_srch+(Sens!J1296+Sens!J1298)*cx_dev</f>
        <v>58.2059132503738</v>
      </c>
      <c r="K1363" s="6" t="n">
        <f aca="false">Sens!K1279*cx_azo+Sens!K1286*cx_m365+Sens!K1287*cx_lic+(Sens!K1289+Sens!K1291)*cx_ind+Sens!K1294*cx_srch+(Sens!K1296+Sens!K1298)*cx_dev</f>
        <v>62.643702741994</v>
      </c>
    </row>
    <row r="1364" customFormat="false" ht="17.15" hidden="false" customHeight="false" outlineLevel="0" collapsed="false">
      <c r="A1364" s="0" t="s">
        <v>957</v>
      </c>
      <c r="B1364" s="0" t="s">
        <v>98</v>
      </c>
      <c r="F1364" s="6" t="n">
        <f aca="false">Sens!F1269</f>
        <v>8.13777689897088</v>
      </c>
      <c r="L1364" s="1" t="s">
        <v>958</v>
      </c>
    </row>
    <row r="1365" customFormat="false" ht="17.15" hidden="false" customHeight="false" outlineLevel="0" collapsed="false">
      <c r="A1365" s="1" t="s">
        <v>959</v>
      </c>
      <c r="B1365" s="0" t="s">
        <v>98</v>
      </c>
      <c r="E1365" s="6" t="n">
        <f aca="false">Q!M42</f>
        <v>145.3</v>
      </c>
      <c r="F1365" s="6" t="n">
        <f aca="false">Sens!F1362+Sens!F1363+Sens!F1364</f>
        <v>204.2</v>
      </c>
      <c r="G1365" s="6" t="n">
        <f aca="false">Sens!G1362+Sens!G1363</f>
        <v>225.177074053589</v>
      </c>
      <c r="H1365" s="6" t="n">
        <f aca="false">Sens!H1362+Sens!H1363</f>
        <v>235.64179955449</v>
      </c>
      <c r="I1365" s="6" t="n">
        <f aca="false">Sens!I1362+Sens!I1363</f>
        <v>216.880069465889</v>
      </c>
      <c r="J1365" s="6" t="n">
        <f aca="false">Sens!J1362+Sens!J1363</f>
        <v>185.387349844616</v>
      </c>
      <c r="K1365" s="6" t="n">
        <f aca="false">Sens!K1362+Sens!K1363</f>
        <v>184.051118045585</v>
      </c>
      <c r="L1365" s="1" t="s">
        <v>960</v>
      </c>
    </row>
    <row r="1366" customFormat="false" ht="15" hidden="false" customHeight="false" outlineLevel="0" collapsed="false">
      <c r="A1366" s="1" t="s">
        <v>961</v>
      </c>
      <c r="B1366" s="0" t="s">
        <v>98</v>
      </c>
      <c r="E1366" s="6" t="n">
        <f aca="false">fl_liab</f>
        <v>66.594</v>
      </c>
      <c r="F1366" s="6" t="n">
        <f aca="false">Sens!E1366-Sens!F1367</f>
        <v>62.46973</v>
      </c>
      <c r="G1366" s="6" t="n">
        <f aca="false">Sens!F1366-Sens!G1367</f>
        <v>57.98686785</v>
      </c>
      <c r="H1366" s="6" t="n">
        <f aca="false">Sens!G1366-Sens!H1367</f>
        <v>53.92827690325</v>
      </c>
      <c r="I1366" s="6" t="n">
        <f aca="false">Sens!H1366-Sens!I1367</f>
        <v>49.7850493638962</v>
      </c>
      <c r="J1366" s="6" t="n">
        <f aca="false">Sens!I1366-Sens!J1367</f>
        <v>45.4823765852716</v>
      </c>
      <c r="K1366" s="6" t="n">
        <f aca="false">Sens!J1366-Sens!K1367</f>
        <v>40.9860835316088</v>
      </c>
    </row>
    <row r="1367" customFormat="false" ht="15" hidden="false" customHeight="false" outlineLevel="0" collapsed="false">
      <c r="A1367" s="1" t="s">
        <v>962</v>
      </c>
      <c r="B1367" s="0" t="s">
        <v>98</v>
      </c>
      <c r="F1367" s="6" t="n">
        <f aca="false">fl_pay_27-Sens!E1366*fl_rate</f>
        <v>4.12427</v>
      </c>
      <c r="G1367" s="6" t="n">
        <f aca="false">fl_pay_28-Sens!F1366*fl_rate</f>
        <v>4.48286215</v>
      </c>
      <c r="H1367" s="6" t="n">
        <f aca="false">fl_pay_29-Sens!G1366*fl_rate</f>
        <v>4.05859094675</v>
      </c>
      <c r="I1367" s="6" t="n">
        <f aca="false">fl_pay_30-Sens!H1366*fl_rate</f>
        <v>4.14322753935375</v>
      </c>
      <c r="J1367" s="6" t="n">
        <f aca="false">fl_pay_31-Sens!I1366*fl_rate</f>
        <v>4.30267277862467</v>
      </c>
      <c r="K1367" s="6" t="n">
        <f aca="false">fl_pay_32-Sens!J1366*fl_rate</f>
        <v>4.49629305366278</v>
      </c>
    </row>
    <row r="1368" customFormat="false" ht="17.15" hidden="false" customHeight="false" outlineLevel="0" collapsed="false">
      <c r="A1368" s="1" t="s">
        <v>963</v>
      </c>
      <c r="B1368" s="0" t="s">
        <v>98</v>
      </c>
      <c r="E1368" s="6" t="n">
        <f aca="false">Q!M35-Q!M36-Q!M43</f>
        <v>63.886</v>
      </c>
      <c r="F1368" s="6" t="n">
        <f aca="false">Sens!F1361-Sens!F1365-Sens!F1367</f>
        <v>12.44061480831</v>
      </c>
      <c r="G1368" s="6" t="n">
        <f aca="false">Sens!G1361-Sens!G1365-Sens!G1367</f>
        <v>56.1300106646773</v>
      </c>
      <c r="H1368" s="6" t="n">
        <f aca="false">Sens!H1361-Sens!H1365-Sens!H1367</f>
        <v>113.199096257709</v>
      </c>
      <c r="I1368" s="6" t="n">
        <f aca="false">Sens!I1361-Sens!I1365-Sens!I1367</f>
        <v>188.067887262845</v>
      </c>
      <c r="J1368" s="6" t="n">
        <f aca="false">Sens!J1361-Sens!J1365-Sens!J1367</f>
        <v>264.189384585635</v>
      </c>
      <c r="K1368" s="6" t="n">
        <f aca="false">Sens!K1361-Sens!K1365-Sens!K1367</f>
        <v>300.823260237922</v>
      </c>
      <c r="L1368" s="11" t="s">
        <v>964</v>
      </c>
    </row>
    <row r="1369" customFormat="false" ht="15" hidden="false" customHeight="false" outlineLevel="0" collapsed="false">
      <c r="A1369" s="1" t="s">
        <v>965</v>
      </c>
      <c r="B1369" s="0" t="s">
        <v>75</v>
      </c>
      <c r="F1369" s="8" t="n">
        <f aca="false">dps_27</f>
        <v>3.85</v>
      </c>
      <c r="G1369" s="8" t="n">
        <f aca="false">Sens!F1369*(1+dps_g)</f>
        <v>4.158</v>
      </c>
      <c r="H1369" s="8" t="n">
        <f aca="false">Sens!G1369*(1+dps_g)</f>
        <v>4.49064</v>
      </c>
      <c r="I1369" s="8" t="n">
        <f aca="false">Sens!H1369*(1+dps_g)</f>
        <v>4.8498912</v>
      </c>
      <c r="J1369" s="8" t="n">
        <f aca="false">Sens!I1369*(1+dps_g)</f>
        <v>5.237882496</v>
      </c>
      <c r="K1369" s="8" t="n">
        <f aca="false">Sens!J1369*(1+dps_g)</f>
        <v>5.65691309568</v>
      </c>
    </row>
    <row r="1370" customFormat="false" ht="17.15" hidden="false" customHeight="false" outlineLevel="0" collapsed="false">
      <c r="A1370" s="1" t="s">
        <v>966</v>
      </c>
      <c r="B1370" s="0" t="s">
        <v>98</v>
      </c>
      <c r="E1370" s="6" t="n">
        <f aca="false">Q!M41</f>
        <v>26.445</v>
      </c>
      <c r="F1370" s="6" t="n">
        <f aca="false">Sens!F1369*Sens!E1379</f>
        <v>28.59395</v>
      </c>
      <c r="G1370" s="6" t="n">
        <f aca="false">Sens!G1369*Sens!F1379</f>
        <v>31.0577608428618</v>
      </c>
      <c r="H1370" s="6" t="n">
        <f aca="false">Sens!H1369*Sens!G1379</f>
        <v>33.5771546462902</v>
      </c>
      <c r="I1370" s="6" t="n">
        <f aca="false">Sens!I1369*Sens!H1379</f>
        <v>36.3142662579928</v>
      </c>
      <c r="J1370" s="6" t="n">
        <f aca="false">Sens!J1369*Sens!I1379</f>
        <v>39.2878064069517</v>
      </c>
      <c r="K1370" s="6" t="n">
        <f aca="false">Sens!K1369*Sens!J1379</f>
        <v>42.5180861448129</v>
      </c>
      <c r="L1370" s="1" t="s">
        <v>967</v>
      </c>
    </row>
    <row r="1371" customFormat="false" ht="15" hidden="false" customHeight="false" outlineLevel="0" collapsed="false">
      <c r="A1371" s="1" t="s">
        <v>968</v>
      </c>
      <c r="B1371" s="0" t="s">
        <v>98</v>
      </c>
      <c r="E1371" s="6" t="n">
        <f aca="false">Sens!E1368-Sens!E1370</f>
        <v>37.441</v>
      </c>
      <c r="F1371" s="6" t="n">
        <f aca="false">Sens!F1368-Sens!F1370</f>
        <v>-16.15333519169</v>
      </c>
      <c r="G1371" s="6" t="n">
        <f aca="false">Sens!G1368-Sens!G1370</f>
        <v>25.0722498218155</v>
      </c>
      <c r="H1371" s="6" t="n">
        <f aca="false">Sens!H1368-Sens!H1370</f>
        <v>79.6219416114187</v>
      </c>
      <c r="I1371" s="6" t="n">
        <f aca="false">Sens!I1368-Sens!I1370</f>
        <v>151.753621004853</v>
      </c>
      <c r="J1371" s="6" t="n">
        <f aca="false">Sens!J1368-Sens!J1370</f>
        <v>224.901578178683</v>
      </c>
      <c r="K1371" s="6" t="n">
        <f aca="false">Sens!K1368-Sens!K1370</f>
        <v>258.305174093109</v>
      </c>
    </row>
    <row r="1372" customFormat="false" ht="15" hidden="false" customHeight="false" outlineLevel="0" collapsed="false">
      <c r="A1372" s="1" t="s">
        <v>969</v>
      </c>
      <c r="B1372" s="0" t="s">
        <v>98</v>
      </c>
      <c r="F1372" s="6" t="n">
        <f aca="false">debt_mat_27</f>
        <v>9.25</v>
      </c>
      <c r="G1372" s="6" t="n">
        <f aca="false">debt_mat_28</f>
        <v>0</v>
      </c>
      <c r="H1372" s="6" t="n">
        <f aca="false">debt_mat_29</f>
        <v>2.001</v>
      </c>
      <c r="I1372" s="6" t="n">
        <f aca="false">debt_mat_30</f>
        <v>0</v>
      </c>
      <c r="J1372" s="6" t="n">
        <f aca="false">debt_mat_31</f>
        <v>0.5</v>
      </c>
      <c r="K1372" s="6" t="n">
        <f aca="false">debt_mat_32</f>
        <v>0</v>
      </c>
    </row>
    <row r="1373" customFormat="false" ht="15" hidden="false" customHeight="false" outlineLevel="0" collapsed="false">
      <c r="A1373" s="1" t="s">
        <v>970</v>
      </c>
      <c r="B1373" s="0" t="s">
        <v>98</v>
      </c>
      <c r="E1373" s="6" t="n">
        <f aca="false">Q!M40</f>
        <v>22.271</v>
      </c>
      <c r="F1373" s="6" t="n">
        <f aca="false">MAX(0,MIN(bb_target,Sens!E1375+Sens!F1371-Sens!F1372-min_cash))</f>
        <v>1.43966480831004</v>
      </c>
      <c r="G1373" s="6" t="n">
        <f aca="false">MAX(0,MIN(bb_target,Sens!F1375+Sens!G1371-Sens!G1372-min_cash))</f>
        <v>22.271</v>
      </c>
      <c r="H1373" s="6" t="n">
        <f aca="false">MAX(0,MIN(bb_target,Sens!G1375+Sens!H1371-Sens!H1372-min_cash))</f>
        <v>22.271</v>
      </c>
      <c r="I1373" s="6" t="n">
        <f aca="false">MAX(0,MIN(bb_target,Sens!H1375+Sens!I1371-Sens!I1372-min_cash))</f>
        <v>22.271</v>
      </c>
      <c r="J1373" s="6" t="n">
        <f aca="false">MAX(0,MIN(bb_target,Sens!I1375+Sens!J1371-Sens!J1372-min_cash))</f>
        <v>22.271</v>
      </c>
      <c r="K1373" s="6" t="n">
        <f aca="false">MAX(0,MIN(bb_target,Sens!J1375+Sens!K1371-Sens!K1372-min_cash))</f>
        <v>22.271</v>
      </c>
    </row>
    <row r="1374" customFormat="false" ht="15" hidden="false" customHeight="false" outlineLevel="0" collapsed="false">
      <c r="A1374" s="1" t="s">
        <v>971</v>
      </c>
      <c r="B1374" s="0" t="s">
        <v>98</v>
      </c>
      <c r="F1374" s="6" t="n">
        <f aca="false">MAX(0,min_cash-(Sens!E1375+Sens!F1371-Sens!F1372-Sens!F1373))</f>
        <v>0</v>
      </c>
      <c r="G1374" s="6" t="n">
        <f aca="false">MAX(0,min_cash-(Sens!F1375+Sens!G1371-Sens!G1372-Sens!G1373))</f>
        <v>0</v>
      </c>
      <c r="H1374" s="6" t="n">
        <f aca="false">MAX(0,min_cash-(Sens!G1375+Sens!H1371-Sens!H1372-Sens!H1373))</f>
        <v>0</v>
      </c>
      <c r="I1374" s="6" t="n">
        <f aca="false">MAX(0,min_cash-(Sens!H1375+Sens!I1371-Sens!I1372-Sens!I1373))</f>
        <v>0</v>
      </c>
      <c r="J1374" s="6" t="n">
        <f aca="false">MAX(0,min_cash-(Sens!I1375+Sens!J1371-Sens!J1372-Sens!J1373))</f>
        <v>0</v>
      </c>
      <c r="K1374" s="6" t="n">
        <f aca="false">MAX(0,min_cash-(Sens!J1375+Sens!K1371-Sens!K1372-Sens!K1373))</f>
        <v>0</v>
      </c>
    </row>
    <row r="1375" customFormat="false" ht="15" hidden="false" customHeight="false" outlineLevel="0" collapsed="false">
      <c r="A1375" s="1" t="s">
        <v>972</v>
      </c>
      <c r="B1375" s="0" t="s">
        <v>98</v>
      </c>
      <c r="E1375" s="6" t="n">
        <f aca="false">cash_open</f>
        <v>76.843</v>
      </c>
      <c r="F1375" s="6" t="n">
        <f aca="false">Sens!E1375+Sens!F1371-Sens!F1372-Sens!F1373+Sens!F1374</f>
        <v>50</v>
      </c>
      <c r="G1375" s="6" t="n">
        <f aca="false">Sens!F1375+Sens!G1371-Sens!G1372-Sens!G1373+Sens!G1374</f>
        <v>52.8012498218155</v>
      </c>
      <c r="H1375" s="6" t="n">
        <f aca="false">Sens!G1375+Sens!H1371-Sens!H1372-Sens!H1373+Sens!H1374</f>
        <v>108.151191433234</v>
      </c>
      <c r="I1375" s="6" t="n">
        <f aca="false">Sens!H1375+Sens!I1371-Sens!I1372-Sens!I1373+Sens!I1374</f>
        <v>237.633812438087</v>
      </c>
      <c r="J1375" s="6" t="n">
        <f aca="false">Sens!I1375+Sens!J1371-Sens!J1372-Sens!J1373+Sens!J1374</f>
        <v>439.76439061677</v>
      </c>
      <c r="K1375" s="6" t="n">
        <f aca="false">Sens!J1375+Sens!K1371-Sens!K1372-Sens!K1373+Sens!K1374</f>
        <v>675.798564709879</v>
      </c>
    </row>
    <row r="1376" customFormat="false" ht="15" hidden="false" customHeight="false" outlineLevel="0" collapsed="false">
      <c r="A1376" s="1" t="s">
        <v>973</v>
      </c>
      <c r="B1376" s="0" t="s">
        <v>98</v>
      </c>
      <c r="E1376" s="6" t="n">
        <f aca="false">debt_face</f>
        <v>46.136</v>
      </c>
      <c r="F1376" s="6" t="n">
        <f aca="false">Sens!E1376-Sens!F1372+Sens!F1374</f>
        <v>36.886</v>
      </c>
      <c r="G1376" s="6" t="n">
        <f aca="false">Sens!F1376-Sens!G1372+Sens!G1374</f>
        <v>36.886</v>
      </c>
      <c r="H1376" s="6" t="n">
        <f aca="false">Sens!G1376-Sens!H1372+Sens!H1374</f>
        <v>34.885</v>
      </c>
      <c r="I1376" s="6" t="n">
        <f aca="false">Sens!H1376-Sens!I1372+Sens!I1374</f>
        <v>34.885</v>
      </c>
      <c r="J1376" s="6" t="n">
        <f aca="false">Sens!I1376-Sens!J1372+Sens!J1374</f>
        <v>34.385</v>
      </c>
      <c r="K1376" s="6" t="n">
        <f aca="false">Sens!J1376-Sens!K1372+Sens!K1374</f>
        <v>34.385</v>
      </c>
    </row>
    <row r="1377" customFormat="false" ht="15" hidden="false" customHeight="false" outlineLevel="0" collapsed="false">
      <c r="A1377" s="1" t="s">
        <v>974</v>
      </c>
      <c r="B1377" s="0" t="s">
        <v>98</v>
      </c>
      <c r="E1377" s="6" t="n">
        <f aca="false">Sens!E1375-Sens!E1376</f>
        <v>30.707</v>
      </c>
      <c r="F1377" s="6" t="n">
        <f aca="false">Sens!F1375-Sens!F1376</f>
        <v>13.114</v>
      </c>
      <c r="G1377" s="6" t="n">
        <f aca="false">Sens!G1375-Sens!G1376</f>
        <v>15.9152498218155</v>
      </c>
      <c r="H1377" s="6" t="n">
        <f aca="false">Sens!H1375-Sens!H1376</f>
        <v>73.2661914332342</v>
      </c>
      <c r="I1377" s="6" t="n">
        <f aca="false">Sens!I1375-Sens!I1376</f>
        <v>202.748812438087</v>
      </c>
      <c r="J1377" s="6" t="n">
        <f aca="false">Sens!J1375-Sens!J1376</f>
        <v>405.37939061677</v>
      </c>
      <c r="K1377" s="6" t="n">
        <f aca="false">Sens!K1375-Sens!K1376</f>
        <v>641.413564709879</v>
      </c>
    </row>
    <row r="1378" customFormat="false" ht="15" hidden="false" customHeight="false" outlineLevel="0" collapsed="false">
      <c r="A1378" s="1" t="s">
        <v>975</v>
      </c>
      <c r="B1378" s="0" t="s">
        <v>75</v>
      </c>
      <c r="F1378" s="29" t="n">
        <f aca="false">px*(1+bb_g)^(Sens!F1240-base_fy-mid_yr)</f>
        <v>553.494156066711</v>
      </c>
      <c r="G1378" s="29" t="n">
        <f aca="false">px*(1+bb_g)^(Sens!G1240-base_fy-mid_yr)</f>
        <v>597.773688552047</v>
      </c>
      <c r="H1378" s="29" t="n">
        <f aca="false">px*(1+bb_g)^(Sens!H1240-base_fy-mid_yr)</f>
        <v>645.595583636211</v>
      </c>
      <c r="I1378" s="29" t="n">
        <f aca="false">px*(1+bb_g)^(Sens!I1240-base_fy-mid_yr)</f>
        <v>697.243230327108</v>
      </c>
      <c r="J1378" s="29" t="n">
        <f aca="false">px*(1+bb_g)^(Sens!J1240-base_fy-mid_yr)</f>
        <v>753.022688753277</v>
      </c>
      <c r="K1378" s="29" t="n">
        <f aca="false">px*(1+bb_g)^(Sens!K1240-base_fy-mid_yr)</f>
        <v>813.264503853539</v>
      </c>
    </row>
    <row r="1379" customFormat="false" ht="15" hidden="false" customHeight="false" outlineLevel="0" collapsed="false">
      <c r="A1379" s="1" t="s">
        <v>976</v>
      </c>
      <c r="B1379" s="1" t="s">
        <v>81</v>
      </c>
      <c r="E1379" s="14" t="n">
        <f aca="false">sh_out26</f>
        <v>7.427</v>
      </c>
      <c r="F1379" s="14" t="n">
        <f aca="false">Sens!E1379+sh_iss-Sens!F1373/Sens!F1378</f>
        <v>7.46939895210721</v>
      </c>
      <c r="G1379" s="14" t="n">
        <f aca="false">Sens!F1379+sh_iss-Sens!G1373/Sens!G1378</f>
        <v>7.4771423775431</v>
      </c>
      <c r="H1379" s="14" t="n">
        <f aca="false">Sens!G1379+sh_iss-Sens!H1373/Sens!H1378</f>
        <v>7.487645549243</v>
      </c>
      <c r="I1379" s="14" t="n">
        <f aca="false">Sens!H1379+sh_iss-Sens!I1373/Sens!I1378</f>
        <v>7.50070404155773</v>
      </c>
      <c r="J1379" s="14" t="n">
        <f aca="false">Sens!I1379+sh_iss-Sens!J1373/Sens!J1378</f>
        <v>7.51612857147877</v>
      </c>
      <c r="K1379" s="14" t="n">
        <f aca="false">Sens!J1379+sh_iss-Sens!K1373/Sens!K1378</f>
        <v>7.53374387696121</v>
      </c>
    </row>
    <row r="1380" customFormat="false" ht="15" hidden="false" customHeight="false" outlineLevel="0" collapsed="false">
      <c r="A1380" s="1" t="s">
        <v>977</v>
      </c>
      <c r="B1380" s="1" t="s">
        <v>81</v>
      </c>
      <c r="E1380" s="14" t="n">
        <f aca="false">sh_dil26</f>
        <v>7.453</v>
      </c>
      <c r="F1380" s="14" t="n">
        <f aca="false">(Sens!E1379+Sens!F1379)/2+dil_gap</f>
        <v>7.4721994760536</v>
      </c>
      <c r="G1380" s="14" t="n">
        <f aca="false">(Sens!F1379+Sens!G1379)/2+dil_gap</f>
        <v>7.49727066482515</v>
      </c>
      <c r="H1380" s="14" t="n">
        <f aca="false">(Sens!G1379+Sens!H1379)/2+dil_gap</f>
        <v>7.50639396339305</v>
      </c>
      <c r="I1380" s="14" t="n">
        <f aca="false">(Sens!H1379+Sens!I1379)/2+dil_gap</f>
        <v>7.51817479540037</v>
      </c>
      <c r="J1380" s="14" t="n">
        <f aca="false">(Sens!I1379+Sens!J1379)/2+dil_gap</f>
        <v>7.53241630651825</v>
      </c>
      <c r="K1380" s="14" t="n">
        <f aca="false">(Sens!J1379+Sens!K1379)/2+dil_gap</f>
        <v>7.54893622421999</v>
      </c>
    </row>
    <row r="1381" customFormat="false" ht="17.15" hidden="false" customHeight="false" outlineLevel="0" collapsed="false">
      <c r="A1381" s="1" t="s">
        <v>978</v>
      </c>
      <c r="B1381" s="0" t="s">
        <v>98</v>
      </c>
      <c r="C1381" s="6" t="n">
        <f aca="false">SUM(Sens!F1371:J1371)</f>
        <v>465.19605542508</v>
      </c>
    </row>
    <row r="1382" customFormat="false" ht="15" hidden="false" customHeight="false" outlineLevel="0" collapsed="false">
      <c r="A1382" s="23" t="s">
        <v>945</v>
      </c>
      <c r="B1382" s="30" t="s">
        <v>98</v>
      </c>
      <c r="C1382" s="24" t="n">
        <f aca="false">Sens!$C$1381-(Sens!F1371+Sens!G1371+Sens!H1371+Sens!I1371+Sens!J1371)</f>
        <v>0</v>
      </c>
      <c r="D1382" s="30"/>
      <c r="E1382" s="30"/>
      <c r="F1382" s="30"/>
      <c r="G1382" s="30"/>
      <c r="H1382" s="30"/>
      <c r="I1382" s="30"/>
      <c r="J1382" s="30"/>
      <c r="K1382" s="30"/>
    </row>
    <row r="1383" customFormat="false" ht="17.15" hidden="false" customHeight="false" outlineLevel="0" collapsed="false">
      <c r="A1383" s="1" t="s">
        <v>939</v>
      </c>
      <c r="B1383" s="1" t="s">
        <v>979</v>
      </c>
      <c r="C1383" s="32" t="str">
        <f aca="false">IF(SUM(Sens!F1374:J1374)&gt;0.05,"需要舉債 "&amp;TEXT(SUM(Sens!F1374:J1374),"0.0")&amp;" 十億美元","不需舉債")&amp;"；"&amp;IF(SUM(Sens!F1373:J1373)&lt;COUNT(Sens!F1373:J1373)*bb_target-0.05,"回購較每年 "&amp;TEXT(bb_target,"0.0")&amp;" 的目標少 "&amp;TEXT(COUNT(Sens!F1373:J1373)*bb_target-SUM(Sens!F1373:J1373),"0.0")&amp;" 十億美元（"&amp;TEXT(COUNTIF(Sens!F1373:J1373,"&lt;"&amp;(bb_target-0.05)),"0")&amp;" 年減少）","回購不減")</f>
        <v>不需舉債；回購較每年 22.3 的目標少 20.8 十億美元（1 年減少）</v>
      </c>
    </row>
    <row r="1384" customFormat="false" ht="17.15" hidden="false" customHeight="false" outlineLevel="0" collapsed="false">
      <c r="A1384" s="3" t="s">
        <v>1296</v>
      </c>
    </row>
    <row r="1385" customFormat="false" ht="15" hidden="false" customHeight="false" outlineLevel="0" collapsed="false">
      <c r="A1385" s="4" t="s">
        <v>43</v>
      </c>
      <c r="B1385" s="4" t="s">
        <v>65</v>
      </c>
      <c r="C1385" s="20" t="s">
        <v>799</v>
      </c>
      <c r="D1385" s="20" t="s">
        <v>800</v>
      </c>
      <c r="E1385" s="20" t="s">
        <v>801</v>
      </c>
      <c r="F1385" s="20" t="s">
        <v>802</v>
      </c>
      <c r="G1385" s="20" t="s">
        <v>803</v>
      </c>
      <c r="H1385" s="20" t="s">
        <v>804</v>
      </c>
      <c r="I1385" s="20" t="s">
        <v>805</v>
      </c>
      <c r="J1385" s="20" t="s">
        <v>806</v>
      </c>
      <c r="K1385" s="20" t="s">
        <v>807</v>
      </c>
      <c r="L1385" s="4" t="s">
        <v>47</v>
      </c>
    </row>
    <row r="1386" customFormat="false" ht="15" hidden="false" customHeight="false" outlineLevel="0" collapsed="false">
      <c r="A1386" s="1" t="s">
        <v>1057</v>
      </c>
      <c r="B1386" s="1" t="s">
        <v>235</v>
      </c>
      <c r="F1386" s="36" t="n">
        <f aca="false">Sens!F1240-base_fy-mid_yr</f>
        <v>0.5</v>
      </c>
      <c r="G1386" s="36" t="n">
        <f aca="false">Sens!G1240-base_fy-mid_yr</f>
        <v>1.5</v>
      </c>
      <c r="H1386" s="36" t="n">
        <f aca="false">Sens!H1240-base_fy-mid_yr</f>
        <v>2.5</v>
      </c>
      <c r="I1386" s="36" t="n">
        <f aca="false">Sens!I1240-base_fy-mid_yr</f>
        <v>3.5</v>
      </c>
      <c r="J1386" s="36" t="n">
        <f aca="false">Sens!J1240-base_fy-mid_yr</f>
        <v>4.5</v>
      </c>
      <c r="K1386" s="36" t="n">
        <f aca="false">Sens!K1240-base_fy-mid_yr</f>
        <v>5.5</v>
      </c>
    </row>
    <row r="1387" customFormat="false" ht="15" hidden="false" customHeight="false" outlineLevel="0" collapsed="false">
      <c r="A1387" s="1" t="s">
        <v>1058</v>
      </c>
      <c r="B1387" s="0" t="s">
        <v>185</v>
      </c>
      <c r="F1387" s="14" t="n">
        <f aca="false">1/(1+wacc)^Sens!F1386</f>
        <v>0.952193373608246</v>
      </c>
      <c r="G1387" s="14" t="n">
        <f aca="false">1/(1+wacc)^Sens!G1386</f>
        <v>0.863327280626589</v>
      </c>
      <c r="H1387" s="14" t="n">
        <f aca="false">1/(1+wacc)^Sens!H1386</f>
        <v>0.782754862754115</v>
      </c>
      <c r="I1387" s="14" t="n">
        <f aca="false">1/(1+wacc)^Sens!I1386</f>
        <v>0.709702089711011</v>
      </c>
      <c r="J1387" s="14" t="n">
        <f aca="false">1/(1+wacc)^Sens!J1386</f>
        <v>0.643467169744551</v>
      </c>
      <c r="K1387" s="14" t="n">
        <f aca="false">1/(1+wacc)^Sens!K1386</f>
        <v>0.583413807767797</v>
      </c>
    </row>
    <row r="1388" customFormat="false" ht="17.15" hidden="false" customHeight="false" outlineLevel="0" collapsed="false">
      <c r="A1388" s="1" t="s">
        <v>1059</v>
      </c>
      <c r="B1388" s="0" t="s">
        <v>98</v>
      </c>
      <c r="F1388" s="6" t="n">
        <f aca="false">Sens!F1361-Sens!F1359-Sens!F1365+Sens!F1344*(1-tax_f)</f>
        <v>7.8654577829154</v>
      </c>
      <c r="G1388" s="6" t="n">
        <f aca="false">Sens!G1361-Sens!G1359-Sens!G1365+Sens!G1344*(1-tax_f)</f>
        <v>58.7588361747417</v>
      </c>
      <c r="H1388" s="6" t="n">
        <f aca="false">Sens!H1361-Sens!H1359-Sens!H1365+Sens!H1344*(1-tax_f)</f>
        <v>123.198340230809</v>
      </c>
      <c r="I1388" s="6" t="n">
        <f aca="false">Sens!I1361-Sens!I1359-Sens!I1365+Sens!I1344*(1-tax_f)</f>
        <v>205.785661575547</v>
      </c>
      <c r="J1388" s="6" t="n">
        <f aca="false">Sens!J1361-Sens!J1359-Sens!J1365+Sens!J1344*(1-tax_f)</f>
        <v>287.221734076624</v>
      </c>
      <c r="K1388" s="6" t="n">
        <f aca="false">Sens!K1361-Sens!K1359-Sens!K1365+Sens!K1344*(1-tax_f)</f>
        <v>326.138359240633</v>
      </c>
      <c r="L1388" s="1" t="s">
        <v>1060</v>
      </c>
    </row>
    <row r="1389" customFormat="false" ht="15" hidden="false" customHeight="false" outlineLevel="0" collapsed="false">
      <c r="A1389" s="1" t="s">
        <v>1061</v>
      </c>
      <c r="B1389" s="0" t="s">
        <v>98</v>
      </c>
      <c r="F1389" s="6" t="n">
        <f aca="false">Sens!F1388*Sens!F1387</f>
        <v>7.48943678128745</v>
      </c>
      <c r="G1389" s="6" t="n">
        <f aca="false">Sens!G1388*Sens!G1387</f>
        <v>50.728106247523</v>
      </c>
      <c r="H1389" s="6" t="n">
        <f aca="false">Sens!H1388*Sens!H1387</f>
        <v>96.434099898902</v>
      </c>
      <c r="I1389" s="6" t="n">
        <f aca="false">Sens!I1388*Sens!I1387</f>
        <v>146.046514052728</v>
      </c>
      <c r="J1389" s="6" t="n">
        <f aca="false">Sens!J1388*Sens!J1387</f>
        <v>184.817756315407</v>
      </c>
      <c r="K1389" s="6" t="n">
        <f aca="false">Sens!K1388*Sens!K1387</f>
        <v>190.273622023719</v>
      </c>
    </row>
    <row r="1390" customFormat="false" ht="17.15" hidden="false" customHeight="false" outlineLevel="0" collapsed="false">
      <c r="A1390" s="1" t="s">
        <v>1062</v>
      </c>
      <c r="B1390" s="0" t="s">
        <v>98</v>
      </c>
      <c r="C1390" s="6" t="n">
        <f aca="false">SUM(Sens!F1389:K1389)</f>
        <v>675.789535319568</v>
      </c>
    </row>
    <row r="1391" customFormat="false" ht="17.15" hidden="false" customHeight="false" outlineLevel="0" collapsed="false">
      <c r="A1391" s="1" t="s">
        <v>1063</v>
      </c>
      <c r="B1391" s="0" t="s">
        <v>98</v>
      </c>
      <c r="C1391" s="6" t="n">
        <f aca="false">Sens!K1330*(1+g_tv)*(1-tax_f)</f>
        <v>345.016802182607</v>
      </c>
    </row>
    <row r="1392" customFormat="false" ht="17.15" hidden="false" customHeight="false" outlineLevel="0" collapsed="false">
      <c r="A1392" s="1" t="s">
        <v>1064</v>
      </c>
      <c r="B1392" s="0" t="s">
        <v>98</v>
      </c>
      <c r="C1392" s="6" t="n">
        <f aca="false">Sens!$C$1391*(1-g_tv/(wacc+ronic_prem))</f>
        <v>244.462448681231</v>
      </c>
    </row>
    <row r="1393" customFormat="false" ht="17.15" hidden="false" customHeight="false" outlineLevel="0" collapsed="false">
      <c r="A1393" s="1" t="s">
        <v>1065</v>
      </c>
      <c r="B1393" s="0" t="s">
        <v>98</v>
      </c>
      <c r="C1393" s="6" t="n">
        <f aca="false">Sens!$C$1392/(wacc-g_tv)</f>
        <v>3351.81178337922</v>
      </c>
    </row>
    <row r="1394" customFormat="false" ht="15" hidden="false" customHeight="false" outlineLevel="0" collapsed="false">
      <c r="A1394" s="1" t="s">
        <v>1066</v>
      </c>
      <c r="B1394" s="0" t="s">
        <v>98</v>
      </c>
      <c r="C1394" s="6" t="n">
        <f aca="false">Sens!$C$1393/(1+wacc)^(Sens!K1386+mid_yr)</f>
        <v>1862.00773903063</v>
      </c>
    </row>
    <row r="1395" customFormat="false" ht="17.15" hidden="false" customHeight="false" outlineLevel="0" collapsed="false">
      <c r="A1395" s="0" t="s">
        <v>986</v>
      </c>
      <c r="B1395" s="0" t="s">
        <v>98</v>
      </c>
      <c r="C1395" s="6" t="n">
        <f aca="false">Sens!$C$1390+Sens!$C$1394</f>
        <v>2537.7972743502</v>
      </c>
    </row>
    <row r="1396" customFormat="false" ht="15" hidden="false" customHeight="false" outlineLevel="0" collapsed="false">
      <c r="A1396" s="1" t="s">
        <v>987</v>
      </c>
      <c r="B1396" s="0" t="s">
        <v>129</v>
      </c>
      <c r="C1396" s="7" t="n">
        <f aca="false">Sens!$C$1394/Sens!$C$1395</f>
        <v>0.733710197362946</v>
      </c>
    </row>
    <row r="1397" customFormat="false" ht="17.15" hidden="false" customHeight="false" outlineLevel="0" collapsed="false">
      <c r="A1397" s="1" t="s">
        <v>1067</v>
      </c>
      <c r="B1397" s="0" t="s">
        <v>98</v>
      </c>
      <c r="C1397" s="6" t="n">
        <f aca="false">Sens!$C$1395+Sens!E1377-Sens!E1366+oai_v</f>
        <v>2672.3102743502</v>
      </c>
    </row>
    <row r="1398" customFormat="false" ht="17.15" hidden="false" customHeight="false" outlineLevel="0" collapsed="false">
      <c r="A1398" s="0" t="s">
        <v>994</v>
      </c>
      <c r="B1398" s="0" t="s">
        <v>75</v>
      </c>
      <c r="C1398" s="5" t="n">
        <f aca="false">Sens!$C$1397/sh_dil26</f>
        <v>358.554981128431</v>
      </c>
    </row>
    <row r="1399" customFormat="false" ht="15" hidden="false" customHeight="false" outlineLevel="0" collapsed="false">
      <c r="A1399" s="1" t="s">
        <v>1068</v>
      </c>
      <c r="B1399" s="0" t="s">
        <v>75</v>
      </c>
      <c r="C1399" s="8" t="n">
        <f aca="false">dps_27+Sens!G1369*roll_div_q/q_per_yr</f>
        <v>4.8895</v>
      </c>
    </row>
    <row r="1400" customFormat="false" ht="17.15" hidden="false" customHeight="false" outlineLevel="0" collapsed="false">
      <c r="A1400" s="0" t="s">
        <v>1069</v>
      </c>
      <c r="B1400" s="0" t="s">
        <v>75</v>
      </c>
      <c r="C1400" s="5" t="n">
        <f aca="false">Sens!$C$1398*(1+wacc)^t_roll-Sens!$C$1399</f>
        <v>403.409028991717</v>
      </c>
    </row>
    <row r="1401" customFormat="false" ht="17.15" hidden="false" customHeight="false" outlineLevel="0" collapsed="false">
      <c r="A1401" s="1" t="s">
        <v>1070</v>
      </c>
      <c r="B1401" s="0" t="s">
        <v>129</v>
      </c>
      <c r="F1401" s="7" t="n">
        <f aca="false">Sens!F1356/(Sens!F1301-Sens!F1257)</f>
        <v>0.0705303854989974</v>
      </c>
      <c r="G1401" s="7" t="n">
        <f aca="false">Sens!G1356/(Sens!G1301-Sens!G1257)</f>
        <v>0.0669153011130541</v>
      </c>
      <c r="H1401" s="7" t="n">
        <f aca="false">Sens!H1356/(Sens!H1301-Sens!H1257)</f>
        <v>0.0648963302688646</v>
      </c>
      <c r="I1401" s="7" t="n">
        <f aca="false">Sens!I1356/(Sens!I1301-Sens!I1257)</f>
        <v>0.0643411219550834</v>
      </c>
      <c r="J1401" s="7" t="n">
        <f aca="false">Sens!J1356/(Sens!J1301-Sens!J1257)</f>
        <v>0.0648740961982593</v>
      </c>
      <c r="K1401" s="7" t="n">
        <f aca="false">Sens!K1356/(Sens!K1301-Sens!K1257)</f>
        <v>0.0660244723636577</v>
      </c>
    </row>
    <row r="1402" customFormat="false" ht="17.15" hidden="false" customHeight="false" outlineLevel="0" collapsed="false">
      <c r="A1402" s="0" t="s">
        <v>1071</v>
      </c>
      <c r="B1402" s="0" t="s">
        <v>98</v>
      </c>
      <c r="F1402" s="6" t="n">
        <f aca="false">Sens!F1286*(al_m365+Sens!F1401+sbc_r)</f>
        <v>85.2273329859862</v>
      </c>
      <c r="G1402" s="6" t="n">
        <f aca="false">Sens!G1286*(al_m365+Sens!G1401+sbc_r)</f>
        <v>99.6892587904979</v>
      </c>
      <c r="H1402" s="6" t="n">
        <f aca="false">Sens!H1286*(al_m365+Sens!H1401+sbc_r)</f>
        <v>114.315107566414</v>
      </c>
      <c r="I1402" s="6" t="n">
        <f aca="false">Sens!I1286*(al_m365+Sens!I1401+sbc_r)</f>
        <v>127.42181750834</v>
      </c>
      <c r="J1402" s="6" t="n">
        <f aca="false">Sens!J1286*(al_m365+Sens!J1401+sbc_r)</f>
        <v>138.823999012523</v>
      </c>
      <c r="K1402" s="6" t="n">
        <f aca="false">Sens!K1286*(al_m365+Sens!K1401+sbc_r)</f>
        <v>149.845393216552</v>
      </c>
      <c r="L1402" s="11" t="s">
        <v>1072</v>
      </c>
    </row>
    <row r="1403" customFormat="false" ht="17.15" hidden="false" customHeight="false" outlineLevel="0" collapsed="false">
      <c r="A1403" s="0" t="s">
        <v>1073</v>
      </c>
      <c r="B1403" s="0" t="s">
        <v>98</v>
      </c>
      <c r="F1403" s="6" t="n">
        <f aca="false">Sens!F1287*(al_lic+Sens!F1401+sbc_r)</f>
        <v>33.5204472060294</v>
      </c>
      <c r="G1403" s="6" t="n">
        <f aca="false">Sens!G1287*(al_lic+Sens!G1401+sbc_r)</f>
        <v>34.7926166862242</v>
      </c>
      <c r="H1403" s="6" t="n">
        <f aca="false">Sens!H1287*(al_lic+Sens!H1401+sbc_r)</f>
        <v>35.9862829687409</v>
      </c>
      <c r="I1403" s="6" t="n">
        <f aca="false">Sens!I1287*(al_lic+Sens!I1401+sbc_r)</f>
        <v>37.0838788899664</v>
      </c>
      <c r="J1403" s="6" t="n">
        <f aca="false">Sens!J1287*(al_lic+Sens!J1401+sbc_r)</f>
        <v>38.0565090086839</v>
      </c>
      <c r="K1403" s="6" t="n">
        <f aca="false">Sens!K1287*(al_lic+Sens!K1401+sbc_r)</f>
        <v>38.8700352425884</v>
      </c>
    </row>
    <row r="1404" customFormat="false" ht="17.15" hidden="false" customHeight="false" outlineLevel="0" collapsed="false">
      <c r="A1404" s="0" t="s">
        <v>1074</v>
      </c>
      <c r="B1404" s="0" t="s">
        <v>98</v>
      </c>
      <c r="F1404" s="6" t="n">
        <f aca="false">Sens!F1289*(al_ind+Sens!F1401+sbc_r)</f>
        <v>9.11980018094294</v>
      </c>
      <c r="G1404" s="6" t="n">
        <f aca="false">Sens!G1289*(al_ind+Sens!G1401+sbc_r)</f>
        <v>9.88072195697034</v>
      </c>
      <c r="H1404" s="6" t="n">
        <f aca="false">Sens!H1289*(al_ind+Sens!H1401+sbc_r)</f>
        <v>10.6900815637922</v>
      </c>
      <c r="I1404" s="6" t="n">
        <f aca="false">Sens!I1289*(al_ind+Sens!I1401+sbc_r)</f>
        <v>11.5460282347577</v>
      </c>
      <c r="J1404" s="6" t="n">
        <f aca="false">Sens!J1289*(al_ind+Sens!J1401+sbc_r)</f>
        <v>12.4374767512513</v>
      </c>
      <c r="K1404" s="6" t="n">
        <f aca="false">Sens!K1289*(al_ind+Sens!K1401+sbc_r)</f>
        <v>13.3461587114563</v>
      </c>
    </row>
    <row r="1405" customFormat="false" ht="17.15" hidden="false" customHeight="false" outlineLevel="0" collapsed="false">
      <c r="A1405" s="0" t="s">
        <v>1075</v>
      </c>
      <c r="B1405" s="0" t="s">
        <v>98</v>
      </c>
      <c r="F1405" s="6" t="n">
        <f aca="false">Sens!F1291*(al_fro+Sens!F1401+sbc_r)</f>
        <v>3.58958536902212</v>
      </c>
      <c r="G1405" s="6" t="n">
        <f aca="false">Sens!G1291*(al_fro+Sens!G1401+sbc_r)</f>
        <v>3.79361306665995</v>
      </c>
      <c r="H1405" s="6" t="n">
        <f aca="false">Sens!H1291*(al_fro+Sens!H1401+sbc_r)</f>
        <v>4.02838862857902</v>
      </c>
      <c r="I1405" s="6" t="n">
        <f aca="false">Sens!I1291*(al_fro+Sens!I1401+sbc_r)</f>
        <v>4.29696179134221</v>
      </c>
      <c r="J1405" s="6" t="n">
        <f aca="false">Sens!J1291*(al_fro+Sens!J1401+sbc_r)</f>
        <v>4.59985687395741</v>
      </c>
      <c r="K1405" s="6" t="n">
        <f aca="false">Sens!K1291*(al_fro+Sens!K1401+sbc_r)</f>
        <v>4.93592238342414</v>
      </c>
    </row>
    <row r="1406" customFormat="false" ht="17.15" hidden="false" customHeight="false" outlineLevel="0" collapsed="false">
      <c r="A1406" s="0" t="s">
        <v>1076</v>
      </c>
      <c r="B1406" s="0" t="s">
        <v>98</v>
      </c>
      <c r="F1406" s="6" t="n">
        <f aca="false">Sens!F1294*(al_srch+Sens!F1401+sbc_r)</f>
        <v>11.2630849868114</v>
      </c>
      <c r="G1406" s="6" t="n">
        <f aca="false">Sens!G1294*(al_srch+Sens!G1401+sbc_r)</f>
        <v>12.3179728600437</v>
      </c>
      <c r="H1406" s="6" t="n">
        <f aca="false">Sens!H1294*(al_srch+Sens!H1401+sbc_r)</f>
        <v>13.4217853035424</v>
      </c>
      <c r="I1406" s="6" t="n">
        <f aca="false">Sens!I1294*(al_srch+Sens!I1401+sbc_r)</f>
        <v>14.565578354966</v>
      </c>
      <c r="J1406" s="6" t="n">
        <f aca="false">Sens!J1294*(al_srch+Sens!J1401+sbc_r)</f>
        <v>15.7277683722803</v>
      </c>
      <c r="K1406" s="6" t="n">
        <f aca="false">Sens!K1294*(al_srch+Sens!K1401+sbc_r)</f>
        <v>16.87683901418</v>
      </c>
    </row>
    <row r="1407" customFormat="false" ht="17.15" hidden="false" customHeight="false" outlineLevel="0" collapsed="false">
      <c r="A1407" s="0" t="s">
        <v>1077</v>
      </c>
      <c r="B1407" s="0" t="s">
        <v>98</v>
      </c>
      <c r="F1407" s="6" t="n">
        <f aca="false">Sens!F1263-Sens!F1264+Sens!F1344</f>
        <v>53.8472701864404</v>
      </c>
      <c r="G1407" s="6" t="n">
        <f aca="false">Sens!G1263-Sens!G1264+Sens!G1344</f>
        <v>104.257356858664</v>
      </c>
      <c r="H1407" s="6" t="n">
        <f aca="false">Sens!H1263-Sens!H1264+Sens!H1344</f>
        <v>163.19617432773</v>
      </c>
      <c r="I1407" s="6" t="n">
        <f aca="false">Sens!I1263-Sens!I1264+Sens!I1344</f>
        <v>210.263970615505</v>
      </c>
      <c r="J1407" s="6" t="n">
        <f aca="false">Sens!J1263-Sens!J1264+Sens!J1344</f>
        <v>243.805318766</v>
      </c>
      <c r="K1407" s="6" t="n">
        <f aca="false">Sens!K1263-Sens!K1264+Sens!K1344</f>
        <v>265.183033611155</v>
      </c>
    </row>
    <row r="1408" customFormat="false" ht="17.15" hidden="false" customHeight="false" outlineLevel="0" collapsed="false">
      <c r="A1408" s="0" t="s">
        <v>1078</v>
      </c>
      <c r="B1408" s="0" t="s">
        <v>98</v>
      </c>
      <c r="F1408" s="6" t="n">
        <f aca="false">Sens!F1323+Sens!F1344+Sens!F1274+Sens!F1401*(Sens!F1293-Sens!F1257)+sbc_r*Sens!F1293</f>
        <v>246.11833022524</v>
      </c>
      <c r="G1408" s="6" t="n">
        <f aca="false">Sens!G1323+Sens!G1344+Sens!G1274+Sens!G1401*(Sens!G1293-Sens!G1257)+sbc_r*Sens!G1293</f>
        <v>326.072352071445</v>
      </c>
      <c r="H1408" s="6" t="n">
        <f aca="false">Sens!H1323+Sens!H1344+Sens!H1274+Sens!H1401*(Sens!H1293-Sens!H1257)+sbc_r*Sens!H1293</f>
        <v>415.286962516366</v>
      </c>
      <c r="I1408" s="6" t="n">
        <f aca="false">Sens!I1323+Sens!I1344+Sens!I1274+Sens!I1401*(Sens!I1293-Sens!I1257)+sbc_r*Sens!I1293</f>
        <v>490.49454695531</v>
      </c>
      <c r="J1408" s="6" t="n">
        <f aca="false">Sens!J1323+Sens!J1344+Sens!J1274+Sens!J1401*(Sens!J1293-Sens!J1257)+sbc_r*Sens!J1293</f>
        <v>549.158379056934</v>
      </c>
      <c r="K1408" s="6" t="n">
        <f aca="false">Sens!K1323+Sens!K1344+Sens!K1274+Sens!K1401*(Sens!K1293-Sens!K1257)+sbc_r*Sens!K1293</f>
        <v>593.210088520122</v>
      </c>
    </row>
    <row r="1409" customFormat="false" ht="17.15" hidden="false" customHeight="false" outlineLevel="0" collapsed="false">
      <c r="A1409" s="0" t="s">
        <v>1079</v>
      </c>
      <c r="B1409" s="0" t="s">
        <v>98</v>
      </c>
      <c r="F1409" s="6" t="n">
        <f aca="false">Sens!F1408-Sens!F1402-Sens!F1403-Sens!F1404-Sens!F1405-Sens!F1407</f>
        <v>60.8138942968194</v>
      </c>
      <c r="G1409" s="6" t="n">
        <f aca="false">Sens!G1408-Sens!G1402-Sens!G1403-Sens!G1404-Sens!G1405-Sens!G1407</f>
        <v>73.6587847124291</v>
      </c>
      <c r="H1409" s="6" t="n">
        <f aca="false">Sens!H1408-Sens!H1402-Sens!H1403-Sens!H1404-Sens!H1405-Sens!H1407</f>
        <v>87.0709274611105</v>
      </c>
      <c r="I1409" s="6" t="n">
        <f aca="false">Sens!I1408-Sens!I1402-Sens!I1403-Sens!I1404-Sens!I1405-Sens!I1407</f>
        <v>99.8818899153986</v>
      </c>
      <c r="J1409" s="6" t="n">
        <f aca="false">Sens!J1408-Sens!J1402-Sens!J1403-Sens!J1404-Sens!J1405-Sens!J1407</f>
        <v>111.435218644518</v>
      </c>
      <c r="K1409" s="6" t="n">
        <f aca="false">Sens!K1408-Sens!K1402-Sens!K1403-Sens!K1404-Sens!K1405-Sens!K1407</f>
        <v>121.029545354946</v>
      </c>
    </row>
    <row r="1410" customFormat="false" ht="17.15" hidden="false" customHeight="false" outlineLevel="0" collapsed="false">
      <c r="A1410" s="0" t="s">
        <v>1080</v>
      </c>
      <c r="B1410" s="0" t="s">
        <v>98</v>
      </c>
      <c r="F1410" s="6" t="n">
        <f aca="false">Sens!F1325+Sens!F1401*Sens!F1300+sbc_r*Sens!F1300</f>
        <v>26.3250729833002</v>
      </c>
      <c r="G1410" s="6" t="n">
        <f aca="false">Sens!G1325+Sens!G1401*Sens!G1300+sbc_r*Sens!G1300</f>
        <v>26.8840979798844</v>
      </c>
      <c r="H1410" s="6" t="n">
        <f aca="false">Sens!H1325+Sens!H1401*Sens!H1300+sbc_r*Sens!H1300</f>
        <v>27.7254420104725</v>
      </c>
      <c r="I1410" s="6" t="n">
        <f aca="false">Sens!I1325+Sens!I1401*Sens!I1300+sbc_r*Sens!I1300</f>
        <v>28.8195303030026</v>
      </c>
      <c r="J1410" s="6" t="n">
        <f aca="false">Sens!J1325+Sens!J1401*Sens!J1300+sbc_r*Sens!J1300</f>
        <v>30.1256822206383</v>
      </c>
      <c r="K1410" s="6" t="n">
        <f aca="false">Sens!K1325+Sens!K1401*Sens!K1300+sbc_r*Sens!K1300</f>
        <v>31.5981329181227</v>
      </c>
    </row>
    <row r="1411" customFormat="false" ht="17.15" hidden="false" customHeight="false" outlineLevel="0" collapsed="false">
      <c r="A1411" s="0" t="s">
        <v>1081</v>
      </c>
      <c r="B1411" s="0" t="s">
        <v>98</v>
      </c>
      <c r="F1411" s="6" t="n">
        <f aca="false">(Sens!F1410-Sens!F1406)*Sens!F1296/(Sens!F1296+Sens!F1298)</f>
        <v>8.25683511803782</v>
      </c>
      <c r="G1411" s="6" t="n">
        <f aca="false">(Sens!G1410-Sens!G1406)*Sens!G1296/(Sens!G1296+Sens!G1298)</f>
        <v>7.84263572934781</v>
      </c>
      <c r="H1411" s="6" t="n">
        <f aca="false">(Sens!H1410-Sens!H1406)*Sens!H1296/(Sens!H1296+Sens!H1298)</f>
        <v>7.59728657715786</v>
      </c>
      <c r="I1411" s="6" t="n">
        <f aca="false">(Sens!I1410-Sens!I1406)*Sens!I1296/(Sens!I1296+Sens!I1298)</f>
        <v>7.50238476920254</v>
      </c>
      <c r="J1411" s="6" t="n">
        <f aca="false">(Sens!J1410-Sens!J1406)*Sens!J1296/(Sens!J1296+Sens!J1298)</f>
        <v>7.54388912124533</v>
      </c>
      <c r="K1411" s="6" t="n">
        <f aca="false">(Sens!K1410-Sens!K1406)*Sens!K1296/(Sens!K1296+Sens!K1298)</f>
        <v>7.71332639591206</v>
      </c>
    </row>
    <row r="1412" customFormat="false" ht="17.15" hidden="false" customHeight="false" outlineLevel="0" collapsed="false">
      <c r="A1412" s="0" t="s">
        <v>1082</v>
      </c>
      <c r="B1412" s="0" t="s">
        <v>98</v>
      </c>
      <c r="F1412" s="6" t="n">
        <f aca="false">Sens!F1410-Sens!F1406-Sens!F1411</f>
        <v>6.80515287845105</v>
      </c>
      <c r="G1412" s="6" t="n">
        <f aca="false">Sens!G1410-Sens!G1406-Sens!G1411</f>
        <v>6.72348939049287</v>
      </c>
      <c r="H1412" s="6" t="n">
        <f aca="false">Sens!H1410-Sens!H1406-Sens!H1411</f>
        <v>6.70637012977225</v>
      </c>
      <c r="I1412" s="6" t="n">
        <f aca="false">Sens!I1410-Sens!I1406-Sens!I1411</f>
        <v>6.75156717883416</v>
      </c>
      <c r="J1412" s="6" t="n">
        <f aca="false">Sens!J1410-Sens!J1406-Sens!J1411</f>
        <v>6.85402472711273</v>
      </c>
      <c r="K1412" s="6" t="n">
        <f aca="false">Sens!K1410-Sens!K1406-Sens!K1411</f>
        <v>7.00796750803058</v>
      </c>
    </row>
    <row r="1413" customFormat="false" ht="17.15" hidden="false" customHeight="false" outlineLevel="0" collapsed="false">
      <c r="A1413" s="0" t="s">
        <v>1083</v>
      </c>
      <c r="B1413" s="0" t="s">
        <v>98</v>
      </c>
      <c r="F1413" s="6" t="n">
        <f aca="false">Sens!F1407-tax_f*(Sens!F1407-Sens!F1274)-Sens!F1271</f>
        <v>-110.445082246123</v>
      </c>
      <c r="G1413" s="6" t="n">
        <f aca="false">Sens!G1407-tax_f*(Sens!G1407-Sens!G1274)-Sens!G1271</f>
        <v>-88.3432075741666</v>
      </c>
      <c r="H1413" s="6" t="n">
        <f aca="false">Sens!H1407-tax_f*(Sens!H1407-Sens!H1274)-Sens!H1271</f>
        <v>-40.2511424795541</v>
      </c>
      <c r="I1413" s="6" t="n">
        <f aca="false">Sens!I1407-tax_f*(Sens!I1407-Sens!I1274)-Sens!I1271</f>
        <v>26.6256561046374</v>
      </c>
      <c r="J1413" s="6" t="n">
        <f aca="false">Sens!J1407-tax_f*(Sens!J1407-Sens!J1274)-Sens!J1271</f>
        <v>93.4624829891264</v>
      </c>
      <c r="K1413" s="6" t="n">
        <f aca="false">Sens!K1407-tax_f*(Sens!K1407-Sens!K1274)-Sens!K1271</f>
        <v>118.565304394195</v>
      </c>
    </row>
    <row r="1414" customFormat="false" ht="17.15" hidden="false" customHeight="false" outlineLevel="0" collapsed="false">
      <c r="A1414" s="0" t="s">
        <v>1084</v>
      </c>
      <c r="B1414" s="0" t="s">
        <v>98</v>
      </c>
      <c r="G1414" s="6" t="n">
        <f aca="false">Sens!G1413/(1+wacc)^(Sens!G1386-(Sens!F1386+mid_yr))</f>
        <v>-84.1198168554193</v>
      </c>
      <c r="H1414" s="6" t="n">
        <f aca="false">Sens!H1413/(1+wacc)^(Sens!H1386-(Sens!F1386+mid_yr))</f>
        <v>-34.7499093789868</v>
      </c>
      <c r="I1414" s="6" t="n">
        <f aca="false">Sens!I1413/(1+wacc)^(Sens!I1386-(Sens!F1386+mid_yr))</f>
        <v>20.8413617899237</v>
      </c>
      <c r="J1414" s="6" t="n">
        <f aca="false">Sens!J1413/(1+wacc)^(Sens!J1386-(Sens!F1386+mid_yr))</f>
        <v>66.3305194869628</v>
      </c>
      <c r="K1414" s="6" t="n">
        <f aca="false">Sens!K1413/(1+wacc)^(Sens!K1386-(Sens!F1386+mid_yr))</f>
        <v>76.2928808484339</v>
      </c>
      <c r="L1414" s="1" t="s">
        <v>1085</v>
      </c>
    </row>
    <row r="1415" customFormat="false" ht="17.15" hidden="false" customHeight="false" outlineLevel="0" collapsed="false">
      <c r="A1415" s="0" t="s">
        <v>1086</v>
      </c>
      <c r="B1415" s="0" t="s">
        <v>98</v>
      </c>
      <c r="C1415" s="6" t="n">
        <f aca="false">(Sens!K1407-Sens!K1274)*(1-tax_f)*(1+g_tv)*(1-g_tv/(wacc+ronic_prem))/(wacc-g_tv)/(1+wacc)^(Sens!K1386+mid_yr-(Sens!F1386+mid_yr))</f>
        <v>618.253232766015</v>
      </c>
    </row>
    <row r="1416" customFormat="false" ht="17.15" hidden="false" customHeight="false" outlineLevel="0" collapsed="false">
      <c r="A1416" s="1" t="s">
        <v>1087</v>
      </c>
      <c r="B1416" s="0" t="s">
        <v>98</v>
      </c>
      <c r="C1416" s="6" t="n">
        <f aca="false">(SUM(Sens!G1414:K1414)+Sens!$C$1415)*(1+wacc)^(t_roll-(Sens!F1386+mid_yr))</f>
        <v>684.362952101372</v>
      </c>
      <c r="L1416" s="11" t="s">
        <v>1088</v>
      </c>
    </row>
    <row r="1417" customFormat="false" ht="17.15" hidden="false" customHeight="false" outlineLevel="0" collapsed="false">
      <c r="A1417" s="1" t="s">
        <v>1089</v>
      </c>
      <c r="B1417" s="0" t="s">
        <v>98</v>
      </c>
      <c r="C1417" s="6" t="n">
        <f aca="false">(w_ntm28*Sens!G1263+(1-w_ntm28)*Sens!H1263)*m_ai</f>
        <v>657.030532612473</v>
      </c>
    </row>
    <row r="1418" customFormat="false" ht="17.15" hidden="false" customHeight="false" outlineLevel="0" collapsed="false">
      <c r="A1418" s="1" t="s">
        <v>1090</v>
      </c>
      <c r="B1418" s="0" t="s">
        <v>98</v>
      </c>
      <c r="C1418" s="6" t="n">
        <f aca="false">(w_ntm28*Sens!G1409+(1-w_ntm28)*Sens!H1409)*m_cloud</f>
        <v>1077.88765379108</v>
      </c>
    </row>
    <row r="1419" customFormat="false" ht="17.15" hidden="false" customHeight="false" outlineLevel="0" collapsed="false">
      <c r="A1419" s="1" t="s">
        <v>1091</v>
      </c>
      <c r="B1419" s="0" t="s">
        <v>98</v>
      </c>
      <c r="C1419" s="6" t="n">
        <f aca="false">(w_ntm28*Sens!G1402+(1-w_ntm28)*Sens!H1402)*m_sw</f>
        <v>1127.71024611553</v>
      </c>
    </row>
    <row r="1420" customFormat="false" ht="17.15" hidden="false" customHeight="false" outlineLevel="0" collapsed="false">
      <c r="A1420" s="1" t="s">
        <v>1092</v>
      </c>
      <c r="B1420" s="0" t="s">
        <v>98</v>
      </c>
      <c r="C1420" s="6" t="n">
        <f aca="false">(w_ntm28*Sens!G1403+(1-w_ntm28)*Sens!H1403)*m_sw</f>
        <v>379.927954212425</v>
      </c>
    </row>
    <row r="1421" customFormat="false" ht="17.15" hidden="false" customHeight="false" outlineLevel="0" collapsed="false">
      <c r="A1421" s="1" t="s">
        <v>1093</v>
      </c>
      <c r="B1421" s="0" t="s">
        <v>98</v>
      </c>
      <c r="C1421" s="6" t="n">
        <f aca="false">(w_ntm28*Sens!G1404+(1-w_ntm28)*Sens!H1404)*m_sw</f>
        <v>109.537681746057</v>
      </c>
    </row>
    <row r="1422" customFormat="false" ht="17.15" hidden="false" customHeight="false" outlineLevel="0" collapsed="false">
      <c r="A1422" s="1" t="s">
        <v>1094</v>
      </c>
      <c r="B1422" s="0" t="s">
        <v>98</v>
      </c>
      <c r="C1422" s="6" t="n">
        <f aca="false">(w_ntm28*Sens!G1405+(1-w_ntm28)*Sens!H1405)*m_sw</f>
        <v>41.7907416024197</v>
      </c>
    </row>
    <row r="1423" customFormat="false" ht="17.15" hidden="false" customHeight="false" outlineLevel="0" collapsed="false">
      <c r="A1423" s="1" t="s">
        <v>1095</v>
      </c>
      <c r="B1423" s="0" t="s">
        <v>98</v>
      </c>
      <c r="C1423" s="6" t="n">
        <f aca="false">(w_ntm28*Sens!G1406+(1-w_ntm28)*Sens!H1406)*m_ads</f>
        <v>115.467626729004</v>
      </c>
    </row>
    <row r="1424" customFormat="false" ht="17.15" hidden="false" customHeight="false" outlineLevel="0" collapsed="false">
      <c r="A1424" s="1" t="s">
        <v>1096</v>
      </c>
      <c r="B1424" s="0" t="s">
        <v>98</v>
      </c>
      <c r="C1424" s="6" t="n">
        <f aca="false">(w_ntm28*Sens!G1411+(1-w_ntm28)*Sens!H1411)*m_game</f>
        <v>98.0506984247457</v>
      </c>
    </row>
    <row r="1425" customFormat="false" ht="17.15" hidden="false" customHeight="false" outlineLevel="0" collapsed="false">
      <c r="A1425" s="1" t="s">
        <v>1097</v>
      </c>
      <c r="B1425" s="0" t="s">
        <v>98</v>
      </c>
      <c r="C1425" s="6" t="n">
        <f aca="false">(w_ntm28*Sens!G1412+(1-w_ntm28)*Sens!H1412)*m_pc</f>
        <v>97.2088080478016</v>
      </c>
    </row>
    <row r="1426" customFormat="false" ht="17.15" hidden="false" customHeight="false" outlineLevel="0" collapsed="false">
      <c r="A1426" s="1" t="s">
        <v>1098</v>
      </c>
      <c r="B1426" s="0" t="s">
        <v>98</v>
      </c>
      <c r="C1426" s="6" t="n">
        <f aca="false">Sens!$C$1416+Sens!$C$1418+Sens!$C$1419+Sens!$C$1420+Sens!$C$1421+Sens!$C$1422+Sens!$C$1423+Sens!$C$1424+Sens!$C$1425</f>
        <v>3731.94436277044</v>
      </c>
    </row>
    <row r="1427" customFormat="false" ht="17.15" hidden="false" customHeight="false" outlineLevel="0" collapsed="false">
      <c r="A1427" s="1" t="s">
        <v>1099</v>
      </c>
      <c r="B1427" s="0" t="s">
        <v>98</v>
      </c>
      <c r="C1427" s="6" t="n">
        <f aca="false">(Sens!G1388-Sens!G1413)*t_stub</f>
        <v>47.9592964551235</v>
      </c>
      <c r="L1427" s="1" t="s">
        <v>1100</v>
      </c>
    </row>
    <row r="1428" customFormat="false" ht="17.15" hidden="false" customHeight="false" outlineLevel="0" collapsed="false">
      <c r="A1428" s="1" t="s">
        <v>1014</v>
      </c>
      <c r="B1428" s="0" t="s">
        <v>98</v>
      </c>
      <c r="C1428" s="6" t="n">
        <f aca="false">Sens!F1377+oai_v-Sens!F1366+Sens!$C$1427</f>
        <v>169.003566455124</v>
      </c>
      <c r="L1428" s="1" t="s">
        <v>1101</v>
      </c>
    </row>
    <row r="1429" customFormat="false" ht="17.15" hidden="false" customHeight="false" outlineLevel="0" collapsed="false">
      <c r="A1429" s="1" t="s">
        <v>1102</v>
      </c>
      <c r="B1429" s="0" t="s">
        <v>75</v>
      </c>
      <c r="C1429" s="5" t="n">
        <f aca="false">(Sens!$C$1426+Sens!$C$1428)/(Sens!F1379+dil_gap)-Sens!G1369*roll_div_q/q_per_yr</f>
        <v>519.545077727386</v>
      </c>
      <c r="L1429" s="1" t="s">
        <v>1103</v>
      </c>
    </row>
    <row r="1430" customFormat="false" ht="17.15" hidden="false" customHeight="false" outlineLevel="0" collapsed="false">
      <c r="A1430" s="1" t="s">
        <v>1104</v>
      </c>
      <c r="B1430" s="0" t="s">
        <v>75</v>
      </c>
      <c r="C1430" s="5" t="n">
        <f aca="false">w_dcf*Sens!$C$1400+(1-w_dcf)*Sens!$C$1429</f>
        <v>461.477053359552</v>
      </c>
    </row>
    <row r="1431" customFormat="false" ht="17.15" hidden="false" customHeight="false" outlineLevel="0" collapsed="false">
      <c r="A1431" s="3" t="s">
        <v>1297</v>
      </c>
    </row>
    <row r="1432" customFormat="false" ht="15" hidden="false" customHeight="false" outlineLevel="0" collapsed="false">
      <c r="A1432" s="4" t="s">
        <v>43</v>
      </c>
      <c r="B1432" s="4" t="s">
        <v>65</v>
      </c>
      <c r="C1432" s="20" t="s">
        <v>799</v>
      </c>
      <c r="D1432" s="20" t="s">
        <v>800</v>
      </c>
      <c r="E1432" s="20" t="s">
        <v>801</v>
      </c>
      <c r="F1432" s="20" t="s">
        <v>802</v>
      </c>
      <c r="G1432" s="20" t="s">
        <v>803</v>
      </c>
      <c r="H1432" s="20" t="s">
        <v>804</v>
      </c>
      <c r="I1432" s="20" t="s">
        <v>805</v>
      </c>
      <c r="J1432" s="20" t="s">
        <v>806</v>
      </c>
      <c r="K1432" s="20" t="s">
        <v>807</v>
      </c>
      <c r="L1432" s="4" t="s">
        <v>47</v>
      </c>
    </row>
    <row r="1433" customFormat="false" ht="17.15" hidden="false" customHeight="false" outlineLevel="0" collapsed="false">
      <c r="A1433" s="1" t="s">
        <v>808</v>
      </c>
      <c r="B1433" s="1" t="s">
        <v>235</v>
      </c>
      <c r="C1433" s="28" t="n">
        <v>2024</v>
      </c>
      <c r="D1433" s="28" t="n">
        <v>2025</v>
      </c>
      <c r="E1433" s="28" t="n">
        <v>2026</v>
      </c>
      <c r="F1433" s="28" t="n">
        <v>2027</v>
      </c>
      <c r="G1433" s="28" t="n">
        <v>2028</v>
      </c>
      <c r="H1433" s="28" t="n">
        <v>2029</v>
      </c>
      <c r="I1433" s="28" t="n">
        <v>2030</v>
      </c>
      <c r="J1433" s="28" t="n">
        <v>2031</v>
      </c>
      <c r="K1433" s="28" t="n">
        <v>2032</v>
      </c>
    </row>
    <row r="1434" customFormat="false" ht="17.15" hidden="false" customHeight="false" outlineLevel="0" collapsed="false">
      <c r="A1434" s="1" t="s">
        <v>809</v>
      </c>
      <c r="B1434" s="0" t="s">
        <v>399</v>
      </c>
      <c r="F1434" s="29" t="n">
        <f aca="false">pace</f>
        <v>2527.2</v>
      </c>
      <c r="G1434" s="29" t="n">
        <f aca="false">pace</f>
        <v>2527.2</v>
      </c>
      <c r="H1434" s="29" t="n">
        <f aca="false">pace</f>
        <v>2527.2</v>
      </c>
      <c r="I1434" s="29" t="n">
        <f aca="false">pace+(g_tv*Sens!H1435-pace)*MIN(1,(Sens!I1433-pace_y0)/(pace_y1-pace_y0))</f>
        <v>1793.116</v>
      </c>
      <c r="J1434" s="29" t="n">
        <f aca="false">pace+(g_tv*Sens!I1435-pace)*MIN(1,(Sens!J1433-pace_y0)/(pace_y1-pace_y0))</f>
        <v>1094.89432</v>
      </c>
      <c r="K1434" s="29" t="n">
        <f aca="false">pace+(g_tv*Sens!J1435-pace)*MIN(1,(Sens!K1433-pace_y0)/(pace_y1-pace_y0))</f>
        <v>411.5883096</v>
      </c>
      <c r="L1434" s="11" t="s">
        <v>810</v>
      </c>
    </row>
    <row r="1435" customFormat="false" ht="17.15" hidden="false" customHeight="false" outlineLevel="0" collapsed="false">
      <c r="A1435" s="1" t="s">
        <v>811</v>
      </c>
      <c r="B1435" s="0" t="s">
        <v>399</v>
      </c>
      <c r="C1435" s="29" t="n">
        <f aca="false">mw_ext_24</f>
        <v>640</v>
      </c>
      <c r="D1435" s="29" t="n">
        <f aca="false">mw_ext_25</f>
        <v>1630</v>
      </c>
      <c r="E1435" s="29" t="n">
        <f aca="false">mw_ext_26</f>
        <v>3250</v>
      </c>
      <c r="F1435" s="29" t="n">
        <f aca="false">Sens!E1435+Sens!F1434</f>
        <v>5777.2</v>
      </c>
      <c r="G1435" s="29" t="n">
        <f aca="false">Sens!F1435+Sens!G1434</f>
        <v>8304.4</v>
      </c>
      <c r="H1435" s="29" t="n">
        <f aca="false">Sens!G1435+Sens!H1434</f>
        <v>10831.6</v>
      </c>
      <c r="I1435" s="29" t="n">
        <f aca="false">Sens!H1435+Sens!I1434</f>
        <v>12624.716</v>
      </c>
      <c r="J1435" s="29" t="n">
        <f aca="false">Sens!I1435+Sens!J1434</f>
        <v>13719.61032</v>
      </c>
      <c r="K1435" s="29" t="n">
        <f aca="false">Sens!J1435+Sens!K1434</f>
        <v>14131.1986296</v>
      </c>
      <c r="L1435" s="1" t="s">
        <v>812</v>
      </c>
    </row>
    <row r="1436" customFormat="false" ht="17.15" hidden="false" customHeight="false" outlineLevel="0" collapsed="false">
      <c r="A1436" s="1" t="s">
        <v>813</v>
      </c>
      <c r="B1436" s="0" t="s">
        <v>399</v>
      </c>
      <c r="C1436" s="29" t="n">
        <f aca="false">rent_ext_24</f>
        <v>150</v>
      </c>
      <c r="D1436" s="29" t="n">
        <f aca="false">rent_ext_25</f>
        <v>400</v>
      </c>
      <c r="E1436" s="29" t="n">
        <f aca="false">rent_ext_26</f>
        <v>550</v>
      </c>
      <c r="F1436" s="29" t="n">
        <f aca="false">rent_ext_f</f>
        <v>756</v>
      </c>
      <c r="G1436" s="29" t="n">
        <f aca="false">rent_ext_f</f>
        <v>756</v>
      </c>
      <c r="H1436" s="29" t="n">
        <f aca="false">rent_ext_f</f>
        <v>756</v>
      </c>
      <c r="I1436" s="29" t="n">
        <f aca="false">rent_ext_f</f>
        <v>756</v>
      </c>
      <c r="J1436" s="29" t="n">
        <f aca="false">rent_ext_f</f>
        <v>756</v>
      </c>
      <c r="K1436" s="29" t="n">
        <f aca="false">rent_ext_f</f>
        <v>756</v>
      </c>
      <c r="L1436" s="1" t="s">
        <v>814</v>
      </c>
    </row>
    <row r="1437" customFormat="false" ht="17.15" hidden="false" customHeight="false" outlineLevel="0" collapsed="false">
      <c r="A1437" s="1" t="s">
        <v>815</v>
      </c>
      <c r="B1437" s="0" t="s">
        <v>399</v>
      </c>
      <c r="C1437" s="29" t="n">
        <f aca="false">Sens!C1435-Sens!C1436</f>
        <v>490</v>
      </c>
      <c r="D1437" s="29" t="n">
        <f aca="false">Sens!D1435-Sens!D1436</f>
        <v>1230</v>
      </c>
      <c r="E1437" s="29" t="n">
        <f aca="false">Sens!E1435-Sens!E1436</f>
        <v>2700</v>
      </c>
      <c r="F1437" s="29" t="n">
        <f aca="false">Sens!F1435-Sens!F1436</f>
        <v>5021.2</v>
      </c>
      <c r="G1437" s="29" t="n">
        <f aca="false">Sens!G1435-Sens!G1436</f>
        <v>7548.4</v>
      </c>
      <c r="H1437" s="29" t="n">
        <f aca="false">Sens!H1435-Sens!H1436</f>
        <v>10075.6</v>
      </c>
      <c r="I1437" s="29" t="n">
        <f aca="false">Sens!I1435-Sens!I1436</f>
        <v>11868.716</v>
      </c>
      <c r="J1437" s="29" t="n">
        <f aca="false">Sens!J1435-Sens!J1436</f>
        <v>12963.61032</v>
      </c>
      <c r="K1437" s="29" t="n">
        <f aca="false">Sens!K1435-Sens!K1436</f>
        <v>13375.1986296</v>
      </c>
    </row>
    <row r="1438" customFormat="false" ht="17.15" hidden="false" customHeight="false" outlineLevel="0" collapsed="false">
      <c r="A1438" s="1" t="s">
        <v>816</v>
      </c>
      <c r="B1438" s="0" t="s">
        <v>399</v>
      </c>
      <c r="C1438" s="29" t="n">
        <f aca="false">Sens!C1437/ext_sh</f>
        <v>816.666666666667</v>
      </c>
      <c r="D1438" s="29" t="n">
        <f aca="false">Sens!D1437/ext_sh</f>
        <v>2050</v>
      </c>
      <c r="E1438" s="29" t="n">
        <f aca="false">Sens!E1437/ext_sh</f>
        <v>4500</v>
      </c>
      <c r="F1438" s="29" t="n">
        <f aca="false">Sens!F1437/ext_sh</f>
        <v>8368.66666666667</v>
      </c>
      <c r="G1438" s="29" t="n">
        <f aca="false">Sens!G1437/ext_sh</f>
        <v>12580.6666666667</v>
      </c>
      <c r="H1438" s="29" t="n">
        <f aca="false">Sens!H1437/ext_sh</f>
        <v>16792.6666666667</v>
      </c>
      <c r="I1438" s="29" t="n">
        <f aca="false">Sens!I1437/ext_sh</f>
        <v>19781.1933333333</v>
      </c>
      <c r="J1438" s="29" t="n">
        <f aca="false">Sens!J1437/ext_sh</f>
        <v>21606.0172</v>
      </c>
      <c r="K1438" s="29" t="n">
        <f aca="false">Sens!K1437/ext_sh</f>
        <v>22291.997716</v>
      </c>
      <c r="L1438" s="1" t="s">
        <v>817</v>
      </c>
    </row>
    <row r="1439" customFormat="false" ht="17.15" hidden="false" customHeight="false" outlineLevel="0" collapsed="false">
      <c r="A1439" s="1" t="s">
        <v>818</v>
      </c>
      <c r="B1439" s="0" t="s">
        <v>399</v>
      </c>
      <c r="C1439" s="29" t="n">
        <f aca="false">Sens!C1438-Sens!C1437</f>
        <v>326.666666666667</v>
      </c>
      <c r="D1439" s="29" t="n">
        <f aca="false">Sens!D1438-Sens!D1437</f>
        <v>820</v>
      </c>
      <c r="E1439" s="29" t="n">
        <f aca="false">Sens!E1438-Sens!E1437</f>
        <v>1800</v>
      </c>
      <c r="F1439" s="29" t="n">
        <f aca="false">Sens!F1438-Sens!F1437</f>
        <v>3347.46666666667</v>
      </c>
      <c r="G1439" s="29" t="n">
        <f aca="false">Sens!G1438-Sens!G1437</f>
        <v>5032.26666666667</v>
      </c>
      <c r="H1439" s="29" t="n">
        <f aca="false">Sens!H1438-Sens!H1437</f>
        <v>6717.06666666667</v>
      </c>
      <c r="I1439" s="29" t="n">
        <f aca="false">Sens!I1438-Sens!I1437</f>
        <v>7912.47733333333</v>
      </c>
      <c r="J1439" s="29" t="n">
        <f aca="false">Sens!J1438-Sens!J1437</f>
        <v>8642.40688</v>
      </c>
      <c r="K1439" s="29" t="n">
        <f aca="false">Sens!K1438-Sens!K1437</f>
        <v>8916.7990864</v>
      </c>
    </row>
    <row r="1440" customFormat="false" ht="17.15" hidden="false" customHeight="false" outlineLevel="0" collapsed="false">
      <c r="A1440" s="1" t="s">
        <v>819</v>
      </c>
      <c r="B1440" s="0" t="s">
        <v>399</v>
      </c>
      <c r="C1440" s="29" t="n">
        <f aca="false">Sens!C1438</f>
        <v>816.666666666667</v>
      </c>
      <c r="D1440" s="29" t="n">
        <f aca="false">Sens!D1438-Sens!C1438</f>
        <v>1233.33333333333</v>
      </c>
      <c r="E1440" s="29" t="n">
        <f aca="false">Sens!E1438-Sens!D1438</f>
        <v>2450</v>
      </c>
      <c r="F1440" s="29" t="n">
        <f aca="false">Sens!F1438-Sens!E1438</f>
        <v>3868.66666666667</v>
      </c>
      <c r="G1440" s="29" t="n">
        <f aca="false">Sens!G1438-Sens!F1438</f>
        <v>4212</v>
      </c>
      <c r="H1440" s="29" t="n">
        <f aca="false">Sens!H1438-Sens!G1438</f>
        <v>4212</v>
      </c>
      <c r="I1440" s="29" t="n">
        <f aca="false">Sens!I1438-Sens!H1438</f>
        <v>2988.52666666667</v>
      </c>
      <c r="J1440" s="29" t="n">
        <f aca="false">Sens!J1438-Sens!I1438</f>
        <v>1824.82386666667</v>
      </c>
      <c r="K1440" s="29" t="n">
        <f aca="false">Sens!K1438-Sens!J1438</f>
        <v>685.980516</v>
      </c>
    </row>
    <row r="1441" customFormat="false" ht="17.15" hidden="false" customHeight="false" outlineLevel="0" collapsed="false">
      <c r="A1441" s="1" t="s">
        <v>820</v>
      </c>
      <c r="B1441" s="0" t="s">
        <v>399</v>
      </c>
      <c r="D1441" s="29" t="n">
        <f aca="false">Sens!D1435-Sens!C1435</f>
        <v>990</v>
      </c>
      <c r="E1441" s="29" t="n">
        <f aca="false">Sens!E1435-Sens!D1435</f>
        <v>1620</v>
      </c>
      <c r="F1441" s="29" t="n">
        <f aca="false">Sens!F1435-Sens!E1435</f>
        <v>2527.2</v>
      </c>
      <c r="G1441" s="29" t="n">
        <f aca="false">Sens!G1435-Sens!F1435</f>
        <v>2527.2</v>
      </c>
      <c r="H1441" s="29" t="n">
        <f aca="false">Sens!H1435-Sens!G1435</f>
        <v>2527.2</v>
      </c>
      <c r="I1441" s="29" t="n">
        <f aca="false">Sens!I1435-Sens!H1435</f>
        <v>1793.116</v>
      </c>
      <c r="J1441" s="29" t="n">
        <f aca="false">Sens!J1435-Sens!I1435</f>
        <v>1094.89432</v>
      </c>
      <c r="K1441" s="29" t="n">
        <f aca="false">Sens!K1435-Sens!J1435</f>
        <v>411.5883096</v>
      </c>
    </row>
    <row r="1442" customFormat="false" ht="17.15" hidden="false" customHeight="false" outlineLevel="0" collapsed="false">
      <c r="A1442" s="1" t="s">
        <v>821</v>
      </c>
      <c r="B1442" s="0" t="s">
        <v>399</v>
      </c>
      <c r="F1442" s="29" t="n">
        <f aca="false">Sens!F1459*ext_sh</f>
        <v>0</v>
      </c>
      <c r="G1442" s="29" t="n">
        <f aca="false">Sens!G1459*ext_sh</f>
        <v>0</v>
      </c>
      <c r="H1442" s="29" t="n">
        <f aca="false">Sens!H1459*ext_sh</f>
        <v>0</v>
      </c>
      <c r="I1442" s="29" t="n">
        <f aca="false">Sens!I1459*ext_sh</f>
        <v>490</v>
      </c>
      <c r="J1442" s="29" t="n">
        <f aca="false">Sens!J1459*ext_sh</f>
        <v>740</v>
      </c>
      <c r="K1442" s="29" t="n">
        <f aca="false">Sens!K1459*ext_sh</f>
        <v>1470</v>
      </c>
      <c r="L1442" s="1" t="s">
        <v>822</v>
      </c>
    </row>
    <row r="1443" customFormat="false" ht="17.15" hidden="false" customHeight="false" outlineLevel="0" collapsed="false">
      <c r="A1443" s="1" t="s">
        <v>823</v>
      </c>
      <c r="B1443" s="0" t="s">
        <v>399</v>
      </c>
      <c r="C1443" s="29" t="n">
        <f aca="false">mix_h*Sens!C1435</f>
        <v>128</v>
      </c>
      <c r="D1443" s="29" t="n">
        <f aca="false">mix_h*Sens!D1435</f>
        <v>326</v>
      </c>
      <c r="E1443" s="29" t="n">
        <f aca="false">mix_h*Sens!E1435</f>
        <v>650</v>
      </c>
      <c r="F1443" s="29" t="n">
        <f aca="false">Sens!E1443-Sens!F1442*mix_h</f>
        <v>650</v>
      </c>
      <c r="G1443" s="29" t="n">
        <f aca="false">Sens!F1443-Sens!G1442*mix_h</f>
        <v>650</v>
      </c>
      <c r="H1443" s="29" t="n">
        <f aca="false">Sens!G1443-Sens!H1442*mix_h</f>
        <v>650</v>
      </c>
      <c r="I1443" s="29" t="n">
        <f aca="false">Sens!H1443-Sens!I1442*mix_h</f>
        <v>552</v>
      </c>
      <c r="J1443" s="29" t="n">
        <f aca="false">Sens!I1443-Sens!J1442*mix_h</f>
        <v>404</v>
      </c>
      <c r="K1443" s="29" t="n">
        <f aca="false">Sens!J1443-Sens!K1442*mix_h</f>
        <v>110</v>
      </c>
    </row>
    <row r="1444" customFormat="false" ht="17.15" hidden="false" customHeight="false" outlineLevel="0" collapsed="false">
      <c r="A1444" s="1" t="s">
        <v>824</v>
      </c>
      <c r="B1444" s="0" t="s">
        <v>399</v>
      </c>
      <c r="C1444" s="29" t="n">
        <f aca="false">mix_g2*Sens!C1435</f>
        <v>288</v>
      </c>
      <c r="D1444" s="29" t="n">
        <f aca="false">mix_g2*Sens!D1435</f>
        <v>733.5</v>
      </c>
      <c r="E1444" s="29" t="n">
        <f aca="false">mix_g2*Sens!E1435</f>
        <v>1462.5</v>
      </c>
      <c r="F1444" s="29" t="n">
        <f aca="false">Sens!E1444-Sens!F1442*mix_g2</f>
        <v>1462.5</v>
      </c>
      <c r="G1444" s="29" t="n">
        <f aca="false">Sens!F1444-Sens!G1442*mix_g2</f>
        <v>1462.5</v>
      </c>
      <c r="H1444" s="29" t="n">
        <f aca="false">Sens!G1444-Sens!H1442*mix_g2</f>
        <v>1462.5</v>
      </c>
      <c r="I1444" s="29" t="n">
        <f aca="false">Sens!H1444-Sens!I1442*mix_g2</f>
        <v>1242</v>
      </c>
      <c r="J1444" s="29" t="n">
        <f aca="false">Sens!I1444-Sens!J1442*mix_g2</f>
        <v>909</v>
      </c>
      <c r="K1444" s="29" t="n">
        <f aca="false">Sens!J1444-Sens!K1442*mix_g2</f>
        <v>247.5</v>
      </c>
    </row>
    <row r="1445" customFormat="false" ht="17.15" hidden="false" customHeight="false" outlineLevel="0" collapsed="false">
      <c r="A1445" s="1" t="s">
        <v>825</v>
      </c>
      <c r="B1445" s="0" t="s">
        <v>399</v>
      </c>
      <c r="C1445" s="29" t="n">
        <f aca="false">mix_g3*Sens!C1435</f>
        <v>224</v>
      </c>
      <c r="D1445" s="29" t="n">
        <f aca="false">mix_g3*Sens!D1435</f>
        <v>570.5</v>
      </c>
      <c r="E1445" s="29" t="n">
        <f aca="false">mix_g3*Sens!E1435</f>
        <v>1137.5</v>
      </c>
      <c r="F1445" s="29" t="n">
        <f aca="false">Sens!E1445+(Sens!F1441+Sens!F1442)*a_g3_27-Sens!F1442*mix_g3</f>
        <v>2906.54</v>
      </c>
      <c r="G1445" s="29" t="n">
        <f aca="false">Sens!F1445+(Sens!G1441+Sens!G1442)*a_g3_28-Sens!G1442*mix_g3</f>
        <v>3664.7</v>
      </c>
      <c r="H1445" s="29" t="n">
        <f aca="false">Sens!G1445+(Sens!H1441+Sens!H1442)*a_g3_29-Sens!H1442*mix_g3</f>
        <v>3917.42</v>
      </c>
      <c r="I1445" s="29" t="n">
        <f aca="false">Sens!H1445+(Sens!I1441+Sens!I1442)*a_g3_29-Sens!I1442*mix_g3</f>
        <v>3974.2316</v>
      </c>
      <c r="J1445" s="29" t="n">
        <f aca="false">Sens!I1445+(Sens!J1441+Sens!J1442)*a_g3_29-Sens!J1442*mix_g3</f>
        <v>3898.721032</v>
      </c>
      <c r="K1445" s="29" t="n">
        <f aca="false">Sens!J1445+(Sens!K1441+Sens!K1442)*a_g3_29-Sens!K1442*mix_g3</f>
        <v>3572.37986296</v>
      </c>
    </row>
    <row r="1446" customFormat="false" ht="17.15" hidden="false" customHeight="false" outlineLevel="0" collapsed="false">
      <c r="A1446" s="1" t="s">
        <v>826</v>
      </c>
      <c r="B1446" s="0" t="s">
        <v>399</v>
      </c>
      <c r="C1446" s="29" t="n">
        <v>0</v>
      </c>
      <c r="D1446" s="29" t="n">
        <v>0</v>
      </c>
      <c r="E1446" s="29" t="n">
        <v>0</v>
      </c>
      <c r="F1446" s="29" t="n">
        <f aca="false">Sens!E1446+(Sens!F1441+Sens!F1442)*(1-a_g3_27)</f>
        <v>758.16</v>
      </c>
      <c r="G1446" s="29" t="n">
        <f aca="false">Sens!F1446+(Sens!G1441+Sens!G1442)*(1-a_g3_28)</f>
        <v>2527.2</v>
      </c>
      <c r="H1446" s="29" t="n">
        <f aca="false">Sens!G1446+(Sens!H1441+Sens!H1442)*(1-a_g3_29)</f>
        <v>4801.68</v>
      </c>
      <c r="I1446" s="29" t="n">
        <f aca="false">Sens!H1446+(Sens!I1441+Sens!I1442)*(1-a_g3_29)</f>
        <v>6856.4844</v>
      </c>
      <c r="J1446" s="29" t="n">
        <f aca="false">Sens!I1446+(Sens!J1441+Sens!J1442)*(1-a_g3_29)</f>
        <v>8507.889288</v>
      </c>
      <c r="K1446" s="29" t="n">
        <f aca="false">Sens!J1446+(Sens!K1441+Sens!K1442)*(1-a_g3_29)</f>
        <v>10201.31876664</v>
      </c>
    </row>
    <row r="1447" customFormat="false" ht="17.15" hidden="false" customHeight="false" outlineLevel="0" collapsed="false">
      <c r="A1447" s="1" t="s">
        <v>827</v>
      </c>
      <c r="B1447" s="0" t="s">
        <v>346</v>
      </c>
      <c r="C1447" s="14" t="n">
        <f aca="false">(Sens!C1443*tk_hold_h100+Sens!C1444*tk_hold_gb200+Sens!C1445*tk_hold_gb300+Sens!C1446*tk_hold_vr200)/Sens!C1435</f>
        <v>9.7235358126469</v>
      </c>
      <c r="D1447" s="14" t="n">
        <f aca="false">(Sens!D1443*tk_hold_h100+Sens!D1444*tk_hold_gb200+Sens!D1445*tk_hold_gb300+Sens!D1446*tk_hold_vr200)/Sens!D1435</f>
        <v>9.7235358126469</v>
      </c>
      <c r="E1447" s="14" t="n">
        <f aca="false">(Sens!E1443*tk_hold_h100+Sens!E1444*tk_hold_gb200+Sens!E1445*tk_hold_gb300+Sens!E1446*tk_hold_vr200)/Sens!E1435</f>
        <v>9.7235358126469</v>
      </c>
      <c r="F1447" s="14" t="n">
        <f aca="false">(Sens!F1443*tk_hold_h100+Sens!F1444*tk_hold_gb200+Sens!F1445*tk_hold_gb300+Sens!F1446*tk_hold_vr200)/Sens!F1435</f>
        <v>10.4079573161931</v>
      </c>
      <c r="G1447" s="14" t="n">
        <f aca="false">(Sens!G1443*tk_hold_h100+Sens!G1444*tk_hold_gb200+Sens!G1445*tk_hold_gb300+Sens!G1446*tk_hold_vr200)/Sens!G1435</f>
        <v>10.8388131109316</v>
      </c>
      <c r="H1447" s="14" t="n">
        <f aca="false">(Sens!H1443*tk_hold_h100+Sens!H1444*tk_hold_gb200+Sens!H1445*tk_hold_gb300+Sens!H1446*tk_hold_vr200)/Sens!H1435</f>
        <v>11.1311018388216</v>
      </c>
      <c r="I1447" s="14" t="n">
        <f aca="false">(Sens!I1443*tk_hold_h100+Sens!I1444*tk_hold_gb200+Sens!I1445*tk_hold_gb300+Sens!I1446*tk_hold_vr200)/Sens!I1435</f>
        <v>11.3594282560989</v>
      </c>
      <c r="J1447" s="14" t="n">
        <f aca="false">(Sens!J1443*tk_hold_h100+Sens!J1444*tk_hold_gb200+Sens!J1445*tk_hold_gb300+Sens!J1446*tk_hold_vr200)/Sens!J1435</f>
        <v>11.5455817917599</v>
      </c>
      <c r="K1447" s="14" t="n">
        <f aca="false">(Sens!K1443*tk_hold_h100+Sens!K1444*tk_hold_gb200+Sens!K1445*tk_hold_gb300+Sens!K1446*tk_hold_vr200)/Sens!K1435</f>
        <v>11.8078187977246</v>
      </c>
    </row>
    <row r="1448" customFormat="false" ht="17.15" hidden="false" customHeight="false" outlineLevel="0" collapsed="false">
      <c r="A1448" s="0" t="s">
        <v>828</v>
      </c>
      <c r="B1448" s="0" t="s">
        <v>185</v>
      </c>
      <c r="C1448" s="14" t="n">
        <f aca="false">k_B</f>
        <v>1.17213932619116</v>
      </c>
      <c r="D1448" s="14" t="n">
        <f aca="false">k_B</f>
        <v>1.17213932619116</v>
      </c>
      <c r="E1448" s="14" t="n">
        <f aca="false">k_B</f>
        <v>1.17213932619116</v>
      </c>
      <c r="F1448" s="14" t="n">
        <f aca="false">(k_B+((ls_B*k_long+(1-ls_B)*k_spot)-k_B)*MIN(1,(Sens!F1433-base_fy)/k_ramp))*1.15</f>
        <v>1.34796022511983</v>
      </c>
      <c r="G1448" s="14" t="n">
        <f aca="false">(k_B+((ls_B*k_long+(1-ls_B)*k_spot)-k_B)*MIN(1,(Sens!G1433-base_fy)/k_ramp))*1.15</f>
        <v>1.34796022511983</v>
      </c>
      <c r="H1448" s="14" t="n">
        <f aca="false">(k_B+((ls_B*k_long+(1-ls_B)*k_spot)-k_B)*MIN(1,(Sens!H1433-base_fy)/k_ramp))*1.15</f>
        <v>1.34796022511983</v>
      </c>
      <c r="I1448" s="14" t="n">
        <f aca="false">(k_B+((ls_B*k_long+(1-ls_B)*k_spot)-k_B)*MIN(1,(Sens!I1433-base_fy)/k_ramp))*1.15</f>
        <v>1.34796022511983</v>
      </c>
      <c r="J1448" s="14" t="n">
        <f aca="false">(k_B+((ls_B*k_long+(1-ls_B)*k_spot)-k_B)*MIN(1,(Sens!J1433-base_fy)/k_ramp))*1.15</f>
        <v>1.34796022511983</v>
      </c>
      <c r="K1448" s="14" t="n">
        <f aca="false">(k_B+((ls_B*k_long+(1-ls_B)*k_spot)-k_B)*MIN(1,(Sens!K1433-base_fy)/k_ramp))*1.15</f>
        <v>1.34796022511983</v>
      </c>
      <c r="L1448" s="1" t="s">
        <v>829</v>
      </c>
    </row>
    <row r="1449" customFormat="false" ht="17.15" hidden="false" customHeight="false" outlineLevel="0" collapsed="false">
      <c r="A1449" s="1" t="s">
        <v>830</v>
      </c>
      <c r="B1449" s="0" t="s">
        <v>346</v>
      </c>
      <c r="C1449" s="14" t="n">
        <f aca="false">Sens!C1447*Sens!C1448*chip_f</f>
        <v>11.3973387156315</v>
      </c>
      <c r="D1449" s="14" t="n">
        <f aca="false">Sens!D1447*Sens!D1448*chip_f</f>
        <v>11.3973387156315</v>
      </c>
      <c r="E1449" s="14" t="n">
        <f aca="false">Sens!E1447*Sens!E1448*chip_f</f>
        <v>11.3973387156315</v>
      </c>
      <c r="F1449" s="14" t="n">
        <f aca="false">Sens!F1447*Sens!F1448*chip_f</f>
        <v>14.0295124869732</v>
      </c>
      <c r="G1449" s="14" t="n">
        <f aca="false">Sens!G1447*Sens!G1448*chip_f</f>
        <v>14.610288961043</v>
      </c>
      <c r="H1449" s="14" t="n">
        <f aca="false">Sens!H1447*Sens!H1448*chip_f</f>
        <v>15.0042825404897</v>
      </c>
      <c r="I1449" s="14" t="n">
        <f aca="false">Sens!I1447*Sens!I1448*chip_f</f>
        <v>15.3120574693236</v>
      </c>
      <c r="J1449" s="14" t="n">
        <f aca="false">Sens!J1447*Sens!J1448*chip_f</f>
        <v>15.5629850311601</v>
      </c>
      <c r="K1449" s="14" t="n">
        <f aca="false">Sens!K1447*Sens!K1448*chip_f</f>
        <v>15.916470084755</v>
      </c>
      <c r="L1449" s="1" t="s">
        <v>831</v>
      </c>
    </row>
    <row r="1450" customFormat="false" ht="17.15" hidden="false" customHeight="false" outlineLevel="0" collapsed="false">
      <c r="A1450" s="0" t="s">
        <v>832</v>
      </c>
      <c r="B1450" s="0" t="s">
        <v>98</v>
      </c>
      <c r="D1450" s="6" t="n">
        <f aca="false">(Sens!C1435+Sens!D1435)/2*Sens!D1449/1000</f>
        <v>12.9359794422418</v>
      </c>
      <c r="E1450" s="6" t="n">
        <f aca="false">(Sens!D1435+Sens!E1435)/2*Sens!E1449/1000</f>
        <v>27.8095064661409</v>
      </c>
      <c r="F1450" s="6" t="n">
        <f aca="false">(Sens!E1435+Sens!F1435)/2*Sens!F1449/1000</f>
        <v>63.3236075612023</v>
      </c>
      <c r="G1450" s="6" t="n">
        <f aca="false">(Sens!F1435+Sens!G1435)/2*Sens!G1449/1000</f>
        <v>102.868122516912</v>
      </c>
      <c r="H1450" s="6" t="n">
        <f aca="false">(Sens!G1435+Sens!H1435)/2*Sens!H1449/1000</f>
        <v>143.560975347405</v>
      </c>
      <c r="I1450" s="6" t="n">
        <f aca="false">(Sens!H1435+Sens!I1435)/2*Sens!I1449/1000</f>
        <v>179.582229305308</v>
      </c>
      <c r="J1450" s="6" t="n">
        <f aca="false">(Sens!I1435+Sens!J1435)/2*Sens!J1449/1000</f>
        <v>204.998178087078</v>
      </c>
      <c r="K1450" s="6" t="n">
        <f aca="false">(Sens!J1435+Sens!K1435)/2*Sens!K1449/1000</f>
        <v>221.643283741267</v>
      </c>
      <c r="L1450" s="11" t="s">
        <v>833</v>
      </c>
    </row>
    <row r="1451" customFormat="false" ht="17.15" hidden="false" customHeight="false" outlineLevel="0" collapsed="false">
      <c r="A1451" s="1" t="s">
        <v>834</v>
      </c>
      <c r="B1451" s="0" t="s">
        <v>346</v>
      </c>
      <c r="C1451" s="14" t="n">
        <f aca="false">(Sens!C1443*tk_opex_h100+Sens!C1444*tk_opex_gb200+Sens!C1445*tk_opex_gb300+Sens!C1446*tk_opex_vr200)/Sens!C1435</f>
        <v>1.88636041306092</v>
      </c>
      <c r="D1451" s="14" t="n">
        <f aca="false">(Sens!D1443*tk_opex_h100+Sens!D1444*tk_opex_gb200+Sens!D1445*tk_opex_gb300+Sens!D1446*tk_opex_vr200)/Sens!D1435</f>
        <v>1.88636041306092</v>
      </c>
      <c r="E1451" s="14" t="n">
        <f aca="false">(Sens!E1443*tk_opex_h100+Sens!E1444*tk_opex_gb200+Sens!E1445*tk_opex_gb300+Sens!E1446*tk_opex_vr200)/Sens!E1435</f>
        <v>1.88636041306092</v>
      </c>
      <c r="F1451" s="14" t="n">
        <f aca="false">(Sens!F1443*tk_opex_h100+Sens!F1444*tk_opex_gb200+Sens!F1445*tk_opex_gb300+Sens!F1446*tk_opex_vr200)/Sens!F1435</f>
        <v>1.9430236476499</v>
      </c>
      <c r="G1451" s="14" t="n">
        <f aca="false">(Sens!G1443*tk_opex_h100+Sens!G1444*tk_opex_gb200+Sens!G1445*tk_opex_gb300+Sens!G1446*tk_opex_vr200)/Sens!G1435</f>
        <v>1.9786941852423</v>
      </c>
      <c r="H1451" s="14" t="n">
        <f aca="false">(Sens!H1443*tk_opex_h100+Sens!H1444*tk_opex_gb200+Sens!H1445*tk_opex_gb300+Sens!H1446*tk_opex_vr200)/Sens!H1435</f>
        <v>2.00289275976156</v>
      </c>
      <c r="I1451" s="14" t="n">
        <f aca="false">(Sens!I1443*tk_opex_h100+Sens!I1444*tk_opex_gb200+Sens!I1445*tk_opex_gb300+Sens!I1446*tk_opex_vr200)/Sens!I1435</f>
        <v>2.02179589661219</v>
      </c>
      <c r="J1451" s="14" t="n">
        <f aca="false">(Sens!J1443*tk_opex_h100+Sens!J1444*tk_opex_gb200+Sens!J1445*tk_opex_gb300+Sens!J1446*tk_opex_vr200)/Sens!J1435</f>
        <v>2.03720754193029</v>
      </c>
      <c r="K1451" s="14" t="n">
        <f aca="false">(Sens!K1443*tk_opex_h100+Sens!K1444*tk_opex_gb200+Sens!K1445*tk_opex_gb300+Sens!K1446*tk_opex_vr200)/Sens!K1435</f>
        <v>2.0589181353437</v>
      </c>
    </row>
    <row r="1452" customFormat="false" ht="17.15" hidden="false" customHeight="false" outlineLevel="0" collapsed="false">
      <c r="A1452" s="0" t="s">
        <v>835</v>
      </c>
      <c r="B1452" s="0" t="s">
        <v>98</v>
      </c>
      <c r="D1452" s="6" t="n">
        <f aca="false">(Sens!C1438+Sens!D1438)/2*Sens!D1451/1000</f>
        <v>2.70378325872065</v>
      </c>
      <c r="E1452" s="6" t="n">
        <f aca="false">(Sens!D1438+Sens!E1438)/2*Sens!E1451/1000</f>
        <v>6.17783035277451</v>
      </c>
      <c r="F1452" s="6" t="n">
        <f aca="false">(Sens!E1438+Sens!F1438)/2*Sens!F1451/1000</f>
        <v>12.5020618235287</v>
      </c>
      <c r="G1452" s="6" t="n">
        <f aca="false">(Sens!F1438+Sens!G1438)/2*Sens!G1451/1000</f>
        <v>20.7261620256847</v>
      </c>
      <c r="H1452" s="6" t="n">
        <f aca="false">(Sens!G1438+Sens!H1438)/2*Sens!H1451/1000</f>
        <v>29.4158183316982</v>
      </c>
      <c r="I1452" s="6" t="n">
        <f aca="false">(Sens!H1438+Sens!I1438)/2*Sens!I1451/1000</f>
        <v>36.9724400356344</v>
      </c>
      <c r="J1452" s="6" t="n">
        <f aca="false">(Sens!I1438+Sens!J1438)/2*Sens!J1451/1000</f>
        <v>42.1571687189816</v>
      </c>
      <c r="K1452" s="6" t="n">
        <f aca="false">(Sens!J1438+Sens!K1438)/2*Sens!K1451/1000</f>
        <v>45.1912095080704</v>
      </c>
    </row>
    <row r="1453" customFormat="false" ht="17.15" hidden="false" customHeight="false" outlineLevel="0" collapsed="false">
      <c r="A1453" s="0" t="s">
        <v>836</v>
      </c>
      <c r="B1453" s="0" t="s">
        <v>98</v>
      </c>
      <c r="D1453" s="6" t="n">
        <f aca="false">(Sens!C1436+Sens!D1436)/2*rent_mw/1000</f>
        <v>2.44475</v>
      </c>
      <c r="E1453" s="6" t="n">
        <f aca="false">(Sens!D1436+Sens!E1436)/2*rent_mw/1000</f>
        <v>4.22275</v>
      </c>
      <c r="F1453" s="6" t="n">
        <f aca="false">(Sens!E1436+Sens!F1436)/2*rent_mw/1000</f>
        <v>5.80517</v>
      </c>
      <c r="G1453" s="6" t="n">
        <f aca="false">(Sens!F1436+Sens!G1436)/2*rent_mw/1000</f>
        <v>6.72084</v>
      </c>
      <c r="H1453" s="6" t="n">
        <f aca="false">(Sens!G1436+Sens!H1436)/2*rent_mw/1000</f>
        <v>6.72084</v>
      </c>
      <c r="I1453" s="6" t="n">
        <f aca="false">(Sens!H1436+Sens!I1436)/2*rent_mw/1000</f>
        <v>6.72084</v>
      </c>
      <c r="J1453" s="6" t="n">
        <f aca="false">(Sens!I1436+Sens!J1436)/2*rent_mw/1000</f>
        <v>6.72084</v>
      </c>
      <c r="K1453" s="6" t="n">
        <f aca="false">(Sens!J1436+Sens!K1436)/2*rent_mw/1000</f>
        <v>6.72084</v>
      </c>
    </row>
    <row r="1454" customFormat="false" ht="17.15" hidden="false" customHeight="false" outlineLevel="0" collapsed="false">
      <c r="A1454" s="0" t="s">
        <v>837</v>
      </c>
      <c r="B1454" s="0" t="s">
        <v>98</v>
      </c>
      <c r="D1454" s="6" t="n">
        <f aca="false">(Sens!C1438+Sens!D1438)/2*(1-self_build)*fac_rent/1000</f>
        <v>0.853242375631075</v>
      </c>
      <c r="E1454" s="6" t="n">
        <f aca="false">(Sens!D1438+Sens!E1438)/2*(1-self_build)*fac_rent/1000</f>
        <v>1.94955961408728</v>
      </c>
      <c r="F1454" s="6" t="n">
        <f aca="false">(Sens!E1438+Sens!F1438)/2*(1-self_build)*fac_rent/1000</f>
        <v>3.83026455274573</v>
      </c>
      <c r="G1454" s="6" t="n">
        <f aca="false">(Sens!F1438+Sens!G1438)/2*(1-self_build)*fac_rent/1000</f>
        <v>6.23541590972812</v>
      </c>
      <c r="H1454" s="6" t="n">
        <f aca="false">(Sens!G1438+Sens!H1438)/2*(1-self_build)*fac_rent/1000</f>
        <v>8.74275792332679</v>
      </c>
      <c r="I1454" s="6" t="n">
        <f aca="false">(Sens!H1438+Sens!I1438)/2*(1-self_build)*fac_rent/1000</f>
        <v>10.8859420438599</v>
      </c>
      <c r="J1454" s="6" t="n">
        <f aca="false">(Sens!I1438+Sens!J1438)/2*(1-self_build)*fac_rent/1000</f>
        <v>12.3186006405366</v>
      </c>
      <c r="K1454" s="6" t="n">
        <f aca="false">(Sens!J1438+Sens!K1438)/2*(1-self_build)*fac_rent/1000</f>
        <v>13.0659232089824</v>
      </c>
      <c r="L1454" s="11" t="s">
        <v>838</v>
      </c>
    </row>
    <row r="1455" customFormat="false" ht="17.15" hidden="false" customHeight="false" outlineLevel="0" collapsed="false">
      <c r="A1455" s="1" t="s">
        <v>839</v>
      </c>
      <c r="B1455" s="0" t="s">
        <v>129</v>
      </c>
      <c r="D1455" s="7" t="n">
        <f aca="false">(Sens!C1437+Sens!D1437)/(Sens!C1438+Sens!D1438)</f>
        <v>0.6</v>
      </c>
      <c r="E1455" s="7" t="n">
        <f aca="false">(Sens!D1437+Sens!E1437)/(Sens!D1438+Sens!E1438)</f>
        <v>0.6</v>
      </c>
      <c r="F1455" s="7" t="n">
        <f aca="false">(Sens!E1437+Sens!F1437)/(Sens!E1438+Sens!F1438)</f>
        <v>0.6</v>
      </c>
      <c r="G1455" s="7" t="n">
        <f aca="false">(Sens!F1437+Sens!G1437)/(Sens!F1438+Sens!G1438)</f>
        <v>0.6</v>
      </c>
      <c r="H1455" s="7" t="n">
        <f aca="false">(Sens!G1437+Sens!H1437)/(Sens!G1438+Sens!H1438)</f>
        <v>0.6</v>
      </c>
      <c r="I1455" s="7" t="n">
        <f aca="false">(Sens!H1437+Sens!I1437)/(Sens!H1438+Sens!I1438)</f>
        <v>0.6</v>
      </c>
      <c r="J1455" s="7" t="n">
        <f aca="false">(Sens!I1437+Sens!J1437)/(Sens!I1438+Sens!J1438)</f>
        <v>0.6</v>
      </c>
      <c r="K1455" s="7" t="n">
        <f aca="false">(Sens!J1437+Sens!K1437)/(Sens!J1438+Sens!K1438)</f>
        <v>0.6</v>
      </c>
    </row>
    <row r="1456" customFormat="false" ht="17.15" hidden="false" customHeight="false" outlineLevel="0" collapsed="false">
      <c r="A1456" s="0" t="s">
        <v>840</v>
      </c>
      <c r="B1456" s="0" t="s">
        <v>98</v>
      </c>
      <c r="D1456" s="6" t="n">
        <f aca="false">Sens!D1450-Sens!D1455*(Sens!D1452+Sens!D1454)-Sens!D1453</f>
        <v>8.35701406163072</v>
      </c>
      <c r="E1456" s="6" t="n">
        <f aca="false">Sens!E1450-Sens!E1455*(Sens!E1452+Sens!E1454)-Sens!E1453</f>
        <v>18.7103224860238</v>
      </c>
      <c r="F1456" s="6" t="n">
        <f aca="false">Sens!F1450-Sens!F1455*(Sens!F1452+Sens!F1454)-Sens!F1453</f>
        <v>47.7190417354376</v>
      </c>
      <c r="G1456" s="6" t="n">
        <f aca="false">Sens!G1450-Sens!G1455*(Sens!G1452+Sens!G1454)-Sens!G1453</f>
        <v>79.9703357556642</v>
      </c>
      <c r="H1456" s="6" t="n">
        <f aca="false">Sens!H1450-Sens!H1455*(Sens!H1452+Sens!H1454)-Sens!H1453</f>
        <v>113.94498959439</v>
      </c>
      <c r="I1456" s="6" t="n">
        <f aca="false">Sens!I1450-Sens!I1455*(Sens!I1452+Sens!I1454)-Sens!I1453</f>
        <v>144.146360057611</v>
      </c>
      <c r="J1456" s="6" t="n">
        <f aca="false">Sens!J1450-Sens!J1455*(Sens!J1452+Sens!J1454)-Sens!J1453</f>
        <v>165.591876471367</v>
      </c>
      <c r="K1456" s="6" t="n">
        <f aca="false">Sens!K1450-Sens!K1455*(Sens!K1452+Sens!K1454)-Sens!K1453</f>
        <v>179.968164111036</v>
      </c>
    </row>
    <row r="1457" customFormat="false" ht="17.15" hidden="false" customHeight="false" outlineLevel="0" collapsed="false">
      <c r="A1457" s="1" t="s">
        <v>841</v>
      </c>
      <c r="B1457" s="0" t="s">
        <v>98</v>
      </c>
      <c r="D1457" s="6" t="n">
        <f aca="false">(1-Sens!D1455)*(Sens!D1452+Sens!D1454)</f>
        <v>1.42281025374069</v>
      </c>
      <c r="E1457" s="6" t="n">
        <f aca="false">(1-Sens!E1455)*(Sens!E1452+Sens!E1454)</f>
        <v>3.25095598674472</v>
      </c>
      <c r="F1457" s="6" t="n">
        <f aca="false">(1-Sens!F1455)*(Sens!F1452+Sens!F1454)</f>
        <v>6.53293055050977</v>
      </c>
      <c r="G1457" s="6" t="n">
        <f aca="false">(1-Sens!G1455)*(Sens!G1452+Sens!G1454)</f>
        <v>10.7846311741651</v>
      </c>
      <c r="H1457" s="6" t="n">
        <f aca="false">(1-Sens!H1455)*(Sens!H1452+Sens!H1454)</f>
        <v>15.26343050201</v>
      </c>
      <c r="I1457" s="6" t="n">
        <f aca="false">(1-Sens!I1455)*(Sens!I1452+Sens!I1454)</f>
        <v>19.1433528317977</v>
      </c>
      <c r="J1457" s="6" t="n">
        <f aca="false">(1-Sens!J1455)*(Sens!J1452+Sens!J1454)</f>
        <v>21.7903077438073</v>
      </c>
      <c r="K1457" s="6" t="n">
        <f aca="false">(1-Sens!K1455)*(Sens!K1452+Sens!K1454)</f>
        <v>23.3028530868211</v>
      </c>
    </row>
    <row r="1458" customFormat="false" ht="17.15" hidden="false" customHeight="false" outlineLevel="0" collapsed="false">
      <c r="A1458" s="1" t="s">
        <v>842</v>
      </c>
      <c r="B1458" s="0" t="s">
        <v>357</v>
      </c>
      <c r="C1458" s="8" t="n">
        <f aca="false">cxit_open</f>
        <v>27.5918995</v>
      </c>
      <c r="D1458" s="8" t="n">
        <f aca="false">cxit_open</f>
        <v>27.5918995</v>
      </c>
      <c r="E1458" s="8" t="n">
        <f aca="false">cxit_open</f>
        <v>27.5918995</v>
      </c>
      <c r="F1458" s="8" t="n">
        <f aca="false">(a_g3_27*tk_cxit_gb300+(1-a_g3_27)*tk_cxit_vr200)</f>
        <v>33.8419624</v>
      </c>
      <c r="G1458" s="8" t="n">
        <f aca="false">(a_g3_28*tk_cxit_gb300+(1-a_g3_28)*tk_cxit_vr200)</f>
        <v>35.9816136</v>
      </c>
      <c r="H1458" s="8" t="n">
        <f aca="false">(a_g3_29*tk_cxit_gb300+(1-a_g3_29)*tk_cxit_vr200)</f>
        <v>37.0514392</v>
      </c>
      <c r="I1458" s="8" t="n">
        <f aca="false">(a_g3_29*tk_cxit_gb300+(1-a_g3_29)*tk_cxit_vr200)</f>
        <v>37.0514392</v>
      </c>
      <c r="J1458" s="8" t="n">
        <f aca="false">(a_g3_29*tk_cxit_gb300+(1-a_g3_29)*tk_cxit_vr200)</f>
        <v>37.0514392</v>
      </c>
      <c r="K1458" s="8" t="n">
        <f aca="false">(a_g3_29*tk_cxit_gb300+(1-a_g3_29)*tk_cxit_vr200)</f>
        <v>37.0514392</v>
      </c>
      <c r="L1458" s="11" t="s">
        <v>843</v>
      </c>
    </row>
    <row r="1459" customFormat="false" ht="17.15" hidden="false" customHeight="false" outlineLevel="0" collapsed="false">
      <c r="A1459" s="0" t="s">
        <v>844</v>
      </c>
      <c r="B1459" s="0" t="s">
        <v>399</v>
      </c>
      <c r="F1459" s="29" t="n">
        <f aca="false">Sens!C1440*IF(Sens!F1433-Sens!C1433=life_it,1,0)+Sens!D1440*IF(Sens!F1433-Sens!D1433=life_it,1,0)+Sens!E1440*IF(Sens!F1433-Sens!E1433=life_it,1,0)</f>
        <v>0</v>
      </c>
      <c r="G1459" s="29" t="n">
        <f aca="false">Sens!C1440*IF(Sens!G1433-Sens!C1433=life_it,1,0)+Sens!D1440*IF(Sens!G1433-Sens!D1433=life_it,1,0)+Sens!E1440*IF(Sens!G1433-Sens!E1433=life_it,1,0)+Sens!F1440*IF(Sens!G1433-Sens!F1433=life_it,1,0)</f>
        <v>0</v>
      </c>
      <c r="H1459" s="29" t="n">
        <f aca="false">Sens!C1440*IF(Sens!H1433-Sens!C1433=life_it,1,0)+Sens!D1440*IF(Sens!H1433-Sens!D1433=life_it,1,0)+Sens!E1440*IF(Sens!H1433-Sens!E1433=life_it,1,0)+Sens!F1440*IF(Sens!H1433-Sens!F1433=life_it,1,0)+Sens!G1440*IF(Sens!H1433-Sens!G1433=life_it,1,0)</f>
        <v>0</v>
      </c>
      <c r="I1459" s="29" t="n">
        <f aca="false">Sens!C1440*IF(Sens!I1433-Sens!C1433=life_it,1,0)+Sens!D1440*IF(Sens!I1433-Sens!D1433=life_it,1,0)+Sens!E1440*IF(Sens!I1433-Sens!E1433=life_it,1,0)+Sens!F1440*IF(Sens!I1433-Sens!F1433=life_it,1,0)+Sens!G1440*IF(Sens!I1433-Sens!G1433=life_it,1,0)+Sens!H1440*IF(Sens!I1433-Sens!H1433=life_it,1,0)</f>
        <v>816.666666666667</v>
      </c>
      <c r="J1459" s="29" t="n">
        <f aca="false">Sens!C1440*IF(Sens!J1433-Sens!C1433=life_it,1,0)+Sens!D1440*IF(Sens!J1433-Sens!D1433=life_it,1,0)+Sens!E1440*IF(Sens!J1433-Sens!E1433=life_it,1,0)+Sens!F1440*IF(Sens!J1433-Sens!F1433=life_it,1,0)+Sens!G1440*IF(Sens!J1433-Sens!G1433=life_it,1,0)+Sens!H1440*IF(Sens!J1433-Sens!H1433=life_it,1,0)+Sens!I1440*IF(Sens!J1433-Sens!I1433=life_it,1,0)</f>
        <v>1233.33333333333</v>
      </c>
      <c r="K1459" s="29" t="n">
        <f aca="false">Sens!C1440*IF(Sens!K1433-Sens!C1433=life_it,1,0)+Sens!D1440*IF(Sens!K1433-Sens!D1433=life_it,1,0)+Sens!E1440*IF(Sens!K1433-Sens!E1433=life_it,1,0)+Sens!F1440*IF(Sens!K1433-Sens!F1433=life_it,1,0)+Sens!G1440*IF(Sens!K1433-Sens!G1433=life_it,1,0)+Sens!H1440*IF(Sens!K1433-Sens!H1433=life_it,1,0)+Sens!I1440*IF(Sens!K1433-Sens!I1433=life_it,1,0)+Sens!J1440*IF(Sens!K1433-Sens!J1433=life_it,1,0)</f>
        <v>2450</v>
      </c>
      <c r="L1459" s="1" t="s">
        <v>845</v>
      </c>
    </row>
    <row r="1460" customFormat="false" ht="17.15" hidden="false" customHeight="false" outlineLevel="0" collapsed="false">
      <c r="A1460" s="0" t="s">
        <v>846</v>
      </c>
      <c r="B1460" s="0" t="s">
        <v>98</v>
      </c>
      <c r="C1460" s="6" t="n">
        <f aca="false">Sens!C1440*Sens!C1458/1000</f>
        <v>22.5333845916667</v>
      </c>
      <c r="D1460" s="6" t="n">
        <f aca="false">Sens!D1440*Sens!D1458/1000</f>
        <v>34.0300093833333</v>
      </c>
      <c r="E1460" s="6" t="n">
        <f aca="false">Sens!E1440*Sens!E1458/1000</f>
        <v>67.600153775</v>
      </c>
      <c r="F1460" s="6" t="n">
        <f aca="false">(Sens!F1440+Sens!F1459)*Sens!F1458/1000</f>
        <v>130.923271871467</v>
      </c>
      <c r="G1460" s="6" t="n">
        <f aca="false">(Sens!G1440+Sens!G1459)*Sens!G1458/1000</f>
        <v>151.5545564832</v>
      </c>
      <c r="H1460" s="6" t="n">
        <f aca="false">(Sens!H1440+Sens!H1459)*Sens!H1458/1000</f>
        <v>156.0606619104</v>
      </c>
      <c r="I1460" s="6" t="n">
        <f aca="false">(Sens!I1440+Sens!I1459)*Sens!I1458/1000</f>
        <v>140.987889434245</v>
      </c>
      <c r="J1460" s="6" t="n">
        <f aca="false">(Sens!J1440+Sens!J1459)*Sens!J1458/1000</f>
        <v>113.309125559842</v>
      </c>
      <c r="K1460" s="6" t="n">
        <f aca="false">(Sens!K1440+Sens!K1459)*Sens!K1458/1000</f>
        <v>116.192591420959</v>
      </c>
    </row>
    <row r="1461" customFormat="false" ht="17.15" hidden="false" customHeight="false" outlineLevel="0" collapsed="false">
      <c r="A1461" s="0" t="s">
        <v>847</v>
      </c>
      <c r="B1461" s="0" t="s">
        <v>98</v>
      </c>
      <c r="C1461" s="6" t="n">
        <f aca="false">Sens!C1440*self_build*tk_cxfac/1000</f>
        <v>6.2083</v>
      </c>
      <c r="D1461" s="6" t="n">
        <f aca="false">Sens!D1440*self_build*tk_cxfac/1000</f>
        <v>9.3758</v>
      </c>
      <c r="E1461" s="6" t="n">
        <f aca="false">Sens!E1440*self_build*tk_cxfac/1000</f>
        <v>18.6249</v>
      </c>
      <c r="F1461" s="6" t="n">
        <f aca="false">Sens!F1440*self_build*tk_cxfac/1000</f>
        <v>29.409604</v>
      </c>
      <c r="G1461" s="6" t="n">
        <f aca="false">Sens!G1440*self_build*tk_cxfac/1000</f>
        <v>32.019624</v>
      </c>
      <c r="H1461" s="6" t="n">
        <f aca="false">Sens!H1440*self_build*tk_cxfac/1000</f>
        <v>32.019624</v>
      </c>
      <c r="I1461" s="6" t="n">
        <f aca="false">Sens!I1440*self_build*tk_cxfac/1000</f>
        <v>22.71877972</v>
      </c>
      <c r="J1461" s="6" t="n">
        <f aca="false">Sens!J1440*self_build*tk_cxfac/1000</f>
        <v>13.8723110344</v>
      </c>
      <c r="K1461" s="6" t="n">
        <f aca="false">Sens!K1440*self_build*tk_cxfac/1000</f>
        <v>5.214823882632</v>
      </c>
    </row>
    <row r="1462" customFormat="false" ht="17.15" hidden="false" customHeight="false" outlineLevel="0" collapsed="false">
      <c r="A1462" s="0" t="s">
        <v>848</v>
      </c>
      <c r="B1462" s="0" t="s">
        <v>98</v>
      </c>
      <c r="F1462" s="6" t="n">
        <f aca="false">MAX(0,capex_floor27-Sens!F1460-Sens!F1461-Sens!F1556)</f>
        <v>8.28777689897088</v>
      </c>
    </row>
    <row r="1463" customFormat="false" ht="17.15" hidden="false" customHeight="false" outlineLevel="0" collapsed="false">
      <c r="A1463" s="0" t="s">
        <v>849</v>
      </c>
      <c r="B1463" s="0" t="s">
        <v>98</v>
      </c>
      <c r="C1463" s="6" t="n">
        <f aca="false">Sens!C1460</f>
        <v>22.5333845916667</v>
      </c>
      <c r="D1463" s="6" t="n">
        <f aca="false">Sens!D1460</f>
        <v>34.0300093833333</v>
      </c>
      <c r="E1463" s="6" t="n">
        <f aca="false">Sens!E1460</f>
        <v>67.600153775</v>
      </c>
      <c r="F1463" s="6" t="n">
        <f aca="false">Sens!F1460</f>
        <v>130.923271871467</v>
      </c>
      <c r="G1463" s="6" t="n">
        <f aca="false">Sens!G1460</f>
        <v>151.5545564832</v>
      </c>
      <c r="H1463" s="6" t="n">
        <f aca="false">Sens!H1460</f>
        <v>156.0606619104</v>
      </c>
      <c r="I1463" s="6" t="n">
        <f aca="false">Sens!I1460</f>
        <v>140.987889434245</v>
      </c>
      <c r="J1463" s="6" t="n">
        <f aca="false">Sens!J1460</f>
        <v>113.309125559842</v>
      </c>
      <c r="K1463" s="6" t="n">
        <f aca="false">Sens!K1460</f>
        <v>116.192591420959</v>
      </c>
    </row>
    <row r="1464" customFormat="false" ht="17.15" hidden="false" customHeight="false" outlineLevel="0" collapsed="false">
      <c r="A1464" s="0" t="s">
        <v>850</v>
      </c>
      <c r="B1464" s="0" t="s">
        <v>98</v>
      </c>
      <c r="C1464" s="6" t="n">
        <f aca="false">Sens!C1463+Sens!C1461</f>
        <v>28.7416845916667</v>
      </c>
      <c r="D1464" s="6" t="n">
        <f aca="false">Sens!D1463+Sens!D1461</f>
        <v>43.4058093833333</v>
      </c>
      <c r="E1464" s="6" t="n">
        <f aca="false">Sens!E1463+Sens!E1461</f>
        <v>86.225053775</v>
      </c>
      <c r="F1464" s="6" t="n">
        <f aca="false">Sens!F1463+Sens!F1461</f>
        <v>160.332875871467</v>
      </c>
      <c r="G1464" s="6" t="n">
        <f aca="false">Sens!G1463+Sens!G1461</f>
        <v>183.5741804832</v>
      </c>
      <c r="H1464" s="6" t="n">
        <f aca="false">Sens!H1463+Sens!H1461</f>
        <v>188.0802859104</v>
      </c>
      <c r="I1464" s="6" t="n">
        <f aca="false">Sens!I1463+Sens!I1461</f>
        <v>163.706669154245</v>
      </c>
      <c r="J1464" s="6" t="n">
        <f aca="false">Sens!J1463+Sens!J1461</f>
        <v>127.181436594242</v>
      </c>
      <c r="K1464" s="6" t="n">
        <f aca="false">Sens!K1463+Sens!K1461</f>
        <v>121.407415303591</v>
      </c>
      <c r="L1464" s="11" t="s">
        <v>851</v>
      </c>
    </row>
    <row r="1465" customFormat="false" ht="17.15" hidden="false" customHeight="false" outlineLevel="0" collapsed="false">
      <c r="A1465" s="0" t="s">
        <v>852</v>
      </c>
      <c r="B1465" s="0" t="s">
        <v>98</v>
      </c>
      <c r="E1465" s="6" t="n">
        <f aca="false">(Sens!C1463*IF(2&lt;life_it,1,IF(2=life_it,0.5,0))+Sens!D1463*IF(1&lt;life_it,1,IF(1=life_it,0.5,0))+Sens!E1463*0.5)/life_it</f>
        <v>15.0605784770833</v>
      </c>
      <c r="F1465" s="6" t="n">
        <f aca="false">(Sens!C1463*IF(3&lt;life_it,1,IF(3=life_it,0.5,0))+Sens!D1463*IF(2&lt;life_it,1,IF(2=life_it,0.5,0))+Sens!E1463*IF(1&lt;life_it,1,IF(1=life_it,0.5,0))+Sens!F1463*0.5)/life_it</f>
        <v>31.6041972809556</v>
      </c>
      <c r="G1465" s="6" t="n">
        <f aca="false">(Sens!C1463*IF(4&lt;life_it,1,IF(4=life_it,0.5,0))+Sens!D1463*IF(3&lt;life_it,1,IF(3=life_it,0.5,0))+Sens!E1463*IF(2&lt;life_it,1,IF(2=life_it,0.5,0))+Sens!F1463*IF(1&lt;life_it,1,IF(1=life_it,0.5,0))+Sens!G1463*0.5)/life_it</f>
        <v>55.1440163105111</v>
      </c>
      <c r="H1465" s="6" t="n">
        <f aca="false">(Sens!C1463*IF(5&lt;life_it,1,IF(5=life_it,0.5,0))+Sens!D1463*IF(4&lt;life_it,1,IF(4=life_it,0.5,0))+Sens!E1463*IF(3&lt;life_it,1,IF(3=life_it,0.5,0))+Sens!F1463*IF(2&lt;life_it,1,IF(2=life_it,0.5,0))+Sens!G1463*IF(1&lt;life_it,1,IF(1=life_it,0.5,0))+Sens!H1463*0.5)/life_it</f>
        <v>80.7786178433111</v>
      </c>
      <c r="I1465" s="6" t="n">
        <f aca="false">(Sens!C1463*IF(6&lt;life_it,1,IF(6=life_it,0.5,0))+Sens!D1463*IF(5&lt;life_it,1,IF(5=life_it,0.5,0))+Sens!E1463*IF(4&lt;life_it,1,IF(4=life_it,0.5,0))+Sens!F1463*IF(3&lt;life_it,1,IF(3=life_it,0.5,0))+Sens!G1463*IF(2&lt;life_it,1,IF(2=life_it,0.5,0))+Sens!H1463*IF(1&lt;life_it,1,IF(1=life_it,0.5,0))+Sens!I1463*0.5)/life_it</f>
        <v>103.654881739393</v>
      </c>
      <c r="J1465" s="6" t="n">
        <f aca="false">(Sens!C1463*IF(7&lt;life_it,1,IF(7=life_it,0.5,0))+Sens!D1463*IF(6&lt;life_it,1,IF(6=life_it,0.5,0))+Sens!E1463*IF(5&lt;life_it,1,IF(5=life_it,0.5,0))+Sens!F1463*IF(4&lt;life_it,1,IF(4=life_it,0.5,0))+Sens!G1463*IF(3&lt;life_it,1,IF(3=life_it,0.5,0))+Sens!H1463*IF(2&lt;life_it,1,IF(2=life_it,0.5,0))+Sens!I1463*IF(1&lt;life_it,1,IF(1=life_it,0.5,0))+Sens!J1463*0.5)/life_it</f>
        <v>120.132683490983</v>
      </c>
      <c r="K1465" s="6" t="n">
        <f aca="false">(Sens!C1463*IF(8&lt;life_it,1,IF(8=life_it,0.5,0))+Sens!D1463*IF(7&lt;life_it,1,IF(7=life_it,0.5,0))+Sens!E1463*IF(6&lt;life_it,1,IF(6=life_it,0.5,0))+Sens!F1463*IF(5&lt;life_it,1,IF(5=life_it,0.5,0))+Sens!G1463*IF(4&lt;life_it,1,IF(4=life_it,0.5,0))+Sens!H1463*IF(3&lt;life_it,1,IF(3=life_it,0.5,0))+Sens!I1463*IF(2&lt;life_it,1,IF(2=life_it,0.5,0))+Sens!J1463*IF(1&lt;life_it,1,IF(1=life_it,0.5,0))+Sens!K1463*0.5)/life_it</f>
        <v>130.788646309522</v>
      </c>
    </row>
    <row r="1466" customFormat="false" ht="17.15" hidden="false" customHeight="false" outlineLevel="0" collapsed="false">
      <c r="A1466" s="0" t="s">
        <v>853</v>
      </c>
      <c r="B1466" s="0" t="s">
        <v>98</v>
      </c>
      <c r="E1466" s="6" t="n">
        <f aca="false">(Sens!C1461*IF(2&lt;life_fac,1,IF(2=life_fac,0.5,0))+Sens!D1461*IF(1&lt;life_fac,1,IF(1=life_fac,0.5,0))+Sens!E1461*0.5)/life_fac</f>
        <v>1.2448275</v>
      </c>
      <c r="F1466" s="6" t="n">
        <f aca="false">(Sens!C1461*IF(3&lt;life_fac,1,IF(3=life_fac,0.5,0))+Sens!D1461*IF(2&lt;life_fac,1,IF(2=life_fac,0.5,0))+Sens!E1461*IF(1&lt;life_fac,1,IF(1=life_fac,0.5,0))+Sens!F1461*0.5)/life_fac</f>
        <v>2.4456901</v>
      </c>
      <c r="G1466" s="6" t="n">
        <f aca="false">(Sens!C1461*IF(4&lt;life_fac,1,IF(4=life_fac,0.5,0))+Sens!D1461*IF(3&lt;life_fac,1,IF(3=life_fac,0.5,0))+Sens!E1461*IF(2&lt;life_fac,1,IF(2=life_fac,0.5,0))+Sens!F1461*IF(1&lt;life_fac,1,IF(1=life_fac,0.5,0))+Sens!G1461*0.5)/life_fac</f>
        <v>3.9814208</v>
      </c>
      <c r="H1466" s="6" t="n">
        <f aca="false">(Sens!C1461*IF(5&lt;life_fac,1,IF(5=life_fac,0.5,0))+Sens!D1461*IF(4&lt;life_fac,1,IF(4=life_fac,0.5,0))+Sens!E1461*IF(3&lt;life_fac,1,IF(3=life_fac,0.5,0))+Sens!F1461*IF(2&lt;life_fac,1,IF(2=life_fac,0.5,0))+Sens!G1461*IF(1&lt;life_fac,1,IF(1=life_fac,0.5,0))+Sens!H1461*0.5)/life_fac</f>
        <v>5.582402</v>
      </c>
      <c r="I1466" s="6" t="n">
        <f aca="false">(Sens!C1461*IF(6&lt;life_fac,1,IF(6=life_fac,0.5,0))+Sens!D1461*IF(5&lt;life_fac,1,IF(5=life_fac,0.5,0))+Sens!E1461*IF(4&lt;life_fac,1,IF(4=life_fac,0.5,0))+Sens!F1461*IF(3&lt;life_fac,1,IF(3=life_fac,0.5,0))+Sens!G1461*IF(2&lt;life_fac,1,IF(2=life_fac,0.5,0))+Sens!H1461*IF(1&lt;life_fac,1,IF(1=life_fac,0.5,0))+Sens!I1461*0.5)/life_fac</f>
        <v>6.950862093</v>
      </c>
      <c r="J1466" s="6" t="n">
        <f aca="false">(Sens!C1461*IF(7&lt;life_fac,1,IF(7=life_fac,0.5,0))+Sens!D1461*IF(6&lt;life_fac,1,IF(6=life_fac,0.5,0))+Sens!E1461*IF(5&lt;life_fac,1,IF(5=life_fac,0.5,0))+Sens!F1461*IF(4&lt;life_fac,1,IF(4=life_fac,0.5,0))+Sens!G1461*IF(3&lt;life_fac,1,IF(3=life_fac,0.5,0))+Sens!H1461*IF(2&lt;life_fac,1,IF(2=life_fac,0.5,0))+Sens!I1461*IF(1&lt;life_fac,1,IF(1=life_fac,0.5,0))+Sens!J1461*0.5)/life_fac</f>
        <v>7.86563936186</v>
      </c>
      <c r="K1466" s="6" t="n">
        <f aca="false">(Sens!C1461*IF(8&lt;life_fac,1,IF(8=life_fac,0.5,0))+Sens!D1461*IF(7&lt;life_fac,1,IF(7=life_fac,0.5,0))+Sens!E1461*IF(6&lt;life_fac,1,IF(6=life_fac,0.5,0))+Sens!F1461*IF(5&lt;life_fac,1,IF(5=life_fac,0.5,0))+Sens!G1461*IF(4&lt;life_fac,1,IF(4=life_fac,0.5,0))+Sens!H1461*IF(3&lt;life_fac,1,IF(3=life_fac,0.5,0))+Sens!I1461*IF(2&lt;life_fac,1,IF(2=life_fac,0.5,0))+Sens!J1461*IF(1&lt;life_fac,1,IF(1=life_fac,0.5,0))+Sens!K1461*0.5)/life_fac</f>
        <v>8.3428177347858</v>
      </c>
    </row>
    <row r="1467" customFormat="false" ht="17.15" hidden="false" customHeight="false" outlineLevel="0" collapsed="false">
      <c r="A1467" s="0" t="s">
        <v>854</v>
      </c>
      <c r="B1467" s="0" t="s">
        <v>98</v>
      </c>
      <c r="E1467" s="6" t="n">
        <f aca="false">Sens!E1465+Sens!E1466</f>
        <v>16.3054059770833</v>
      </c>
      <c r="F1467" s="6" t="n">
        <f aca="false">Sens!F1465+Sens!F1466</f>
        <v>34.0498873809555</v>
      </c>
      <c r="G1467" s="6" t="n">
        <f aca="false">Sens!G1465+Sens!G1466</f>
        <v>59.1254371105111</v>
      </c>
      <c r="H1467" s="6" t="n">
        <f aca="false">Sens!H1465+Sens!H1466</f>
        <v>86.3610198433111</v>
      </c>
      <c r="I1467" s="6" t="n">
        <f aca="false">Sens!I1465+Sens!I1466</f>
        <v>110.605743832393</v>
      </c>
      <c r="J1467" s="6" t="n">
        <f aca="false">Sens!J1465+Sens!J1466</f>
        <v>127.998322852843</v>
      </c>
      <c r="K1467" s="6" t="n">
        <f aca="false">Sens!K1465+Sens!K1466</f>
        <v>139.131464044308</v>
      </c>
    </row>
    <row r="1468" customFormat="false" ht="17.15" hidden="false" customHeight="false" outlineLevel="0" collapsed="false">
      <c r="A1468" s="0" t="s">
        <v>855</v>
      </c>
      <c r="B1468" s="0" t="s">
        <v>98</v>
      </c>
      <c r="E1468" s="6" t="n">
        <f aca="false">Sens!E1456-Sens!E1455*Sens!E1467</f>
        <v>8.92707889977379</v>
      </c>
      <c r="F1468" s="6" t="n">
        <f aca="false">Sens!F1456-Sens!F1455*Sens!F1467</f>
        <v>27.2891093068643</v>
      </c>
      <c r="G1468" s="6" t="n">
        <f aca="false">Sens!G1456-Sens!G1455*Sens!G1467</f>
        <v>44.4950734893575</v>
      </c>
      <c r="H1468" s="6" t="n">
        <f aca="false">Sens!H1456-Sens!H1455*Sens!H1467</f>
        <v>62.1283776884034</v>
      </c>
      <c r="I1468" s="6" t="n">
        <f aca="false">Sens!I1456-Sens!I1455*Sens!I1467</f>
        <v>77.7829137581753</v>
      </c>
      <c r="J1468" s="6" t="n">
        <f aca="false">Sens!J1456-Sens!J1455*Sens!J1467</f>
        <v>88.7928827596614</v>
      </c>
      <c r="K1468" s="6" t="n">
        <f aca="false">Sens!K1456-Sens!K1455*Sens!K1467</f>
        <v>96.4892856844508</v>
      </c>
    </row>
    <row r="1469" customFormat="false" ht="17.15" hidden="false" customHeight="false" outlineLevel="0" collapsed="false">
      <c r="A1469" s="3" t="s">
        <v>1298</v>
      </c>
    </row>
    <row r="1470" customFormat="false" ht="15" hidden="false" customHeight="false" outlineLevel="0" collapsed="false">
      <c r="A1470" s="4" t="s">
        <v>43</v>
      </c>
      <c r="B1470" s="4" t="s">
        <v>65</v>
      </c>
      <c r="C1470" s="20" t="s">
        <v>799</v>
      </c>
      <c r="D1470" s="20" t="s">
        <v>800</v>
      </c>
      <c r="E1470" s="20" t="s">
        <v>801</v>
      </c>
      <c r="F1470" s="20" t="s">
        <v>802</v>
      </c>
      <c r="G1470" s="20" t="s">
        <v>803</v>
      </c>
      <c r="H1470" s="20" t="s">
        <v>804</v>
      </c>
      <c r="I1470" s="20" t="s">
        <v>805</v>
      </c>
      <c r="J1470" s="20" t="s">
        <v>806</v>
      </c>
      <c r="K1470" s="20" t="s">
        <v>807</v>
      </c>
      <c r="L1470" s="4" t="s">
        <v>47</v>
      </c>
    </row>
    <row r="1471" customFormat="false" ht="17.15" hidden="false" customHeight="false" outlineLevel="0" collapsed="false">
      <c r="A1471" s="0" t="s">
        <v>874</v>
      </c>
      <c r="B1471" s="0" t="s">
        <v>98</v>
      </c>
      <c r="D1471" s="6" t="n">
        <f aca="false">Sens!D1450</f>
        <v>12.9359794422418</v>
      </c>
      <c r="E1471" s="6" t="n">
        <f aca="false">Sens!E1450</f>
        <v>27.8095064661409</v>
      </c>
      <c r="F1471" s="6" t="n">
        <f aca="false">Sens!F1450</f>
        <v>63.3236075612023</v>
      </c>
      <c r="G1471" s="6" t="n">
        <f aca="false">Sens!G1450</f>
        <v>102.868122516912</v>
      </c>
      <c r="H1471" s="6" t="n">
        <f aca="false">Sens!H1450</f>
        <v>143.560975347405</v>
      </c>
      <c r="I1471" s="6" t="n">
        <f aca="false">Sens!I1450</f>
        <v>179.582229305308</v>
      </c>
      <c r="J1471" s="6" t="n">
        <f aca="false">Sens!J1450</f>
        <v>204.998178087078</v>
      </c>
      <c r="K1471" s="6" t="n">
        <f aca="false">Sens!K1450</f>
        <v>221.643283741267</v>
      </c>
    </row>
    <row r="1472" customFormat="false" ht="17.15" hidden="false" customHeight="false" outlineLevel="0" collapsed="false">
      <c r="A1472" s="0" t="s">
        <v>875</v>
      </c>
      <c r="B1472" s="0" t="s">
        <v>98</v>
      </c>
      <c r="D1472" s="6" t="n">
        <f aca="false">Q!L6-Sens!D1471</f>
        <v>59.6740205577583</v>
      </c>
      <c r="E1472" s="6" t="n">
        <f aca="false">Q!M6-Sens!E1471</f>
        <v>74.1284935338591</v>
      </c>
      <c r="F1472" s="6" t="n">
        <f aca="false">Sens!E1472*(1+Sens!F1473)</f>
        <v>90.0799497373663</v>
      </c>
      <c r="G1472" s="6" t="n">
        <f aca="false">Sens!F1472*(1+Sens!G1473)</f>
        <v>107.02842520331</v>
      </c>
      <c r="H1472" s="6" t="n">
        <f aca="false">Sens!G1472*(1+Sens!H1473)</f>
        <v>124.271982585636</v>
      </c>
      <c r="I1472" s="6" t="n">
        <f aca="false">Sens!H1472*(1+Sens!I1473)</f>
        <v>140.933702381855</v>
      </c>
      <c r="J1472" s="6" t="n">
        <f aca="false">Sens!I1472*(1+Sens!J1473)</f>
        <v>156.018867314332</v>
      </c>
      <c r="K1472" s="6" t="n">
        <f aca="false">Sens!J1472*(1+Sens!K1473)</f>
        <v>168.500376699478</v>
      </c>
    </row>
    <row r="1473" customFormat="false" ht="15" hidden="false" customHeight="false" outlineLevel="0" collapsed="false">
      <c r="A1473" s="1" t="s">
        <v>876</v>
      </c>
      <c r="B1473" s="0" t="s">
        <v>129</v>
      </c>
      <c r="E1473" s="7" t="n">
        <f aca="false">Sens!E1472/Sens!D1472-1</f>
        <v>0.242223883039864</v>
      </c>
      <c r="F1473" s="7" t="n">
        <f aca="false">Sens!$E$1473+(glt_azo-Sens!$E$1473)*MIN(1,(Sens!F1433-base_fy)/n_conv)</f>
        <v>0.215186569199887</v>
      </c>
      <c r="G1473" s="7" t="n">
        <f aca="false">Sens!$E$1473+(glt_azo-Sens!$E$1473)*MIN(1,(Sens!G1433-base_fy)/n_conv)</f>
        <v>0.18814925535991</v>
      </c>
      <c r="H1473" s="7" t="n">
        <f aca="false">Sens!$E$1473+(glt_azo-Sens!$E$1473)*MIN(1,(Sens!H1433-base_fy)/n_conv)</f>
        <v>0.161111941519932</v>
      </c>
      <c r="I1473" s="7" t="n">
        <f aca="false">Sens!$E$1473+(glt_azo-Sens!$E$1473)*MIN(1,(Sens!I1433-base_fy)/n_conv)</f>
        <v>0.134074627679955</v>
      </c>
      <c r="J1473" s="7" t="n">
        <f aca="false">Sens!$E$1473+(glt_azo-Sens!$E$1473)*MIN(1,(Sens!J1433-base_fy)/n_conv)</f>
        <v>0.107037313839977</v>
      </c>
      <c r="K1473" s="7" t="n">
        <f aca="false">Sens!$E$1473+(glt_azo-Sens!$E$1473)*MIN(1,(Sens!K1433-base_fy)/n_conv)</f>
        <v>0.08</v>
      </c>
    </row>
    <row r="1474" customFormat="false" ht="15" hidden="false" customHeight="false" outlineLevel="0" collapsed="false">
      <c r="A1474" s="0" t="s">
        <v>877</v>
      </c>
      <c r="B1474" s="0" t="s">
        <v>98</v>
      </c>
      <c r="D1474" s="6" t="n">
        <f aca="false">Sens!D1471+Sens!D1472</f>
        <v>72.61</v>
      </c>
      <c r="E1474" s="6" t="n">
        <f aca="false">Sens!E1471+Sens!E1472</f>
        <v>101.938</v>
      </c>
      <c r="F1474" s="6" t="n">
        <f aca="false">Sens!F1471+Sens!F1472</f>
        <v>153.403557298569</v>
      </c>
      <c r="G1474" s="6" t="n">
        <f aca="false">Sens!G1471+Sens!G1472</f>
        <v>209.896547720222</v>
      </c>
      <c r="H1474" s="6" t="n">
        <f aca="false">Sens!H1471+Sens!H1472</f>
        <v>267.832957933041</v>
      </c>
      <c r="I1474" s="6" t="n">
        <f aca="false">Sens!I1471+Sens!I1472</f>
        <v>320.515931687162</v>
      </c>
      <c r="J1474" s="6" t="n">
        <f aca="false">Sens!J1471+Sens!J1472</f>
        <v>361.01704540141</v>
      </c>
      <c r="K1474" s="6" t="n">
        <f aca="false">Sens!K1471+Sens!K1472</f>
        <v>390.143660440745</v>
      </c>
    </row>
    <row r="1475" customFormat="false" ht="17.15" hidden="false" customHeight="false" outlineLevel="0" collapsed="false">
      <c r="A1475" s="0" t="s">
        <v>878</v>
      </c>
      <c r="B1475" s="1" t="s">
        <v>528</v>
      </c>
      <c r="C1475" s="29" t="n">
        <f aca="false">cop_s24</f>
        <v>1</v>
      </c>
      <c r="D1475" s="29" t="n">
        <f aca="false">cop_s25</f>
        <v>5</v>
      </c>
      <c r="E1475" s="29" t="n">
        <f aca="false">cop_s26</f>
        <v>30</v>
      </c>
      <c r="F1475" s="29" t="n">
        <f aca="false">Sens!E1475+cop_add_B</f>
        <v>50</v>
      </c>
      <c r="G1475" s="29" t="n">
        <f aca="false">Sens!F1475+cop_add_B</f>
        <v>70</v>
      </c>
      <c r="H1475" s="29" t="n">
        <f aca="false">Sens!G1475+cop_add_B</f>
        <v>90</v>
      </c>
      <c r="I1475" s="29" t="n">
        <f aca="false">Sens!H1475+cop_add_B*cop_tail</f>
        <v>100</v>
      </c>
      <c r="J1475" s="29" t="n">
        <f aca="false">Sens!I1475+cop_add_B*cop_tail</f>
        <v>110</v>
      </c>
      <c r="K1475" s="29" t="n">
        <f aca="false">Sens!J1475+cop_add_B*cop_tail</f>
        <v>120</v>
      </c>
      <c r="L1475" s="11" t="s">
        <v>879</v>
      </c>
    </row>
    <row r="1476" customFormat="false" ht="17.15" hidden="false" customHeight="false" outlineLevel="0" collapsed="false">
      <c r="A1476" s="0" t="s">
        <v>880</v>
      </c>
      <c r="B1476" s="0" t="s">
        <v>98</v>
      </c>
      <c r="D1476" s="6" t="n">
        <f aca="false">(Sens!C1475+Sens!D1475)/2*cop_px*12/1000</f>
        <v>0.9</v>
      </c>
      <c r="E1476" s="6" t="n">
        <f aca="false">(Sens!D1475+Sens!E1475)/2*cop_px*12/1000</f>
        <v>5.25</v>
      </c>
      <c r="F1476" s="6" t="n">
        <f aca="false">(Sens!E1475+Sens!F1475)/2*cop_px*12/1000</f>
        <v>12</v>
      </c>
      <c r="G1476" s="6" t="n">
        <f aca="false">(Sens!F1475+Sens!G1475)/2*cop_px*12/1000</f>
        <v>18</v>
      </c>
      <c r="H1476" s="6" t="n">
        <f aca="false">(Sens!G1475+Sens!H1475)/2*cop_px*12/1000</f>
        <v>24</v>
      </c>
      <c r="I1476" s="6" t="n">
        <f aca="false">(Sens!H1475+Sens!I1475)/2*cop_px*12/1000</f>
        <v>28.5</v>
      </c>
      <c r="J1476" s="6" t="n">
        <f aca="false">(Sens!I1475+Sens!J1475)/2*cop_px*12/1000</f>
        <v>31.5</v>
      </c>
      <c r="K1476" s="6" t="n">
        <f aca="false">(Sens!J1475+Sens!K1475)/2*cop_px*12/1000</f>
        <v>34.5</v>
      </c>
      <c r="L1476" s="1" t="s">
        <v>881</v>
      </c>
    </row>
    <row r="1477" customFormat="false" ht="17.15" hidden="false" customHeight="false" outlineLevel="0" collapsed="false">
      <c r="A1477" s="0" t="s">
        <v>882</v>
      </c>
      <c r="B1477" s="0" t="s">
        <v>98</v>
      </c>
      <c r="D1477" s="6" t="n">
        <f aca="false">Q!L7-Sens!D1476</f>
        <v>83.705</v>
      </c>
      <c r="E1477" s="6" t="n">
        <f aca="false">Q!M7-Sens!E1476</f>
        <v>95.049</v>
      </c>
      <c r="F1477" s="6" t="n">
        <f aca="false">Sens!E1477*(1+Sens!F1478)</f>
        <v>106.89238776686</v>
      </c>
      <c r="G1477" s="6" t="n">
        <f aca="false">Sens!F1477*(1+Sens!G1478)</f>
        <v>119.044168448684</v>
      </c>
      <c r="H1477" s="6" t="n">
        <f aca="false">Sens!G1477*(1+Sens!H1478)</f>
        <v>131.277359388781</v>
      </c>
      <c r="I1477" s="6" t="n">
        <f aca="false">Sens!H1477*(1+Sens!I1478)</f>
        <v>143.334028071957</v>
      </c>
      <c r="J1477" s="6" t="n">
        <f aca="false">Sens!I1477*(1+Sens!J1478)</f>
        <v>154.932702785465</v>
      </c>
      <c r="K1477" s="6" t="n">
        <f aca="false">Sens!J1477*(1+Sens!K1478)</f>
        <v>165.777991980448</v>
      </c>
    </row>
    <row r="1478" customFormat="false" ht="15" hidden="false" customHeight="false" outlineLevel="0" collapsed="false">
      <c r="A1478" s="1" t="s">
        <v>876</v>
      </c>
      <c r="B1478" s="0" t="s">
        <v>129</v>
      </c>
      <c r="E1478" s="7" t="n">
        <f aca="false">Sens!E1477/Sens!D1477-1</f>
        <v>0.135523564900544</v>
      </c>
      <c r="F1478" s="7" t="n">
        <f aca="false">Sens!$E$1478+(glt_m365b-Sens!$E$1478)*MIN(1,(Sens!F1433-base_fy)/n_conv)</f>
        <v>0.124602970750453</v>
      </c>
      <c r="G1478" s="7" t="n">
        <f aca="false">Sens!$E$1478+(glt_m365b-Sens!$E$1478)*MIN(1,(Sens!G1433-base_fy)/n_conv)</f>
        <v>0.113682376600363</v>
      </c>
      <c r="H1478" s="7" t="n">
        <f aca="false">Sens!$E$1478+(glt_m365b-Sens!$E$1478)*MIN(1,(Sens!H1433-base_fy)/n_conv)</f>
        <v>0.102761782450272</v>
      </c>
      <c r="I1478" s="7" t="n">
        <f aca="false">Sens!$E$1478+(glt_m365b-Sens!$E$1478)*MIN(1,(Sens!I1433-base_fy)/n_conv)</f>
        <v>0.0918411883001813</v>
      </c>
      <c r="J1478" s="7" t="n">
        <f aca="false">Sens!$E$1478+(glt_m365b-Sens!$E$1478)*MIN(1,(Sens!J1433-base_fy)/n_conv)</f>
        <v>0.0809205941500906</v>
      </c>
      <c r="K1478" s="7" t="n">
        <f aca="false">Sens!$E$1478+(glt_m365b-Sens!$E$1478)*MIN(1,(Sens!K1433-base_fy)/n_conv)</f>
        <v>0.07</v>
      </c>
    </row>
    <row r="1479" customFormat="false" ht="15" hidden="false" customHeight="false" outlineLevel="0" collapsed="false">
      <c r="A1479" s="0" t="s">
        <v>883</v>
      </c>
      <c r="B1479" s="0" t="s">
        <v>98</v>
      </c>
      <c r="D1479" s="6" t="n">
        <f aca="false">Sens!D1477+Sens!D1476</f>
        <v>84.605</v>
      </c>
      <c r="E1479" s="6" t="n">
        <f aca="false">Sens!E1477+Sens!E1476</f>
        <v>100.299</v>
      </c>
      <c r="F1479" s="6" t="n">
        <f aca="false">Sens!F1477+Sens!F1476</f>
        <v>118.89238776686</v>
      </c>
      <c r="G1479" s="6" t="n">
        <f aca="false">Sens!G1477+Sens!G1476</f>
        <v>137.044168448684</v>
      </c>
      <c r="H1479" s="6" t="n">
        <f aca="false">Sens!H1477+Sens!H1476</f>
        <v>155.277359388781</v>
      </c>
      <c r="I1479" s="6" t="n">
        <f aca="false">Sens!I1477+Sens!I1476</f>
        <v>171.834028071957</v>
      </c>
      <c r="J1479" s="6" t="n">
        <f aca="false">Sens!J1477+Sens!J1476</f>
        <v>186.432702785465</v>
      </c>
      <c r="K1479" s="6" t="n">
        <f aca="false">Sens!K1477+Sens!K1476</f>
        <v>200.277991980448</v>
      </c>
    </row>
    <row r="1480" customFormat="false" ht="15" hidden="false" customHeight="false" outlineLevel="0" collapsed="false">
      <c r="A1480" s="0" t="s">
        <v>884</v>
      </c>
      <c r="B1480" s="0" t="s">
        <v>98</v>
      </c>
      <c r="D1480" s="6" t="n">
        <f aca="false">Q!L8</f>
        <v>35.391</v>
      </c>
      <c r="E1480" s="6" t="n">
        <f aca="false">Q!M8</f>
        <v>37.285</v>
      </c>
      <c r="F1480" s="6" t="n">
        <f aca="false">Sens!E1480*(1+Sens!F1481)</f>
        <v>39.0720834331704</v>
      </c>
      <c r="G1480" s="6" t="n">
        <f aca="false">Sens!F1480*(1+Sens!G1481)</f>
        <v>40.726562953769</v>
      </c>
      <c r="H1480" s="6" t="n">
        <f aca="false">Sens!G1480*(1+Sens!H1481)</f>
        <v>42.2235987259198</v>
      </c>
      <c r="I1480" s="6" t="n">
        <f aca="false">Sens!H1480*(1+Sens!I1481)</f>
        <v>43.5397988077414</v>
      </c>
      <c r="J1480" s="6" t="n">
        <f aca="false">Sens!I1480*(1+Sens!J1481)</f>
        <v>44.653811225693</v>
      </c>
      <c r="K1480" s="6" t="n">
        <f aca="false">Sens!J1480*(1+Sens!K1481)</f>
        <v>45.5468874502068</v>
      </c>
    </row>
    <row r="1481" customFormat="false" ht="15" hidden="false" customHeight="false" outlineLevel="0" collapsed="false">
      <c r="A1481" s="1" t="s">
        <v>876</v>
      </c>
      <c r="B1481" s="0" t="s">
        <v>129</v>
      </c>
      <c r="E1481" s="7" t="n">
        <f aca="false">Sens!E1480/Sens!D1480-1</f>
        <v>0.0535164307309768</v>
      </c>
      <c r="F1481" s="7" t="n">
        <f aca="false">Sens!$E$1481+(glt_lic-Sens!$E$1481)*MIN(1,(Sens!F1433-base_fy)/n_conv)</f>
        <v>0.0479303589424807</v>
      </c>
      <c r="G1481" s="7" t="n">
        <f aca="false">Sens!$E$1481+(glt_lic-Sens!$E$1481)*MIN(1,(Sens!G1433-base_fy)/n_conv)</f>
        <v>0.0423442871539845</v>
      </c>
      <c r="H1481" s="7" t="n">
        <f aca="false">Sens!$E$1481+(glt_lic-Sens!$E$1481)*MIN(1,(Sens!H1433-base_fy)/n_conv)</f>
        <v>0.0367582153654884</v>
      </c>
      <c r="I1481" s="7" t="n">
        <f aca="false">Sens!$E$1481+(glt_lic-Sens!$E$1481)*MIN(1,(Sens!I1433-base_fy)/n_conv)</f>
        <v>0.0311721435769923</v>
      </c>
      <c r="J1481" s="7" t="n">
        <f aca="false">Sens!$E$1481+(glt_lic-Sens!$E$1481)*MIN(1,(Sens!J1433-base_fy)/n_conv)</f>
        <v>0.0255860717884961</v>
      </c>
      <c r="K1481" s="7" t="n">
        <f aca="false">Sens!$E$1481+(glt_lic-Sens!$E$1481)*MIN(1,(Sens!K1433-base_fy)/n_conv)</f>
        <v>0.02</v>
      </c>
    </row>
    <row r="1482" customFormat="false" ht="15" hidden="false" customHeight="false" outlineLevel="0" collapsed="false">
      <c r="A1482" s="0" t="s">
        <v>885</v>
      </c>
      <c r="B1482" s="0" t="s">
        <v>98</v>
      </c>
      <c r="D1482" s="6" t="n">
        <f aca="false">Q!L9</f>
        <v>18.417</v>
      </c>
      <c r="E1482" s="6" t="n">
        <f aca="false">Q!M9</f>
        <v>20.345</v>
      </c>
      <c r="F1482" s="6" t="n">
        <f aca="false">Sens!E1482*(1+Sens!F1483)</f>
        <v>22.3572203267814</v>
      </c>
      <c r="G1482" s="6" t="n">
        <f aca="false">Sens!F1482*(1+Sens!G1483)</f>
        <v>24.4392124437232</v>
      </c>
      <c r="H1482" s="6" t="n">
        <f aca="false">Sens!G1482*(1+Sens!H1483)</f>
        <v>26.5738052080665</v>
      </c>
      <c r="I1482" s="6" t="n">
        <f aca="false">Sens!H1482*(1+Sens!I1483)</f>
        <v>28.7412169166967</v>
      </c>
      <c r="J1482" s="6" t="n">
        <f aca="false">Sens!I1482*(1+Sens!J1483)</f>
        <v>30.9192545395413</v>
      </c>
      <c r="K1482" s="6" t="n">
        <f aca="false">Sens!J1482*(1+Sens!K1483)</f>
        <v>33.0836023573092</v>
      </c>
    </row>
    <row r="1483" customFormat="false" ht="15" hidden="false" customHeight="false" outlineLevel="0" collapsed="false">
      <c r="A1483" s="1" t="s">
        <v>876</v>
      </c>
      <c r="B1483" s="0" t="s">
        <v>129</v>
      </c>
      <c r="E1483" s="7" t="n">
        <f aca="false">Sens!E1482/Sens!D1482-1</f>
        <v>0.104685888038225</v>
      </c>
      <c r="F1483" s="7" t="n">
        <f aca="false">Sens!$E$1483+(glt_ind-Sens!$E$1483)*MIN(1,(Sens!F1433-base_fy)/n_conv)</f>
        <v>0.0989049066985211</v>
      </c>
      <c r="G1483" s="7" t="n">
        <f aca="false">Sens!$E$1483+(glt_ind-Sens!$E$1483)*MIN(1,(Sens!G1433-base_fy)/n_conv)</f>
        <v>0.0931239253588169</v>
      </c>
      <c r="H1483" s="7" t="n">
        <f aca="false">Sens!$E$1483+(glt_ind-Sens!$E$1483)*MIN(1,(Sens!H1433-base_fy)/n_conv)</f>
        <v>0.0873429440191127</v>
      </c>
      <c r="I1483" s="7" t="n">
        <f aca="false">Sens!$E$1483+(glt_ind-Sens!$E$1483)*MIN(1,(Sens!I1433-base_fy)/n_conv)</f>
        <v>0.0815619626794085</v>
      </c>
      <c r="J1483" s="7" t="n">
        <f aca="false">Sens!$E$1483+(glt_ind-Sens!$E$1483)*MIN(1,(Sens!J1433-base_fy)/n_conv)</f>
        <v>0.0757809813397042</v>
      </c>
      <c r="K1483" s="7" t="n">
        <f aca="false">Sens!$E$1483+(glt_ind-Sens!$E$1483)*MIN(1,(Sens!K1433-base_fy)/n_conv)</f>
        <v>0.07</v>
      </c>
    </row>
    <row r="1484" customFormat="false" ht="15" hidden="false" customHeight="false" outlineLevel="0" collapsed="false">
      <c r="A1484" s="0" t="s">
        <v>886</v>
      </c>
      <c r="B1484" s="0" t="s">
        <v>98</v>
      </c>
      <c r="D1484" s="6" t="n">
        <f aca="false">Q!L10</f>
        <v>7.76</v>
      </c>
      <c r="E1484" s="6" t="n">
        <f aca="false">Q!M10</f>
        <v>8.26</v>
      </c>
      <c r="F1484" s="6" t="n">
        <f aca="false">Sens!E1484*(1+Sens!F1485)</f>
        <v>8.79988041237113</v>
      </c>
      <c r="G1484" s="6" t="n">
        <f aca="false">Sens!F1484*(1+Sens!G1485)</f>
        <v>9.38321269125306</v>
      </c>
      <c r="H1484" s="6" t="n">
        <f aca="false">Sens!G1484*(1+Sens!H1485)</f>
        <v>10.0139193587476</v>
      </c>
      <c r="I1484" s="6" t="n">
        <f aca="false">Sens!H1484*(1+Sens!I1485)</f>
        <v>10.6963111830911</v>
      </c>
      <c r="J1484" s="6" t="n">
        <f aca="false">Sens!I1484*(1+Sens!J1485)</f>
        <v>11.4351285534696</v>
      </c>
      <c r="K1484" s="6" t="n">
        <f aca="false">Sens!J1484*(1+Sens!K1485)</f>
        <v>12.2355875522124</v>
      </c>
    </row>
    <row r="1485" customFormat="false" ht="15" hidden="false" customHeight="false" outlineLevel="0" collapsed="false">
      <c r="A1485" s="1" t="s">
        <v>876</v>
      </c>
      <c r="B1485" s="0" t="s">
        <v>129</v>
      </c>
      <c r="E1485" s="7" t="n">
        <f aca="false">Sens!E1484/Sens!D1484-1</f>
        <v>0.0644329896907216</v>
      </c>
      <c r="F1485" s="7" t="n">
        <f aca="false">Sens!$E$1485+(glt_fro-Sens!$E$1485)*MIN(1,(Sens!F1433-base_fy)/n_conv)</f>
        <v>0.065360824742268</v>
      </c>
      <c r="G1485" s="7" t="n">
        <f aca="false">Sens!$E$1485+(glt_fro-Sens!$E$1485)*MIN(1,(Sens!G1433-base_fy)/n_conv)</f>
        <v>0.0662886597938144</v>
      </c>
      <c r="H1485" s="7" t="n">
        <f aca="false">Sens!$E$1485+(glt_fro-Sens!$E$1485)*MIN(1,(Sens!H1433-base_fy)/n_conv)</f>
        <v>0.0672164948453608</v>
      </c>
      <c r="I1485" s="7" t="n">
        <f aca="false">Sens!$E$1485+(glt_fro-Sens!$E$1485)*MIN(1,(Sens!I1433-base_fy)/n_conv)</f>
        <v>0.0681443298969072</v>
      </c>
      <c r="J1485" s="7" t="n">
        <f aca="false">Sens!$E$1485+(glt_fro-Sens!$E$1485)*MIN(1,(Sens!J1433-base_fy)/n_conv)</f>
        <v>0.0690721649484536</v>
      </c>
      <c r="K1485" s="7" t="n">
        <f aca="false">Sens!$E$1485+(glt_fro-Sens!$E$1485)*MIN(1,(Sens!K1433-base_fy)/n_conv)</f>
        <v>0.07</v>
      </c>
    </row>
    <row r="1486" customFormat="false" ht="15" hidden="false" customHeight="false" outlineLevel="0" collapsed="false">
      <c r="A1486" s="0" t="s">
        <v>715</v>
      </c>
      <c r="B1486" s="0" t="s">
        <v>98</v>
      </c>
      <c r="D1486" s="6" t="n">
        <f aca="false">Sens!D1474+Sens!D1479+Sens!D1480+Sens!D1482+Sens!D1484</f>
        <v>218.783</v>
      </c>
      <c r="E1486" s="6" t="n">
        <f aca="false">Sens!E1474+Sens!E1479+Sens!E1480+Sens!E1482+Sens!E1484</f>
        <v>268.127</v>
      </c>
      <c r="F1486" s="6" t="n">
        <f aca="false">Sens!F1474+Sens!F1479+Sens!F1480+Sens!F1482+Sens!F1484</f>
        <v>342.525129237751</v>
      </c>
      <c r="G1486" s="6" t="n">
        <f aca="false">Sens!G1474+Sens!G1479+Sens!G1480+Sens!G1482+Sens!G1484</f>
        <v>421.489704257651</v>
      </c>
      <c r="H1486" s="6" t="n">
        <f aca="false">Sens!H1474+Sens!H1479+Sens!H1480+Sens!H1482+Sens!H1484</f>
        <v>501.921640614556</v>
      </c>
      <c r="I1486" s="6" t="n">
        <f aca="false">Sens!I1474+Sens!I1479+Sens!I1480+Sens!I1482+Sens!I1484</f>
        <v>575.327286666648</v>
      </c>
      <c r="J1486" s="6" t="n">
        <f aca="false">Sens!J1474+Sens!J1479+Sens!J1480+Sens!J1482+Sens!J1484</f>
        <v>634.457942505579</v>
      </c>
      <c r="K1486" s="6" t="n">
        <f aca="false">Sens!K1474+Sens!K1479+Sens!K1480+Sens!K1482+Sens!K1484</f>
        <v>681.287729780922</v>
      </c>
    </row>
    <row r="1487" customFormat="false" ht="15" hidden="false" customHeight="false" outlineLevel="0" collapsed="false">
      <c r="A1487" s="0" t="s">
        <v>887</v>
      </c>
      <c r="B1487" s="0" t="s">
        <v>98</v>
      </c>
      <c r="D1487" s="6" t="n">
        <f aca="false">Q!L13</f>
        <v>22.171</v>
      </c>
      <c r="E1487" s="6" t="n">
        <f aca="false">Q!M13</f>
        <v>24.835</v>
      </c>
      <c r="F1487" s="6" t="n">
        <f aca="false">Sens!E1487*(1+Sens!F1488)</f>
        <v>27.6114901218559</v>
      </c>
      <c r="G1487" s="6" t="n">
        <f aca="false">Sens!F1487*(1+Sens!G1488)</f>
        <v>30.4675667338515</v>
      </c>
      <c r="H1487" s="6" t="n">
        <f aca="false">Sens!G1487*(1+Sens!H1488)</f>
        <v>33.3643766955789</v>
      </c>
      <c r="I1487" s="6" t="n">
        <f aca="false">Sens!H1487*(1+Sens!I1488)</f>
        <v>36.2577016533691</v>
      </c>
      <c r="J1487" s="6" t="n">
        <f aca="false">Sens!I1487*(1+Sens!J1488)</f>
        <v>39.0988367952171</v>
      </c>
      <c r="K1487" s="6" t="n">
        <f aca="false">Sens!J1487*(1+Sens!K1488)</f>
        <v>41.8357553708823</v>
      </c>
    </row>
    <row r="1488" customFormat="false" ht="15" hidden="false" customHeight="false" outlineLevel="0" collapsed="false">
      <c r="A1488" s="1" t="s">
        <v>876</v>
      </c>
      <c r="B1488" s="0" t="s">
        <v>129</v>
      </c>
      <c r="E1488" s="7" t="n">
        <f aca="false">Sens!E1487/Sens!D1487-1</f>
        <v>0.120156961796942</v>
      </c>
      <c r="F1488" s="7" t="n">
        <f aca="false">Sens!$E$1488+(glt_srch-Sens!$E$1488)*MIN(1,(Sens!F1433-base_fy)/n_conv)</f>
        <v>0.111797468164118</v>
      </c>
      <c r="G1488" s="7" t="n">
        <f aca="false">Sens!$E$1488+(glt_srch-Sens!$E$1488)*MIN(1,(Sens!G1433-base_fy)/n_conv)</f>
        <v>0.103437974531295</v>
      </c>
      <c r="H1488" s="7" t="n">
        <f aca="false">Sens!$E$1488+(glt_srch-Sens!$E$1488)*MIN(1,(Sens!H1433-base_fy)/n_conv)</f>
        <v>0.095078480898471</v>
      </c>
      <c r="I1488" s="7" t="n">
        <f aca="false">Sens!$E$1488+(glt_srch-Sens!$E$1488)*MIN(1,(Sens!I1433-base_fy)/n_conv)</f>
        <v>0.0867189872656474</v>
      </c>
      <c r="J1488" s="7" t="n">
        <f aca="false">Sens!$E$1488+(glt_srch-Sens!$E$1488)*MIN(1,(Sens!J1433-base_fy)/n_conv)</f>
        <v>0.0783594936328237</v>
      </c>
      <c r="K1488" s="7" t="n">
        <f aca="false">Sens!$E$1488+(glt_srch-Sens!$E$1488)*MIN(1,(Sens!K1433-base_fy)/n_conv)</f>
        <v>0.07</v>
      </c>
    </row>
    <row r="1489" customFormat="false" ht="15" hidden="false" customHeight="false" outlineLevel="0" collapsed="false">
      <c r="A1489" s="0" t="s">
        <v>888</v>
      </c>
      <c r="B1489" s="0" t="s">
        <v>98</v>
      </c>
      <c r="D1489" s="6" t="n">
        <f aca="false">Q!L14</f>
        <v>23.455</v>
      </c>
      <c r="E1489" s="6" t="n">
        <f aca="false">Q!M14</f>
        <v>21.79</v>
      </c>
      <c r="F1489" s="6" t="n">
        <f aca="false">Sens!E1489*(1+Sens!F1490)</f>
        <v>20.5736277908051</v>
      </c>
      <c r="G1489" s="6" t="n">
        <f aca="false">Sens!F1489*(1+Sens!G1490)</f>
        <v>19.7371452817919</v>
      </c>
      <c r="H1489" s="6" t="n">
        <f aca="false">Sens!G1489*(1+Sens!H1490)</f>
        <v>19.2339764043138</v>
      </c>
      <c r="I1489" s="6" t="n">
        <f aca="false">Sens!H1489*(1+Sens!I1490)</f>
        <v>19.0353086852681</v>
      </c>
      <c r="J1489" s="6" t="n">
        <f aca="false">Sens!I1489*(1+Sens!J1490)</f>
        <v>19.1273539319129</v>
      </c>
      <c r="K1489" s="6" t="n">
        <f aca="false">Sens!J1489*(1+Sens!K1490)</f>
        <v>19.5099010105511</v>
      </c>
    </row>
    <row r="1490" customFormat="false" ht="15" hidden="false" customHeight="false" outlineLevel="0" collapsed="false">
      <c r="A1490" s="1" t="s">
        <v>876</v>
      </c>
      <c r="B1490" s="0" t="s">
        <v>129</v>
      </c>
      <c r="E1490" s="7" t="n">
        <f aca="false">Sens!E1489/Sens!D1489-1</f>
        <v>-0.0709869963760392</v>
      </c>
      <c r="F1490" s="7" t="n">
        <f aca="false">Sens!$E$1490+(glt_xbox-Sens!$E$1490)*MIN(1,(Sens!F1433-base_fy)/n_conv)</f>
        <v>-0.0558224969800327</v>
      </c>
      <c r="G1490" s="7" t="n">
        <f aca="false">Sens!$E$1490+(glt_xbox-Sens!$E$1490)*MIN(1,(Sens!G1433-base_fy)/n_conv)</f>
        <v>-0.0406579975840262</v>
      </c>
      <c r="H1490" s="7" t="n">
        <f aca="false">Sens!$E$1490+(glt_xbox-Sens!$E$1490)*MIN(1,(Sens!H1433-base_fy)/n_conv)</f>
        <v>-0.0254934981880196</v>
      </c>
      <c r="I1490" s="7" t="n">
        <f aca="false">Sens!$E$1490+(glt_xbox-Sens!$E$1490)*MIN(1,(Sens!I1433-base_fy)/n_conv)</f>
        <v>-0.0103289987920131</v>
      </c>
      <c r="J1490" s="7" t="n">
        <f aca="false">Sens!$E$1490+(glt_xbox-Sens!$E$1490)*MIN(1,(Sens!J1433-base_fy)/n_conv)</f>
        <v>0.00483550060399347</v>
      </c>
      <c r="K1490" s="7" t="n">
        <f aca="false">Sens!$E$1490+(glt_xbox-Sens!$E$1490)*MIN(1,(Sens!K1433-base_fy)/n_conv)</f>
        <v>0.02</v>
      </c>
    </row>
    <row r="1491" customFormat="false" ht="15" hidden="false" customHeight="false" outlineLevel="0" collapsed="false">
      <c r="A1491" s="0" t="s">
        <v>889</v>
      </c>
      <c r="B1491" s="0" t="s">
        <v>98</v>
      </c>
      <c r="D1491" s="6" t="n">
        <f aca="false">Q!L15</f>
        <v>17.315</v>
      </c>
      <c r="E1491" s="6" t="n">
        <f aca="false">Q!M15</f>
        <v>17.087</v>
      </c>
      <c r="F1491" s="6" t="n">
        <f aca="false">Sens!E1491*(1+Sens!F1492)</f>
        <v>16.9564585436519</v>
      </c>
      <c r="G1491" s="6" t="n">
        <f aca="false">Sens!F1491*(1+Sens!G1492)</f>
        <v>16.9206490624268</v>
      </c>
      <c r="H1491" s="6" t="n">
        <f aca="false">Sens!G1491*(1+Sens!H1492)</f>
        <v>16.9784519149849</v>
      </c>
      <c r="I1491" s="6" t="n">
        <f aca="false">Sens!H1491*(1+Sens!I1492)</f>
        <v>17.1303084701817</v>
      </c>
      <c r="J1491" s="6" t="n">
        <f aca="false">Sens!I1491*(1+Sens!J1492)</f>
        <v>17.3782189407267</v>
      </c>
      <c r="K1491" s="6" t="n">
        <f aca="false">Sens!J1491*(1+Sens!K1492)</f>
        <v>17.7257833195413</v>
      </c>
    </row>
    <row r="1492" customFormat="false" ht="15" hidden="false" customHeight="false" outlineLevel="0" collapsed="false">
      <c r="A1492" s="1" t="s">
        <v>876</v>
      </c>
      <c r="B1492" s="0" t="s">
        <v>129</v>
      </c>
      <c r="E1492" s="7" t="n">
        <f aca="false">Sens!E1491/Sens!D1491-1</f>
        <v>-0.0131677736066995</v>
      </c>
      <c r="F1492" s="7" t="n">
        <f aca="false">Sens!$E$1492+(glt_win-Sens!$E$1492)*MIN(1,(Sens!F1433-base_fy)/n_conv)</f>
        <v>-0.00763981133891627</v>
      </c>
      <c r="G1492" s="7" t="n">
        <f aca="false">Sens!$E$1492+(glt_win-Sens!$E$1492)*MIN(1,(Sens!G1433-base_fy)/n_conv)</f>
        <v>-0.00211184907113301</v>
      </c>
      <c r="H1492" s="7" t="n">
        <f aca="false">Sens!$E$1492+(glt_win-Sens!$E$1492)*MIN(1,(Sens!H1433-base_fy)/n_conv)</f>
        <v>0.00341611319665024</v>
      </c>
      <c r="I1492" s="7" t="n">
        <f aca="false">Sens!$E$1492+(glt_win-Sens!$E$1492)*MIN(1,(Sens!I1433-base_fy)/n_conv)</f>
        <v>0.00894407546443349</v>
      </c>
      <c r="J1492" s="7" t="n">
        <f aca="false">Sens!$E$1492+(glt_win-Sens!$E$1492)*MIN(1,(Sens!J1433-base_fy)/n_conv)</f>
        <v>0.0144720377322168</v>
      </c>
      <c r="K1492" s="7" t="n">
        <f aca="false">Sens!$E$1492+(glt_win-Sens!$E$1492)*MIN(1,(Sens!K1433-base_fy)/n_conv)</f>
        <v>0.02</v>
      </c>
    </row>
    <row r="1493" customFormat="false" ht="15" hidden="false" customHeight="false" outlineLevel="0" collapsed="false">
      <c r="A1493" s="0" t="s">
        <v>729</v>
      </c>
      <c r="B1493" s="0" t="s">
        <v>98</v>
      </c>
      <c r="D1493" s="6" t="n">
        <f aca="false">Sens!D1487+Sens!D1489+Sens!D1491</f>
        <v>62.941</v>
      </c>
      <c r="E1493" s="6" t="n">
        <f aca="false">Sens!E1487+Sens!E1489+Sens!E1491</f>
        <v>63.712</v>
      </c>
      <c r="F1493" s="6" t="n">
        <f aca="false">Sens!F1487+Sens!F1489+Sens!F1491</f>
        <v>65.1415764563129</v>
      </c>
      <c r="G1493" s="6" t="n">
        <f aca="false">Sens!G1487+Sens!G1489+Sens!G1491</f>
        <v>67.1253610780702</v>
      </c>
      <c r="H1493" s="6" t="n">
        <f aca="false">Sens!H1487+Sens!H1489+Sens!H1491</f>
        <v>69.5768050148776</v>
      </c>
      <c r="I1493" s="6" t="n">
        <f aca="false">Sens!I1487+Sens!I1489+Sens!I1491</f>
        <v>72.4233188088189</v>
      </c>
      <c r="J1493" s="6" t="n">
        <f aca="false">Sens!J1487+Sens!J1489+Sens!J1491</f>
        <v>75.6044096678567</v>
      </c>
      <c r="K1493" s="6" t="n">
        <f aca="false">Sens!K1487+Sens!K1489+Sens!K1491</f>
        <v>79.0714397009747</v>
      </c>
    </row>
    <row r="1494" customFormat="false" ht="15" hidden="false" customHeight="false" outlineLevel="0" collapsed="false">
      <c r="A1494" s="1" t="s">
        <v>890</v>
      </c>
      <c r="B1494" s="0" t="s">
        <v>98</v>
      </c>
      <c r="D1494" s="6" t="n">
        <f aca="false">Sens!D1486+Sens!D1493</f>
        <v>281.724</v>
      </c>
      <c r="E1494" s="6" t="n">
        <f aca="false">Sens!E1486+Sens!E1493</f>
        <v>331.839</v>
      </c>
      <c r="F1494" s="6" t="n">
        <f aca="false">Sens!F1486+Sens!F1493</f>
        <v>407.666705694064</v>
      </c>
      <c r="G1494" s="6" t="n">
        <f aca="false">Sens!G1486+Sens!G1493</f>
        <v>488.615065335721</v>
      </c>
      <c r="H1494" s="6" t="n">
        <f aca="false">Sens!H1486+Sens!H1493</f>
        <v>571.498445629434</v>
      </c>
      <c r="I1494" s="6" t="n">
        <f aca="false">Sens!I1486+Sens!I1493</f>
        <v>647.750605475467</v>
      </c>
      <c r="J1494" s="6" t="n">
        <f aca="false">Sens!J1486+Sens!J1493</f>
        <v>710.062352173435</v>
      </c>
      <c r="K1494" s="6" t="n">
        <f aca="false">Sens!K1486+Sens!K1493</f>
        <v>760.359169481896</v>
      </c>
    </row>
    <row r="1495" customFormat="false" ht="15" hidden="false" customHeight="false" outlineLevel="0" collapsed="false">
      <c r="A1495" s="23" t="s">
        <v>891</v>
      </c>
      <c r="B1495" s="30" t="s">
        <v>98</v>
      </c>
      <c r="C1495" s="30"/>
      <c r="D1495" s="24" t="n">
        <f aca="false">(Sens!D1474+Sens!D1479+Sens!D1480+Sens!D1482+Sens!D1484-Sens!D1486)+(Sens!D1487+Sens!D1489+Sens!D1491-Sens!D1493)+(Sens!D1486-Q!L5)+(Sens!D1493-Q!L12)+(Sens!D1474-Q!L6)+(Sens!D1479-Q!L7)</f>
        <v>0</v>
      </c>
      <c r="E1495" s="24" t="n">
        <f aca="false">(Sens!E1474+Sens!E1479+Sens!E1480+Sens!E1482+Sens!E1484-Sens!E1486)+(Sens!E1487+Sens!E1489+Sens!E1491-Sens!E1493)+(Sens!E1486-Q!M5)+(Sens!E1493-Q!M12)+(Sens!E1474-Q!M6)+(Sens!E1479-Q!M7)</f>
        <v>0</v>
      </c>
      <c r="F1495" s="24" t="n">
        <f aca="false">(Sens!F1474+Sens!F1479+Sens!F1480+Sens!F1482+Sens!F1484-Sens!F1486)+(Sens!F1487+Sens!F1489+Sens!F1491-Sens!F1493)</f>
        <v>0</v>
      </c>
      <c r="G1495" s="24" t="n">
        <f aca="false">(Sens!G1474+Sens!G1479+Sens!G1480+Sens!G1482+Sens!G1484-Sens!G1486)+(Sens!G1487+Sens!G1489+Sens!G1491-Sens!G1493)</f>
        <v>0</v>
      </c>
      <c r="H1495" s="24" t="n">
        <f aca="false">(Sens!H1474+Sens!H1479+Sens!H1480+Sens!H1482+Sens!H1484-Sens!H1486)+(Sens!H1487+Sens!H1489+Sens!H1491-Sens!H1493)</f>
        <v>0</v>
      </c>
      <c r="I1495" s="24" t="n">
        <f aca="false">(Sens!I1474+Sens!I1479+Sens!I1480+Sens!I1482+Sens!I1484-Sens!I1486)+(Sens!I1487+Sens!I1489+Sens!I1491-Sens!I1493)</f>
        <v>0</v>
      </c>
      <c r="J1495" s="24" t="n">
        <f aca="false">(Sens!J1474+Sens!J1479+Sens!J1480+Sens!J1482+Sens!J1484-Sens!J1486)+(Sens!J1487+Sens!J1489+Sens!J1491-Sens!J1493)</f>
        <v>0</v>
      </c>
      <c r="K1495" s="24" t="n">
        <f aca="false">(Sens!K1474+Sens!K1479+Sens!K1480+Sens!K1482+Sens!K1484-Sens!K1486)+(Sens!K1487+Sens!K1489+Sens!K1491-Sens!K1493)</f>
        <v>0</v>
      </c>
    </row>
    <row r="1496" customFormat="false" ht="17.15" hidden="false" customHeight="false" outlineLevel="0" collapsed="false">
      <c r="A1496" s="3" t="s">
        <v>1299</v>
      </c>
    </row>
    <row r="1497" customFormat="false" ht="15" hidden="false" customHeight="false" outlineLevel="0" collapsed="false">
      <c r="A1497" s="4" t="s">
        <v>43</v>
      </c>
      <c r="B1497" s="4" t="s">
        <v>65</v>
      </c>
      <c r="C1497" s="20" t="s">
        <v>799</v>
      </c>
      <c r="D1497" s="20" t="s">
        <v>800</v>
      </c>
      <c r="E1497" s="20" t="s">
        <v>801</v>
      </c>
      <c r="F1497" s="20" t="s">
        <v>802</v>
      </c>
      <c r="G1497" s="20" t="s">
        <v>803</v>
      </c>
      <c r="H1497" s="20" t="s">
        <v>804</v>
      </c>
      <c r="I1497" s="20" t="s">
        <v>805</v>
      </c>
      <c r="J1497" s="20" t="s">
        <v>806</v>
      </c>
      <c r="K1497" s="20" t="s">
        <v>807</v>
      </c>
      <c r="L1497" s="4" t="s">
        <v>47</v>
      </c>
    </row>
    <row r="1498" customFormat="false" ht="15" hidden="false" customHeight="false" outlineLevel="0" collapsed="false">
      <c r="A1498" s="0" t="s">
        <v>877</v>
      </c>
      <c r="B1498" s="0" t="s">
        <v>98</v>
      </c>
      <c r="D1498" s="6" t="n">
        <f aca="false">Sens!D1474</f>
        <v>72.61</v>
      </c>
      <c r="E1498" s="6" t="n">
        <f aca="false">Sens!E1474</f>
        <v>101.938</v>
      </c>
      <c r="F1498" s="6" t="n">
        <f aca="false">Sens!F1474</f>
        <v>153.403557298569</v>
      </c>
      <c r="G1498" s="6" t="n">
        <f aca="false">Sens!G1474</f>
        <v>209.896547720222</v>
      </c>
      <c r="H1498" s="6" t="n">
        <f aca="false">Sens!H1474</f>
        <v>267.832957933041</v>
      </c>
      <c r="I1498" s="6" t="n">
        <f aca="false">Sens!I1474</f>
        <v>320.515931687162</v>
      </c>
      <c r="J1498" s="6" t="n">
        <f aca="false">Sens!J1474</f>
        <v>361.01704540141</v>
      </c>
      <c r="K1498" s="6" t="n">
        <f aca="false">Sens!K1474</f>
        <v>390.143660440745</v>
      </c>
    </row>
    <row r="1499" customFormat="false" ht="17.15" hidden="false" customHeight="false" outlineLevel="0" collapsed="false">
      <c r="A1499" s="0" t="s">
        <v>874</v>
      </c>
      <c r="B1499" s="0" t="s">
        <v>98</v>
      </c>
      <c r="D1499" s="6" t="n">
        <f aca="false">Sens!D1471</f>
        <v>12.9359794422418</v>
      </c>
      <c r="E1499" s="6" t="n">
        <f aca="false">Sens!E1471</f>
        <v>27.8095064661409</v>
      </c>
      <c r="F1499" s="6" t="n">
        <f aca="false">Sens!F1471</f>
        <v>63.3236075612023</v>
      </c>
      <c r="G1499" s="6" t="n">
        <f aca="false">Sens!G1471</f>
        <v>102.868122516912</v>
      </c>
      <c r="H1499" s="6" t="n">
        <f aca="false">Sens!H1471</f>
        <v>143.560975347405</v>
      </c>
      <c r="I1499" s="6" t="n">
        <f aca="false">Sens!I1471</f>
        <v>179.582229305308</v>
      </c>
      <c r="J1499" s="6" t="n">
        <f aca="false">Sens!J1471</f>
        <v>204.998178087078</v>
      </c>
      <c r="K1499" s="6" t="n">
        <f aca="false">Sens!K1471</f>
        <v>221.643283741267</v>
      </c>
    </row>
    <row r="1500" customFormat="false" ht="17.15" hidden="false" customHeight="false" outlineLevel="0" collapsed="false">
      <c r="A1500" s="0" t="s">
        <v>902</v>
      </c>
      <c r="B1500" s="0" t="s">
        <v>98</v>
      </c>
      <c r="D1500" s="6" t="n">
        <f aca="false">Sens!D1472</f>
        <v>59.6740205577583</v>
      </c>
      <c r="E1500" s="6" t="n">
        <f aca="false">Sens!E1472</f>
        <v>74.1284935338591</v>
      </c>
      <c r="F1500" s="6" t="n">
        <f aca="false">Sens!F1472</f>
        <v>90.0799497373663</v>
      </c>
      <c r="G1500" s="6" t="n">
        <f aca="false">Sens!G1472</f>
        <v>107.02842520331</v>
      </c>
      <c r="H1500" s="6" t="n">
        <f aca="false">Sens!H1472</f>
        <v>124.271982585636</v>
      </c>
      <c r="I1500" s="6" t="n">
        <f aca="false">Sens!I1472</f>
        <v>140.933702381855</v>
      </c>
      <c r="J1500" s="6" t="n">
        <f aca="false">Sens!J1472</f>
        <v>156.018867314332</v>
      </c>
      <c r="K1500" s="6" t="n">
        <f aca="false">Sens!K1472</f>
        <v>168.500376699478</v>
      </c>
    </row>
    <row r="1501" customFormat="false" ht="15" hidden="false" customHeight="false" outlineLevel="0" collapsed="false">
      <c r="A1501" s="0" t="s">
        <v>883</v>
      </c>
      <c r="B1501" s="0" t="s">
        <v>98</v>
      </c>
      <c r="D1501" s="6" t="n">
        <f aca="false">Sens!D1479</f>
        <v>84.605</v>
      </c>
      <c r="E1501" s="6" t="n">
        <f aca="false">Sens!E1479</f>
        <v>100.299</v>
      </c>
      <c r="F1501" s="6" t="n">
        <f aca="false">Sens!F1479</f>
        <v>118.89238776686</v>
      </c>
      <c r="G1501" s="6" t="n">
        <f aca="false">Sens!G1479</f>
        <v>137.044168448684</v>
      </c>
      <c r="H1501" s="6" t="n">
        <f aca="false">Sens!H1479</f>
        <v>155.277359388781</v>
      </c>
      <c r="I1501" s="6" t="n">
        <f aca="false">Sens!I1479</f>
        <v>171.834028071957</v>
      </c>
      <c r="J1501" s="6" t="n">
        <f aca="false">Sens!J1479</f>
        <v>186.432702785465</v>
      </c>
      <c r="K1501" s="6" t="n">
        <f aca="false">Sens!K1479</f>
        <v>200.277991980448</v>
      </c>
    </row>
    <row r="1502" customFormat="false" ht="17.15" hidden="false" customHeight="false" outlineLevel="0" collapsed="false">
      <c r="A1502" s="0" t="s">
        <v>903</v>
      </c>
      <c r="B1502" s="0" t="s">
        <v>98</v>
      </c>
      <c r="D1502" s="6" t="n">
        <f aca="false">Sens!D1477</f>
        <v>83.705</v>
      </c>
      <c r="E1502" s="6" t="n">
        <f aca="false">Sens!E1477</f>
        <v>95.049</v>
      </c>
      <c r="F1502" s="6" t="n">
        <f aca="false">Sens!F1477</f>
        <v>106.89238776686</v>
      </c>
      <c r="G1502" s="6" t="n">
        <f aca="false">Sens!G1477</f>
        <v>119.044168448684</v>
      </c>
      <c r="H1502" s="6" t="n">
        <f aca="false">Sens!H1477</f>
        <v>131.277359388781</v>
      </c>
      <c r="I1502" s="6" t="n">
        <f aca="false">Sens!I1477</f>
        <v>143.334028071957</v>
      </c>
      <c r="J1502" s="6" t="n">
        <f aca="false">Sens!J1477</f>
        <v>154.932702785465</v>
      </c>
      <c r="K1502" s="6" t="n">
        <f aca="false">Sens!K1477</f>
        <v>165.777991980448</v>
      </c>
    </row>
    <row r="1503" customFormat="false" ht="17.15" hidden="false" customHeight="false" outlineLevel="0" collapsed="false">
      <c r="A1503" s="0" t="s">
        <v>904</v>
      </c>
      <c r="B1503" s="0" t="s">
        <v>98</v>
      </c>
      <c r="D1503" s="6" t="n">
        <f aca="false">Sens!D1476</f>
        <v>0.9</v>
      </c>
      <c r="E1503" s="6" t="n">
        <f aca="false">Sens!E1476</f>
        <v>5.25</v>
      </c>
      <c r="F1503" s="6" t="n">
        <f aca="false">Sens!F1476</f>
        <v>12</v>
      </c>
      <c r="G1503" s="6" t="n">
        <f aca="false">Sens!G1476</f>
        <v>18</v>
      </c>
      <c r="H1503" s="6" t="n">
        <f aca="false">Sens!H1476</f>
        <v>24</v>
      </c>
      <c r="I1503" s="6" t="n">
        <f aca="false">Sens!I1476</f>
        <v>28.5</v>
      </c>
      <c r="J1503" s="6" t="n">
        <f aca="false">Sens!J1476</f>
        <v>31.5</v>
      </c>
      <c r="K1503" s="6" t="n">
        <f aca="false">Sens!K1476</f>
        <v>34.5</v>
      </c>
    </row>
    <row r="1504" customFormat="false" ht="15" hidden="false" customHeight="false" outlineLevel="0" collapsed="false">
      <c r="A1504" s="0" t="s">
        <v>884</v>
      </c>
      <c r="B1504" s="0" t="s">
        <v>98</v>
      </c>
      <c r="D1504" s="6" t="n">
        <f aca="false">Sens!D1480</f>
        <v>35.391</v>
      </c>
      <c r="E1504" s="6" t="n">
        <f aca="false">Sens!E1480</f>
        <v>37.285</v>
      </c>
      <c r="F1504" s="6" t="n">
        <f aca="false">Sens!F1480</f>
        <v>39.0720834331704</v>
      </c>
      <c r="G1504" s="6" t="n">
        <f aca="false">Sens!G1480</f>
        <v>40.726562953769</v>
      </c>
      <c r="H1504" s="6" t="n">
        <f aca="false">Sens!H1480</f>
        <v>42.2235987259198</v>
      </c>
      <c r="I1504" s="6" t="n">
        <f aca="false">Sens!I1480</f>
        <v>43.5397988077414</v>
      </c>
      <c r="J1504" s="6" t="n">
        <f aca="false">Sens!J1480</f>
        <v>44.653811225693</v>
      </c>
      <c r="K1504" s="6" t="n">
        <f aca="false">Sens!K1480</f>
        <v>45.5468874502068</v>
      </c>
    </row>
    <row r="1505" customFormat="false" ht="15" hidden="false" customHeight="false" outlineLevel="0" collapsed="false">
      <c r="A1505" s="0" t="s">
        <v>885</v>
      </c>
      <c r="B1505" s="0" t="s">
        <v>98</v>
      </c>
      <c r="D1505" s="6" t="n">
        <f aca="false">Sens!D1482</f>
        <v>18.417</v>
      </c>
      <c r="E1505" s="6" t="n">
        <f aca="false">Sens!E1482</f>
        <v>20.345</v>
      </c>
      <c r="F1505" s="6" t="n">
        <f aca="false">Sens!F1482</f>
        <v>22.3572203267814</v>
      </c>
      <c r="G1505" s="6" t="n">
        <f aca="false">Sens!G1482</f>
        <v>24.4392124437232</v>
      </c>
      <c r="H1505" s="6" t="n">
        <f aca="false">Sens!H1482</f>
        <v>26.5738052080665</v>
      </c>
      <c r="I1505" s="6" t="n">
        <f aca="false">Sens!I1482</f>
        <v>28.7412169166967</v>
      </c>
      <c r="J1505" s="6" t="n">
        <f aca="false">Sens!J1482</f>
        <v>30.9192545395413</v>
      </c>
      <c r="K1505" s="6" t="n">
        <f aca="false">Sens!K1482</f>
        <v>33.0836023573092</v>
      </c>
    </row>
    <row r="1506" customFormat="false" ht="15" hidden="false" customHeight="false" outlineLevel="0" collapsed="false">
      <c r="A1506" s="0" t="s">
        <v>886</v>
      </c>
      <c r="B1506" s="0" t="s">
        <v>98</v>
      </c>
      <c r="D1506" s="6" t="n">
        <f aca="false">Sens!D1484</f>
        <v>7.76</v>
      </c>
      <c r="E1506" s="6" t="n">
        <f aca="false">Sens!E1484</f>
        <v>8.26</v>
      </c>
      <c r="F1506" s="6" t="n">
        <f aca="false">Sens!F1484</f>
        <v>8.79988041237113</v>
      </c>
      <c r="G1506" s="6" t="n">
        <f aca="false">Sens!G1484</f>
        <v>9.38321269125306</v>
      </c>
      <c r="H1506" s="6" t="n">
        <f aca="false">Sens!H1484</f>
        <v>10.0139193587476</v>
      </c>
      <c r="I1506" s="6" t="n">
        <f aca="false">Sens!I1484</f>
        <v>10.6963111830911</v>
      </c>
      <c r="J1506" s="6" t="n">
        <f aca="false">Sens!J1484</f>
        <v>11.4351285534696</v>
      </c>
      <c r="K1506" s="6" t="n">
        <f aca="false">Sens!K1484</f>
        <v>12.2355875522124</v>
      </c>
    </row>
    <row r="1507" customFormat="false" ht="15" hidden="false" customHeight="false" outlineLevel="0" collapsed="false">
      <c r="A1507" s="0" t="s">
        <v>715</v>
      </c>
      <c r="B1507" s="0" t="s">
        <v>98</v>
      </c>
      <c r="D1507" s="6" t="n">
        <f aca="false">Sens!D1486</f>
        <v>218.783</v>
      </c>
      <c r="E1507" s="6" t="n">
        <f aca="false">Sens!E1486</f>
        <v>268.127</v>
      </c>
      <c r="F1507" s="6" t="n">
        <f aca="false">Sens!F1486</f>
        <v>342.525129237751</v>
      </c>
      <c r="G1507" s="6" t="n">
        <f aca="false">Sens!G1486</f>
        <v>421.489704257651</v>
      </c>
      <c r="H1507" s="6" t="n">
        <f aca="false">Sens!H1486</f>
        <v>501.921640614556</v>
      </c>
      <c r="I1507" s="6" t="n">
        <f aca="false">Sens!I1486</f>
        <v>575.327286666648</v>
      </c>
      <c r="J1507" s="6" t="n">
        <f aca="false">Sens!J1486</f>
        <v>634.457942505579</v>
      </c>
      <c r="K1507" s="6" t="n">
        <f aca="false">Sens!K1486</f>
        <v>681.287729780922</v>
      </c>
    </row>
    <row r="1508" customFormat="false" ht="15" hidden="false" customHeight="false" outlineLevel="0" collapsed="false">
      <c r="A1508" s="0" t="s">
        <v>887</v>
      </c>
      <c r="B1508" s="0" t="s">
        <v>98</v>
      </c>
      <c r="D1508" s="6" t="n">
        <f aca="false">Sens!D1487</f>
        <v>22.171</v>
      </c>
      <c r="E1508" s="6" t="n">
        <f aca="false">Sens!E1487</f>
        <v>24.835</v>
      </c>
      <c r="F1508" s="6" t="n">
        <f aca="false">Sens!F1487</f>
        <v>27.6114901218559</v>
      </c>
      <c r="G1508" s="6" t="n">
        <f aca="false">Sens!G1487</f>
        <v>30.4675667338515</v>
      </c>
      <c r="H1508" s="6" t="n">
        <f aca="false">Sens!H1487</f>
        <v>33.3643766955789</v>
      </c>
      <c r="I1508" s="6" t="n">
        <f aca="false">Sens!I1487</f>
        <v>36.2577016533691</v>
      </c>
      <c r="J1508" s="6" t="n">
        <f aca="false">Sens!J1487</f>
        <v>39.0988367952171</v>
      </c>
      <c r="K1508" s="6" t="n">
        <f aca="false">Sens!K1487</f>
        <v>41.8357553708823</v>
      </c>
    </row>
    <row r="1509" customFormat="false" ht="15" hidden="false" customHeight="false" outlineLevel="0" collapsed="false">
      <c r="A1509" s="0" t="s">
        <v>888</v>
      </c>
      <c r="B1509" s="0" t="s">
        <v>98</v>
      </c>
      <c r="D1509" s="6" t="n">
        <f aca="false">Sens!D1489</f>
        <v>23.455</v>
      </c>
      <c r="E1509" s="6" t="n">
        <f aca="false">Sens!E1489</f>
        <v>21.79</v>
      </c>
      <c r="F1509" s="6" t="n">
        <f aca="false">Sens!F1489</f>
        <v>20.5736277908051</v>
      </c>
      <c r="G1509" s="6" t="n">
        <f aca="false">Sens!G1489</f>
        <v>19.7371452817919</v>
      </c>
      <c r="H1509" s="6" t="n">
        <f aca="false">Sens!H1489</f>
        <v>19.2339764043138</v>
      </c>
      <c r="I1509" s="6" t="n">
        <f aca="false">Sens!I1489</f>
        <v>19.0353086852681</v>
      </c>
      <c r="J1509" s="6" t="n">
        <f aca="false">Sens!J1489</f>
        <v>19.1273539319129</v>
      </c>
      <c r="K1509" s="6" t="n">
        <f aca="false">Sens!K1489</f>
        <v>19.5099010105511</v>
      </c>
    </row>
    <row r="1510" customFormat="false" ht="15" hidden="false" customHeight="false" outlineLevel="0" collapsed="false">
      <c r="A1510" s="0" t="s">
        <v>889</v>
      </c>
      <c r="B1510" s="0" t="s">
        <v>98</v>
      </c>
      <c r="D1510" s="6" t="n">
        <f aca="false">Sens!D1491</f>
        <v>17.315</v>
      </c>
      <c r="E1510" s="6" t="n">
        <f aca="false">Sens!E1491</f>
        <v>17.087</v>
      </c>
      <c r="F1510" s="6" t="n">
        <f aca="false">Sens!F1491</f>
        <v>16.9564585436519</v>
      </c>
      <c r="G1510" s="6" t="n">
        <f aca="false">Sens!G1491</f>
        <v>16.9206490624268</v>
      </c>
      <c r="H1510" s="6" t="n">
        <f aca="false">Sens!H1491</f>
        <v>16.9784519149849</v>
      </c>
      <c r="I1510" s="6" t="n">
        <f aca="false">Sens!I1491</f>
        <v>17.1303084701817</v>
      </c>
      <c r="J1510" s="6" t="n">
        <f aca="false">Sens!J1491</f>
        <v>17.3782189407267</v>
      </c>
      <c r="K1510" s="6" t="n">
        <f aca="false">Sens!K1491</f>
        <v>17.7257833195413</v>
      </c>
    </row>
    <row r="1511" customFormat="false" ht="15" hidden="false" customHeight="false" outlineLevel="0" collapsed="false">
      <c r="A1511" s="0" t="s">
        <v>729</v>
      </c>
      <c r="B1511" s="0" t="s">
        <v>98</v>
      </c>
      <c r="D1511" s="6" t="n">
        <f aca="false">Sens!D1493</f>
        <v>62.941</v>
      </c>
      <c r="E1511" s="6" t="n">
        <f aca="false">Sens!E1493</f>
        <v>63.712</v>
      </c>
      <c r="F1511" s="6" t="n">
        <f aca="false">Sens!F1493</f>
        <v>65.1415764563129</v>
      </c>
      <c r="G1511" s="6" t="n">
        <f aca="false">Sens!G1493</f>
        <v>67.1253610780702</v>
      </c>
      <c r="H1511" s="6" t="n">
        <f aca="false">Sens!H1493</f>
        <v>69.5768050148776</v>
      </c>
      <c r="I1511" s="6" t="n">
        <f aca="false">Sens!I1493</f>
        <v>72.4233188088189</v>
      </c>
      <c r="J1511" s="6" t="n">
        <f aca="false">Sens!J1493</f>
        <v>75.6044096678567</v>
      </c>
      <c r="K1511" s="6" t="n">
        <f aca="false">Sens!K1493</f>
        <v>79.0714397009747</v>
      </c>
    </row>
    <row r="1512" customFormat="false" ht="15" hidden="false" customHeight="false" outlineLevel="0" collapsed="false">
      <c r="A1512" s="1" t="s">
        <v>905</v>
      </c>
      <c r="B1512" s="0" t="s">
        <v>98</v>
      </c>
      <c r="D1512" s="6" t="n">
        <f aca="false">Sens!D1494</f>
        <v>281.724</v>
      </c>
      <c r="E1512" s="6" t="n">
        <f aca="false">Sens!E1494</f>
        <v>331.839</v>
      </c>
      <c r="F1512" s="6" t="n">
        <f aca="false">Sens!F1494</f>
        <v>407.666705694064</v>
      </c>
      <c r="G1512" s="6" t="n">
        <f aca="false">Sens!G1494</f>
        <v>488.615065335721</v>
      </c>
      <c r="H1512" s="6" t="n">
        <f aca="false">Sens!H1494</f>
        <v>571.498445629434</v>
      </c>
      <c r="I1512" s="6" t="n">
        <f aca="false">Sens!I1494</f>
        <v>647.750605475467</v>
      </c>
      <c r="J1512" s="6" t="n">
        <f aca="false">Sens!J1494</f>
        <v>710.062352173435</v>
      </c>
      <c r="K1512" s="6" t="n">
        <f aca="false">Sens!K1494</f>
        <v>760.359169481896</v>
      </c>
    </row>
    <row r="1513" customFormat="false" ht="15" hidden="false" customHeight="false" outlineLevel="0" collapsed="false">
      <c r="A1513" s="1" t="s">
        <v>906</v>
      </c>
      <c r="B1513" s="0" t="s">
        <v>129</v>
      </c>
      <c r="E1513" s="7" t="n">
        <f aca="false">Sens!E1512/Sens!D1512-1</f>
        <v>0.177886867998467</v>
      </c>
      <c r="F1513" s="7" t="n">
        <f aca="false">Sens!F1512/Sens!E1512-1</f>
        <v>0.228507516277666</v>
      </c>
      <c r="G1513" s="7" t="n">
        <f aca="false">Sens!G1512/Sens!F1512-1</f>
        <v>0.198565049612869</v>
      </c>
      <c r="H1513" s="7" t="n">
        <f aca="false">Sens!H1512/Sens!G1512-1</f>
        <v>0.169629195196354</v>
      </c>
      <c r="I1513" s="7" t="n">
        <f aca="false">Sens!I1512/Sens!H1512-1</f>
        <v>0.133424964545707</v>
      </c>
      <c r="J1513" s="7" t="n">
        <f aca="false">Sens!J1512/Sens!I1512-1</f>
        <v>0.0961971261334902</v>
      </c>
      <c r="K1513" s="7" t="n">
        <f aca="false">Sens!K1512/Sens!J1512-1</f>
        <v>0.0708343670869285</v>
      </c>
    </row>
    <row r="1514" customFormat="false" ht="17.15" hidden="false" customHeight="false" outlineLevel="0" collapsed="false">
      <c r="A1514" s="23" t="s">
        <v>907</v>
      </c>
      <c r="B1514" s="30" t="s">
        <v>98</v>
      </c>
      <c r="C1514" s="30"/>
      <c r="D1514" s="24" t="n">
        <f aca="false">(Sens!D1507+Sens!D1511-Sens!D1512)+(Sens!D1499+Sens!D1500-Sens!D1498)+(Sens!D1502+Sens!D1503-Sens!D1501)+(Sens!D1512-Q!L18)</f>
        <v>0</v>
      </c>
      <c r="E1514" s="24" t="n">
        <f aca="false">(Sens!E1507+Sens!E1511-Sens!E1512)+(Sens!E1499+Sens!E1500-Sens!E1498)+(Sens!E1502+Sens!E1503-Sens!E1501)+(Sens!E1512-Q!M18)</f>
        <v>0</v>
      </c>
      <c r="F1514" s="24" t="n">
        <f aca="false">(Sens!F1507+Sens!F1511-Sens!F1512)+(Sens!F1499+Sens!F1500-Sens!F1498)+(Sens!F1502+Sens!F1503-Sens!F1501)</f>
        <v>0</v>
      </c>
      <c r="G1514" s="24" t="n">
        <f aca="false">(Sens!G1507+Sens!G1511-Sens!G1512)+(Sens!G1499+Sens!G1500-Sens!G1498)+(Sens!G1502+Sens!G1503-Sens!G1501)</f>
        <v>0</v>
      </c>
      <c r="H1514" s="24" t="n">
        <f aca="false">(Sens!H1507+Sens!H1511-Sens!H1512)+(Sens!H1499+Sens!H1500-Sens!H1498)+(Sens!H1502+Sens!H1503-Sens!H1501)</f>
        <v>0</v>
      </c>
      <c r="I1514" s="24" t="n">
        <f aca="false">(Sens!I1507+Sens!I1511-Sens!I1512)+(Sens!I1499+Sens!I1500-Sens!I1498)+(Sens!I1502+Sens!I1503-Sens!I1501)</f>
        <v>0</v>
      </c>
      <c r="J1514" s="24" t="n">
        <f aca="false">(Sens!J1507+Sens!J1511-Sens!J1512)+(Sens!J1499+Sens!J1500-Sens!J1498)+(Sens!J1502+Sens!J1503-Sens!J1501)</f>
        <v>0</v>
      </c>
      <c r="K1514" s="24" t="n">
        <f aca="false">(Sens!K1507+Sens!K1511-Sens!K1512)+(Sens!K1499+Sens!K1500-Sens!K1498)+(Sens!K1502+Sens!K1503-Sens!K1501)</f>
        <v>0</v>
      </c>
    </row>
    <row r="1515" customFormat="false" ht="17.15" hidden="false" customHeight="false" outlineLevel="0" collapsed="false">
      <c r="A1515" s="0" t="s">
        <v>908</v>
      </c>
      <c r="B1515" s="0" t="s">
        <v>129</v>
      </c>
      <c r="E1515" s="7" t="n">
        <f aca="false">(Q!M21+Sens!E1452+Sens!E1453+Sens!E1454+Sens!E1467-Sens!E1450)/(Q!M5-Sens!E1450)</f>
        <v>0.570957350878296</v>
      </c>
      <c r="F1515" s="7" t="n">
        <f aca="false">Sens!$E$1515+dm_seg</f>
        <v>0.570957350878296</v>
      </c>
      <c r="G1515" s="7" t="n">
        <f aca="false">Sens!$E$1515+dm_seg</f>
        <v>0.570957350878296</v>
      </c>
      <c r="H1515" s="7" t="n">
        <f aca="false">Sens!$E$1515+dm_seg</f>
        <v>0.570957350878296</v>
      </c>
      <c r="I1515" s="7" t="n">
        <f aca="false">Sens!$E$1515+dm_seg</f>
        <v>0.570957350878296</v>
      </c>
      <c r="J1515" s="7" t="n">
        <f aca="false">Sens!$E$1515+dm_seg</f>
        <v>0.570957350878296</v>
      </c>
      <c r="K1515" s="7" t="n">
        <f aca="false">Sens!$E$1515+dm_seg</f>
        <v>0.570957350878296</v>
      </c>
      <c r="L1515" s="11" t="s">
        <v>909</v>
      </c>
    </row>
    <row r="1516" customFormat="false" ht="17.15" hidden="false" customHeight="false" outlineLevel="0" collapsed="false">
      <c r="A1516" s="0" t="s">
        <v>743</v>
      </c>
      <c r="B1516" s="0" t="s">
        <v>98</v>
      </c>
      <c r="D1516" s="6" t="n">
        <f aca="false">Q!L21</f>
        <v>110.814</v>
      </c>
      <c r="E1516" s="6" t="n">
        <f aca="false">Q!M21</f>
        <v>136.365</v>
      </c>
      <c r="F1516" s="6" t="n">
        <f aca="false">Sens!F1515*(Sens!F1486-Sens!F1450)+Sens!F1450-(Sens!F1452+Sens!F1453+Sens!F1454)-Sens!F1467-Sens!F1550</f>
        <v>165.719607291707</v>
      </c>
      <c r="G1516" s="6" t="n">
        <f aca="false">Sens!G1515*(Sens!G1486-Sens!G1450)+Sens!G1450-(Sens!G1452+Sens!G1453+Sens!G1454)-Sens!G1467-Sens!G1550</f>
        <v>191.233701793425</v>
      </c>
      <c r="H1516" s="6" t="n">
        <f aca="false">Sens!H1515*(Sens!H1486-Sens!H1450)+Sens!H1450-(Sens!H1452+Sens!H1453+Sens!H1454)-Sens!H1467-Sens!H1550</f>
        <v>216.257885420169</v>
      </c>
      <c r="I1516" s="6" t="n">
        <f aca="false">Sens!I1515*(Sens!I1486-Sens!I1450)+Sens!I1450-(Sens!I1452+Sens!I1453+Sens!I1454)-Sens!I1467-Sens!I1550</f>
        <v>239.746634031696</v>
      </c>
      <c r="J1516" s="6" t="n">
        <f aca="false">Sens!J1515*(Sens!J1486-Sens!J1450)+Sens!J1450-(Sens!J1452+Sens!J1453+Sens!J1454)-Sens!J1467-Sens!J1550</f>
        <v>260.462694233579</v>
      </c>
      <c r="K1516" s="6" t="n">
        <f aca="false">Sens!K1515*(Sens!K1486-Sens!K1450)+Sens!K1450-(Sens!K1452+Sens!K1453+Sens!K1454)-Sens!K1467-Sens!K1550</f>
        <v>279.481837298522</v>
      </c>
      <c r="L1516" s="1" t="s">
        <v>910</v>
      </c>
    </row>
    <row r="1517" customFormat="false" ht="17.15" hidden="false" customHeight="false" outlineLevel="0" collapsed="false">
      <c r="A1517" s="0" t="s">
        <v>911</v>
      </c>
      <c r="B1517" s="0" t="s">
        <v>129</v>
      </c>
      <c r="E1517" s="7" t="n">
        <f aca="false">Q!M22/Q!M12</f>
        <v>0.296207935710698</v>
      </c>
      <c r="F1517" s="7" t="n">
        <f aca="false">Sens!$E$1517+dm_seg</f>
        <v>0.296207935710698</v>
      </c>
      <c r="G1517" s="7" t="n">
        <f aca="false">Sens!$E$1517+dm_seg</f>
        <v>0.296207935710698</v>
      </c>
      <c r="H1517" s="7" t="n">
        <f aca="false">Sens!$E$1517+dm_seg</f>
        <v>0.296207935710698</v>
      </c>
      <c r="I1517" s="7" t="n">
        <f aca="false">Sens!$E$1517+dm_seg</f>
        <v>0.296207935710698</v>
      </c>
      <c r="J1517" s="7" t="n">
        <f aca="false">Sens!$E$1517+dm_seg</f>
        <v>0.296207935710698</v>
      </c>
      <c r="K1517" s="7" t="n">
        <f aca="false">Sens!$E$1517+dm_seg</f>
        <v>0.296207935710698</v>
      </c>
      <c r="L1517" s="11" t="s">
        <v>912</v>
      </c>
    </row>
    <row r="1518" customFormat="false" ht="17.15" hidden="false" customHeight="false" outlineLevel="0" collapsed="false">
      <c r="A1518" s="0" t="s">
        <v>745</v>
      </c>
      <c r="B1518" s="0" t="s">
        <v>98</v>
      </c>
      <c r="D1518" s="6" t="n">
        <f aca="false">Q!L22</f>
        <v>17.714</v>
      </c>
      <c r="E1518" s="6" t="n">
        <f aca="false">Q!M22</f>
        <v>18.872</v>
      </c>
      <c r="F1518" s="6" t="n">
        <f aca="false">Sens!F1493*Sens!F1517</f>
        <v>19.2954518910651</v>
      </c>
      <c r="G1518" s="6" t="n">
        <f aca="false">Sens!G1493*Sens!G1517</f>
        <v>19.8830646387704</v>
      </c>
      <c r="H1518" s="6" t="n">
        <f aca="false">Sens!H1493*Sens!H1517</f>
        <v>20.6092017868026</v>
      </c>
      <c r="I1518" s="6" t="n">
        <f aca="false">Sens!I1493*Sens!I1517</f>
        <v>21.452361761678</v>
      </c>
      <c r="J1518" s="6" t="n">
        <f aca="false">Sens!J1493*Sens!J1517</f>
        <v>22.3946261183418</v>
      </c>
      <c r="K1518" s="6" t="n">
        <f aca="false">Sens!K1493*Sens!K1517</f>
        <v>23.4215879274986</v>
      </c>
    </row>
    <row r="1519" customFormat="false" ht="15" hidden="false" customHeight="false" outlineLevel="0" collapsed="false">
      <c r="A1519" s="1" t="s">
        <v>913</v>
      </c>
      <c r="B1519" s="0" t="s">
        <v>98</v>
      </c>
      <c r="D1519" s="6" t="n">
        <f aca="false">Sens!D1516+Sens!D1518</f>
        <v>128.528</v>
      </c>
      <c r="E1519" s="6" t="n">
        <f aca="false">Sens!E1516+Sens!E1518</f>
        <v>155.237</v>
      </c>
      <c r="F1519" s="6" t="n">
        <f aca="false">Sens!F1516+Sens!F1518</f>
        <v>185.015059182772</v>
      </c>
      <c r="G1519" s="6" t="n">
        <f aca="false">Sens!G1516+Sens!G1518</f>
        <v>211.116766432196</v>
      </c>
      <c r="H1519" s="6" t="n">
        <f aca="false">Sens!H1516+Sens!H1518</f>
        <v>236.867087206971</v>
      </c>
      <c r="I1519" s="6" t="n">
        <f aca="false">Sens!I1516+Sens!I1518</f>
        <v>261.198995793374</v>
      </c>
      <c r="J1519" s="6" t="n">
        <f aca="false">Sens!J1516+Sens!J1518</f>
        <v>282.857320351921</v>
      </c>
      <c r="K1519" s="6" t="n">
        <f aca="false">Sens!K1516+Sens!K1518</f>
        <v>302.903425226021</v>
      </c>
    </row>
    <row r="1520" customFormat="false" ht="15" hidden="false" customHeight="false" outlineLevel="0" collapsed="false">
      <c r="A1520" s="23" t="s">
        <v>914</v>
      </c>
      <c r="B1520" s="30" t="s">
        <v>98</v>
      </c>
      <c r="C1520" s="30"/>
      <c r="D1520" s="24" t="n">
        <f aca="false">Sens!D1519-Q!L23</f>
        <v>0</v>
      </c>
      <c r="E1520" s="24" t="n">
        <f aca="false">Sens!E1519-Q!M23</f>
        <v>0</v>
      </c>
      <c r="F1520" s="30"/>
      <c r="G1520" s="30"/>
      <c r="H1520" s="30"/>
      <c r="I1520" s="30"/>
      <c r="J1520" s="30"/>
      <c r="K1520" s="30"/>
    </row>
    <row r="1521" customFormat="false" ht="15" hidden="false" customHeight="false" outlineLevel="0" collapsed="false">
      <c r="A1521" s="1" t="s">
        <v>915</v>
      </c>
      <c r="B1521" s="0" t="s">
        <v>129</v>
      </c>
      <c r="D1521" s="7" t="n">
        <f aca="false">Sens!D1519/Sens!D1512</f>
        <v>0.456219562408598</v>
      </c>
      <c r="E1521" s="7" t="n">
        <f aca="false">Sens!E1519/Sens!E1512</f>
        <v>0.467808184089272</v>
      </c>
      <c r="F1521" s="7" t="n">
        <f aca="false">Sens!F1519/Sens!F1512</f>
        <v>0.453839022413612</v>
      </c>
      <c r="G1521" s="7" t="n">
        <f aca="false">Sens!G1519/Sens!G1512</f>
        <v>0.432071750156005</v>
      </c>
      <c r="H1521" s="7" t="n">
        <f aca="false">Sens!H1519/Sens!H1512</f>
        <v>0.414466721683017</v>
      </c>
      <c r="I1521" s="7" t="n">
        <f aca="false">Sens!I1519/Sens!I1512</f>
        <v>0.403240064286233</v>
      </c>
      <c r="J1521" s="7" t="n">
        <f aca="false">Sens!J1519/Sens!J1512</f>
        <v>0.398355608470328</v>
      </c>
      <c r="K1521" s="7" t="n">
        <f aca="false">Sens!K1519/Sens!K1512</f>
        <v>0.398368872742624</v>
      </c>
    </row>
    <row r="1522" customFormat="false" ht="17.15" hidden="false" customHeight="false" outlineLevel="0" collapsed="false">
      <c r="A1522" s="1" t="s">
        <v>916</v>
      </c>
      <c r="B1522" s="0" t="s">
        <v>98</v>
      </c>
      <c r="F1522" s="6" t="n">
        <f aca="false">Sens!F1537</f>
        <v>9.29892047395526</v>
      </c>
      <c r="G1522" s="6" t="n">
        <f aca="false">Sens!G1537</f>
        <v>23.9346303607031</v>
      </c>
      <c r="H1522" s="6" t="n">
        <f aca="false">Sens!H1537</f>
        <v>40.1043191979728</v>
      </c>
      <c r="I1522" s="6" t="n">
        <f aca="false">Sens!I1537</f>
        <v>54.9360183203111</v>
      </c>
      <c r="J1522" s="6" t="n">
        <f aca="false">Sens!J1537</f>
        <v>65.4555422613168</v>
      </c>
      <c r="K1522" s="6" t="n">
        <f aca="false">Sens!K1537</f>
        <v>71.4992160033785</v>
      </c>
      <c r="L1522" s="1" t="s">
        <v>917</v>
      </c>
    </row>
    <row r="1523" customFormat="false" ht="17.15" hidden="false" customHeight="false" outlineLevel="0" collapsed="false">
      <c r="A1523" s="1" t="s">
        <v>918</v>
      </c>
      <c r="B1523" s="0" t="s">
        <v>98</v>
      </c>
      <c r="D1523" s="6" t="n">
        <f aca="false">Sens!D1519</f>
        <v>128.528</v>
      </c>
      <c r="E1523" s="6" t="n">
        <f aca="false">Sens!E1519</f>
        <v>155.237</v>
      </c>
      <c r="F1523" s="6" t="n">
        <f aca="false">Sens!F1519+Sens!F1522</f>
        <v>194.313979656727</v>
      </c>
      <c r="G1523" s="6" t="n">
        <f aca="false">Sens!G1519+Sens!G1522</f>
        <v>235.051396792899</v>
      </c>
      <c r="H1523" s="6" t="n">
        <f aca="false">Sens!H1519+Sens!H1522</f>
        <v>276.971406404944</v>
      </c>
      <c r="I1523" s="6" t="n">
        <f aca="false">Sens!I1519+Sens!I1522</f>
        <v>316.135014113685</v>
      </c>
      <c r="J1523" s="6" t="n">
        <f aca="false">Sens!J1519+Sens!J1522</f>
        <v>348.312862613238</v>
      </c>
      <c r="K1523" s="6" t="n">
        <f aca="false">Sens!K1519+Sens!K1522</f>
        <v>374.402641229399</v>
      </c>
    </row>
    <row r="1524" customFormat="false" ht="17.15" hidden="false" customHeight="false" outlineLevel="0" collapsed="false">
      <c r="A1524" s="1" t="s">
        <v>919</v>
      </c>
      <c r="B1524" s="0" t="s">
        <v>98</v>
      </c>
      <c r="E1524" s="6" t="n">
        <f aca="false">Sens!E1467</f>
        <v>16.3054059770833</v>
      </c>
      <c r="F1524" s="6" t="n">
        <f aca="false">Sens!F1467</f>
        <v>34.0498873809555</v>
      </c>
      <c r="G1524" s="6" t="n">
        <f aca="false">Sens!G1467</f>
        <v>59.1254371105111</v>
      </c>
      <c r="H1524" s="6" t="n">
        <f aca="false">Sens!H1467</f>
        <v>86.3610198433111</v>
      </c>
      <c r="I1524" s="6" t="n">
        <f aca="false">Sens!I1467</f>
        <v>110.605743832393</v>
      </c>
      <c r="J1524" s="6" t="n">
        <f aca="false">Sens!J1467</f>
        <v>127.998322852843</v>
      </c>
      <c r="K1524" s="6" t="n">
        <f aca="false">Sens!K1467</f>
        <v>139.131464044308</v>
      </c>
    </row>
    <row r="1525" customFormat="false" ht="17.15" hidden="false" customHeight="false" outlineLevel="0" collapsed="false">
      <c r="A1525" s="1" t="s">
        <v>920</v>
      </c>
      <c r="B1525" s="0" t="s">
        <v>98</v>
      </c>
      <c r="E1525" s="6" t="n">
        <f aca="false">Sens!E1549</f>
        <v>22.2285940229167</v>
      </c>
      <c r="F1525" s="6" t="n">
        <f aca="false">Sens!F1549</f>
        <v>24.3924470334783</v>
      </c>
      <c r="G1525" s="6" t="n">
        <f aca="false">Sens!G1549</f>
        <v>26.0684916871694</v>
      </c>
      <c r="H1525" s="6" t="n">
        <f aca="false">Sens!H1549</f>
        <v>28.1427938828615</v>
      </c>
      <c r="I1525" s="6" t="n">
        <f aca="false">Sens!I1549</f>
        <v>30.5483545257397</v>
      </c>
      <c r="J1525" s="6" t="n">
        <f aca="false">Sens!J1549</f>
        <v>33.2016103982031</v>
      </c>
      <c r="K1525" s="6" t="n">
        <f aca="false">Sens!K1549</f>
        <v>36.0183196325822</v>
      </c>
    </row>
    <row r="1526" customFormat="false" ht="17.15" hidden="false" customHeight="false" outlineLevel="0" collapsed="false">
      <c r="A1526" s="1" t="s">
        <v>921</v>
      </c>
      <c r="B1526" s="0" t="s">
        <v>98</v>
      </c>
      <c r="D1526" s="6" t="n">
        <f aca="false">Q!L27</f>
        <v>-4.901</v>
      </c>
      <c r="E1526" s="6" t="n">
        <f aca="false">Q!M27</f>
        <v>10.697</v>
      </c>
      <c r="F1526" s="6" t="n">
        <f aca="false">oie_f</f>
        <v>-0.4</v>
      </c>
      <c r="G1526" s="6" t="n">
        <f aca="false">oie_f</f>
        <v>-0.4</v>
      </c>
      <c r="H1526" s="6" t="n">
        <f aca="false">oie_f</f>
        <v>-0.4</v>
      </c>
      <c r="I1526" s="6" t="n">
        <f aca="false">oie_f</f>
        <v>-0.4</v>
      </c>
      <c r="J1526" s="6" t="n">
        <f aca="false">oie_f</f>
        <v>-0.4</v>
      </c>
      <c r="K1526" s="6" t="n">
        <f aca="false">oie_f</f>
        <v>-0.4</v>
      </c>
      <c r="L1526" s="11" t="s">
        <v>922</v>
      </c>
    </row>
    <row r="1527" customFormat="false" ht="15" hidden="false" customHeight="false" outlineLevel="0" collapsed="false">
      <c r="A1527" s="1" t="s">
        <v>923</v>
      </c>
      <c r="B1527" s="0" t="s">
        <v>98</v>
      </c>
      <c r="D1527" s="6" t="n">
        <f aca="false">Sens!D1519+Sens!D1526</f>
        <v>123.627</v>
      </c>
      <c r="E1527" s="6" t="n">
        <f aca="false">Sens!E1519+Sens!E1526</f>
        <v>165.934</v>
      </c>
      <c r="F1527" s="6" t="n">
        <f aca="false">Sens!F1519+Sens!F1526</f>
        <v>184.615059182772</v>
      </c>
      <c r="G1527" s="6" t="n">
        <f aca="false">Sens!G1519+Sens!G1526</f>
        <v>210.716766432196</v>
      </c>
      <c r="H1527" s="6" t="n">
        <f aca="false">Sens!H1519+Sens!H1526</f>
        <v>236.467087206971</v>
      </c>
      <c r="I1527" s="6" t="n">
        <f aca="false">Sens!I1519+Sens!I1526</f>
        <v>260.798995793374</v>
      </c>
      <c r="J1527" s="6" t="n">
        <f aca="false">Sens!J1519+Sens!J1526</f>
        <v>282.457320351921</v>
      </c>
      <c r="K1527" s="6" t="n">
        <f aca="false">Sens!K1519+Sens!K1526</f>
        <v>302.503425226021</v>
      </c>
    </row>
    <row r="1528" customFormat="false" ht="15" hidden="false" customHeight="false" outlineLevel="0" collapsed="false">
      <c r="A1528" s="1" t="s">
        <v>924</v>
      </c>
      <c r="B1528" s="0" t="s">
        <v>98</v>
      </c>
      <c r="D1528" s="6" t="n">
        <f aca="false">Q!L29</f>
        <v>21.795</v>
      </c>
      <c r="E1528" s="6" t="n">
        <f aca="false">Q!M29</f>
        <v>32.185</v>
      </c>
      <c r="F1528" s="6" t="n">
        <f aca="false">Sens!F1527*tax_f</f>
        <v>36.9230118365544</v>
      </c>
      <c r="G1528" s="6" t="n">
        <f aca="false">Sens!G1527*tax_f</f>
        <v>42.1433532864392</v>
      </c>
      <c r="H1528" s="6" t="n">
        <f aca="false">Sens!H1527*tax_f</f>
        <v>47.2934174413943</v>
      </c>
      <c r="I1528" s="6" t="n">
        <f aca="false">Sens!I1527*tax_f</f>
        <v>52.1597991586748</v>
      </c>
      <c r="J1528" s="6" t="n">
        <f aca="false">Sens!J1527*tax_f</f>
        <v>56.4914640703842</v>
      </c>
      <c r="K1528" s="6" t="n">
        <f aca="false">Sens!K1527*tax_f</f>
        <v>60.5006850452042</v>
      </c>
    </row>
    <row r="1529" customFormat="false" ht="15" hidden="false" customHeight="false" outlineLevel="0" collapsed="false">
      <c r="A1529" s="1" t="s">
        <v>925</v>
      </c>
      <c r="B1529" s="0" t="s">
        <v>98</v>
      </c>
      <c r="D1529" s="6" t="n">
        <f aca="false">Sens!D1527-Sens!D1528</f>
        <v>101.832</v>
      </c>
      <c r="E1529" s="6" t="n">
        <f aca="false">Sens!E1527-Sens!E1528</f>
        <v>133.749</v>
      </c>
      <c r="F1529" s="6" t="n">
        <f aca="false">Sens!F1527-Sens!F1528</f>
        <v>147.692047346218</v>
      </c>
      <c r="G1529" s="6" t="n">
        <f aca="false">Sens!G1527-Sens!G1528</f>
        <v>168.573413145757</v>
      </c>
      <c r="H1529" s="6" t="n">
        <f aca="false">Sens!H1527-Sens!H1528</f>
        <v>189.173669765577</v>
      </c>
      <c r="I1529" s="6" t="n">
        <f aca="false">Sens!I1527-Sens!I1528</f>
        <v>208.639196634699</v>
      </c>
      <c r="J1529" s="6" t="n">
        <f aca="false">Sens!J1527-Sens!J1528</f>
        <v>225.965856281537</v>
      </c>
      <c r="K1529" s="6" t="n">
        <f aca="false">Sens!K1527-Sens!K1528</f>
        <v>242.002740180817</v>
      </c>
    </row>
    <row r="1530" customFormat="false" ht="17.15" hidden="false" customHeight="false" outlineLevel="0" collapsed="false">
      <c r="A1530" s="1" t="s">
        <v>926</v>
      </c>
      <c r="B1530" s="1" t="s">
        <v>81</v>
      </c>
      <c r="D1530" s="14" t="n">
        <f aca="false">Q!L31</f>
        <v>7.465</v>
      </c>
      <c r="E1530" s="14" t="n">
        <f aca="false">Q!M31</f>
        <v>7.453</v>
      </c>
      <c r="F1530" s="14" t="n">
        <f aca="false">Sens!F1573</f>
        <v>7.4735</v>
      </c>
      <c r="G1530" s="14" t="n">
        <f aca="false">Sens!G1573</f>
        <v>7.50866808139011</v>
      </c>
      <c r="H1530" s="14" t="n">
        <f aca="false">Sens!H1573</f>
        <v>7.52658774863017</v>
      </c>
      <c r="I1530" s="14" t="n">
        <f aca="false">Sens!I1573</f>
        <v>7.53836858063749</v>
      </c>
      <c r="J1530" s="14" t="n">
        <f aca="false">Sens!J1573</f>
        <v>7.55261009175537</v>
      </c>
      <c r="K1530" s="14" t="n">
        <f aca="false">Sens!K1573</f>
        <v>7.56913000945711</v>
      </c>
    </row>
    <row r="1531" customFormat="false" ht="17.15" hidden="false" customHeight="false" outlineLevel="0" collapsed="false">
      <c r="A1531" s="0" t="s">
        <v>927</v>
      </c>
      <c r="B1531" s="0" t="s">
        <v>75</v>
      </c>
      <c r="D1531" s="8" t="n">
        <f aca="false">Sens!D1529/Sens!D1530</f>
        <v>13.641259209645</v>
      </c>
      <c r="E1531" s="8" t="n">
        <f aca="false">Sens!E1529/Sens!E1530</f>
        <v>17.9456594659869</v>
      </c>
      <c r="F1531" s="8" t="n">
        <f aca="false">Sens!F1529/Sens!F1530</f>
        <v>19.7620990628511</v>
      </c>
      <c r="G1531" s="8" t="n">
        <f aca="false">Sens!G1529/Sens!G1530</f>
        <v>22.4505080419733</v>
      </c>
      <c r="H1531" s="8" t="n">
        <f aca="false">Sens!H1529/Sens!H1530</f>
        <v>25.1340549108733</v>
      </c>
      <c r="I1531" s="8" t="n">
        <f aca="false">Sens!I1529/Sens!I1530</f>
        <v>27.6769694135937</v>
      </c>
      <c r="J1531" s="8" t="n">
        <f aca="false">Sens!J1529/Sens!J1530</f>
        <v>29.9189092957688</v>
      </c>
      <c r="K1531" s="8" t="n">
        <f aca="false">Sens!K1529/Sens!K1530</f>
        <v>31.9723323391791</v>
      </c>
      <c r="L1531" s="1" t="s">
        <v>928</v>
      </c>
    </row>
    <row r="1532" customFormat="false" ht="17.15" hidden="false" customHeight="false" outlineLevel="0" collapsed="false">
      <c r="A1532" s="1" t="s">
        <v>929</v>
      </c>
      <c r="B1532" s="0" t="s">
        <v>98</v>
      </c>
      <c r="D1532" s="6" t="n">
        <f aca="false">Sens!D1529</f>
        <v>101.832</v>
      </c>
      <c r="E1532" s="6" t="n">
        <f aca="false">Sens!E1529</f>
        <v>133.749</v>
      </c>
      <c r="F1532" s="6" t="n">
        <f aca="false">Sens!F1529+Sens!F1522*(1-tax_f)</f>
        <v>155.131183725382</v>
      </c>
      <c r="G1532" s="6" t="n">
        <f aca="false">Sens!G1529+Sens!G1522*(1-tax_f)</f>
        <v>187.721117434319</v>
      </c>
      <c r="H1532" s="6" t="n">
        <f aca="false">Sens!H1529+Sens!H1522*(1-tax_f)</f>
        <v>221.257125123955</v>
      </c>
      <c r="I1532" s="6" t="n">
        <f aca="false">Sens!I1529+Sens!I1522*(1-tax_f)</f>
        <v>252.588011290948</v>
      </c>
      <c r="J1532" s="6" t="n">
        <f aca="false">Sens!J1529+Sens!J1522*(1-tax_f)</f>
        <v>278.33029009059</v>
      </c>
      <c r="K1532" s="6" t="n">
        <f aca="false">Sens!K1529+Sens!K1522*(1-tax_f)</f>
        <v>299.20211298352</v>
      </c>
    </row>
    <row r="1533" customFormat="false" ht="17.15" hidden="false" customHeight="false" outlineLevel="0" collapsed="false">
      <c r="A1533" s="0" t="s">
        <v>930</v>
      </c>
      <c r="B1533" s="0" t="s">
        <v>75</v>
      </c>
      <c r="D1533" s="8" t="n">
        <f aca="false">Sens!D1532/Sens!D1530</f>
        <v>13.641259209645</v>
      </c>
      <c r="E1533" s="8" t="n">
        <f aca="false">Sens!E1532/Sens!E1530</f>
        <v>17.9456594659869</v>
      </c>
      <c r="F1533" s="8" t="n">
        <f aca="false">Sens!F1532/Sens!F1530</f>
        <v>20.7575010002518</v>
      </c>
      <c r="G1533" s="8" t="n">
        <f aca="false">Sens!G1532/Sens!G1530</f>
        <v>25.000588040318</v>
      </c>
      <c r="H1533" s="8" t="n">
        <f aca="false">Sens!H1532/Sens!H1530</f>
        <v>29.3967376071878</v>
      </c>
      <c r="I1533" s="8" t="n">
        <f aca="false">Sens!I1532/Sens!I1530</f>
        <v>33.5069861056844</v>
      </c>
      <c r="J1533" s="8" t="n">
        <f aca="false">Sens!J1532/Sens!J1530</f>
        <v>36.8521990026234</v>
      </c>
      <c r="K1533" s="8" t="n">
        <f aca="false">Sens!K1532/Sens!K1530</f>
        <v>39.5292606428595</v>
      </c>
      <c r="L1533" s="1" t="s">
        <v>931</v>
      </c>
    </row>
    <row r="1534" customFormat="false" ht="17.15" hidden="false" customHeight="false" outlineLevel="0" collapsed="false">
      <c r="A1534" s="0" t="s">
        <v>932</v>
      </c>
      <c r="B1534" s="0" t="s">
        <v>129</v>
      </c>
      <c r="E1534" s="7" t="n">
        <f aca="false">Sens!E1533/Sens!D1533-1</f>
        <v>0.315542736208578</v>
      </c>
      <c r="F1534" s="7" t="n">
        <f aca="false">Sens!F1533/Sens!E1533-1</f>
        <v>0.156686442178084</v>
      </c>
      <c r="G1534" s="7" t="n">
        <f aca="false">Sens!G1533/Sens!F1533-1</f>
        <v>0.204412228621102</v>
      </c>
      <c r="H1534" s="7" t="n">
        <f aca="false">Sens!H1533/Sens!G1533-1</f>
        <v>0.175841846590975</v>
      </c>
      <c r="I1534" s="7" t="n">
        <f aca="false">Sens!I1533/Sens!H1533-1</f>
        <v>0.13981988591454</v>
      </c>
      <c r="J1534" s="7" t="n">
        <f aca="false">Sens!J1533/Sens!I1533-1</f>
        <v>0.099836281496277</v>
      </c>
      <c r="K1534" s="7" t="n">
        <f aca="false">Sens!K1533/Sens!J1533-1</f>
        <v>0.0726431993934891</v>
      </c>
    </row>
    <row r="1535" customFormat="false" ht="17.15" hidden="false" customHeight="false" outlineLevel="0" collapsed="false">
      <c r="A1535" s="0" t="s">
        <v>856</v>
      </c>
      <c r="B1535" s="0" t="s">
        <v>98</v>
      </c>
      <c r="E1535" s="6" t="n">
        <f aca="false">Sens!E1476</f>
        <v>5.25</v>
      </c>
      <c r="F1535" s="6" t="n">
        <f aca="false">Sens!F1476</f>
        <v>12</v>
      </c>
      <c r="G1535" s="6" t="n">
        <f aca="false">Sens!G1476</f>
        <v>18</v>
      </c>
      <c r="H1535" s="6" t="n">
        <f aca="false">Sens!H1476</f>
        <v>24</v>
      </c>
      <c r="I1535" s="6" t="n">
        <f aca="false">Sens!I1476</f>
        <v>28.5</v>
      </c>
      <c r="J1535" s="6" t="n">
        <f aca="false">Sens!J1476</f>
        <v>31.5</v>
      </c>
      <c r="K1535" s="6" t="n">
        <f aca="false">Sens!K1476</f>
        <v>34.5</v>
      </c>
    </row>
    <row r="1536" customFormat="false" ht="17.15" hidden="false" customHeight="false" outlineLevel="0" collapsed="false">
      <c r="A1536" s="1" t="s">
        <v>857</v>
      </c>
      <c r="B1536" s="0" t="s">
        <v>98</v>
      </c>
      <c r="F1536" s="6" t="n">
        <f aca="false">MAX(0,((Sens!E1439+Sens!F1439)/2-(shadow_base*(Sens!$D$1439+Sens!$E$1439)/2+(1-shadow_base)*Sens!$E$1439))*Sens!F1447/1000-(Sens!F1535-Sens!$E$1535)*Sens!F1515)</f>
        <v>9.29892047395526</v>
      </c>
      <c r="G1536" s="6" t="n">
        <f aca="false">MAX(0,((Sens!F1439+Sens!G1439)/2-(shadow_base*(Sens!$D$1439+Sens!$E$1439)/2+(1-shadow_base)*Sens!$E$1439))*Sens!G1447/1000-(Sens!G1535-Sens!$E$1535)*Sens!G1515)</f>
        <v>23.9346303607031</v>
      </c>
      <c r="H1536" s="6" t="n">
        <f aca="false">MAX(0,((Sens!G1439+Sens!H1439)/2-(shadow_base*(Sens!$D$1439+Sens!$E$1439)/2+(1-shadow_base)*Sens!$E$1439))*Sens!H1447/1000-(Sens!H1535-Sens!$E$1535)*Sens!H1515)</f>
        <v>40.1043191979728</v>
      </c>
      <c r="I1536" s="6" t="n">
        <f aca="false">MAX(0,((Sens!H1439+Sens!I1439)/2-(shadow_base*(Sens!$D$1439+Sens!$E$1439)/2+(1-shadow_base)*Sens!$E$1439))*Sens!I1447/1000-(Sens!I1535-Sens!$E$1535)*Sens!I1515)</f>
        <v>54.9360183203111</v>
      </c>
      <c r="J1536" s="6" t="n">
        <f aca="false">MAX(0,((Sens!I1439+Sens!J1439)/2-(shadow_base*(Sens!$D$1439+Sens!$E$1439)/2+(1-shadow_base)*Sens!$E$1439))*Sens!J1447/1000-(Sens!J1535-Sens!$E$1535)*Sens!J1515)</f>
        <v>65.4555422613168</v>
      </c>
      <c r="K1536" s="6" t="n">
        <f aca="false">MAX(0,((Sens!J1439+Sens!K1439)/2-(shadow_base*(Sens!$D$1439+Sens!$E$1439)/2+(1-shadow_base)*Sens!$E$1439))*Sens!K1447/1000-(Sens!K1535-Sens!$E$1535)*Sens!K1515)</f>
        <v>71.4992160033785</v>
      </c>
      <c r="L1536" s="1" t="s">
        <v>858</v>
      </c>
    </row>
    <row r="1537" customFormat="false" ht="17.15" hidden="false" customHeight="false" outlineLevel="0" collapsed="false">
      <c r="A1537" s="1" t="s">
        <v>859</v>
      </c>
      <c r="B1537" s="0" t="s">
        <v>98</v>
      </c>
      <c r="F1537" s="6" t="n">
        <f aca="false">IF(internal_ai_reading=2,1,0)*Sens!F1536</f>
        <v>9.29892047395526</v>
      </c>
      <c r="G1537" s="6" t="n">
        <f aca="false">IF(internal_ai_reading=2,1,0)*Sens!G1536</f>
        <v>23.9346303607031</v>
      </c>
      <c r="H1537" s="6" t="n">
        <f aca="false">IF(internal_ai_reading=2,1,0)*Sens!H1536</f>
        <v>40.1043191979728</v>
      </c>
      <c r="I1537" s="6" t="n">
        <f aca="false">IF(internal_ai_reading=2,1,0)*Sens!I1536</f>
        <v>54.9360183203111</v>
      </c>
      <c r="J1537" s="6" t="n">
        <f aca="false">IF(internal_ai_reading=2,1,0)*Sens!J1536</f>
        <v>65.4555422613168</v>
      </c>
      <c r="K1537" s="6" t="n">
        <f aca="false">IF(internal_ai_reading=2,1,0)*Sens!K1536</f>
        <v>71.4992160033785</v>
      </c>
    </row>
    <row r="1538" customFormat="false" ht="17.15" hidden="false" customHeight="false" outlineLevel="0" collapsed="false">
      <c r="A1538" s="0" t="s">
        <v>860</v>
      </c>
      <c r="B1538" s="0" t="s">
        <v>98</v>
      </c>
      <c r="F1538" s="6" t="n">
        <f aca="false">Sens!F1456+Sens!F1535*Sens!F1515+Sens!F1537-Sens!F1457-Sens!F1467</f>
        <v>23.2866324884671</v>
      </c>
      <c r="G1538" s="6" t="n">
        <f aca="false">Sens!G1456+Sens!G1535*Sens!G1515+Sens!G1537-Sens!G1457-Sens!G1467</f>
        <v>44.2721301475004</v>
      </c>
      <c r="H1538" s="6" t="n">
        <f aca="false">Sens!H1456+Sens!H1535*Sens!H1515+Sens!H1537-Sens!H1457-Sens!H1467</f>
        <v>66.1278348681209</v>
      </c>
      <c r="I1538" s="6" t="n">
        <f aca="false">Sens!I1456+Sens!I1535*Sens!I1515+Sens!I1537-Sens!I1457-Sens!I1467</f>
        <v>85.6055662137631</v>
      </c>
      <c r="J1538" s="6" t="n">
        <f aca="false">Sens!J1456+Sens!J1535*Sens!J1515+Sens!J1537-Sens!J1457-Sens!J1467</f>
        <v>99.2439446886998</v>
      </c>
      <c r="K1538" s="6" t="n">
        <f aca="false">Sens!K1456+Sens!K1535*Sens!K1515+Sens!K1537-Sens!K1457-Sens!K1467</f>
        <v>108.731091588586</v>
      </c>
    </row>
    <row r="1539" customFormat="false" ht="17.15" hidden="false" customHeight="false" outlineLevel="0" collapsed="false">
      <c r="A1539" s="0" t="s">
        <v>861</v>
      </c>
      <c r="B1539" s="0" t="s">
        <v>98</v>
      </c>
      <c r="E1539" s="6" t="n">
        <f aca="false">Sens!E1438*(cxit_open+self_build*tk_cxfac)/1000*ai_net_open</f>
        <v>126.6980382</v>
      </c>
      <c r="F1539" s="6" t="n">
        <f aca="false">Sens!E1539+Sens!F1464-Sens!F1467</f>
        <v>252.981026690511</v>
      </c>
      <c r="G1539" s="6" t="n">
        <f aca="false">Sens!F1539+Sens!G1464-Sens!G1467</f>
        <v>377.4297700632</v>
      </c>
      <c r="H1539" s="6" t="n">
        <f aca="false">Sens!G1539+Sens!H1464-Sens!H1467</f>
        <v>479.149036130289</v>
      </c>
      <c r="I1539" s="6" t="n">
        <f aca="false">Sens!H1539+Sens!I1464-Sens!I1467</f>
        <v>532.249961452141</v>
      </c>
      <c r="J1539" s="6" t="n">
        <f aca="false">Sens!I1539+Sens!J1464-Sens!J1467</f>
        <v>531.43307519354</v>
      </c>
      <c r="K1539" s="6" t="n">
        <f aca="false">Sens!J1539+Sens!K1464-Sens!K1467</f>
        <v>513.709026452823</v>
      </c>
      <c r="L1539" s="1" t="s">
        <v>862</v>
      </c>
    </row>
    <row r="1540" customFormat="false" ht="17.15" hidden="false" customHeight="false" outlineLevel="0" collapsed="false">
      <c r="A1540" s="0" t="s">
        <v>863</v>
      </c>
      <c r="B1540" s="0" t="s">
        <v>129</v>
      </c>
      <c r="F1540" s="7" t="n">
        <f aca="false">Sens!F1538*(1-tax_f)/((Sens!E1539+Sens!F1539)/2)</f>
        <v>0.0981318577369857</v>
      </c>
      <c r="G1540" s="7" t="n">
        <f aca="false">Sens!G1538*(1-tax_f)/((Sens!F1539+Sens!G1539)/2)</f>
        <v>0.112363888119884</v>
      </c>
      <c r="H1540" s="7" t="n">
        <f aca="false">Sens!H1538*(1-tax_f)/((Sens!G1539+Sens!H1539)/2)</f>
        <v>0.123519908529109</v>
      </c>
      <c r="I1540" s="7" t="n">
        <f aca="false">Sens!I1538*(1-tax_f)/((Sens!H1539+Sens!I1539)/2)</f>
        <v>0.135425194477571</v>
      </c>
      <c r="J1540" s="7" t="n">
        <f aca="false">Sens!J1538*(1-tax_f)/((Sens!I1539+Sens!J1539)/2)</f>
        <v>0.149283485804817</v>
      </c>
      <c r="K1540" s="7" t="n">
        <f aca="false">Sens!K1538*(1-tax_f)/((Sens!J1539+Sens!K1539)/2)</f>
        <v>0.166455591318818</v>
      </c>
    </row>
    <row r="1541" customFormat="false" ht="17.15" hidden="false" customHeight="false" outlineLevel="0" collapsed="false">
      <c r="A1541" s="1" t="s">
        <v>864</v>
      </c>
      <c r="B1541" s="0" t="s">
        <v>129</v>
      </c>
      <c r="F1541" s="7" t="n">
        <f aca="false">(Sens!F1538-Sens!F1537)*(1-tax_f)/((Sens!E1539+Sens!F1539)/2)</f>
        <v>0.058945412830894</v>
      </c>
      <c r="G1541" s="7" t="n">
        <f aca="false">(Sens!G1538-Sens!G1537)*(1-tax_f)/((Sens!F1539+Sens!G1539)/2)</f>
        <v>0.0516171357255297</v>
      </c>
      <c r="H1541" s="7" t="n">
        <f aca="false">(Sens!H1538-Sens!H1537)*(1-tax_f)/((Sens!G1539+Sens!H1539)/2)</f>
        <v>0.0486092170051095</v>
      </c>
      <c r="I1541" s="7" t="n">
        <f aca="false">(Sens!I1538-Sens!I1537)*(1-tax_f)/((Sens!H1539+Sens!I1539)/2)</f>
        <v>0.0485182175845727</v>
      </c>
      <c r="J1541" s="7" t="n">
        <f aca="false">(Sens!J1538-Sens!J1537)*(1-tax_f)/((Sens!I1539+Sens!J1539)/2)</f>
        <v>0.0508247683015566</v>
      </c>
      <c r="K1541" s="7" t="n">
        <f aca="false">(Sens!K1538-Sens!K1537)*(1-tax_f)/((Sens!J1539+Sens!K1539)/2)</f>
        <v>0.0569979917969937</v>
      </c>
    </row>
    <row r="1542" customFormat="false" ht="17.15" hidden="false" customHeight="false" outlineLevel="0" collapsed="false">
      <c r="A1542" s="1" t="s">
        <v>865</v>
      </c>
      <c r="B1542" s="0" t="s">
        <v>129</v>
      </c>
      <c r="F1542" s="7" t="n">
        <f aca="false">(Sens!F1538-Sens!F1537+Sens!F1536)*(1-tax_f)/((Sens!E1539+Sens!F1539)/2)</f>
        <v>0.0981318577369857</v>
      </c>
      <c r="G1542" s="7" t="n">
        <f aca="false">(Sens!G1538-Sens!G1537+Sens!G1536)*(1-tax_f)/((Sens!F1539+Sens!G1539)/2)</f>
        <v>0.112363888119884</v>
      </c>
      <c r="H1542" s="7" t="n">
        <f aca="false">(Sens!H1538-Sens!H1537+Sens!H1536)*(1-tax_f)/((Sens!G1539+Sens!H1539)/2)</f>
        <v>0.123519908529109</v>
      </c>
      <c r="I1542" s="7" t="n">
        <f aca="false">(Sens!I1538-Sens!I1537+Sens!I1536)*(1-tax_f)/((Sens!H1539+Sens!I1539)/2)</f>
        <v>0.135425194477571</v>
      </c>
      <c r="J1542" s="7" t="n">
        <f aca="false">(Sens!J1538-Sens!J1537+Sens!J1536)*(1-tax_f)/((Sens!I1539+Sens!J1539)/2)</f>
        <v>0.149283485804817</v>
      </c>
      <c r="K1542" s="7" t="n">
        <f aca="false">(Sens!K1538-Sens!K1537+Sens!K1536)*(1-tax_f)/((Sens!J1539+Sens!K1539)/2)</f>
        <v>0.166455591318818</v>
      </c>
    </row>
    <row r="1543" customFormat="false" ht="17.15" hidden="false" customHeight="false" outlineLevel="0" collapsed="false">
      <c r="A1543" s="1" t="s">
        <v>866</v>
      </c>
      <c r="B1543" s="0" t="s">
        <v>129</v>
      </c>
      <c r="F1543" s="7" t="n">
        <f aca="false">Sens!F1468*(1-tax_f)/(Sens!F1455*(Sens!E1539+Sens!F1539)/2)</f>
        <v>0.191664394697725</v>
      </c>
      <c r="G1543" s="7" t="n">
        <f aca="false">Sens!G1468*(1-tax_f)/(Sens!G1455*(Sens!F1539+Sens!G1539)/2)</f>
        <v>0.188216207457038</v>
      </c>
      <c r="H1543" s="7" t="n">
        <f aca="false">Sens!H1468*(1-tax_f)/(Sens!H1455*(Sens!G1539+Sens!H1539)/2)</f>
        <v>0.193415565080323</v>
      </c>
      <c r="I1543" s="7" t="n">
        <f aca="false">Sens!I1468*(1-tax_f)/(Sens!I1455*(Sens!H1539+Sens!I1539)/2)</f>
        <v>0.205083358645735</v>
      </c>
      <c r="J1543" s="7" t="n">
        <f aca="false">Sens!J1468*(1-tax_f)/(Sens!J1455*(Sens!I1539+Sens!J1539)/2)</f>
        <v>0.222604866802349</v>
      </c>
      <c r="K1543" s="7" t="n">
        <f aca="false">Sens!K1468*(1-tax_f)/(Sens!K1455*(Sens!J1539+Sens!K1539)/2)</f>
        <v>0.246191174788464</v>
      </c>
    </row>
    <row r="1544" customFormat="false" ht="17.15" hidden="false" customHeight="false" outlineLevel="0" collapsed="false">
      <c r="A1544" s="0" t="s">
        <v>867</v>
      </c>
      <c r="B1544" s="0" t="s">
        <v>209</v>
      </c>
      <c r="F1544" s="7" t="n">
        <f aca="false">Sens!F1540-wacc</f>
        <v>-0.00480256235589005</v>
      </c>
      <c r="G1544" s="7" t="n">
        <f aca="false">Sens!G1540-wacc</f>
        <v>0.00942946802700782</v>
      </c>
      <c r="H1544" s="7" t="n">
        <f aca="false">Sens!H1540-wacc</f>
        <v>0.0205854884362336</v>
      </c>
      <c r="I1544" s="7" t="n">
        <f aca="false">Sens!I1540-wacc</f>
        <v>0.0324907743846952</v>
      </c>
      <c r="J1544" s="7" t="n">
        <f aca="false">Sens!J1540-wacc</f>
        <v>0.0463490657119408</v>
      </c>
      <c r="K1544" s="7" t="n">
        <f aca="false">Sens!K1540-wacc</f>
        <v>0.0635211712259425</v>
      </c>
    </row>
    <row r="1545" customFormat="false" ht="17.15" hidden="false" customHeight="false" outlineLevel="0" collapsed="false">
      <c r="A1545" s="0" t="s">
        <v>868</v>
      </c>
      <c r="B1545" s="0" t="s">
        <v>98</v>
      </c>
      <c r="F1545" s="6" t="n">
        <f aca="false">Sens!F1538*(1-tax_f)-wacc*(Sens!E1539+Sens!F1539)/2</f>
        <v>-0.911716192181352</v>
      </c>
      <c r="G1545" s="6" t="n">
        <f aca="false">Sens!G1538*(1-tax_f)-wacc*(Sens!F1539+Sens!G1539)/2</f>
        <v>2.97221922593482</v>
      </c>
      <c r="H1545" s="6" t="n">
        <f aca="false">Sens!H1538*(1-tax_f)-wacc*(Sens!G1539+Sens!H1539)/2</f>
        <v>8.81654655480943</v>
      </c>
      <c r="I1545" s="6" t="n">
        <f aca="false">Sens!I1538*(1-tax_f)-wacc*(Sens!H1539+Sens!I1539)/2</f>
        <v>16.4305683216788</v>
      </c>
      <c r="J1545" s="6" t="n">
        <f aca="false">Sens!J1538*(1-tax_f)-wacc*(Sens!I1539+Sens!J1539)/2</f>
        <v>24.6503574810837</v>
      </c>
      <c r="K1545" s="6" t="n">
        <f aca="false">Sens!K1538*(1-tax_f)-wacc*(Sens!J1539+Sens!K1539)/2</f>
        <v>33.19432519706</v>
      </c>
    </row>
    <row r="1546" customFormat="false" ht="17.15" hidden="false" customHeight="false" outlineLevel="0" collapsed="false">
      <c r="A1546" s="3" t="s">
        <v>1300</v>
      </c>
    </row>
    <row r="1547" customFormat="false" ht="15" hidden="false" customHeight="false" outlineLevel="0" collapsed="false">
      <c r="A1547" s="4" t="s">
        <v>43</v>
      </c>
      <c r="B1547" s="4" t="s">
        <v>65</v>
      </c>
      <c r="C1547" s="20" t="s">
        <v>799</v>
      </c>
      <c r="D1547" s="20" t="s">
        <v>800</v>
      </c>
      <c r="E1547" s="20" t="s">
        <v>801</v>
      </c>
      <c r="F1547" s="20" t="s">
        <v>802</v>
      </c>
      <c r="G1547" s="20" t="s">
        <v>803</v>
      </c>
      <c r="H1547" s="20" t="s">
        <v>804</v>
      </c>
      <c r="I1547" s="20" t="s">
        <v>805</v>
      </c>
      <c r="J1547" s="20" t="s">
        <v>806</v>
      </c>
      <c r="K1547" s="20" t="s">
        <v>807</v>
      </c>
      <c r="L1547" s="4" t="s">
        <v>47</v>
      </c>
    </row>
    <row r="1548" customFormat="false" ht="15" hidden="false" customHeight="false" outlineLevel="0" collapsed="false">
      <c r="A1548" s="1" t="s">
        <v>925</v>
      </c>
      <c r="B1548" s="0" t="s">
        <v>98</v>
      </c>
      <c r="F1548" s="6" t="n">
        <f aca="false">Sens!F1529</f>
        <v>147.692047346218</v>
      </c>
      <c r="G1548" s="6" t="n">
        <f aca="false">Sens!G1529</f>
        <v>168.573413145757</v>
      </c>
      <c r="H1548" s="6" t="n">
        <f aca="false">Sens!H1529</f>
        <v>189.173669765577</v>
      </c>
      <c r="I1548" s="6" t="n">
        <f aca="false">Sens!I1529</f>
        <v>208.639196634699</v>
      </c>
      <c r="J1548" s="6" t="n">
        <f aca="false">Sens!J1529</f>
        <v>225.965856281537</v>
      </c>
      <c r="K1548" s="6" t="n">
        <f aca="false">Sens!K1529</f>
        <v>242.002740180817</v>
      </c>
    </row>
    <row r="1549" customFormat="false" ht="17.15" hidden="false" customHeight="false" outlineLevel="0" collapsed="false">
      <c r="A1549" s="1" t="s">
        <v>947</v>
      </c>
      <c r="B1549" s="0" t="s">
        <v>98</v>
      </c>
      <c r="E1549" s="6" t="n">
        <f aca="false">Q!M38-Sens!E1467</f>
        <v>22.2285940229167</v>
      </c>
      <c r="F1549" s="6" t="n">
        <f aca="false">Sens!E1549*(1-1/life_nonai)+(Sens!F1556+Sens!F1557)/life_nonai</f>
        <v>24.3924470334783</v>
      </c>
      <c r="G1549" s="6" t="n">
        <f aca="false">Sens!F1549*(1-1/life_nonai)+(Sens!G1556)/life_nonai</f>
        <v>26.0684916871694</v>
      </c>
      <c r="H1549" s="6" t="n">
        <f aca="false">Sens!G1549*(1-1/life_nonai)+(Sens!H1556)/life_nonai</f>
        <v>28.1427938828615</v>
      </c>
      <c r="I1549" s="6" t="n">
        <f aca="false">Sens!H1549*(1-1/life_nonai)+(Sens!I1556)/life_nonai</f>
        <v>30.5483545257397</v>
      </c>
      <c r="J1549" s="6" t="n">
        <f aca="false">Sens!I1549*(1-1/life_nonai)+(Sens!J1556)/life_nonai</f>
        <v>33.2016103982031</v>
      </c>
      <c r="K1549" s="6" t="n">
        <f aca="false">Sens!J1549*(1-1/life_nonai)+(Sens!K1556)/life_nonai</f>
        <v>36.0183196325822</v>
      </c>
      <c r="L1549" s="11" t="s">
        <v>948</v>
      </c>
    </row>
    <row r="1550" customFormat="false" ht="17.15" hidden="false" customHeight="false" outlineLevel="0" collapsed="false">
      <c r="A1550" s="1" t="s">
        <v>949</v>
      </c>
      <c r="B1550" s="0" t="s">
        <v>98</v>
      </c>
      <c r="F1550" s="6" t="n">
        <f aca="false">Sens!$F$1557/life_nonai*(1-1/life_nonai)^(Sens!F1433-2027)</f>
        <v>0.828777689897088</v>
      </c>
      <c r="G1550" s="6" t="n">
        <f aca="false">Sens!$F$1557/life_nonai*(1-1/life_nonai)^(Sens!G1433-2027)</f>
        <v>0.745899920907379</v>
      </c>
      <c r="H1550" s="6" t="n">
        <f aca="false">Sens!$F$1557/life_nonai*(1-1/life_nonai)^(Sens!H1433-2027)</f>
        <v>0.671309928816642</v>
      </c>
      <c r="I1550" s="6" t="n">
        <f aca="false">Sens!$F$1557/life_nonai*(1-1/life_nonai)^(Sens!I1433-2027)</f>
        <v>0.604178935934977</v>
      </c>
      <c r="J1550" s="6" t="n">
        <f aca="false">Sens!$F$1557/life_nonai*(1-1/life_nonai)^(Sens!J1433-2027)</f>
        <v>0.54376104234148</v>
      </c>
      <c r="K1550" s="6" t="n">
        <f aca="false">Sens!$F$1557/life_nonai*(1-1/life_nonai)^(Sens!K1433-2027)</f>
        <v>0.489384938107332</v>
      </c>
      <c r="L1550" s="1" t="s">
        <v>950</v>
      </c>
    </row>
    <row r="1551" customFormat="false" ht="17.15" hidden="false" customHeight="false" outlineLevel="0" collapsed="false">
      <c r="A1551" s="1" t="s">
        <v>951</v>
      </c>
      <c r="B1551" s="0" t="s">
        <v>98</v>
      </c>
      <c r="E1551" s="6" t="n">
        <f aca="false">Sens!E1467+Sens!E1549</f>
        <v>38.534</v>
      </c>
      <c r="F1551" s="6" t="n">
        <f aca="false">Sens!F1467+Sens!F1549</f>
        <v>58.4423344144339</v>
      </c>
      <c r="G1551" s="6" t="n">
        <f aca="false">Sens!G1467+Sens!G1549</f>
        <v>85.1939287976805</v>
      </c>
      <c r="H1551" s="6" t="n">
        <f aca="false">Sens!H1467+Sens!H1549</f>
        <v>114.503813726173</v>
      </c>
      <c r="I1551" s="6" t="n">
        <f aca="false">Sens!I1467+Sens!I1549</f>
        <v>141.154098358132</v>
      </c>
      <c r="J1551" s="6" t="n">
        <f aca="false">Sens!J1467+Sens!J1549</f>
        <v>161.199933251046</v>
      </c>
      <c r="K1551" s="6" t="n">
        <f aca="false">Sens!K1467+Sens!K1549</f>
        <v>175.14978367689</v>
      </c>
    </row>
    <row r="1552" customFormat="false" ht="17.15" hidden="false" customHeight="false" outlineLevel="0" collapsed="false">
      <c r="A1552" s="1" t="s">
        <v>952</v>
      </c>
      <c r="B1552" s="0" t="s">
        <v>98</v>
      </c>
      <c r="F1552" s="6" t="n">
        <f aca="false">Sens!F1494*sbc_r</f>
        <v>15.2396357394244</v>
      </c>
      <c r="G1552" s="6" t="n">
        <f aca="false">Sens!G1494*sbc_r</f>
        <v>18.2656947661053</v>
      </c>
      <c r="H1552" s="6" t="n">
        <f aca="false">Sens!H1494*sbc_r</f>
        <v>21.364089868982</v>
      </c>
      <c r="I1552" s="6" t="n">
        <f aca="false">Sens!I1494*sbc_r</f>
        <v>24.2145928023022</v>
      </c>
      <c r="J1552" s="6" t="n">
        <f aca="false">Sens!J1494*sbc_r</f>
        <v>26.5439670403764</v>
      </c>
      <c r="K1552" s="6" t="n">
        <f aca="false">Sens!K1494*sbc_r</f>
        <v>28.4241921456578</v>
      </c>
    </row>
    <row r="1553" customFormat="false" ht="17.15" hidden="false" customHeight="false" outlineLevel="0" collapsed="false">
      <c r="A1553" s="1" t="s">
        <v>953</v>
      </c>
      <c r="B1553" s="0" t="s">
        <v>98</v>
      </c>
      <c r="F1553" s="6" t="n">
        <f aca="false">wc27</f>
        <v>-4.895</v>
      </c>
      <c r="G1553" s="6" t="n">
        <f aca="false">wc_f</f>
        <v>0</v>
      </c>
      <c r="H1553" s="6" t="n">
        <f aca="false">wc_f</f>
        <v>0</v>
      </c>
      <c r="I1553" s="6" t="n">
        <f aca="false">wc_f</f>
        <v>0</v>
      </c>
      <c r="J1553" s="6" t="n">
        <f aca="false">wc_f</f>
        <v>0</v>
      </c>
      <c r="K1553" s="6" t="n">
        <f aca="false">wc_f</f>
        <v>0</v>
      </c>
      <c r="L1553" s="11" t="s">
        <v>954</v>
      </c>
    </row>
    <row r="1554" customFormat="false" ht="15" hidden="false" customHeight="false" outlineLevel="0" collapsed="false">
      <c r="A1554" s="1" t="s">
        <v>767</v>
      </c>
      <c r="B1554" s="0" t="s">
        <v>98</v>
      </c>
      <c r="E1554" s="6" t="n">
        <f aca="false">Q!M35</f>
        <v>182.935</v>
      </c>
      <c r="F1554" s="6" t="n">
        <f aca="false">Sens!F1548+Sens!F1551+Sens!F1552+Sens!F1553</f>
        <v>216.479017500076</v>
      </c>
      <c r="G1554" s="6" t="n">
        <f aca="false">Sens!G1548+Sens!G1551+Sens!G1552+Sens!G1553</f>
        <v>272.033036709542</v>
      </c>
      <c r="H1554" s="6" t="n">
        <f aca="false">Sens!H1548+Sens!H1551+Sens!H1552+Sens!H1553</f>
        <v>325.041573360732</v>
      </c>
      <c r="I1554" s="6" t="n">
        <f aca="false">Sens!I1548+Sens!I1551+Sens!I1552+Sens!I1553</f>
        <v>374.007887795134</v>
      </c>
      <c r="J1554" s="6" t="n">
        <f aca="false">Sens!J1548+Sens!J1551+Sens!J1552+Sens!J1553</f>
        <v>413.70975657296</v>
      </c>
      <c r="K1554" s="6" t="n">
        <f aca="false">Sens!K1548+Sens!K1551+Sens!K1552+Sens!K1553</f>
        <v>445.576716003365</v>
      </c>
    </row>
    <row r="1555" customFormat="false" ht="17.15" hidden="false" customHeight="false" outlineLevel="0" collapsed="false">
      <c r="A1555" s="0" t="s">
        <v>955</v>
      </c>
      <c r="B1555" s="0" t="s">
        <v>98</v>
      </c>
      <c r="F1555" s="6" t="n">
        <f aca="false">Sens!F1464</f>
        <v>160.332875871467</v>
      </c>
      <c r="G1555" s="6" t="n">
        <f aca="false">Sens!G1464</f>
        <v>183.5741804832</v>
      </c>
      <c r="H1555" s="6" t="n">
        <f aca="false">Sens!H1464</f>
        <v>188.0802859104</v>
      </c>
      <c r="I1555" s="6" t="n">
        <f aca="false">Sens!I1464</f>
        <v>163.706669154245</v>
      </c>
      <c r="J1555" s="6" t="n">
        <f aca="false">Sens!J1464</f>
        <v>127.181436594242</v>
      </c>
      <c r="K1555" s="6" t="n">
        <f aca="false">Sens!K1464</f>
        <v>121.407415303591</v>
      </c>
    </row>
    <row r="1556" customFormat="false" ht="17.15" hidden="false" customHeight="false" outlineLevel="0" collapsed="false">
      <c r="A1556" s="1" t="s">
        <v>956</v>
      </c>
      <c r="B1556" s="0" t="s">
        <v>98</v>
      </c>
      <c r="E1556" s="6" t="n">
        <f aca="false">Sens!E1472*cx_azo+Sens!E1479*cx_m365+Sens!E1480*cx_lic+(Sens!E1482+Sens!E1484)*cx_ind+Sens!E1487*cx_srch+(Sens!E1489+Sens!E1491)*cx_dev</f>
        <v>30.1846587067718</v>
      </c>
      <c r="F1556" s="6" t="n">
        <f aca="false">Sens!F1472*cx_azo+Sens!F1479*cx_m365+Sens!F1480*cx_lic+(Sens!F1482+Sens!F1484)*cx_ind+Sens!F1487*cx_srch+(Sens!F1489+Sens!F1491)*cx_dev</f>
        <v>35.5793472295625</v>
      </c>
      <c r="G1556" s="6" t="n">
        <f aca="false">Sens!G1472*cx_azo+Sens!G1479*cx_m365+Sens!G1480*cx_lic+(Sens!G1482+Sens!G1484)*cx_ind+Sens!G1487*cx_srch+(Sens!G1489+Sens!G1491)*cx_dev</f>
        <v>41.1528935703892</v>
      </c>
      <c r="H1556" s="6" t="n">
        <f aca="false">Sens!H1472*cx_azo+Sens!H1479*cx_m365+Sens!H1480*cx_lic+(Sens!H1482+Sens!H1484)*cx_ind+Sens!H1487*cx_srch+(Sens!H1489+Sens!H1491)*cx_dev</f>
        <v>46.8115136440897</v>
      </c>
      <c r="I1556" s="6" t="n">
        <f aca="false">Sens!I1472*cx_azo+Sens!I1479*cx_m365+Sens!I1480*cx_lic+(Sens!I1482+Sens!I1484)*cx_ind+Sens!I1487*cx_srch+(Sens!I1489+Sens!I1491)*cx_dev</f>
        <v>52.1984003116439</v>
      </c>
      <c r="J1556" s="6" t="n">
        <f aca="false">Sens!J1472*cx_azo+Sens!J1479*cx_m365+Sens!J1480*cx_lic+(Sens!J1482+Sens!J1484)*cx_ind+Sens!J1487*cx_srch+(Sens!J1489+Sens!J1491)*cx_dev</f>
        <v>57.0809132503738</v>
      </c>
      <c r="K1556" s="6" t="n">
        <f aca="false">Sens!K1472*cx_azo+Sens!K1479*cx_m365+Sens!K1480*cx_lic+(Sens!K1482+Sens!K1484)*cx_ind+Sens!K1487*cx_srch+(Sens!K1489+Sens!K1491)*cx_dev</f>
        <v>61.368702741994</v>
      </c>
    </row>
    <row r="1557" customFormat="false" ht="17.15" hidden="false" customHeight="false" outlineLevel="0" collapsed="false">
      <c r="A1557" s="0" t="s">
        <v>957</v>
      </c>
      <c r="B1557" s="0" t="s">
        <v>98</v>
      </c>
      <c r="F1557" s="6" t="n">
        <f aca="false">Sens!F1462</f>
        <v>8.28777689897088</v>
      </c>
      <c r="L1557" s="1" t="s">
        <v>958</v>
      </c>
    </row>
    <row r="1558" customFormat="false" ht="17.15" hidden="false" customHeight="false" outlineLevel="0" collapsed="false">
      <c r="A1558" s="1" t="s">
        <v>959</v>
      </c>
      <c r="B1558" s="0" t="s">
        <v>98</v>
      </c>
      <c r="E1558" s="6" t="n">
        <f aca="false">Q!M42</f>
        <v>145.3</v>
      </c>
      <c r="F1558" s="6" t="n">
        <f aca="false">Sens!F1555+Sens!F1556+Sens!F1557</f>
        <v>204.2</v>
      </c>
      <c r="G1558" s="6" t="n">
        <f aca="false">Sens!G1555+Sens!G1556</f>
        <v>224.727074053589</v>
      </c>
      <c r="H1558" s="6" t="n">
        <f aca="false">Sens!H1555+Sens!H1556</f>
        <v>234.89179955449</v>
      </c>
      <c r="I1558" s="6" t="n">
        <f aca="false">Sens!I1555+Sens!I1556</f>
        <v>215.905069465889</v>
      </c>
      <c r="J1558" s="6" t="n">
        <f aca="false">Sens!J1555+Sens!J1556</f>
        <v>184.262349844616</v>
      </c>
      <c r="K1558" s="6" t="n">
        <f aca="false">Sens!K1555+Sens!K1556</f>
        <v>182.776118045585</v>
      </c>
      <c r="L1558" s="1" t="s">
        <v>960</v>
      </c>
    </row>
    <row r="1559" customFormat="false" ht="15" hidden="false" customHeight="false" outlineLevel="0" collapsed="false">
      <c r="A1559" s="1" t="s">
        <v>961</v>
      </c>
      <c r="B1559" s="0" t="s">
        <v>98</v>
      </c>
      <c r="E1559" s="6" t="n">
        <f aca="false">fl_liab</f>
        <v>66.594</v>
      </c>
      <c r="F1559" s="6" t="n">
        <f aca="false">Sens!E1559-Sens!F1560</f>
        <v>62.46973</v>
      </c>
      <c r="G1559" s="6" t="n">
        <f aca="false">Sens!F1559-Sens!G1560</f>
        <v>57.98686785</v>
      </c>
      <c r="H1559" s="6" t="n">
        <f aca="false">Sens!G1559-Sens!H1560</f>
        <v>53.92827690325</v>
      </c>
      <c r="I1559" s="6" t="n">
        <f aca="false">Sens!H1559-Sens!I1560</f>
        <v>49.7850493638962</v>
      </c>
      <c r="J1559" s="6" t="n">
        <f aca="false">Sens!I1559-Sens!J1560</f>
        <v>45.4823765852716</v>
      </c>
      <c r="K1559" s="6" t="n">
        <f aca="false">Sens!J1559-Sens!K1560</f>
        <v>40.9860835316088</v>
      </c>
    </row>
    <row r="1560" customFormat="false" ht="15" hidden="false" customHeight="false" outlineLevel="0" collapsed="false">
      <c r="A1560" s="1" t="s">
        <v>962</v>
      </c>
      <c r="B1560" s="0" t="s">
        <v>98</v>
      </c>
      <c r="F1560" s="6" t="n">
        <f aca="false">fl_pay_27-Sens!E1559*fl_rate</f>
        <v>4.12427</v>
      </c>
      <c r="G1560" s="6" t="n">
        <f aca="false">fl_pay_28-Sens!F1559*fl_rate</f>
        <v>4.48286215</v>
      </c>
      <c r="H1560" s="6" t="n">
        <f aca="false">fl_pay_29-Sens!G1559*fl_rate</f>
        <v>4.05859094675</v>
      </c>
      <c r="I1560" s="6" t="n">
        <f aca="false">fl_pay_30-Sens!H1559*fl_rate</f>
        <v>4.14322753935375</v>
      </c>
      <c r="J1560" s="6" t="n">
        <f aca="false">fl_pay_31-Sens!I1559*fl_rate</f>
        <v>4.30267277862467</v>
      </c>
      <c r="K1560" s="6" t="n">
        <f aca="false">fl_pay_32-Sens!J1559*fl_rate</f>
        <v>4.49629305366278</v>
      </c>
    </row>
    <row r="1561" customFormat="false" ht="17.15" hidden="false" customHeight="false" outlineLevel="0" collapsed="false">
      <c r="A1561" s="1" t="s">
        <v>963</v>
      </c>
      <c r="B1561" s="0" t="s">
        <v>98</v>
      </c>
      <c r="E1561" s="6" t="n">
        <f aca="false">Q!M35-Q!M36-Q!M43</f>
        <v>63.886</v>
      </c>
      <c r="F1561" s="6" t="n">
        <f aca="false">Sens!F1554-Sens!F1558-Sens!F1560</f>
        <v>8.15474750007584</v>
      </c>
      <c r="G1561" s="6" t="n">
        <f aca="false">Sens!G1554-Sens!G1558-Sens!G1560</f>
        <v>42.8231005059532</v>
      </c>
      <c r="H1561" s="6" t="n">
        <f aca="false">Sens!H1554-Sens!H1558-Sens!H1560</f>
        <v>86.091182859492</v>
      </c>
      <c r="I1561" s="6" t="n">
        <f aca="false">Sens!I1554-Sens!I1558-Sens!I1560</f>
        <v>153.959590789891</v>
      </c>
      <c r="J1561" s="6" t="n">
        <f aca="false">Sens!J1554-Sens!J1558-Sens!J1560</f>
        <v>225.144733949719</v>
      </c>
      <c r="K1561" s="6" t="n">
        <f aca="false">Sens!K1554-Sens!K1558-Sens!K1560</f>
        <v>258.304304904117</v>
      </c>
      <c r="L1561" s="11" t="s">
        <v>964</v>
      </c>
    </row>
    <row r="1562" customFormat="false" ht="15" hidden="false" customHeight="false" outlineLevel="0" collapsed="false">
      <c r="A1562" s="1" t="s">
        <v>965</v>
      </c>
      <c r="B1562" s="0" t="s">
        <v>75</v>
      </c>
      <c r="F1562" s="8" t="n">
        <f aca="false">dps_27</f>
        <v>3.85</v>
      </c>
      <c r="G1562" s="8" t="n">
        <f aca="false">Sens!F1562*(1+dps_g)</f>
        <v>4.158</v>
      </c>
      <c r="H1562" s="8" t="n">
        <f aca="false">Sens!G1562*(1+dps_g)</f>
        <v>4.49064</v>
      </c>
      <c r="I1562" s="8" t="n">
        <f aca="false">Sens!H1562*(1+dps_g)</f>
        <v>4.8498912</v>
      </c>
      <c r="J1562" s="8" t="n">
        <f aca="false">Sens!I1562*(1+dps_g)</f>
        <v>5.237882496</v>
      </c>
      <c r="K1562" s="8" t="n">
        <f aca="false">Sens!J1562*(1+dps_g)</f>
        <v>5.65691309568</v>
      </c>
    </row>
    <row r="1563" customFormat="false" ht="17.15" hidden="false" customHeight="false" outlineLevel="0" collapsed="false">
      <c r="A1563" s="1" t="s">
        <v>966</v>
      </c>
      <c r="B1563" s="0" t="s">
        <v>98</v>
      </c>
      <c r="E1563" s="6" t="n">
        <f aca="false">Q!M41</f>
        <v>26.445</v>
      </c>
      <c r="F1563" s="6" t="n">
        <f aca="false">Sens!F1562*Sens!E1572</f>
        <v>28.59395</v>
      </c>
      <c r="G1563" s="6" t="n">
        <f aca="false">Sens!G1562*Sens!F1572</f>
        <v>31.068576</v>
      </c>
      <c r="H1563" s="6" t="n">
        <f aca="false">Sens!H1562*Sens!G1572</f>
        <v>33.6678376660274</v>
      </c>
      <c r="I1563" s="6" t="n">
        <f aca="false">Sens!I1562*Sens!H1572</f>
        <v>36.412203919309</v>
      </c>
      <c r="J1563" s="6" t="n">
        <f aca="false">Sens!J1562*Sens!I1572</f>
        <v>39.3935790811732</v>
      </c>
      <c r="K1563" s="6" t="n">
        <f aca="false">Sens!K1562*Sens!J1572</f>
        <v>42.6323206329721</v>
      </c>
      <c r="L1563" s="1" t="s">
        <v>967</v>
      </c>
    </row>
    <row r="1564" customFormat="false" ht="15" hidden="false" customHeight="false" outlineLevel="0" collapsed="false">
      <c r="A1564" s="1" t="s">
        <v>968</v>
      </c>
      <c r="B1564" s="0" t="s">
        <v>98</v>
      </c>
      <c r="E1564" s="6" t="n">
        <f aca="false">Sens!E1561-Sens!E1563</f>
        <v>37.441</v>
      </c>
      <c r="F1564" s="6" t="n">
        <f aca="false">Sens!F1561-Sens!F1563</f>
        <v>-20.4392024999242</v>
      </c>
      <c r="G1564" s="6" t="n">
        <f aca="false">Sens!G1561-Sens!G1563</f>
        <v>11.7545245059532</v>
      </c>
      <c r="H1564" s="6" t="n">
        <f aca="false">Sens!H1561-Sens!H1563</f>
        <v>52.4233451934646</v>
      </c>
      <c r="I1564" s="6" t="n">
        <f aca="false">Sens!I1561-Sens!I1563</f>
        <v>117.547386870582</v>
      </c>
      <c r="J1564" s="6" t="n">
        <f aca="false">Sens!J1561-Sens!J1563</f>
        <v>185.751154868546</v>
      </c>
      <c r="K1564" s="6" t="n">
        <f aca="false">Sens!K1561-Sens!K1563</f>
        <v>215.671984271145</v>
      </c>
    </row>
    <row r="1565" customFormat="false" ht="15" hidden="false" customHeight="false" outlineLevel="0" collapsed="false">
      <c r="A1565" s="1" t="s">
        <v>969</v>
      </c>
      <c r="B1565" s="0" t="s">
        <v>98</v>
      </c>
      <c r="F1565" s="6" t="n">
        <f aca="false">debt_mat_27</f>
        <v>9.25</v>
      </c>
      <c r="G1565" s="6" t="n">
        <f aca="false">debt_mat_28</f>
        <v>0</v>
      </c>
      <c r="H1565" s="6" t="n">
        <f aca="false">debt_mat_29</f>
        <v>2.001</v>
      </c>
      <c r="I1565" s="6" t="n">
        <f aca="false">debt_mat_30</f>
        <v>0</v>
      </c>
      <c r="J1565" s="6" t="n">
        <f aca="false">debt_mat_31</f>
        <v>0.5</v>
      </c>
      <c r="K1565" s="6" t="n">
        <f aca="false">debt_mat_32</f>
        <v>0</v>
      </c>
    </row>
    <row r="1566" customFormat="false" ht="15" hidden="false" customHeight="false" outlineLevel="0" collapsed="false">
      <c r="A1566" s="1" t="s">
        <v>970</v>
      </c>
      <c r="B1566" s="0" t="s">
        <v>98</v>
      </c>
      <c r="E1566" s="6" t="n">
        <f aca="false">Q!M40</f>
        <v>22.271</v>
      </c>
      <c r="F1566" s="6" t="n">
        <f aca="false">MAX(0,MIN(bb_target,Sens!E1568+Sens!F1564-Sens!F1565-min_cash))</f>
        <v>0</v>
      </c>
      <c r="G1566" s="6" t="n">
        <f aca="false">MAX(0,MIN(bb_target,Sens!F1568+Sens!G1564-Sens!G1565-min_cash))</f>
        <v>11.7545245059532</v>
      </c>
      <c r="H1566" s="6" t="n">
        <f aca="false">MAX(0,MIN(bb_target,Sens!G1568+Sens!H1564-Sens!H1565-min_cash))</f>
        <v>22.271</v>
      </c>
      <c r="I1566" s="6" t="n">
        <f aca="false">MAX(0,MIN(bb_target,Sens!H1568+Sens!I1564-Sens!I1565-min_cash))</f>
        <v>22.271</v>
      </c>
      <c r="J1566" s="6" t="n">
        <f aca="false">MAX(0,MIN(bb_target,Sens!I1568+Sens!J1564-Sens!J1565-min_cash))</f>
        <v>22.271</v>
      </c>
      <c r="K1566" s="6" t="n">
        <f aca="false">MAX(0,MIN(bb_target,Sens!J1568+Sens!K1564-Sens!K1565-min_cash))</f>
        <v>22.271</v>
      </c>
    </row>
    <row r="1567" customFormat="false" ht="15" hidden="false" customHeight="false" outlineLevel="0" collapsed="false">
      <c r="A1567" s="1" t="s">
        <v>971</v>
      </c>
      <c r="B1567" s="0" t="s">
        <v>98</v>
      </c>
      <c r="F1567" s="6" t="n">
        <f aca="false">MAX(0,min_cash-(Sens!E1568+Sens!F1564-Sens!F1565-Sens!F1566))</f>
        <v>2.84620249992416</v>
      </c>
      <c r="G1567" s="6" t="n">
        <f aca="false">MAX(0,min_cash-(Sens!F1568+Sens!G1564-Sens!G1565-Sens!G1566))</f>
        <v>0</v>
      </c>
      <c r="H1567" s="6" t="n">
        <f aca="false">MAX(0,min_cash-(Sens!G1568+Sens!H1564-Sens!H1565-Sens!H1566))</f>
        <v>0</v>
      </c>
      <c r="I1567" s="6" t="n">
        <f aca="false">MAX(0,min_cash-(Sens!H1568+Sens!I1564-Sens!I1565-Sens!I1566))</f>
        <v>0</v>
      </c>
      <c r="J1567" s="6" t="n">
        <f aca="false">MAX(0,min_cash-(Sens!I1568+Sens!J1564-Sens!J1565-Sens!J1566))</f>
        <v>0</v>
      </c>
      <c r="K1567" s="6" t="n">
        <f aca="false">MAX(0,min_cash-(Sens!J1568+Sens!K1564-Sens!K1565-Sens!K1566))</f>
        <v>0</v>
      </c>
    </row>
    <row r="1568" customFormat="false" ht="15" hidden="false" customHeight="false" outlineLevel="0" collapsed="false">
      <c r="A1568" s="1" t="s">
        <v>972</v>
      </c>
      <c r="B1568" s="0" t="s">
        <v>98</v>
      </c>
      <c r="E1568" s="6" t="n">
        <f aca="false">cash_open</f>
        <v>76.843</v>
      </c>
      <c r="F1568" s="6" t="n">
        <f aca="false">Sens!E1568+Sens!F1564-Sens!F1565-Sens!F1566+Sens!F1567</f>
        <v>50</v>
      </c>
      <c r="G1568" s="6" t="n">
        <f aca="false">Sens!F1568+Sens!G1564-Sens!G1565-Sens!G1566+Sens!G1567</f>
        <v>50</v>
      </c>
      <c r="H1568" s="6" t="n">
        <f aca="false">Sens!G1568+Sens!H1564-Sens!H1565-Sens!H1566+Sens!H1567</f>
        <v>78.1513451934646</v>
      </c>
      <c r="I1568" s="6" t="n">
        <f aca="false">Sens!H1568+Sens!I1564-Sens!I1565-Sens!I1566+Sens!I1567</f>
        <v>173.427732064046</v>
      </c>
      <c r="J1568" s="6" t="n">
        <f aca="false">Sens!I1568+Sens!J1564-Sens!J1565-Sens!J1566+Sens!J1567</f>
        <v>336.407886932592</v>
      </c>
      <c r="K1568" s="6" t="n">
        <f aca="false">Sens!J1568+Sens!K1564-Sens!K1565-Sens!K1566+Sens!K1567</f>
        <v>529.808871203738</v>
      </c>
    </row>
    <row r="1569" customFormat="false" ht="15" hidden="false" customHeight="false" outlineLevel="0" collapsed="false">
      <c r="A1569" s="1" t="s">
        <v>973</v>
      </c>
      <c r="B1569" s="0" t="s">
        <v>98</v>
      </c>
      <c r="E1569" s="6" t="n">
        <f aca="false">debt_face</f>
        <v>46.136</v>
      </c>
      <c r="F1569" s="6" t="n">
        <f aca="false">Sens!E1569-Sens!F1565+Sens!F1567</f>
        <v>39.7322024999242</v>
      </c>
      <c r="G1569" s="6" t="n">
        <f aca="false">Sens!F1569-Sens!G1565+Sens!G1567</f>
        <v>39.7322024999242</v>
      </c>
      <c r="H1569" s="6" t="n">
        <f aca="false">Sens!G1569-Sens!H1565+Sens!H1567</f>
        <v>37.7312024999242</v>
      </c>
      <c r="I1569" s="6" t="n">
        <f aca="false">Sens!H1569-Sens!I1565+Sens!I1567</f>
        <v>37.7312024999242</v>
      </c>
      <c r="J1569" s="6" t="n">
        <f aca="false">Sens!I1569-Sens!J1565+Sens!J1567</f>
        <v>37.2312024999242</v>
      </c>
      <c r="K1569" s="6" t="n">
        <f aca="false">Sens!J1569-Sens!K1565+Sens!K1567</f>
        <v>37.2312024999242</v>
      </c>
    </row>
    <row r="1570" customFormat="false" ht="15" hidden="false" customHeight="false" outlineLevel="0" collapsed="false">
      <c r="A1570" s="1" t="s">
        <v>974</v>
      </c>
      <c r="B1570" s="0" t="s">
        <v>98</v>
      </c>
      <c r="E1570" s="6" t="n">
        <f aca="false">Sens!E1568-Sens!E1569</f>
        <v>30.707</v>
      </c>
      <c r="F1570" s="6" t="n">
        <f aca="false">Sens!F1568-Sens!F1569</f>
        <v>10.2677975000758</v>
      </c>
      <c r="G1570" s="6" t="n">
        <f aca="false">Sens!G1568-Sens!G1569</f>
        <v>10.2677975000758</v>
      </c>
      <c r="H1570" s="6" t="n">
        <f aca="false">Sens!H1568-Sens!H1569</f>
        <v>40.4201426935405</v>
      </c>
      <c r="I1570" s="6" t="n">
        <f aca="false">Sens!I1568-Sens!I1569</f>
        <v>135.696529564122</v>
      </c>
      <c r="J1570" s="6" t="n">
        <f aca="false">Sens!J1568-Sens!J1569</f>
        <v>299.176684432668</v>
      </c>
      <c r="K1570" s="6" t="n">
        <f aca="false">Sens!K1568-Sens!K1569</f>
        <v>492.577668703814</v>
      </c>
    </row>
    <row r="1571" customFormat="false" ht="15" hidden="false" customHeight="false" outlineLevel="0" collapsed="false">
      <c r="A1571" s="1" t="s">
        <v>975</v>
      </c>
      <c r="B1571" s="0" t="s">
        <v>75</v>
      </c>
      <c r="F1571" s="29" t="n">
        <f aca="false">px*(1+bb_g)^(Sens!F1433-base_fy-mid_yr)</f>
        <v>553.494156066711</v>
      </c>
      <c r="G1571" s="29" t="n">
        <f aca="false">px*(1+bb_g)^(Sens!G1433-base_fy-mid_yr)</f>
        <v>597.773688552047</v>
      </c>
      <c r="H1571" s="29" t="n">
        <f aca="false">px*(1+bb_g)^(Sens!H1433-base_fy-mid_yr)</f>
        <v>645.595583636211</v>
      </c>
      <c r="I1571" s="29" t="n">
        <f aca="false">px*(1+bb_g)^(Sens!I1433-base_fy-mid_yr)</f>
        <v>697.243230327108</v>
      </c>
      <c r="J1571" s="29" t="n">
        <f aca="false">px*(1+bb_g)^(Sens!J1433-base_fy-mid_yr)</f>
        <v>753.022688753277</v>
      </c>
      <c r="K1571" s="29" t="n">
        <f aca="false">px*(1+bb_g)^(Sens!K1433-base_fy-mid_yr)</f>
        <v>813.264503853539</v>
      </c>
    </row>
    <row r="1572" customFormat="false" ht="15" hidden="false" customHeight="false" outlineLevel="0" collapsed="false">
      <c r="A1572" s="1" t="s">
        <v>976</v>
      </c>
      <c r="B1572" s="1" t="s">
        <v>81</v>
      </c>
      <c r="E1572" s="14" t="n">
        <f aca="false">sh_out26</f>
        <v>7.427</v>
      </c>
      <c r="F1572" s="14" t="n">
        <f aca="false">Sens!E1572+sh_iss-Sens!F1566/Sens!F1571</f>
        <v>7.472</v>
      </c>
      <c r="G1572" s="14" t="n">
        <f aca="false">Sens!F1572+sh_iss-Sens!G1566/Sens!G1571</f>
        <v>7.49733616278022</v>
      </c>
      <c r="H1572" s="14" t="n">
        <f aca="false">Sens!G1572+sh_iss-Sens!H1566/Sens!H1571</f>
        <v>7.50783933448012</v>
      </c>
      <c r="I1572" s="14" t="n">
        <f aca="false">Sens!H1572+sh_iss-Sens!I1566/Sens!I1571</f>
        <v>7.52089782679485</v>
      </c>
      <c r="J1572" s="14" t="n">
        <f aca="false">Sens!I1572+sh_iss-Sens!J1566/Sens!J1571</f>
        <v>7.53632235671589</v>
      </c>
      <c r="K1572" s="14" t="n">
        <f aca="false">Sens!J1572+sh_iss-Sens!K1566/Sens!K1571</f>
        <v>7.55393766219833</v>
      </c>
    </row>
    <row r="1573" customFormat="false" ht="15" hidden="false" customHeight="false" outlineLevel="0" collapsed="false">
      <c r="A1573" s="1" t="s">
        <v>977</v>
      </c>
      <c r="B1573" s="1" t="s">
        <v>81</v>
      </c>
      <c r="E1573" s="14" t="n">
        <f aca="false">sh_dil26</f>
        <v>7.453</v>
      </c>
      <c r="F1573" s="14" t="n">
        <f aca="false">(Sens!E1572+Sens!F1572)/2+dil_gap</f>
        <v>7.4735</v>
      </c>
      <c r="G1573" s="14" t="n">
        <f aca="false">(Sens!F1572+Sens!G1572)/2+dil_gap</f>
        <v>7.50866808139011</v>
      </c>
      <c r="H1573" s="14" t="n">
        <f aca="false">(Sens!G1572+Sens!H1572)/2+dil_gap</f>
        <v>7.52658774863017</v>
      </c>
      <c r="I1573" s="14" t="n">
        <f aca="false">(Sens!H1572+Sens!I1572)/2+dil_gap</f>
        <v>7.53836858063749</v>
      </c>
      <c r="J1573" s="14" t="n">
        <f aca="false">(Sens!I1572+Sens!J1572)/2+dil_gap</f>
        <v>7.55261009175537</v>
      </c>
      <c r="K1573" s="14" t="n">
        <f aca="false">(Sens!J1572+Sens!K1572)/2+dil_gap</f>
        <v>7.56913000945711</v>
      </c>
    </row>
    <row r="1574" customFormat="false" ht="17.15" hidden="false" customHeight="false" outlineLevel="0" collapsed="false">
      <c r="A1574" s="1" t="s">
        <v>978</v>
      </c>
      <c r="B1574" s="0" t="s">
        <v>98</v>
      </c>
      <c r="C1574" s="6" t="n">
        <f aca="false">SUM(Sens!F1564:J1564)</f>
        <v>347.037208938621</v>
      </c>
    </row>
    <row r="1575" customFormat="false" ht="15" hidden="false" customHeight="false" outlineLevel="0" collapsed="false">
      <c r="A1575" s="23" t="s">
        <v>945</v>
      </c>
      <c r="B1575" s="30" t="s">
        <v>98</v>
      </c>
      <c r="C1575" s="24" t="n">
        <f aca="false">Sens!$C$1574-(Sens!F1564+Sens!G1564+Sens!H1564+Sens!I1564+Sens!J1564)</f>
        <v>0</v>
      </c>
      <c r="D1575" s="30"/>
      <c r="E1575" s="30"/>
      <c r="F1575" s="30"/>
      <c r="G1575" s="30"/>
      <c r="H1575" s="30"/>
      <c r="I1575" s="30"/>
      <c r="J1575" s="30"/>
      <c r="K1575" s="30"/>
    </row>
    <row r="1576" customFormat="false" ht="17.15" hidden="false" customHeight="false" outlineLevel="0" collapsed="false">
      <c r="A1576" s="1" t="s">
        <v>939</v>
      </c>
      <c r="B1576" s="1" t="s">
        <v>979</v>
      </c>
      <c r="C1576" s="32" t="str">
        <f aca="false">IF(SUM(Sens!F1567:J1567)&gt;0.05,"需要舉債 "&amp;TEXT(SUM(Sens!F1567:J1567),"0.0")&amp;" 十億美元","不需舉債")&amp;"；"&amp;IF(SUM(Sens!F1566:J1566)&lt;COUNT(Sens!F1566:J1566)*bb_target-0.05,"回購較每年 "&amp;TEXT(bb_target,"0.0")&amp;" 的目標少 "&amp;TEXT(COUNT(Sens!F1566:J1566)*bb_target-SUM(Sens!F1566:J1566),"0.0")&amp;" 十億美元（"&amp;TEXT(COUNTIF(Sens!F1566:J1566,"&lt;"&amp;(bb_target-0.05)),"0")&amp;" 年減少）","回購不減")</f>
        <v>需要舉債 2.8 十億美元；回購較每年 22.3 的目標少 32.8 十億美元（2 年減少）</v>
      </c>
    </row>
    <row r="1577" customFormat="false" ht="17.15" hidden="false" customHeight="false" outlineLevel="0" collapsed="false">
      <c r="A1577" s="3" t="s">
        <v>1301</v>
      </c>
    </row>
    <row r="1578" customFormat="false" ht="15" hidden="false" customHeight="false" outlineLevel="0" collapsed="false">
      <c r="A1578" s="4" t="s">
        <v>43</v>
      </c>
      <c r="B1578" s="4" t="s">
        <v>65</v>
      </c>
      <c r="C1578" s="20" t="s">
        <v>799</v>
      </c>
      <c r="D1578" s="20" t="s">
        <v>800</v>
      </c>
      <c r="E1578" s="20" t="s">
        <v>801</v>
      </c>
      <c r="F1578" s="20" t="s">
        <v>802</v>
      </c>
      <c r="G1578" s="20" t="s">
        <v>803</v>
      </c>
      <c r="H1578" s="20" t="s">
        <v>804</v>
      </c>
      <c r="I1578" s="20" t="s">
        <v>805</v>
      </c>
      <c r="J1578" s="20" t="s">
        <v>806</v>
      </c>
      <c r="K1578" s="20" t="s">
        <v>807</v>
      </c>
      <c r="L1578" s="4" t="s">
        <v>47</v>
      </c>
    </row>
    <row r="1579" customFormat="false" ht="15" hidden="false" customHeight="false" outlineLevel="0" collapsed="false">
      <c r="A1579" s="1" t="s">
        <v>1057</v>
      </c>
      <c r="B1579" s="1" t="s">
        <v>235</v>
      </c>
      <c r="F1579" s="36" t="n">
        <f aca="false">Sens!F1433-base_fy-mid_yr</f>
        <v>0.5</v>
      </c>
      <c r="G1579" s="36" t="n">
        <f aca="false">Sens!G1433-base_fy-mid_yr</f>
        <v>1.5</v>
      </c>
      <c r="H1579" s="36" t="n">
        <f aca="false">Sens!H1433-base_fy-mid_yr</f>
        <v>2.5</v>
      </c>
      <c r="I1579" s="36" t="n">
        <f aca="false">Sens!I1433-base_fy-mid_yr</f>
        <v>3.5</v>
      </c>
      <c r="J1579" s="36" t="n">
        <f aca="false">Sens!J1433-base_fy-mid_yr</f>
        <v>4.5</v>
      </c>
      <c r="K1579" s="36" t="n">
        <f aca="false">Sens!K1433-base_fy-mid_yr</f>
        <v>5.5</v>
      </c>
    </row>
    <row r="1580" customFormat="false" ht="15" hidden="false" customHeight="false" outlineLevel="0" collapsed="false">
      <c r="A1580" s="1" t="s">
        <v>1058</v>
      </c>
      <c r="B1580" s="0" t="s">
        <v>185</v>
      </c>
      <c r="F1580" s="14" t="n">
        <f aca="false">1/(1+wacc)^Sens!F1579</f>
        <v>0.952193373608246</v>
      </c>
      <c r="G1580" s="14" t="n">
        <f aca="false">1/(1+wacc)^Sens!G1579</f>
        <v>0.863327280626589</v>
      </c>
      <c r="H1580" s="14" t="n">
        <f aca="false">1/(1+wacc)^Sens!H1579</f>
        <v>0.782754862754115</v>
      </c>
      <c r="I1580" s="14" t="n">
        <f aca="false">1/(1+wacc)^Sens!I1579</f>
        <v>0.709702089711011</v>
      </c>
      <c r="J1580" s="14" t="n">
        <f aca="false">1/(1+wacc)^Sens!J1579</f>
        <v>0.643467169744551</v>
      </c>
      <c r="K1580" s="14" t="n">
        <f aca="false">1/(1+wacc)^Sens!K1579</f>
        <v>0.583413807767797</v>
      </c>
    </row>
    <row r="1581" customFormat="false" ht="17.15" hidden="false" customHeight="false" outlineLevel="0" collapsed="false">
      <c r="A1581" s="1" t="s">
        <v>1059</v>
      </c>
      <c r="B1581" s="0" t="s">
        <v>98</v>
      </c>
      <c r="F1581" s="6" t="n">
        <f aca="false">Sens!F1554-Sens!F1552-Sens!F1558+Sens!F1537*(1-tax_f)</f>
        <v>4.4785181398156</v>
      </c>
      <c r="G1581" s="6" t="n">
        <f aca="false">Sens!G1554-Sens!G1552-Sens!G1558+Sens!G1537*(1-tax_f)</f>
        <v>48.1879721784104</v>
      </c>
      <c r="H1581" s="6" t="n">
        <f aca="false">Sens!H1554-Sens!H1552-Sens!H1558+Sens!H1537*(1-tax_f)</f>
        <v>100.869139295638</v>
      </c>
      <c r="I1581" s="6" t="n">
        <f aca="false">Sens!I1554-Sens!I1552-Sens!I1558+Sens!I1537*(1-tax_f)</f>
        <v>177.837040183191</v>
      </c>
      <c r="J1581" s="6" t="n">
        <f aca="false">Sens!J1554-Sens!J1552-Sens!J1558+Sens!J1537*(1-tax_f)</f>
        <v>255.267873497021</v>
      </c>
      <c r="K1581" s="6" t="n">
        <f aca="false">Sens!K1554-Sens!K1552-Sens!K1558+Sens!K1537*(1-tax_f)</f>
        <v>291.575778614825</v>
      </c>
      <c r="L1581" s="1" t="s">
        <v>1060</v>
      </c>
    </row>
    <row r="1582" customFormat="false" ht="15" hidden="false" customHeight="false" outlineLevel="0" collapsed="false">
      <c r="A1582" s="1" t="s">
        <v>1061</v>
      </c>
      <c r="B1582" s="0" t="s">
        <v>98</v>
      </c>
      <c r="F1582" s="6" t="n">
        <f aca="false">Sens!F1581*Sens!F1580</f>
        <v>4.26441529631674</v>
      </c>
      <c r="G1582" s="6" t="n">
        <f aca="false">Sens!G1581*Sens!G1580</f>
        <v>41.6019909796968</v>
      </c>
      <c r="H1582" s="6" t="n">
        <f aca="false">Sens!H1581*Sens!H1580</f>
        <v>78.9558092854831</v>
      </c>
      <c r="I1582" s="6" t="n">
        <f aca="false">Sens!I1581*Sens!I1580</f>
        <v>126.211319046032</v>
      </c>
      <c r="J1582" s="6" t="n">
        <f aca="false">Sens!J1581*Sens!J1580</f>
        <v>164.256496085838</v>
      </c>
      <c r="K1582" s="6" t="n">
        <f aca="false">Sens!K1581*Sens!K1580</f>
        <v>170.109335254535</v>
      </c>
    </row>
    <row r="1583" customFormat="false" ht="17.15" hidden="false" customHeight="false" outlineLevel="0" collapsed="false">
      <c r="A1583" s="1" t="s">
        <v>1062</v>
      </c>
      <c r="B1583" s="0" t="s">
        <v>98</v>
      </c>
      <c r="C1583" s="6" t="n">
        <f aca="false">SUM(Sens!F1582:K1582)</f>
        <v>585.399365947902</v>
      </c>
    </row>
    <row r="1584" customFormat="false" ht="17.15" hidden="false" customHeight="false" outlineLevel="0" collapsed="false">
      <c r="A1584" s="1" t="s">
        <v>1063</v>
      </c>
      <c r="B1584" s="0" t="s">
        <v>98</v>
      </c>
      <c r="C1584" s="6" t="n">
        <f aca="false">Sens!K1523*(1+g_tv)*(1-tax_f)</f>
        <v>308.507776373025</v>
      </c>
    </row>
    <row r="1585" customFormat="false" ht="17.15" hidden="false" customHeight="false" outlineLevel="0" collapsed="false">
      <c r="A1585" s="1" t="s">
        <v>1064</v>
      </c>
      <c r="B1585" s="0" t="s">
        <v>98</v>
      </c>
      <c r="C1585" s="6" t="n">
        <f aca="false">Sens!$C$1584*(1-g_tv/(wacc+ronic_prem))</f>
        <v>218.593894477737</v>
      </c>
    </row>
    <row r="1586" customFormat="false" ht="17.15" hidden="false" customHeight="false" outlineLevel="0" collapsed="false">
      <c r="A1586" s="1" t="s">
        <v>1065</v>
      </c>
      <c r="B1586" s="0" t="s">
        <v>98</v>
      </c>
      <c r="C1586" s="6" t="n">
        <f aca="false">Sens!$C$1585/(wacc-g_tv)</f>
        <v>2997.12939650959</v>
      </c>
    </row>
    <row r="1587" customFormat="false" ht="15" hidden="false" customHeight="false" outlineLevel="0" collapsed="false">
      <c r="A1587" s="1" t="s">
        <v>1066</v>
      </c>
      <c r="B1587" s="0" t="s">
        <v>98</v>
      </c>
      <c r="C1587" s="6" t="n">
        <f aca="false">Sens!$C$1586/(1+wacc)^(Sens!K1579+mid_yr)</f>
        <v>1664.97359990505</v>
      </c>
    </row>
    <row r="1588" customFormat="false" ht="17.15" hidden="false" customHeight="false" outlineLevel="0" collapsed="false">
      <c r="A1588" s="0" t="s">
        <v>986</v>
      </c>
      <c r="B1588" s="0" t="s">
        <v>98</v>
      </c>
      <c r="C1588" s="6" t="n">
        <f aca="false">Sens!$C$1583+Sens!$C$1587</f>
        <v>2250.37296585295</v>
      </c>
    </row>
    <row r="1589" customFormat="false" ht="15" hidden="false" customHeight="false" outlineLevel="0" collapsed="false">
      <c r="A1589" s="1" t="s">
        <v>987</v>
      </c>
      <c r="B1589" s="0" t="s">
        <v>129</v>
      </c>
      <c r="C1589" s="7" t="n">
        <f aca="false">Sens!$C$1587/Sens!$C$1588</f>
        <v>0.739865624573916</v>
      </c>
    </row>
    <row r="1590" customFormat="false" ht="17.15" hidden="false" customHeight="false" outlineLevel="0" collapsed="false">
      <c r="A1590" s="1" t="s">
        <v>1067</v>
      </c>
      <c r="B1590" s="0" t="s">
        <v>98</v>
      </c>
      <c r="C1590" s="6" t="n">
        <f aca="false">Sens!$C$1588+Sens!E1570-Sens!E1559+oai_v</f>
        <v>2384.88596585295</v>
      </c>
    </row>
    <row r="1591" customFormat="false" ht="17.15" hidden="false" customHeight="false" outlineLevel="0" collapsed="false">
      <c r="A1591" s="0" t="s">
        <v>994</v>
      </c>
      <c r="B1591" s="0" t="s">
        <v>75</v>
      </c>
      <c r="C1591" s="5" t="n">
        <f aca="false">Sens!$C$1590/sh_dil26</f>
        <v>319.990066530652</v>
      </c>
    </row>
    <row r="1592" customFormat="false" ht="15" hidden="false" customHeight="false" outlineLevel="0" collapsed="false">
      <c r="A1592" s="1" t="s">
        <v>1068</v>
      </c>
      <c r="B1592" s="0" t="s">
        <v>75</v>
      </c>
      <c r="C1592" s="8" t="n">
        <f aca="false">dps_27+Sens!G1562*roll_div_q/q_per_yr</f>
        <v>4.8895</v>
      </c>
    </row>
    <row r="1593" customFormat="false" ht="17.15" hidden="false" customHeight="false" outlineLevel="0" collapsed="false">
      <c r="A1593" s="0" t="s">
        <v>1069</v>
      </c>
      <c r="B1593" s="0" t="s">
        <v>75</v>
      </c>
      <c r="C1593" s="5" t="n">
        <f aca="false">Sens!$C$1591*(1+wacc)^t_roll-Sens!$C$1592</f>
        <v>359.493873075017</v>
      </c>
    </row>
    <row r="1594" customFormat="false" ht="17.15" hidden="false" customHeight="false" outlineLevel="0" collapsed="false">
      <c r="A1594" s="1" t="s">
        <v>1070</v>
      </c>
      <c r="B1594" s="0" t="s">
        <v>129</v>
      </c>
      <c r="F1594" s="7" t="n">
        <f aca="false">Sens!F1549/(Sens!F1494-Sens!F1450)</f>
        <v>0.0708376243512414</v>
      </c>
      <c r="G1594" s="7" t="n">
        <f aca="false">Sens!G1549/(Sens!G1494-Sens!G1450)</f>
        <v>0.0675792567445289</v>
      </c>
      <c r="H1594" s="7" t="n">
        <f aca="false">Sens!H1549/(Sens!H1494-Sens!H1450)</f>
        <v>0.0657637992399081</v>
      </c>
      <c r="I1594" s="7" t="n">
        <f aca="false">Sens!I1549/(Sens!I1494-Sens!I1450)</f>
        <v>0.0652507860006261</v>
      </c>
      <c r="J1594" s="7" t="n">
        <f aca="false">Sens!J1549/(Sens!J1494-Sens!J1450)</f>
        <v>0.0657374094257698</v>
      </c>
      <c r="K1594" s="7" t="n">
        <f aca="false">Sens!K1549/(Sens!K1494-Sens!K1450)</f>
        <v>0.0668595832904835</v>
      </c>
    </row>
    <row r="1595" customFormat="false" ht="17.15" hidden="false" customHeight="false" outlineLevel="0" collapsed="false">
      <c r="A1595" s="0" t="s">
        <v>1071</v>
      </c>
      <c r="B1595" s="0" t="s">
        <v>98</v>
      </c>
      <c r="F1595" s="6" t="n">
        <f aca="false">Sens!F1479*(al_m365+Sens!F1594+sbc_r)</f>
        <v>84.2019918892952</v>
      </c>
      <c r="G1595" s="6" t="n">
        <f aca="false">Sens!G1479*(al_m365+Sens!G1594+sbc_r)</f>
        <v>96.61090954529</v>
      </c>
      <c r="H1595" s="6" t="n">
        <f aca="false">Sens!H1479*(al_m365+Sens!H1594+sbc_r)</f>
        <v>109.18271398457</v>
      </c>
      <c r="I1595" s="6" t="n">
        <f aca="false">Sens!I1479*(al_m365+Sens!I1594+sbc_r)</f>
        <v>120.736322591613</v>
      </c>
      <c r="J1595" s="6" t="n">
        <f aca="false">Sens!J1479*(al_m365+Sens!J1594+sbc_r)</f>
        <v>131.084561154645</v>
      </c>
      <c r="K1595" s="6" t="n">
        <f aca="false">Sens!K1479*(al_m365+Sens!K1594+sbc_r)</f>
        <v>141.044207560217</v>
      </c>
      <c r="L1595" s="11" t="s">
        <v>1072</v>
      </c>
    </row>
    <row r="1596" customFormat="false" ht="17.15" hidden="false" customHeight="false" outlineLevel="0" collapsed="false">
      <c r="A1596" s="0" t="s">
        <v>1073</v>
      </c>
      <c r="B1596" s="0" t="s">
        <v>98</v>
      </c>
      <c r="F1596" s="6" t="n">
        <f aca="false">Sens!F1480*(al_lic+Sens!F1594+sbc_r)</f>
        <v>33.5324516680982</v>
      </c>
      <c r="G1596" s="6" t="n">
        <f aca="false">Sens!G1480*(al_lic+Sens!G1594+sbc_r)</f>
        <v>34.819657317048</v>
      </c>
      <c r="H1596" s="6" t="n">
        <f aca="false">Sens!H1480*(al_lic+Sens!H1594+sbc_r)</f>
        <v>36.0229106304815</v>
      </c>
      <c r="I1596" s="6" t="n">
        <f aca="false">Sens!I1480*(al_lic+Sens!I1594+sbc_r)</f>
        <v>37.1234854794919</v>
      </c>
      <c r="J1596" s="6" t="n">
        <f aca="false">Sens!J1480*(al_lic+Sens!J1594+sbc_r)</f>
        <v>38.0950592345738</v>
      </c>
      <c r="K1596" s="6" t="n">
        <f aca="false">Sens!K1480*(al_lic+Sens!K1594+sbc_r)</f>
        <v>38.9080719459809</v>
      </c>
    </row>
    <row r="1597" customFormat="false" ht="17.15" hidden="false" customHeight="false" outlineLevel="0" collapsed="false">
      <c r="A1597" s="0" t="s">
        <v>1074</v>
      </c>
      <c r="B1597" s="0" t="s">
        <v>98</v>
      </c>
      <c r="F1597" s="6" t="n">
        <f aca="false">Sens!F1482*(al_ind+Sens!F1594+sbc_r)</f>
        <v>9.12666918765551</v>
      </c>
      <c r="G1597" s="6" t="n">
        <f aca="false">Sens!G1482*(al_ind+Sens!G1594+sbc_r)</f>
        <v>9.89694850970117</v>
      </c>
      <c r="H1597" s="6" t="n">
        <f aca="false">Sens!H1482*(al_ind+Sens!H1594+sbc_r)</f>
        <v>10.7131335152527</v>
      </c>
      <c r="I1597" s="6" t="n">
        <f aca="false">Sens!I1482*(al_ind+Sens!I1594+sbc_r)</f>
        <v>11.5721730864119</v>
      </c>
      <c r="J1597" s="6" t="n">
        <f aca="false">Sens!J1482*(al_ind+Sens!J1594+sbc_r)</f>
        <v>12.4641697526801</v>
      </c>
      <c r="K1597" s="6" t="n">
        <f aca="false">Sens!K1482*(al_ind+Sens!K1594+sbc_r)</f>
        <v>13.3737871892836</v>
      </c>
    </row>
    <row r="1598" customFormat="false" ht="17.15" hidden="false" customHeight="false" outlineLevel="0" collapsed="false">
      <c r="A1598" s="0" t="s">
        <v>1075</v>
      </c>
      <c r="B1598" s="0" t="s">
        <v>98</v>
      </c>
      <c r="F1598" s="6" t="n">
        <f aca="false">Sens!F1484*(al_fro+Sens!F1594+sbc_r)</f>
        <v>3.5922890341799</v>
      </c>
      <c r="G1598" s="6" t="n">
        <f aca="false">Sens!G1484*(al_fro+Sens!G1594+sbc_r)</f>
        <v>3.79984310356763</v>
      </c>
      <c r="H1598" s="6" t="n">
        <f aca="false">Sens!H1484*(al_fro+Sens!H1594+sbc_r)</f>
        <v>4.03707539290126</v>
      </c>
      <c r="I1598" s="6" t="n">
        <f aca="false">Sens!I1484*(al_fro+Sens!I1594+sbc_r)</f>
        <v>4.30669184104541</v>
      </c>
      <c r="J1598" s="6" t="n">
        <f aca="false">Sens!J1484*(al_fro+Sens!J1594+sbc_r)</f>
        <v>4.6097289716959</v>
      </c>
      <c r="K1598" s="6" t="n">
        <f aca="false">Sens!K1484*(al_fro+Sens!K1594+sbc_r)</f>
        <v>4.94614045628512</v>
      </c>
    </row>
    <row r="1599" customFormat="false" ht="17.15" hidden="false" customHeight="false" outlineLevel="0" collapsed="false">
      <c r="A1599" s="0" t="s">
        <v>1076</v>
      </c>
      <c r="B1599" s="0" t="s">
        <v>98</v>
      </c>
      <c r="F1599" s="6" t="n">
        <f aca="false">Sens!F1487*(al_srch+Sens!F1594+sbc_r)</f>
        <v>11.2715683093452</v>
      </c>
      <c r="G1599" s="6" t="n">
        <f aca="false">Sens!G1487*(al_srch+Sens!G1594+sbc_r)</f>
        <v>12.338201972554</v>
      </c>
      <c r="H1599" s="6" t="n">
        <f aca="false">Sens!H1487*(al_srch+Sens!H1594+sbc_r)</f>
        <v>13.450727865064</v>
      </c>
      <c r="I1599" s="6" t="n">
        <f aca="false">Sens!I1487*(al_srch+Sens!I1594+sbc_r)</f>
        <v>14.598560682534</v>
      </c>
      <c r="J1599" s="6" t="n">
        <f aca="false">Sens!J1487*(al_srch+Sens!J1594+sbc_r)</f>
        <v>15.7615229152659</v>
      </c>
      <c r="K1599" s="6" t="n">
        <f aca="false">Sens!K1487*(al_srch+Sens!K1594+sbc_r)</f>
        <v>16.9117765106222</v>
      </c>
    </row>
    <row r="1600" customFormat="false" ht="17.15" hidden="false" customHeight="false" outlineLevel="0" collapsed="false">
      <c r="A1600" s="0" t="s">
        <v>1077</v>
      </c>
      <c r="B1600" s="0" t="s">
        <v>98</v>
      </c>
      <c r="F1600" s="6" t="n">
        <f aca="false">Sens!F1456-Sens!F1457+Sens!F1537</f>
        <v>50.4850316588831</v>
      </c>
      <c r="G1600" s="6" t="n">
        <f aca="false">Sens!G1456-Sens!G1457+Sens!G1537</f>
        <v>93.1203349422022</v>
      </c>
      <c r="H1600" s="6" t="n">
        <f aca="false">Sens!H1456-Sens!H1457+Sens!H1537</f>
        <v>138.785878290353</v>
      </c>
      <c r="I1600" s="6" t="n">
        <f aca="false">Sens!I1456-Sens!I1457+Sens!I1537</f>
        <v>179.939025546124</v>
      </c>
      <c r="J1600" s="6" t="n">
        <f aca="false">Sens!J1456-Sens!J1457+Sens!J1537</f>
        <v>209.257110988877</v>
      </c>
      <c r="K1600" s="6" t="n">
        <f aca="false">Sens!K1456-Sens!K1457+Sens!K1537</f>
        <v>228.164527027593</v>
      </c>
    </row>
    <row r="1601" customFormat="false" ht="17.15" hidden="false" customHeight="false" outlineLevel="0" collapsed="false">
      <c r="A1601" s="0" t="s">
        <v>1078</v>
      </c>
      <c r="B1601" s="0" t="s">
        <v>98</v>
      </c>
      <c r="F1601" s="6" t="n">
        <f aca="false">Sens!F1516+Sens!F1537+Sens!F1467+Sens!F1594*(Sens!F1486-Sens!F1450)+sbc_r*Sens!F1486</f>
        <v>241.650862804101</v>
      </c>
      <c r="G1601" s="6" t="n">
        <f aca="false">Sens!G1516+Sens!G1537+Sens!G1467+Sens!G1594*(Sens!G1486-Sens!G1450)+sbc_r*Sens!G1486</f>
        <v>311.582354115298</v>
      </c>
      <c r="H1601" s="6" t="n">
        <f aca="false">Sens!H1516+Sens!H1537+Sens!H1467+Sens!H1594*(Sens!H1486-Sens!H1450)+sbc_r*Sens!H1486</f>
        <v>385.053512270172</v>
      </c>
      <c r="I1601" s="6" t="n">
        <f aca="false">Sens!I1516+Sens!I1537+Sens!I1467+Sens!I1594*(Sens!I1486-Sens!I1450)+sbc_r*Sens!I1486</f>
        <v>452.618294081938</v>
      </c>
      <c r="J1601" s="6" t="n">
        <f aca="false">Sens!J1516+Sens!J1537+Sens!J1467+Sens!J1594*(Sens!J1486-Sens!J1450)+sbc_r*Sens!J1486</f>
        <v>505.865810397098</v>
      </c>
      <c r="K1601" s="6" t="n">
        <f aca="false">Sens!K1516+Sens!K1537+Sens!K1467+Sens!K1594*(Sens!K1486-Sens!K1450)+sbc_r*Sens!K1486</f>
        <v>546.312450710531</v>
      </c>
    </row>
    <row r="1602" customFormat="false" ht="17.15" hidden="false" customHeight="false" outlineLevel="0" collapsed="false">
      <c r="A1602" s="0" t="s">
        <v>1079</v>
      </c>
      <c r="B1602" s="0" t="s">
        <v>98</v>
      </c>
      <c r="F1602" s="6" t="n">
        <f aca="false">Sens!F1601-Sens!F1595-Sens!F1596-Sens!F1597-Sens!F1598-Sens!F1600</f>
        <v>60.7124293659894</v>
      </c>
      <c r="G1602" s="6" t="n">
        <f aca="false">Sens!G1601-Sens!G1595-Sens!G1596-Sens!G1597-Sens!G1598-Sens!G1600</f>
        <v>73.3346606974888</v>
      </c>
      <c r="H1602" s="6" t="n">
        <f aca="false">Sens!H1601-Sens!H1595-Sens!H1596-Sens!H1597-Sens!H1598-Sens!H1600</f>
        <v>86.3118004566128</v>
      </c>
      <c r="I1602" s="6" t="n">
        <f aca="false">Sens!I1601-Sens!I1595-Sens!I1596-Sens!I1597-Sens!I1598-Sens!I1600</f>
        <v>98.9405955372517</v>
      </c>
      <c r="J1602" s="6" t="n">
        <f aca="false">Sens!J1601-Sens!J1595-Sens!J1596-Sens!J1597-Sens!J1598-Sens!J1600</f>
        <v>110.355180294627</v>
      </c>
      <c r="K1602" s="6" t="n">
        <f aca="false">Sens!K1601-Sens!K1595-Sens!K1596-Sens!K1597-Sens!K1598-Sens!K1600</f>
        <v>119.875716531171</v>
      </c>
    </row>
    <row r="1603" customFormat="false" ht="17.15" hidden="false" customHeight="false" outlineLevel="0" collapsed="false">
      <c r="A1603" s="0" t="s">
        <v>1080</v>
      </c>
      <c r="B1603" s="0" t="s">
        <v>98</v>
      </c>
      <c r="F1603" s="6" t="n">
        <f aca="false">Sens!F1518+Sens!F1594*Sens!F1493+sbc_r*Sens!F1493</f>
        <v>26.345087006484</v>
      </c>
      <c r="G1603" s="6" t="n">
        <f aca="false">Sens!G1518+Sens!G1594*Sens!G1493+sbc_r*Sens!G1493</f>
        <v>26.928666241387</v>
      </c>
      <c r="H1603" s="6" t="n">
        <f aca="false">Sens!H1518+Sens!H1594*Sens!H1493+sbc_r*Sens!H1493</f>
        <v>27.7857977299272</v>
      </c>
      <c r="I1603" s="6" t="n">
        <f aca="false">Sens!I1518+Sens!I1594*Sens!I1493+sbc_r*Sens!I1493</f>
        <v>28.8854111921819</v>
      </c>
      <c r="J1603" s="6" t="n">
        <f aca="false">Sens!J1518+Sens!J1594*Sens!J1493+sbc_r*Sens!J1493</f>
        <v>30.1909525075627</v>
      </c>
      <c r="K1603" s="6" t="n">
        <f aca="false">Sens!K1518+Sens!K1594*Sens!K1493+sbc_r*Sens!K1493</f>
        <v>31.6641663414168</v>
      </c>
    </row>
    <row r="1604" customFormat="false" ht="17.15" hidden="false" customHeight="false" outlineLevel="0" collapsed="false">
      <c r="A1604" s="0" t="s">
        <v>1081</v>
      </c>
      <c r="B1604" s="0" t="s">
        <v>98</v>
      </c>
      <c r="F1604" s="6" t="n">
        <f aca="false">(Sens!F1603-Sens!F1599)*Sens!F1489/(Sens!F1489+Sens!F1491)</f>
        <v>8.26315613582677</v>
      </c>
      <c r="G1604" s="6" t="n">
        <f aca="false">(Sens!G1603-Sens!G1599)*Sens!G1489/(Sens!G1489+Sens!G1491)</f>
        <v>7.85574031810689</v>
      </c>
      <c r="H1604" s="6" t="n">
        <f aca="false">(Sens!H1603-Sens!H1599)*Sens!H1489/(Sens!H1489+Sens!H1491)</f>
        <v>7.61397145487838</v>
      </c>
      <c r="I1604" s="6" t="n">
        <f aca="false">(Sens!I1603-Sens!I1599)*Sens!I1489/(Sens!I1489+Sens!I1491)</f>
        <v>7.51970050510933</v>
      </c>
      <c r="J1604" s="6" t="n">
        <f aca="false">(Sens!J1603-Sens!J1599)*Sens!J1489/(Sens!J1489+Sens!J1491)</f>
        <v>7.56040201890202</v>
      </c>
      <c r="K1604" s="6" t="n">
        <f aca="false">(Sens!K1603-Sens!K1599)*Sens!K1489/(Sens!K1489+Sens!K1491)</f>
        <v>7.72961932742726</v>
      </c>
    </row>
    <row r="1605" customFormat="false" ht="17.15" hidden="false" customHeight="false" outlineLevel="0" collapsed="false">
      <c r="A1605" s="0" t="s">
        <v>1082</v>
      </c>
      <c r="B1605" s="0" t="s">
        <v>98</v>
      </c>
      <c r="F1605" s="6" t="n">
        <f aca="false">Sens!F1603-Sens!F1599-Sens!F1604</f>
        <v>6.81036256131213</v>
      </c>
      <c r="G1605" s="6" t="n">
        <f aca="false">Sens!G1603-Sens!G1599-Sens!G1604</f>
        <v>6.73472395072608</v>
      </c>
      <c r="H1605" s="6" t="n">
        <f aca="false">Sens!H1603-Sens!H1599-Sens!H1604</f>
        <v>6.72109840998485</v>
      </c>
      <c r="I1605" s="6" t="n">
        <f aca="false">Sens!I1603-Sens!I1599-Sens!I1604</f>
        <v>6.76715000453853</v>
      </c>
      <c r="J1605" s="6" t="n">
        <f aca="false">Sens!J1603-Sens!J1599-Sens!J1604</f>
        <v>6.86902757339483</v>
      </c>
      <c r="K1605" s="6" t="n">
        <f aca="false">Sens!K1603-Sens!K1599-Sens!K1604</f>
        <v>7.02277050336727</v>
      </c>
    </row>
    <row r="1606" customFormat="false" ht="17.15" hidden="false" customHeight="false" outlineLevel="0" collapsed="false">
      <c r="A1606" s="0" t="s">
        <v>1083</v>
      </c>
      <c r="B1606" s="0" t="s">
        <v>98</v>
      </c>
      <c r="F1606" s="6" t="n">
        <f aca="false">Sens!F1600-tax_f*(Sens!F1600-Sens!F1467)-Sens!F1464</f>
        <v>-113.134873068169</v>
      </c>
      <c r="G1606" s="6" t="n">
        <f aca="false">Sens!G1600-tax_f*(Sens!G1600-Sens!G1467)-Sens!G1464</f>
        <v>-97.252825107336</v>
      </c>
      <c r="H1606" s="6" t="n">
        <f aca="false">Sens!H1600-tax_f*(Sens!H1600-Sens!H1467)-Sens!H1464</f>
        <v>-59.7793793094554</v>
      </c>
      <c r="I1606" s="6" t="n">
        <f aca="false">Sens!I1600-tax_f*(Sens!I1600-Sens!I1467)-Sens!I1464</f>
        <v>2.36570004913256</v>
      </c>
      <c r="J1606" s="6" t="n">
        <f aca="false">Sens!J1600-tax_f*(Sens!J1600-Sens!J1467)-Sens!J1464</f>
        <v>65.8239167674279</v>
      </c>
      <c r="K1606" s="6" t="n">
        <f aca="false">Sens!K1600-tax_f*(Sens!K1600-Sens!K1467)-Sens!K1464</f>
        <v>88.9504991273454</v>
      </c>
    </row>
    <row r="1607" customFormat="false" ht="17.15" hidden="false" customHeight="false" outlineLevel="0" collapsed="false">
      <c r="A1607" s="0" t="s">
        <v>1084</v>
      </c>
      <c r="B1607" s="0" t="s">
        <v>98</v>
      </c>
      <c r="G1607" s="6" t="n">
        <f aca="false">Sens!G1606/(1+wacc)^(Sens!G1579-(Sens!F1579+mid_yr))</f>
        <v>-92.603495631887</v>
      </c>
      <c r="H1607" s="6" t="n">
        <f aca="false">Sens!H1606/(1+wacc)^(Sens!H1579-(Sens!F1579+mid_yr))</f>
        <v>-51.6091689767775</v>
      </c>
      <c r="I1607" s="6" t="n">
        <f aca="false">Sens!I1606/(1+wacc)^(Sens!I1579-(Sens!F1579+mid_yr))</f>
        <v>1.85176321727616</v>
      </c>
      <c r="J1607" s="6" t="n">
        <f aca="false">Sens!J1606/(1+wacc)^(Sens!J1579-(Sens!F1579+mid_yr))</f>
        <v>46.7153712828072</v>
      </c>
      <c r="K1607" s="6" t="n">
        <f aca="false">Sens!K1606/(1+wacc)^(Sens!K1579-(Sens!F1579+mid_yr))</f>
        <v>57.2367259208381</v>
      </c>
      <c r="L1607" s="1" t="s">
        <v>1085</v>
      </c>
    </row>
    <row r="1608" customFormat="false" ht="17.15" hidden="false" customHeight="false" outlineLevel="0" collapsed="false">
      <c r="A1608" s="0" t="s">
        <v>1086</v>
      </c>
      <c r="B1608" s="0" t="s">
        <v>98</v>
      </c>
      <c r="C1608" s="6" t="n">
        <f aca="false">(Sens!K1600-Sens!K1467)*(1-tax_f)*(1+g_tv)*(1-g_tv/(wacc+ronic_prem))/(wacc-g_tv)/(1+wacc)^(Sens!K1579+mid_yr-(Sens!F1579+mid_yr))</f>
        <v>436.686184881537</v>
      </c>
    </row>
    <row r="1609" customFormat="false" ht="17.15" hidden="false" customHeight="false" outlineLevel="0" collapsed="false">
      <c r="A1609" s="1" t="s">
        <v>1087</v>
      </c>
      <c r="B1609" s="0" t="s">
        <v>98</v>
      </c>
      <c r="C1609" s="6" t="n">
        <f aca="false">(SUM(Sens!G1607:K1607)+Sens!$C$1608)*(1+wacc)^(t_roll-(Sens!F1579+mid_yr))</f>
        <v>411.204640481424</v>
      </c>
      <c r="L1609" s="11" t="s">
        <v>1088</v>
      </c>
    </row>
    <row r="1610" customFormat="false" ht="17.15" hidden="false" customHeight="false" outlineLevel="0" collapsed="false">
      <c r="A1610" s="1" t="s">
        <v>1089</v>
      </c>
      <c r="B1610" s="0" t="s">
        <v>98</v>
      </c>
      <c r="C1610" s="6" t="n">
        <f aca="false">(w_ntm28*Sens!G1456+(1-w_ntm28)*Sens!H1456)*m_ai</f>
        <v>545.723534856774</v>
      </c>
    </row>
    <row r="1611" customFormat="false" ht="17.15" hidden="false" customHeight="false" outlineLevel="0" collapsed="false">
      <c r="A1611" s="1" t="s">
        <v>1090</v>
      </c>
      <c r="B1611" s="0" t="s">
        <v>98</v>
      </c>
      <c r="C1611" s="6" t="n">
        <f aca="false">(w_ntm28*Sens!G1602+(1-w_ntm28)*Sens!H1602)*m_cloud</f>
        <v>1071.46473805461</v>
      </c>
    </row>
    <row r="1612" customFormat="false" ht="17.15" hidden="false" customHeight="false" outlineLevel="0" collapsed="false">
      <c r="A1612" s="1" t="s">
        <v>1091</v>
      </c>
      <c r="B1612" s="0" t="s">
        <v>98</v>
      </c>
      <c r="C1612" s="6" t="n">
        <f aca="false">(w_ntm28*Sens!G1595+(1-w_ntm28)*Sens!H1595)*m_sw</f>
        <v>1087.29236439713</v>
      </c>
    </row>
    <row r="1613" customFormat="false" ht="17.15" hidden="false" customHeight="false" outlineLevel="0" collapsed="false">
      <c r="A1613" s="1" t="s">
        <v>1092</v>
      </c>
      <c r="B1613" s="0" t="s">
        <v>98</v>
      </c>
      <c r="C1613" s="6" t="n">
        <f aca="false">(w_ntm28*Sens!G1596+(1-w_ntm28)*Sens!H1596)*m_sw</f>
        <v>380.253466209432</v>
      </c>
    </row>
    <row r="1614" customFormat="false" ht="17.15" hidden="false" customHeight="false" outlineLevel="0" collapsed="false">
      <c r="A1614" s="1" t="s">
        <v>1093</v>
      </c>
      <c r="B1614" s="0" t="s">
        <v>98</v>
      </c>
      <c r="C1614" s="6" t="n">
        <f aca="false">(w_ntm28*Sens!G1597+(1-w_ntm28)*Sens!H1597)*m_sw</f>
        <v>109.736759441964</v>
      </c>
    </row>
    <row r="1615" customFormat="false" ht="17.15" hidden="false" customHeight="false" outlineLevel="0" collapsed="false">
      <c r="A1615" s="1" t="s">
        <v>1094</v>
      </c>
      <c r="B1615" s="0" t="s">
        <v>98</v>
      </c>
      <c r="C1615" s="6" t="n">
        <f aca="false">(w_ntm28*Sens!G1598+(1-w_ntm28)*Sens!H1598)*m_sw</f>
        <v>41.8666036816175</v>
      </c>
    </row>
    <row r="1616" customFormat="false" ht="17.15" hidden="false" customHeight="false" outlineLevel="0" collapsed="false">
      <c r="A1616" s="1" t="s">
        <v>1095</v>
      </c>
      <c r="B1616" s="0" t="s">
        <v>98</v>
      </c>
      <c r="C1616" s="6" t="n">
        <f aca="false">(w_ntm28*Sens!G1599+(1-w_ntm28)*Sens!H1599)*m_ads</f>
        <v>115.677576364297</v>
      </c>
    </row>
    <row r="1617" customFormat="false" ht="17.15" hidden="false" customHeight="false" outlineLevel="0" collapsed="false">
      <c r="A1617" s="1" t="s">
        <v>1096</v>
      </c>
      <c r="B1617" s="0" t="s">
        <v>98</v>
      </c>
      <c r="C1617" s="6" t="n">
        <f aca="false">(w_ntm28*Sens!G1604+(1-w_ntm28)*Sens!H1604)*m_game</f>
        <v>98.2308281420079</v>
      </c>
    </row>
    <row r="1618" customFormat="false" ht="17.15" hidden="false" customHeight="false" outlineLevel="0" collapsed="false">
      <c r="A1618" s="1" t="s">
        <v>1097</v>
      </c>
      <c r="B1618" s="0" t="s">
        <v>98</v>
      </c>
      <c r="C1618" s="6" t="n">
        <f aca="false">(w_ntm28*Sens!G1605+(1-w_ntm28)*Sens!H1605)*m_pc</f>
        <v>97.3877156607214</v>
      </c>
    </row>
    <row r="1619" customFormat="false" ht="17.15" hidden="false" customHeight="false" outlineLevel="0" collapsed="false">
      <c r="A1619" s="1" t="s">
        <v>1098</v>
      </c>
      <c r="B1619" s="0" t="s">
        <v>98</v>
      </c>
      <c r="C1619" s="6" t="n">
        <f aca="false">Sens!$C$1609+Sens!$C$1611+Sens!$C$1612+Sens!$C$1613+Sens!$C$1614+Sens!$C$1615+Sens!$C$1616+Sens!$C$1617+Sens!$C$1618</f>
        <v>3413.1146924332</v>
      </c>
    </row>
    <row r="1620" customFormat="false" ht="17.15" hidden="false" customHeight="false" outlineLevel="0" collapsed="false">
      <c r="A1620" s="1" t="s">
        <v>1099</v>
      </c>
      <c r="B1620" s="0" t="s">
        <v>98</v>
      </c>
      <c r="C1620" s="6" t="n">
        <f aca="false">(Sens!G1581-Sens!G1606)*t_stub</f>
        <v>47.417684594531</v>
      </c>
      <c r="L1620" s="1" t="s">
        <v>1100</v>
      </c>
    </row>
    <row r="1621" customFormat="false" ht="17.15" hidden="false" customHeight="false" outlineLevel="0" collapsed="false">
      <c r="A1621" s="1" t="s">
        <v>1014</v>
      </c>
      <c r="B1621" s="0" t="s">
        <v>98</v>
      </c>
      <c r="C1621" s="6" t="n">
        <f aca="false">Sens!F1570+oai_v-Sens!F1559+Sens!$C$1620</f>
        <v>165.615752094607</v>
      </c>
      <c r="L1621" s="1" t="s">
        <v>1101</v>
      </c>
    </row>
    <row r="1622" customFormat="false" ht="17.15" hidden="false" customHeight="false" outlineLevel="0" collapsed="false">
      <c r="A1622" s="1" t="s">
        <v>1102</v>
      </c>
      <c r="B1622" s="0" t="s">
        <v>75</v>
      </c>
      <c r="C1622" s="5" t="n">
        <f aca="false">(Sens!$C$1619+Sens!$C$1621)/(Sens!F1572+dil_gap)-Sens!G1562*roll_div_q/q_per_yr</f>
        <v>476.379182567744</v>
      </c>
      <c r="L1622" s="1" t="s">
        <v>1103</v>
      </c>
    </row>
    <row r="1623" customFormat="false" ht="17.15" hidden="false" customHeight="false" outlineLevel="0" collapsed="false">
      <c r="A1623" s="1" t="s">
        <v>1104</v>
      </c>
      <c r="B1623" s="0" t="s">
        <v>75</v>
      </c>
      <c r="C1623" s="5" t="n">
        <f aca="false">w_dcf*Sens!$C$1593+(1-w_dcf)*Sens!$C$1622</f>
        <v>417.936527821381</v>
      </c>
    </row>
    <row r="1624" customFormat="false" ht="17.15" hidden="false" customHeight="false" outlineLevel="0" collapsed="false">
      <c r="A1624" s="3" t="s">
        <v>1302</v>
      </c>
    </row>
    <row r="1625" customFormat="false" ht="15" hidden="false" customHeight="false" outlineLevel="0" collapsed="false">
      <c r="A1625" s="4" t="s">
        <v>43</v>
      </c>
      <c r="B1625" s="4" t="s">
        <v>65</v>
      </c>
      <c r="C1625" s="20" t="s">
        <v>799</v>
      </c>
      <c r="D1625" s="20" t="s">
        <v>800</v>
      </c>
      <c r="E1625" s="20" t="s">
        <v>801</v>
      </c>
      <c r="F1625" s="20" t="s">
        <v>802</v>
      </c>
      <c r="G1625" s="20" t="s">
        <v>803</v>
      </c>
      <c r="H1625" s="20" t="s">
        <v>804</v>
      </c>
      <c r="I1625" s="20" t="s">
        <v>805</v>
      </c>
      <c r="J1625" s="20" t="s">
        <v>806</v>
      </c>
      <c r="K1625" s="20" t="s">
        <v>807</v>
      </c>
      <c r="L1625" s="4" t="s">
        <v>47</v>
      </c>
    </row>
    <row r="1626" customFormat="false" ht="17.15" hidden="false" customHeight="false" outlineLevel="0" collapsed="false">
      <c r="A1626" s="1" t="s">
        <v>808</v>
      </c>
      <c r="B1626" s="1" t="s">
        <v>235</v>
      </c>
      <c r="C1626" s="28" t="n">
        <v>2024</v>
      </c>
      <c r="D1626" s="28" t="n">
        <v>2025</v>
      </c>
      <c r="E1626" s="28" t="n">
        <v>2026</v>
      </c>
      <c r="F1626" s="28" t="n">
        <v>2027</v>
      </c>
      <c r="G1626" s="28" t="n">
        <v>2028</v>
      </c>
      <c r="H1626" s="28" t="n">
        <v>2029</v>
      </c>
      <c r="I1626" s="28" t="n">
        <v>2030</v>
      </c>
      <c r="J1626" s="28" t="n">
        <v>2031</v>
      </c>
      <c r="K1626" s="28" t="n">
        <v>2032</v>
      </c>
    </row>
    <row r="1627" customFormat="false" ht="17.15" hidden="false" customHeight="false" outlineLevel="0" collapsed="false">
      <c r="A1627" s="1" t="s">
        <v>809</v>
      </c>
      <c r="B1627" s="0" t="s">
        <v>399</v>
      </c>
      <c r="F1627" s="29" t="n">
        <f aca="false">pace</f>
        <v>2527.2</v>
      </c>
      <c r="G1627" s="29" t="n">
        <f aca="false">pace</f>
        <v>2527.2</v>
      </c>
      <c r="H1627" s="29" t="n">
        <f aca="false">pace</f>
        <v>2527.2</v>
      </c>
      <c r="I1627" s="29" t="n">
        <f aca="false">pace+(g_tv*Sens!H1628-pace)*MIN(1,(Sens!I1626-pace_y0)/(pace_y1-pace_y0))</f>
        <v>1793.116</v>
      </c>
      <c r="J1627" s="29" t="n">
        <f aca="false">pace+(g_tv*Sens!I1628-pace)*MIN(1,(Sens!J1626-pace_y0)/(pace_y1-pace_y0))</f>
        <v>1094.89432</v>
      </c>
      <c r="K1627" s="29" t="n">
        <f aca="false">pace+(g_tv*Sens!J1628-pace)*MIN(1,(Sens!K1626-pace_y0)/(pace_y1-pace_y0))</f>
        <v>411.5883096</v>
      </c>
      <c r="L1627" s="11" t="s">
        <v>810</v>
      </c>
    </row>
    <row r="1628" customFormat="false" ht="17.15" hidden="false" customHeight="false" outlineLevel="0" collapsed="false">
      <c r="A1628" s="1" t="s">
        <v>811</v>
      </c>
      <c r="B1628" s="0" t="s">
        <v>399</v>
      </c>
      <c r="C1628" s="29" t="n">
        <f aca="false">mw_ext_24</f>
        <v>640</v>
      </c>
      <c r="D1628" s="29" t="n">
        <f aca="false">mw_ext_25</f>
        <v>1630</v>
      </c>
      <c r="E1628" s="29" t="n">
        <f aca="false">mw_ext_26</f>
        <v>3250</v>
      </c>
      <c r="F1628" s="29" t="n">
        <f aca="false">Sens!E1628+Sens!F1627</f>
        <v>5777.2</v>
      </c>
      <c r="G1628" s="29" t="n">
        <f aca="false">Sens!F1628+Sens!G1627</f>
        <v>8304.4</v>
      </c>
      <c r="H1628" s="29" t="n">
        <f aca="false">Sens!G1628+Sens!H1627</f>
        <v>10831.6</v>
      </c>
      <c r="I1628" s="29" t="n">
        <f aca="false">Sens!H1628+Sens!I1627</f>
        <v>12624.716</v>
      </c>
      <c r="J1628" s="29" t="n">
        <f aca="false">Sens!I1628+Sens!J1627</f>
        <v>13719.61032</v>
      </c>
      <c r="K1628" s="29" t="n">
        <f aca="false">Sens!J1628+Sens!K1627</f>
        <v>14131.1986296</v>
      </c>
      <c r="L1628" s="1" t="s">
        <v>812</v>
      </c>
    </row>
    <row r="1629" customFormat="false" ht="17.15" hidden="false" customHeight="false" outlineLevel="0" collapsed="false">
      <c r="A1629" s="1" t="s">
        <v>813</v>
      </c>
      <c r="B1629" s="0" t="s">
        <v>399</v>
      </c>
      <c r="C1629" s="29" t="n">
        <f aca="false">rent_ext_24</f>
        <v>150</v>
      </c>
      <c r="D1629" s="29" t="n">
        <f aca="false">rent_ext_25</f>
        <v>400</v>
      </c>
      <c r="E1629" s="29" t="n">
        <f aca="false">rent_ext_26</f>
        <v>550</v>
      </c>
      <c r="F1629" s="29" t="n">
        <f aca="false">rent_ext_f</f>
        <v>756</v>
      </c>
      <c r="G1629" s="29" t="n">
        <f aca="false">rent_ext_f</f>
        <v>756</v>
      </c>
      <c r="H1629" s="29" t="n">
        <f aca="false">rent_ext_f</f>
        <v>756</v>
      </c>
      <c r="I1629" s="29" t="n">
        <f aca="false">rent_ext_f</f>
        <v>756</v>
      </c>
      <c r="J1629" s="29" t="n">
        <f aca="false">rent_ext_f</f>
        <v>756</v>
      </c>
      <c r="K1629" s="29" t="n">
        <f aca="false">rent_ext_f</f>
        <v>756</v>
      </c>
      <c r="L1629" s="1" t="s">
        <v>814</v>
      </c>
    </row>
    <row r="1630" customFormat="false" ht="17.15" hidden="false" customHeight="false" outlineLevel="0" collapsed="false">
      <c r="A1630" s="1" t="s">
        <v>815</v>
      </c>
      <c r="B1630" s="0" t="s">
        <v>399</v>
      </c>
      <c r="C1630" s="29" t="n">
        <f aca="false">Sens!C1628-Sens!C1629</f>
        <v>490</v>
      </c>
      <c r="D1630" s="29" t="n">
        <f aca="false">Sens!D1628-Sens!D1629</f>
        <v>1230</v>
      </c>
      <c r="E1630" s="29" t="n">
        <f aca="false">Sens!E1628-Sens!E1629</f>
        <v>2700</v>
      </c>
      <c r="F1630" s="29" t="n">
        <f aca="false">Sens!F1628-Sens!F1629</f>
        <v>5021.2</v>
      </c>
      <c r="G1630" s="29" t="n">
        <f aca="false">Sens!G1628-Sens!G1629</f>
        <v>7548.4</v>
      </c>
      <c r="H1630" s="29" t="n">
        <f aca="false">Sens!H1628-Sens!H1629</f>
        <v>10075.6</v>
      </c>
      <c r="I1630" s="29" t="n">
        <f aca="false">Sens!I1628-Sens!I1629</f>
        <v>11868.716</v>
      </c>
      <c r="J1630" s="29" t="n">
        <f aca="false">Sens!J1628-Sens!J1629</f>
        <v>12963.61032</v>
      </c>
      <c r="K1630" s="29" t="n">
        <f aca="false">Sens!K1628-Sens!K1629</f>
        <v>13375.1986296</v>
      </c>
    </row>
    <row r="1631" customFormat="false" ht="17.15" hidden="false" customHeight="false" outlineLevel="0" collapsed="false">
      <c r="A1631" s="1" t="s">
        <v>816</v>
      </c>
      <c r="B1631" s="0" t="s">
        <v>399</v>
      </c>
      <c r="C1631" s="29" t="n">
        <f aca="false">Sens!C1630/ext_sh</f>
        <v>816.666666666667</v>
      </c>
      <c r="D1631" s="29" t="n">
        <f aca="false">Sens!D1630/ext_sh</f>
        <v>2050</v>
      </c>
      <c r="E1631" s="29" t="n">
        <f aca="false">Sens!E1630/ext_sh</f>
        <v>4500</v>
      </c>
      <c r="F1631" s="29" t="n">
        <f aca="false">Sens!F1630/ext_sh</f>
        <v>8368.66666666667</v>
      </c>
      <c r="G1631" s="29" t="n">
        <f aca="false">Sens!G1630/ext_sh</f>
        <v>12580.6666666667</v>
      </c>
      <c r="H1631" s="29" t="n">
        <f aca="false">Sens!H1630/ext_sh</f>
        <v>16792.6666666667</v>
      </c>
      <c r="I1631" s="29" t="n">
        <f aca="false">Sens!I1630/ext_sh</f>
        <v>19781.1933333333</v>
      </c>
      <c r="J1631" s="29" t="n">
        <f aca="false">Sens!J1630/ext_sh</f>
        <v>21606.0172</v>
      </c>
      <c r="K1631" s="29" t="n">
        <f aca="false">Sens!K1630/ext_sh</f>
        <v>22291.997716</v>
      </c>
      <c r="L1631" s="1" t="s">
        <v>817</v>
      </c>
    </row>
    <row r="1632" customFormat="false" ht="17.15" hidden="false" customHeight="false" outlineLevel="0" collapsed="false">
      <c r="A1632" s="1" t="s">
        <v>818</v>
      </c>
      <c r="B1632" s="0" t="s">
        <v>399</v>
      </c>
      <c r="C1632" s="29" t="n">
        <f aca="false">Sens!C1631-Sens!C1630</f>
        <v>326.666666666667</v>
      </c>
      <c r="D1632" s="29" t="n">
        <f aca="false">Sens!D1631-Sens!D1630</f>
        <v>820</v>
      </c>
      <c r="E1632" s="29" t="n">
        <f aca="false">Sens!E1631-Sens!E1630</f>
        <v>1800</v>
      </c>
      <c r="F1632" s="29" t="n">
        <f aca="false">Sens!F1631-Sens!F1630</f>
        <v>3347.46666666667</v>
      </c>
      <c r="G1632" s="29" t="n">
        <f aca="false">Sens!G1631-Sens!G1630</f>
        <v>5032.26666666667</v>
      </c>
      <c r="H1632" s="29" t="n">
        <f aca="false">Sens!H1631-Sens!H1630</f>
        <v>6717.06666666667</v>
      </c>
      <c r="I1632" s="29" t="n">
        <f aca="false">Sens!I1631-Sens!I1630</f>
        <v>7912.47733333333</v>
      </c>
      <c r="J1632" s="29" t="n">
        <f aca="false">Sens!J1631-Sens!J1630</f>
        <v>8642.40688</v>
      </c>
      <c r="K1632" s="29" t="n">
        <f aca="false">Sens!K1631-Sens!K1630</f>
        <v>8916.7990864</v>
      </c>
    </row>
    <row r="1633" customFormat="false" ht="17.15" hidden="false" customHeight="false" outlineLevel="0" collapsed="false">
      <c r="A1633" s="1" t="s">
        <v>819</v>
      </c>
      <c r="B1633" s="0" t="s">
        <v>399</v>
      </c>
      <c r="C1633" s="29" t="n">
        <f aca="false">Sens!C1631</f>
        <v>816.666666666667</v>
      </c>
      <c r="D1633" s="29" t="n">
        <f aca="false">Sens!D1631-Sens!C1631</f>
        <v>1233.33333333333</v>
      </c>
      <c r="E1633" s="29" t="n">
        <f aca="false">Sens!E1631-Sens!D1631</f>
        <v>2450</v>
      </c>
      <c r="F1633" s="29" t="n">
        <f aca="false">Sens!F1631-Sens!E1631</f>
        <v>3868.66666666667</v>
      </c>
      <c r="G1633" s="29" t="n">
        <f aca="false">Sens!G1631-Sens!F1631</f>
        <v>4212</v>
      </c>
      <c r="H1633" s="29" t="n">
        <f aca="false">Sens!H1631-Sens!G1631</f>
        <v>4212</v>
      </c>
      <c r="I1633" s="29" t="n">
        <f aca="false">Sens!I1631-Sens!H1631</f>
        <v>2988.52666666667</v>
      </c>
      <c r="J1633" s="29" t="n">
        <f aca="false">Sens!J1631-Sens!I1631</f>
        <v>1824.82386666667</v>
      </c>
      <c r="K1633" s="29" t="n">
        <f aca="false">Sens!K1631-Sens!J1631</f>
        <v>685.980516</v>
      </c>
    </row>
    <row r="1634" customFormat="false" ht="17.15" hidden="false" customHeight="false" outlineLevel="0" collapsed="false">
      <c r="A1634" s="1" t="s">
        <v>820</v>
      </c>
      <c r="B1634" s="0" t="s">
        <v>399</v>
      </c>
      <c r="D1634" s="29" t="n">
        <f aca="false">Sens!D1628-Sens!C1628</f>
        <v>990</v>
      </c>
      <c r="E1634" s="29" t="n">
        <f aca="false">Sens!E1628-Sens!D1628</f>
        <v>1620</v>
      </c>
      <c r="F1634" s="29" t="n">
        <f aca="false">Sens!F1628-Sens!E1628</f>
        <v>2527.2</v>
      </c>
      <c r="G1634" s="29" t="n">
        <f aca="false">Sens!G1628-Sens!F1628</f>
        <v>2527.2</v>
      </c>
      <c r="H1634" s="29" t="n">
        <f aca="false">Sens!H1628-Sens!G1628</f>
        <v>2527.2</v>
      </c>
      <c r="I1634" s="29" t="n">
        <f aca="false">Sens!I1628-Sens!H1628</f>
        <v>1793.116</v>
      </c>
      <c r="J1634" s="29" t="n">
        <f aca="false">Sens!J1628-Sens!I1628</f>
        <v>1094.89432</v>
      </c>
      <c r="K1634" s="29" t="n">
        <f aca="false">Sens!K1628-Sens!J1628</f>
        <v>411.5883096</v>
      </c>
    </row>
    <row r="1635" customFormat="false" ht="17.15" hidden="false" customHeight="false" outlineLevel="0" collapsed="false">
      <c r="A1635" s="1" t="s">
        <v>821</v>
      </c>
      <c r="B1635" s="0" t="s">
        <v>399</v>
      </c>
      <c r="F1635" s="29" t="n">
        <f aca="false">Sens!F1652*ext_sh</f>
        <v>0</v>
      </c>
      <c r="G1635" s="29" t="n">
        <f aca="false">Sens!G1652*ext_sh</f>
        <v>0</v>
      </c>
      <c r="H1635" s="29" t="n">
        <f aca="false">Sens!H1652*ext_sh</f>
        <v>0</v>
      </c>
      <c r="I1635" s="29" t="n">
        <f aca="false">Sens!I1652*ext_sh</f>
        <v>490</v>
      </c>
      <c r="J1635" s="29" t="n">
        <f aca="false">Sens!J1652*ext_sh</f>
        <v>740</v>
      </c>
      <c r="K1635" s="29" t="n">
        <f aca="false">Sens!K1652*ext_sh</f>
        <v>1470</v>
      </c>
      <c r="L1635" s="1" t="s">
        <v>822</v>
      </c>
    </row>
    <row r="1636" customFormat="false" ht="17.15" hidden="false" customHeight="false" outlineLevel="0" collapsed="false">
      <c r="A1636" s="1" t="s">
        <v>823</v>
      </c>
      <c r="B1636" s="0" t="s">
        <v>399</v>
      </c>
      <c r="C1636" s="29" t="n">
        <f aca="false">mix_h*Sens!C1628</f>
        <v>128</v>
      </c>
      <c r="D1636" s="29" t="n">
        <f aca="false">mix_h*Sens!D1628</f>
        <v>326</v>
      </c>
      <c r="E1636" s="29" t="n">
        <f aca="false">mix_h*Sens!E1628</f>
        <v>650</v>
      </c>
      <c r="F1636" s="29" t="n">
        <f aca="false">Sens!E1636-Sens!F1635*mix_h</f>
        <v>650</v>
      </c>
      <c r="G1636" s="29" t="n">
        <f aca="false">Sens!F1636-Sens!G1635*mix_h</f>
        <v>650</v>
      </c>
      <c r="H1636" s="29" t="n">
        <f aca="false">Sens!G1636-Sens!H1635*mix_h</f>
        <v>650</v>
      </c>
      <c r="I1636" s="29" t="n">
        <f aca="false">Sens!H1636-Sens!I1635*mix_h</f>
        <v>552</v>
      </c>
      <c r="J1636" s="29" t="n">
        <f aca="false">Sens!I1636-Sens!J1635*mix_h</f>
        <v>404</v>
      </c>
      <c r="K1636" s="29" t="n">
        <f aca="false">Sens!J1636-Sens!K1635*mix_h</f>
        <v>110</v>
      </c>
    </row>
    <row r="1637" customFormat="false" ht="17.15" hidden="false" customHeight="false" outlineLevel="0" collapsed="false">
      <c r="A1637" s="1" t="s">
        <v>824</v>
      </c>
      <c r="B1637" s="0" t="s">
        <v>399</v>
      </c>
      <c r="C1637" s="29" t="n">
        <f aca="false">mix_g2*Sens!C1628</f>
        <v>288</v>
      </c>
      <c r="D1637" s="29" t="n">
        <f aca="false">mix_g2*Sens!D1628</f>
        <v>733.5</v>
      </c>
      <c r="E1637" s="29" t="n">
        <f aca="false">mix_g2*Sens!E1628</f>
        <v>1462.5</v>
      </c>
      <c r="F1637" s="29" t="n">
        <f aca="false">Sens!E1637-Sens!F1635*mix_g2</f>
        <v>1462.5</v>
      </c>
      <c r="G1637" s="29" t="n">
        <f aca="false">Sens!F1637-Sens!G1635*mix_g2</f>
        <v>1462.5</v>
      </c>
      <c r="H1637" s="29" t="n">
        <f aca="false">Sens!G1637-Sens!H1635*mix_g2</f>
        <v>1462.5</v>
      </c>
      <c r="I1637" s="29" t="n">
        <f aca="false">Sens!H1637-Sens!I1635*mix_g2</f>
        <v>1242</v>
      </c>
      <c r="J1637" s="29" t="n">
        <f aca="false">Sens!I1637-Sens!J1635*mix_g2</f>
        <v>909</v>
      </c>
      <c r="K1637" s="29" t="n">
        <f aca="false">Sens!J1637-Sens!K1635*mix_g2</f>
        <v>247.5</v>
      </c>
    </row>
    <row r="1638" customFormat="false" ht="17.15" hidden="false" customHeight="false" outlineLevel="0" collapsed="false">
      <c r="A1638" s="1" t="s">
        <v>825</v>
      </c>
      <c r="B1638" s="0" t="s">
        <v>399</v>
      </c>
      <c r="C1638" s="29" t="n">
        <f aca="false">mix_g3*Sens!C1628</f>
        <v>224</v>
      </c>
      <c r="D1638" s="29" t="n">
        <f aca="false">mix_g3*Sens!D1628</f>
        <v>570.5</v>
      </c>
      <c r="E1638" s="29" t="n">
        <f aca="false">mix_g3*Sens!E1628</f>
        <v>1137.5</v>
      </c>
      <c r="F1638" s="29" t="n">
        <f aca="false">Sens!E1638+(Sens!F1634+Sens!F1635)*a_g3_27-Sens!F1635*mix_g3</f>
        <v>2906.54</v>
      </c>
      <c r="G1638" s="29" t="n">
        <f aca="false">Sens!F1638+(Sens!G1634+Sens!G1635)*a_g3_28-Sens!G1635*mix_g3</f>
        <v>3664.7</v>
      </c>
      <c r="H1638" s="29" t="n">
        <f aca="false">Sens!G1638+(Sens!H1634+Sens!H1635)*a_g3_29-Sens!H1635*mix_g3</f>
        <v>3917.42</v>
      </c>
      <c r="I1638" s="29" t="n">
        <f aca="false">Sens!H1638+(Sens!I1634+Sens!I1635)*a_g3_29-Sens!I1635*mix_g3</f>
        <v>3974.2316</v>
      </c>
      <c r="J1638" s="29" t="n">
        <f aca="false">Sens!I1638+(Sens!J1634+Sens!J1635)*a_g3_29-Sens!J1635*mix_g3</f>
        <v>3898.721032</v>
      </c>
      <c r="K1638" s="29" t="n">
        <f aca="false">Sens!J1638+(Sens!K1634+Sens!K1635)*a_g3_29-Sens!K1635*mix_g3</f>
        <v>3572.37986296</v>
      </c>
    </row>
    <row r="1639" customFormat="false" ht="17.15" hidden="false" customHeight="false" outlineLevel="0" collapsed="false">
      <c r="A1639" s="1" t="s">
        <v>826</v>
      </c>
      <c r="B1639" s="0" t="s">
        <v>399</v>
      </c>
      <c r="C1639" s="29" t="n">
        <v>0</v>
      </c>
      <c r="D1639" s="29" t="n">
        <v>0</v>
      </c>
      <c r="E1639" s="29" t="n">
        <v>0</v>
      </c>
      <c r="F1639" s="29" t="n">
        <f aca="false">Sens!E1639+(Sens!F1634+Sens!F1635)*(1-a_g3_27)</f>
        <v>758.16</v>
      </c>
      <c r="G1639" s="29" t="n">
        <f aca="false">Sens!F1639+(Sens!G1634+Sens!G1635)*(1-a_g3_28)</f>
        <v>2527.2</v>
      </c>
      <c r="H1639" s="29" t="n">
        <f aca="false">Sens!G1639+(Sens!H1634+Sens!H1635)*(1-a_g3_29)</f>
        <v>4801.68</v>
      </c>
      <c r="I1639" s="29" t="n">
        <f aca="false">Sens!H1639+(Sens!I1634+Sens!I1635)*(1-a_g3_29)</f>
        <v>6856.4844</v>
      </c>
      <c r="J1639" s="29" t="n">
        <f aca="false">Sens!I1639+(Sens!J1634+Sens!J1635)*(1-a_g3_29)</f>
        <v>8507.889288</v>
      </c>
      <c r="K1639" s="29" t="n">
        <f aca="false">Sens!J1639+(Sens!K1634+Sens!K1635)*(1-a_g3_29)</f>
        <v>10201.31876664</v>
      </c>
    </row>
    <row r="1640" customFormat="false" ht="17.15" hidden="false" customHeight="false" outlineLevel="0" collapsed="false">
      <c r="A1640" s="1" t="s">
        <v>827</v>
      </c>
      <c r="B1640" s="0" t="s">
        <v>346</v>
      </c>
      <c r="C1640" s="14" t="n">
        <f aca="false">(Sens!C1636*tk_hold_h100+Sens!C1637*tk_hold_gb200+Sens!C1638*tk_hold_gb300+Sens!C1639*tk_hold_vr200)/Sens!C1628</f>
        <v>9.7235358126469</v>
      </c>
      <c r="D1640" s="14" t="n">
        <f aca="false">(Sens!D1636*tk_hold_h100+Sens!D1637*tk_hold_gb200+Sens!D1638*tk_hold_gb300+Sens!D1639*tk_hold_vr200)/Sens!D1628</f>
        <v>9.7235358126469</v>
      </c>
      <c r="E1640" s="14" t="n">
        <f aca="false">(Sens!E1636*tk_hold_h100+Sens!E1637*tk_hold_gb200+Sens!E1638*tk_hold_gb300+Sens!E1639*tk_hold_vr200)/Sens!E1628</f>
        <v>9.7235358126469</v>
      </c>
      <c r="F1640" s="14" t="n">
        <f aca="false">(Sens!F1636*tk_hold_h100+Sens!F1637*tk_hold_gb200+Sens!F1638*tk_hold_gb300+Sens!F1639*tk_hold_vr200)/Sens!F1628</f>
        <v>10.4079573161931</v>
      </c>
      <c r="G1640" s="14" t="n">
        <f aca="false">(Sens!G1636*tk_hold_h100+Sens!G1637*tk_hold_gb200+Sens!G1638*tk_hold_gb300+Sens!G1639*tk_hold_vr200)/Sens!G1628</f>
        <v>10.8388131109316</v>
      </c>
      <c r="H1640" s="14" t="n">
        <f aca="false">(Sens!H1636*tk_hold_h100+Sens!H1637*tk_hold_gb200+Sens!H1638*tk_hold_gb300+Sens!H1639*tk_hold_vr200)/Sens!H1628</f>
        <v>11.1311018388216</v>
      </c>
      <c r="I1640" s="14" t="n">
        <f aca="false">(Sens!I1636*tk_hold_h100+Sens!I1637*tk_hold_gb200+Sens!I1638*tk_hold_gb300+Sens!I1639*tk_hold_vr200)/Sens!I1628</f>
        <v>11.3594282560989</v>
      </c>
      <c r="J1640" s="14" t="n">
        <f aca="false">(Sens!J1636*tk_hold_h100+Sens!J1637*tk_hold_gb200+Sens!J1638*tk_hold_gb300+Sens!J1639*tk_hold_vr200)/Sens!J1628</f>
        <v>11.5455817917599</v>
      </c>
      <c r="K1640" s="14" t="n">
        <f aca="false">(Sens!K1636*tk_hold_h100+Sens!K1637*tk_hold_gb200+Sens!K1638*tk_hold_gb300+Sens!K1639*tk_hold_vr200)/Sens!K1628</f>
        <v>11.8078187977246</v>
      </c>
    </row>
    <row r="1641" customFormat="false" ht="17.15" hidden="false" customHeight="false" outlineLevel="0" collapsed="false">
      <c r="A1641" s="0" t="s">
        <v>828</v>
      </c>
      <c r="B1641" s="0" t="s">
        <v>185</v>
      </c>
      <c r="C1641" s="14" t="n">
        <f aca="false">k_B</f>
        <v>1.17213932619116</v>
      </c>
      <c r="D1641" s="14" t="n">
        <f aca="false">k_B</f>
        <v>1.17213932619116</v>
      </c>
      <c r="E1641" s="14" t="n">
        <f aca="false">k_B</f>
        <v>1.17213932619116</v>
      </c>
      <c r="F1641" s="14" t="n">
        <f aca="false">(k_B+((ls_C*k_long+(1-ls_C)*k_spot)-k_B)*MIN(1,(Sens!F1626-base_fy)/k_ramp))*1.15</f>
        <v>1.24019746705172</v>
      </c>
      <c r="G1641" s="14" t="n">
        <f aca="false">(k_B+((ls_C*k_long+(1-ls_C)*k_spot)-k_B)*MIN(1,(Sens!G1626-base_fy)/k_ramp))*1.15</f>
        <v>1.1324347089836</v>
      </c>
      <c r="H1641" s="14" t="n">
        <f aca="false">(k_B+((ls_C*k_long+(1-ls_C)*k_spot)-k_B)*MIN(1,(Sens!H1626-base_fy)/k_ramp))*1.15</f>
        <v>1.02467195091549</v>
      </c>
      <c r="I1641" s="14" t="n">
        <f aca="false">(k_B+((ls_C*k_long+(1-ls_C)*k_spot)-k_B)*MIN(1,(Sens!I1626-base_fy)/k_ramp))*1.15</f>
        <v>1.02467195091549</v>
      </c>
      <c r="J1641" s="14" t="n">
        <f aca="false">(k_B+((ls_C*k_long+(1-ls_C)*k_spot)-k_B)*MIN(1,(Sens!J1626-base_fy)/k_ramp))*1.15</f>
        <v>1.02467195091549</v>
      </c>
      <c r="K1641" s="14" t="n">
        <f aca="false">(k_B+((ls_C*k_long+(1-ls_C)*k_spot)-k_B)*MIN(1,(Sens!K1626-base_fy)/k_ramp))*1.15</f>
        <v>1.02467195091549</v>
      </c>
      <c r="L1641" s="1" t="s">
        <v>829</v>
      </c>
    </row>
    <row r="1642" customFormat="false" ht="17.15" hidden="false" customHeight="false" outlineLevel="0" collapsed="false">
      <c r="A1642" s="1" t="s">
        <v>830</v>
      </c>
      <c r="B1642" s="0" t="s">
        <v>346</v>
      </c>
      <c r="C1642" s="14" t="n">
        <f aca="false">Sens!C1640*Sens!C1641*chip_f</f>
        <v>11.3973387156315</v>
      </c>
      <c r="D1642" s="14" t="n">
        <f aca="false">Sens!D1640*Sens!D1641*chip_f</f>
        <v>11.3973387156315</v>
      </c>
      <c r="E1642" s="14" t="n">
        <f aca="false">Sens!E1640*Sens!E1641*chip_f</f>
        <v>11.3973387156315</v>
      </c>
      <c r="F1642" s="14" t="n">
        <f aca="false">Sens!F1640*Sens!F1641*chip_f</f>
        <v>12.907922300725</v>
      </c>
      <c r="G1642" s="14" t="n">
        <f aca="false">Sens!G1640*Sens!G1641*chip_f</f>
        <v>12.2742481710054</v>
      </c>
      <c r="H1642" s="14" t="n">
        <f aca="false">Sens!H1640*Sens!H1641*chip_f</f>
        <v>11.4057278370243</v>
      </c>
      <c r="I1642" s="14" t="n">
        <f aca="false">Sens!I1640*Sens!I1641*chip_f</f>
        <v>11.6396875124614</v>
      </c>
      <c r="J1642" s="14" t="n">
        <f aca="false">Sens!J1640*Sens!J1641*chip_f</f>
        <v>11.830433819017</v>
      </c>
      <c r="K1642" s="14" t="n">
        <f aca="false">Sens!K1640*Sens!K1641*chip_f</f>
        <v>12.099140723521</v>
      </c>
      <c r="L1642" s="1" t="s">
        <v>831</v>
      </c>
    </row>
    <row r="1643" customFormat="false" ht="17.15" hidden="false" customHeight="false" outlineLevel="0" collapsed="false">
      <c r="A1643" s="0" t="s">
        <v>832</v>
      </c>
      <c r="B1643" s="0" t="s">
        <v>98</v>
      </c>
      <c r="D1643" s="6" t="n">
        <f aca="false">(Sens!C1628+Sens!D1628)/2*Sens!D1642/1000</f>
        <v>12.9359794422418</v>
      </c>
      <c r="E1643" s="6" t="n">
        <f aca="false">(Sens!D1628+Sens!E1628)/2*Sens!E1642/1000</f>
        <v>27.8095064661409</v>
      </c>
      <c r="F1643" s="6" t="n">
        <f aca="false">(Sens!E1628+Sens!F1628)/2*Sens!F1642/1000</f>
        <v>58.2611980965526</v>
      </c>
      <c r="G1643" s="6" t="n">
        <f aca="false">(Sens!F1628+Sens!G1628)/2*Sens!G1642/1000</f>
        <v>86.420526522415</v>
      </c>
      <c r="H1643" s="6" t="n">
        <f aca="false">(Sens!G1628+Sens!H1628)/2*Sens!H1642/1000</f>
        <v>109.130003944648</v>
      </c>
      <c r="I1643" s="6" t="n">
        <f aca="false">(Sens!H1628+Sens!I1628)/2*Sens!I1642/1000</f>
        <v>136.512094216774</v>
      </c>
      <c r="J1643" s="6" t="n">
        <f aca="false">(Sens!I1628+Sens!J1628)/2*Sens!J1642/1000</f>
        <v>155.832404517674</v>
      </c>
      <c r="K1643" s="6" t="n">
        <f aca="false">(Sens!J1628+Sens!K1628)/2*Sens!K1642/1000</f>
        <v>168.485428372555</v>
      </c>
      <c r="L1643" s="11" t="s">
        <v>833</v>
      </c>
    </row>
    <row r="1644" customFormat="false" ht="17.15" hidden="false" customHeight="false" outlineLevel="0" collapsed="false">
      <c r="A1644" s="1" t="s">
        <v>834</v>
      </c>
      <c r="B1644" s="0" t="s">
        <v>346</v>
      </c>
      <c r="C1644" s="14" t="n">
        <f aca="false">(Sens!C1636*tk_opex_h100+Sens!C1637*tk_opex_gb200+Sens!C1638*tk_opex_gb300+Sens!C1639*tk_opex_vr200)/Sens!C1628</f>
        <v>1.88636041306092</v>
      </c>
      <c r="D1644" s="14" t="n">
        <f aca="false">(Sens!D1636*tk_opex_h100+Sens!D1637*tk_opex_gb200+Sens!D1638*tk_opex_gb300+Sens!D1639*tk_opex_vr200)/Sens!D1628</f>
        <v>1.88636041306092</v>
      </c>
      <c r="E1644" s="14" t="n">
        <f aca="false">(Sens!E1636*tk_opex_h100+Sens!E1637*tk_opex_gb200+Sens!E1638*tk_opex_gb300+Sens!E1639*tk_opex_vr200)/Sens!E1628</f>
        <v>1.88636041306092</v>
      </c>
      <c r="F1644" s="14" t="n">
        <f aca="false">(Sens!F1636*tk_opex_h100+Sens!F1637*tk_opex_gb200+Sens!F1638*tk_opex_gb300+Sens!F1639*tk_opex_vr200)/Sens!F1628</f>
        <v>1.9430236476499</v>
      </c>
      <c r="G1644" s="14" t="n">
        <f aca="false">(Sens!G1636*tk_opex_h100+Sens!G1637*tk_opex_gb200+Sens!G1638*tk_opex_gb300+Sens!G1639*tk_opex_vr200)/Sens!G1628</f>
        <v>1.9786941852423</v>
      </c>
      <c r="H1644" s="14" t="n">
        <f aca="false">(Sens!H1636*tk_opex_h100+Sens!H1637*tk_opex_gb200+Sens!H1638*tk_opex_gb300+Sens!H1639*tk_opex_vr200)/Sens!H1628</f>
        <v>2.00289275976156</v>
      </c>
      <c r="I1644" s="14" t="n">
        <f aca="false">(Sens!I1636*tk_opex_h100+Sens!I1637*tk_opex_gb200+Sens!I1638*tk_opex_gb300+Sens!I1639*tk_opex_vr200)/Sens!I1628</f>
        <v>2.02179589661219</v>
      </c>
      <c r="J1644" s="14" t="n">
        <f aca="false">(Sens!J1636*tk_opex_h100+Sens!J1637*tk_opex_gb200+Sens!J1638*tk_opex_gb300+Sens!J1639*tk_opex_vr200)/Sens!J1628</f>
        <v>2.03720754193029</v>
      </c>
      <c r="K1644" s="14" t="n">
        <f aca="false">(Sens!K1636*tk_opex_h100+Sens!K1637*tk_opex_gb200+Sens!K1638*tk_opex_gb300+Sens!K1639*tk_opex_vr200)/Sens!K1628</f>
        <v>2.0589181353437</v>
      </c>
    </row>
    <row r="1645" customFormat="false" ht="17.15" hidden="false" customHeight="false" outlineLevel="0" collapsed="false">
      <c r="A1645" s="0" t="s">
        <v>835</v>
      </c>
      <c r="B1645" s="0" t="s">
        <v>98</v>
      </c>
      <c r="D1645" s="6" t="n">
        <f aca="false">(Sens!C1631+Sens!D1631)/2*Sens!D1644/1000</f>
        <v>2.70378325872065</v>
      </c>
      <c r="E1645" s="6" t="n">
        <f aca="false">(Sens!D1631+Sens!E1631)/2*Sens!E1644/1000</f>
        <v>6.17783035277451</v>
      </c>
      <c r="F1645" s="6" t="n">
        <f aca="false">(Sens!E1631+Sens!F1631)/2*Sens!F1644/1000</f>
        <v>12.5020618235287</v>
      </c>
      <c r="G1645" s="6" t="n">
        <f aca="false">(Sens!F1631+Sens!G1631)/2*Sens!G1644/1000</f>
        <v>20.7261620256847</v>
      </c>
      <c r="H1645" s="6" t="n">
        <f aca="false">(Sens!G1631+Sens!H1631)/2*Sens!H1644/1000</f>
        <v>29.4158183316982</v>
      </c>
      <c r="I1645" s="6" t="n">
        <f aca="false">(Sens!H1631+Sens!I1631)/2*Sens!I1644/1000</f>
        <v>36.9724400356344</v>
      </c>
      <c r="J1645" s="6" t="n">
        <f aca="false">(Sens!I1631+Sens!J1631)/2*Sens!J1644/1000</f>
        <v>42.1571687189816</v>
      </c>
      <c r="K1645" s="6" t="n">
        <f aca="false">(Sens!J1631+Sens!K1631)/2*Sens!K1644/1000</f>
        <v>45.1912095080704</v>
      </c>
    </row>
    <row r="1646" customFormat="false" ht="17.15" hidden="false" customHeight="false" outlineLevel="0" collapsed="false">
      <c r="A1646" s="0" t="s">
        <v>836</v>
      </c>
      <c r="B1646" s="0" t="s">
        <v>98</v>
      </c>
      <c r="D1646" s="6" t="n">
        <f aca="false">(Sens!C1629+Sens!D1629)/2*rent_mw/1000</f>
        <v>2.44475</v>
      </c>
      <c r="E1646" s="6" t="n">
        <f aca="false">(Sens!D1629+Sens!E1629)/2*rent_mw/1000</f>
        <v>4.22275</v>
      </c>
      <c r="F1646" s="6" t="n">
        <f aca="false">(Sens!E1629+Sens!F1629)/2*rent_mw/1000</f>
        <v>5.80517</v>
      </c>
      <c r="G1646" s="6" t="n">
        <f aca="false">(Sens!F1629+Sens!G1629)/2*rent_mw/1000</f>
        <v>6.72084</v>
      </c>
      <c r="H1646" s="6" t="n">
        <f aca="false">(Sens!G1629+Sens!H1629)/2*rent_mw/1000</f>
        <v>6.72084</v>
      </c>
      <c r="I1646" s="6" t="n">
        <f aca="false">(Sens!H1629+Sens!I1629)/2*rent_mw/1000</f>
        <v>6.72084</v>
      </c>
      <c r="J1646" s="6" t="n">
        <f aca="false">(Sens!I1629+Sens!J1629)/2*rent_mw/1000</f>
        <v>6.72084</v>
      </c>
      <c r="K1646" s="6" t="n">
        <f aca="false">(Sens!J1629+Sens!K1629)/2*rent_mw/1000</f>
        <v>6.72084</v>
      </c>
    </row>
    <row r="1647" customFormat="false" ht="17.15" hidden="false" customHeight="false" outlineLevel="0" collapsed="false">
      <c r="A1647" s="0" t="s">
        <v>837</v>
      </c>
      <c r="B1647" s="0" t="s">
        <v>98</v>
      </c>
      <c r="D1647" s="6" t="n">
        <f aca="false">(Sens!C1631+Sens!D1631)/2*(1-self_build)*fac_rent/1000</f>
        <v>0.853242375631075</v>
      </c>
      <c r="E1647" s="6" t="n">
        <f aca="false">(Sens!D1631+Sens!E1631)/2*(1-self_build)*fac_rent/1000</f>
        <v>1.94955961408728</v>
      </c>
      <c r="F1647" s="6" t="n">
        <f aca="false">(Sens!E1631+Sens!F1631)/2*(1-self_build)*fac_rent/1000</f>
        <v>3.83026455274573</v>
      </c>
      <c r="G1647" s="6" t="n">
        <f aca="false">(Sens!F1631+Sens!G1631)/2*(1-self_build)*fac_rent/1000</f>
        <v>6.23541590972812</v>
      </c>
      <c r="H1647" s="6" t="n">
        <f aca="false">(Sens!G1631+Sens!H1631)/2*(1-self_build)*fac_rent/1000</f>
        <v>8.74275792332679</v>
      </c>
      <c r="I1647" s="6" t="n">
        <f aca="false">(Sens!H1631+Sens!I1631)/2*(1-self_build)*fac_rent/1000</f>
        <v>10.8859420438599</v>
      </c>
      <c r="J1647" s="6" t="n">
        <f aca="false">(Sens!I1631+Sens!J1631)/2*(1-self_build)*fac_rent/1000</f>
        <v>12.3186006405366</v>
      </c>
      <c r="K1647" s="6" t="n">
        <f aca="false">(Sens!J1631+Sens!K1631)/2*(1-self_build)*fac_rent/1000</f>
        <v>13.0659232089824</v>
      </c>
      <c r="L1647" s="11" t="s">
        <v>838</v>
      </c>
    </row>
    <row r="1648" customFormat="false" ht="17.15" hidden="false" customHeight="false" outlineLevel="0" collapsed="false">
      <c r="A1648" s="1" t="s">
        <v>839</v>
      </c>
      <c r="B1648" s="0" t="s">
        <v>129</v>
      </c>
      <c r="D1648" s="7" t="n">
        <f aca="false">(Sens!C1630+Sens!D1630)/(Sens!C1631+Sens!D1631)</f>
        <v>0.6</v>
      </c>
      <c r="E1648" s="7" t="n">
        <f aca="false">(Sens!D1630+Sens!E1630)/(Sens!D1631+Sens!E1631)</f>
        <v>0.6</v>
      </c>
      <c r="F1648" s="7" t="n">
        <f aca="false">(Sens!E1630+Sens!F1630)/(Sens!E1631+Sens!F1631)</f>
        <v>0.6</v>
      </c>
      <c r="G1648" s="7" t="n">
        <f aca="false">(Sens!F1630+Sens!G1630)/(Sens!F1631+Sens!G1631)</f>
        <v>0.6</v>
      </c>
      <c r="H1648" s="7" t="n">
        <f aca="false">(Sens!G1630+Sens!H1630)/(Sens!G1631+Sens!H1631)</f>
        <v>0.6</v>
      </c>
      <c r="I1648" s="7" t="n">
        <f aca="false">(Sens!H1630+Sens!I1630)/(Sens!H1631+Sens!I1631)</f>
        <v>0.6</v>
      </c>
      <c r="J1648" s="7" t="n">
        <f aca="false">(Sens!I1630+Sens!J1630)/(Sens!I1631+Sens!J1631)</f>
        <v>0.6</v>
      </c>
      <c r="K1648" s="7" t="n">
        <f aca="false">(Sens!J1630+Sens!K1630)/(Sens!J1631+Sens!K1631)</f>
        <v>0.6</v>
      </c>
    </row>
    <row r="1649" customFormat="false" ht="17.15" hidden="false" customHeight="false" outlineLevel="0" collapsed="false">
      <c r="A1649" s="0" t="s">
        <v>840</v>
      </c>
      <c r="B1649" s="0" t="s">
        <v>98</v>
      </c>
      <c r="D1649" s="6" t="n">
        <f aca="false">Sens!D1643-Sens!D1648*(Sens!D1645+Sens!D1647)-Sens!D1646</f>
        <v>8.35701406163072</v>
      </c>
      <c r="E1649" s="6" t="n">
        <f aca="false">Sens!E1643-Sens!E1648*(Sens!E1645+Sens!E1647)-Sens!E1646</f>
        <v>18.7103224860238</v>
      </c>
      <c r="F1649" s="6" t="n">
        <f aca="false">Sens!F1643-Sens!F1648*(Sens!F1645+Sens!F1647)-Sens!F1646</f>
        <v>42.6566322707879</v>
      </c>
      <c r="G1649" s="6" t="n">
        <f aca="false">Sens!G1643-Sens!G1648*(Sens!G1645+Sens!G1647)-Sens!G1646</f>
        <v>63.5227397611673</v>
      </c>
      <c r="H1649" s="6" t="n">
        <f aca="false">Sens!H1643-Sens!H1648*(Sens!H1645+Sens!H1647)-Sens!H1646</f>
        <v>79.5140181916334</v>
      </c>
      <c r="I1649" s="6" t="n">
        <f aca="false">Sens!I1643-Sens!I1648*(Sens!I1645+Sens!I1647)-Sens!I1646</f>
        <v>101.076224969078</v>
      </c>
      <c r="J1649" s="6" t="n">
        <f aca="false">Sens!J1643-Sens!J1648*(Sens!J1645+Sens!J1647)-Sens!J1646</f>
        <v>116.426102901963</v>
      </c>
      <c r="K1649" s="6" t="n">
        <f aca="false">Sens!K1643-Sens!K1648*(Sens!K1645+Sens!K1647)-Sens!K1646</f>
        <v>126.810308742323</v>
      </c>
    </row>
    <row r="1650" customFormat="false" ht="17.15" hidden="false" customHeight="false" outlineLevel="0" collapsed="false">
      <c r="A1650" s="1" t="s">
        <v>841</v>
      </c>
      <c r="B1650" s="0" t="s">
        <v>98</v>
      </c>
      <c r="D1650" s="6" t="n">
        <f aca="false">(1-Sens!D1648)*(Sens!D1645+Sens!D1647)</f>
        <v>1.42281025374069</v>
      </c>
      <c r="E1650" s="6" t="n">
        <f aca="false">(1-Sens!E1648)*(Sens!E1645+Sens!E1647)</f>
        <v>3.25095598674472</v>
      </c>
      <c r="F1650" s="6" t="n">
        <f aca="false">(1-Sens!F1648)*(Sens!F1645+Sens!F1647)</f>
        <v>6.53293055050977</v>
      </c>
      <c r="G1650" s="6" t="n">
        <f aca="false">(1-Sens!G1648)*(Sens!G1645+Sens!G1647)</f>
        <v>10.7846311741651</v>
      </c>
      <c r="H1650" s="6" t="n">
        <f aca="false">(1-Sens!H1648)*(Sens!H1645+Sens!H1647)</f>
        <v>15.26343050201</v>
      </c>
      <c r="I1650" s="6" t="n">
        <f aca="false">(1-Sens!I1648)*(Sens!I1645+Sens!I1647)</f>
        <v>19.1433528317977</v>
      </c>
      <c r="J1650" s="6" t="n">
        <f aca="false">(1-Sens!J1648)*(Sens!J1645+Sens!J1647)</f>
        <v>21.7903077438073</v>
      </c>
      <c r="K1650" s="6" t="n">
        <f aca="false">(1-Sens!K1648)*(Sens!K1645+Sens!K1647)</f>
        <v>23.3028530868211</v>
      </c>
    </row>
    <row r="1651" customFormat="false" ht="17.15" hidden="false" customHeight="false" outlineLevel="0" collapsed="false">
      <c r="A1651" s="1" t="s">
        <v>842</v>
      </c>
      <c r="B1651" s="0" t="s">
        <v>357</v>
      </c>
      <c r="C1651" s="8" t="n">
        <f aca="false">cxit_open</f>
        <v>27.5918995</v>
      </c>
      <c r="D1651" s="8" t="n">
        <f aca="false">cxit_open</f>
        <v>27.5918995</v>
      </c>
      <c r="E1651" s="8" t="n">
        <f aca="false">cxit_open</f>
        <v>27.5918995</v>
      </c>
      <c r="F1651" s="8" t="n">
        <f aca="false">(a_g3_27*tk_cxit_gb300+(1-a_g3_27)*tk_cxit_vr200)</f>
        <v>33.8419624</v>
      </c>
      <c r="G1651" s="8" t="n">
        <f aca="false">(a_g3_28*tk_cxit_gb300+(1-a_g3_28)*tk_cxit_vr200)</f>
        <v>35.9816136</v>
      </c>
      <c r="H1651" s="8" t="n">
        <f aca="false">(a_g3_29*tk_cxit_gb300+(1-a_g3_29)*tk_cxit_vr200)</f>
        <v>37.0514392</v>
      </c>
      <c r="I1651" s="8" t="n">
        <f aca="false">(a_g3_29*tk_cxit_gb300+(1-a_g3_29)*tk_cxit_vr200)</f>
        <v>37.0514392</v>
      </c>
      <c r="J1651" s="8" t="n">
        <f aca="false">(a_g3_29*tk_cxit_gb300+(1-a_g3_29)*tk_cxit_vr200)</f>
        <v>37.0514392</v>
      </c>
      <c r="K1651" s="8" t="n">
        <f aca="false">(a_g3_29*tk_cxit_gb300+(1-a_g3_29)*tk_cxit_vr200)</f>
        <v>37.0514392</v>
      </c>
      <c r="L1651" s="11" t="s">
        <v>843</v>
      </c>
    </row>
    <row r="1652" customFormat="false" ht="17.15" hidden="false" customHeight="false" outlineLevel="0" collapsed="false">
      <c r="A1652" s="0" t="s">
        <v>844</v>
      </c>
      <c r="B1652" s="0" t="s">
        <v>399</v>
      </c>
      <c r="F1652" s="29" t="n">
        <f aca="false">Sens!C1633*IF(Sens!F1626-Sens!C1626=life_it,1,0)+Sens!D1633*IF(Sens!F1626-Sens!D1626=life_it,1,0)+Sens!E1633*IF(Sens!F1626-Sens!E1626=life_it,1,0)</f>
        <v>0</v>
      </c>
      <c r="G1652" s="29" t="n">
        <f aca="false">Sens!C1633*IF(Sens!G1626-Sens!C1626=life_it,1,0)+Sens!D1633*IF(Sens!G1626-Sens!D1626=life_it,1,0)+Sens!E1633*IF(Sens!G1626-Sens!E1626=life_it,1,0)+Sens!F1633*IF(Sens!G1626-Sens!F1626=life_it,1,0)</f>
        <v>0</v>
      </c>
      <c r="H1652" s="29" t="n">
        <f aca="false">Sens!C1633*IF(Sens!H1626-Sens!C1626=life_it,1,0)+Sens!D1633*IF(Sens!H1626-Sens!D1626=life_it,1,0)+Sens!E1633*IF(Sens!H1626-Sens!E1626=life_it,1,0)+Sens!F1633*IF(Sens!H1626-Sens!F1626=life_it,1,0)+Sens!G1633*IF(Sens!H1626-Sens!G1626=life_it,1,0)</f>
        <v>0</v>
      </c>
      <c r="I1652" s="29" t="n">
        <f aca="false">Sens!C1633*IF(Sens!I1626-Sens!C1626=life_it,1,0)+Sens!D1633*IF(Sens!I1626-Sens!D1626=life_it,1,0)+Sens!E1633*IF(Sens!I1626-Sens!E1626=life_it,1,0)+Sens!F1633*IF(Sens!I1626-Sens!F1626=life_it,1,0)+Sens!G1633*IF(Sens!I1626-Sens!G1626=life_it,1,0)+Sens!H1633*IF(Sens!I1626-Sens!H1626=life_it,1,0)</f>
        <v>816.666666666667</v>
      </c>
      <c r="J1652" s="29" t="n">
        <f aca="false">Sens!C1633*IF(Sens!J1626-Sens!C1626=life_it,1,0)+Sens!D1633*IF(Sens!J1626-Sens!D1626=life_it,1,0)+Sens!E1633*IF(Sens!J1626-Sens!E1626=life_it,1,0)+Sens!F1633*IF(Sens!J1626-Sens!F1626=life_it,1,0)+Sens!G1633*IF(Sens!J1626-Sens!G1626=life_it,1,0)+Sens!H1633*IF(Sens!J1626-Sens!H1626=life_it,1,0)+Sens!I1633*IF(Sens!J1626-Sens!I1626=life_it,1,0)</f>
        <v>1233.33333333333</v>
      </c>
      <c r="K1652" s="29" t="n">
        <f aca="false">Sens!C1633*IF(Sens!K1626-Sens!C1626=life_it,1,0)+Sens!D1633*IF(Sens!K1626-Sens!D1626=life_it,1,0)+Sens!E1633*IF(Sens!K1626-Sens!E1626=life_it,1,0)+Sens!F1633*IF(Sens!K1626-Sens!F1626=life_it,1,0)+Sens!G1633*IF(Sens!K1626-Sens!G1626=life_it,1,0)+Sens!H1633*IF(Sens!K1626-Sens!H1626=life_it,1,0)+Sens!I1633*IF(Sens!K1626-Sens!I1626=life_it,1,0)+Sens!J1633*IF(Sens!K1626-Sens!J1626=life_it,1,0)</f>
        <v>2450</v>
      </c>
      <c r="L1652" s="1" t="s">
        <v>845</v>
      </c>
    </row>
    <row r="1653" customFormat="false" ht="17.15" hidden="false" customHeight="false" outlineLevel="0" collapsed="false">
      <c r="A1653" s="0" t="s">
        <v>846</v>
      </c>
      <c r="B1653" s="0" t="s">
        <v>98</v>
      </c>
      <c r="C1653" s="6" t="n">
        <f aca="false">Sens!C1633*Sens!C1651/1000</f>
        <v>22.5333845916667</v>
      </c>
      <c r="D1653" s="6" t="n">
        <f aca="false">Sens!D1633*Sens!D1651/1000</f>
        <v>34.0300093833333</v>
      </c>
      <c r="E1653" s="6" t="n">
        <f aca="false">Sens!E1633*Sens!E1651/1000</f>
        <v>67.600153775</v>
      </c>
      <c r="F1653" s="6" t="n">
        <f aca="false">(Sens!F1633+Sens!F1652)*Sens!F1651/1000</f>
        <v>130.923271871467</v>
      </c>
      <c r="G1653" s="6" t="n">
        <f aca="false">(Sens!G1633+Sens!G1652)*Sens!G1651/1000</f>
        <v>151.5545564832</v>
      </c>
      <c r="H1653" s="6" t="n">
        <f aca="false">(Sens!H1633+Sens!H1652)*Sens!H1651/1000</f>
        <v>156.0606619104</v>
      </c>
      <c r="I1653" s="6" t="n">
        <f aca="false">(Sens!I1633+Sens!I1652)*Sens!I1651/1000</f>
        <v>140.987889434245</v>
      </c>
      <c r="J1653" s="6" t="n">
        <f aca="false">(Sens!J1633+Sens!J1652)*Sens!J1651/1000</f>
        <v>113.309125559842</v>
      </c>
      <c r="K1653" s="6" t="n">
        <f aca="false">(Sens!K1633+Sens!K1652)*Sens!K1651/1000</f>
        <v>116.192591420959</v>
      </c>
    </row>
    <row r="1654" customFormat="false" ht="17.15" hidden="false" customHeight="false" outlineLevel="0" collapsed="false">
      <c r="A1654" s="0" t="s">
        <v>847</v>
      </c>
      <c r="B1654" s="0" t="s">
        <v>98</v>
      </c>
      <c r="C1654" s="6" t="n">
        <f aca="false">Sens!C1633*self_build*tk_cxfac/1000</f>
        <v>6.2083</v>
      </c>
      <c r="D1654" s="6" t="n">
        <f aca="false">Sens!D1633*self_build*tk_cxfac/1000</f>
        <v>9.3758</v>
      </c>
      <c r="E1654" s="6" t="n">
        <f aca="false">Sens!E1633*self_build*tk_cxfac/1000</f>
        <v>18.6249</v>
      </c>
      <c r="F1654" s="6" t="n">
        <f aca="false">Sens!F1633*self_build*tk_cxfac/1000</f>
        <v>29.409604</v>
      </c>
      <c r="G1654" s="6" t="n">
        <f aca="false">Sens!G1633*self_build*tk_cxfac/1000</f>
        <v>32.019624</v>
      </c>
      <c r="H1654" s="6" t="n">
        <f aca="false">Sens!H1633*self_build*tk_cxfac/1000</f>
        <v>32.019624</v>
      </c>
      <c r="I1654" s="6" t="n">
        <f aca="false">Sens!I1633*self_build*tk_cxfac/1000</f>
        <v>22.71877972</v>
      </c>
      <c r="J1654" s="6" t="n">
        <f aca="false">Sens!J1633*self_build*tk_cxfac/1000</f>
        <v>13.8723110344</v>
      </c>
      <c r="K1654" s="6" t="n">
        <f aca="false">Sens!K1633*self_build*tk_cxfac/1000</f>
        <v>5.214823882632</v>
      </c>
    </row>
    <row r="1655" customFormat="false" ht="17.15" hidden="false" customHeight="false" outlineLevel="0" collapsed="false">
      <c r="A1655" s="0" t="s">
        <v>848</v>
      </c>
      <c r="B1655" s="0" t="s">
        <v>98</v>
      </c>
      <c r="F1655" s="6" t="n">
        <f aca="false">MAX(0,capex_floor27-Sens!F1653-Sens!F1654-Sens!F1749)</f>
        <v>8.43777689897088</v>
      </c>
    </row>
    <row r="1656" customFormat="false" ht="17.15" hidden="false" customHeight="false" outlineLevel="0" collapsed="false">
      <c r="A1656" s="0" t="s">
        <v>849</v>
      </c>
      <c r="B1656" s="0" t="s">
        <v>98</v>
      </c>
      <c r="C1656" s="6" t="n">
        <f aca="false">Sens!C1653</f>
        <v>22.5333845916667</v>
      </c>
      <c r="D1656" s="6" t="n">
        <f aca="false">Sens!D1653</f>
        <v>34.0300093833333</v>
      </c>
      <c r="E1656" s="6" t="n">
        <f aca="false">Sens!E1653</f>
        <v>67.600153775</v>
      </c>
      <c r="F1656" s="6" t="n">
        <f aca="false">Sens!F1653</f>
        <v>130.923271871467</v>
      </c>
      <c r="G1656" s="6" t="n">
        <f aca="false">Sens!G1653</f>
        <v>151.5545564832</v>
      </c>
      <c r="H1656" s="6" t="n">
        <f aca="false">Sens!H1653</f>
        <v>156.0606619104</v>
      </c>
      <c r="I1656" s="6" t="n">
        <f aca="false">Sens!I1653</f>
        <v>140.987889434245</v>
      </c>
      <c r="J1656" s="6" t="n">
        <f aca="false">Sens!J1653</f>
        <v>113.309125559842</v>
      </c>
      <c r="K1656" s="6" t="n">
        <f aca="false">Sens!K1653</f>
        <v>116.192591420959</v>
      </c>
    </row>
    <row r="1657" customFormat="false" ht="17.15" hidden="false" customHeight="false" outlineLevel="0" collapsed="false">
      <c r="A1657" s="0" t="s">
        <v>850</v>
      </c>
      <c r="B1657" s="0" t="s">
        <v>98</v>
      </c>
      <c r="C1657" s="6" t="n">
        <f aca="false">Sens!C1656+Sens!C1654</f>
        <v>28.7416845916667</v>
      </c>
      <c r="D1657" s="6" t="n">
        <f aca="false">Sens!D1656+Sens!D1654</f>
        <v>43.4058093833333</v>
      </c>
      <c r="E1657" s="6" t="n">
        <f aca="false">Sens!E1656+Sens!E1654</f>
        <v>86.225053775</v>
      </c>
      <c r="F1657" s="6" t="n">
        <f aca="false">Sens!F1656+Sens!F1654</f>
        <v>160.332875871467</v>
      </c>
      <c r="G1657" s="6" t="n">
        <f aca="false">Sens!G1656+Sens!G1654</f>
        <v>183.5741804832</v>
      </c>
      <c r="H1657" s="6" t="n">
        <f aca="false">Sens!H1656+Sens!H1654</f>
        <v>188.0802859104</v>
      </c>
      <c r="I1657" s="6" t="n">
        <f aca="false">Sens!I1656+Sens!I1654</f>
        <v>163.706669154245</v>
      </c>
      <c r="J1657" s="6" t="n">
        <f aca="false">Sens!J1656+Sens!J1654</f>
        <v>127.181436594242</v>
      </c>
      <c r="K1657" s="6" t="n">
        <f aca="false">Sens!K1656+Sens!K1654</f>
        <v>121.407415303591</v>
      </c>
      <c r="L1657" s="11" t="s">
        <v>851</v>
      </c>
    </row>
    <row r="1658" customFormat="false" ht="17.15" hidden="false" customHeight="false" outlineLevel="0" collapsed="false">
      <c r="A1658" s="0" t="s">
        <v>852</v>
      </c>
      <c r="B1658" s="0" t="s">
        <v>98</v>
      </c>
      <c r="E1658" s="6" t="n">
        <f aca="false">(Sens!C1656*IF(2&lt;life_it,1,IF(2=life_it,0.5,0))+Sens!D1656*IF(1&lt;life_it,1,IF(1=life_it,0.5,0))+Sens!E1656*0.5)/life_it</f>
        <v>15.0605784770833</v>
      </c>
      <c r="F1658" s="6" t="n">
        <f aca="false">(Sens!C1656*IF(3&lt;life_it,1,IF(3=life_it,0.5,0))+Sens!D1656*IF(2&lt;life_it,1,IF(2=life_it,0.5,0))+Sens!E1656*IF(1&lt;life_it,1,IF(1=life_it,0.5,0))+Sens!F1656*0.5)/life_it</f>
        <v>31.6041972809556</v>
      </c>
      <c r="G1658" s="6" t="n">
        <f aca="false">(Sens!C1656*IF(4&lt;life_it,1,IF(4=life_it,0.5,0))+Sens!D1656*IF(3&lt;life_it,1,IF(3=life_it,0.5,0))+Sens!E1656*IF(2&lt;life_it,1,IF(2=life_it,0.5,0))+Sens!F1656*IF(1&lt;life_it,1,IF(1=life_it,0.5,0))+Sens!G1656*0.5)/life_it</f>
        <v>55.1440163105111</v>
      </c>
      <c r="H1658" s="6" t="n">
        <f aca="false">(Sens!C1656*IF(5&lt;life_it,1,IF(5=life_it,0.5,0))+Sens!D1656*IF(4&lt;life_it,1,IF(4=life_it,0.5,0))+Sens!E1656*IF(3&lt;life_it,1,IF(3=life_it,0.5,0))+Sens!F1656*IF(2&lt;life_it,1,IF(2=life_it,0.5,0))+Sens!G1656*IF(1&lt;life_it,1,IF(1=life_it,0.5,0))+Sens!H1656*0.5)/life_it</f>
        <v>80.7786178433111</v>
      </c>
      <c r="I1658" s="6" t="n">
        <f aca="false">(Sens!C1656*IF(6&lt;life_it,1,IF(6=life_it,0.5,0))+Sens!D1656*IF(5&lt;life_it,1,IF(5=life_it,0.5,0))+Sens!E1656*IF(4&lt;life_it,1,IF(4=life_it,0.5,0))+Sens!F1656*IF(3&lt;life_it,1,IF(3=life_it,0.5,0))+Sens!G1656*IF(2&lt;life_it,1,IF(2=life_it,0.5,0))+Sens!H1656*IF(1&lt;life_it,1,IF(1=life_it,0.5,0))+Sens!I1656*0.5)/life_it</f>
        <v>103.654881739393</v>
      </c>
      <c r="J1658" s="6" t="n">
        <f aca="false">(Sens!C1656*IF(7&lt;life_it,1,IF(7=life_it,0.5,0))+Sens!D1656*IF(6&lt;life_it,1,IF(6=life_it,0.5,0))+Sens!E1656*IF(5&lt;life_it,1,IF(5=life_it,0.5,0))+Sens!F1656*IF(4&lt;life_it,1,IF(4=life_it,0.5,0))+Sens!G1656*IF(3&lt;life_it,1,IF(3=life_it,0.5,0))+Sens!H1656*IF(2&lt;life_it,1,IF(2=life_it,0.5,0))+Sens!I1656*IF(1&lt;life_it,1,IF(1=life_it,0.5,0))+Sens!J1656*0.5)/life_it</f>
        <v>120.132683490983</v>
      </c>
      <c r="K1658" s="6" t="n">
        <f aca="false">(Sens!C1656*IF(8&lt;life_it,1,IF(8=life_it,0.5,0))+Sens!D1656*IF(7&lt;life_it,1,IF(7=life_it,0.5,0))+Sens!E1656*IF(6&lt;life_it,1,IF(6=life_it,0.5,0))+Sens!F1656*IF(5&lt;life_it,1,IF(5=life_it,0.5,0))+Sens!G1656*IF(4&lt;life_it,1,IF(4=life_it,0.5,0))+Sens!H1656*IF(3&lt;life_it,1,IF(3=life_it,0.5,0))+Sens!I1656*IF(2&lt;life_it,1,IF(2=life_it,0.5,0))+Sens!J1656*IF(1&lt;life_it,1,IF(1=life_it,0.5,0))+Sens!K1656*0.5)/life_it</f>
        <v>130.788646309522</v>
      </c>
    </row>
    <row r="1659" customFormat="false" ht="17.15" hidden="false" customHeight="false" outlineLevel="0" collapsed="false">
      <c r="A1659" s="0" t="s">
        <v>853</v>
      </c>
      <c r="B1659" s="0" t="s">
        <v>98</v>
      </c>
      <c r="E1659" s="6" t="n">
        <f aca="false">(Sens!C1654*IF(2&lt;life_fac,1,IF(2=life_fac,0.5,0))+Sens!D1654*IF(1&lt;life_fac,1,IF(1=life_fac,0.5,0))+Sens!E1654*0.5)/life_fac</f>
        <v>1.2448275</v>
      </c>
      <c r="F1659" s="6" t="n">
        <f aca="false">(Sens!C1654*IF(3&lt;life_fac,1,IF(3=life_fac,0.5,0))+Sens!D1654*IF(2&lt;life_fac,1,IF(2=life_fac,0.5,0))+Sens!E1654*IF(1&lt;life_fac,1,IF(1=life_fac,0.5,0))+Sens!F1654*0.5)/life_fac</f>
        <v>2.4456901</v>
      </c>
      <c r="G1659" s="6" t="n">
        <f aca="false">(Sens!C1654*IF(4&lt;life_fac,1,IF(4=life_fac,0.5,0))+Sens!D1654*IF(3&lt;life_fac,1,IF(3=life_fac,0.5,0))+Sens!E1654*IF(2&lt;life_fac,1,IF(2=life_fac,0.5,0))+Sens!F1654*IF(1&lt;life_fac,1,IF(1=life_fac,0.5,0))+Sens!G1654*0.5)/life_fac</f>
        <v>3.9814208</v>
      </c>
      <c r="H1659" s="6" t="n">
        <f aca="false">(Sens!C1654*IF(5&lt;life_fac,1,IF(5=life_fac,0.5,0))+Sens!D1654*IF(4&lt;life_fac,1,IF(4=life_fac,0.5,0))+Sens!E1654*IF(3&lt;life_fac,1,IF(3=life_fac,0.5,0))+Sens!F1654*IF(2&lt;life_fac,1,IF(2=life_fac,0.5,0))+Sens!G1654*IF(1&lt;life_fac,1,IF(1=life_fac,0.5,0))+Sens!H1654*0.5)/life_fac</f>
        <v>5.582402</v>
      </c>
      <c r="I1659" s="6" t="n">
        <f aca="false">(Sens!C1654*IF(6&lt;life_fac,1,IF(6=life_fac,0.5,0))+Sens!D1654*IF(5&lt;life_fac,1,IF(5=life_fac,0.5,0))+Sens!E1654*IF(4&lt;life_fac,1,IF(4=life_fac,0.5,0))+Sens!F1654*IF(3&lt;life_fac,1,IF(3=life_fac,0.5,0))+Sens!G1654*IF(2&lt;life_fac,1,IF(2=life_fac,0.5,0))+Sens!H1654*IF(1&lt;life_fac,1,IF(1=life_fac,0.5,0))+Sens!I1654*0.5)/life_fac</f>
        <v>6.950862093</v>
      </c>
      <c r="J1659" s="6" t="n">
        <f aca="false">(Sens!C1654*IF(7&lt;life_fac,1,IF(7=life_fac,0.5,0))+Sens!D1654*IF(6&lt;life_fac,1,IF(6=life_fac,0.5,0))+Sens!E1654*IF(5&lt;life_fac,1,IF(5=life_fac,0.5,0))+Sens!F1654*IF(4&lt;life_fac,1,IF(4=life_fac,0.5,0))+Sens!G1654*IF(3&lt;life_fac,1,IF(3=life_fac,0.5,0))+Sens!H1654*IF(2&lt;life_fac,1,IF(2=life_fac,0.5,0))+Sens!I1654*IF(1&lt;life_fac,1,IF(1=life_fac,0.5,0))+Sens!J1654*0.5)/life_fac</f>
        <v>7.86563936186</v>
      </c>
      <c r="K1659" s="6" t="n">
        <f aca="false">(Sens!C1654*IF(8&lt;life_fac,1,IF(8=life_fac,0.5,0))+Sens!D1654*IF(7&lt;life_fac,1,IF(7=life_fac,0.5,0))+Sens!E1654*IF(6&lt;life_fac,1,IF(6=life_fac,0.5,0))+Sens!F1654*IF(5&lt;life_fac,1,IF(5=life_fac,0.5,0))+Sens!G1654*IF(4&lt;life_fac,1,IF(4=life_fac,0.5,0))+Sens!H1654*IF(3&lt;life_fac,1,IF(3=life_fac,0.5,0))+Sens!I1654*IF(2&lt;life_fac,1,IF(2=life_fac,0.5,0))+Sens!J1654*IF(1&lt;life_fac,1,IF(1=life_fac,0.5,0))+Sens!K1654*0.5)/life_fac</f>
        <v>8.3428177347858</v>
      </c>
    </row>
    <row r="1660" customFormat="false" ht="17.15" hidden="false" customHeight="false" outlineLevel="0" collapsed="false">
      <c r="A1660" s="0" t="s">
        <v>854</v>
      </c>
      <c r="B1660" s="0" t="s">
        <v>98</v>
      </c>
      <c r="E1660" s="6" t="n">
        <f aca="false">Sens!E1658+Sens!E1659</f>
        <v>16.3054059770833</v>
      </c>
      <c r="F1660" s="6" t="n">
        <f aca="false">Sens!F1658+Sens!F1659</f>
        <v>34.0498873809555</v>
      </c>
      <c r="G1660" s="6" t="n">
        <f aca="false">Sens!G1658+Sens!G1659</f>
        <v>59.1254371105111</v>
      </c>
      <c r="H1660" s="6" t="n">
        <f aca="false">Sens!H1658+Sens!H1659</f>
        <v>86.3610198433111</v>
      </c>
      <c r="I1660" s="6" t="n">
        <f aca="false">Sens!I1658+Sens!I1659</f>
        <v>110.605743832393</v>
      </c>
      <c r="J1660" s="6" t="n">
        <f aca="false">Sens!J1658+Sens!J1659</f>
        <v>127.998322852843</v>
      </c>
      <c r="K1660" s="6" t="n">
        <f aca="false">Sens!K1658+Sens!K1659</f>
        <v>139.131464044308</v>
      </c>
    </row>
    <row r="1661" customFormat="false" ht="17.15" hidden="false" customHeight="false" outlineLevel="0" collapsed="false">
      <c r="A1661" s="0" t="s">
        <v>855</v>
      </c>
      <c r="B1661" s="0" t="s">
        <v>98</v>
      </c>
      <c r="E1661" s="6" t="n">
        <f aca="false">Sens!E1649-Sens!E1648*Sens!E1660</f>
        <v>8.92707889977379</v>
      </c>
      <c r="F1661" s="6" t="n">
        <f aca="false">Sens!F1649-Sens!F1648*Sens!F1660</f>
        <v>22.2266998422146</v>
      </c>
      <c r="G1661" s="6" t="n">
        <f aca="false">Sens!G1649-Sens!G1648*Sens!G1660</f>
        <v>28.0474774948606</v>
      </c>
      <c r="H1661" s="6" t="n">
        <f aca="false">Sens!H1649-Sens!H1648*Sens!H1660</f>
        <v>27.6974062856467</v>
      </c>
      <c r="I1661" s="6" t="n">
        <f aca="false">Sens!I1649-Sens!I1648*Sens!I1660</f>
        <v>34.712778669642</v>
      </c>
      <c r="J1661" s="6" t="n">
        <f aca="false">Sens!J1649-Sens!J1648*Sens!J1660</f>
        <v>39.6271091902566</v>
      </c>
      <c r="K1661" s="6" t="n">
        <f aca="false">Sens!K1649-Sens!K1648*Sens!K1660</f>
        <v>43.3314303157383</v>
      </c>
    </row>
    <row r="1662" customFormat="false" ht="17.15" hidden="false" customHeight="false" outlineLevel="0" collapsed="false">
      <c r="A1662" s="3" t="s">
        <v>1303</v>
      </c>
    </row>
    <row r="1663" customFormat="false" ht="15" hidden="false" customHeight="false" outlineLevel="0" collapsed="false">
      <c r="A1663" s="4" t="s">
        <v>43</v>
      </c>
      <c r="B1663" s="4" t="s">
        <v>65</v>
      </c>
      <c r="C1663" s="20" t="s">
        <v>799</v>
      </c>
      <c r="D1663" s="20" t="s">
        <v>800</v>
      </c>
      <c r="E1663" s="20" t="s">
        <v>801</v>
      </c>
      <c r="F1663" s="20" t="s">
        <v>802</v>
      </c>
      <c r="G1663" s="20" t="s">
        <v>803</v>
      </c>
      <c r="H1663" s="20" t="s">
        <v>804</v>
      </c>
      <c r="I1663" s="20" t="s">
        <v>805</v>
      </c>
      <c r="J1663" s="20" t="s">
        <v>806</v>
      </c>
      <c r="K1663" s="20" t="s">
        <v>807</v>
      </c>
      <c r="L1663" s="4" t="s">
        <v>47</v>
      </c>
    </row>
    <row r="1664" customFormat="false" ht="17.15" hidden="false" customHeight="false" outlineLevel="0" collapsed="false">
      <c r="A1664" s="0" t="s">
        <v>874</v>
      </c>
      <c r="B1664" s="0" t="s">
        <v>98</v>
      </c>
      <c r="D1664" s="6" t="n">
        <f aca="false">Sens!D1643</f>
        <v>12.9359794422418</v>
      </c>
      <c r="E1664" s="6" t="n">
        <f aca="false">Sens!E1643</f>
        <v>27.8095064661409</v>
      </c>
      <c r="F1664" s="6" t="n">
        <f aca="false">Sens!F1643</f>
        <v>58.2611980965526</v>
      </c>
      <c r="G1664" s="6" t="n">
        <f aca="false">Sens!G1643</f>
        <v>86.420526522415</v>
      </c>
      <c r="H1664" s="6" t="n">
        <f aca="false">Sens!H1643</f>
        <v>109.130003944648</v>
      </c>
      <c r="I1664" s="6" t="n">
        <f aca="false">Sens!I1643</f>
        <v>136.512094216774</v>
      </c>
      <c r="J1664" s="6" t="n">
        <f aca="false">Sens!J1643</f>
        <v>155.832404517674</v>
      </c>
      <c r="K1664" s="6" t="n">
        <f aca="false">Sens!K1643</f>
        <v>168.485428372555</v>
      </c>
    </row>
    <row r="1665" customFormat="false" ht="17.15" hidden="false" customHeight="false" outlineLevel="0" collapsed="false">
      <c r="A1665" s="0" t="s">
        <v>875</v>
      </c>
      <c r="B1665" s="0" t="s">
        <v>98</v>
      </c>
      <c r="D1665" s="6" t="n">
        <f aca="false">Q!L6-Sens!D1664</f>
        <v>59.6740205577583</v>
      </c>
      <c r="E1665" s="6" t="n">
        <f aca="false">Q!M6-Sens!E1664</f>
        <v>74.1284935338591</v>
      </c>
      <c r="F1665" s="6" t="n">
        <f aca="false">Sens!E1665*(1+Sens!F1666)</f>
        <v>90.0799497373663</v>
      </c>
      <c r="G1665" s="6" t="n">
        <f aca="false">Sens!F1665*(1+Sens!G1666)</f>
        <v>107.02842520331</v>
      </c>
      <c r="H1665" s="6" t="n">
        <f aca="false">Sens!G1665*(1+Sens!H1666)</f>
        <v>124.271982585636</v>
      </c>
      <c r="I1665" s="6" t="n">
        <f aca="false">Sens!H1665*(1+Sens!I1666)</f>
        <v>140.933702381855</v>
      </c>
      <c r="J1665" s="6" t="n">
        <f aca="false">Sens!I1665*(1+Sens!J1666)</f>
        <v>156.018867314332</v>
      </c>
      <c r="K1665" s="6" t="n">
        <f aca="false">Sens!J1665*(1+Sens!K1666)</f>
        <v>168.500376699478</v>
      </c>
    </row>
    <row r="1666" customFormat="false" ht="15" hidden="false" customHeight="false" outlineLevel="0" collapsed="false">
      <c r="A1666" s="1" t="s">
        <v>876</v>
      </c>
      <c r="B1666" s="0" t="s">
        <v>129</v>
      </c>
      <c r="E1666" s="7" t="n">
        <f aca="false">Sens!E1665/Sens!D1665-1</f>
        <v>0.242223883039864</v>
      </c>
      <c r="F1666" s="7" t="n">
        <f aca="false">Sens!$E$1666+(glt_azo-Sens!$E$1666)*MIN(1,(Sens!F1626-base_fy)/n_conv)</f>
        <v>0.215186569199887</v>
      </c>
      <c r="G1666" s="7" t="n">
        <f aca="false">Sens!$E$1666+(glt_azo-Sens!$E$1666)*MIN(1,(Sens!G1626-base_fy)/n_conv)</f>
        <v>0.18814925535991</v>
      </c>
      <c r="H1666" s="7" t="n">
        <f aca="false">Sens!$E$1666+(glt_azo-Sens!$E$1666)*MIN(1,(Sens!H1626-base_fy)/n_conv)</f>
        <v>0.161111941519932</v>
      </c>
      <c r="I1666" s="7" t="n">
        <f aca="false">Sens!$E$1666+(glt_azo-Sens!$E$1666)*MIN(1,(Sens!I1626-base_fy)/n_conv)</f>
        <v>0.134074627679955</v>
      </c>
      <c r="J1666" s="7" t="n">
        <f aca="false">Sens!$E$1666+(glt_azo-Sens!$E$1666)*MIN(1,(Sens!J1626-base_fy)/n_conv)</f>
        <v>0.107037313839977</v>
      </c>
      <c r="K1666" s="7" t="n">
        <f aca="false">Sens!$E$1666+(glt_azo-Sens!$E$1666)*MIN(1,(Sens!K1626-base_fy)/n_conv)</f>
        <v>0.08</v>
      </c>
    </row>
    <row r="1667" customFormat="false" ht="15" hidden="false" customHeight="false" outlineLevel="0" collapsed="false">
      <c r="A1667" s="0" t="s">
        <v>877</v>
      </c>
      <c r="B1667" s="0" t="s">
        <v>98</v>
      </c>
      <c r="D1667" s="6" t="n">
        <f aca="false">Sens!D1664+Sens!D1665</f>
        <v>72.61</v>
      </c>
      <c r="E1667" s="6" t="n">
        <f aca="false">Sens!E1664+Sens!E1665</f>
        <v>101.938</v>
      </c>
      <c r="F1667" s="6" t="n">
        <f aca="false">Sens!F1664+Sens!F1665</f>
        <v>148.341147833919</v>
      </c>
      <c r="G1667" s="6" t="n">
        <f aca="false">Sens!G1664+Sens!G1665</f>
        <v>193.448951725725</v>
      </c>
      <c r="H1667" s="6" t="n">
        <f aca="false">Sens!H1664+Sens!H1665</f>
        <v>233.401986530284</v>
      </c>
      <c r="I1667" s="6" t="n">
        <f aca="false">Sens!I1664+Sens!I1665</f>
        <v>277.445796598629</v>
      </c>
      <c r="J1667" s="6" t="n">
        <f aca="false">Sens!J1664+Sens!J1665</f>
        <v>311.851271832005</v>
      </c>
      <c r="K1667" s="6" t="n">
        <f aca="false">Sens!K1664+Sens!K1665</f>
        <v>336.985805072033</v>
      </c>
    </row>
    <row r="1668" customFormat="false" ht="17.15" hidden="false" customHeight="false" outlineLevel="0" collapsed="false">
      <c r="A1668" s="0" t="s">
        <v>878</v>
      </c>
      <c r="B1668" s="1" t="s">
        <v>528</v>
      </c>
      <c r="C1668" s="29" t="n">
        <f aca="false">cop_s24</f>
        <v>1</v>
      </c>
      <c r="D1668" s="29" t="n">
        <f aca="false">cop_s25</f>
        <v>5</v>
      </c>
      <c r="E1668" s="29" t="n">
        <f aca="false">cop_s26</f>
        <v>30</v>
      </c>
      <c r="F1668" s="29" t="n">
        <f aca="false">Sens!E1668+cop_add_C</f>
        <v>40</v>
      </c>
      <c r="G1668" s="29" t="n">
        <f aca="false">Sens!F1668+cop_add_C</f>
        <v>50</v>
      </c>
      <c r="H1668" s="29" t="n">
        <f aca="false">Sens!G1668+cop_add_C</f>
        <v>60</v>
      </c>
      <c r="I1668" s="29" t="n">
        <f aca="false">Sens!H1668+cop_add_C*cop_tail</f>
        <v>65</v>
      </c>
      <c r="J1668" s="29" t="n">
        <f aca="false">Sens!I1668+cop_add_C*cop_tail</f>
        <v>70</v>
      </c>
      <c r="K1668" s="29" t="n">
        <f aca="false">Sens!J1668+cop_add_C*cop_tail</f>
        <v>75</v>
      </c>
      <c r="L1668" s="11" t="s">
        <v>879</v>
      </c>
    </row>
    <row r="1669" customFormat="false" ht="17.15" hidden="false" customHeight="false" outlineLevel="0" collapsed="false">
      <c r="A1669" s="0" t="s">
        <v>880</v>
      </c>
      <c r="B1669" s="0" t="s">
        <v>98</v>
      </c>
      <c r="D1669" s="6" t="n">
        <f aca="false">(Sens!C1668+Sens!D1668)/2*cop_px*12/1000</f>
        <v>0.9</v>
      </c>
      <c r="E1669" s="6" t="n">
        <f aca="false">(Sens!D1668+Sens!E1668)/2*cop_px*12/1000</f>
        <v>5.25</v>
      </c>
      <c r="F1669" s="6" t="n">
        <f aca="false">(Sens!E1668+Sens!F1668)/2*cop_px*12/1000</f>
        <v>10.5</v>
      </c>
      <c r="G1669" s="6" t="n">
        <f aca="false">(Sens!F1668+Sens!G1668)/2*cop_px*12/1000</f>
        <v>13.5</v>
      </c>
      <c r="H1669" s="6" t="n">
        <f aca="false">(Sens!G1668+Sens!H1668)/2*cop_px*12/1000</f>
        <v>16.5</v>
      </c>
      <c r="I1669" s="6" t="n">
        <f aca="false">(Sens!H1668+Sens!I1668)/2*cop_px*12/1000</f>
        <v>18.75</v>
      </c>
      <c r="J1669" s="6" t="n">
        <f aca="false">(Sens!I1668+Sens!J1668)/2*cop_px*12/1000</f>
        <v>20.25</v>
      </c>
      <c r="K1669" s="6" t="n">
        <f aca="false">(Sens!J1668+Sens!K1668)/2*cop_px*12/1000</f>
        <v>21.75</v>
      </c>
      <c r="L1669" s="1" t="s">
        <v>881</v>
      </c>
    </row>
    <row r="1670" customFormat="false" ht="17.15" hidden="false" customHeight="false" outlineLevel="0" collapsed="false">
      <c r="A1670" s="0" t="s">
        <v>882</v>
      </c>
      <c r="B1670" s="0" t="s">
        <v>98</v>
      </c>
      <c r="D1670" s="6" t="n">
        <f aca="false">Q!L7-Sens!D1669</f>
        <v>83.705</v>
      </c>
      <c r="E1670" s="6" t="n">
        <f aca="false">Q!M7-Sens!E1669</f>
        <v>95.049</v>
      </c>
      <c r="F1670" s="6" t="n">
        <f aca="false">Sens!E1670*(1+Sens!F1671)</f>
        <v>106.89238776686</v>
      </c>
      <c r="G1670" s="6" t="n">
        <f aca="false">Sens!F1670*(1+Sens!G1671)</f>
        <v>119.044168448684</v>
      </c>
      <c r="H1670" s="6" t="n">
        <f aca="false">Sens!G1670*(1+Sens!H1671)</f>
        <v>131.277359388781</v>
      </c>
      <c r="I1670" s="6" t="n">
        <f aca="false">Sens!H1670*(1+Sens!I1671)</f>
        <v>143.334028071957</v>
      </c>
      <c r="J1670" s="6" t="n">
        <f aca="false">Sens!I1670*(1+Sens!J1671)</f>
        <v>154.932702785465</v>
      </c>
      <c r="K1670" s="6" t="n">
        <f aca="false">Sens!J1670*(1+Sens!K1671)</f>
        <v>165.777991980448</v>
      </c>
    </row>
    <row r="1671" customFormat="false" ht="15" hidden="false" customHeight="false" outlineLevel="0" collapsed="false">
      <c r="A1671" s="1" t="s">
        <v>876</v>
      </c>
      <c r="B1671" s="0" t="s">
        <v>129</v>
      </c>
      <c r="E1671" s="7" t="n">
        <f aca="false">Sens!E1670/Sens!D1670-1</f>
        <v>0.135523564900544</v>
      </c>
      <c r="F1671" s="7" t="n">
        <f aca="false">Sens!$E$1671+(glt_m365b-Sens!$E$1671)*MIN(1,(Sens!F1626-base_fy)/n_conv)</f>
        <v>0.124602970750453</v>
      </c>
      <c r="G1671" s="7" t="n">
        <f aca="false">Sens!$E$1671+(glt_m365b-Sens!$E$1671)*MIN(1,(Sens!G1626-base_fy)/n_conv)</f>
        <v>0.113682376600363</v>
      </c>
      <c r="H1671" s="7" t="n">
        <f aca="false">Sens!$E$1671+(glt_m365b-Sens!$E$1671)*MIN(1,(Sens!H1626-base_fy)/n_conv)</f>
        <v>0.102761782450272</v>
      </c>
      <c r="I1671" s="7" t="n">
        <f aca="false">Sens!$E$1671+(glt_m365b-Sens!$E$1671)*MIN(1,(Sens!I1626-base_fy)/n_conv)</f>
        <v>0.0918411883001813</v>
      </c>
      <c r="J1671" s="7" t="n">
        <f aca="false">Sens!$E$1671+(glt_m365b-Sens!$E$1671)*MIN(1,(Sens!J1626-base_fy)/n_conv)</f>
        <v>0.0809205941500906</v>
      </c>
      <c r="K1671" s="7" t="n">
        <f aca="false">Sens!$E$1671+(glt_m365b-Sens!$E$1671)*MIN(1,(Sens!K1626-base_fy)/n_conv)</f>
        <v>0.07</v>
      </c>
    </row>
    <row r="1672" customFormat="false" ht="15" hidden="false" customHeight="false" outlineLevel="0" collapsed="false">
      <c r="A1672" s="0" t="s">
        <v>883</v>
      </c>
      <c r="B1672" s="0" t="s">
        <v>98</v>
      </c>
      <c r="D1672" s="6" t="n">
        <f aca="false">Sens!D1670+Sens!D1669</f>
        <v>84.605</v>
      </c>
      <c r="E1672" s="6" t="n">
        <f aca="false">Sens!E1670+Sens!E1669</f>
        <v>100.299</v>
      </c>
      <c r="F1672" s="6" t="n">
        <f aca="false">Sens!F1670+Sens!F1669</f>
        <v>117.39238776686</v>
      </c>
      <c r="G1672" s="6" t="n">
        <f aca="false">Sens!G1670+Sens!G1669</f>
        <v>132.544168448684</v>
      </c>
      <c r="H1672" s="6" t="n">
        <f aca="false">Sens!H1670+Sens!H1669</f>
        <v>147.777359388781</v>
      </c>
      <c r="I1672" s="6" t="n">
        <f aca="false">Sens!I1670+Sens!I1669</f>
        <v>162.084028071957</v>
      </c>
      <c r="J1672" s="6" t="n">
        <f aca="false">Sens!J1670+Sens!J1669</f>
        <v>175.182702785465</v>
      </c>
      <c r="K1672" s="6" t="n">
        <f aca="false">Sens!K1670+Sens!K1669</f>
        <v>187.527991980448</v>
      </c>
    </row>
    <row r="1673" customFormat="false" ht="15" hidden="false" customHeight="false" outlineLevel="0" collapsed="false">
      <c r="A1673" s="0" t="s">
        <v>884</v>
      </c>
      <c r="B1673" s="0" t="s">
        <v>98</v>
      </c>
      <c r="D1673" s="6" t="n">
        <f aca="false">Q!L8</f>
        <v>35.391</v>
      </c>
      <c r="E1673" s="6" t="n">
        <f aca="false">Q!M8</f>
        <v>37.285</v>
      </c>
      <c r="F1673" s="6" t="n">
        <f aca="false">Sens!E1673*(1+Sens!F1674)</f>
        <v>39.0720834331704</v>
      </c>
      <c r="G1673" s="6" t="n">
        <f aca="false">Sens!F1673*(1+Sens!G1674)</f>
        <v>40.726562953769</v>
      </c>
      <c r="H1673" s="6" t="n">
        <f aca="false">Sens!G1673*(1+Sens!H1674)</f>
        <v>42.2235987259198</v>
      </c>
      <c r="I1673" s="6" t="n">
        <f aca="false">Sens!H1673*(1+Sens!I1674)</f>
        <v>43.5397988077414</v>
      </c>
      <c r="J1673" s="6" t="n">
        <f aca="false">Sens!I1673*(1+Sens!J1674)</f>
        <v>44.653811225693</v>
      </c>
      <c r="K1673" s="6" t="n">
        <f aca="false">Sens!J1673*(1+Sens!K1674)</f>
        <v>45.5468874502068</v>
      </c>
    </row>
    <row r="1674" customFormat="false" ht="15" hidden="false" customHeight="false" outlineLevel="0" collapsed="false">
      <c r="A1674" s="1" t="s">
        <v>876</v>
      </c>
      <c r="B1674" s="0" t="s">
        <v>129</v>
      </c>
      <c r="E1674" s="7" t="n">
        <f aca="false">Sens!E1673/Sens!D1673-1</f>
        <v>0.0535164307309768</v>
      </c>
      <c r="F1674" s="7" t="n">
        <f aca="false">Sens!$E$1674+(glt_lic-Sens!$E$1674)*MIN(1,(Sens!F1626-base_fy)/n_conv)</f>
        <v>0.0479303589424807</v>
      </c>
      <c r="G1674" s="7" t="n">
        <f aca="false">Sens!$E$1674+(glt_lic-Sens!$E$1674)*MIN(1,(Sens!G1626-base_fy)/n_conv)</f>
        <v>0.0423442871539845</v>
      </c>
      <c r="H1674" s="7" t="n">
        <f aca="false">Sens!$E$1674+(glt_lic-Sens!$E$1674)*MIN(1,(Sens!H1626-base_fy)/n_conv)</f>
        <v>0.0367582153654884</v>
      </c>
      <c r="I1674" s="7" t="n">
        <f aca="false">Sens!$E$1674+(glt_lic-Sens!$E$1674)*MIN(1,(Sens!I1626-base_fy)/n_conv)</f>
        <v>0.0311721435769923</v>
      </c>
      <c r="J1674" s="7" t="n">
        <f aca="false">Sens!$E$1674+(glt_lic-Sens!$E$1674)*MIN(1,(Sens!J1626-base_fy)/n_conv)</f>
        <v>0.0255860717884961</v>
      </c>
      <c r="K1674" s="7" t="n">
        <f aca="false">Sens!$E$1674+(glt_lic-Sens!$E$1674)*MIN(1,(Sens!K1626-base_fy)/n_conv)</f>
        <v>0.02</v>
      </c>
    </row>
    <row r="1675" customFormat="false" ht="15" hidden="false" customHeight="false" outlineLevel="0" collapsed="false">
      <c r="A1675" s="0" t="s">
        <v>885</v>
      </c>
      <c r="B1675" s="0" t="s">
        <v>98</v>
      </c>
      <c r="D1675" s="6" t="n">
        <f aca="false">Q!L9</f>
        <v>18.417</v>
      </c>
      <c r="E1675" s="6" t="n">
        <f aca="false">Q!M9</f>
        <v>20.345</v>
      </c>
      <c r="F1675" s="6" t="n">
        <f aca="false">Sens!E1675*(1+Sens!F1676)</f>
        <v>22.3572203267814</v>
      </c>
      <c r="G1675" s="6" t="n">
        <f aca="false">Sens!F1675*(1+Sens!G1676)</f>
        <v>24.4392124437232</v>
      </c>
      <c r="H1675" s="6" t="n">
        <f aca="false">Sens!G1675*(1+Sens!H1676)</f>
        <v>26.5738052080665</v>
      </c>
      <c r="I1675" s="6" t="n">
        <f aca="false">Sens!H1675*(1+Sens!I1676)</f>
        <v>28.7412169166967</v>
      </c>
      <c r="J1675" s="6" t="n">
        <f aca="false">Sens!I1675*(1+Sens!J1676)</f>
        <v>30.9192545395413</v>
      </c>
      <c r="K1675" s="6" t="n">
        <f aca="false">Sens!J1675*(1+Sens!K1676)</f>
        <v>33.0836023573092</v>
      </c>
    </row>
    <row r="1676" customFormat="false" ht="15" hidden="false" customHeight="false" outlineLevel="0" collapsed="false">
      <c r="A1676" s="1" t="s">
        <v>876</v>
      </c>
      <c r="B1676" s="0" t="s">
        <v>129</v>
      </c>
      <c r="E1676" s="7" t="n">
        <f aca="false">Sens!E1675/Sens!D1675-1</f>
        <v>0.104685888038225</v>
      </c>
      <c r="F1676" s="7" t="n">
        <f aca="false">Sens!$E$1676+(glt_ind-Sens!$E$1676)*MIN(1,(Sens!F1626-base_fy)/n_conv)</f>
        <v>0.0989049066985211</v>
      </c>
      <c r="G1676" s="7" t="n">
        <f aca="false">Sens!$E$1676+(glt_ind-Sens!$E$1676)*MIN(1,(Sens!G1626-base_fy)/n_conv)</f>
        <v>0.0931239253588169</v>
      </c>
      <c r="H1676" s="7" t="n">
        <f aca="false">Sens!$E$1676+(glt_ind-Sens!$E$1676)*MIN(1,(Sens!H1626-base_fy)/n_conv)</f>
        <v>0.0873429440191127</v>
      </c>
      <c r="I1676" s="7" t="n">
        <f aca="false">Sens!$E$1676+(glt_ind-Sens!$E$1676)*MIN(1,(Sens!I1626-base_fy)/n_conv)</f>
        <v>0.0815619626794085</v>
      </c>
      <c r="J1676" s="7" t="n">
        <f aca="false">Sens!$E$1676+(glt_ind-Sens!$E$1676)*MIN(1,(Sens!J1626-base_fy)/n_conv)</f>
        <v>0.0757809813397042</v>
      </c>
      <c r="K1676" s="7" t="n">
        <f aca="false">Sens!$E$1676+(glt_ind-Sens!$E$1676)*MIN(1,(Sens!K1626-base_fy)/n_conv)</f>
        <v>0.07</v>
      </c>
    </row>
    <row r="1677" customFormat="false" ht="15" hidden="false" customHeight="false" outlineLevel="0" collapsed="false">
      <c r="A1677" s="0" t="s">
        <v>886</v>
      </c>
      <c r="B1677" s="0" t="s">
        <v>98</v>
      </c>
      <c r="D1677" s="6" t="n">
        <f aca="false">Q!L10</f>
        <v>7.76</v>
      </c>
      <c r="E1677" s="6" t="n">
        <f aca="false">Q!M10</f>
        <v>8.26</v>
      </c>
      <c r="F1677" s="6" t="n">
        <f aca="false">Sens!E1677*(1+Sens!F1678)</f>
        <v>8.79988041237113</v>
      </c>
      <c r="G1677" s="6" t="n">
        <f aca="false">Sens!F1677*(1+Sens!G1678)</f>
        <v>9.38321269125306</v>
      </c>
      <c r="H1677" s="6" t="n">
        <f aca="false">Sens!G1677*(1+Sens!H1678)</f>
        <v>10.0139193587476</v>
      </c>
      <c r="I1677" s="6" t="n">
        <f aca="false">Sens!H1677*(1+Sens!I1678)</f>
        <v>10.6963111830911</v>
      </c>
      <c r="J1677" s="6" t="n">
        <f aca="false">Sens!I1677*(1+Sens!J1678)</f>
        <v>11.4351285534696</v>
      </c>
      <c r="K1677" s="6" t="n">
        <f aca="false">Sens!J1677*(1+Sens!K1678)</f>
        <v>12.2355875522124</v>
      </c>
    </row>
    <row r="1678" customFormat="false" ht="15" hidden="false" customHeight="false" outlineLevel="0" collapsed="false">
      <c r="A1678" s="1" t="s">
        <v>876</v>
      </c>
      <c r="B1678" s="0" t="s">
        <v>129</v>
      </c>
      <c r="E1678" s="7" t="n">
        <f aca="false">Sens!E1677/Sens!D1677-1</f>
        <v>0.0644329896907216</v>
      </c>
      <c r="F1678" s="7" t="n">
        <f aca="false">Sens!$E$1678+(glt_fro-Sens!$E$1678)*MIN(1,(Sens!F1626-base_fy)/n_conv)</f>
        <v>0.065360824742268</v>
      </c>
      <c r="G1678" s="7" t="n">
        <f aca="false">Sens!$E$1678+(glt_fro-Sens!$E$1678)*MIN(1,(Sens!G1626-base_fy)/n_conv)</f>
        <v>0.0662886597938144</v>
      </c>
      <c r="H1678" s="7" t="n">
        <f aca="false">Sens!$E$1678+(glt_fro-Sens!$E$1678)*MIN(1,(Sens!H1626-base_fy)/n_conv)</f>
        <v>0.0672164948453608</v>
      </c>
      <c r="I1678" s="7" t="n">
        <f aca="false">Sens!$E$1678+(glt_fro-Sens!$E$1678)*MIN(1,(Sens!I1626-base_fy)/n_conv)</f>
        <v>0.0681443298969072</v>
      </c>
      <c r="J1678" s="7" t="n">
        <f aca="false">Sens!$E$1678+(glt_fro-Sens!$E$1678)*MIN(1,(Sens!J1626-base_fy)/n_conv)</f>
        <v>0.0690721649484536</v>
      </c>
      <c r="K1678" s="7" t="n">
        <f aca="false">Sens!$E$1678+(glt_fro-Sens!$E$1678)*MIN(1,(Sens!K1626-base_fy)/n_conv)</f>
        <v>0.07</v>
      </c>
    </row>
    <row r="1679" customFormat="false" ht="15" hidden="false" customHeight="false" outlineLevel="0" collapsed="false">
      <c r="A1679" s="0" t="s">
        <v>715</v>
      </c>
      <c r="B1679" s="0" t="s">
        <v>98</v>
      </c>
      <c r="D1679" s="6" t="n">
        <f aca="false">Sens!D1667+Sens!D1672+Sens!D1673+Sens!D1675+Sens!D1677</f>
        <v>218.783</v>
      </c>
      <c r="E1679" s="6" t="n">
        <f aca="false">Sens!E1667+Sens!E1672+Sens!E1673+Sens!E1675+Sens!E1677</f>
        <v>268.127</v>
      </c>
      <c r="F1679" s="6" t="n">
        <f aca="false">Sens!F1667+Sens!F1672+Sens!F1673+Sens!F1675+Sens!F1677</f>
        <v>335.962719773102</v>
      </c>
      <c r="G1679" s="6" t="n">
        <f aca="false">Sens!G1667+Sens!G1672+Sens!G1673+Sens!G1675+Sens!G1677</f>
        <v>400.542108263154</v>
      </c>
      <c r="H1679" s="6" t="n">
        <f aca="false">Sens!H1667+Sens!H1672+Sens!H1673+Sens!H1675+Sens!H1677</f>
        <v>459.990669211799</v>
      </c>
      <c r="I1679" s="6" t="n">
        <f aca="false">Sens!I1667+Sens!I1672+Sens!I1673+Sens!I1675+Sens!I1677</f>
        <v>522.507151578115</v>
      </c>
      <c r="J1679" s="6" t="n">
        <f aca="false">Sens!J1667+Sens!J1672+Sens!J1673+Sens!J1675+Sens!J1677</f>
        <v>574.042168936174</v>
      </c>
      <c r="K1679" s="6" t="n">
        <f aca="false">Sens!K1667+Sens!K1672+Sens!K1673+Sens!K1675+Sens!K1677</f>
        <v>615.379874412209</v>
      </c>
    </row>
    <row r="1680" customFormat="false" ht="15" hidden="false" customHeight="false" outlineLevel="0" collapsed="false">
      <c r="A1680" s="0" t="s">
        <v>887</v>
      </c>
      <c r="B1680" s="0" t="s">
        <v>98</v>
      </c>
      <c r="D1680" s="6" t="n">
        <f aca="false">Q!L13</f>
        <v>22.171</v>
      </c>
      <c r="E1680" s="6" t="n">
        <f aca="false">Q!M13</f>
        <v>24.835</v>
      </c>
      <c r="F1680" s="6" t="n">
        <f aca="false">Sens!E1680*(1+Sens!F1681)</f>
        <v>27.6114901218559</v>
      </c>
      <c r="G1680" s="6" t="n">
        <f aca="false">Sens!F1680*(1+Sens!G1681)</f>
        <v>30.4675667338515</v>
      </c>
      <c r="H1680" s="6" t="n">
        <f aca="false">Sens!G1680*(1+Sens!H1681)</f>
        <v>33.3643766955789</v>
      </c>
      <c r="I1680" s="6" t="n">
        <f aca="false">Sens!H1680*(1+Sens!I1681)</f>
        <v>36.2577016533691</v>
      </c>
      <c r="J1680" s="6" t="n">
        <f aca="false">Sens!I1680*(1+Sens!J1681)</f>
        <v>39.0988367952171</v>
      </c>
      <c r="K1680" s="6" t="n">
        <f aca="false">Sens!J1680*(1+Sens!K1681)</f>
        <v>41.8357553708823</v>
      </c>
    </row>
    <row r="1681" customFormat="false" ht="15" hidden="false" customHeight="false" outlineLevel="0" collapsed="false">
      <c r="A1681" s="1" t="s">
        <v>876</v>
      </c>
      <c r="B1681" s="0" t="s">
        <v>129</v>
      </c>
      <c r="E1681" s="7" t="n">
        <f aca="false">Sens!E1680/Sens!D1680-1</f>
        <v>0.120156961796942</v>
      </c>
      <c r="F1681" s="7" t="n">
        <f aca="false">Sens!$E$1681+(glt_srch-Sens!$E$1681)*MIN(1,(Sens!F1626-base_fy)/n_conv)</f>
        <v>0.111797468164118</v>
      </c>
      <c r="G1681" s="7" t="n">
        <f aca="false">Sens!$E$1681+(glt_srch-Sens!$E$1681)*MIN(1,(Sens!G1626-base_fy)/n_conv)</f>
        <v>0.103437974531295</v>
      </c>
      <c r="H1681" s="7" t="n">
        <f aca="false">Sens!$E$1681+(glt_srch-Sens!$E$1681)*MIN(1,(Sens!H1626-base_fy)/n_conv)</f>
        <v>0.095078480898471</v>
      </c>
      <c r="I1681" s="7" t="n">
        <f aca="false">Sens!$E$1681+(glt_srch-Sens!$E$1681)*MIN(1,(Sens!I1626-base_fy)/n_conv)</f>
        <v>0.0867189872656474</v>
      </c>
      <c r="J1681" s="7" t="n">
        <f aca="false">Sens!$E$1681+(glt_srch-Sens!$E$1681)*MIN(1,(Sens!J1626-base_fy)/n_conv)</f>
        <v>0.0783594936328237</v>
      </c>
      <c r="K1681" s="7" t="n">
        <f aca="false">Sens!$E$1681+(glt_srch-Sens!$E$1681)*MIN(1,(Sens!K1626-base_fy)/n_conv)</f>
        <v>0.07</v>
      </c>
    </row>
    <row r="1682" customFormat="false" ht="15" hidden="false" customHeight="false" outlineLevel="0" collapsed="false">
      <c r="A1682" s="0" t="s">
        <v>888</v>
      </c>
      <c r="B1682" s="0" t="s">
        <v>98</v>
      </c>
      <c r="D1682" s="6" t="n">
        <f aca="false">Q!L14</f>
        <v>23.455</v>
      </c>
      <c r="E1682" s="6" t="n">
        <f aca="false">Q!M14</f>
        <v>21.79</v>
      </c>
      <c r="F1682" s="6" t="n">
        <f aca="false">Sens!E1682*(1+Sens!F1683)</f>
        <v>20.5736277908051</v>
      </c>
      <c r="G1682" s="6" t="n">
        <f aca="false">Sens!F1682*(1+Sens!G1683)</f>
        <v>19.7371452817919</v>
      </c>
      <c r="H1682" s="6" t="n">
        <f aca="false">Sens!G1682*(1+Sens!H1683)</f>
        <v>19.2339764043138</v>
      </c>
      <c r="I1682" s="6" t="n">
        <f aca="false">Sens!H1682*(1+Sens!I1683)</f>
        <v>19.0353086852681</v>
      </c>
      <c r="J1682" s="6" t="n">
        <f aca="false">Sens!I1682*(1+Sens!J1683)</f>
        <v>19.1273539319129</v>
      </c>
      <c r="K1682" s="6" t="n">
        <f aca="false">Sens!J1682*(1+Sens!K1683)</f>
        <v>19.5099010105511</v>
      </c>
    </row>
    <row r="1683" customFormat="false" ht="15" hidden="false" customHeight="false" outlineLevel="0" collapsed="false">
      <c r="A1683" s="1" t="s">
        <v>876</v>
      </c>
      <c r="B1683" s="0" t="s">
        <v>129</v>
      </c>
      <c r="E1683" s="7" t="n">
        <f aca="false">Sens!E1682/Sens!D1682-1</f>
        <v>-0.0709869963760392</v>
      </c>
      <c r="F1683" s="7" t="n">
        <f aca="false">Sens!$E$1683+(glt_xbox-Sens!$E$1683)*MIN(1,(Sens!F1626-base_fy)/n_conv)</f>
        <v>-0.0558224969800327</v>
      </c>
      <c r="G1683" s="7" t="n">
        <f aca="false">Sens!$E$1683+(glt_xbox-Sens!$E$1683)*MIN(1,(Sens!G1626-base_fy)/n_conv)</f>
        <v>-0.0406579975840262</v>
      </c>
      <c r="H1683" s="7" t="n">
        <f aca="false">Sens!$E$1683+(glt_xbox-Sens!$E$1683)*MIN(1,(Sens!H1626-base_fy)/n_conv)</f>
        <v>-0.0254934981880196</v>
      </c>
      <c r="I1683" s="7" t="n">
        <f aca="false">Sens!$E$1683+(glt_xbox-Sens!$E$1683)*MIN(1,(Sens!I1626-base_fy)/n_conv)</f>
        <v>-0.0103289987920131</v>
      </c>
      <c r="J1683" s="7" t="n">
        <f aca="false">Sens!$E$1683+(glt_xbox-Sens!$E$1683)*MIN(1,(Sens!J1626-base_fy)/n_conv)</f>
        <v>0.00483550060399347</v>
      </c>
      <c r="K1683" s="7" t="n">
        <f aca="false">Sens!$E$1683+(glt_xbox-Sens!$E$1683)*MIN(1,(Sens!K1626-base_fy)/n_conv)</f>
        <v>0.02</v>
      </c>
    </row>
    <row r="1684" customFormat="false" ht="15" hidden="false" customHeight="false" outlineLevel="0" collapsed="false">
      <c r="A1684" s="0" t="s">
        <v>889</v>
      </c>
      <c r="B1684" s="0" t="s">
        <v>98</v>
      </c>
      <c r="D1684" s="6" t="n">
        <f aca="false">Q!L15</f>
        <v>17.315</v>
      </c>
      <c r="E1684" s="6" t="n">
        <f aca="false">Q!M15</f>
        <v>17.087</v>
      </c>
      <c r="F1684" s="6" t="n">
        <f aca="false">Sens!E1684*(1+Sens!F1685)</f>
        <v>16.9564585436519</v>
      </c>
      <c r="G1684" s="6" t="n">
        <f aca="false">Sens!F1684*(1+Sens!G1685)</f>
        <v>16.9206490624268</v>
      </c>
      <c r="H1684" s="6" t="n">
        <f aca="false">Sens!G1684*(1+Sens!H1685)</f>
        <v>16.9784519149849</v>
      </c>
      <c r="I1684" s="6" t="n">
        <f aca="false">Sens!H1684*(1+Sens!I1685)</f>
        <v>17.1303084701817</v>
      </c>
      <c r="J1684" s="6" t="n">
        <f aca="false">Sens!I1684*(1+Sens!J1685)</f>
        <v>17.3782189407267</v>
      </c>
      <c r="K1684" s="6" t="n">
        <f aca="false">Sens!J1684*(1+Sens!K1685)</f>
        <v>17.7257833195413</v>
      </c>
    </row>
    <row r="1685" customFormat="false" ht="15" hidden="false" customHeight="false" outlineLevel="0" collapsed="false">
      <c r="A1685" s="1" t="s">
        <v>876</v>
      </c>
      <c r="B1685" s="0" t="s">
        <v>129</v>
      </c>
      <c r="E1685" s="7" t="n">
        <f aca="false">Sens!E1684/Sens!D1684-1</f>
        <v>-0.0131677736066995</v>
      </c>
      <c r="F1685" s="7" t="n">
        <f aca="false">Sens!$E$1685+(glt_win-Sens!$E$1685)*MIN(1,(Sens!F1626-base_fy)/n_conv)</f>
        <v>-0.00763981133891627</v>
      </c>
      <c r="G1685" s="7" t="n">
        <f aca="false">Sens!$E$1685+(glt_win-Sens!$E$1685)*MIN(1,(Sens!G1626-base_fy)/n_conv)</f>
        <v>-0.00211184907113301</v>
      </c>
      <c r="H1685" s="7" t="n">
        <f aca="false">Sens!$E$1685+(glt_win-Sens!$E$1685)*MIN(1,(Sens!H1626-base_fy)/n_conv)</f>
        <v>0.00341611319665024</v>
      </c>
      <c r="I1685" s="7" t="n">
        <f aca="false">Sens!$E$1685+(glt_win-Sens!$E$1685)*MIN(1,(Sens!I1626-base_fy)/n_conv)</f>
        <v>0.00894407546443349</v>
      </c>
      <c r="J1685" s="7" t="n">
        <f aca="false">Sens!$E$1685+(glt_win-Sens!$E$1685)*MIN(1,(Sens!J1626-base_fy)/n_conv)</f>
        <v>0.0144720377322168</v>
      </c>
      <c r="K1685" s="7" t="n">
        <f aca="false">Sens!$E$1685+(glt_win-Sens!$E$1685)*MIN(1,(Sens!K1626-base_fy)/n_conv)</f>
        <v>0.02</v>
      </c>
    </row>
    <row r="1686" customFormat="false" ht="15" hidden="false" customHeight="false" outlineLevel="0" collapsed="false">
      <c r="A1686" s="0" t="s">
        <v>729</v>
      </c>
      <c r="B1686" s="0" t="s">
        <v>98</v>
      </c>
      <c r="D1686" s="6" t="n">
        <f aca="false">Sens!D1680+Sens!D1682+Sens!D1684</f>
        <v>62.941</v>
      </c>
      <c r="E1686" s="6" t="n">
        <f aca="false">Sens!E1680+Sens!E1682+Sens!E1684</f>
        <v>63.712</v>
      </c>
      <c r="F1686" s="6" t="n">
        <f aca="false">Sens!F1680+Sens!F1682+Sens!F1684</f>
        <v>65.1415764563129</v>
      </c>
      <c r="G1686" s="6" t="n">
        <f aca="false">Sens!G1680+Sens!G1682+Sens!G1684</f>
        <v>67.1253610780702</v>
      </c>
      <c r="H1686" s="6" t="n">
        <f aca="false">Sens!H1680+Sens!H1682+Sens!H1684</f>
        <v>69.5768050148776</v>
      </c>
      <c r="I1686" s="6" t="n">
        <f aca="false">Sens!I1680+Sens!I1682+Sens!I1684</f>
        <v>72.4233188088189</v>
      </c>
      <c r="J1686" s="6" t="n">
        <f aca="false">Sens!J1680+Sens!J1682+Sens!J1684</f>
        <v>75.6044096678567</v>
      </c>
      <c r="K1686" s="6" t="n">
        <f aca="false">Sens!K1680+Sens!K1682+Sens!K1684</f>
        <v>79.0714397009747</v>
      </c>
    </row>
    <row r="1687" customFormat="false" ht="15" hidden="false" customHeight="false" outlineLevel="0" collapsed="false">
      <c r="A1687" s="1" t="s">
        <v>890</v>
      </c>
      <c r="B1687" s="0" t="s">
        <v>98</v>
      </c>
      <c r="D1687" s="6" t="n">
        <f aca="false">Sens!D1679+Sens!D1686</f>
        <v>281.724</v>
      </c>
      <c r="E1687" s="6" t="n">
        <f aca="false">Sens!E1679+Sens!E1686</f>
        <v>331.839</v>
      </c>
      <c r="F1687" s="6" t="n">
        <f aca="false">Sens!F1679+Sens!F1686</f>
        <v>401.104296229415</v>
      </c>
      <c r="G1687" s="6" t="n">
        <f aca="false">Sens!G1679+Sens!G1686</f>
        <v>467.667469341224</v>
      </c>
      <c r="H1687" s="6" t="n">
        <f aca="false">Sens!H1679+Sens!H1686</f>
        <v>529.567474226677</v>
      </c>
      <c r="I1687" s="6" t="n">
        <f aca="false">Sens!I1679+Sens!I1686</f>
        <v>594.930470386934</v>
      </c>
      <c r="J1687" s="6" t="n">
        <f aca="false">Sens!J1679+Sens!J1686</f>
        <v>649.646578604031</v>
      </c>
      <c r="K1687" s="6" t="n">
        <f aca="false">Sens!K1679+Sens!K1686</f>
        <v>694.451314113184</v>
      </c>
    </row>
    <row r="1688" customFormat="false" ht="15" hidden="false" customHeight="false" outlineLevel="0" collapsed="false">
      <c r="A1688" s="23" t="s">
        <v>891</v>
      </c>
      <c r="B1688" s="30" t="s">
        <v>98</v>
      </c>
      <c r="C1688" s="30"/>
      <c r="D1688" s="24" t="n">
        <f aca="false">(Sens!D1667+Sens!D1672+Sens!D1673+Sens!D1675+Sens!D1677-Sens!D1679)+(Sens!D1680+Sens!D1682+Sens!D1684-Sens!D1686)+(Sens!D1679-Q!L5)+(Sens!D1686-Q!L12)+(Sens!D1667-Q!L6)+(Sens!D1672-Q!L7)</f>
        <v>0</v>
      </c>
      <c r="E1688" s="24" t="n">
        <f aca="false">(Sens!E1667+Sens!E1672+Sens!E1673+Sens!E1675+Sens!E1677-Sens!E1679)+(Sens!E1680+Sens!E1682+Sens!E1684-Sens!E1686)+(Sens!E1679-Q!M5)+(Sens!E1686-Q!M12)+(Sens!E1667-Q!M6)+(Sens!E1672-Q!M7)</f>
        <v>0</v>
      </c>
      <c r="F1688" s="24" t="n">
        <f aca="false">(Sens!F1667+Sens!F1672+Sens!F1673+Sens!F1675+Sens!F1677-Sens!F1679)+(Sens!F1680+Sens!F1682+Sens!F1684-Sens!F1686)</f>
        <v>0</v>
      </c>
      <c r="G1688" s="24" t="n">
        <f aca="false">(Sens!G1667+Sens!G1672+Sens!G1673+Sens!G1675+Sens!G1677-Sens!G1679)+(Sens!G1680+Sens!G1682+Sens!G1684-Sens!G1686)</f>
        <v>0</v>
      </c>
      <c r="H1688" s="24" t="n">
        <f aca="false">(Sens!H1667+Sens!H1672+Sens!H1673+Sens!H1675+Sens!H1677-Sens!H1679)+(Sens!H1680+Sens!H1682+Sens!H1684-Sens!H1686)</f>
        <v>0</v>
      </c>
      <c r="I1688" s="24" t="n">
        <f aca="false">(Sens!I1667+Sens!I1672+Sens!I1673+Sens!I1675+Sens!I1677-Sens!I1679)+(Sens!I1680+Sens!I1682+Sens!I1684-Sens!I1686)</f>
        <v>0</v>
      </c>
      <c r="J1688" s="24" t="n">
        <f aca="false">(Sens!J1667+Sens!J1672+Sens!J1673+Sens!J1675+Sens!J1677-Sens!J1679)+(Sens!J1680+Sens!J1682+Sens!J1684-Sens!J1686)</f>
        <v>0</v>
      </c>
      <c r="K1688" s="24" t="n">
        <f aca="false">(Sens!K1667+Sens!K1672+Sens!K1673+Sens!K1675+Sens!K1677-Sens!K1679)+(Sens!K1680+Sens!K1682+Sens!K1684-Sens!K1686)</f>
        <v>0</v>
      </c>
    </row>
    <row r="1689" customFormat="false" ht="17.15" hidden="false" customHeight="false" outlineLevel="0" collapsed="false">
      <c r="A1689" s="3" t="s">
        <v>1304</v>
      </c>
    </row>
    <row r="1690" customFormat="false" ht="15" hidden="false" customHeight="false" outlineLevel="0" collapsed="false">
      <c r="A1690" s="4" t="s">
        <v>43</v>
      </c>
      <c r="B1690" s="4" t="s">
        <v>65</v>
      </c>
      <c r="C1690" s="20" t="s">
        <v>799</v>
      </c>
      <c r="D1690" s="20" t="s">
        <v>800</v>
      </c>
      <c r="E1690" s="20" t="s">
        <v>801</v>
      </c>
      <c r="F1690" s="20" t="s">
        <v>802</v>
      </c>
      <c r="G1690" s="20" t="s">
        <v>803</v>
      </c>
      <c r="H1690" s="20" t="s">
        <v>804</v>
      </c>
      <c r="I1690" s="20" t="s">
        <v>805</v>
      </c>
      <c r="J1690" s="20" t="s">
        <v>806</v>
      </c>
      <c r="K1690" s="20" t="s">
        <v>807</v>
      </c>
      <c r="L1690" s="4" t="s">
        <v>47</v>
      </c>
    </row>
    <row r="1691" customFormat="false" ht="15" hidden="false" customHeight="false" outlineLevel="0" collapsed="false">
      <c r="A1691" s="0" t="s">
        <v>877</v>
      </c>
      <c r="B1691" s="0" t="s">
        <v>98</v>
      </c>
      <c r="D1691" s="6" t="n">
        <f aca="false">Sens!D1667</f>
        <v>72.61</v>
      </c>
      <c r="E1691" s="6" t="n">
        <f aca="false">Sens!E1667</f>
        <v>101.938</v>
      </c>
      <c r="F1691" s="6" t="n">
        <f aca="false">Sens!F1667</f>
        <v>148.341147833919</v>
      </c>
      <c r="G1691" s="6" t="n">
        <f aca="false">Sens!G1667</f>
        <v>193.448951725725</v>
      </c>
      <c r="H1691" s="6" t="n">
        <f aca="false">Sens!H1667</f>
        <v>233.401986530284</v>
      </c>
      <c r="I1691" s="6" t="n">
        <f aca="false">Sens!I1667</f>
        <v>277.445796598629</v>
      </c>
      <c r="J1691" s="6" t="n">
        <f aca="false">Sens!J1667</f>
        <v>311.851271832005</v>
      </c>
      <c r="K1691" s="6" t="n">
        <f aca="false">Sens!K1667</f>
        <v>336.985805072033</v>
      </c>
    </row>
    <row r="1692" customFormat="false" ht="17.15" hidden="false" customHeight="false" outlineLevel="0" collapsed="false">
      <c r="A1692" s="0" t="s">
        <v>874</v>
      </c>
      <c r="B1692" s="0" t="s">
        <v>98</v>
      </c>
      <c r="D1692" s="6" t="n">
        <f aca="false">Sens!D1664</f>
        <v>12.9359794422418</v>
      </c>
      <c r="E1692" s="6" t="n">
        <f aca="false">Sens!E1664</f>
        <v>27.8095064661409</v>
      </c>
      <c r="F1692" s="6" t="n">
        <f aca="false">Sens!F1664</f>
        <v>58.2611980965526</v>
      </c>
      <c r="G1692" s="6" t="n">
        <f aca="false">Sens!G1664</f>
        <v>86.420526522415</v>
      </c>
      <c r="H1692" s="6" t="n">
        <f aca="false">Sens!H1664</f>
        <v>109.130003944648</v>
      </c>
      <c r="I1692" s="6" t="n">
        <f aca="false">Sens!I1664</f>
        <v>136.512094216774</v>
      </c>
      <c r="J1692" s="6" t="n">
        <f aca="false">Sens!J1664</f>
        <v>155.832404517674</v>
      </c>
      <c r="K1692" s="6" t="n">
        <f aca="false">Sens!K1664</f>
        <v>168.485428372555</v>
      </c>
    </row>
    <row r="1693" customFormat="false" ht="17.15" hidden="false" customHeight="false" outlineLevel="0" collapsed="false">
      <c r="A1693" s="0" t="s">
        <v>902</v>
      </c>
      <c r="B1693" s="0" t="s">
        <v>98</v>
      </c>
      <c r="D1693" s="6" t="n">
        <f aca="false">Sens!D1665</f>
        <v>59.6740205577583</v>
      </c>
      <c r="E1693" s="6" t="n">
        <f aca="false">Sens!E1665</f>
        <v>74.1284935338591</v>
      </c>
      <c r="F1693" s="6" t="n">
        <f aca="false">Sens!F1665</f>
        <v>90.0799497373663</v>
      </c>
      <c r="G1693" s="6" t="n">
        <f aca="false">Sens!G1665</f>
        <v>107.02842520331</v>
      </c>
      <c r="H1693" s="6" t="n">
        <f aca="false">Sens!H1665</f>
        <v>124.271982585636</v>
      </c>
      <c r="I1693" s="6" t="n">
        <f aca="false">Sens!I1665</f>
        <v>140.933702381855</v>
      </c>
      <c r="J1693" s="6" t="n">
        <f aca="false">Sens!J1665</f>
        <v>156.018867314332</v>
      </c>
      <c r="K1693" s="6" t="n">
        <f aca="false">Sens!K1665</f>
        <v>168.500376699478</v>
      </c>
    </row>
    <row r="1694" customFormat="false" ht="15" hidden="false" customHeight="false" outlineLevel="0" collapsed="false">
      <c r="A1694" s="0" t="s">
        <v>883</v>
      </c>
      <c r="B1694" s="0" t="s">
        <v>98</v>
      </c>
      <c r="D1694" s="6" t="n">
        <f aca="false">Sens!D1672</f>
        <v>84.605</v>
      </c>
      <c r="E1694" s="6" t="n">
        <f aca="false">Sens!E1672</f>
        <v>100.299</v>
      </c>
      <c r="F1694" s="6" t="n">
        <f aca="false">Sens!F1672</f>
        <v>117.39238776686</v>
      </c>
      <c r="G1694" s="6" t="n">
        <f aca="false">Sens!G1672</f>
        <v>132.544168448684</v>
      </c>
      <c r="H1694" s="6" t="n">
        <f aca="false">Sens!H1672</f>
        <v>147.777359388781</v>
      </c>
      <c r="I1694" s="6" t="n">
        <f aca="false">Sens!I1672</f>
        <v>162.084028071957</v>
      </c>
      <c r="J1694" s="6" t="n">
        <f aca="false">Sens!J1672</f>
        <v>175.182702785465</v>
      </c>
      <c r="K1694" s="6" t="n">
        <f aca="false">Sens!K1672</f>
        <v>187.527991980448</v>
      </c>
    </row>
    <row r="1695" customFormat="false" ht="17.15" hidden="false" customHeight="false" outlineLevel="0" collapsed="false">
      <c r="A1695" s="0" t="s">
        <v>903</v>
      </c>
      <c r="B1695" s="0" t="s">
        <v>98</v>
      </c>
      <c r="D1695" s="6" t="n">
        <f aca="false">Sens!D1670</f>
        <v>83.705</v>
      </c>
      <c r="E1695" s="6" t="n">
        <f aca="false">Sens!E1670</f>
        <v>95.049</v>
      </c>
      <c r="F1695" s="6" t="n">
        <f aca="false">Sens!F1670</f>
        <v>106.89238776686</v>
      </c>
      <c r="G1695" s="6" t="n">
        <f aca="false">Sens!G1670</f>
        <v>119.044168448684</v>
      </c>
      <c r="H1695" s="6" t="n">
        <f aca="false">Sens!H1670</f>
        <v>131.277359388781</v>
      </c>
      <c r="I1695" s="6" t="n">
        <f aca="false">Sens!I1670</f>
        <v>143.334028071957</v>
      </c>
      <c r="J1695" s="6" t="n">
        <f aca="false">Sens!J1670</f>
        <v>154.932702785465</v>
      </c>
      <c r="K1695" s="6" t="n">
        <f aca="false">Sens!K1670</f>
        <v>165.777991980448</v>
      </c>
    </row>
    <row r="1696" customFormat="false" ht="17.15" hidden="false" customHeight="false" outlineLevel="0" collapsed="false">
      <c r="A1696" s="0" t="s">
        <v>904</v>
      </c>
      <c r="B1696" s="0" t="s">
        <v>98</v>
      </c>
      <c r="D1696" s="6" t="n">
        <f aca="false">Sens!D1669</f>
        <v>0.9</v>
      </c>
      <c r="E1696" s="6" t="n">
        <f aca="false">Sens!E1669</f>
        <v>5.25</v>
      </c>
      <c r="F1696" s="6" t="n">
        <f aca="false">Sens!F1669</f>
        <v>10.5</v>
      </c>
      <c r="G1696" s="6" t="n">
        <f aca="false">Sens!G1669</f>
        <v>13.5</v>
      </c>
      <c r="H1696" s="6" t="n">
        <f aca="false">Sens!H1669</f>
        <v>16.5</v>
      </c>
      <c r="I1696" s="6" t="n">
        <f aca="false">Sens!I1669</f>
        <v>18.75</v>
      </c>
      <c r="J1696" s="6" t="n">
        <f aca="false">Sens!J1669</f>
        <v>20.25</v>
      </c>
      <c r="K1696" s="6" t="n">
        <f aca="false">Sens!K1669</f>
        <v>21.75</v>
      </c>
    </row>
    <row r="1697" customFormat="false" ht="15" hidden="false" customHeight="false" outlineLevel="0" collapsed="false">
      <c r="A1697" s="0" t="s">
        <v>884</v>
      </c>
      <c r="B1697" s="0" t="s">
        <v>98</v>
      </c>
      <c r="D1697" s="6" t="n">
        <f aca="false">Sens!D1673</f>
        <v>35.391</v>
      </c>
      <c r="E1697" s="6" t="n">
        <f aca="false">Sens!E1673</f>
        <v>37.285</v>
      </c>
      <c r="F1697" s="6" t="n">
        <f aca="false">Sens!F1673</f>
        <v>39.0720834331704</v>
      </c>
      <c r="G1697" s="6" t="n">
        <f aca="false">Sens!G1673</f>
        <v>40.726562953769</v>
      </c>
      <c r="H1697" s="6" t="n">
        <f aca="false">Sens!H1673</f>
        <v>42.2235987259198</v>
      </c>
      <c r="I1697" s="6" t="n">
        <f aca="false">Sens!I1673</f>
        <v>43.5397988077414</v>
      </c>
      <c r="J1697" s="6" t="n">
        <f aca="false">Sens!J1673</f>
        <v>44.653811225693</v>
      </c>
      <c r="K1697" s="6" t="n">
        <f aca="false">Sens!K1673</f>
        <v>45.5468874502068</v>
      </c>
    </row>
    <row r="1698" customFormat="false" ht="15" hidden="false" customHeight="false" outlineLevel="0" collapsed="false">
      <c r="A1698" s="0" t="s">
        <v>885</v>
      </c>
      <c r="B1698" s="0" t="s">
        <v>98</v>
      </c>
      <c r="D1698" s="6" t="n">
        <f aca="false">Sens!D1675</f>
        <v>18.417</v>
      </c>
      <c r="E1698" s="6" t="n">
        <f aca="false">Sens!E1675</f>
        <v>20.345</v>
      </c>
      <c r="F1698" s="6" t="n">
        <f aca="false">Sens!F1675</f>
        <v>22.3572203267814</v>
      </c>
      <c r="G1698" s="6" t="n">
        <f aca="false">Sens!G1675</f>
        <v>24.4392124437232</v>
      </c>
      <c r="H1698" s="6" t="n">
        <f aca="false">Sens!H1675</f>
        <v>26.5738052080665</v>
      </c>
      <c r="I1698" s="6" t="n">
        <f aca="false">Sens!I1675</f>
        <v>28.7412169166967</v>
      </c>
      <c r="J1698" s="6" t="n">
        <f aca="false">Sens!J1675</f>
        <v>30.9192545395413</v>
      </c>
      <c r="K1698" s="6" t="n">
        <f aca="false">Sens!K1675</f>
        <v>33.0836023573092</v>
      </c>
    </row>
    <row r="1699" customFormat="false" ht="15" hidden="false" customHeight="false" outlineLevel="0" collapsed="false">
      <c r="A1699" s="0" t="s">
        <v>886</v>
      </c>
      <c r="B1699" s="0" t="s">
        <v>98</v>
      </c>
      <c r="D1699" s="6" t="n">
        <f aca="false">Sens!D1677</f>
        <v>7.76</v>
      </c>
      <c r="E1699" s="6" t="n">
        <f aca="false">Sens!E1677</f>
        <v>8.26</v>
      </c>
      <c r="F1699" s="6" t="n">
        <f aca="false">Sens!F1677</f>
        <v>8.79988041237113</v>
      </c>
      <c r="G1699" s="6" t="n">
        <f aca="false">Sens!G1677</f>
        <v>9.38321269125306</v>
      </c>
      <c r="H1699" s="6" t="n">
        <f aca="false">Sens!H1677</f>
        <v>10.0139193587476</v>
      </c>
      <c r="I1699" s="6" t="n">
        <f aca="false">Sens!I1677</f>
        <v>10.6963111830911</v>
      </c>
      <c r="J1699" s="6" t="n">
        <f aca="false">Sens!J1677</f>
        <v>11.4351285534696</v>
      </c>
      <c r="K1699" s="6" t="n">
        <f aca="false">Sens!K1677</f>
        <v>12.2355875522124</v>
      </c>
    </row>
    <row r="1700" customFormat="false" ht="15" hidden="false" customHeight="false" outlineLevel="0" collapsed="false">
      <c r="A1700" s="0" t="s">
        <v>715</v>
      </c>
      <c r="B1700" s="0" t="s">
        <v>98</v>
      </c>
      <c r="D1700" s="6" t="n">
        <f aca="false">Sens!D1679</f>
        <v>218.783</v>
      </c>
      <c r="E1700" s="6" t="n">
        <f aca="false">Sens!E1679</f>
        <v>268.127</v>
      </c>
      <c r="F1700" s="6" t="n">
        <f aca="false">Sens!F1679</f>
        <v>335.962719773102</v>
      </c>
      <c r="G1700" s="6" t="n">
        <f aca="false">Sens!G1679</f>
        <v>400.542108263154</v>
      </c>
      <c r="H1700" s="6" t="n">
        <f aca="false">Sens!H1679</f>
        <v>459.990669211799</v>
      </c>
      <c r="I1700" s="6" t="n">
        <f aca="false">Sens!I1679</f>
        <v>522.507151578115</v>
      </c>
      <c r="J1700" s="6" t="n">
        <f aca="false">Sens!J1679</f>
        <v>574.042168936174</v>
      </c>
      <c r="K1700" s="6" t="n">
        <f aca="false">Sens!K1679</f>
        <v>615.379874412209</v>
      </c>
    </row>
    <row r="1701" customFormat="false" ht="15" hidden="false" customHeight="false" outlineLevel="0" collapsed="false">
      <c r="A1701" s="0" t="s">
        <v>887</v>
      </c>
      <c r="B1701" s="0" t="s">
        <v>98</v>
      </c>
      <c r="D1701" s="6" t="n">
        <f aca="false">Sens!D1680</f>
        <v>22.171</v>
      </c>
      <c r="E1701" s="6" t="n">
        <f aca="false">Sens!E1680</f>
        <v>24.835</v>
      </c>
      <c r="F1701" s="6" t="n">
        <f aca="false">Sens!F1680</f>
        <v>27.6114901218559</v>
      </c>
      <c r="G1701" s="6" t="n">
        <f aca="false">Sens!G1680</f>
        <v>30.4675667338515</v>
      </c>
      <c r="H1701" s="6" t="n">
        <f aca="false">Sens!H1680</f>
        <v>33.3643766955789</v>
      </c>
      <c r="I1701" s="6" t="n">
        <f aca="false">Sens!I1680</f>
        <v>36.2577016533691</v>
      </c>
      <c r="J1701" s="6" t="n">
        <f aca="false">Sens!J1680</f>
        <v>39.0988367952171</v>
      </c>
      <c r="K1701" s="6" t="n">
        <f aca="false">Sens!K1680</f>
        <v>41.8357553708823</v>
      </c>
    </row>
    <row r="1702" customFormat="false" ht="15" hidden="false" customHeight="false" outlineLevel="0" collapsed="false">
      <c r="A1702" s="0" t="s">
        <v>888</v>
      </c>
      <c r="B1702" s="0" t="s">
        <v>98</v>
      </c>
      <c r="D1702" s="6" t="n">
        <f aca="false">Sens!D1682</f>
        <v>23.455</v>
      </c>
      <c r="E1702" s="6" t="n">
        <f aca="false">Sens!E1682</f>
        <v>21.79</v>
      </c>
      <c r="F1702" s="6" t="n">
        <f aca="false">Sens!F1682</f>
        <v>20.5736277908051</v>
      </c>
      <c r="G1702" s="6" t="n">
        <f aca="false">Sens!G1682</f>
        <v>19.7371452817919</v>
      </c>
      <c r="H1702" s="6" t="n">
        <f aca="false">Sens!H1682</f>
        <v>19.2339764043138</v>
      </c>
      <c r="I1702" s="6" t="n">
        <f aca="false">Sens!I1682</f>
        <v>19.0353086852681</v>
      </c>
      <c r="J1702" s="6" t="n">
        <f aca="false">Sens!J1682</f>
        <v>19.1273539319129</v>
      </c>
      <c r="K1702" s="6" t="n">
        <f aca="false">Sens!K1682</f>
        <v>19.5099010105511</v>
      </c>
    </row>
    <row r="1703" customFormat="false" ht="15" hidden="false" customHeight="false" outlineLevel="0" collapsed="false">
      <c r="A1703" s="0" t="s">
        <v>889</v>
      </c>
      <c r="B1703" s="0" t="s">
        <v>98</v>
      </c>
      <c r="D1703" s="6" t="n">
        <f aca="false">Sens!D1684</f>
        <v>17.315</v>
      </c>
      <c r="E1703" s="6" t="n">
        <f aca="false">Sens!E1684</f>
        <v>17.087</v>
      </c>
      <c r="F1703" s="6" t="n">
        <f aca="false">Sens!F1684</f>
        <v>16.9564585436519</v>
      </c>
      <c r="G1703" s="6" t="n">
        <f aca="false">Sens!G1684</f>
        <v>16.9206490624268</v>
      </c>
      <c r="H1703" s="6" t="n">
        <f aca="false">Sens!H1684</f>
        <v>16.9784519149849</v>
      </c>
      <c r="I1703" s="6" t="n">
        <f aca="false">Sens!I1684</f>
        <v>17.1303084701817</v>
      </c>
      <c r="J1703" s="6" t="n">
        <f aca="false">Sens!J1684</f>
        <v>17.3782189407267</v>
      </c>
      <c r="K1703" s="6" t="n">
        <f aca="false">Sens!K1684</f>
        <v>17.7257833195413</v>
      </c>
    </row>
    <row r="1704" customFormat="false" ht="15" hidden="false" customHeight="false" outlineLevel="0" collapsed="false">
      <c r="A1704" s="0" t="s">
        <v>729</v>
      </c>
      <c r="B1704" s="0" t="s">
        <v>98</v>
      </c>
      <c r="D1704" s="6" t="n">
        <f aca="false">Sens!D1686</f>
        <v>62.941</v>
      </c>
      <c r="E1704" s="6" t="n">
        <f aca="false">Sens!E1686</f>
        <v>63.712</v>
      </c>
      <c r="F1704" s="6" t="n">
        <f aca="false">Sens!F1686</f>
        <v>65.1415764563129</v>
      </c>
      <c r="G1704" s="6" t="n">
        <f aca="false">Sens!G1686</f>
        <v>67.1253610780702</v>
      </c>
      <c r="H1704" s="6" t="n">
        <f aca="false">Sens!H1686</f>
        <v>69.5768050148776</v>
      </c>
      <c r="I1704" s="6" t="n">
        <f aca="false">Sens!I1686</f>
        <v>72.4233188088189</v>
      </c>
      <c r="J1704" s="6" t="n">
        <f aca="false">Sens!J1686</f>
        <v>75.6044096678567</v>
      </c>
      <c r="K1704" s="6" t="n">
        <f aca="false">Sens!K1686</f>
        <v>79.0714397009747</v>
      </c>
    </row>
    <row r="1705" customFormat="false" ht="15" hidden="false" customHeight="false" outlineLevel="0" collapsed="false">
      <c r="A1705" s="1" t="s">
        <v>905</v>
      </c>
      <c r="B1705" s="0" t="s">
        <v>98</v>
      </c>
      <c r="D1705" s="6" t="n">
        <f aca="false">Sens!D1687</f>
        <v>281.724</v>
      </c>
      <c r="E1705" s="6" t="n">
        <f aca="false">Sens!E1687</f>
        <v>331.839</v>
      </c>
      <c r="F1705" s="6" t="n">
        <f aca="false">Sens!F1687</f>
        <v>401.104296229415</v>
      </c>
      <c r="G1705" s="6" t="n">
        <f aca="false">Sens!G1687</f>
        <v>467.667469341224</v>
      </c>
      <c r="H1705" s="6" t="n">
        <f aca="false">Sens!H1687</f>
        <v>529.567474226677</v>
      </c>
      <c r="I1705" s="6" t="n">
        <f aca="false">Sens!I1687</f>
        <v>594.930470386934</v>
      </c>
      <c r="J1705" s="6" t="n">
        <f aca="false">Sens!J1687</f>
        <v>649.646578604031</v>
      </c>
      <c r="K1705" s="6" t="n">
        <f aca="false">Sens!K1687</f>
        <v>694.451314113184</v>
      </c>
    </row>
    <row r="1706" customFormat="false" ht="15" hidden="false" customHeight="false" outlineLevel="0" collapsed="false">
      <c r="A1706" s="1" t="s">
        <v>906</v>
      </c>
      <c r="B1706" s="0" t="s">
        <v>129</v>
      </c>
      <c r="E1706" s="7" t="n">
        <f aca="false">Sens!E1705/Sens!D1705-1</f>
        <v>0.177886867998467</v>
      </c>
      <c r="F1706" s="7" t="n">
        <f aca="false">Sens!F1705/Sens!E1705-1</f>
        <v>0.208731632597177</v>
      </c>
      <c r="G1706" s="7" t="n">
        <f aca="false">Sens!G1705/Sens!F1705-1</f>
        <v>0.165949788465338</v>
      </c>
      <c r="H1706" s="7" t="n">
        <f aca="false">Sens!H1705/Sens!G1705-1</f>
        <v>0.132359013494455</v>
      </c>
      <c r="I1706" s="7" t="n">
        <f aca="false">Sens!I1705/Sens!H1705-1</f>
        <v>0.123427135051499</v>
      </c>
      <c r="J1706" s="7" t="n">
        <f aca="false">Sens!J1705/Sens!I1705-1</f>
        <v>0.0919705931039474</v>
      </c>
      <c r="K1706" s="7" t="n">
        <f aca="false">Sens!K1705/Sens!J1705-1</f>
        <v>0.0689678618879672</v>
      </c>
    </row>
    <row r="1707" customFormat="false" ht="17.15" hidden="false" customHeight="false" outlineLevel="0" collapsed="false">
      <c r="A1707" s="23" t="s">
        <v>907</v>
      </c>
      <c r="B1707" s="30" t="s">
        <v>98</v>
      </c>
      <c r="C1707" s="30"/>
      <c r="D1707" s="24" t="n">
        <f aca="false">(Sens!D1700+Sens!D1704-Sens!D1705)+(Sens!D1692+Sens!D1693-Sens!D1691)+(Sens!D1695+Sens!D1696-Sens!D1694)+(Sens!D1705-Q!L18)</f>
        <v>0</v>
      </c>
      <c r="E1707" s="24" t="n">
        <f aca="false">(Sens!E1700+Sens!E1704-Sens!E1705)+(Sens!E1692+Sens!E1693-Sens!E1691)+(Sens!E1695+Sens!E1696-Sens!E1694)+(Sens!E1705-Q!M18)</f>
        <v>0</v>
      </c>
      <c r="F1707" s="24" t="n">
        <f aca="false">(Sens!F1700+Sens!F1704-Sens!F1705)+(Sens!F1692+Sens!F1693-Sens!F1691)+(Sens!F1695+Sens!F1696-Sens!F1694)</f>
        <v>0</v>
      </c>
      <c r="G1707" s="24" t="n">
        <f aca="false">(Sens!G1700+Sens!G1704-Sens!G1705)+(Sens!G1692+Sens!G1693-Sens!G1691)+(Sens!G1695+Sens!G1696-Sens!G1694)</f>
        <v>0</v>
      </c>
      <c r="H1707" s="24" t="n">
        <f aca="false">(Sens!H1700+Sens!H1704-Sens!H1705)+(Sens!H1692+Sens!H1693-Sens!H1691)+(Sens!H1695+Sens!H1696-Sens!H1694)</f>
        <v>0</v>
      </c>
      <c r="I1707" s="24" t="n">
        <f aca="false">(Sens!I1700+Sens!I1704-Sens!I1705)+(Sens!I1692+Sens!I1693-Sens!I1691)+(Sens!I1695+Sens!I1696-Sens!I1694)</f>
        <v>0</v>
      </c>
      <c r="J1707" s="24" t="n">
        <f aca="false">(Sens!J1700+Sens!J1704-Sens!J1705)+(Sens!J1692+Sens!J1693-Sens!J1691)+(Sens!J1695+Sens!J1696-Sens!J1694)</f>
        <v>0</v>
      </c>
      <c r="K1707" s="24" t="n">
        <f aca="false">(Sens!K1700+Sens!K1704-Sens!K1705)+(Sens!K1692+Sens!K1693-Sens!K1691)+(Sens!K1695+Sens!K1696-Sens!K1694)</f>
        <v>0</v>
      </c>
    </row>
    <row r="1708" customFormat="false" ht="17.15" hidden="false" customHeight="false" outlineLevel="0" collapsed="false">
      <c r="A1708" s="0" t="s">
        <v>908</v>
      </c>
      <c r="B1708" s="0" t="s">
        <v>129</v>
      </c>
      <c r="E1708" s="7" t="n">
        <f aca="false">(Q!M21+Sens!E1645+Sens!E1646+Sens!E1647+Sens!E1660-Sens!E1643)/(Q!M5-Sens!E1643)</f>
        <v>0.570957350878296</v>
      </c>
      <c r="F1708" s="7" t="n">
        <f aca="false">Sens!$E$1708+dm_seg</f>
        <v>0.570957350878296</v>
      </c>
      <c r="G1708" s="7" t="n">
        <f aca="false">Sens!$E$1708+dm_seg</f>
        <v>0.570957350878296</v>
      </c>
      <c r="H1708" s="7" t="n">
        <f aca="false">Sens!$E$1708+dm_seg</f>
        <v>0.570957350878296</v>
      </c>
      <c r="I1708" s="7" t="n">
        <f aca="false">Sens!$E$1708+dm_seg</f>
        <v>0.570957350878296</v>
      </c>
      <c r="J1708" s="7" t="n">
        <f aca="false">Sens!$E$1708+dm_seg</f>
        <v>0.570957350878296</v>
      </c>
      <c r="K1708" s="7" t="n">
        <f aca="false">Sens!$E$1708+dm_seg</f>
        <v>0.570957350878296</v>
      </c>
      <c r="L1708" s="11" t="s">
        <v>909</v>
      </c>
    </row>
    <row r="1709" customFormat="false" ht="17.15" hidden="false" customHeight="false" outlineLevel="0" collapsed="false">
      <c r="A1709" s="0" t="s">
        <v>743</v>
      </c>
      <c r="B1709" s="0" t="s">
        <v>98</v>
      </c>
      <c r="D1709" s="6" t="n">
        <f aca="false">Q!L21</f>
        <v>110.814</v>
      </c>
      <c r="E1709" s="6" t="n">
        <f aca="false">Q!M21</f>
        <v>136.365</v>
      </c>
      <c r="F1709" s="6" t="n">
        <f aca="false">Sens!F1708*(Sens!F1679-Sens!F1643)+Sens!F1643-(Sens!F1645+Sens!F1646+Sens!F1647)-Sens!F1660-Sens!F1743</f>
        <v>159.78576180074</v>
      </c>
      <c r="G1709" s="6" t="n">
        <f aca="false">Sens!G1708*(Sens!G1679-Sens!G1643)+Sens!G1643-(Sens!G1645+Sens!G1646+Sens!G1647)-Sens!G1660-Sens!G1743</f>
        <v>172.203297719976</v>
      </c>
      <c r="H1709" s="6" t="n">
        <f aca="false">Sens!H1708*(Sens!H1679-Sens!H1643)+Sens!H1643-(Sens!H1645+Sens!H1646+Sens!H1647)-Sens!H1660-Sens!H1743</f>
        <v>177.532583885825</v>
      </c>
      <c r="I1709" s="6" t="n">
        <f aca="false">Sens!I1708*(Sens!I1679-Sens!I1643)+Sens!I1643-(Sens!I1645+Sens!I1646+Sens!I1647)-Sens!I1660-Sens!I1743</f>
        <v>191.098729772099</v>
      </c>
      <c r="J1709" s="6" t="n">
        <f aca="false">Sens!J1708*(Sens!J1679-Sens!J1643)+Sens!J1643-(Sens!J1645+Sens!J1646+Sens!J1647)-Sens!J1660-Sens!J1743</f>
        <v>204.863808966794</v>
      </c>
      <c r="K1709" s="6" t="n">
        <f aca="false">Sens!K1708*(Sens!K1679-Sens!K1643)+Sens!K1643-(Sens!K1645+Sens!K1646+Sens!K1647)-Sens!K1660-Sens!K1743</f>
        <v>219.035418356111</v>
      </c>
      <c r="L1709" s="1" t="s">
        <v>910</v>
      </c>
    </row>
    <row r="1710" customFormat="false" ht="17.15" hidden="false" customHeight="false" outlineLevel="0" collapsed="false">
      <c r="A1710" s="0" t="s">
        <v>911</v>
      </c>
      <c r="B1710" s="0" t="s">
        <v>129</v>
      </c>
      <c r="E1710" s="7" t="n">
        <f aca="false">Q!M22/Q!M12</f>
        <v>0.296207935710698</v>
      </c>
      <c r="F1710" s="7" t="n">
        <f aca="false">Sens!$E$1710+dm_seg</f>
        <v>0.296207935710698</v>
      </c>
      <c r="G1710" s="7" t="n">
        <f aca="false">Sens!$E$1710+dm_seg</f>
        <v>0.296207935710698</v>
      </c>
      <c r="H1710" s="7" t="n">
        <f aca="false">Sens!$E$1710+dm_seg</f>
        <v>0.296207935710698</v>
      </c>
      <c r="I1710" s="7" t="n">
        <f aca="false">Sens!$E$1710+dm_seg</f>
        <v>0.296207935710698</v>
      </c>
      <c r="J1710" s="7" t="n">
        <f aca="false">Sens!$E$1710+dm_seg</f>
        <v>0.296207935710698</v>
      </c>
      <c r="K1710" s="7" t="n">
        <f aca="false">Sens!$E$1710+dm_seg</f>
        <v>0.296207935710698</v>
      </c>
      <c r="L1710" s="11" t="s">
        <v>912</v>
      </c>
    </row>
    <row r="1711" customFormat="false" ht="17.15" hidden="false" customHeight="false" outlineLevel="0" collapsed="false">
      <c r="A1711" s="0" t="s">
        <v>745</v>
      </c>
      <c r="B1711" s="0" t="s">
        <v>98</v>
      </c>
      <c r="D1711" s="6" t="n">
        <f aca="false">Q!L22</f>
        <v>17.714</v>
      </c>
      <c r="E1711" s="6" t="n">
        <f aca="false">Q!M22</f>
        <v>18.872</v>
      </c>
      <c r="F1711" s="6" t="n">
        <f aca="false">Sens!F1686*Sens!F1710</f>
        <v>19.2954518910651</v>
      </c>
      <c r="G1711" s="6" t="n">
        <f aca="false">Sens!G1686*Sens!G1710</f>
        <v>19.8830646387704</v>
      </c>
      <c r="H1711" s="6" t="n">
        <f aca="false">Sens!H1686*Sens!H1710</f>
        <v>20.6092017868026</v>
      </c>
      <c r="I1711" s="6" t="n">
        <f aca="false">Sens!I1686*Sens!I1710</f>
        <v>21.452361761678</v>
      </c>
      <c r="J1711" s="6" t="n">
        <f aca="false">Sens!J1686*Sens!J1710</f>
        <v>22.3946261183418</v>
      </c>
      <c r="K1711" s="6" t="n">
        <f aca="false">Sens!K1686*Sens!K1710</f>
        <v>23.4215879274986</v>
      </c>
    </row>
    <row r="1712" customFormat="false" ht="15" hidden="false" customHeight="false" outlineLevel="0" collapsed="false">
      <c r="A1712" s="1" t="s">
        <v>913</v>
      </c>
      <c r="B1712" s="0" t="s">
        <v>98</v>
      </c>
      <c r="D1712" s="6" t="n">
        <f aca="false">Sens!D1709+Sens!D1711</f>
        <v>128.528</v>
      </c>
      <c r="E1712" s="6" t="n">
        <f aca="false">Sens!E1709+Sens!E1711</f>
        <v>155.237</v>
      </c>
      <c r="F1712" s="6" t="n">
        <f aca="false">Sens!F1709+Sens!F1711</f>
        <v>179.081213691805</v>
      </c>
      <c r="G1712" s="6" t="n">
        <f aca="false">Sens!G1709+Sens!G1711</f>
        <v>192.086362358747</v>
      </c>
      <c r="H1712" s="6" t="n">
        <f aca="false">Sens!H1709+Sens!H1711</f>
        <v>198.141785672627</v>
      </c>
      <c r="I1712" s="6" t="n">
        <f aca="false">Sens!I1709+Sens!I1711</f>
        <v>212.551091533777</v>
      </c>
      <c r="J1712" s="6" t="n">
        <f aca="false">Sens!J1709+Sens!J1711</f>
        <v>227.258435085136</v>
      </c>
      <c r="K1712" s="6" t="n">
        <f aca="false">Sens!K1709+Sens!K1711</f>
        <v>242.45700628361</v>
      </c>
    </row>
    <row r="1713" customFormat="false" ht="15" hidden="false" customHeight="false" outlineLevel="0" collapsed="false">
      <c r="A1713" s="23" t="s">
        <v>914</v>
      </c>
      <c r="B1713" s="30" t="s">
        <v>98</v>
      </c>
      <c r="C1713" s="30"/>
      <c r="D1713" s="24" t="n">
        <f aca="false">Sens!D1712-Q!L23</f>
        <v>0</v>
      </c>
      <c r="E1713" s="24" t="n">
        <f aca="false">Sens!E1712-Q!M23</f>
        <v>0</v>
      </c>
      <c r="F1713" s="30"/>
      <c r="G1713" s="30"/>
      <c r="H1713" s="30"/>
      <c r="I1713" s="30"/>
      <c r="J1713" s="30"/>
      <c r="K1713" s="30"/>
    </row>
    <row r="1714" customFormat="false" ht="15" hidden="false" customHeight="false" outlineLevel="0" collapsed="false">
      <c r="A1714" s="1" t="s">
        <v>915</v>
      </c>
      <c r="B1714" s="0" t="s">
        <v>129</v>
      </c>
      <c r="D1714" s="7" t="n">
        <f aca="false">Sens!D1712/Sens!D1705</f>
        <v>0.456219562408598</v>
      </c>
      <c r="E1714" s="7" t="n">
        <f aca="false">Sens!E1712/Sens!E1705</f>
        <v>0.467808184089272</v>
      </c>
      <c r="F1714" s="7" t="n">
        <f aca="false">Sens!F1712/Sens!F1705</f>
        <v>0.446470445156683</v>
      </c>
      <c r="G1714" s="7" t="n">
        <f aca="false">Sens!G1712/Sens!G1705</f>
        <v>0.410732785475388</v>
      </c>
      <c r="H1714" s="7" t="n">
        <f aca="false">Sens!H1712/Sens!H1705</f>
        <v>0.374157770852472</v>
      </c>
      <c r="I1714" s="7" t="n">
        <f aca="false">Sens!I1712/Sens!I1705</f>
        <v>0.35727047464141</v>
      </c>
      <c r="J1714" s="7" t="n">
        <f aca="false">Sens!J1712/Sens!J1705</f>
        <v>0.349818566848257</v>
      </c>
      <c r="K1714" s="7" t="n">
        <f aca="false">Sens!K1712/Sens!K1705</f>
        <v>0.349134635295821</v>
      </c>
    </row>
    <row r="1715" customFormat="false" ht="17.15" hidden="false" customHeight="false" outlineLevel="0" collapsed="false">
      <c r="A1715" s="1" t="s">
        <v>916</v>
      </c>
      <c r="B1715" s="0" t="s">
        <v>98</v>
      </c>
      <c r="F1715" s="6" t="n">
        <f aca="false">Sens!F1730</f>
        <v>10.1553565002727</v>
      </c>
      <c r="G1715" s="6" t="n">
        <f aca="false">Sens!G1730</f>
        <v>26.5039384396555</v>
      </c>
      <c r="H1715" s="6" t="n">
        <f aca="false">Sens!H1730</f>
        <v>44.38649932956</v>
      </c>
      <c r="I1715" s="6" t="n">
        <f aca="false">Sens!I1730</f>
        <v>60.5028524913745</v>
      </c>
      <c r="J1715" s="6" t="n">
        <f aca="false">Sens!J1730</f>
        <v>71.8788124586976</v>
      </c>
      <c r="K1715" s="6" t="n">
        <f aca="false">Sens!K1730</f>
        <v>78.7789222270768</v>
      </c>
      <c r="L1715" s="1" t="s">
        <v>917</v>
      </c>
    </row>
    <row r="1716" customFormat="false" ht="17.15" hidden="false" customHeight="false" outlineLevel="0" collapsed="false">
      <c r="A1716" s="1" t="s">
        <v>918</v>
      </c>
      <c r="B1716" s="0" t="s">
        <v>98</v>
      </c>
      <c r="D1716" s="6" t="n">
        <f aca="false">Sens!D1712</f>
        <v>128.528</v>
      </c>
      <c r="E1716" s="6" t="n">
        <f aca="false">Sens!E1712</f>
        <v>155.237</v>
      </c>
      <c r="F1716" s="6" t="n">
        <f aca="false">Sens!F1712+Sens!F1715</f>
        <v>189.236570192077</v>
      </c>
      <c r="G1716" s="6" t="n">
        <f aca="false">Sens!G1712+Sens!G1715</f>
        <v>218.590300798402</v>
      </c>
      <c r="H1716" s="6" t="n">
        <f aca="false">Sens!H1712+Sens!H1715</f>
        <v>242.528285002187</v>
      </c>
      <c r="I1716" s="6" t="n">
        <f aca="false">Sens!I1712+Sens!I1715</f>
        <v>273.053944025152</v>
      </c>
      <c r="J1716" s="6" t="n">
        <f aca="false">Sens!J1712+Sens!J1715</f>
        <v>299.137247543833</v>
      </c>
      <c r="K1716" s="6" t="n">
        <f aca="false">Sens!K1712+Sens!K1715</f>
        <v>321.235928510687</v>
      </c>
    </row>
    <row r="1717" customFormat="false" ht="17.15" hidden="false" customHeight="false" outlineLevel="0" collapsed="false">
      <c r="A1717" s="1" t="s">
        <v>919</v>
      </c>
      <c r="B1717" s="0" t="s">
        <v>98</v>
      </c>
      <c r="E1717" s="6" t="n">
        <f aca="false">Sens!E1660</f>
        <v>16.3054059770833</v>
      </c>
      <c r="F1717" s="6" t="n">
        <f aca="false">Sens!F1660</f>
        <v>34.0498873809555</v>
      </c>
      <c r="G1717" s="6" t="n">
        <f aca="false">Sens!G1660</f>
        <v>59.1254371105111</v>
      </c>
      <c r="H1717" s="6" t="n">
        <f aca="false">Sens!H1660</f>
        <v>86.3610198433111</v>
      </c>
      <c r="I1717" s="6" t="n">
        <f aca="false">Sens!I1660</f>
        <v>110.605743832393</v>
      </c>
      <c r="J1717" s="6" t="n">
        <f aca="false">Sens!J1660</f>
        <v>127.998322852843</v>
      </c>
      <c r="K1717" s="6" t="n">
        <f aca="false">Sens!K1660</f>
        <v>139.131464044308</v>
      </c>
    </row>
    <row r="1718" customFormat="false" ht="17.15" hidden="false" customHeight="false" outlineLevel="0" collapsed="false">
      <c r="A1718" s="1" t="s">
        <v>920</v>
      </c>
      <c r="B1718" s="0" t="s">
        <v>98</v>
      </c>
      <c r="E1718" s="6" t="n">
        <f aca="false">Sens!E1742</f>
        <v>22.2285940229167</v>
      </c>
      <c r="F1718" s="6" t="n">
        <f aca="false">Sens!F1742</f>
        <v>24.3924470334783</v>
      </c>
      <c r="G1718" s="6" t="n">
        <f aca="false">Sens!G1742</f>
        <v>26.0234916871694</v>
      </c>
      <c r="H1718" s="6" t="n">
        <f aca="false">Sens!H1742</f>
        <v>28.0272938828615</v>
      </c>
      <c r="I1718" s="6" t="n">
        <f aca="false">Sens!I1742</f>
        <v>30.3469045257397</v>
      </c>
      <c r="J1718" s="6" t="n">
        <f aca="false">Sens!J1742</f>
        <v>32.9078053982031</v>
      </c>
      <c r="K1718" s="6" t="n">
        <f aca="false">Sens!K1742</f>
        <v>35.6263951325822</v>
      </c>
    </row>
    <row r="1719" customFormat="false" ht="17.15" hidden="false" customHeight="false" outlineLevel="0" collapsed="false">
      <c r="A1719" s="1" t="s">
        <v>921</v>
      </c>
      <c r="B1719" s="0" t="s">
        <v>98</v>
      </c>
      <c r="D1719" s="6" t="n">
        <f aca="false">Q!L27</f>
        <v>-4.901</v>
      </c>
      <c r="E1719" s="6" t="n">
        <f aca="false">Q!M27</f>
        <v>10.697</v>
      </c>
      <c r="F1719" s="6" t="n">
        <f aca="false">oie_f</f>
        <v>-0.4</v>
      </c>
      <c r="G1719" s="6" t="n">
        <f aca="false">oie_f</f>
        <v>-0.4</v>
      </c>
      <c r="H1719" s="6" t="n">
        <f aca="false">oie_f</f>
        <v>-0.4</v>
      </c>
      <c r="I1719" s="6" t="n">
        <f aca="false">oie_f</f>
        <v>-0.4</v>
      </c>
      <c r="J1719" s="6" t="n">
        <f aca="false">oie_f</f>
        <v>-0.4</v>
      </c>
      <c r="K1719" s="6" t="n">
        <f aca="false">oie_f</f>
        <v>-0.4</v>
      </c>
      <c r="L1719" s="11" t="s">
        <v>922</v>
      </c>
    </row>
    <row r="1720" customFormat="false" ht="15" hidden="false" customHeight="false" outlineLevel="0" collapsed="false">
      <c r="A1720" s="1" t="s">
        <v>923</v>
      </c>
      <c r="B1720" s="0" t="s">
        <v>98</v>
      </c>
      <c r="D1720" s="6" t="n">
        <f aca="false">Sens!D1712+Sens!D1719</f>
        <v>123.627</v>
      </c>
      <c r="E1720" s="6" t="n">
        <f aca="false">Sens!E1712+Sens!E1719</f>
        <v>165.934</v>
      </c>
      <c r="F1720" s="6" t="n">
        <f aca="false">Sens!F1712+Sens!F1719</f>
        <v>178.681213691805</v>
      </c>
      <c r="G1720" s="6" t="n">
        <f aca="false">Sens!G1712+Sens!G1719</f>
        <v>191.686362358747</v>
      </c>
      <c r="H1720" s="6" t="n">
        <f aca="false">Sens!H1712+Sens!H1719</f>
        <v>197.741785672627</v>
      </c>
      <c r="I1720" s="6" t="n">
        <f aca="false">Sens!I1712+Sens!I1719</f>
        <v>212.151091533777</v>
      </c>
      <c r="J1720" s="6" t="n">
        <f aca="false">Sens!J1712+Sens!J1719</f>
        <v>226.858435085136</v>
      </c>
      <c r="K1720" s="6" t="n">
        <f aca="false">Sens!K1712+Sens!K1719</f>
        <v>242.05700628361</v>
      </c>
    </row>
    <row r="1721" customFormat="false" ht="15" hidden="false" customHeight="false" outlineLevel="0" collapsed="false">
      <c r="A1721" s="1" t="s">
        <v>924</v>
      </c>
      <c r="B1721" s="0" t="s">
        <v>98</v>
      </c>
      <c r="D1721" s="6" t="n">
        <f aca="false">Q!L29</f>
        <v>21.795</v>
      </c>
      <c r="E1721" s="6" t="n">
        <f aca="false">Q!M29</f>
        <v>32.185</v>
      </c>
      <c r="F1721" s="6" t="n">
        <f aca="false">Sens!F1720*tax_f</f>
        <v>35.736242738361</v>
      </c>
      <c r="G1721" s="6" t="n">
        <f aca="false">Sens!G1720*tax_f</f>
        <v>38.3372724717493</v>
      </c>
      <c r="H1721" s="6" t="n">
        <f aca="false">Sens!H1720*tax_f</f>
        <v>39.5483571345255</v>
      </c>
      <c r="I1721" s="6" t="n">
        <f aca="false">Sens!I1720*tax_f</f>
        <v>42.4302183067555</v>
      </c>
      <c r="J1721" s="6" t="n">
        <f aca="false">Sens!J1720*tax_f</f>
        <v>45.3716870170271</v>
      </c>
      <c r="K1721" s="6" t="n">
        <f aca="false">Sens!K1720*tax_f</f>
        <v>48.411401256722</v>
      </c>
    </row>
    <row r="1722" customFormat="false" ht="15" hidden="false" customHeight="false" outlineLevel="0" collapsed="false">
      <c r="A1722" s="1" t="s">
        <v>925</v>
      </c>
      <c r="B1722" s="0" t="s">
        <v>98</v>
      </c>
      <c r="D1722" s="6" t="n">
        <f aca="false">Sens!D1720-Sens!D1721</f>
        <v>101.832</v>
      </c>
      <c r="E1722" s="6" t="n">
        <f aca="false">Sens!E1720-Sens!E1721</f>
        <v>133.749</v>
      </c>
      <c r="F1722" s="6" t="n">
        <f aca="false">Sens!F1720-Sens!F1721</f>
        <v>142.944970953444</v>
      </c>
      <c r="G1722" s="6" t="n">
        <f aca="false">Sens!G1720-Sens!G1721</f>
        <v>153.349089886997</v>
      </c>
      <c r="H1722" s="6" t="n">
        <f aca="false">Sens!H1720-Sens!H1721</f>
        <v>158.193428538102</v>
      </c>
      <c r="I1722" s="6" t="n">
        <f aca="false">Sens!I1720-Sens!I1721</f>
        <v>169.720873227022</v>
      </c>
      <c r="J1722" s="6" t="n">
        <f aca="false">Sens!J1720-Sens!J1721</f>
        <v>181.486748068108</v>
      </c>
      <c r="K1722" s="6" t="n">
        <f aca="false">Sens!K1720-Sens!K1721</f>
        <v>193.645605026888</v>
      </c>
    </row>
    <row r="1723" customFormat="false" ht="17.15" hidden="false" customHeight="false" outlineLevel="0" collapsed="false">
      <c r="A1723" s="1" t="s">
        <v>926</v>
      </c>
      <c r="B1723" s="1" t="s">
        <v>81</v>
      </c>
      <c r="D1723" s="14" t="n">
        <f aca="false">Q!L31</f>
        <v>7.465</v>
      </c>
      <c r="E1723" s="14" t="n">
        <f aca="false">Q!M31</f>
        <v>7.453</v>
      </c>
      <c r="F1723" s="14" t="n">
        <f aca="false">Sens!F1766</f>
        <v>7.4735</v>
      </c>
      <c r="G1723" s="14" t="n">
        <f aca="false">Sens!G1766</f>
        <v>7.5185</v>
      </c>
      <c r="H1723" s="14" t="n">
        <f aca="false">Sens!H1766</f>
        <v>7.54923347381178</v>
      </c>
      <c r="I1723" s="14" t="n">
        <f aca="false">Sens!I1766</f>
        <v>7.56399619378093</v>
      </c>
      <c r="J1723" s="14" t="n">
        <f aca="false">Sens!J1766</f>
        <v>7.57823770489881</v>
      </c>
      <c r="K1723" s="14" t="n">
        <f aca="false">Sens!K1766</f>
        <v>7.59475762260055</v>
      </c>
    </row>
    <row r="1724" customFormat="false" ht="17.15" hidden="false" customHeight="false" outlineLevel="0" collapsed="false">
      <c r="A1724" s="0" t="s">
        <v>927</v>
      </c>
      <c r="B1724" s="0" t="s">
        <v>75</v>
      </c>
      <c r="D1724" s="8" t="n">
        <f aca="false">Sens!D1722/Sens!D1723</f>
        <v>13.641259209645</v>
      </c>
      <c r="E1724" s="8" t="n">
        <f aca="false">Sens!E1722/Sens!E1723</f>
        <v>17.9456594659869</v>
      </c>
      <c r="F1724" s="8" t="n">
        <f aca="false">Sens!F1722/Sens!F1723</f>
        <v>19.1269112134132</v>
      </c>
      <c r="G1724" s="8" t="n">
        <f aca="false">Sens!G1722/Sens!G1723</f>
        <v>20.3962346062376</v>
      </c>
      <c r="H1724" s="8" t="n">
        <f aca="false">Sens!H1722/Sens!H1723</f>
        <v>20.9548994724926</v>
      </c>
      <c r="I1724" s="8" t="n">
        <f aca="false">Sens!I1722/Sens!I1723</f>
        <v>22.4379903002285</v>
      </c>
      <c r="J1724" s="8" t="n">
        <f aca="false">Sens!J1722/Sens!J1723</f>
        <v>23.9484105850612</v>
      </c>
      <c r="K1724" s="8" t="n">
        <f aca="false">Sens!K1722/Sens!K1723</f>
        <v>25.4972725463464</v>
      </c>
      <c r="L1724" s="1" t="s">
        <v>928</v>
      </c>
    </row>
    <row r="1725" customFormat="false" ht="17.15" hidden="false" customHeight="false" outlineLevel="0" collapsed="false">
      <c r="A1725" s="1" t="s">
        <v>929</v>
      </c>
      <c r="B1725" s="0" t="s">
        <v>98</v>
      </c>
      <c r="D1725" s="6" t="n">
        <f aca="false">Sens!D1722</f>
        <v>101.832</v>
      </c>
      <c r="E1725" s="6" t="n">
        <f aca="false">Sens!E1722</f>
        <v>133.749</v>
      </c>
      <c r="F1725" s="6" t="n">
        <f aca="false">Sens!F1722+Sens!F1715*(1-tax_f)</f>
        <v>151.069256153662</v>
      </c>
      <c r="G1725" s="6" t="n">
        <f aca="false">Sens!G1722+Sens!G1715*(1-tax_f)</f>
        <v>174.552240638722</v>
      </c>
      <c r="H1725" s="6" t="n">
        <f aca="false">Sens!H1722+Sens!H1715*(1-tax_f)</f>
        <v>193.70262800175</v>
      </c>
      <c r="I1725" s="6" t="n">
        <f aca="false">Sens!I1722+Sens!I1715*(1-tax_f)</f>
        <v>218.123155220121</v>
      </c>
      <c r="J1725" s="6" t="n">
        <f aca="false">Sens!J1722+Sens!J1715*(1-tax_f)</f>
        <v>238.989798035067</v>
      </c>
      <c r="K1725" s="6" t="n">
        <f aca="false">Sens!K1722+Sens!K1715*(1-tax_f)</f>
        <v>256.668742808549</v>
      </c>
    </row>
    <row r="1726" customFormat="false" ht="17.15" hidden="false" customHeight="false" outlineLevel="0" collapsed="false">
      <c r="A1726" s="0" t="s">
        <v>930</v>
      </c>
      <c r="B1726" s="0" t="s">
        <v>75</v>
      </c>
      <c r="D1726" s="8" t="n">
        <f aca="false">Sens!D1725/Sens!D1723</f>
        <v>13.641259209645</v>
      </c>
      <c r="E1726" s="8" t="n">
        <f aca="false">Sens!E1725/Sens!E1723</f>
        <v>17.9456594659869</v>
      </c>
      <c r="F1726" s="8" t="n">
        <f aca="false">Sens!F1725/Sens!F1723</f>
        <v>20.2139902527145</v>
      </c>
      <c r="G1726" s="8" t="n">
        <f aca="false">Sens!G1725/Sens!G1723</f>
        <v>23.2163650513695</v>
      </c>
      <c r="H1726" s="8" t="n">
        <f aca="false">Sens!H1725/Sens!H1723</f>
        <v>25.6585822486087</v>
      </c>
      <c r="I1726" s="8" t="n">
        <f aca="false">Sens!I1725/Sens!I1723</f>
        <v>28.837026041798</v>
      </c>
      <c r="J1726" s="8" t="n">
        <f aca="false">Sens!J1725/Sens!J1723</f>
        <v>31.5363290703558</v>
      </c>
      <c r="K1726" s="8" t="n">
        <f aca="false">Sens!K1725/Sens!K1723</f>
        <v>33.7955146909168</v>
      </c>
      <c r="L1726" s="1" t="s">
        <v>931</v>
      </c>
    </row>
    <row r="1727" customFormat="false" ht="17.15" hidden="false" customHeight="false" outlineLevel="0" collapsed="false">
      <c r="A1727" s="0" t="s">
        <v>932</v>
      </c>
      <c r="B1727" s="0" t="s">
        <v>129</v>
      </c>
      <c r="E1727" s="7" t="n">
        <f aca="false">Sens!E1726/Sens!D1726-1</f>
        <v>0.315542736208578</v>
      </c>
      <c r="F1727" s="7" t="n">
        <f aca="false">Sens!F1726/Sens!E1726-1</f>
        <v>0.12639996825009</v>
      </c>
      <c r="G1727" s="7" t="n">
        <f aca="false">Sens!G1726/Sens!F1726-1</f>
        <v>0.148529546176654</v>
      </c>
      <c r="H1727" s="7" t="n">
        <f aca="false">Sens!H1726/Sens!G1726-1</f>
        <v>0.105193779983881</v>
      </c>
      <c r="I1727" s="7" t="n">
        <f aca="false">Sens!I1726/Sens!H1726-1</f>
        <v>0.123874490117691</v>
      </c>
      <c r="J1727" s="7" t="n">
        <f aca="false">Sens!J1726/Sens!I1726-1</f>
        <v>0.0936054579499723</v>
      </c>
      <c r="K1727" s="7" t="n">
        <f aca="false">Sens!K1726/Sens!J1726-1</f>
        <v>0.0716375585605071</v>
      </c>
    </row>
    <row r="1728" customFormat="false" ht="17.15" hidden="false" customHeight="false" outlineLevel="0" collapsed="false">
      <c r="A1728" s="0" t="s">
        <v>856</v>
      </c>
      <c r="B1728" s="0" t="s">
        <v>98</v>
      </c>
      <c r="E1728" s="6" t="n">
        <f aca="false">Sens!E1669</f>
        <v>5.25</v>
      </c>
      <c r="F1728" s="6" t="n">
        <f aca="false">Sens!F1669</f>
        <v>10.5</v>
      </c>
      <c r="G1728" s="6" t="n">
        <f aca="false">Sens!G1669</f>
        <v>13.5</v>
      </c>
      <c r="H1728" s="6" t="n">
        <f aca="false">Sens!H1669</f>
        <v>16.5</v>
      </c>
      <c r="I1728" s="6" t="n">
        <f aca="false">Sens!I1669</f>
        <v>18.75</v>
      </c>
      <c r="J1728" s="6" t="n">
        <f aca="false">Sens!J1669</f>
        <v>20.25</v>
      </c>
      <c r="K1728" s="6" t="n">
        <f aca="false">Sens!K1669</f>
        <v>21.75</v>
      </c>
    </row>
    <row r="1729" customFormat="false" ht="17.15" hidden="false" customHeight="false" outlineLevel="0" collapsed="false">
      <c r="A1729" s="1" t="s">
        <v>857</v>
      </c>
      <c r="B1729" s="0" t="s">
        <v>98</v>
      </c>
      <c r="F1729" s="6" t="n">
        <f aca="false">MAX(0,((Sens!E1632+Sens!F1632)/2-(shadow_base*(Sens!$D$1632+Sens!$E$1632)/2+(1-shadow_base)*Sens!$E$1632))*Sens!F1640/1000-(Sens!F1728-Sens!$E$1728)*Sens!F1708)</f>
        <v>10.1553565002727</v>
      </c>
      <c r="G1729" s="6" t="n">
        <f aca="false">MAX(0,((Sens!F1632+Sens!G1632)/2-(shadow_base*(Sens!$D$1632+Sens!$E$1632)/2+(1-shadow_base)*Sens!$E$1632))*Sens!G1640/1000-(Sens!G1728-Sens!$E$1728)*Sens!G1708)</f>
        <v>26.5039384396555</v>
      </c>
      <c r="H1729" s="6" t="n">
        <f aca="false">MAX(0,((Sens!G1632+Sens!H1632)/2-(shadow_base*(Sens!$D$1632+Sens!$E$1632)/2+(1-shadow_base)*Sens!$E$1632))*Sens!H1640/1000-(Sens!H1728-Sens!$E$1728)*Sens!H1708)</f>
        <v>44.38649932956</v>
      </c>
      <c r="I1729" s="6" t="n">
        <f aca="false">MAX(0,((Sens!H1632+Sens!I1632)/2-(shadow_base*(Sens!$D$1632+Sens!$E$1632)/2+(1-shadow_base)*Sens!$E$1632))*Sens!I1640/1000-(Sens!I1728-Sens!$E$1728)*Sens!I1708)</f>
        <v>60.5028524913745</v>
      </c>
      <c r="J1729" s="6" t="n">
        <f aca="false">MAX(0,((Sens!I1632+Sens!J1632)/2-(shadow_base*(Sens!$D$1632+Sens!$E$1632)/2+(1-shadow_base)*Sens!$E$1632))*Sens!J1640/1000-(Sens!J1728-Sens!$E$1728)*Sens!J1708)</f>
        <v>71.8788124586976</v>
      </c>
      <c r="K1729" s="6" t="n">
        <f aca="false">MAX(0,((Sens!J1632+Sens!K1632)/2-(shadow_base*(Sens!$D$1632+Sens!$E$1632)/2+(1-shadow_base)*Sens!$E$1632))*Sens!K1640/1000-(Sens!K1728-Sens!$E$1728)*Sens!K1708)</f>
        <v>78.7789222270768</v>
      </c>
      <c r="L1729" s="1" t="s">
        <v>858</v>
      </c>
    </row>
    <row r="1730" customFormat="false" ht="17.15" hidden="false" customHeight="false" outlineLevel="0" collapsed="false">
      <c r="A1730" s="1" t="s">
        <v>859</v>
      </c>
      <c r="B1730" s="0" t="s">
        <v>98</v>
      </c>
      <c r="F1730" s="6" t="n">
        <f aca="false">IF(internal_ai_reading=2,1,0)*Sens!F1729</f>
        <v>10.1553565002727</v>
      </c>
      <c r="G1730" s="6" t="n">
        <f aca="false">IF(internal_ai_reading=2,1,0)*Sens!G1729</f>
        <v>26.5039384396555</v>
      </c>
      <c r="H1730" s="6" t="n">
        <f aca="false">IF(internal_ai_reading=2,1,0)*Sens!H1729</f>
        <v>44.38649932956</v>
      </c>
      <c r="I1730" s="6" t="n">
        <f aca="false">IF(internal_ai_reading=2,1,0)*Sens!I1729</f>
        <v>60.5028524913745</v>
      </c>
      <c r="J1730" s="6" t="n">
        <f aca="false">IF(internal_ai_reading=2,1,0)*Sens!J1729</f>
        <v>71.8788124586976</v>
      </c>
      <c r="K1730" s="6" t="n">
        <f aca="false">IF(internal_ai_reading=2,1,0)*Sens!K1729</f>
        <v>78.7789222270768</v>
      </c>
    </row>
    <row r="1731" customFormat="false" ht="17.15" hidden="false" customHeight="false" outlineLevel="0" collapsed="false">
      <c r="A1731" s="0" t="s">
        <v>860</v>
      </c>
      <c r="B1731" s="0" t="s">
        <v>98</v>
      </c>
      <c r="F1731" s="6" t="n">
        <f aca="false">Sens!F1649+Sens!F1728*Sens!F1708+Sens!F1730-Sens!F1650-Sens!F1660</f>
        <v>18.2242230238174</v>
      </c>
      <c r="G1731" s="6" t="n">
        <f aca="false">Sens!G1649+Sens!G1728*Sens!G1708+Sens!G1730-Sens!G1650-Sens!G1660</f>
        <v>27.8245341530035</v>
      </c>
      <c r="H1731" s="6" t="n">
        <f aca="false">Sens!H1649+Sens!H1728*Sens!H1708+Sens!H1730-Sens!H1650-Sens!H1660</f>
        <v>31.6968634653642</v>
      </c>
      <c r="I1731" s="6" t="n">
        <f aca="false">Sens!I1649+Sens!I1728*Sens!I1708+Sens!I1730-Sens!I1650-Sens!I1660</f>
        <v>42.5354311252298</v>
      </c>
      <c r="J1731" s="6" t="n">
        <f aca="false">Sens!J1649+Sens!J1728*Sens!J1708+Sens!J1730-Sens!J1650-Sens!J1660</f>
        <v>50.0781711192951</v>
      </c>
      <c r="K1731" s="6" t="n">
        <f aca="false">Sens!K1649+Sens!K1728*Sens!K1708+Sens!K1730-Sens!K1650-Sens!K1660</f>
        <v>55.5732362198736</v>
      </c>
    </row>
    <row r="1732" customFormat="false" ht="17.15" hidden="false" customHeight="false" outlineLevel="0" collapsed="false">
      <c r="A1732" s="0" t="s">
        <v>861</v>
      </c>
      <c r="B1732" s="0" t="s">
        <v>98</v>
      </c>
      <c r="E1732" s="6" t="n">
        <f aca="false">Sens!E1631*(cxit_open+self_build*tk_cxfac)/1000*ai_net_open</f>
        <v>126.6980382</v>
      </c>
      <c r="F1732" s="6" t="n">
        <f aca="false">Sens!E1732+Sens!F1657-Sens!F1660</f>
        <v>252.981026690511</v>
      </c>
      <c r="G1732" s="6" t="n">
        <f aca="false">Sens!F1732+Sens!G1657-Sens!G1660</f>
        <v>377.4297700632</v>
      </c>
      <c r="H1732" s="6" t="n">
        <f aca="false">Sens!G1732+Sens!H1657-Sens!H1660</f>
        <v>479.149036130289</v>
      </c>
      <c r="I1732" s="6" t="n">
        <f aca="false">Sens!H1732+Sens!I1657-Sens!I1660</f>
        <v>532.249961452141</v>
      </c>
      <c r="J1732" s="6" t="n">
        <f aca="false">Sens!I1732+Sens!J1657-Sens!J1660</f>
        <v>531.43307519354</v>
      </c>
      <c r="K1732" s="6" t="n">
        <f aca="false">Sens!J1732+Sens!K1657-Sens!K1660</f>
        <v>513.709026452823</v>
      </c>
      <c r="L1732" s="1" t="s">
        <v>862</v>
      </c>
    </row>
    <row r="1733" customFormat="false" ht="17.15" hidden="false" customHeight="false" outlineLevel="0" collapsed="false">
      <c r="A1733" s="0" t="s">
        <v>863</v>
      </c>
      <c r="B1733" s="0" t="s">
        <v>129</v>
      </c>
      <c r="F1733" s="7" t="n">
        <f aca="false">Sens!F1731*(1-tax_f)/((Sens!E1732+Sens!F1732)/2)</f>
        <v>0.0767984319770605</v>
      </c>
      <c r="G1733" s="7" t="n">
        <f aca="false">Sens!G1731*(1-tax_f)/((Sens!F1732+Sens!G1732)/2)</f>
        <v>0.070619435571308</v>
      </c>
      <c r="H1733" s="7" t="n">
        <f aca="false">Sens!H1731*(1-tax_f)/((Sens!G1732+Sens!H1732)/2)</f>
        <v>0.0592064398253707</v>
      </c>
      <c r="I1733" s="7" t="n">
        <f aca="false">Sens!I1731*(1-tax_f)/((Sens!H1732+Sens!I1732)/2)</f>
        <v>0.0672896551836071</v>
      </c>
      <c r="J1733" s="7" t="n">
        <f aca="false">Sens!J1731*(1-tax_f)/((Sens!I1732+Sens!J1732)/2)</f>
        <v>0.0753279605205947</v>
      </c>
      <c r="K1733" s="7" t="n">
        <f aca="false">Sens!K1731*(1-tax_f)/((Sens!J1732+Sens!K1732)/2)</f>
        <v>0.0850766396375486</v>
      </c>
    </row>
    <row r="1734" customFormat="false" ht="17.15" hidden="false" customHeight="false" outlineLevel="0" collapsed="false">
      <c r="A1734" s="1" t="s">
        <v>864</v>
      </c>
      <c r="B1734" s="0" t="s">
        <v>129</v>
      </c>
      <c r="F1734" s="7" t="n">
        <f aca="false">(Sens!F1731-Sens!F1730)*(1-tax_f)/((Sens!E1732+Sens!F1732)/2)</f>
        <v>0.0340028925255452</v>
      </c>
      <c r="G1734" s="7" t="n">
        <f aca="false">(Sens!G1731-Sens!G1730)*(1-tax_f)/((Sens!F1732+Sens!G1732)/2)</f>
        <v>0.00335170836577909</v>
      </c>
      <c r="H1734" s="7" t="n">
        <f aca="false">(Sens!H1731-Sens!H1730)*(1-tax_f)/((Sens!G1732+Sens!H1732)/2)</f>
        <v>-0.0237029182089372</v>
      </c>
      <c r="I1734" s="7" t="n">
        <f aca="false">(Sens!I1731-Sens!I1730)*(1-tax_f)/((Sens!H1732+Sens!I1732)/2)</f>
        <v>-0.0284238705541021</v>
      </c>
      <c r="J1734" s="7" t="n">
        <f aca="false">(Sens!J1731-Sens!J1730)*(1-tax_f)/((Sens!I1732+Sens!J1732)/2)</f>
        <v>-0.0327926881799686</v>
      </c>
      <c r="K1734" s="7" t="n">
        <f aca="false">(Sens!K1731-Sens!K1730)*(1-tax_f)/((Sens!J1732+Sens!K1732)/2)</f>
        <v>-0.0355254061175388</v>
      </c>
    </row>
    <row r="1735" customFormat="false" ht="17.15" hidden="false" customHeight="false" outlineLevel="0" collapsed="false">
      <c r="A1735" s="1" t="s">
        <v>865</v>
      </c>
      <c r="B1735" s="0" t="s">
        <v>129</v>
      </c>
      <c r="F1735" s="7" t="n">
        <f aca="false">(Sens!F1731-Sens!F1730+Sens!F1729)*(1-tax_f)/((Sens!E1732+Sens!F1732)/2)</f>
        <v>0.0767984319770605</v>
      </c>
      <c r="G1735" s="7" t="n">
        <f aca="false">(Sens!G1731-Sens!G1730+Sens!G1729)*(1-tax_f)/((Sens!F1732+Sens!G1732)/2)</f>
        <v>0.070619435571308</v>
      </c>
      <c r="H1735" s="7" t="n">
        <f aca="false">(Sens!H1731-Sens!H1730+Sens!H1729)*(1-tax_f)/((Sens!G1732+Sens!H1732)/2)</f>
        <v>0.0592064398253707</v>
      </c>
      <c r="I1735" s="7" t="n">
        <f aca="false">(Sens!I1731-Sens!I1730+Sens!I1729)*(1-tax_f)/((Sens!H1732+Sens!I1732)/2)</f>
        <v>0.0672896551836071</v>
      </c>
      <c r="J1735" s="7" t="n">
        <f aca="false">(Sens!J1731-Sens!J1730+Sens!J1729)*(1-tax_f)/((Sens!I1732+Sens!J1732)/2)</f>
        <v>0.0753279605205947</v>
      </c>
      <c r="K1735" s="7" t="n">
        <f aca="false">(Sens!K1731-Sens!K1730+Sens!K1729)*(1-tax_f)/((Sens!J1732+Sens!K1732)/2)</f>
        <v>0.0850766396375486</v>
      </c>
    </row>
    <row r="1736" customFormat="false" ht="17.15" hidden="false" customHeight="false" outlineLevel="0" collapsed="false">
      <c r="A1736" s="1" t="s">
        <v>866</v>
      </c>
      <c r="B1736" s="0" t="s">
        <v>129</v>
      </c>
      <c r="F1736" s="7" t="n">
        <f aca="false">Sens!F1661*(1-tax_f)/(Sens!F1648*(Sens!E1732+Sens!F1732)/2)</f>
        <v>0.15610868509785</v>
      </c>
      <c r="G1736" s="7" t="n">
        <f aca="false">Sens!G1661*(1-tax_f)/(Sens!G1648*(Sens!F1732+Sens!G1732)/2)</f>
        <v>0.118642119876079</v>
      </c>
      <c r="H1736" s="7" t="n">
        <f aca="false">Sens!H1661*(1-tax_f)/(Sens!H1648*(Sens!G1732+Sens!H1732)/2)</f>
        <v>0.0862264505740923</v>
      </c>
      <c r="I1736" s="7" t="n">
        <f aca="false">Sens!I1661*(1-tax_f)/(Sens!I1648*(Sens!H1732+Sens!I1732)/2)</f>
        <v>0.0915241264891283</v>
      </c>
      <c r="J1736" s="7" t="n">
        <f aca="false">Sens!J1661*(1-tax_f)/(Sens!J1648*(Sens!I1732+Sens!J1732)/2)</f>
        <v>0.0993456579953129</v>
      </c>
      <c r="K1736" s="7" t="n">
        <f aca="false">Sens!K1661*(1-tax_f)/(Sens!K1648*(Sens!J1732+Sens!K1732)/2)</f>
        <v>0.110559588653014</v>
      </c>
    </row>
    <row r="1737" customFormat="false" ht="17.15" hidden="false" customHeight="false" outlineLevel="0" collapsed="false">
      <c r="A1737" s="0" t="s">
        <v>867</v>
      </c>
      <c r="B1737" s="0" t="s">
        <v>209</v>
      </c>
      <c r="F1737" s="7" t="n">
        <f aca="false">Sens!F1733-wacc</f>
        <v>-0.0261359881158152</v>
      </c>
      <c r="G1737" s="7" t="n">
        <f aca="false">Sens!G1733-wacc</f>
        <v>-0.0323149845215677</v>
      </c>
      <c r="H1737" s="7" t="n">
        <f aca="false">Sens!H1733-wacc</f>
        <v>-0.043727980267505</v>
      </c>
      <c r="I1737" s="7" t="n">
        <f aca="false">Sens!I1733-wacc</f>
        <v>-0.0356447649092686</v>
      </c>
      <c r="J1737" s="7" t="n">
        <f aca="false">Sens!J1733-wacc</f>
        <v>-0.0276064595722811</v>
      </c>
      <c r="K1737" s="7" t="n">
        <f aca="false">Sens!K1733-wacc</f>
        <v>-0.0178577804553272</v>
      </c>
    </row>
    <row r="1738" customFormat="false" ht="17.15" hidden="false" customHeight="false" outlineLevel="0" collapsed="false">
      <c r="A1738" s="0" t="s">
        <v>868</v>
      </c>
      <c r="B1738" s="0" t="s">
        <v>98</v>
      </c>
      <c r="F1738" s="6" t="n">
        <f aca="false">Sens!F1731*(1-tax_f)-wacc*(Sens!E1732+Sens!F1732)/2</f>
        <v>-4.96164376390112</v>
      </c>
      <c r="G1738" s="6" t="n">
        <f aca="false">Sens!G1731*(1-tax_f)-wacc*(Sens!F1732+Sens!G1732)/2</f>
        <v>-10.1858575696627</v>
      </c>
      <c r="H1738" s="6" t="n">
        <f aca="false">Sens!H1731*(1-tax_f)-wacc*(Sens!G1732+Sens!H1732)/2</f>
        <v>-18.7282305673959</v>
      </c>
      <c r="I1738" s="6" t="n">
        <f aca="false">Sens!I1731*(1-tax_f)-wacc*(Sens!H1732+Sens!I1732)/2</f>
        <v>-18.0255397491478</v>
      </c>
      <c r="J1738" s="6" t="n">
        <f aca="false">Sens!J1731*(1-tax_f)-wacc*(Sens!I1732+Sens!J1732)/2</f>
        <v>-14.6822613744401</v>
      </c>
      <c r="K1738" s="6" t="n">
        <f aca="false">Sens!K1731*(1-tax_f)-wacc*(Sens!J1732+Sens!K1732)/2</f>
        <v>-9.33195909790999</v>
      </c>
    </row>
    <row r="1739" customFormat="false" ht="17.15" hidden="false" customHeight="false" outlineLevel="0" collapsed="false">
      <c r="A1739" s="3" t="s">
        <v>1305</v>
      </c>
    </row>
    <row r="1740" customFormat="false" ht="15" hidden="false" customHeight="false" outlineLevel="0" collapsed="false">
      <c r="A1740" s="4" t="s">
        <v>43</v>
      </c>
      <c r="B1740" s="4" t="s">
        <v>65</v>
      </c>
      <c r="C1740" s="20" t="s">
        <v>799</v>
      </c>
      <c r="D1740" s="20" t="s">
        <v>800</v>
      </c>
      <c r="E1740" s="20" t="s">
        <v>801</v>
      </c>
      <c r="F1740" s="20" t="s">
        <v>802</v>
      </c>
      <c r="G1740" s="20" t="s">
        <v>803</v>
      </c>
      <c r="H1740" s="20" t="s">
        <v>804</v>
      </c>
      <c r="I1740" s="20" t="s">
        <v>805</v>
      </c>
      <c r="J1740" s="20" t="s">
        <v>806</v>
      </c>
      <c r="K1740" s="20" t="s">
        <v>807</v>
      </c>
      <c r="L1740" s="4" t="s">
        <v>47</v>
      </c>
    </row>
    <row r="1741" customFormat="false" ht="15" hidden="false" customHeight="false" outlineLevel="0" collapsed="false">
      <c r="A1741" s="1" t="s">
        <v>925</v>
      </c>
      <c r="B1741" s="0" t="s">
        <v>98</v>
      </c>
      <c r="F1741" s="6" t="n">
        <f aca="false">Sens!F1722</f>
        <v>142.944970953444</v>
      </c>
      <c r="G1741" s="6" t="n">
        <f aca="false">Sens!G1722</f>
        <v>153.349089886997</v>
      </c>
      <c r="H1741" s="6" t="n">
        <f aca="false">Sens!H1722</f>
        <v>158.193428538102</v>
      </c>
      <c r="I1741" s="6" t="n">
        <f aca="false">Sens!I1722</f>
        <v>169.720873227022</v>
      </c>
      <c r="J1741" s="6" t="n">
        <f aca="false">Sens!J1722</f>
        <v>181.486748068108</v>
      </c>
      <c r="K1741" s="6" t="n">
        <f aca="false">Sens!K1722</f>
        <v>193.645605026888</v>
      </c>
    </row>
    <row r="1742" customFormat="false" ht="17.15" hidden="false" customHeight="false" outlineLevel="0" collapsed="false">
      <c r="A1742" s="1" t="s">
        <v>947</v>
      </c>
      <c r="B1742" s="0" t="s">
        <v>98</v>
      </c>
      <c r="E1742" s="6" t="n">
        <f aca="false">Q!M38-Sens!E1660</f>
        <v>22.2285940229167</v>
      </c>
      <c r="F1742" s="6" t="n">
        <f aca="false">Sens!E1742*(1-1/life_nonai)+(Sens!F1749+Sens!F1750)/life_nonai</f>
        <v>24.3924470334783</v>
      </c>
      <c r="G1742" s="6" t="n">
        <f aca="false">Sens!F1742*(1-1/life_nonai)+(Sens!G1749)/life_nonai</f>
        <v>26.0234916871694</v>
      </c>
      <c r="H1742" s="6" t="n">
        <f aca="false">Sens!G1742*(1-1/life_nonai)+(Sens!H1749)/life_nonai</f>
        <v>28.0272938828615</v>
      </c>
      <c r="I1742" s="6" t="n">
        <f aca="false">Sens!H1742*(1-1/life_nonai)+(Sens!I1749)/life_nonai</f>
        <v>30.3469045257397</v>
      </c>
      <c r="J1742" s="6" t="n">
        <f aca="false">Sens!I1742*(1-1/life_nonai)+(Sens!J1749)/life_nonai</f>
        <v>32.9078053982031</v>
      </c>
      <c r="K1742" s="6" t="n">
        <f aca="false">Sens!J1742*(1-1/life_nonai)+(Sens!K1749)/life_nonai</f>
        <v>35.6263951325822</v>
      </c>
      <c r="L1742" s="11" t="s">
        <v>948</v>
      </c>
    </row>
    <row r="1743" customFormat="false" ht="17.15" hidden="false" customHeight="false" outlineLevel="0" collapsed="false">
      <c r="A1743" s="1" t="s">
        <v>949</v>
      </c>
      <c r="B1743" s="0" t="s">
        <v>98</v>
      </c>
      <c r="F1743" s="6" t="n">
        <f aca="false">Sens!$F$1750/life_nonai*(1-1/life_nonai)^(Sens!F1626-2027)</f>
        <v>0.843777689897088</v>
      </c>
      <c r="G1743" s="6" t="n">
        <f aca="false">Sens!$F$1750/life_nonai*(1-1/life_nonai)^(Sens!G1626-2027)</f>
        <v>0.759399920907379</v>
      </c>
      <c r="H1743" s="6" t="n">
        <f aca="false">Sens!$F$1750/life_nonai*(1-1/life_nonai)^(Sens!H1626-2027)</f>
        <v>0.683459928816641</v>
      </c>
      <c r="I1743" s="6" t="n">
        <f aca="false">Sens!$F$1750/life_nonai*(1-1/life_nonai)^(Sens!I1626-2027)</f>
        <v>0.615113935934977</v>
      </c>
      <c r="J1743" s="6" t="n">
        <f aca="false">Sens!$F$1750/life_nonai*(1-1/life_nonai)^(Sens!J1626-2027)</f>
        <v>0.55360254234148</v>
      </c>
      <c r="K1743" s="6" t="n">
        <f aca="false">Sens!$F$1750/life_nonai*(1-1/life_nonai)^(Sens!K1626-2027)</f>
        <v>0.498242288107332</v>
      </c>
      <c r="L1743" s="1" t="s">
        <v>950</v>
      </c>
    </row>
    <row r="1744" customFormat="false" ht="17.15" hidden="false" customHeight="false" outlineLevel="0" collapsed="false">
      <c r="A1744" s="1" t="s">
        <v>951</v>
      </c>
      <c r="B1744" s="0" t="s">
        <v>98</v>
      </c>
      <c r="E1744" s="6" t="n">
        <f aca="false">Sens!E1660+Sens!E1742</f>
        <v>38.534</v>
      </c>
      <c r="F1744" s="6" t="n">
        <f aca="false">Sens!F1660+Sens!F1742</f>
        <v>58.4423344144339</v>
      </c>
      <c r="G1744" s="6" t="n">
        <f aca="false">Sens!G1660+Sens!G1742</f>
        <v>85.1489287976805</v>
      </c>
      <c r="H1744" s="6" t="n">
        <f aca="false">Sens!H1660+Sens!H1742</f>
        <v>114.388313726173</v>
      </c>
      <c r="I1744" s="6" t="n">
        <f aca="false">Sens!I1660+Sens!I1742</f>
        <v>140.952648358132</v>
      </c>
      <c r="J1744" s="6" t="n">
        <f aca="false">Sens!J1660+Sens!J1742</f>
        <v>160.906128251046</v>
      </c>
      <c r="K1744" s="6" t="n">
        <f aca="false">Sens!K1660+Sens!K1742</f>
        <v>174.75785917689</v>
      </c>
    </row>
    <row r="1745" customFormat="false" ht="17.15" hidden="false" customHeight="false" outlineLevel="0" collapsed="false">
      <c r="A1745" s="1" t="s">
        <v>952</v>
      </c>
      <c r="B1745" s="0" t="s">
        <v>98</v>
      </c>
      <c r="F1745" s="6" t="n">
        <f aca="false">Sens!F1687*sbc_r</f>
        <v>14.994315902368</v>
      </c>
      <c r="G1745" s="6" t="n">
        <f aca="false">Sens!G1687*sbc_r</f>
        <v>17.4826194545484</v>
      </c>
      <c r="H1745" s="6" t="n">
        <f aca="false">Sens!H1687*sbc_r</f>
        <v>19.7966017188514</v>
      </c>
      <c r="I1745" s="6" t="n">
        <f aca="false">Sens!I1687*sbc_r</f>
        <v>22.2400395527648</v>
      </c>
      <c r="J1745" s="6" t="n">
        <f aca="false">Sens!J1687*sbc_r</f>
        <v>24.2854691810878</v>
      </c>
      <c r="K1745" s="6" t="n">
        <f aca="false">Sens!K1687*sbc_r</f>
        <v>25.9603860654536</v>
      </c>
    </row>
    <row r="1746" customFormat="false" ht="17.15" hidden="false" customHeight="false" outlineLevel="0" collapsed="false">
      <c r="A1746" s="1" t="s">
        <v>953</v>
      </c>
      <c r="B1746" s="0" t="s">
        <v>98</v>
      </c>
      <c r="F1746" s="6" t="n">
        <f aca="false">wc27</f>
        <v>-4.895</v>
      </c>
      <c r="G1746" s="6" t="n">
        <f aca="false">wc_f</f>
        <v>0</v>
      </c>
      <c r="H1746" s="6" t="n">
        <f aca="false">wc_f</f>
        <v>0</v>
      </c>
      <c r="I1746" s="6" t="n">
        <f aca="false">wc_f</f>
        <v>0</v>
      </c>
      <c r="J1746" s="6" t="n">
        <f aca="false">wc_f</f>
        <v>0</v>
      </c>
      <c r="K1746" s="6" t="n">
        <f aca="false">wc_f</f>
        <v>0</v>
      </c>
      <c r="L1746" s="11" t="s">
        <v>954</v>
      </c>
    </row>
    <row r="1747" customFormat="false" ht="15" hidden="false" customHeight="false" outlineLevel="0" collapsed="false">
      <c r="A1747" s="1" t="s">
        <v>767</v>
      </c>
      <c r="B1747" s="0" t="s">
        <v>98</v>
      </c>
      <c r="E1747" s="6" t="n">
        <f aca="false">Q!M35</f>
        <v>182.935</v>
      </c>
      <c r="F1747" s="6" t="n">
        <f aca="false">Sens!F1741+Sens!F1744+Sens!F1745+Sens!F1746</f>
        <v>211.486621270246</v>
      </c>
      <c r="G1747" s="6" t="n">
        <f aca="false">Sens!G1741+Sens!G1744+Sens!G1745+Sens!G1746</f>
        <v>255.980638139226</v>
      </c>
      <c r="H1747" s="6" t="n">
        <f aca="false">Sens!H1741+Sens!H1744+Sens!H1745+Sens!H1746</f>
        <v>292.378343983126</v>
      </c>
      <c r="I1747" s="6" t="n">
        <f aca="false">Sens!I1741+Sens!I1744+Sens!I1745+Sens!I1746</f>
        <v>332.913561137919</v>
      </c>
      <c r="J1747" s="6" t="n">
        <f aca="false">Sens!J1741+Sens!J1744+Sens!J1745+Sens!J1746</f>
        <v>366.678345500243</v>
      </c>
      <c r="K1747" s="6" t="n">
        <f aca="false">Sens!K1741+Sens!K1744+Sens!K1745+Sens!K1746</f>
        <v>394.363850269232</v>
      </c>
    </row>
    <row r="1748" customFormat="false" ht="17.15" hidden="false" customHeight="false" outlineLevel="0" collapsed="false">
      <c r="A1748" s="0" t="s">
        <v>955</v>
      </c>
      <c r="B1748" s="0" t="s">
        <v>98</v>
      </c>
      <c r="F1748" s="6" t="n">
        <f aca="false">Sens!F1657</f>
        <v>160.332875871467</v>
      </c>
      <c r="G1748" s="6" t="n">
        <f aca="false">Sens!G1657</f>
        <v>183.5741804832</v>
      </c>
      <c r="H1748" s="6" t="n">
        <f aca="false">Sens!H1657</f>
        <v>188.0802859104</v>
      </c>
      <c r="I1748" s="6" t="n">
        <f aca="false">Sens!I1657</f>
        <v>163.706669154245</v>
      </c>
      <c r="J1748" s="6" t="n">
        <f aca="false">Sens!J1657</f>
        <v>127.181436594242</v>
      </c>
      <c r="K1748" s="6" t="n">
        <f aca="false">Sens!K1657</f>
        <v>121.407415303591</v>
      </c>
    </row>
    <row r="1749" customFormat="false" ht="17.15" hidden="false" customHeight="false" outlineLevel="0" collapsed="false">
      <c r="A1749" s="1" t="s">
        <v>956</v>
      </c>
      <c r="B1749" s="0" t="s">
        <v>98</v>
      </c>
      <c r="E1749" s="6" t="n">
        <f aca="false">Sens!E1665*cx_azo+Sens!E1672*cx_m365+Sens!E1673*cx_lic+(Sens!E1675+Sens!E1677)*cx_ind+Sens!E1680*cx_srch+(Sens!E1682+Sens!E1684)*cx_dev</f>
        <v>30.1846587067718</v>
      </c>
      <c r="F1749" s="6" t="n">
        <f aca="false">Sens!F1665*cx_azo+Sens!F1672*cx_m365+Sens!F1673*cx_lic+(Sens!F1675+Sens!F1677)*cx_ind+Sens!F1680*cx_srch+(Sens!F1682+Sens!F1684)*cx_dev</f>
        <v>35.4293472295625</v>
      </c>
      <c r="G1749" s="6" t="n">
        <f aca="false">Sens!G1665*cx_azo+Sens!G1672*cx_m365+Sens!G1673*cx_lic+(Sens!G1675+Sens!G1677)*cx_ind+Sens!G1680*cx_srch+(Sens!G1682+Sens!G1684)*cx_dev</f>
        <v>40.7028935703892</v>
      </c>
      <c r="H1749" s="6" t="n">
        <f aca="false">Sens!H1665*cx_azo+Sens!H1672*cx_m365+Sens!H1673*cx_lic+(Sens!H1675+Sens!H1677)*cx_ind+Sens!H1680*cx_srch+(Sens!H1682+Sens!H1684)*cx_dev</f>
        <v>46.0615136440897</v>
      </c>
      <c r="I1749" s="6" t="n">
        <f aca="false">Sens!I1665*cx_azo+Sens!I1672*cx_m365+Sens!I1673*cx_lic+(Sens!I1675+Sens!I1677)*cx_ind+Sens!I1680*cx_srch+(Sens!I1682+Sens!I1684)*cx_dev</f>
        <v>51.2234003116439</v>
      </c>
      <c r="J1749" s="6" t="n">
        <f aca="false">Sens!J1665*cx_azo+Sens!J1672*cx_m365+Sens!J1673*cx_lic+(Sens!J1675+Sens!J1677)*cx_ind+Sens!J1680*cx_srch+(Sens!J1682+Sens!J1684)*cx_dev</f>
        <v>55.9559132503738</v>
      </c>
      <c r="K1749" s="6" t="n">
        <f aca="false">Sens!K1665*cx_azo+Sens!K1672*cx_m365+Sens!K1673*cx_lic+(Sens!K1675+Sens!K1677)*cx_ind+Sens!K1680*cx_srch+(Sens!K1682+Sens!K1684)*cx_dev</f>
        <v>60.093702741994</v>
      </c>
    </row>
    <row r="1750" customFormat="false" ht="17.15" hidden="false" customHeight="false" outlineLevel="0" collapsed="false">
      <c r="A1750" s="0" t="s">
        <v>957</v>
      </c>
      <c r="B1750" s="0" t="s">
        <v>98</v>
      </c>
      <c r="F1750" s="6" t="n">
        <f aca="false">Sens!F1655</f>
        <v>8.43777689897088</v>
      </c>
      <c r="L1750" s="1" t="s">
        <v>958</v>
      </c>
    </row>
    <row r="1751" customFormat="false" ht="17.15" hidden="false" customHeight="false" outlineLevel="0" collapsed="false">
      <c r="A1751" s="1" t="s">
        <v>959</v>
      </c>
      <c r="B1751" s="0" t="s">
        <v>98</v>
      </c>
      <c r="E1751" s="6" t="n">
        <f aca="false">Q!M42</f>
        <v>145.3</v>
      </c>
      <c r="F1751" s="6" t="n">
        <f aca="false">Sens!F1748+Sens!F1749+Sens!F1750</f>
        <v>204.2</v>
      </c>
      <c r="G1751" s="6" t="n">
        <f aca="false">Sens!G1748+Sens!G1749</f>
        <v>224.277074053589</v>
      </c>
      <c r="H1751" s="6" t="n">
        <f aca="false">Sens!H1748+Sens!H1749</f>
        <v>234.14179955449</v>
      </c>
      <c r="I1751" s="6" t="n">
        <f aca="false">Sens!I1748+Sens!I1749</f>
        <v>214.930069465889</v>
      </c>
      <c r="J1751" s="6" t="n">
        <f aca="false">Sens!J1748+Sens!J1749</f>
        <v>183.137349844616</v>
      </c>
      <c r="K1751" s="6" t="n">
        <f aca="false">Sens!K1748+Sens!K1749</f>
        <v>181.501118045585</v>
      </c>
      <c r="L1751" s="1" t="s">
        <v>960</v>
      </c>
    </row>
    <row r="1752" customFormat="false" ht="15" hidden="false" customHeight="false" outlineLevel="0" collapsed="false">
      <c r="A1752" s="1" t="s">
        <v>961</v>
      </c>
      <c r="B1752" s="0" t="s">
        <v>98</v>
      </c>
      <c r="E1752" s="6" t="n">
        <f aca="false">fl_liab</f>
        <v>66.594</v>
      </c>
      <c r="F1752" s="6" t="n">
        <f aca="false">Sens!E1752-Sens!F1753</f>
        <v>62.46973</v>
      </c>
      <c r="G1752" s="6" t="n">
        <f aca="false">Sens!F1752-Sens!G1753</f>
        <v>57.98686785</v>
      </c>
      <c r="H1752" s="6" t="n">
        <f aca="false">Sens!G1752-Sens!H1753</f>
        <v>53.92827690325</v>
      </c>
      <c r="I1752" s="6" t="n">
        <f aca="false">Sens!H1752-Sens!I1753</f>
        <v>49.7850493638962</v>
      </c>
      <c r="J1752" s="6" t="n">
        <f aca="false">Sens!I1752-Sens!J1753</f>
        <v>45.4823765852716</v>
      </c>
      <c r="K1752" s="6" t="n">
        <f aca="false">Sens!J1752-Sens!K1753</f>
        <v>40.9860835316088</v>
      </c>
    </row>
    <row r="1753" customFormat="false" ht="15" hidden="false" customHeight="false" outlineLevel="0" collapsed="false">
      <c r="A1753" s="1" t="s">
        <v>962</v>
      </c>
      <c r="B1753" s="0" t="s">
        <v>98</v>
      </c>
      <c r="F1753" s="6" t="n">
        <f aca="false">fl_pay_27-Sens!E1752*fl_rate</f>
        <v>4.12427</v>
      </c>
      <c r="G1753" s="6" t="n">
        <f aca="false">fl_pay_28-Sens!F1752*fl_rate</f>
        <v>4.48286215</v>
      </c>
      <c r="H1753" s="6" t="n">
        <f aca="false">fl_pay_29-Sens!G1752*fl_rate</f>
        <v>4.05859094675</v>
      </c>
      <c r="I1753" s="6" t="n">
        <f aca="false">fl_pay_30-Sens!H1752*fl_rate</f>
        <v>4.14322753935375</v>
      </c>
      <c r="J1753" s="6" t="n">
        <f aca="false">fl_pay_31-Sens!I1752*fl_rate</f>
        <v>4.30267277862467</v>
      </c>
      <c r="K1753" s="6" t="n">
        <f aca="false">fl_pay_32-Sens!J1752*fl_rate</f>
        <v>4.49629305366278</v>
      </c>
    </row>
    <row r="1754" customFormat="false" ht="17.15" hidden="false" customHeight="false" outlineLevel="0" collapsed="false">
      <c r="A1754" s="1" t="s">
        <v>963</v>
      </c>
      <c r="B1754" s="0" t="s">
        <v>98</v>
      </c>
      <c r="E1754" s="6" t="n">
        <f aca="false">Q!M35-Q!M36-Q!M43</f>
        <v>63.886</v>
      </c>
      <c r="F1754" s="6" t="n">
        <f aca="false">Sens!F1747-Sens!F1751-Sens!F1753</f>
        <v>3.16235127024566</v>
      </c>
      <c r="G1754" s="6" t="n">
        <f aca="false">Sens!G1747-Sens!G1751-Sens!G1753</f>
        <v>27.220701935637</v>
      </c>
      <c r="H1754" s="6" t="n">
        <f aca="false">Sens!H1747-Sens!H1751-Sens!H1753</f>
        <v>54.1779534818863</v>
      </c>
      <c r="I1754" s="6" t="n">
        <f aca="false">Sens!I1747-Sens!I1751-Sens!I1753</f>
        <v>113.840264132676</v>
      </c>
      <c r="J1754" s="6" t="n">
        <f aca="false">Sens!J1747-Sens!J1751-Sens!J1753</f>
        <v>179.238322877002</v>
      </c>
      <c r="K1754" s="6" t="n">
        <f aca="false">Sens!K1747-Sens!K1751-Sens!K1753</f>
        <v>208.366439169984</v>
      </c>
      <c r="L1754" s="11" t="s">
        <v>964</v>
      </c>
    </row>
    <row r="1755" customFormat="false" ht="15" hidden="false" customHeight="false" outlineLevel="0" collapsed="false">
      <c r="A1755" s="1" t="s">
        <v>965</v>
      </c>
      <c r="B1755" s="0" t="s">
        <v>75</v>
      </c>
      <c r="F1755" s="8" t="n">
        <f aca="false">dps_27</f>
        <v>3.85</v>
      </c>
      <c r="G1755" s="8" t="n">
        <f aca="false">Sens!F1755*(1+dps_g)</f>
        <v>4.158</v>
      </c>
      <c r="H1755" s="8" t="n">
        <f aca="false">Sens!G1755*(1+dps_g)</f>
        <v>4.49064</v>
      </c>
      <c r="I1755" s="8" t="n">
        <f aca="false">Sens!H1755*(1+dps_g)</f>
        <v>4.8498912</v>
      </c>
      <c r="J1755" s="8" t="n">
        <f aca="false">Sens!I1755*(1+dps_g)</f>
        <v>5.237882496</v>
      </c>
      <c r="K1755" s="8" t="n">
        <f aca="false">Sens!J1755*(1+dps_g)</f>
        <v>5.65691309568</v>
      </c>
    </row>
    <row r="1756" customFormat="false" ht="17.15" hidden="false" customHeight="false" outlineLevel="0" collapsed="false">
      <c r="A1756" s="1" t="s">
        <v>966</v>
      </c>
      <c r="B1756" s="0" t="s">
        <v>98</v>
      </c>
      <c r="E1756" s="6" t="n">
        <f aca="false">Q!M41</f>
        <v>26.445</v>
      </c>
      <c r="F1756" s="6" t="n">
        <f aca="false">Sens!F1755*Sens!E1765</f>
        <v>28.59395</v>
      </c>
      <c r="G1756" s="6" t="n">
        <f aca="false">Sens!G1755*Sens!F1765</f>
        <v>31.068576</v>
      </c>
      <c r="H1756" s="6" t="n">
        <f aca="false">Sens!H1755*Sens!G1765</f>
        <v>33.75614088</v>
      </c>
      <c r="I1756" s="6" t="n">
        <f aca="false">Sens!I1755*Sens!H1765</f>
        <v>36.5364950547704</v>
      </c>
      <c r="J1756" s="6" t="n">
        <f aca="false">Sens!J1755*Sens!I1765</f>
        <v>39.5278135074715</v>
      </c>
      <c r="K1756" s="6" t="n">
        <f aca="false">Sens!K1755*Sens!J1765</f>
        <v>42.7772938133742</v>
      </c>
      <c r="L1756" s="1" t="s">
        <v>967</v>
      </c>
    </row>
    <row r="1757" customFormat="false" ht="15" hidden="false" customHeight="false" outlineLevel="0" collapsed="false">
      <c r="A1757" s="1" t="s">
        <v>968</v>
      </c>
      <c r="B1757" s="0" t="s">
        <v>98</v>
      </c>
      <c r="E1757" s="6" t="n">
        <f aca="false">Sens!E1754-Sens!E1756</f>
        <v>37.441</v>
      </c>
      <c r="F1757" s="6" t="n">
        <f aca="false">Sens!F1754-Sens!F1756</f>
        <v>-25.4315987297543</v>
      </c>
      <c r="G1757" s="6" t="n">
        <f aca="false">Sens!G1754-Sens!G1756</f>
        <v>-3.847874064363</v>
      </c>
      <c r="H1757" s="6" t="n">
        <f aca="false">Sens!H1754-Sens!H1756</f>
        <v>20.4218126018862</v>
      </c>
      <c r="I1757" s="6" t="n">
        <f aca="false">Sens!I1754-Sens!I1756</f>
        <v>77.3037690779056</v>
      </c>
      <c r="J1757" s="6" t="n">
        <f aca="false">Sens!J1754-Sens!J1756</f>
        <v>139.710509369531</v>
      </c>
      <c r="K1757" s="6" t="n">
        <f aca="false">Sens!K1754-Sens!K1756</f>
        <v>165.58914535661</v>
      </c>
    </row>
    <row r="1758" customFormat="false" ht="15" hidden="false" customHeight="false" outlineLevel="0" collapsed="false">
      <c r="A1758" s="1" t="s">
        <v>969</v>
      </c>
      <c r="B1758" s="0" t="s">
        <v>98</v>
      </c>
      <c r="F1758" s="6" t="n">
        <f aca="false">debt_mat_27</f>
        <v>9.25</v>
      </c>
      <c r="G1758" s="6" t="n">
        <f aca="false">debt_mat_28</f>
        <v>0</v>
      </c>
      <c r="H1758" s="6" t="n">
        <f aca="false">debt_mat_29</f>
        <v>2.001</v>
      </c>
      <c r="I1758" s="6" t="n">
        <f aca="false">debt_mat_30</f>
        <v>0</v>
      </c>
      <c r="J1758" s="6" t="n">
        <f aca="false">debt_mat_31</f>
        <v>0.5</v>
      </c>
      <c r="K1758" s="6" t="n">
        <f aca="false">debt_mat_32</f>
        <v>0</v>
      </c>
    </row>
    <row r="1759" customFormat="false" ht="15" hidden="false" customHeight="false" outlineLevel="0" collapsed="false">
      <c r="A1759" s="1" t="s">
        <v>970</v>
      </c>
      <c r="B1759" s="0" t="s">
        <v>98</v>
      </c>
      <c r="E1759" s="6" t="n">
        <f aca="false">Q!M40</f>
        <v>22.271</v>
      </c>
      <c r="F1759" s="6" t="n">
        <f aca="false">MAX(0,MIN(bb_target,Sens!E1761+Sens!F1757-Sens!F1758-min_cash))</f>
        <v>0</v>
      </c>
      <c r="G1759" s="6" t="n">
        <f aca="false">MAX(0,MIN(bb_target,Sens!F1761+Sens!G1757-Sens!G1758-min_cash))</f>
        <v>0</v>
      </c>
      <c r="H1759" s="6" t="n">
        <f aca="false">MAX(0,MIN(bb_target,Sens!G1761+Sens!H1757-Sens!H1758-min_cash))</f>
        <v>18.4208126018862</v>
      </c>
      <c r="I1759" s="6" t="n">
        <f aca="false">MAX(0,MIN(bb_target,Sens!H1761+Sens!I1757-Sens!I1758-min_cash))</f>
        <v>22.271</v>
      </c>
      <c r="J1759" s="6" t="n">
        <f aca="false">MAX(0,MIN(bb_target,Sens!I1761+Sens!J1757-Sens!J1758-min_cash))</f>
        <v>22.271</v>
      </c>
      <c r="K1759" s="6" t="n">
        <f aca="false">MAX(0,MIN(bb_target,Sens!J1761+Sens!K1757-Sens!K1758-min_cash))</f>
        <v>22.271</v>
      </c>
    </row>
    <row r="1760" customFormat="false" ht="15" hidden="false" customHeight="false" outlineLevel="0" collapsed="false">
      <c r="A1760" s="1" t="s">
        <v>971</v>
      </c>
      <c r="B1760" s="0" t="s">
        <v>98</v>
      </c>
      <c r="F1760" s="6" t="n">
        <f aca="false">MAX(0,min_cash-(Sens!E1761+Sens!F1757-Sens!F1758-Sens!F1759))</f>
        <v>7.83859872975434</v>
      </c>
      <c r="G1760" s="6" t="n">
        <f aca="false">MAX(0,min_cash-(Sens!F1761+Sens!G1757-Sens!G1758-Sens!G1759))</f>
        <v>3.847874064363</v>
      </c>
      <c r="H1760" s="6" t="n">
        <f aca="false">MAX(0,min_cash-(Sens!G1761+Sens!H1757-Sens!H1758-Sens!H1759))</f>
        <v>0</v>
      </c>
      <c r="I1760" s="6" t="n">
        <f aca="false">MAX(0,min_cash-(Sens!H1761+Sens!I1757-Sens!I1758-Sens!I1759))</f>
        <v>0</v>
      </c>
      <c r="J1760" s="6" t="n">
        <f aca="false">MAX(0,min_cash-(Sens!I1761+Sens!J1757-Sens!J1758-Sens!J1759))</f>
        <v>0</v>
      </c>
      <c r="K1760" s="6" t="n">
        <f aca="false">MAX(0,min_cash-(Sens!J1761+Sens!K1757-Sens!K1758-Sens!K1759))</f>
        <v>0</v>
      </c>
    </row>
    <row r="1761" customFormat="false" ht="15" hidden="false" customHeight="false" outlineLevel="0" collapsed="false">
      <c r="A1761" s="1" t="s">
        <v>972</v>
      </c>
      <c r="B1761" s="0" t="s">
        <v>98</v>
      </c>
      <c r="E1761" s="6" t="n">
        <f aca="false">cash_open</f>
        <v>76.843</v>
      </c>
      <c r="F1761" s="6" t="n">
        <f aca="false">Sens!E1761+Sens!F1757-Sens!F1758-Sens!F1759+Sens!F1760</f>
        <v>50</v>
      </c>
      <c r="G1761" s="6" t="n">
        <f aca="false">Sens!F1761+Sens!G1757-Sens!G1758-Sens!G1759+Sens!G1760</f>
        <v>50</v>
      </c>
      <c r="H1761" s="6" t="n">
        <f aca="false">Sens!G1761+Sens!H1757-Sens!H1758-Sens!H1759+Sens!H1760</f>
        <v>50</v>
      </c>
      <c r="I1761" s="6" t="n">
        <f aca="false">Sens!H1761+Sens!I1757-Sens!I1758-Sens!I1759+Sens!I1760</f>
        <v>105.032769077906</v>
      </c>
      <c r="J1761" s="6" t="n">
        <f aca="false">Sens!I1761+Sens!J1757-Sens!J1758-Sens!J1759+Sens!J1760</f>
        <v>221.972278447436</v>
      </c>
      <c r="K1761" s="6" t="n">
        <f aca="false">Sens!J1761+Sens!K1757-Sens!K1758-Sens!K1759+Sens!K1760</f>
        <v>365.290423804046</v>
      </c>
    </row>
    <row r="1762" customFormat="false" ht="15" hidden="false" customHeight="false" outlineLevel="0" collapsed="false">
      <c r="A1762" s="1" t="s">
        <v>973</v>
      </c>
      <c r="B1762" s="0" t="s">
        <v>98</v>
      </c>
      <c r="E1762" s="6" t="n">
        <f aca="false">debt_face</f>
        <v>46.136</v>
      </c>
      <c r="F1762" s="6" t="n">
        <f aca="false">Sens!E1762-Sens!F1758+Sens!F1760</f>
        <v>44.7245987297543</v>
      </c>
      <c r="G1762" s="6" t="n">
        <f aca="false">Sens!F1762-Sens!G1758+Sens!G1760</f>
        <v>48.5724727941173</v>
      </c>
      <c r="H1762" s="6" t="n">
        <f aca="false">Sens!G1762-Sens!H1758+Sens!H1760</f>
        <v>46.5714727941173</v>
      </c>
      <c r="I1762" s="6" t="n">
        <f aca="false">Sens!H1762-Sens!I1758+Sens!I1760</f>
        <v>46.5714727941173</v>
      </c>
      <c r="J1762" s="6" t="n">
        <f aca="false">Sens!I1762-Sens!J1758+Sens!J1760</f>
        <v>46.0714727941173</v>
      </c>
      <c r="K1762" s="6" t="n">
        <f aca="false">Sens!J1762-Sens!K1758+Sens!K1760</f>
        <v>46.0714727941173</v>
      </c>
    </row>
    <row r="1763" customFormat="false" ht="15" hidden="false" customHeight="false" outlineLevel="0" collapsed="false">
      <c r="A1763" s="1" t="s">
        <v>974</v>
      </c>
      <c r="B1763" s="0" t="s">
        <v>98</v>
      </c>
      <c r="E1763" s="6" t="n">
        <f aca="false">Sens!E1761-Sens!E1762</f>
        <v>30.707</v>
      </c>
      <c r="F1763" s="6" t="n">
        <f aca="false">Sens!F1761-Sens!F1762</f>
        <v>5.27540127024566</v>
      </c>
      <c r="G1763" s="6" t="n">
        <f aca="false">Sens!G1761-Sens!G1762</f>
        <v>1.42752720588266</v>
      </c>
      <c r="H1763" s="6" t="n">
        <f aca="false">Sens!H1761-Sens!H1762</f>
        <v>3.42852720588266</v>
      </c>
      <c r="I1763" s="6" t="n">
        <f aca="false">Sens!I1761-Sens!I1762</f>
        <v>58.4612962837882</v>
      </c>
      <c r="J1763" s="6" t="n">
        <f aca="false">Sens!J1761-Sens!J1762</f>
        <v>175.900805653319</v>
      </c>
      <c r="K1763" s="6" t="n">
        <f aca="false">Sens!K1761-Sens!K1762</f>
        <v>319.218951009929</v>
      </c>
    </row>
    <row r="1764" customFormat="false" ht="15" hidden="false" customHeight="false" outlineLevel="0" collapsed="false">
      <c r="A1764" s="1" t="s">
        <v>975</v>
      </c>
      <c r="B1764" s="0" t="s">
        <v>75</v>
      </c>
      <c r="F1764" s="29" t="n">
        <f aca="false">px*(1+bb_g)^(Sens!F1626-base_fy-mid_yr)</f>
        <v>553.494156066711</v>
      </c>
      <c r="G1764" s="29" t="n">
        <f aca="false">px*(1+bb_g)^(Sens!G1626-base_fy-mid_yr)</f>
        <v>597.773688552047</v>
      </c>
      <c r="H1764" s="29" t="n">
        <f aca="false">px*(1+bb_g)^(Sens!H1626-base_fy-mid_yr)</f>
        <v>645.595583636211</v>
      </c>
      <c r="I1764" s="29" t="n">
        <f aca="false">px*(1+bb_g)^(Sens!I1626-base_fy-mid_yr)</f>
        <v>697.243230327108</v>
      </c>
      <c r="J1764" s="29" t="n">
        <f aca="false">px*(1+bb_g)^(Sens!J1626-base_fy-mid_yr)</f>
        <v>753.022688753277</v>
      </c>
      <c r="K1764" s="29" t="n">
        <f aca="false">px*(1+bb_g)^(Sens!K1626-base_fy-mid_yr)</f>
        <v>813.264503853539</v>
      </c>
    </row>
    <row r="1765" customFormat="false" ht="15" hidden="false" customHeight="false" outlineLevel="0" collapsed="false">
      <c r="A1765" s="1" t="s">
        <v>976</v>
      </c>
      <c r="B1765" s="1" t="s">
        <v>81</v>
      </c>
      <c r="E1765" s="14" t="n">
        <f aca="false">sh_out26</f>
        <v>7.427</v>
      </c>
      <c r="F1765" s="14" t="n">
        <f aca="false">Sens!E1765+sh_iss-Sens!F1759/Sens!F1764</f>
        <v>7.472</v>
      </c>
      <c r="G1765" s="14" t="n">
        <f aca="false">Sens!F1765+sh_iss-Sens!G1759/Sens!G1764</f>
        <v>7.517</v>
      </c>
      <c r="H1765" s="14" t="n">
        <f aca="false">Sens!G1765+sh_iss-Sens!H1759/Sens!H1764</f>
        <v>7.53346694762357</v>
      </c>
      <c r="I1765" s="14" t="n">
        <f aca="false">Sens!H1765+sh_iss-Sens!I1759/Sens!I1764</f>
        <v>7.54652543993829</v>
      </c>
      <c r="J1765" s="14" t="n">
        <f aca="false">Sens!I1765+sh_iss-Sens!J1759/Sens!J1764</f>
        <v>7.56194996985933</v>
      </c>
      <c r="K1765" s="14" t="n">
        <f aca="false">Sens!J1765+sh_iss-Sens!K1759/Sens!K1764</f>
        <v>7.57956527534178</v>
      </c>
    </row>
    <row r="1766" customFormat="false" ht="15" hidden="false" customHeight="false" outlineLevel="0" collapsed="false">
      <c r="A1766" s="1" t="s">
        <v>977</v>
      </c>
      <c r="B1766" s="1" t="s">
        <v>81</v>
      </c>
      <c r="E1766" s="14" t="n">
        <f aca="false">sh_dil26</f>
        <v>7.453</v>
      </c>
      <c r="F1766" s="14" t="n">
        <f aca="false">(Sens!E1765+Sens!F1765)/2+dil_gap</f>
        <v>7.4735</v>
      </c>
      <c r="G1766" s="14" t="n">
        <f aca="false">(Sens!F1765+Sens!G1765)/2+dil_gap</f>
        <v>7.5185</v>
      </c>
      <c r="H1766" s="14" t="n">
        <f aca="false">(Sens!G1765+Sens!H1765)/2+dil_gap</f>
        <v>7.54923347381178</v>
      </c>
      <c r="I1766" s="14" t="n">
        <f aca="false">(Sens!H1765+Sens!I1765)/2+dil_gap</f>
        <v>7.56399619378093</v>
      </c>
      <c r="J1766" s="14" t="n">
        <f aca="false">(Sens!I1765+Sens!J1765)/2+dil_gap</f>
        <v>7.57823770489881</v>
      </c>
      <c r="K1766" s="14" t="n">
        <f aca="false">(Sens!J1765+Sens!K1765)/2+dil_gap</f>
        <v>7.59475762260055</v>
      </c>
    </row>
    <row r="1767" customFormat="false" ht="17.15" hidden="false" customHeight="false" outlineLevel="0" collapsed="false">
      <c r="A1767" s="1" t="s">
        <v>978</v>
      </c>
      <c r="B1767" s="0" t="s">
        <v>98</v>
      </c>
      <c r="C1767" s="6" t="n">
        <f aca="false">SUM(Sens!F1757:J1757)</f>
        <v>208.156618255205</v>
      </c>
    </row>
    <row r="1768" customFormat="false" ht="15" hidden="false" customHeight="false" outlineLevel="0" collapsed="false">
      <c r="A1768" s="23" t="s">
        <v>945</v>
      </c>
      <c r="B1768" s="30" t="s">
        <v>98</v>
      </c>
      <c r="C1768" s="24" t="n">
        <f aca="false">Sens!$C$1767-(Sens!F1757+Sens!G1757+Sens!H1757+Sens!I1757+Sens!J1757)</f>
        <v>0</v>
      </c>
      <c r="D1768" s="30"/>
      <c r="E1768" s="30"/>
      <c r="F1768" s="30"/>
      <c r="G1768" s="30"/>
      <c r="H1768" s="30"/>
      <c r="I1768" s="30"/>
      <c r="J1768" s="30"/>
      <c r="K1768" s="30"/>
    </row>
    <row r="1769" customFormat="false" ht="17.15" hidden="false" customHeight="false" outlineLevel="0" collapsed="false">
      <c r="A1769" s="1" t="s">
        <v>939</v>
      </c>
      <c r="B1769" s="1" t="s">
        <v>979</v>
      </c>
      <c r="C1769" s="32" t="str">
        <f aca="false">IF(SUM(Sens!F1760:J1760)&gt;0.05,"需要舉債 "&amp;TEXT(SUM(Sens!F1760:J1760),"0.0")&amp;" 十億美元","不需舉債")&amp;"；"&amp;IF(SUM(Sens!F1759:J1759)&lt;COUNT(Sens!F1759:J1759)*bb_target-0.05,"回購較每年 "&amp;TEXT(bb_target,"0.0")&amp;" 的目標少 "&amp;TEXT(COUNT(Sens!F1759:J1759)*bb_target-SUM(Sens!F1759:J1759),"0.0")&amp;" 十億美元（"&amp;TEXT(COUNTIF(Sens!F1759:J1759,"&lt;"&amp;(bb_target-0.05)),"0")&amp;" 年減少）","回購不減")</f>
        <v>需要舉債 11.7 十億美元；回購較每年 22.3 的目標少 48.4 十億美元（3 年減少）</v>
      </c>
    </row>
    <row r="1770" customFormat="false" ht="17.15" hidden="false" customHeight="false" outlineLevel="0" collapsed="false">
      <c r="A1770" s="3" t="s">
        <v>1306</v>
      </c>
    </row>
    <row r="1771" customFormat="false" ht="15" hidden="false" customHeight="false" outlineLevel="0" collapsed="false">
      <c r="A1771" s="4" t="s">
        <v>43</v>
      </c>
      <c r="B1771" s="4" t="s">
        <v>65</v>
      </c>
      <c r="C1771" s="20" t="s">
        <v>799</v>
      </c>
      <c r="D1771" s="20" t="s">
        <v>800</v>
      </c>
      <c r="E1771" s="20" t="s">
        <v>801</v>
      </c>
      <c r="F1771" s="20" t="s">
        <v>802</v>
      </c>
      <c r="G1771" s="20" t="s">
        <v>803</v>
      </c>
      <c r="H1771" s="20" t="s">
        <v>804</v>
      </c>
      <c r="I1771" s="20" t="s">
        <v>805</v>
      </c>
      <c r="J1771" s="20" t="s">
        <v>806</v>
      </c>
      <c r="K1771" s="20" t="s">
        <v>807</v>
      </c>
      <c r="L1771" s="4" t="s">
        <v>47</v>
      </c>
    </row>
    <row r="1772" customFormat="false" ht="15" hidden="false" customHeight="false" outlineLevel="0" collapsed="false">
      <c r="A1772" s="1" t="s">
        <v>1057</v>
      </c>
      <c r="B1772" s="1" t="s">
        <v>235</v>
      </c>
      <c r="F1772" s="36" t="n">
        <f aca="false">Sens!F1626-base_fy-mid_yr</f>
        <v>0.5</v>
      </c>
      <c r="G1772" s="36" t="n">
        <f aca="false">Sens!G1626-base_fy-mid_yr</f>
        <v>1.5</v>
      </c>
      <c r="H1772" s="36" t="n">
        <f aca="false">Sens!H1626-base_fy-mid_yr</f>
        <v>2.5</v>
      </c>
      <c r="I1772" s="36" t="n">
        <f aca="false">Sens!I1626-base_fy-mid_yr</f>
        <v>3.5</v>
      </c>
      <c r="J1772" s="36" t="n">
        <f aca="false">Sens!J1626-base_fy-mid_yr</f>
        <v>4.5</v>
      </c>
      <c r="K1772" s="36" t="n">
        <f aca="false">Sens!K1626-base_fy-mid_yr</f>
        <v>5.5</v>
      </c>
    </row>
    <row r="1773" customFormat="false" ht="15" hidden="false" customHeight="false" outlineLevel="0" collapsed="false">
      <c r="A1773" s="1" t="s">
        <v>1058</v>
      </c>
      <c r="B1773" s="0" t="s">
        <v>185</v>
      </c>
      <c r="F1773" s="14" t="n">
        <f aca="false">1/(1+wacc)^Sens!F1772</f>
        <v>0.952193373608246</v>
      </c>
      <c r="G1773" s="14" t="n">
        <f aca="false">1/(1+wacc)^Sens!G1772</f>
        <v>0.863327280626589</v>
      </c>
      <c r="H1773" s="14" t="n">
        <f aca="false">1/(1+wacc)^Sens!H1772</f>
        <v>0.782754862754115</v>
      </c>
      <c r="I1773" s="14" t="n">
        <f aca="false">1/(1+wacc)^Sens!I1772</f>
        <v>0.709702089711011</v>
      </c>
      <c r="J1773" s="14" t="n">
        <f aca="false">1/(1+wacc)^Sens!J1772</f>
        <v>0.643467169744551</v>
      </c>
      <c r="K1773" s="14" t="n">
        <f aca="false">1/(1+wacc)^Sens!K1772</f>
        <v>0.583413807767797</v>
      </c>
    </row>
    <row r="1774" customFormat="false" ht="17.15" hidden="false" customHeight="false" outlineLevel="0" collapsed="false">
      <c r="A1774" s="1" t="s">
        <v>1059</v>
      </c>
      <c r="B1774" s="0" t="s">
        <v>98</v>
      </c>
      <c r="F1774" s="6" t="n">
        <f aca="false">Sens!F1747-Sens!F1745-Sens!F1751+Sens!F1730*(1-tax_f)</f>
        <v>0.416590568095835</v>
      </c>
      <c r="G1774" s="6" t="n">
        <f aca="false">Sens!G1747-Sens!G1745-Sens!G1751+Sens!G1730*(1-tax_f)</f>
        <v>35.424095382813</v>
      </c>
      <c r="H1774" s="6" t="n">
        <f aca="false">Sens!H1747-Sens!H1745-Sens!H1751+Sens!H1730*(1-tax_f)</f>
        <v>73.9491421734329</v>
      </c>
      <c r="I1774" s="6" t="n">
        <f aca="false">Sens!I1747-Sens!I1745-Sens!I1751+Sens!I1730*(1-tax_f)</f>
        <v>144.145734112365</v>
      </c>
      <c r="J1774" s="6" t="n">
        <f aca="false">Sens!J1747-Sens!J1745-Sens!J1751+Sens!J1730*(1-tax_f)</f>
        <v>216.758576441497</v>
      </c>
      <c r="K1774" s="6" t="n">
        <f aca="false">Sens!K1747-Sens!K1745-Sens!K1751+Sens!K1730*(1-tax_f)</f>
        <v>249.925483939855</v>
      </c>
      <c r="L1774" s="1" t="s">
        <v>1060</v>
      </c>
    </row>
    <row r="1775" customFormat="false" ht="15" hidden="false" customHeight="false" outlineLevel="0" collapsed="false">
      <c r="A1775" s="1" t="s">
        <v>1061</v>
      </c>
      <c r="B1775" s="0" t="s">
        <v>98</v>
      </c>
      <c r="F1775" s="6" t="n">
        <f aca="false">Sens!F1774*Sens!F1773</f>
        <v>0.396674778448549</v>
      </c>
      <c r="G1775" s="6" t="n">
        <f aca="false">Sens!G1774*Sens!G1773</f>
        <v>30.5825879355008</v>
      </c>
      <c r="H1775" s="6" t="n">
        <f aca="false">Sens!H1774*Sens!H1773</f>
        <v>57.88405063275</v>
      </c>
      <c r="I1775" s="6" t="n">
        <f aca="false">Sens!I1774*Sens!I1773</f>
        <v>102.300528722473</v>
      </c>
      <c r="J1775" s="6" t="n">
        <f aca="false">Sens!J1774*Sens!J1773</f>
        <v>139.477027700668</v>
      </c>
      <c r="K1775" s="6" t="n">
        <f aca="false">Sens!K1774*Sens!K1773</f>
        <v>145.80997824356</v>
      </c>
    </row>
    <row r="1776" customFormat="false" ht="17.15" hidden="false" customHeight="false" outlineLevel="0" collapsed="false">
      <c r="A1776" s="1" t="s">
        <v>1062</v>
      </c>
      <c r="B1776" s="0" t="s">
        <v>98</v>
      </c>
      <c r="C1776" s="6" t="n">
        <f aca="false">SUM(Sens!F1775:K1775)</f>
        <v>476.4508480134</v>
      </c>
    </row>
    <row r="1777" customFormat="false" ht="17.15" hidden="false" customHeight="false" outlineLevel="0" collapsed="false">
      <c r="A1777" s="1" t="s">
        <v>1063</v>
      </c>
      <c r="B1777" s="0" t="s">
        <v>98</v>
      </c>
      <c r="C1777" s="6" t="n">
        <f aca="false">Sens!K1716*(1+g_tv)*(1-tax_f)</f>
        <v>264.698405092806</v>
      </c>
    </row>
    <row r="1778" customFormat="false" ht="17.15" hidden="false" customHeight="false" outlineLevel="0" collapsed="false">
      <c r="A1778" s="1" t="s">
        <v>1064</v>
      </c>
      <c r="B1778" s="0" t="s">
        <v>98</v>
      </c>
      <c r="C1778" s="6" t="n">
        <f aca="false">Sens!$C$1777*(1-g_tv/(wacc+ronic_prem))</f>
        <v>187.552663701159</v>
      </c>
    </row>
    <row r="1779" customFormat="false" ht="17.15" hidden="false" customHeight="false" outlineLevel="0" collapsed="false">
      <c r="A1779" s="1" t="s">
        <v>1065</v>
      </c>
      <c r="B1779" s="0" t="s">
        <v>98</v>
      </c>
      <c r="C1779" s="6" t="n">
        <f aca="false">Sens!$C$1778/(wacc-g_tv)</f>
        <v>2571.52471305491</v>
      </c>
    </row>
    <row r="1780" customFormat="false" ht="15" hidden="false" customHeight="false" outlineLevel="0" collapsed="false">
      <c r="A1780" s="1" t="s">
        <v>1066</v>
      </c>
      <c r="B1780" s="0" t="s">
        <v>98</v>
      </c>
      <c r="C1780" s="6" t="n">
        <f aca="false">Sens!$C$1779/(1+wacc)^(Sens!K1772+mid_yr)</f>
        <v>1428.54051070535</v>
      </c>
    </row>
    <row r="1781" customFormat="false" ht="17.15" hidden="false" customHeight="false" outlineLevel="0" collapsed="false">
      <c r="A1781" s="0" t="s">
        <v>986</v>
      </c>
      <c r="B1781" s="0" t="s">
        <v>98</v>
      </c>
      <c r="C1781" s="6" t="n">
        <f aca="false">Sens!$C$1776+Sens!$C$1780</f>
        <v>1904.99135871875</v>
      </c>
    </row>
    <row r="1782" customFormat="false" ht="15" hidden="false" customHeight="false" outlineLevel="0" collapsed="false">
      <c r="A1782" s="1" t="s">
        <v>987</v>
      </c>
      <c r="B1782" s="0" t="s">
        <v>129</v>
      </c>
      <c r="C1782" s="7" t="n">
        <f aca="false">Sens!$C$1780/Sens!$C$1781</f>
        <v>0.749893433462161</v>
      </c>
    </row>
    <row r="1783" customFormat="false" ht="17.15" hidden="false" customHeight="false" outlineLevel="0" collapsed="false">
      <c r="A1783" s="1" t="s">
        <v>1067</v>
      </c>
      <c r="B1783" s="0" t="s">
        <v>98</v>
      </c>
      <c r="C1783" s="6" t="n">
        <f aca="false">Sens!$C$1781+Sens!E1763-Sens!E1752+oai_v</f>
        <v>2039.50435871875</v>
      </c>
    </row>
    <row r="1784" customFormat="false" ht="17.15" hidden="false" customHeight="false" outlineLevel="0" collapsed="false">
      <c r="A1784" s="0" t="s">
        <v>994</v>
      </c>
      <c r="B1784" s="0" t="s">
        <v>75</v>
      </c>
      <c r="C1784" s="5" t="n">
        <f aca="false">Sens!$C$1783/sh_dil26</f>
        <v>273.648780184993</v>
      </c>
    </row>
    <row r="1785" customFormat="false" ht="15" hidden="false" customHeight="false" outlineLevel="0" collapsed="false">
      <c r="A1785" s="1" t="s">
        <v>1068</v>
      </c>
      <c r="B1785" s="0" t="s">
        <v>75</v>
      </c>
      <c r="C1785" s="8" t="n">
        <f aca="false">dps_27+Sens!G1755*roll_div_q/q_per_yr</f>
        <v>4.8895</v>
      </c>
    </row>
    <row r="1786" customFormat="false" ht="17.15" hidden="false" customHeight="false" outlineLevel="0" collapsed="false">
      <c r="A1786" s="0" t="s">
        <v>1069</v>
      </c>
      <c r="B1786" s="0" t="s">
        <v>75</v>
      </c>
      <c r="C1786" s="5" t="n">
        <f aca="false">Sens!$C$1784*(1+wacc)^t_roll-Sens!$C$1785</f>
        <v>306.723502999642</v>
      </c>
    </row>
    <row r="1787" customFormat="false" ht="17.15" hidden="false" customHeight="false" outlineLevel="0" collapsed="false">
      <c r="A1787" s="1" t="s">
        <v>1070</v>
      </c>
      <c r="B1787" s="0" t="s">
        <v>129</v>
      </c>
      <c r="F1787" s="7" t="n">
        <f aca="false">Sens!F1742/(Sens!F1687-Sens!F1643)</f>
        <v>0.0711475516535717</v>
      </c>
      <c r="G1787" s="7" t="n">
        <f aca="false">Sens!G1742/(Sens!G1687-Sens!G1643)</f>
        <v>0.0682588862083999</v>
      </c>
      <c r="H1787" s="7" t="n">
        <f aca="false">Sens!H1742/(Sens!H1687-Sens!H1643)</f>
        <v>0.0666622170094897</v>
      </c>
      <c r="I1787" s="7" t="n">
        <f aca="false">Sens!I1742/(Sens!I1687-Sens!I1643)</f>
        <v>0.0661991449367101</v>
      </c>
      <c r="J1787" s="7" t="n">
        <f aca="false">Sens!J1742/(Sens!J1687-Sens!J1643)</f>
        <v>0.0666400583966394</v>
      </c>
      <c r="K1787" s="7" t="n">
        <f aca="false">Sens!K1742/(Sens!K1687-Sens!K1643)</f>
        <v>0.0677351822588561</v>
      </c>
    </row>
    <row r="1788" customFormat="false" ht="17.15" hidden="false" customHeight="false" outlineLevel="0" collapsed="false">
      <c r="A1788" s="0" t="s">
        <v>1071</v>
      </c>
      <c r="B1788" s="0" t="s">
        <v>98</v>
      </c>
      <c r="F1788" s="6" t="n">
        <f aca="false">Sens!F1672*(al_m365+Sens!F1787+sbc_r)</f>
        <v>83.1760446796226</v>
      </c>
      <c r="G1788" s="6" t="n">
        <f aca="false">Sens!G1672*(al_m365+Sens!G1787+sbc_r)</f>
        <v>93.5286621744803</v>
      </c>
      <c r="H1788" s="6" t="n">
        <f aca="false">Sens!H1672*(al_m365+Sens!H1787+sbc_r)</f>
        <v>104.041881899886</v>
      </c>
      <c r="I1788" s="6" t="n">
        <f aca="false">Sens!I1672*(al_m365+Sens!I1787+sbc_r)</f>
        <v>114.039361049722</v>
      </c>
      <c r="J1788" s="6" t="n">
        <f aca="false">Sens!J1672*(al_m365+Sens!J1787+sbc_r)</f>
        <v>123.332589690985</v>
      </c>
      <c r="K1788" s="6" t="n">
        <f aca="false">Sens!K1672*(al_m365+Sens!K1787+sbc_r)</f>
        <v>132.229319216379</v>
      </c>
      <c r="L1788" s="11" t="s">
        <v>1072</v>
      </c>
    </row>
    <row r="1789" customFormat="false" ht="17.15" hidden="false" customHeight="false" outlineLevel="0" collapsed="false">
      <c r="A1789" s="0" t="s">
        <v>1073</v>
      </c>
      <c r="B1789" s="0" t="s">
        <v>98</v>
      </c>
      <c r="F1789" s="6" t="n">
        <f aca="false">Sens!F1673*(al_lic+Sens!F1787+sbc_r)</f>
        <v>33.5445611735131</v>
      </c>
      <c r="G1789" s="6" t="n">
        <f aca="false">Sens!G1673*(al_lic+Sens!G1787+sbc_r)</f>
        <v>34.8473362891936</v>
      </c>
      <c r="H1789" s="6" t="n">
        <f aca="false">Sens!H1673*(al_lic+Sens!H1787+sbc_r)</f>
        <v>36.0608450618725</v>
      </c>
      <c r="I1789" s="6" t="n">
        <f aca="false">Sens!I1673*(al_lic+Sens!I1787+sbc_r)</f>
        <v>37.1647768367666</v>
      </c>
      <c r="J1789" s="6" t="n">
        <f aca="false">Sens!J1673*(al_lic+Sens!J1787+sbc_r)</f>
        <v>38.1353659513221</v>
      </c>
      <c r="K1789" s="6" t="n">
        <f aca="false">Sens!K1673*(al_lic+Sens!K1787+sbc_r)</f>
        <v>38.9479527536449</v>
      </c>
    </row>
    <row r="1790" customFormat="false" ht="17.15" hidden="false" customHeight="false" outlineLevel="0" collapsed="false">
      <c r="A1790" s="0" t="s">
        <v>1074</v>
      </c>
      <c r="B1790" s="0" t="s">
        <v>98</v>
      </c>
      <c r="F1790" s="6" t="n">
        <f aca="false">Sens!F1675*(al_ind+Sens!F1787+sbc_r)</f>
        <v>9.13359830063899</v>
      </c>
      <c r="G1790" s="6" t="n">
        <f aca="false">Sens!G1675*(al_ind+Sens!G1787+sbc_r)</f>
        <v>9.91355811855172</v>
      </c>
      <c r="H1790" s="6" t="n">
        <f aca="false">Sens!H1675*(al_ind+Sens!H1787+sbc_r)</f>
        <v>10.737007894057</v>
      </c>
      <c r="I1790" s="6" t="n">
        <f aca="false">Sens!I1675*(al_ind+Sens!I1787+sbc_r)</f>
        <v>11.5994300763088</v>
      </c>
      <c r="J1790" s="6" t="n">
        <f aca="false">Sens!J1675*(al_ind+Sens!J1787+sbc_r)</f>
        <v>12.4920789859702</v>
      </c>
      <c r="K1790" s="6" t="n">
        <f aca="false">Sens!K1675*(al_ind+Sens!K1787+sbc_r)</f>
        <v>13.4027551573777</v>
      </c>
    </row>
    <row r="1791" customFormat="false" ht="17.15" hidden="false" customHeight="false" outlineLevel="0" collapsed="false">
      <c r="A1791" s="0" t="s">
        <v>1075</v>
      </c>
      <c r="B1791" s="0" t="s">
        <v>98</v>
      </c>
      <c r="F1791" s="6" t="n">
        <f aca="false">Sens!F1677*(al_fro+Sens!F1787+sbc_r)</f>
        <v>3.59501635737694</v>
      </c>
      <c r="G1791" s="6" t="n">
        <f aca="false">Sens!G1677*(al_fro+Sens!G1787+sbc_r)</f>
        <v>3.80622021137838</v>
      </c>
      <c r="H1791" s="6" t="n">
        <f aca="false">Sens!H1677*(al_fro+Sens!H1787+sbc_r)</f>
        <v>4.04607207599632</v>
      </c>
      <c r="I1791" s="6" t="n">
        <f aca="false">Sens!I1677*(al_fro+Sens!I1787+sbc_r)</f>
        <v>4.31683578333903</v>
      </c>
      <c r="J1791" s="6" t="n">
        <f aca="false">Sens!J1677*(al_fro+Sens!J1787+sbc_r)</f>
        <v>4.62005087871645</v>
      </c>
      <c r="K1791" s="6" t="n">
        <f aca="false">Sens!K1677*(al_fro+Sens!K1787+sbc_r)</f>
        <v>4.95685392412327</v>
      </c>
    </row>
    <row r="1792" customFormat="false" ht="17.15" hidden="false" customHeight="false" outlineLevel="0" collapsed="false">
      <c r="A1792" s="0" t="s">
        <v>1076</v>
      </c>
      <c r="B1792" s="0" t="s">
        <v>98</v>
      </c>
      <c r="F1792" s="6" t="n">
        <f aca="false">Sens!F1680*(al_srch+Sens!F1787+sbc_r)</f>
        <v>11.2801258639919</v>
      </c>
      <c r="G1792" s="6" t="n">
        <f aca="false">Sens!G1680*(al_srch+Sens!G1787+sbc_r)</f>
        <v>12.3589086285988</v>
      </c>
      <c r="H1792" s="6" t="n">
        <f aca="false">Sens!H1680*(al_srch+Sens!H1787+sbc_r)</f>
        <v>13.4807030139583</v>
      </c>
      <c r="I1792" s="6" t="n">
        <f aca="false">Sens!I1680*(al_srch+Sens!I1787+sbc_r)</f>
        <v>14.6329459978989</v>
      </c>
      <c r="J1792" s="6" t="n">
        <f aca="false">Sens!J1680*(al_srch+Sens!J1787+sbc_r)</f>
        <v>15.7968154400613</v>
      </c>
      <c r="K1792" s="6" t="n">
        <f aca="false">Sens!K1680*(al_srch+Sens!K1787+sbc_r)</f>
        <v>16.9484078548661</v>
      </c>
    </row>
    <row r="1793" customFormat="false" ht="17.15" hidden="false" customHeight="false" outlineLevel="0" collapsed="false">
      <c r="A1793" s="0" t="s">
        <v>1077</v>
      </c>
      <c r="B1793" s="0" t="s">
        <v>98</v>
      </c>
      <c r="F1793" s="6" t="n">
        <f aca="false">Sens!F1649-Sens!F1650+Sens!F1730</f>
        <v>46.2790582205508</v>
      </c>
      <c r="G1793" s="6" t="n">
        <f aca="false">Sens!G1649-Sens!G1650+Sens!G1730</f>
        <v>79.2420470266576</v>
      </c>
      <c r="H1793" s="6" t="n">
        <f aca="false">Sens!H1649-Sens!H1650+Sens!H1730</f>
        <v>108.637087019183</v>
      </c>
      <c r="I1793" s="6" t="n">
        <f aca="false">Sens!I1649-Sens!I1650+Sens!I1730</f>
        <v>142.435724628654</v>
      </c>
      <c r="J1793" s="6" t="n">
        <f aca="false">Sens!J1649-Sens!J1650+Sens!J1730</f>
        <v>166.514607616853</v>
      </c>
      <c r="K1793" s="6" t="n">
        <f aca="false">Sens!K1649-Sens!K1650+Sens!K1730</f>
        <v>182.286377882579</v>
      </c>
    </row>
    <row r="1794" customFormat="false" ht="17.15" hidden="false" customHeight="false" outlineLevel="0" collapsed="false">
      <c r="A1794" s="0" t="s">
        <v>1078</v>
      </c>
      <c r="B1794" s="0" t="s">
        <v>98</v>
      </c>
      <c r="F1794" s="6" t="n">
        <f aca="false">Sens!F1709+Sens!F1730+Sens!F1660+Sens!F1787*(Sens!F1679-Sens!F1643)+sbc_r*Sens!F1679</f>
        <v>236.307944349335</v>
      </c>
      <c r="G1794" s="6" t="n">
        <f aca="false">Sens!G1709+Sens!G1730+Sens!G1660+Sens!G1787*(Sens!G1679-Sens!G1643)+sbc_r*Sens!G1679</f>
        <v>294.247562436082</v>
      </c>
      <c r="H1794" s="6" t="n">
        <f aca="false">Sens!H1709+Sens!H1730+Sens!H1660+Sens!H1787*(Sens!H1679-Sens!H1643)+sbc_r*Sens!H1679</f>
        <v>348.864893679308</v>
      </c>
      <c r="I1794" s="6" t="n">
        <f aca="false">Sens!I1709+Sens!I1730+Sens!I1660+Sens!I1787*(Sens!I1679-Sens!I1643)+sbc_r*Sens!I1679</f>
        <v>407.292537442294</v>
      </c>
      <c r="J1794" s="6" t="n">
        <f aca="false">Sens!J1709+Sens!J1730+Sens!J1660+Sens!J1787*(Sens!J1679-Sens!J1643)+sbc_r*Sens!J1679</f>
        <v>454.069648225825</v>
      </c>
      <c r="K1794" s="6" t="n">
        <f aca="false">Sens!K1709+Sens!K1730+Sens!K1660+Sens!K1787*(Sens!K1679-Sens!K1643)+sbc_r*Sens!K1679</f>
        <v>490.220772540584</v>
      </c>
    </row>
    <row r="1795" customFormat="false" ht="17.15" hidden="false" customHeight="false" outlineLevel="0" collapsed="false">
      <c r="A1795" s="0" t="s">
        <v>1079</v>
      </c>
      <c r="B1795" s="0" t="s">
        <v>98</v>
      </c>
      <c r="F1795" s="6" t="n">
        <f aca="false">Sens!F1794-Sens!F1788-Sens!F1789-Sens!F1790-Sens!F1791-Sens!F1793</f>
        <v>60.5796656176321</v>
      </c>
      <c r="G1795" s="6" t="n">
        <f aca="false">Sens!G1794-Sens!G1788-Sens!G1789-Sens!G1790-Sens!G1791-Sens!G1793</f>
        <v>72.9097386158208</v>
      </c>
      <c r="H1795" s="6" t="n">
        <f aca="false">Sens!H1794-Sens!H1788-Sens!H1789-Sens!H1790-Sens!H1791-Sens!H1793</f>
        <v>85.3419997283133</v>
      </c>
      <c r="I1795" s="6" t="n">
        <f aca="false">Sens!I1794-Sens!I1788-Sens!I1789-Sens!I1790-Sens!I1791-Sens!I1793</f>
        <v>97.7364090675031</v>
      </c>
      <c r="J1795" s="6" t="n">
        <f aca="false">Sens!J1794-Sens!J1788-Sens!J1789-Sens!J1790-Sens!J1791-Sens!J1793</f>
        <v>108.974955101978</v>
      </c>
      <c r="K1795" s="6" t="n">
        <f aca="false">Sens!K1794-Sens!K1788-Sens!K1789-Sens!K1790-Sens!K1791-Sens!K1793</f>
        <v>118.397513606481</v>
      </c>
    </row>
    <row r="1796" customFormat="false" ht="17.15" hidden="false" customHeight="false" outlineLevel="0" collapsed="false">
      <c r="A1796" s="0" t="s">
        <v>1080</v>
      </c>
      <c r="B1796" s="0" t="s">
        <v>98</v>
      </c>
      <c r="F1796" s="6" t="n">
        <f aca="false">Sens!F1711+Sens!F1787*Sens!F1686+sbc_r*Sens!F1686</f>
        <v>26.3652761595447</v>
      </c>
      <c r="G1796" s="6" t="n">
        <f aca="false">Sens!G1711+Sens!G1787*Sens!G1686+sbc_r*Sens!G1686</f>
        <v>26.9742866145486</v>
      </c>
      <c r="H1796" s="6" t="n">
        <f aca="false">Sens!H1711+Sens!H1787*Sens!H1686+sbc_r*Sens!H1686</f>
        <v>27.8483067679033</v>
      </c>
      <c r="I1796" s="6" t="n">
        <f aca="false">Sens!I1711+Sens!I1787*Sens!I1686+sbc_r*Sens!I1686</f>
        <v>28.9540944937551</v>
      </c>
      <c r="J1796" s="6" t="n">
        <f aca="false">Sens!J1711+Sens!J1787*Sens!J1686+sbc_r*Sens!J1686</f>
        <v>30.2591967501426</v>
      </c>
      <c r="K1796" s="6" t="n">
        <f aca="false">Sens!K1711+Sens!K1787*Sens!K1686+sbc_r*Sens!K1686</f>
        <v>31.7334012124467</v>
      </c>
    </row>
    <row r="1797" customFormat="false" ht="17.15" hidden="false" customHeight="false" outlineLevel="0" collapsed="false">
      <c r="A1797" s="0" t="s">
        <v>1081</v>
      </c>
      <c r="B1797" s="0" t="s">
        <v>98</v>
      </c>
      <c r="F1797" s="6" t="n">
        <f aca="false">(Sens!F1796-Sens!F1792)*Sens!F1682/(Sens!F1682+Sens!F1684)</f>
        <v>8.26953246478712</v>
      </c>
      <c r="G1797" s="6" t="n">
        <f aca="false">(Sens!G1796-Sens!G1792)*Sens!G1682/(Sens!G1682+Sens!G1684)</f>
        <v>7.8691542635731</v>
      </c>
      <c r="H1797" s="6" t="n">
        <f aca="false">(Sens!H1796-Sens!H1792)*Sens!H1682/(Sens!H1682+Sens!H1684)</f>
        <v>7.63125160105973</v>
      </c>
      <c r="I1797" s="6" t="n">
        <f aca="false">(Sens!I1796-Sens!I1792)*Sens!I1682/(Sens!I1682+Sens!I1684)</f>
        <v>7.53775281020212</v>
      </c>
      <c r="J1797" s="6" t="n">
        <f aca="false">(Sens!J1796-Sens!J1792)*Sens!J1682/(Sens!J1682+Sens!J1684)</f>
        <v>7.57766730524412</v>
      </c>
      <c r="K1797" s="6" t="n">
        <f aca="false">(Sens!K1796-Sens!K1792)*Sens!K1682/(Sens!K1682+Sens!K1684)</f>
        <v>7.74670217662516</v>
      </c>
    </row>
    <row r="1798" customFormat="false" ht="17.15" hidden="false" customHeight="false" outlineLevel="0" collapsed="false">
      <c r="A1798" s="0" t="s">
        <v>1082</v>
      </c>
      <c r="B1798" s="0" t="s">
        <v>98</v>
      </c>
      <c r="F1798" s="6" t="n">
        <f aca="false">Sens!F1796-Sens!F1792-Sens!F1797</f>
        <v>6.81561783076564</v>
      </c>
      <c r="G1798" s="6" t="n">
        <f aca="false">Sens!G1796-Sens!G1792-Sens!G1797</f>
        <v>6.74622372237672</v>
      </c>
      <c r="H1798" s="6" t="n">
        <f aca="false">Sens!H1796-Sens!H1792-Sens!H1797</f>
        <v>6.73635215288526</v>
      </c>
      <c r="I1798" s="6" t="n">
        <f aca="false">Sens!I1796-Sens!I1792-Sens!I1797</f>
        <v>6.78339568565411</v>
      </c>
      <c r="J1798" s="6" t="n">
        <f aca="false">Sens!J1796-Sens!J1792-Sens!J1797</f>
        <v>6.88471400483723</v>
      </c>
      <c r="K1798" s="6" t="n">
        <f aca="false">Sens!K1796-Sens!K1792-Sens!K1797</f>
        <v>7.03829118095546</v>
      </c>
    </row>
    <row r="1799" customFormat="false" ht="17.15" hidden="false" customHeight="false" outlineLevel="0" collapsed="false">
      <c r="A1799" s="0" t="s">
        <v>1083</v>
      </c>
      <c r="B1799" s="0" t="s">
        <v>98</v>
      </c>
      <c r="F1799" s="6" t="n">
        <f aca="false">Sens!F1793-tax_f*(Sens!F1793-Sens!F1660)-Sens!F1657</f>
        <v>-116.499651818835</v>
      </c>
      <c r="G1799" s="6" t="n">
        <f aca="false">Sens!G1793-tax_f*(Sens!G1793-Sens!G1660)-Sens!G1657</f>
        <v>-108.355455439772</v>
      </c>
      <c r="H1799" s="6" t="n">
        <f aca="false">Sens!H1793-tax_f*(Sens!H1793-Sens!H1660)-Sens!H1657</f>
        <v>-83.898412326391</v>
      </c>
      <c r="I1799" s="6" t="n">
        <f aca="false">Sens!I1793-tax_f*(Sens!I1793-Sens!I1660)-Sens!I1657</f>
        <v>-27.6369406848434</v>
      </c>
      <c r="J1799" s="6" t="n">
        <f aca="false">Sens!J1793-tax_f*(Sens!J1793-Sens!J1660)-Sens!J1657</f>
        <v>31.6299140698088</v>
      </c>
      <c r="K1799" s="6" t="n">
        <f aca="false">Sens!K1793-tax_f*(Sens!K1793-Sens!K1660)-Sens!K1657</f>
        <v>52.247979811334</v>
      </c>
    </row>
    <row r="1800" customFormat="false" ht="17.15" hidden="false" customHeight="false" outlineLevel="0" collapsed="false">
      <c r="A1800" s="0" t="s">
        <v>1084</v>
      </c>
      <c r="B1800" s="0" t="s">
        <v>98</v>
      </c>
      <c r="G1800" s="6" t="n">
        <f aca="false">Sens!G1799/(1+wacc)^(Sens!G1772-(Sens!F1772+mid_yr))</f>
        <v>-103.175346664054</v>
      </c>
      <c r="H1800" s="6" t="n">
        <f aca="false">Sens!H1799/(1+wacc)^(Sens!H1772-(Sens!F1772+mid_yr))</f>
        <v>-72.4317881626314</v>
      </c>
      <c r="I1800" s="6" t="n">
        <f aca="false">Sens!I1799/(1+wacc)^(Sens!I1772-(Sens!F1772+mid_yr))</f>
        <v>-21.6329497127082</v>
      </c>
      <c r="J1800" s="6" t="n">
        <f aca="false">Sens!J1799/(1+wacc)^(Sens!J1772-(Sens!F1772+mid_yr))</f>
        <v>22.447816112723</v>
      </c>
      <c r="K1800" s="6" t="n">
        <f aca="false">Sens!K1799/(1+wacc)^(Sens!K1772-(Sens!F1772+mid_yr))</f>
        <v>33.6198596940695</v>
      </c>
      <c r="L1800" s="1" t="s">
        <v>1085</v>
      </c>
    </row>
    <row r="1801" customFormat="false" ht="17.15" hidden="false" customHeight="false" outlineLevel="0" collapsed="false">
      <c r="A1801" s="0" t="s">
        <v>1086</v>
      </c>
      <c r="B1801" s="0" t="s">
        <v>98</v>
      </c>
      <c r="C1801" s="6" t="n">
        <f aca="false">(Sens!K1793-Sens!K1660)*(1-tax_f)*(1+g_tv)*(1-g_tv/(wacc+ronic_prem))/(wacc-g_tv)/(1+wacc)^(Sens!K1772+mid_yr-(Sens!F1772+mid_yr))</f>
        <v>211.6646788448</v>
      </c>
    </row>
    <row r="1802" customFormat="false" ht="17.15" hidden="false" customHeight="false" outlineLevel="0" collapsed="false">
      <c r="A1802" s="1" t="s">
        <v>1087</v>
      </c>
      <c r="B1802" s="0" t="s">
        <v>98</v>
      </c>
      <c r="C1802" s="6" t="n">
        <f aca="false">(SUM(Sens!G1800:K1800)+Sens!$C$1801)*(1+wacc)^(t_roll-(Sens!F1772+mid_yr))</f>
        <v>72.7803033597131</v>
      </c>
      <c r="L1802" s="11" t="s">
        <v>1088</v>
      </c>
    </row>
    <row r="1803" customFormat="false" ht="17.15" hidden="false" customHeight="false" outlineLevel="0" collapsed="false">
      <c r="A1803" s="1" t="s">
        <v>1089</v>
      </c>
      <c r="B1803" s="0" t="s">
        <v>98</v>
      </c>
      <c r="C1803" s="6" t="n">
        <f aca="false">(w_ntm28*Sens!G1649+(1-w_ntm28)*Sens!H1649)*m_ai</f>
        <v>412.155137549935</v>
      </c>
    </row>
    <row r="1804" customFormat="false" ht="17.15" hidden="false" customHeight="false" outlineLevel="0" collapsed="false">
      <c r="A1804" s="1" t="s">
        <v>1090</v>
      </c>
      <c r="B1804" s="0" t="s">
        <v>98</v>
      </c>
      <c r="C1804" s="6" t="n">
        <f aca="false">(w_ntm28*Sens!G1795+(1-w_ntm28)*Sens!H1795)*m_cloud</f>
        <v>1063.1578866619</v>
      </c>
    </row>
    <row r="1805" customFormat="false" ht="17.15" hidden="false" customHeight="false" outlineLevel="0" collapsed="false">
      <c r="A1805" s="1" t="s">
        <v>1091</v>
      </c>
      <c r="B1805" s="0" t="s">
        <v>98</v>
      </c>
      <c r="C1805" s="6" t="n">
        <f aca="false">(w_ntm28*Sens!G1788+(1-w_ntm28)*Sens!H1788)*m_sw</f>
        <v>1046.81653016399</v>
      </c>
    </row>
    <row r="1806" customFormat="false" ht="17.15" hidden="false" customHeight="false" outlineLevel="0" collapsed="false">
      <c r="A1806" s="1" t="s">
        <v>1092</v>
      </c>
      <c r="B1806" s="0" t="s">
        <v>98</v>
      </c>
      <c r="C1806" s="6" t="n">
        <f aca="false">(w_ntm28*Sens!G1789+(1-w_ntm28)*Sens!H1789)*m_sw</f>
        <v>380.588206114803</v>
      </c>
    </row>
    <row r="1807" customFormat="false" ht="17.15" hidden="false" customHeight="false" outlineLevel="0" collapsed="false">
      <c r="A1807" s="1" t="s">
        <v>1093</v>
      </c>
      <c r="B1807" s="0" t="s">
        <v>98</v>
      </c>
      <c r="C1807" s="6" t="n">
        <f aca="false">(w_ntm28*Sens!G1790+(1-w_ntm28)*Sens!H1790)*m_sw</f>
        <v>109.941508211602</v>
      </c>
    </row>
    <row r="1808" customFormat="false" ht="17.15" hidden="false" customHeight="false" outlineLevel="0" collapsed="false">
      <c r="A1808" s="1" t="s">
        <v>1094</v>
      </c>
      <c r="B1808" s="0" t="s">
        <v>98</v>
      </c>
      <c r="C1808" s="6" t="n">
        <f aca="false">(w_ntm28*Sens!G1791+(1-w_ntm28)*Sens!H1791)*m_sw</f>
        <v>41.944622711021</v>
      </c>
    </row>
    <row r="1809" customFormat="false" ht="17.15" hidden="false" customHeight="false" outlineLevel="0" collapsed="false">
      <c r="A1809" s="1" t="s">
        <v>1095</v>
      </c>
      <c r="B1809" s="0" t="s">
        <v>98</v>
      </c>
      <c r="C1809" s="6" t="n">
        <f aca="false">(w_ntm28*Sens!G1792+(1-w_ntm28)*Sens!H1792)*m_ads</f>
        <v>115.893511108929</v>
      </c>
    </row>
    <row r="1810" customFormat="false" ht="17.15" hidden="false" customHeight="false" outlineLevel="0" collapsed="false">
      <c r="A1810" s="1" t="s">
        <v>1096</v>
      </c>
      <c r="B1810" s="0" t="s">
        <v>98</v>
      </c>
      <c r="C1810" s="6" t="n">
        <f aca="false">(w_ntm28*Sens!G1797+(1-w_ntm28)*Sens!H1797)*m_game</f>
        <v>98.416032447421</v>
      </c>
    </row>
    <row r="1811" customFormat="false" ht="17.15" hidden="false" customHeight="false" outlineLevel="0" collapsed="false">
      <c r="A1811" s="1" t="s">
        <v>1097</v>
      </c>
      <c r="B1811" s="0" t="s">
        <v>98</v>
      </c>
      <c r="C1811" s="6" t="n">
        <f aca="false">(w_ntm28*Sens!G1798+(1-w_ntm28)*Sens!H1798)*m_pc</f>
        <v>97.5716783311641</v>
      </c>
    </row>
    <row r="1812" customFormat="false" ht="17.15" hidden="false" customHeight="false" outlineLevel="0" collapsed="false">
      <c r="A1812" s="1" t="s">
        <v>1098</v>
      </c>
      <c r="B1812" s="0" t="s">
        <v>98</v>
      </c>
      <c r="C1812" s="6" t="n">
        <f aca="false">Sens!$C$1802+Sens!$C$1804+Sens!$C$1805+Sens!$C$1806+Sens!$C$1807+Sens!$C$1808+Sens!$C$1809+Sens!$C$1810+Sens!$C$1811</f>
        <v>3027.11027911055</v>
      </c>
    </row>
    <row r="1813" customFormat="false" ht="17.15" hidden="false" customHeight="false" outlineLevel="0" collapsed="false">
      <c r="A1813" s="1" t="s">
        <v>1099</v>
      </c>
      <c r="B1813" s="0" t="s">
        <v>98</v>
      </c>
      <c r="C1813" s="6" t="n">
        <f aca="false">(Sens!G1774-Sens!G1799)*t_stub</f>
        <v>46.8760727339386</v>
      </c>
      <c r="L1813" s="1" t="s">
        <v>1100</v>
      </c>
    </row>
    <row r="1814" customFormat="false" ht="17.15" hidden="false" customHeight="false" outlineLevel="0" collapsed="false">
      <c r="A1814" s="1" t="s">
        <v>1014</v>
      </c>
      <c r="B1814" s="0" t="s">
        <v>98</v>
      </c>
      <c r="C1814" s="6" t="n">
        <f aca="false">Sens!F1763+oai_v-Sens!F1752+Sens!$C$1813</f>
        <v>160.081744004184</v>
      </c>
      <c r="L1814" s="1" t="s">
        <v>1101</v>
      </c>
    </row>
    <row r="1815" customFormat="false" ht="17.15" hidden="false" customHeight="false" outlineLevel="0" collapsed="false">
      <c r="A1815" s="1" t="s">
        <v>1102</v>
      </c>
      <c r="B1815" s="0" t="s">
        <v>75</v>
      </c>
      <c r="C1815" s="5" t="n">
        <f aca="false">(Sens!$C$1812+Sens!$C$1814)/(Sens!F1765+dil_gap)-Sens!G1755*roll_div_q/q_per_yr</f>
        <v>424.146202123097</v>
      </c>
      <c r="L1815" s="1" t="s">
        <v>1103</v>
      </c>
    </row>
    <row r="1816" customFormat="false" ht="17.15" hidden="false" customHeight="false" outlineLevel="0" collapsed="false">
      <c r="A1816" s="1" t="s">
        <v>1104</v>
      </c>
      <c r="B1816" s="0" t="s">
        <v>75</v>
      </c>
      <c r="C1816" s="5" t="n">
        <f aca="false">w_dcf*Sens!$C$1786+(1-w_dcf)*Sens!$C$1815</f>
        <v>365.434852561369</v>
      </c>
    </row>
    <row r="1817" customFormat="false" ht="17.15" hidden="false" customHeight="false" outlineLevel="0" collapsed="false">
      <c r="A1817" s="3" t="s">
        <v>1307</v>
      </c>
    </row>
    <row r="1818" customFormat="false" ht="15" hidden="false" customHeight="false" outlineLevel="0" collapsed="false">
      <c r="A1818" s="4" t="s">
        <v>43</v>
      </c>
      <c r="B1818" s="4" t="s">
        <v>65</v>
      </c>
      <c r="C1818" s="20" t="s">
        <v>799</v>
      </c>
      <c r="D1818" s="20" t="s">
        <v>800</v>
      </c>
      <c r="E1818" s="20" t="s">
        <v>801</v>
      </c>
      <c r="F1818" s="20" t="s">
        <v>802</v>
      </c>
      <c r="G1818" s="20" t="s">
        <v>803</v>
      </c>
      <c r="H1818" s="20" t="s">
        <v>804</v>
      </c>
      <c r="I1818" s="20" t="s">
        <v>805</v>
      </c>
      <c r="J1818" s="20" t="s">
        <v>806</v>
      </c>
      <c r="K1818" s="20" t="s">
        <v>807</v>
      </c>
      <c r="L1818" s="4" t="s">
        <v>47</v>
      </c>
    </row>
    <row r="1819" customFormat="false" ht="17.15" hidden="false" customHeight="false" outlineLevel="0" collapsed="false">
      <c r="A1819" s="1" t="s">
        <v>808</v>
      </c>
      <c r="B1819" s="1" t="s">
        <v>235</v>
      </c>
      <c r="C1819" s="28" t="n">
        <v>2024</v>
      </c>
      <c r="D1819" s="28" t="n">
        <v>2025</v>
      </c>
      <c r="E1819" s="28" t="n">
        <v>2026</v>
      </c>
      <c r="F1819" s="28" t="n">
        <v>2027</v>
      </c>
      <c r="G1819" s="28" t="n">
        <v>2028</v>
      </c>
      <c r="H1819" s="28" t="n">
        <v>2029</v>
      </c>
      <c r="I1819" s="28" t="n">
        <v>2030</v>
      </c>
      <c r="J1819" s="28" t="n">
        <v>2031</v>
      </c>
      <c r="K1819" s="28" t="n">
        <v>2032</v>
      </c>
    </row>
    <row r="1820" customFormat="false" ht="17.15" hidden="false" customHeight="false" outlineLevel="0" collapsed="false">
      <c r="A1820" s="1" t="s">
        <v>809</v>
      </c>
      <c r="B1820" s="0" t="s">
        <v>399</v>
      </c>
      <c r="F1820" s="29" t="n">
        <f aca="false">pace</f>
        <v>2527.2</v>
      </c>
      <c r="G1820" s="29" t="n">
        <f aca="false">pace</f>
        <v>2527.2</v>
      </c>
      <c r="H1820" s="29" t="n">
        <f aca="false">pace</f>
        <v>2527.2</v>
      </c>
      <c r="I1820" s="29" t="n">
        <f aca="false">pace+(g_tv*Sens!H1821-pace)*MIN(1,(Sens!I1819-pace_y0)/(pace_y1-pace_y0))</f>
        <v>1793.116</v>
      </c>
      <c r="J1820" s="29" t="n">
        <f aca="false">pace+(g_tv*Sens!I1821-pace)*MIN(1,(Sens!J1819-pace_y0)/(pace_y1-pace_y0))</f>
        <v>1094.89432</v>
      </c>
      <c r="K1820" s="29" t="n">
        <f aca="false">pace+(g_tv*Sens!J1821-pace)*MIN(1,(Sens!K1819-pace_y0)/(pace_y1-pace_y0))</f>
        <v>411.5883096</v>
      </c>
      <c r="L1820" s="11" t="s">
        <v>810</v>
      </c>
    </row>
    <row r="1821" customFormat="false" ht="17.15" hidden="false" customHeight="false" outlineLevel="0" collapsed="false">
      <c r="A1821" s="1" t="s">
        <v>811</v>
      </c>
      <c r="B1821" s="0" t="s">
        <v>399</v>
      </c>
      <c r="C1821" s="29" t="n">
        <f aca="false">mw_ext_24</f>
        <v>640</v>
      </c>
      <c r="D1821" s="29" t="n">
        <f aca="false">mw_ext_25</f>
        <v>1630</v>
      </c>
      <c r="E1821" s="29" t="n">
        <f aca="false">mw_ext_26</f>
        <v>3250</v>
      </c>
      <c r="F1821" s="29" t="n">
        <f aca="false">Sens!E1821+Sens!F1820</f>
        <v>5777.2</v>
      </c>
      <c r="G1821" s="29" t="n">
        <f aca="false">Sens!F1821+Sens!G1820</f>
        <v>8304.4</v>
      </c>
      <c r="H1821" s="29" t="n">
        <f aca="false">Sens!G1821+Sens!H1820</f>
        <v>10831.6</v>
      </c>
      <c r="I1821" s="29" t="n">
        <f aca="false">Sens!H1821+Sens!I1820</f>
        <v>12624.716</v>
      </c>
      <c r="J1821" s="29" t="n">
        <f aca="false">Sens!I1821+Sens!J1820</f>
        <v>13719.61032</v>
      </c>
      <c r="K1821" s="29" t="n">
        <f aca="false">Sens!J1821+Sens!K1820</f>
        <v>14131.1986296</v>
      </c>
      <c r="L1821" s="1" t="s">
        <v>812</v>
      </c>
    </row>
    <row r="1822" customFormat="false" ht="17.15" hidden="false" customHeight="false" outlineLevel="0" collapsed="false">
      <c r="A1822" s="1" t="s">
        <v>813</v>
      </c>
      <c r="B1822" s="0" t="s">
        <v>399</v>
      </c>
      <c r="C1822" s="29" t="n">
        <f aca="false">rent_ext_24</f>
        <v>150</v>
      </c>
      <c r="D1822" s="29" t="n">
        <f aca="false">rent_ext_25</f>
        <v>400</v>
      </c>
      <c r="E1822" s="29" t="n">
        <f aca="false">rent_ext_26</f>
        <v>550</v>
      </c>
      <c r="F1822" s="29" t="n">
        <f aca="false">rent_ext_f</f>
        <v>756</v>
      </c>
      <c r="G1822" s="29" t="n">
        <f aca="false">rent_ext_f</f>
        <v>756</v>
      </c>
      <c r="H1822" s="29" t="n">
        <f aca="false">rent_ext_f</f>
        <v>756</v>
      </c>
      <c r="I1822" s="29" t="n">
        <f aca="false">rent_ext_f</f>
        <v>756</v>
      </c>
      <c r="J1822" s="29" t="n">
        <f aca="false">rent_ext_f</f>
        <v>756</v>
      </c>
      <c r="K1822" s="29" t="n">
        <f aca="false">rent_ext_f</f>
        <v>756</v>
      </c>
      <c r="L1822" s="1" t="s">
        <v>814</v>
      </c>
    </row>
    <row r="1823" customFormat="false" ht="17.15" hidden="false" customHeight="false" outlineLevel="0" collapsed="false">
      <c r="A1823" s="1" t="s">
        <v>815</v>
      </c>
      <c r="B1823" s="0" t="s">
        <v>399</v>
      </c>
      <c r="C1823" s="29" t="n">
        <f aca="false">Sens!C1821-Sens!C1822</f>
        <v>490</v>
      </c>
      <c r="D1823" s="29" t="n">
        <f aca="false">Sens!D1821-Sens!D1822</f>
        <v>1230</v>
      </c>
      <c r="E1823" s="29" t="n">
        <f aca="false">Sens!E1821-Sens!E1822</f>
        <v>2700</v>
      </c>
      <c r="F1823" s="29" t="n">
        <f aca="false">Sens!F1821-Sens!F1822</f>
        <v>5021.2</v>
      </c>
      <c r="G1823" s="29" t="n">
        <f aca="false">Sens!G1821-Sens!G1822</f>
        <v>7548.4</v>
      </c>
      <c r="H1823" s="29" t="n">
        <f aca="false">Sens!H1821-Sens!H1822</f>
        <v>10075.6</v>
      </c>
      <c r="I1823" s="29" t="n">
        <f aca="false">Sens!I1821-Sens!I1822</f>
        <v>11868.716</v>
      </c>
      <c r="J1823" s="29" t="n">
        <f aca="false">Sens!J1821-Sens!J1822</f>
        <v>12963.61032</v>
      </c>
      <c r="K1823" s="29" t="n">
        <f aca="false">Sens!K1821-Sens!K1822</f>
        <v>13375.1986296</v>
      </c>
    </row>
    <row r="1824" customFormat="false" ht="17.15" hidden="false" customHeight="false" outlineLevel="0" collapsed="false">
      <c r="A1824" s="1" t="s">
        <v>816</v>
      </c>
      <c r="B1824" s="0" t="s">
        <v>399</v>
      </c>
      <c r="C1824" s="29" t="n">
        <f aca="false">Sens!C1823/ext_sh_lo</f>
        <v>980</v>
      </c>
      <c r="D1824" s="29" t="n">
        <f aca="false">Sens!D1823/ext_sh_lo</f>
        <v>2460</v>
      </c>
      <c r="E1824" s="29" t="n">
        <f aca="false">Sens!E1823/ext_sh_lo</f>
        <v>5400</v>
      </c>
      <c r="F1824" s="29" t="n">
        <f aca="false">Sens!F1823/ext_sh_lo</f>
        <v>10042.4</v>
      </c>
      <c r="G1824" s="29" t="n">
        <f aca="false">Sens!G1823/ext_sh_lo</f>
        <v>15096.8</v>
      </c>
      <c r="H1824" s="29" t="n">
        <f aca="false">Sens!H1823/ext_sh_lo</f>
        <v>20151.2</v>
      </c>
      <c r="I1824" s="29" t="n">
        <f aca="false">Sens!I1823/ext_sh_lo</f>
        <v>23737.432</v>
      </c>
      <c r="J1824" s="29" t="n">
        <f aca="false">Sens!J1823/ext_sh_lo</f>
        <v>25927.22064</v>
      </c>
      <c r="K1824" s="29" t="n">
        <f aca="false">Sens!K1823/ext_sh_lo</f>
        <v>26750.3972592</v>
      </c>
      <c r="L1824" s="1" t="s">
        <v>817</v>
      </c>
    </row>
    <row r="1825" customFormat="false" ht="17.15" hidden="false" customHeight="false" outlineLevel="0" collapsed="false">
      <c r="A1825" s="1" t="s">
        <v>818</v>
      </c>
      <c r="B1825" s="0" t="s">
        <v>399</v>
      </c>
      <c r="C1825" s="29" t="n">
        <f aca="false">Sens!C1824-Sens!C1823</f>
        <v>490</v>
      </c>
      <c r="D1825" s="29" t="n">
        <f aca="false">Sens!D1824-Sens!D1823</f>
        <v>1230</v>
      </c>
      <c r="E1825" s="29" t="n">
        <f aca="false">Sens!E1824-Sens!E1823</f>
        <v>2700</v>
      </c>
      <c r="F1825" s="29" t="n">
        <f aca="false">Sens!F1824-Sens!F1823</f>
        <v>5021.2</v>
      </c>
      <c r="G1825" s="29" t="n">
        <f aca="false">Sens!G1824-Sens!G1823</f>
        <v>7548.4</v>
      </c>
      <c r="H1825" s="29" t="n">
        <f aca="false">Sens!H1824-Sens!H1823</f>
        <v>10075.6</v>
      </c>
      <c r="I1825" s="29" t="n">
        <f aca="false">Sens!I1824-Sens!I1823</f>
        <v>11868.716</v>
      </c>
      <c r="J1825" s="29" t="n">
        <f aca="false">Sens!J1824-Sens!J1823</f>
        <v>12963.61032</v>
      </c>
      <c r="K1825" s="29" t="n">
        <f aca="false">Sens!K1824-Sens!K1823</f>
        <v>13375.1986296</v>
      </c>
    </row>
    <row r="1826" customFormat="false" ht="17.15" hidden="false" customHeight="false" outlineLevel="0" collapsed="false">
      <c r="A1826" s="1" t="s">
        <v>819</v>
      </c>
      <c r="B1826" s="0" t="s">
        <v>399</v>
      </c>
      <c r="C1826" s="29" t="n">
        <f aca="false">Sens!C1824</f>
        <v>980</v>
      </c>
      <c r="D1826" s="29" t="n">
        <f aca="false">Sens!D1824-Sens!C1824</f>
        <v>1480</v>
      </c>
      <c r="E1826" s="29" t="n">
        <f aca="false">Sens!E1824-Sens!D1824</f>
        <v>2940</v>
      </c>
      <c r="F1826" s="29" t="n">
        <f aca="false">Sens!F1824-Sens!E1824</f>
        <v>4642.4</v>
      </c>
      <c r="G1826" s="29" t="n">
        <f aca="false">Sens!G1824-Sens!F1824</f>
        <v>5054.4</v>
      </c>
      <c r="H1826" s="29" t="n">
        <f aca="false">Sens!H1824-Sens!G1824</f>
        <v>5054.4</v>
      </c>
      <c r="I1826" s="29" t="n">
        <f aca="false">Sens!I1824-Sens!H1824</f>
        <v>3586.232</v>
      </c>
      <c r="J1826" s="29" t="n">
        <f aca="false">Sens!J1824-Sens!I1824</f>
        <v>2189.78864</v>
      </c>
      <c r="K1826" s="29" t="n">
        <f aca="false">Sens!K1824-Sens!J1824</f>
        <v>823.1766192</v>
      </c>
    </row>
    <row r="1827" customFormat="false" ht="17.15" hidden="false" customHeight="false" outlineLevel="0" collapsed="false">
      <c r="A1827" s="1" t="s">
        <v>820</v>
      </c>
      <c r="B1827" s="0" t="s">
        <v>399</v>
      </c>
      <c r="D1827" s="29" t="n">
        <f aca="false">Sens!D1821-Sens!C1821</f>
        <v>990</v>
      </c>
      <c r="E1827" s="29" t="n">
        <f aca="false">Sens!E1821-Sens!D1821</f>
        <v>1620</v>
      </c>
      <c r="F1827" s="29" t="n">
        <f aca="false">Sens!F1821-Sens!E1821</f>
        <v>2527.2</v>
      </c>
      <c r="G1827" s="29" t="n">
        <f aca="false">Sens!G1821-Sens!F1821</f>
        <v>2527.2</v>
      </c>
      <c r="H1827" s="29" t="n">
        <f aca="false">Sens!H1821-Sens!G1821</f>
        <v>2527.2</v>
      </c>
      <c r="I1827" s="29" t="n">
        <f aca="false">Sens!I1821-Sens!H1821</f>
        <v>1793.116</v>
      </c>
      <c r="J1827" s="29" t="n">
        <f aca="false">Sens!J1821-Sens!I1821</f>
        <v>1094.89432</v>
      </c>
      <c r="K1827" s="29" t="n">
        <f aca="false">Sens!K1821-Sens!J1821</f>
        <v>411.5883096</v>
      </c>
    </row>
    <row r="1828" customFormat="false" ht="17.15" hidden="false" customHeight="false" outlineLevel="0" collapsed="false">
      <c r="A1828" s="1" t="s">
        <v>821</v>
      </c>
      <c r="B1828" s="0" t="s">
        <v>399</v>
      </c>
      <c r="F1828" s="29" t="n">
        <f aca="false">Sens!F1845*ext_sh_lo</f>
        <v>0</v>
      </c>
      <c r="G1828" s="29" t="n">
        <f aca="false">Sens!G1845*ext_sh_lo</f>
        <v>0</v>
      </c>
      <c r="H1828" s="29" t="n">
        <f aca="false">Sens!H1845*ext_sh_lo</f>
        <v>0</v>
      </c>
      <c r="I1828" s="29" t="n">
        <f aca="false">Sens!I1845*ext_sh_lo</f>
        <v>490</v>
      </c>
      <c r="J1828" s="29" t="n">
        <f aca="false">Sens!J1845*ext_sh_lo</f>
        <v>740</v>
      </c>
      <c r="K1828" s="29" t="n">
        <f aca="false">Sens!K1845*ext_sh_lo</f>
        <v>1470</v>
      </c>
      <c r="L1828" s="1" t="s">
        <v>822</v>
      </c>
    </row>
    <row r="1829" customFormat="false" ht="17.15" hidden="false" customHeight="false" outlineLevel="0" collapsed="false">
      <c r="A1829" s="1" t="s">
        <v>823</v>
      </c>
      <c r="B1829" s="0" t="s">
        <v>399</v>
      </c>
      <c r="C1829" s="29" t="n">
        <f aca="false">mix_h*Sens!C1821</f>
        <v>128</v>
      </c>
      <c r="D1829" s="29" t="n">
        <f aca="false">mix_h*Sens!D1821</f>
        <v>326</v>
      </c>
      <c r="E1829" s="29" t="n">
        <f aca="false">mix_h*Sens!E1821</f>
        <v>650</v>
      </c>
      <c r="F1829" s="29" t="n">
        <f aca="false">Sens!E1829-Sens!F1828*mix_h</f>
        <v>650</v>
      </c>
      <c r="G1829" s="29" t="n">
        <f aca="false">Sens!F1829-Sens!G1828*mix_h</f>
        <v>650</v>
      </c>
      <c r="H1829" s="29" t="n">
        <f aca="false">Sens!G1829-Sens!H1828*mix_h</f>
        <v>650</v>
      </c>
      <c r="I1829" s="29" t="n">
        <f aca="false">Sens!H1829-Sens!I1828*mix_h</f>
        <v>552</v>
      </c>
      <c r="J1829" s="29" t="n">
        <f aca="false">Sens!I1829-Sens!J1828*mix_h</f>
        <v>404</v>
      </c>
      <c r="K1829" s="29" t="n">
        <f aca="false">Sens!J1829-Sens!K1828*mix_h</f>
        <v>110</v>
      </c>
    </row>
    <row r="1830" customFormat="false" ht="17.15" hidden="false" customHeight="false" outlineLevel="0" collapsed="false">
      <c r="A1830" s="1" t="s">
        <v>824</v>
      </c>
      <c r="B1830" s="0" t="s">
        <v>399</v>
      </c>
      <c r="C1830" s="29" t="n">
        <f aca="false">mix_g2*Sens!C1821</f>
        <v>288</v>
      </c>
      <c r="D1830" s="29" t="n">
        <f aca="false">mix_g2*Sens!D1821</f>
        <v>733.5</v>
      </c>
      <c r="E1830" s="29" t="n">
        <f aca="false">mix_g2*Sens!E1821</f>
        <v>1462.5</v>
      </c>
      <c r="F1830" s="29" t="n">
        <f aca="false">Sens!E1830-Sens!F1828*mix_g2</f>
        <v>1462.5</v>
      </c>
      <c r="G1830" s="29" t="n">
        <f aca="false">Sens!F1830-Sens!G1828*mix_g2</f>
        <v>1462.5</v>
      </c>
      <c r="H1830" s="29" t="n">
        <f aca="false">Sens!G1830-Sens!H1828*mix_g2</f>
        <v>1462.5</v>
      </c>
      <c r="I1830" s="29" t="n">
        <f aca="false">Sens!H1830-Sens!I1828*mix_g2</f>
        <v>1242</v>
      </c>
      <c r="J1830" s="29" t="n">
        <f aca="false">Sens!I1830-Sens!J1828*mix_g2</f>
        <v>909</v>
      </c>
      <c r="K1830" s="29" t="n">
        <f aca="false">Sens!J1830-Sens!K1828*mix_g2</f>
        <v>247.5</v>
      </c>
    </row>
    <row r="1831" customFormat="false" ht="17.15" hidden="false" customHeight="false" outlineLevel="0" collapsed="false">
      <c r="A1831" s="1" t="s">
        <v>825</v>
      </c>
      <c r="B1831" s="0" t="s">
        <v>399</v>
      </c>
      <c r="C1831" s="29" t="n">
        <f aca="false">mix_g3*Sens!C1821</f>
        <v>224</v>
      </c>
      <c r="D1831" s="29" t="n">
        <f aca="false">mix_g3*Sens!D1821</f>
        <v>570.5</v>
      </c>
      <c r="E1831" s="29" t="n">
        <f aca="false">mix_g3*Sens!E1821</f>
        <v>1137.5</v>
      </c>
      <c r="F1831" s="29" t="n">
        <f aca="false">Sens!E1831+(Sens!F1827+Sens!F1828)*a_g3_27-Sens!F1828*mix_g3</f>
        <v>2906.54</v>
      </c>
      <c r="G1831" s="29" t="n">
        <f aca="false">Sens!F1831+(Sens!G1827+Sens!G1828)*a_g3_28-Sens!G1828*mix_g3</f>
        <v>3664.7</v>
      </c>
      <c r="H1831" s="29" t="n">
        <f aca="false">Sens!G1831+(Sens!H1827+Sens!H1828)*a_g3_29-Sens!H1828*mix_g3</f>
        <v>3917.42</v>
      </c>
      <c r="I1831" s="29" t="n">
        <f aca="false">Sens!H1831+(Sens!I1827+Sens!I1828)*a_g3_29-Sens!I1828*mix_g3</f>
        <v>3974.2316</v>
      </c>
      <c r="J1831" s="29" t="n">
        <f aca="false">Sens!I1831+(Sens!J1827+Sens!J1828)*a_g3_29-Sens!J1828*mix_g3</f>
        <v>3898.721032</v>
      </c>
      <c r="K1831" s="29" t="n">
        <f aca="false">Sens!J1831+(Sens!K1827+Sens!K1828)*a_g3_29-Sens!K1828*mix_g3</f>
        <v>3572.37986296</v>
      </c>
    </row>
    <row r="1832" customFormat="false" ht="17.15" hidden="false" customHeight="false" outlineLevel="0" collapsed="false">
      <c r="A1832" s="1" t="s">
        <v>826</v>
      </c>
      <c r="B1832" s="0" t="s">
        <v>399</v>
      </c>
      <c r="C1832" s="29" t="n">
        <v>0</v>
      </c>
      <c r="D1832" s="29" t="n">
        <v>0</v>
      </c>
      <c r="E1832" s="29" t="n">
        <v>0</v>
      </c>
      <c r="F1832" s="29" t="n">
        <f aca="false">Sens!E1832+(Sens!F1827+Sens!F1828)*(1-a_g3_27)</f>
        <v>758.16</v>
      </c>
      <c r="G1832" s="29" t="n">
        <f aca="false">Sens!F1832+(Sens!G1827+Sens!G1828)*(1-a_g3_28)</f>
        <v>2527.2</v>
      </c>
      <c r="H1832" s="29" t="n">
        <f aca="false">Sens!G1832+(Sens!H1827+Sens!H1828)*(1-a_g3_29)</f>
        <v>4801.68</v>
      </c>
      <c r="I1832" s="29" t="n">
        <f aca="false">Sens!H1832+(Sens!I1827+Sens!I1828)*(1-a_g3_29)</f>
        <v>6856.4844</v>
      </c>
      <c r="J1832" s="29" t="n">
        <f aca="false">Sens!I1832+(Sens!J1827+Sens!J1828)*(1-a_g3_29)</f>
        <v>8507.889288</v>
      </c>
      <c r="K1832" s="29" t="n">
        <f aca="false">Sens!J1832+(Sens!K1827+Sens!K1828)*(1-a_g3_29)</f>
        <v>10201.31876664</v>
      </c>
    </row>
    <row r="1833" customFormat="false" ht="17.15" hidden="false" customHeight="false" outlineLevel="0" collapsed="false">
      <c r="A1833" s="1" t="s">
        <v>827</v>
      </c>
      <c r="B1833" s="0" t="s">
        <v>346</v>
      </c>
      <c r="C1833" s="14" t="n">
        <f aca="false">(Sens!C1829*tk_hold_h100+Sens!C1830*tk_hold_gb200+Sens!C1831*tk_hold_gb300+Sens!C1832*tk_hold_vr200)/Sens!C1821</f>
        <v>9.7235358126469</v>
      </c>
      <c r="D1833" s="14" t="n">
        <f aca="false">(Sens!D1829*tk_hold_h100+Sens!D1830*tk_hold_gb200+Sens!D1831*tk_hold_gb300+Sens!D1832*tk_hold_vr200)/Sens!D1821</f>
        <v>9.7235358126469</v>
      </c>
      <c r="E1833" s="14" t="n">
        <f aca="false">(Sens!E1829*tk_hold_h100+Sens!E1830*tk_hold_gb200+Sens!E1831*tk_hold_gb300+Sens!E1832*tk_hold_vr200)/Sens!E1821</f>
        <v>9.7235358126469</v>
      </c>
      <c r="F1833" s="14" t="n">
        <f aca="false">(Sens!F1829*tk_hold_h100+Sens!F1830*tk_hold_gb200+Sens!F1831*tk_hold_gb300+Sens!F1832*tk_hold_vr200)/Sens!F1821</f>
        <v>10.4079573161931</v>
      </c>
      <c r="G1833" s="14" t="n">
        <f aca="false">(Sens!G1829*tk_hold_h100+Sens!G1830*tk_hold_gb200+Sens!G1831*tk_hold_gb300+Sens!G1832*tk_hold_vr200)/Sens!G1821</f>
        <v>10.8388131109316</v>
      </c>
      <c r="H1833" s="14" t="n">
        <f aca="false">(Sens!H1829*tk_hold_h100+Sens!H1830*tk_hold_gb200+Sens!H1831*tk_hold_gb300+Sens!H1832*tk_hold_vr200)/Sens!H1821</f>
        <v>11.1311018388216</v>
      </c>
      <c r="I1833" s="14" t="n">
        <f aca="false">(Sens!I1829*tk_hold_h100+Sens!I1830*tk_hold_gb200+Sens!I1831*tk_hold_gb300+Sens!I1832*tk_hold_vr200)/Sens!I1821</f>
        <v>11.3594282560989</v>
      </c>
      <c r="J1833" s="14" t="n">
        <f aca="false">(Sens!J1829*tk_hold_h100+Sens!J1830*tk_hold_gb200+Sens!J1831*tk_hold_gb300+Sens!J1832*tk_hold_vr200)/Sens!J1821</f>
        <v>11.5455817917599</v>
      </c>
      <c r="K1833" s="14" t="n">
        <f aca="false">(Sens!K1829*tk_hold_h100+Sens!K1830*tk_hold_gb200+Sens!K1831*tk_hold_gb300+Sens!K1832*tk_hold_vr200)/Sens!K1821</f>
        <v>11.8078187977246</v>
      </c>
    </row>
    <row r="1834" customFormat="false" ht="17.15" hidden="false" customHeight="false" outlineLevel="0" collapsed="false">
      <c r="A1834" s="0" t="s">
        <v>828</v>
      </c>
      <c r="B1834" s="0" t="s">
        <v>185</v>
      </c>
      <c r="C1834" s="14" t="n">
        <f aca="false">k_B</f>
        <v>1.17213932619116</v>
      </c>
      <c r="D1834" s="14" t="n">
        <f aca="false">k_B</f>
        <v>1.17213932619116</v>
      </c>
      <c r="E1834" s="14" t="n">
        <f aca="false">k_B</f>
        <v>1.17213932619116</v>
      </c>
      <c r="F1834" s="14" t="n">
        <f aca="false">(k_B+((ls_A*k_long+(1-ls_A)*k_spot)-k_B)*MIN(1,(Sens!F1819-base_fy)/k_ramp))</f>
        <v>1.25022828131298</v>
      </c>
      <c r="G1834" s="14" t="n">
        <f aca="false">(k_B+((ls_A*k_long+(1-ls_A)*k_spot)-k_B)*MIN(1,(Sens!G1819-base_fy)/k_ramp))</f>
        <v>1.3283172364348</v>
      </c>
      <c r="H1834" s="14" t="n">
        <f aca="false">(k_B+((ls_A*k_long+(1-ls_A)*k_spot)-k_B)*MIN(1,(Sens!H1819-base_fy)/k_ramp))</f>
        <v>1.40640619155662</v>
      </c>
      <c r="I1834" s="14" t="n">
        <f aca="false">(k_B+((ls_A*k_long+(1-ls_A)*k_spot)-k_B)*MIN(1,(Sens!I1819-base_fy)/k_ramp))</f>
        <v>1.40640619155662</v>
      </c>
      <c r="J1834" s="14" t="n">
        <f aca="false">(k_B+((ls_A*k_long+(1-ls_A)*k_spot)-k_B)*MIN(1,(Sens!J1819-base_fy)/k_ramp))</f>
        <v>1.40640619155662</v>
      </c>
      <c r="K1834" s="14" t="n">
        <f aca="false">(k_B+((ls_A*k_long+(1-ls_A)*k_spot)-k_B)*MIN(1,(Sens!K1819-base_fy)/k_ramp))</f>
        <v>1.40640619155662</v>
      </c>
      <c r="L1834" s="1" t="s">
        <v>829</v>
      </c>
    </row>
    <row r="1835" customFormat="false" ht="17.15" hidden="false" customHeight="false" outlineLevel="0" collapsed="false">
      <c r="A1835" s="1" t="s">
        <v>830</v>
      </c>
      <c r="B1835" s="0" t="s">
        <v>346</v>
      </c>
      <c r="C1835" s="14" t="n">
        <f aca="false">Sens!C1833*Sens!C1834*chip_f</f>
        <v>11.3973387156315</v>
      </c>
      <c r="D1835" s="14" t="n">
        <f aca="false">Sens!D1833*Sens!D1834*chip_f</f>
        <v>11.3973387156315</v>
      </c>
      <c r="E1835" s="14" t="n">
        <f aca="false">Sens!E1833*Sens!E1834*chip_f</f>
        <v>11.3973387156315</v>
      </c>
      <c r="F1835" s="14" t="n">
        <f aca="false">Sens!F1833*Sens!F1834*chip_f</f>
        <v>13.0123225874029</v>
      </c>
      <c r="G1835" s="14" t="n">
        <f aca="false">Sens!G1833*Sens!G1834*chip_f</f>
        <v>14.3973822777458</v>
      </c>
      <c r="H1835" s="14" t="n">
        <f aca="false">Sens!H1833*Sens!H1834*chip_f</f>
        <v>15.6548505449659</v>
      </c>
      <c r="I1835" s="14" t="n">
        <f aca="false">Sens!I1833*Sens!I1834*chip_f</f>
        <v>15.9759702319207</v>
      </c>
      <c r="J1835" s="14" t="n">
        <f aca="false">Sens!J1833*Sens!J1834*chip_f</f>
        <v>16.2377777170545</v>
      </c>
      <c r="K1835" s="14" t="n">
        <f aca="false">Sens!K1833*Sens!K1834*chip_f</f>
        <v>16.6065894658985</v>
      </c>
      <c r="L1835" s="1" t="s">
        <v>831</v>
      </c>
    </row>
    <row r="1836" customFormat="false" ht="17.15" hidden="false" customHeight="false" outlineLevel="0" collapsed="false">
      <c r="A1836" s="0" t="s">
        <v>832</v>
      </c>
      <c r="B1836" s="0" t="s">
        <v>98</v>
      </c>
      <c r="D1836" s="6" t="n">
        <f aca="false">(Sens!C1821+Sens!D1821)/2*Sens!D1835/1000</f>
        <v>12.9359794422418</v>
      </c>
      <c r="E1836" s="6" t="n">
        <f aca="false">(Sens!D1821+Sens!E1821)/2*Sens!E1835/1000</f>
        <v>27.8095064661409</v>
      </c>
      <c r="F1836" s="6" t="n">
        <f aca="false">(Sens!E1821+Sens!F1821)/2*Sens!F1835/1000</f>
        <v>58.7324192305018</v>
      </c>
      <c r="G1836" s="6" t="n">
        <f aca="false">(Sens!F1821+Sens!G1821)/2*Sens!G1835/1000</f>
        <v>101.369089141153</v>
      </c>
      <c r="H1836" s="6" t="n">
        <f aca="false">(Sens!G1821+Sens!H1821)/2*Sens!H1835/1000</f>
        <v>149.785610014234</v>
      </c>
      <c r="I1836" s="6" t="n">
        <f aca="false">(Sens!H1821+Sens!I1821)/2*Sens!I1835/1000</f>
        <v>187.368703083263</v>
      </c>
      <c r="J1836" s="6" t="n">
        <f aca="false">(Sens!I1821+Sens!J1821)/2*Sens!J1835/1000</f>
        <v>213.886657444854</v>
      </c>
      <c r="K1836" s="6" t="n">
        <f aca="false">(Sens!J1821+Sens!K1821)/2*Sens!K1835/1000</f>
        <v>231.253475259589</v>
      </c>
      <c r="L1836" s="11" t="s">
        <v>833</v>
      </c>
    </row>
    <row r="1837" customFormat="false" ht="17.15" hidden="false" customHeight="false" outlineLevel="0" collapsed="false">
      <c r="A1837" s="1" t="s">
        <v>834</v>
      </c>
      <c r="B1837" s="0" t="s">
        <v>346</v>
      </c>
      <c r="C1837" s="14" t="n">
        <f aca="false">(Sens!C1829*tk_opex_h100+Sens!C1830*tk_opex_gb200+Sens!C1831*tk_opex_gb300+Sens!C1832*tk_opex_vr200)/Sens!C1821</f>
        <v>1.88636041306092</v>
      </c>
      <c r="D1837" s="14" t="n">
        <f aca="false">(Sens!D1829*tk_opex_h100+Sens!D1830*tk_opex_gb200+Sens!D1831*tk_opex_gb300+Sens!D1832*tk_opex_vr200)/Sens!D1821</f>
        <v>1.88636041306092</v>
      </c>
      <c r="E1837" s="14" t="n">
        <f aca="false">(Sens!E1829*tk_opex_h100+Sens!E1830*tk_opex_gb200+Sens!E1831*tk_opex_gb300+Sens!E1832*tk_opex_vr200)/Sens!E1821</f>
        <v>1.88636041306092</v>
      </c>
      <c r="F1837" s="14" t="n">
        <f aca="false">(Sens!F1829*tk_opex_h100+Sens!F1830*tk_opex_gb200+Sens!F1831*tk_opex_gb300+Sens!F1832*tk_opex_vr200)/Sens!F1821</f>
        <v>1.9430236476499</v>
      </c>
      <c r="G1837" s="14" t="n">
        <f aca="false">(Sens!G1829*tk_opex_h100+Sens!G1830*tk_opex_gb200+Sens!G1831*tk_opex_gb300+Sens!G1832*tk_opex_vr200)/Sens!G1821</f>
        <v>1.9786941852423</v>
      </c>
      <c r="H1837" s="14" t="n">
        <f aca="false">(Sens!H1829*tk_opex_h100+Sens!H1830*tk_opex_gb200+Sens!H1831*tk_opex_gb300+Sens!H1832*tk_opex_vr200)/Sens!H1821</f>
        <v>2.00289275976156</v>
      </c>
      <c r="I1837" s="14" t="n">
        <f aca="false">(Sens!I1829*tk_opex_h100+Sens!I1830*tk_opex_gb200+Sens!I1831*tk_opex_gb300+Sens!I1832*tk_opex_vr200)/Sens!I1821</f>
        <v>2.02179589661219</v>
      </c>
      <c r="J1837" s="14" t="n">
        <f aca="false">(Sens!J1829*tk_opex_h100+Sens!J1830*tk_opex_gb200+Sens!J1831*tk_opex_gb300+Sens!J1832*tk_opex_vr200)/Sens!J1821</f>
        <v>2.03720754193029</v>
      </c>
      <c r="K1837" s="14" t="n">
        <f aca="false">(Sens!K1829*tk_opex_h100+Sens!K1830*tk_opex_gb200+Sens!K1831*tk_opex_gb300+Sens!K1832*tk_opex_vr200)/Sens!K1821</f>
        <v>2.0589181353437</v>
      </c>
    </row>
    <row r="1838" customFormat="false" ht="17.15" hidden="false" customHeight="false" outlineLevel="0" collapsed="false">
      <c r="A1838" s="0" t="s">
        <v>835</v>
      </c>
      <c r="B1838" s="0" t="s">
        <v>98</v>
      </c>
      <c r="D1838" s="6" t="n">
        <f aca="false">(Sens!C1824+Sens!D1824)/2*Sens!D1837/1000</f>
        <v>3.24453991046478</v>
      </c>
      <c r="E1838" s="6" t="n">
        <f aca="false">(Sens!D1824+Sens!E1824)/2*Sens!E1837/1000</f>
        <v>7.41339642332941</v>
      </c>
      <c r="F1838" s="6" t="n">
        <f aca="false">(Sens!E1824+Sens!F1824)/2*Sens!F1837/1000</f>
        <v>15.0024741882344</v>
      </c>
      <c r="G1838" s="6" t="n">
        <f aca="false">(Sens!F1824+Sens!G1824)/2*Sens!G1837/1000</f>
        <v>24.8713944308216</v>
      </c>
      <c r="H1838" s="6" t="n">
        <f aca="false">(Sens!G1824+Sens!H1824)/2*Sens!H1837/1000</f>
        <v>35.2989819980378</v>
      </c>
      <c r="I1838" s="6" t="n">
        <f aca="false">(Sens!H1824+Sens!I1824)/2*Sens!I1837/1000</f>
        <v>44.3669280427613</v>
      </c>
      <c r="J1838" s="6" t="n">
        <f aca="false">(Sens!I1824+Sens!J1824)/2*Sens!J1837/1000</f>
        <v>50.588602462778</v>
      </c>
      <c r="K1838" s="6" t="n">
        <f aca="false">(Sens!J1824+Sens!K1824)/2*Sens!K1837/1000</f>
        <v>54.2294514096844</v>
      </c>
    </row>
    <row r="1839" customFormat="false" ht="17.15" hidden="false" customHeight="false" outlineLevel="0" collapsed="false">
      <c r="A1839" s="0" t="s">
        <v>836</v>
      </c>
      <c r="B1839" s="0" t="s">
        <v>98</v>
      </c>
      <c r="D1839" s="6" t="n">
        <f aca="false">(Sens!C1822+Sens!D1822)/2*rent_mw/1000</f>
        <v>2.44475</v>
      </c>
      <c r="E1839" s="6" t="n">
        <f aca="false">(Sens!D1822+Sens!E1822)/2*rent_mw/1000</f>
        <v>4.22275</v>
      </c>
      <c r="F1839" s="6" t="n">
        <f aca="false">(Sens!E1822+Sens!F1822)/2*rent_mw/1000</f>
        <v>5.80517</v>
      </c>
      <c r="G1839" s="6" t="n">
        <f aca="false">(Sens!F1822+Sens!G1822)/2*rent_mw/1000</f>
        <v>6.72084</v>
      </c>
      <c r="H1839" s="6" t="n">
        <f aca="false">(Sens!G1822+Sens!H1822)/2*rent_mw/1000</f>
        <v>6.72084</v>
      </c>
      <c r="I1839" s="6" t="n">
        <f aca="false">(Sens!H1822+Sens!I1822)/2*rent_mw/1000</f>
        <v>6.72084</v>
      </c>
      <c r="J1839" s="6" t="n">
        <f aca="false">(Sens!I1822+Sens!J1822)/2*rent_mw/1000</f>
        <v>6.72084</v>
      </c>
      <c r="K1839" s="6" t="n">
        <f aca="false">(Sens!J1822+Sens!K1822)/2*rent_mw/1000</f>
        <v>6.72084</v>
      </c>
    </row>
    <row r="1840" customFormat="false" ht="17.15" hidden="false" customHeight="false" outlineLevel="0" collapsed="false">
      <c r="A1840" s="0" t="s">
        <v>837</v>
      </c>
      <c r="B1840" s="0" t="s">
        <v>98</v>
      </c>
      <c r="D1840" s="6" t="n">
        <f aca="false">(Sens!C1824+Sens!D1824)/2*(1-self_build)*fac_rent/1000</f>
        <v>1.02389085075729</v>
      </c>
      <c r="E1840" s="6" t="n">
        <f aca="false">(Sens!D1824+Sens!E1824)/2*(1-self_build)*fac_rent/1000</f>
        <v>2.33947153690474</v>
      </c>
      <c r="F1840" s="6" t="n">
        <f aca="false">(Sens!E1824+Sens!F1824)/2*(1-self_build)*fac_rent/1000</f>
        <v>4.59631746329488</v>
      </c>
      <c r="G1840" s="6" t="n">
        <f aca="false">(Sens!F1824+Sens!G1824)/2*(1-self_build)*fac_rent/1000</f>
        <v>7.48249909167374</v>
      </c>
      <c r="H1840" s="6" t="n">
        <f aca="false">(Sens!G1824+Sens!H1824)/2*(1-self_build)*fac_rent/1000</f>
        <v>10.4913095079921</v>
      </c>
      <c r="I1840" s="6" t="n">
        <f aca="false">(Sens!H1824+Sens!I1824)/2*(1-self_build)*fac_rent/1000</f>
        <v>13.0631304526319</v>
      </c>
      <c r="J1840" s="6" t="n">
        <f aca="false">(Sens!I1824+Sens!J1824)/2*(1-self_build)*fac_rent/1000</f>
        <v>14.7823207686439</v>
      </c>
      <c r="K1840" s="6" t="n">
        <f aca="false">(Sens!J1824+Sens!K1824)/2*(1-self_build)*fac_rent/1000</f>
        <v>15.6791078507789</v>
      </c>
      <c r="L1840" s="11" t="s">
        <v>838</v>
      </c>
    </row>
    <row r="1841" customFormat="false" ht="17.15" hidden="false" customHeight="false" outlineLevel="0" collapsed="false">
      <c r="A1841" s="1" t="s">
        <v>839</v>
      </c>
      <c r="B1841" s="0" t="s">
        <v>129</v>
      </c>
      <c r="D1841" s="7" t="n">
        <f aca="false">(Sens!C1823+Sens!D1823)/(Sens!C1824+Sens!D1824)</f>
        <v>0.5</v>
      </c>
      <c r="E1841" s="7" t="n">
        <f aca="false">(Sens!D1823+Sens!E1823)/(Sens!D1824+Sens!E1824)</f>
        <v>0.5</v>
      </c>
      <c r="F1841" s="7" t="n">
        <f aca="false">(Sens!E1823+Sens!F1823)/(Sens!E1824+Sens!F1824)</f>
        <v>0.5</v>
      </c>
      <c r="G1841" s="7" t="n">
        <f aca="false">(Sens!F1823+Sens!G1823)/(Sens!F1824+Sens!G1824)</f>
        <v>0.5</v>
      </c>
      <c r="H1841" s="7" t="n">
        <f aca="false">(Sens!G1823+Sens!H1823)/(Sens!G1824+Sens!H1824)</f>
        <v>0.5</v>
      </c>
      <c r="I1841" s="7" t="n">
        <f aca="false">(Sens!H1823+Sens!I1823)/(Sens!H1824+Sens!I1824)</f>
        <v>0.5</v>
      </c>
      <c r="J1841" s="7" t="n">
        <f aca="false">(Sens!I1823+Sens!J1823)/(Sens!I1824+Sens!J1824)</f>
        <v>0.5</v>
      </c>
      <c r="K1841" s="7" t="n">
        <f aca="false">(Sens!J1823+Sens!K1823)/(Sens!J1824+Sens!K1824)</f>
        <v>0.5</v>
      </c>
    </row>
    <row r="1842" customFormat="false" ht="17.15" hidden="false" customHeight="false" outlineLevel="0" collapsed="false">
      <c r="A1842" s="0" t="s">
        <v>840</v>
      </c>
      <c r="B1842" s="0" t="s">
        <v>98</v>
      </c>
      <c r="D1842" s="6" t="n">
        <f aca="false">Sens!D1836-Sens!D1841*(Sens!D1838+Sens!D1840)-Sens!D1839</f>
        <v>8.35701406163072</v>
      </c>
      <c r="E1842" s="6" t="n">
        <f aca="false">Sens!E1836-Sens!E1841*(Sens!E1838+Sens!E1840)-Sens!E1839</f>
        <v>18.7103224860238</v>
      </c>
      <c r="F1842" s="6" t="n">
        <f aca="false">Sens!F1836-Sens!F1841*(Sens!F1838+Sens!F1840)-Sens!F1839</f>
        <v>43.1278534047371</v>
      </c>
      <c r="G1842" s="6" t="n">
        <f aca="false">Sens!G1836-Sens!G1841*(Sens!G1838+Sens!G1840)-Sens!G1839</f>
        <v>78.4713023799053</v>
      </c>
      <c r="H1842" s="6" t="n">
        <f aca="false">Sens!H1836-Sens!H1841*(Sens!H1838+Sens!H1840)-Sens!H1839</f>
        <v>120.169624261219</v>
      </c>
      <c r="I1842" s="6" t="n">
        <f aca="false">Sens!I1836-Sens!I1841*(Sens!I1838+Sens!I1840)-Sens!I1839</f>
        <v>151.932833835566</v>
      </c>
      <c r="J1842" s="6" t="n">
        <f aca="false">Sens!J1836-Sens!J1841*(Sens!J1838+Sens!J1840)-Sens!J1839</f>
        <v>174.480355829143</v>
      </c>
      <c r="K1842" s="6" t="n">
        <f aca="false">Sens!K1836-Sens!K1841*(Sens!K1838+Sens!K1840)-Sens!K1839</f>
        <v>189.578355629358</v>
      </c>
    </row>
    <row r="1843" customFormat="false" ht="17.15" hidden="false" customHeight="false" outlineLevel="0" collapsed="false">
      <c r="A1843" s="1" t="s">
        <v>841</v>
      </c>
      <c r="B1843" s="0" t="s">
        <v>98</v>
      </c>
      <c r="D1843" s="6" t="n">
        <f aca="false">(1-Sens!D1841)*(Sens!D1838+Sens!D1840)</f>
        <v>2.13421538061103</v>
      </c>
      <c r="E1843" s="6" t="n">
        <f aca="false">(1-Sens!E1841)*(Sens!E1838+Sens!E1840)</f>
        <v>4.87643398011707</v>
      </c>
      <c r="F1843" s="6" t="n">
        <f aca="false">(1-Sens!F1841)*(Sens!F1838+Sens!F1840)</f>
        <v>9.79939582576465</v>
      </c>
      <c r="G1843" s="6" t="n">
        <f aca="false">(1-Sens!G1841)*(Sens!G1838+Sens!G1840)</f>
        <v>16.1769467612477</v>
      </c>
      <c r="H1843" s="6" t="n">
        <f aca="false">(1-Sens!H1841)*(Sens!H1838+Sens!H1840)</f>
        <v>22.895145753015</v>
      </c>
      <c r="I1843" s="6" t="n">
        <f aca="false">(1-Sens!I1841)*(Sens!I1838+Sens!I1840)</f>
        <v>28.7150292476966</v>
      </c>
      <c r="J1843" s="6" t="n">
        <f aca="false">(1-Sens!J1841)*(Sens!J1838+Sens!J1840)</f>
        <v>32.6854616157109</v>
      </c>
      <c r="K1843" s="6" t="n">
        <f aca="false">(1-Sens!K1841)*(Sens!K1838+Sens!K1840)</f>
        <v>34.9542796302317</v>
      </c>
    </row>
    <row r="1844" customFormat="false" ht="17.15" hidden="false" customHeight="false" outlineLevel="0" collapsed="false">
      <c r="A1844" s="1" t="s">
        <v>842</v>
      </c>
      <c r="B1844" s="0" t="s">
        <v>357</v>
      </c>
      <c r="C1844" s="8" t="n">
        <f aca="false">cxit_open</f>
        <v>27.5918995</v>
      </c>
      <c r="D1844" s="8" t="n">
        <f aca="false">cxit_open</f>
        <v>27.5918995</v>
      </c>
      <c r="E1844" s="8" t="n">
        <f aca="false">cxit_open</f>
        <v>27.5918995</v>
      </c>
      <c r="F1844" s="8" t="n">
        <f aca="false">(a_g3_27*tk_cxit_gb300+(1-a_g3_27)*tk_cxit_vr200)</f>
        <v>33.8419624</v>
      </c>
      <c r="G1844" s="8" t="n">
        <f aca="false">(a_g3_28*tk_cxit_gb300+(1-a_g3_28)*tk_cxit_vr200)</f>
        <v>35.9816136</v>
      </c>
      <c r="H1844" s="8" t="n">
        <f aca="false">(a_g3_29*tk_cxit_gb300+(1-a_g3_29)*tk_cxit_vr200)</f>
        <v>37.0514392</v>
      </c>
      <c r="I1844" s="8" t="n">
        <f aca="false">(a_g3_29*tk_cxit_gb300+(1-a_g3_29)*tk_cxit_vr200)</f>
        <v>37.0514392</v>
      </c>
      <c r="J1844" s="8" t="n">
        <f aca="false">(a_g3_29*tk_cxit_gb300+(1-a_g3_29)*tk_cxit_vr200)</f>
        <v>37.0514392</v>
      </c>
      <c r="K1844" s="8" t="n">
        <f aca="false">(a_g3_29*tk_cxit_gb300+(1-a_g3_29)*tk_cxit_vr200)</f>
        <v>37.0514392</v>
      </c>
      <c r="L1844" s="11" t="s">
        <v>843</v>
      </c>
    </row>
    <row r="1845" customFormat="false" ht="17.15" hidden="false" customHeight="false" outlineLevel="0" collapsed="false">
      <c r="A1845" s="0" t="s">
        <v>844</v>
      </c>
      <c r="B1845" s="0" t="s">
        <v>399</v>
      </c>
      <c r="F1845" s="29" t="n">
        <f aca="false">Sens!C1826*IF(Sens!F1819-Sens!C1819=life_it,1,0)+Sens!D1826*IF(Sens!F1819-Sens!D1819=life_it,1,0)+Sens!E1826*IF(Sens!F1819-Sens!E1819=life_it,1,0)</f>
        <v>0</v>
      </c>
      <c r="G1845" s="29" t="n">
        <f aca="false">Sens!C1826*IF(Sens!G1819-Sens!C1819=life_it,1,0)+Sens!D1826*IF(Sens!G1819-Sens!D1819=life_it,1,0)+Sens!E1826*IF(Sens!G1819-Sens!E1819=life_it,1,0)+Sens!F1826*IF(Sens!G1819-Sens!F1819=life_it,1,0)</f>
        <v>0</v>
      </c>
      <c r="H1845" s="29" t="n">
        <f aca="false">Sens!C1826*IF(Sens!H1819-Sens!C1819=life_it,1,0)+Sens!D1826*IF(Sens!H1819-Sens!D1819=life_it,1,0)+Sens!E1826*IF(Sens!H1819-Sens!E1819=life_it,1,0)+Sens!F1826*IF(Sens!H1819-Sens!F1819=life_it,1,0)+Sens!G1826*IF(Sens!H1819-Sens!G1819=life_it,1,0)</f>
        <v>0</v>
      </c>
      <c r="I1845" s="29" t="n">
        <f aca="false">Sens!C1826*IF(Sens!I1819-Sens!C1819=life_it,1,0)+Sens!D1826*IF(Sens!I1819-Sens!D1819=life_it,1,0)+Sens!E1826*IF(Sens!I1819-Sens!E1819=life_it,1,0)+Sens!F1826*IF(Sens!I1819-Sens!F1819=life_it,1,0)+Sens!G1826*IF(Sens!I1819-Sens!G1819=life_it,1,0)+Sens!H1826*IF(Sens!I1819-Sens!H1819=life_it,1,0)</f>
        <v>980</v>
      </c>
      <c r="J1845" s="29" t="n">
        <f aca="false">Sens!C1826*IF(Sens!J1819-Sens!C1819=life_it,1,0)+Sens!D1826*IF(Sens!J1819-Sens!D1819=life_it,1,0)+Sens!E1826*IF(Sens!J1819-Sens!E1819=life_it,1,0)+Sens!F1826*IF(Sens!J1819-Sens!F1819=life_it,1,0)+Sens!G1826*IF(Sens!J1819-Sens!G1819=life_it,1,0)+Sens!H1826*IF(Sens!J1819-Sens!H1819=life_it,1,0)+Sens!I1826*IF(Sens!J1819-Sens!I1819=life_it,1,0)</f>
        <v>1480</v>
      </c>
      <c r="K1845" s="29" t="n">
        <f aca="false">Sens!C1826*IF(Sens!K1819-Sens!C1819=life_it,1,0)+Sens!D1826*IF(Sens!K1819-Sens!D1819=life_it,1,0)+Sens!E1826*IF(Sens!K1819-Sens!E1819=life_it,1,0)+Sens!F1826*IF(Sens!K1819-Sens!F1819=life_it,1,0)+Sens!G1826*IF(Sens!K1819-Sens!G1819=life_it,1,0)+Sens!H1826*IF(Sens!K1819-Sens!H1819=life_it,1,0)+Sens!I1826*IF(Sens!K1819-Sens!I1819=life_it,1,0)+Sens!J1826*IF(Sens!K1819-Sens!J1819=life_it,1,0)</f>
        <v>2940</v>
      </c>
      <c r="L1845" s="1" t="s">
        <v>845</v>
      </c>
    </row>
    <row r="1846" customFormat="false" ht="17.15" hidden="false" customHeight="false" outlineLevel="0" collapsed="false">
      <c r="A1846" s="0" t="s">
        <v>846</v>
      </c>
      <c r="B1846" s="0" t="s">
        <v>98</v>
      </c>
      <c r="C1846" s="6" t="n">
        <f aca="false">Sens!C1826*Sens!C1844/1000</f>
        <v>27.04006151</v>
      </c>
      <c r="D1846" s="6" t="n">
        <f aca="false">Sens!D1826*Sens!D1844/1000</f>
        <v>40.83601126</v>
      </c>
      <c r="E1846" s="6" t="n">
        <f aca="false">Sens!E1826*Sens!E1844/1000</f>
        <v>81.12018453</v>
      </c>
      <c r="F1846" s="6" t="n">
        <f aca="false">(Sens!F1826+Sens!F1845)*Sens!F1844/1000</f>
        <v>157.10792624576</v>
      </c>
      <c r="G1846" s="6" t="n">
        <f aca="false">(Sens!G1826+Sens!G1845)*Sens!G1844/1000</f>
        <v>181.86546777984</v>
      </c>
      <c r="H1846" s="6" t="n">
        <f aca="false">(Sens!H1826+Sens!H1845)*Sens!H1844/1000</f>
        <v>187.27279429248</v>
      </c>
      <c r="I1846" s="6" t="n">
        <f aca="false">(Sens!I1826+Sens!I1845)*Sens!I1844/1000</f>
        <v>169.185467321094</v>
      </c>
      <c r="J1846" s="6" t="n">
        <f aca="false">(Sens!J1826+Sens!J1845)*Sens!J1844/1000</f>
        <v>135.970950671811</v>
      </c>
      <c r="K1846" s="6" t="n">
        <f aca="false">(Sens!K1826+Sens!K1845)*Sens!K1844/1000</f>
        <v>139.43110970515</v>
      </c>
    </row>
    <row r="1847" customFormat="false" ht="17.15" hidden="false" customHeight="false" outlineLevel="0" collapsed="false">
      <c r="A1847" s="0" t="s">
        <v>847</v>
      </c>
      <c r="B1847" s="0" t="s">
        <v>98</v>
      </c>
      <c r="C1847" s="6" t="n">
        <f aca="false">Sens!C1826*self_build*tk_cxfac/1000</f>
        <v>7.44996</v>
      </c>
      <c r="D1847" s="6" t="n">
        <f aca="false">Sens!D1826*self_build*tk_cxfac/1000</f>
        <v>11.25096</v>
      </c>
      <c r="E1847" s="6" t="n">
        <f aca="false">Sens!E1826*self_build*tk_cxfac/1000</f>
        <v>22.34988</v>
      </c>
      <c r="F1847" s="6" t="n">
        <f aca="false">Sens!F1826*self_build*tk_cxfac/1000</f>
        <v>35.2915248</v>
      </c>
      <c r="G1847" s="6" t="n">
        <f aca="false">Sens!G1826*self_build*tk_cxfac/1000</f>
        <v>38.4235488</v>
      </c>
      <c r="H1847" s="6" t="n">
        <f aca="false">Sens!H1826*self_build*tk_cxfac/1000</f>
        <v>38.4235488</v>
      </c>
      <c r="I1847" s="6" t="n">
        <f aca="false">Sens!I1826*self_build*tk_cxfac/1000</f>
        <v>27.262535664</v>
      </c>
      <c r="J1847" s="6" t="n">
        <f aca="false">Sens!J1826*self_build*tk_cxfac/1000</f>
        <v>16.64677324128</v>
      </c>
      <c r="K1847" s="6" t="n">
        <f aca="false">Sens!K1826*self_build*tk_cxfac/1000</f>
        <v>6.2577886591584</v>
      </c>
    </row>
    <row r="1848" customFormat="false" ht="17.15" hidden="false" customHeight="false" outlineLevel="0" collapsed="false">
      <c r="A1848" s="0" t="s">
        <v>848</v>
      </c>
      <c r="B1848" s="0" t="s">
        <v>98</v>
      </c>
      <c r="F1848" s="6" t="n">
        <f aca="false">MAX(0,capex_floor27-Sens!F1846-Sens!F1847-Sens!F1942)</f>
        <v>0</v>
      </c>
    </row>
    <row r="1849" customFormat="false" ht="17.15" hidden="false" customHeight="false" outlineLevel="0" collapsed="false">
      <c r="A1849" s="0" t="s">
        <v>849</v>
      </c>
      <c r="B1849" s="0" t="s">
        <v>98</v>
      </c>
      <c r="C1849" s="6" t="n">
        <f aca="false">Sens!C1846</f>
        <v>27.04006151</v>
      </c>
      <c r="D1849" s="6" t="n">
        <f aca="false">Sens!D1846</f>
        <v>40.83601126</v>
      </c>
      <c r="E1849" s="6" t="n">
        <f aca="false">Sens!E1846</f>
        <v>81.12018453</v>
      </c>
      <c r="F1849" s="6" t="n">
        <f aca="false">Sens!F1846</f>
        <v>157.10792624576</v>
      </c>
      <c r="G1849" s="6" t="n">
        <f aca="false">Sens!G1846</f>
        <v>181.86546777984</v>
      </c>
      <c r="H1849" s="6" t="n">
        <f aca="false">Sens!H1846</f>
        <v>187.27279429248</v>
      </c>
      <c r="I1849" s="6" t="n">
        <f aca="false">Sens!I1846</f>
        <v>169.185467321094</v>
      </c>
      <c r="J1849" s="6" t="n">
        <f aca="false">Sens!J1846</f>
        <v>135.970950671811</v>
      </c>
      <c r="K1849" s="6" t="n">
        <f aca="false">Sens!K1846</f>
        <v>139.43110970515</v>
      </c>
    </row>
    <row r="1850" customFormat="false" ht="17.15" hidden="false" customHeight="false" outlineLevel="0" collapsed="false">
      <c r="A1850" s="0" t="s">
        <v>850</v>
      </c>
      <c r="B1850" s="0" t="s">
        <v>98</v>
      </c>
      <c r="C1850" s="6" t="n">
        <f aca="false">Sens!C1849+Sens!C1847</f>
        <v>34.49002151</v>
      </c>
      <c r="D1850" s="6" t="n">
        <f aca="false">Sens!D1849+Sens!D1847</f>
        <v>52.08697126</v>
      </c>
      <c r="E1850" s="6" t="n">
        <f aca="false">Sens!E1849+Sens!E1847</f>
        <v>103.47006453</v>
      </c>
      <c r="F1850" s="6" t="n">
        <f aca="false">Sens!F1849+Sens!F1847</f>
        <v>192.39945104576</v>
      </c>
      <c r="G1850" s="6" t="n">
        <f aca="false">Sens!G1849+Sens!G1847</f>
        <v>220.28901657984</v>
      </c>
      <c r="H1850" s="6" t="n">
        <f aca="false">Sens!H1849+Sens!H1847</f>
        <v>225.69634309248</v>
      </c>
      <c r="I1850" s="6" t="n">
        <f aca="false">Sens!I1849+Sens!I1847</f>
        <v>196.448002985094</v>
      </c>
      <c r="J1850" s="6" t="n">
        <f aca="false">Sens!J1849+Sens!J1847</f>
        <v>152.617723913091</v>
      </c>
      <c r="K1850" s="6" t="n">
        <f aca="false">Sens!K1849+Sens!K1847</f>
        <v>145.688898364309</v>
      </c>
      <c r="L1850" s="11" t="s">
        <v>851</v>
      </c>
    </row>
    <row r="1851" customFormat="false" ht="17.15" hidden="false" customHeight="false" outlineLevel="0" collapsed="false">
      <c r="A1851" s="0" t="s">
        <v>852</v>
      </c>
      <c r="B1851" s="0" t="s">
        <v>98</v>
      </c>
      <c r="E1851" s="6" t="n">
        <f aca="false">(Sens!C1849*IF(2&lt;life_it,1,IF(2=life_it,0.5,0))+Sens!D1849*IF(1&lt;life_it,1,IF(1=life_it,0.5,0))+Sens!E1849*0.5)/life_it</f>
        <v>18.0726941725</v>
      </c>
      <c r="F1851" s="6" t="n">
        <f aca="false">(Sens!C1849*IF(3&lt;life_it,1,IF(3=life_it,0.5,0))+Sens!D1849*IF(2&lt;life_it,1,IF(2=life_it,0.5,0))+Sens!E1849*IF(1&lt;life_it,1,IF(1=life_it,0.5,0))+Sens!F1849*0.5)/life_it</f>
        <v>37.9250367371467</v>
      </c>
      <c r="G1851" s="6" t="n">
        <f aca="false">(Sens!C1849*IF(4&lt;life_it,1,IF(4=life_it,0.5,0))+Sens!D1849*IF(3&lt;life_it,1,IF(3=life_it,0.5,0))+Sens!E1849*IF(2&lt;life_it,1,IF(2=life_it,0.5,0))+Sens!F1849*IF(1&lt;life_it,1,IF(1=life_it,0.5,0))+Sens!G1849*0.5)/life_it</f>
        <v>66.1728195726133</v>
      </c>
      <c r="H1851" s="6" t="n">
        <f aca="false">(Sens!C1849*IF(5&lt;life_it,1,IF(5=life_it,0.5,0))+Sens!D1849*IF(4&lt;life_it,1,IF(4=life_it,0.5,0))+Sens!E1849*IF(3&lt;life_it,1,IF(3=life_it,0.5,0))+Sens!F1849*IF(2&lt;life_it,1,IF(2=life_it,0.5,0))+Sens!G1849*IF(1&lt;life_it,1,IF(1=life_it,0.5,0))+Sens!H1849*0.5)/life_it</f>
        <v>96.9343414119733</v>
      </c>
      <c r="I1851" s="6" t="n">
        <f aca="false">(Sens!C1849*IF(6&lt;life_it,1,IF(6=life_it,0.5,0))+Sens!D1849*IF(5&lt;life_it,1,IF(5=life_it,0.5,0))+Sens!E1849*IF(4&lt;life_it,1,IF(4=life_it,0.5,0))+Sens!F1849*IF(3&lt;life_it,1,IF(3=life_it,0.5,0))+Sens!G1849*IF(2&lt;life_it,1,IF(2=life_it,0.5,0))+Sens!H1849*IF(1&lt;life_it,1,IF(1=life_it,0.5,0))+Sens!I1849*0.5)/life_it</f>
        <v>124.385858087271</v>
      </c>
      <c r="J1851" s="6" t="n">
        <f aca="false">(Sens!C1849*IF(7&lt;life_it,1,IF(7=life_it,0.5,0))+Sens!D1849*IF(6&lt;life_it,1,IF(6=life_it,0.5,0))+Sens!E1849*IF(5&lt;life_it,1,IF(5=life_it,0.5,0))+Sens!F1849*IF(4&lt;life_it,1,IF(4=life_it,0.5,0))+Sens!G1849*IF(3&lt;life_it,1,IF(3=life_it,0.5,0))+Sens!H1849*IF(2&lt;life_it,1,IF(2=life_it,0.5,0))+Sens!I1849*IF(1&lt;life_it,1,IF(1=life_it,0.5,0))+Sens!J1849*0.5)/life_it</f>
        <v>144.15922018918</v>
      </c>
      <c r="K1851" s="6" t="n">
        <f aca="false">(Sens!C1849*IF(8&lt;life_it,1,IF(8=life_it,0.5,0))+Sens!D1849*IF(7&lt;life_it,1,IF(7=life_it,0.5,0))+Sens!E1849*IF(6&lt;life_it,1,IF(6=life_it,0.5,0))+Sens!F1849*IF(5&lt;life_it,1,IF(5=life_it,0.5,0))+Sens!G1849*IF(4&lt;life_it,1,IF(4=life_it,0.5,0))+Sens!H1849*IF(3&lt;life_it,1,IF(3=life_it,0.5,0))+Sens!I1849*IF(2&lt;life_it,1,IF(2=life_it,0.5,0))+Sens!J1849*IF(1&lt;life_it,1,IF(1=life_it,0.5,0))+Sens!K1849*0.5)/life_it</f>
        <v>156.946375571427</v>
      </c>
    </row>
    <row r="1852" customFormat="false" ht="17.15" hidden="false" customHeight="false" outlineLevel="0" collapsed="false">
      <c r="A1852" s="0" t="s">
        <v>853</v>
      </c>
      <c r="B1852" s="0" t="s">
        <v>98</v>
      </c>
      <c r="E1852" s="6" t="n">
        <f aca="false">(Sens!C1847*IF(2&lt;life_fac,1,IF(2=life_fac,0.5,0))+Sens!D1847*IF(1&lt;life_fac,1,IF(1=life_fac,0.5,0))+Sens!E1847*0.5)/life_fac</f>
        <v>1.493793</v>
      </c>
      <c r="F1852" s="6" t="n">
        <f aca="false">(Sens!C1847*IF(3&lt;life_fac,1,IF(3=life_fac,0.5,0))+Sens!D1847*IF(2&lt;life_fac,1,IF(2=life_fac,0.5,0))+Sens!E1847*IF(1&lt;life_fac,1,IF(1=life_fac,0.5,0))+Sens!F1847*0.5)/life_fac</f>
        <v>2.93482812</v>
      </c>
      <c r="G1852" s="6" t="n">
        <f aca="false">(Sens!C1847*IF(4&lt;life_fac,1,IF(4=life_fac,0.5,0))+Sens!D1847*IF(3&lt;life_fac,1,IF(3=life_fac,0.5,0))+Sens!E1847*IF(2&lt;life_fac,1,IF(2=life_fac,0.5,0))+Sens!F1847*IF(1&lt;life_fac,1,IF(1=life_fac,0.5,0))+Sens!G1847*0.5)/life_fac</f>
        <v>4.77770496</v>
      </c>
      <c r="H1852" s="6" t="n">
        <f aca="false">(Sens!C1847*IF(5&lt;life_fac,1,IF(5=life_fac,0.5,0))+Sens!D1847*IF(4&lt;life_fac,1,IF(4=life_fac,0.5,0))+Sens!E1847*IF(3&lt;life_fac,1,IF(3=life_fac,0.5,0))+Sens!F1847*IF(2&lt;life_fac,1,IF(2=life_fac,0.5,0))+Sens!G1847*IF(1&lt;life_fac,1,IF(1=life_fac,0.5,0))+Sens!H1847*0.5)/life_fac</f>
        <v>6.6988824</v>
      </c>
      <c r="I1852" s="6" t="n">
        <f aca="false">(Sens!C1847*IF(6&lt;life_fac,1,IF(6=life_fac,0.5,0))+Sens!D1847*IF(5&lt;life_fac,1,IF(5=life_fac,0.5,0))+Sens!E1847*IF(4&lt;life_fac,1,IF(4=life_fac,0.5,0))+Sens!F1847*IF(3&lt;life_fac,1,IF(3=life_fac,0.5,0))+Sens!G1847*IF(2&lt;life_fac,1,IF(2=life_fac,0.5,0))+Sens!H1847*IF(1&lt;life_fac,1,IF(1=life_fac,0.5,0))+Sens!I1847*0.5)/life_fac</f>
        <v>8.3410345116</v>
      </c>
      <c r="J1852" s="6" t="n">
        <f aca="false">(Sens!C1847*IF(7&lt;life_fac,1,IF(7=life_fac,0.5,0))+Sens!D1847*IF(6&lt;life_fac,1,IF(6=life_fac,0.5,0))+Sens!E1847*IF(5&lt;life_fac,1,IF(5=life_fac,0.5,0))+Sens!F1847*IF(4&lt;life_fac,1,IF(4=life_fac,0.5,0))+Sens!G1847*IF(3&lt;life_fac,1,IF(3=life_fac,0.5,0))+Sens!H1847*IF(2&lt;life_fac,1,IF(2=life_fac,0.5,0))+Sens!I1847*IF(1&lt;life_fac,1,IF(1=life_fac,0.5,0))+Sens!J1847*0.5)/life_fac</f>
        <v>9.438767234232</v>
      </c>
      <c r="K1852" s="6" t="n">
        <f aca="false">(Sens!C1847*IF(8&lt;life_fac,1,IF(8=life_fac,0.5,0))+Sens!D1847*IF(7&lt;life_fac,1,IF(7=life_fac,0.5,0))+Sens!E1847*IF(6&lt;life_fac,1,IF(6=life_fac,0.5,0))+Sens!F1847*IF(5&lt;life_fac,1,IF(5=life_fac,0.5,0))+Sens!G1847*IF(4&lt;life_fac,1,IF(4=life_fac,0.5,0))+Sens!H1847*IF(3&lt;life_fac,1,IF(3=life_fac,0.5,0))+Sens!I1847*IF(2&lt;life_fac,1,IF(2=life_fac,0.5,0))+Sens!J1847*IF(1&lt;life_fac,1,IF(1=life_fac,0.5,0))+Sens!K1847*0.5)/life_fac</f>
        <v>10.011381281743</v>
      </c>
    </row>
    <row r="1853" customFormat="false" ht="17.15" hidden="false" customHeight="false" outlineLevel="0" collapsed="false">
      <c r="A1853" s="0" t="s">
        <v>854</v>
      </c>
      <c r="B1853" s="0" t="s">
        <v>98</v>
      </c>
      <c r="E1853" s="6" t="n">
        <f aca="false">Sens!E1851+Sens!E1852</f>
        <v>19.5664871725</v>
      </c>
      <c r="F1853" s="6" t="n">
        <f aca="false">Sens!F1851+Sens!F1852</f>
        <v>40.8598648571467</v>
      </c>
      <c r="G1853" s="6" t="n">
        <f aca="false">Sens!G1851+Sens!G1852</f>
        <v>70.9505245326133</v>
      </c>
      <c r="H1853" s="6" t="n">
        <f aca="false">Sens!H1851+Sens!H1852</f>
        <v>103.633223811973</v>
      </c>
      <c r="I1853" s="6" t="n">
        <f aca="false">Sens!I1851+Sens!I1852</f>
        <v>132.726892598871</v>
      </c>
      <c r="J1853" s="6" t="n">
        <f aca="false">Sens!J1851+Sens!J1852</f>
        <v>153.597987423412</v>
      </c>
      <c r="K1853" s="6" t="n">
        <f aca="false">Sens!K1851+Sens!K1852</f>
        <v>166.95775685317</v>
      </c>
    </row>
    <row r="1854" customFormat="false" ht="17.15" hidden="false" customHeight="false" outlineLevel="0" collapsed="false">
      <c r="A1854" s="0" t="s">
        <v>855</v>
      </c>
      <c r="B1854" s="0" t="s">
        <v>98</v>
      </c>
      <c r="E1854" s="6" t="n">
        <f aca="false">Sens!E1842-Sens!E1841*Sens!E1853</f>
        <v>8.92707889977379</v>
      </c>
      <c r="F1854" s="6" t="n">
        <f aca="false">Sens!F1842-Sens!F1841*Sens!F1853</f>
        <v>22.6979209761638</v>
      </c>
      <c r="G1854" s="6" t="n">
        <f aca="false">Sens!G1842-Sens!G1841*Sens!G1853</f>
        <v>42.9960401135986</v>
      </c>
      <c r="H1854" s="6" t="n">
        <f aca="false">Sens!H1842-Sens!H1841*Sens!H1853</f>
        <v>68.3530123552322</v>
      </c>
      <c r="I1854" s="6" t="n">
        <f aca="false">Sens!I1842-Sens!I1841*Sens!I1853</f>
        <v>85.5693875361303</v>
      </c>
      <c r="J1854" s="6" t="n">
        <f aca="false">Sens!J1842-Sens!J1841*Sens!J1853</f>
        <v>97.6813621174372</v>
      </c>
      <c r="K1854" s="6" t="n">
        <f aca="false">Sens!K1842-Sens!K1841*Sens!K1853</f>
        <v>106.099477202773</v>
      </c>
    </row>
    <row r="1855" customFormat="false" ht="17.15" hidden="false" customHeight="false" outlineLevel="0" collapsed="false">
      <c r="A1855" s="3" t="s">
        <v>1308</v>
      </c>
    </row>
    <row r="1856" customFormat="false" ht="15" hidden="false" customHeight="false" outlineLevel="0" collapsed="false">
      <c r="A1856" s="4" t="s">
        <v>43</v>
      </c>
      <c r="B1856" s="4" t="s">
        <v>65</v>
      </c>
      <c r="C1856" s="20" t="s">
        <v>799</v>
      </c>
      <c r="D1856" s="20" t="s">
        <v>800</v>
      </c>
      <c r="E1856" s="20" t="s">
        <v>801</v>
      </c>
      <c r="F1856" s="20" t="s">
        <v>802</v>
      </c>
      <c r="G1856" s="20" t="s">
        <v>803</v>
      </c>
      <c r="H1856" s="20" t="s">
        <v>804</v>
      </c>
      <c r="I1856" s="20" t="s">
        <v>805</v>
      </c>
      <c r="J1856" s="20" t="s">
        <v>806</v>
      </c>
      <c r="K1856" s="20" t="s">
        <v>807</v>
      </c>
      <c r="L1856" s="4" t="s">
        <v>47</v>
      </c>
    </row>
    <row r="1857" customFormat="false" ht="17.15" hidden="false" customHeight="false" outlineLevel="0" collapsed="false">
      <c r="A1857" s="0" t="s">
        <v>874</v>
      </c>
      <c r="B1857" s="0" t="s">
        <v>98</v>
      </c>
      <c r="D1857" s="6" t="n">
        <f aca="false">Sens!D1836</f>
        <v>12.9359794422418</v>
      </c>
      <c r="E1857" s="6" t="n">
        <f aca="false">Sens!E1836</f>
        <v>27.8095064661409</v>
      </c>
      <c r="F1857" s="6" t="n">
        <f aca="false">Sens!F1836</f>
        <v>58.7324192305018</v>
      </c>
      <c r="G1857" s="6" t="n">
        <f aca="false">Sens!G1836</f>
        <v>101.369089141153</v>
      </c>
      <c r="H1857" s="6" t="n">
        <f aca="false">Sens!H1836</f>
        <v>149.785610014234</v>
      </c>
      <c r="I1857" s="6" t="n">
        <f aca="false">Sens!I1836</f>
        <v>187.368703083263</v>
      </c>
      <c r="J1857" s="6" t="n">
        <f aca="false">Sens!J1836</f>
        <v>213.886657444854</v>
      </c>
      <c r="K1857" s="6" t="n">
        <f aca="false">Sens!K1836</f>
        <v>231.253475259589</v>
      </c>
    </row>
    <row r="1858" customFormat="false" ht="17.15" hidden="false" customHeight="false" outlineLevel="0" collapsed="false">
      <c r="A1858" s="0" t="s">
        <v>875</v>
      </c>
      <c r="B1858" s="0" t="s">
        <v>98</v>
      </c>
      <c r="D1858" s="6" t="n">
        <f aca="false">Q!L6-Sens!D1857</f>
        <v>59.6740205577583</v>
      </c>
      <c r="E1858" s="6" t="n">
        <f aca="false">Q!M6-Sens!E1857</f>
        <v>74.1284935338591</v>
      </c>
      <c r="F1858" s="6" t="n">
        <f aca="false">Sens!E1858*(1+Sens!F1859)</f>
        <v>90.0799497373663</v>
      </c>
      <c r="G1858" s="6" t="n">
        <f aca="false">Sens!F1858*(1+Sens!G1859)</f>
        <v>107.02842520331</v>
      </c>
      <c r="H1858" s="6" t="n">
        <f aca="false">Sens!G1858*(1+Sens!H1859)</f>
        <v>124.271982585636</v>
      </c>
      <c r="I1858" s="6" t="n">
        <f aca="false">Sens!H1858*(1+Sens!I1859)</f>
        <v>140.933702381855</v>
      </c>
      <c r="J1858" s="6" t="n">
        <f aca="false">Sens!I1858*(1+Sens!J1859)</f>
        <v>156.018867314332</v>
      </c>
      <c r="K1858" s="6" t="n">
        <f aca="false">Sens!J1858*(1+Sens!K1859)</f>
        <v>168.500376699478</v>
      </c>
    </row>
    <row r="1859" customFormat="false" ht="15" hidden="false" customHeight="false" outlineLevel="0" collapsed="false">
      <c r="A1859" s="1" t="s">
        <v>876</v>
      </c>
      <c r="B1859" s="0" t="s">
        <v>129</v>
      </c>
      <c r="E1859" s="7" t="n">
        <f aca="false">Sens!E1858/Sens!D1858-1</f>
        <v>0.242223883039864</v>
      </c>
      <c r="F1859" s="7" t="n">
        <f aca="false">Sens!$E$1859+(glt_azo-Sens!$E$1859)*MIN(1,(Sens!F1819-base_fy)/n_conv)</f>
        <v>0.215186569199887</v>
      </c>
      <c r="G1859" s="7" t="n">
        <f aca="false">Sens!$E$1859+(glt_azo-Sens!$E$1859)*MIN(1,(Sens!G1819-base_fy)/n_conv)</f>
        <v>0.18814925535991</v>
      </c>
      <c r="H1859" s="7" t="n">
        <f aca="false">Sens!$E$1859+(glt_azo-Sens!$E$1859)*MIN(1,(Sens!H1819-base_fy)/n_conv)</f>
        <v>0.161111941519932</v>
      </c>
      <c r="I1859" s="7" t="n">
        <f aca="false">Sens!$E$1859+(glt_azo-Sens!$E$1859)*MIN(1,(Sens!I1819-base_fy)/n_conv)</f>
        <v>0.134074627679955</v>
      </c>
      <c r="J1859" s="7" t="n">
        <f aca="false">Sens!$E$1859+(glt_azo-Sens!$E$1859)*MIN(1,(Sens!J1819-base_fy)/n_conv)</f>
        <v>0.107037313839977</v>
      </c>
      <c r="K1859" s="7" t="n">
        <f aca="false">Sens!$E$1859+(glt_azo-Sens!$E$1859)*MIN(1,(Sens!K1819-base_fy)/n_conv)</f>
        <v>0.08</v>
      </c>
    </row>
    <row r="1860" customFormat="false" ht="15" hidden="false" customHeight="false" outlineLevel="0" collapsed="false">
      <c r="A1860" s="0" t="s">
        <v>877</v>
      </c>
      <c r="B1860" s="0" t="s">
        <v>98</v>
      </c>
      <c r="D1860" s="6" t="n">
        <f aca="false">Sens!D1857+Sens!D1858</f>
        <v>72.61</v>
      </c>
      <c r="E1860" s="6" t="n">
        <f aca="false">Sens!E1857+Sens!E1858</f>
        <v>101.938</v>
      </c>
      <c r="F1860" s="6" t="n">
        <f aca="false">Sens!F1857+Sens!F1858</f>
        <v>148.812368967868</v>
      </c>
      <c r="G1860" s="6" t="n">
        <f aca="false">Sens!G1857+Sens!G1858</f>
        <v>208.397514344463</v>
      </c>
      <c r="H1860" s="6" t="n">
        <f aca="false">Sens!H1857+Sens!H1858</f>
        <v>274.05759259987</v>
      </c>
      <c r="I1860" s="6" t="n">
        <f aca="false">Sens!I1857+Sens!I1858</f>
        <v>328.302405465117</v>
      </c>
      <c r="J1860" s="6" t="n">
        <f aca="false">Sens!J1857+Sens!J1858</f>
        <v>369.905524759186</v>
      </c>
      <c r="K1860" s="6" t="n">
        <f aca="false">Sens!K1857+Sens!K1858</f>
        <v>399.753851959067</v>
      </c>
    </row>
    <row r="1861" customFormat="false" ht="17.15" hidden="false" customHeight="false" outlineLevel="0" collapsed="false">
      <c r="A1861" s="0" t="s">
        <v>878</v>
      </c>
      <c r="B1861" s="1" t="s">
        <v>528</v>
      </c>
      <c r="C1861" s="29" t="n">
        <f aca="false">cop_s24</f>
        <v>1</v>
      </c>
      <c r="D1861" s="29" t="n">
        <f aca="false">cop_s25</f>
        <v>5</v>
      </c>
      <c r="E1861" s="29" t="n">
        <f aca="false">cop_s26</f>
        <v>30</v>
      </c>
      <c r="F1861" s="29" t="n">
        <f aca="false">Sens!E1861+cop_add_A</f>
        <v>60</v>
      </c>
      <c r="G1861" s="29" t="n">
        <f aca="false">Sens!F1861+cop_add_A</f>
        <v>90</v>
      </c>
      <c r="H1861" s="29" t="n">
        <f aca="false">Sens!G1861+cop_add_A</f>
        <v>120</v>
      </c>
      <c r="I1861" s="29" t="n">
        <f aca="false">Sens!H1861+cop_add_A*cop_tail</f>
        <v>135</v>
      </c>
      <c r="J1861" s="29" t="n">
        <f aca="false">Sens!I1861+cop_add_A*cop_tail</f>
        <v>150</v>
      </c>
      <c r="K1861" s="29" t="n">
        <f aca="false">Sens!J1861+cop_add_A*cop_tail</f>
        <v>165</v>
      </c>
      <c r="L1861" s="11" t="s">
        <v>879</v>
      </c>
    </row>
    <row r="1862" customFormat="false" ht="17.15" hidden="false" customHeight="false" outlineLevel="0" collapsed="false">
      <c r="A1862" s="0" t="s">
        <v>880</v>
      </c>
      <c r="B1862" s="0" t="s">
        <v>98</v>
      </c>
      <c r="D1862" s="6" t="n">
        <f aca="false">(Sens!C1861+Sens!D1861)/2*cop_px*12/1000</f>
        <v>0.9</v>
      </c>
      <c r="E1862" s="6" t="n">
        <f aca="false">(Sens!D1861+Sens!E1861)/2*cop_px*12/1000</f>
        <v>5.25</v>
      </c>
      <c r="F1862" s="6" t="n">
        <f aca="false">(Sens!E1861+Sens!F1861)/2*cop_px*12/1000</f>
        <v>13.5</v>
      </c>
      <c r="G1862" s="6" t="n">
        <f aca="false">(Sens!F1861+Sens!G1861)/2*cop_px*12/1000</f>
        <v>22.5</v>
      </c>
      <c r="H1862" s="6" t="n">
        <f aca="false">(Sens!G1861+Sens!H1861)/2*cop_px*12/1000</f>
        <v>31.5</v>
      </c>
      <c r="I1862" s="6" t="n">
        <f aca="false">(Sens!H1861+Sens!I1861)/2*cop_px*12/1000</f>
        <v>38.25</v>
      </c>
      <c r="J1862" s="6" t="n">
        <f aca="false">(Sens!I1861+Sens!J1861)/2*cop_px*12/1000</f>
        <v>42.75</v>
      </c>
      <c r="K1862" s="6" t="n">
        <f aca="false">(Sens!J1861+Sens!K1861)/2*cop_px*12/1000</f>
        <v>47.25</v>
      </c>
      <c r="L1862" s="1" t="s">
        <v>881</v>
      </c>
    </row>
    <row r="1863" customFormat="false" ht="17.15" hidden="false" customHeight="false" outlineLevel="0" collapsed="false">
      <c r="A1863" s="0" t="s">
        <v>882</v>
      </c>
      <c r="B1863" s="0" t="s">
        <v>98</v>
      </c>
      <c r="D1863" s="6" t="n">
        <f aca="false">Q!L7-Sens!D1862</f>
        <v>83.705</v>
      </c>
      <c r="E1863" s="6" t="n">
        <f aca="false">Q!M7-Sens!E1862</f>
        <v>95.049</v>
      </c>
      <c r="F1863" s="6" t="n">
        <f aca="false">Sens!E1863*(1+Sens!F1864)</f>
        <v>106.89238776686</v>
      </c>
      <c r="G1863" s="6" t="n">
        <f aca="false">Sens!F1863*(1+Sens!G1864)</f>
        <v>119.044168448684</v>
      </c>
      <c r="H1863" s="6" t="n">
        <f aca="false">Sens!G1863*(1+Sens!H1864)</f>
        <v>131.277359388781</v>
      </c>
      <c r="I1863" s="6" t="n">
        <f aca="false">Sens!H1863*(1+Sens!I1864)</f>
        <v>143.334028071957</v>
      </c>
      <c r="J1863" s="6" t="n">
        <f aca="false">Sens!I1863*(1+Sens!J1864)</f>
        <v>154.932702785465</v>
      </c>
      <c r="K1863" s="6" t="n">
        <f aca="false">Sens!J1863*(1+Sens!K1864)</f>
        <v>165.777991980448</v>
      </c>
    </row>
    <row r="1864" customFormat="false" ht="15" hidden="false" customHeight="false" outlineLevel="0" collapsed="false">
      <c r="A1864" s="1" t="s">
        <v>876</v>
      </c>
      <c r="B1864" s="0" t="s">
        <v>129</v>
      </c>
      <c r="E1864" s="7" t="n">
        <f aca="false">Sens!E1863/Sens!D1863-1</f>
        <v>0.135523564900544</v>
      </c>
      <c r="F1864" s="7" t="n">
        <f aca="false">Sens!$E$1864+(glt_m365b-Sens!$E$1864)*MIN(1,(Sens!F1819-base_fy)/n_conv)</f>
        <v>0.124602970750453</v>
      </c>
      <c r="G1864" s="7" t="n">
        <f aca="false">Sens!$E$1864+(glt_m365b-Sens!$E$1864)*MIN(1,(Sens!G1819-base_fy)/n_conv)</f>
        <v>0.113682376600363</v>
      </c>
      <c r="H1864" s="7" t="n">
        <f aca="false">Sens!$E$1864+(glt_m365b-Sens!$E$1864)*MIN(1,(Sens!H1819-base_fy)/n_conv)</f>
        <v>0.102761782450272</v>
      </c>
      <c r="I1864" s="7" t="n">
        <f aca="false">Sens!$E$1864+(glt_m365b-Sens!$E$1864)*MIN(1,(Sens!I1819-base_fy)/n_conv)</f>
        <v>0.0918411883001813</v>
      </c>
      <c r="J1864" s="7" t="n">
        <f aca="false">Sens!$E$1864+(glt_m365b-Sens!$E$1864)*MIN(1,(Sens!J1819-base_fy)/n_conv)</f>
        <v>0.0809205941500906</v>
      </c>
      <c r="K1864" s="7" t="n">
        <f aca="false">Sens!$E$1864+(glt_m365b-Sens!$E$1864)*MIN(1,(Sens!K1819-base_fy)/n_conv)</f>
        <v>0.07</v>
      </c>
    </row>
    <row r="1865" customFormat="false" ht="15" hidden="false" customHeight="false" outlineLevel="0" collapsed="false">
      <c r="A1865" s="0" t="s">
        <v>883</v>
      </c>
      <c r="B1865" s="0" t="s">
        <v>98</v>
      </c>
      <c r="D1865" s="6" t="n">
        <f aca="false">Sens!D1863+Sens!D1862</f>
        <v>84.605</v>
      </c>
      <c r="E1865" s="6" t="n">
        <f aca="false">Sens!E1863+Sens!E1862</f>
        <v>100.299</v>
      </c>
      <c r="F1865" s="6" t="n">
        <f aca="false">Sens!F1863+Sens!F1862</f>
        <v>120.39238776686</v>
      </c>
      <c r="G1865" s="6" t="n">
        <f aca="false">Sens!G1863+Sens!G1862</f>
        <v>141.544168448684</v>
      </c>
      <c r="H1865" s="6" t="n">
        <f aca="false">Sens!H1863+Sens!H1862</f>
        <v>162.777359388781</v>
      </c>
      <c r="I1865" s="6" t="n">
        <f aca="false">Sens!I1863+Sens!I1862</f>
        <v>181.584028071957</v>
      </c>
      <c r="J1865" s="6" t="n">
        <f aca="false">Sens!J1863+Sens!J1862</f>
        <v>197.682702785465</v>
      </c>
      <c r="K1865" s="6" t="n">
        <f aca="false">Sens!K1863+Sens!K1862</f>
        <v>213.027991980448</v>
      </c>
    </row>
    <row r="1866" customFormat="false" ht="15" hidden="false" customHeight="false" outlineLevel="0" collapsed="false">
      <c r="A1866" s="0" t="s">
        <v>884</v>
      </c>
      <c r="B1866" s="0" t="s">
        <v>98</v>
      </c>
      <c r="D1866" s="6" t="n">
        <f aca="false">Q!L8</f>
        <v>35.391</v>
      </c>
      <c r="E1866" s="6" t="n">
        <f aca="false">Q!M8</f>
        <v>37.285</v>
      </c>
      <c r="F1866" s="6" t="n">
        <f aca="false">Sens!E1866*(1+Sens!F1867)</f>
        <v>39.0720834331704</v>
      </c>
      <c r="G1866" s="6" t="n">
        <f aca="false">Sens!F1866*(1+Sens!G1867)</f>
        <v>40.726562953769</v>
      </c>
      <c r="H1866" s="6" t="n">
        <f aca="false">Sens!G1866*(1+Sens!H1867)</f>
        <v>42.2235987259198</v>
      </c>
      <c r="I1866" s="6" t="n">
        <f aca="false">Sens!H1866*(1+Sens!I1867)</f>
        <v>43.5397988077414</v>
      </c>
      <c r="J1866" s="6" t="n">
        <f aca="false">Sens!I1866*(1+Sens!J1867)</f>
        <v>44.653811225693</v>
      </c>
      <c r="K1866" s="6" t="n">
        <f aca="false">Sens!J1866*(1+Sens!K1867)</f>
        <v>45.5468874502068</v>
      </c>
    </row>
    <row r="1867" customFormat="false" ht="15" hidden="false" customHeight="false" outlineLevel="0" collapsed="false">
      <c r="A1867" s="1" t="s">
        <v>876</v>
      </c>
      <c r="B1867" s="0" t="s">
        <v>129</v>
      </c>
      <c r="E1867" s="7" t="n">
        <f aca="false">Sens!E1866/Sens!D1866-1</f>
        <v>0.0535164307309768</v>
      </c>
      <c r="F1867" s="7" t="n">
        <f aca="false">Sens!$E$1867+(glt_lic-Sens!$E$1867)*MIN(1,(Sens!F1819-base_fy)/n_conv)</f>
        <v>0.0479303589424807</v>
      </c>
      <c r="G1867" s="7" t="n">
        <f aca="false">Sens!$E$1867+(glt_lic-Sens!$E$1867)*MIN(1,(Sens!G1819-base_fy)/n_conv)</f>
        <v>0.0423442871539845</v>
      </c>
      <c r="H1867" s="7" t="n">
        <f aca="false">Sens!$E$1867+(glt_lic-Sens!$E$1867)*MIN(1,(Sens!H1819-base_fy)/n_conv)</f>
        <v>0.0367582153654884</v>
      </c>
      <c r="I1867" s="7" t="n">
        <f aca="false">Sens!$E$1867+(glt_lic-Sens!$E$1867)*MIN(1,(Sens!I1819-base_fy)/n_conv)</f>
        <v>0.0311721435769923</v>
      </c>
      <c r="J1867" s="7" t="n">
        <f aca="false">Sens!$E$1867+(glt_lic-Sens!$E$1867)*MIN(1,(Sens!J1819-base_fy)/n_conv)</f>
        <v>0.0255860717884961</v>
      </c>
      <c r="K1867" s="7" t="n">
        <f aca="false">Sens!$E$1867+(glt_lic-Sens!$E$1867)*MIN(1,(Sens!K1819-base_fy)/n_conv)</f>
        <v>0.02</v>
      </c>
    </row>
    <row r="1868" customFormat="false" ht="15" hidden="false" customHeight="false" outlineLevel="0" collapsed="false">
      <c r="A1868" s="0" t="s">
        <v>885</v>
      </c>
      <c r="B1868" s="0" t="s">
        <v>98</v>
      </c>
      <c r="D1868" s="6" t="n">
        <f aca="false">Q!L9</f>
        <v>18.417</v>
      </c>
      <c r="E1868" s="6" t="n">
        <f aca="false">Q!M9</f>
        <v>20.345</v>
      </c>
      <c r="F1868" s="6" t="n">
        <f aca="false">Sens!E1868*(1+Sens!F1869)</f>
        <v>22.3572203267814</v>
      </c>
      <c r="G1868" s="6" t="n">
        <f aca="false">Sens!F1868*(1+Sens!G1869)</f>
        <v>24.4392124437232</v>
      </c>
      <c r="H1868" s="6" t="n">
        <f aca="false">Sens!G1868*(1+Sens!H1869)</f>
        <v>26.5738052080665</v>
      </c>
      <c r="I1868" s="6" t="n">
        <f aca="false">Sens!H1868*(1+Sens!I1869)</f>
        <v>28.7412169166967</v>
      </c>
      <c r="J1868" s="6" t="n">
        <f aca="false">Sens!I1868*(1+Sens!J1869)</f>
        <v>30.9192545395413</v>
      </c>
      <c r="K1868" s="6" t="n">
        <f aca="false">Sens!J1868*(1+Sens!K1869)</f>
        <v>33.0836023573092</v>
      </c>
    </row>
    <row r="1869" customFormat="false" ht="15" hidden="false" customHeight="false" outlineLevel="0" collapsed="false">
      <c r="A1869" s="1" t="s">
        <v>876</v>
      </c>
      <c r="B1869" s="0" t="s">
        <v>129</v>
      </c>
      <c r="E1869" s="7" t="n">
        <f aca="false">Sens!E1868/Sens!D1868-1</f>
        <v>0.104685888038225</v>
      </c>
      <c r="F1869" s="7" t="n">
        <f aca="false">Sens!$E$1869+(glt_ind-Sens!$E$1869)*MIN(1,(Sens!F1819-base_fy)/n_conv)</f>
        <v>0.0989049066985211</v>
      </c>
      <c r="G1869" s="7" t="n">
        <f aca="false">Sens!$E$1869+(glt_ind-Sens!$E$1869)*MIN(1,(Sens!G1819-base_fy)/n_conv)</f>
        <v>0.0931239253588169</v>
      </c>
      <c r="H1869" s="7" t="n">
        <f aca="false">Sens!$E$1869+(glt_ind-Sens!$E$1869)*MIN(1,(Sens!H1819-base_fy)/n_conv)</f>
        <v>0.0873429440191127</v>
      </c>
      <c r="I1869" s="7" t="n">
        <f aca="false">Sens!$E$1869+(glt_ind-Sens!$E$1869)*MIN(1,(Sens!I1819-base_fy)/n_conv)</f>
        <v>0.0815619626794085</v>
      </c>
      <c r="J1869" s="7" t="n">
        <f aca="false">Sens!$E$1869+(glt_ind-Sens!$E$1869)*MIN(1,(Sens!J1819-base_fy)/n_conv)</f>
        <v>0.0757809813397042</v>
      </c>
      <c r="K1869" s="7" t="n">
        <f aca="false">Sens!$E$1869+(glt_ind-Sens!$E$1869)*MIN(1,(Sens!K1819-base_fy)/n_conv)</f>
        <v>0.07</v>
      </c>
    </row>
    <row r="1870" customFormat="false" ht="15" hidden="false" customHeight="false" outlineLevel="0" collapsed="false">
      <c r="A1870" s="0" t="s">
        <v>886</v>
      </c>
      <c r="B1870" s="0" t="s">
        <v>98</v>
      </c>
      <c r="D1870" s="6" t="n">
        <f aca="false">Q!L10</f>
        <v>7.76</v>
      </c>
      <c r="E1870" s="6" t="n">
        <f aca="false">Q!M10</f>
        <v>8.26</v>
      </c>
      <c r="F1870" s="6" t="n">
        <f aca="false">Sens!E1870*(1+Sens!F1871)</f>
        <v>8.79988041237113</v>
      </c>
      <c r="G1870" s="6" t="n">
        <f aca="false">Sens!F1870*(1+Sens!G1871)</f>
        <v>9.38321269125306</v>
      </c>
      <c r="H1870" s="6" t="n">
        <f aca="false">Sens!G1870*(1+Sens!H1871)</f>
        <v>10.0139193587476</v>
      </c>
      <c r="I1870" s="6" t="n">
        <f aca="false">Sens!H1870*(1+Sens!I1871)</f>
        <v>10.6963111830911</v>
      </c>
      <c r="J1870" s="6" t="n">
        <f aca="false">Sens!I1870*(1+Sens!J1871)</f>
        <v>11.4351285534696</v>
      </c>
      <c r="K1870" s="6" t="n">
        <f aca="false">Sens!J1870*(1+Sens!K1871)</f>
        <v>12.2355875522124</v>
      </c>
    </row>
    <row r="1871" customFormat="false" ht="15" hidden="false" customHeight="false" outlineLevel="0" collapsed="false">
      <c r="A1871" s="1" t="s">
        <v>876</v>
      </c>
      <c r="B1871" s="0" t="s">
        <v>129</v>
      </c>
      <c r="E1871" s="7" t="n">
        <f aca="false">Sens!E1870/Sens!D1870-1</f>
        <v>0.0644329896907216</v>
      </c>
      <c r="F1871" s="7" t="n">
        <f aca="false">Sens!$E$1871+(glt_fro-Sens!$E$1871)*MIN(1,(Sens!F1819-base_fy)/n_conv)</f>
        <v>0.065360824742268</v>
      </c>
      <c r="G1871" s="7" t="n">
        <f aca="false">Sens!$E$1871+(glt_fro-Sens!$E$1871)*MIN(1,(Sens!G1819-base_fy)/n_conv)</f>
        <v>0.0662886597938144</v>
      </c>
      <c r="H1871" s="7" t="n">
        <f aca="false">Sens!$E$1871+(glt_fro-Sens!$E$1871)*MIN(1,(Sens!H1819-base_fy)/n_conv)</f>
        <v>0.0672164948453608</v>
      </c>
      <c r="I1871" s="7" t="n">
        <f aca="false">Sens!$E$1871+(glt_fro-Sens!$E$1871)*MIN(1,(Sens!I1819-base_fy)/n_conv)</f>
        <v>0.0681443298969072</v>
      </c>
      <c r="J1871" s="7" t="n">
        <f aca="false">Sens!$E$1871+(glt_fro-Sens!$E$1871)*MIN(1,(Sens!J1819-base_fy)/n_conv)</f>
        <v>0.0690721649484536</v>
      </c>
      <c r="K1871" s="7" t="n">
        <f aca="false">Sens!$E$1871+(glt_fro-Sens!$E$1871)*MIN(1,(Sens!K1819-base_fy)/n_conv)</f>
        <v>0.07</v>
      </c>
    </row>
    <row r="1872" customFormat="false" ht="15" hidden="false" customHeight="false" outlineLevel="0" collapsed="false">
      <c r="A1872" s="0" t="s">
        <v>715</v>
      </c>
      <c r="B1872" s="0" t="s">
        <v>98</v>
      </c>
      <c r="D1872" s="6" t="n">
        <f aca="false">Sens!D1860+Sens!D1865+Sens!D1866+Sens!D1868+Sens!D1870</f>
        <v>218.783</v>
      </c>
      <c r="E1872" s="6" t="n">
        <f aca="false">Sens!E1860+Sens!E1865+Sens!E1866+Sens!E1868+Sens!E1870</f>
        <v>268.127</v>
      </c>
      <c r="F1872" s="6" t="n">
        <f aca="false">Sens!F1860+Sens!F1865+Sens!F1866+Sens!F1868+Sens!F1870</f>
        <v>339.433940907051</v>
      </c>
      <c r="G1872" s="6" t="n">
        <f aca="false">Sens!G1860+Sens!G1865+Sens!G1866+Sens!G1868+Sens!G1870</f>
        <v>424.490670881892</v>
      </c>
      <c r="H1872" s="6" t="n">
        <f aca="false">Sens!H1860+Sens!H1865+Sens!H1866+Sens!H1868+Sens!H1870</f>
        <v>515.646275281385</v>
      </c>
      <c r="I1872" s="6" t="n">
        <f aca="false">Sens!I1860+Sens!I1865+Sens!I1866+Sens!I1868+Sens!I1870</f>
        <v>592.863760444604</v>
      </c>
      <c r="J1872" s="6" t="n">
        <f aca="false">Sens!J1860+Sens!J1865+Sens!J1866+Sens!J1868+Sens!J1870</f>
        <v>654.596421863355</v>
      </c>
      <c r="K1872" s="6" t="n">
        <f aca="false">Sens!K1860+Sens!K1865+Sens!K1866+Sens!K1868+Sens!K1870</f>
        <v>703.647921299244</v>
      </c>
    </row>
    <row r="1873" customFormat="false" ht="15" hidden="false" customHeight="false" outlineLevel="0" collapsed="false">
      <c r="A1873" s="0" t="s">
        <v>887</v>
      </c>
      <c r="B1873" s="0" t="s">
        <v>98</v>
      </c>
      <c r="D1873" s="6" t="n">
        <f aca="false">Q!L13</f>
        <v>22.171</v>
      </c>
      <c r="E1873" s="6" t="n">
        <f aca="false">Q!M13</f>
        <v>24.835</v>
      </c>
      <c r="F1873" s="6" t="n">
        <f aca="false">Sens!E1873*(1+Sens!F1874)</f>
        <v>27.6114901218559</v>
      </c>
      <c r="G1873" s="6" t="n">
        <f aca="false">Sens!F1873*(1+Sens!G1874)</f>
        <v>30.4675667338515</v>
      </c>
      <c r="H1873" s="6" t="n">
        <f aca="false">Sens!G1873*(1+Sens!H1874)</f>
        <v>33.3643766955789</v>
      </c>
      <c r="I1873" s="6" t="n">
        <f aca="false">Sens!H1873*(1+Sens!I1874)</f>
        <v>36.2577016533691</v>
      </c>
      <c r="J1873" s="6" t="n">
        <f aca="false">Sens!I1873*(1+Sens!J1874)</f>
        <v>39.0988367952171</v>
      </c>
      <c r="K1873" s="6" t="n">
        <f aca="false">Sens!J1873*(1+Sens!K1874)</f>
        <v>41.8357553708823</v>
      </c>
    </row>
    <row r="1874" customFormat="false" ht="15" hidden="false" customHeight="false" outlineLevel="0" collapsed="false">
      <c r="A1874" s="1" t="s">
        <v>876</v>
      </c>
      <c r="B1874" s="0" t="s">
        <v>129</v>
      </c>
      <c r="E1874" s="7" t="n">
        <f aca="false">Sens!E1873/Sens!D1873-1</f>
        <v>0.120156961796942</v>
      </c>
      <c r="F1874" s="7" t="n">
        <f aca="false">Sens!$E$1874+(glt_srch-Sens!$E$1874)*MIN(1,(Sens!F1819-base_fy)/n_conv)</f>
        <v>0.111797468164118</v>
      </c>
      <c r="G1874" s="7" t="n">
        <f aca="false">Sens!$E$1874+(glt_srch-Sens!$E$1874)*MIN(1,(Sens!G1819-base_fy)/n_conv)</f>
        <v>0.103437974531295</v>
      </c>
      <c r="H1874" s="7" t="n">
        <f aca="false">Sens!$E$1874+(glt_srch-Sens!$E$1874)*MIN(1,(Sens!H1819-base_fy)/n_conv)</f>
        <v>0.095078480898471</v>
      </c>
      <c r="I1874" s="7" t="n">
        <f aca="false">Sens!$E$1874+(glt_srch-Sens!$E$1874)*MIN(1,(Sens!I1819-base_fy)/n_conv)</f>
        <v>0.0867189872656474</v>
      </c>
      <c r="J1874" s="7" t="n">
        <f aca="false">Sens!$E$1874+(glt_srch-Sens!$E$1874)*MIN(1,(Sens!J1819-base_fy)/n_conv)</f>
        <v>0.0783594936328237</v>
      </c>
      <c r="K1874" s="7" t="n">
        <f aca="false">Sens!$E$1874+(glt_srch-Sens!$E$1874)*MIN(1,(Sens!K1819-base_fy)/n_conv)</f>
        <v>0.07</v>
      </c>
    </row>
    <row r="1875" customFormat="false" ht="15" hidden="false" customHeight="false" outlineLevel="0" collapsed="false">
      <c r="A1875" s="0" t="s">
        <v>888</v>
      </c>
      <c r="B1875" s="0" t="s">
        <v>98</v>
      </c>
      <c r="D1875" s="6" t="n">
        <f aca="false">Q!L14</f>
        <v>23.455</v>
      </c>
      <c r="E1875" s="6" t="n">
        <f aca="false">Q!M14</f>
        <v>21.79</v>
      </c>
      <c r="F1875" s="6" t="n">
        <f aca="false">Sens!E1875*(1+Sens!F1876)</f>
        <v>20.5736277908051</v>
      </c>
      <c r="G1875" s="6" t="n">
        <f aca="false">Sens!F1875*(1+Sens!G1876)</f>
        <v>19.7371452817919</v>
      </c>
      <c r="H1875" s="6" t="n">
        <f aca="false">Sens!G1875*(1+Sens!H1876)</f>
        <v>19.2339764043138</v>
      </c>
      <c r="I1875" s="6" t="n">
        <f aca="false">Sens!H1875*(1+Sens!I1876)</f>
        <v>19.0353086852681</v>
      </c>
      <c r="J1875" s="6" t="n">
        <f aca="false">Sens!I1875*(1+Sens!J1876)</f>
        <v>19.1273539319129</v>
      </c>
      <c r="K1875" s="6" t="n">
        <f aca="false">Sens!J1875*(1+Sens!K1876)</f>
        <v>19.5099010105511</v>
      </c>
    </row>
    <row r="1876" customFormat="false" ht="15" hidden="false" customHeight="false" outlineLevel="0" collapsed="false">
      <c r="A1876" s="1" t="s">
        <v>876</v>
      </c>
      <c r="B1876" s="0" t="s">
        <v>129</v>
      </c>
      <c r="E1876" s="7" t="n">
        <f aca="false">Sens!E1875/Sens!D1875-1</f>
        <v>-0.0709869963760392</v>
      </c>
      <c r="F1876" s="7" t="n">
        <f aca="false">Sens!$E$1876+(glt_xbox-Sens!$E$1876)*MIN(1,(Sens!F1819-base_fy)/n_conv)</f>
        <v>-0.0558224969800327</v>
      </c>
      <c r="G1876" s="7" t="n">
        <f aca="false">Sens!$E$1876+(glt_xbox-Sens!$E$1876)*MIN(1,(Sens!G1819-base_fy)/n_conv)</f>
        <v>-0.0406579975840262</v>
      </c>
      <c r="H1876" s="7" t="n">
        <f aca="false">Sens!$E$1876+(glt_xbox-Sens!$E$1876)*MIN(1,(Sens!H1819-base_fy)/n_conv)</f>
        <v>-0.0254934981880196</v>
      </c>
      <c r="I1876" s="7" t="n">
        <f aca="false">Sens!$E$1876+(glt_xbox-Sens!$E$1876)*MIN(1,(Sens!I1819-base_fy)/n_conv)</f>
        <v>-0.0103289987920131</v>
      </c>
      <c r="J1876" s="7" t="n">
        <f aca="false">Sens!$E$1876+(glt_xbox-Sens!$E$1876)*MIN(1,(Sens!J1819-base_fy)/n_conv)</f>
        <v>0.00483550060399347</v>
      </c>
      <c r="K1876" s="7" t="n">
        <f aca="false">Sens!$E$1876+(glt_xbox-Sens!$E$1876)*MIN(1,(Sens!K1819-base_fy)/n_conv)</f>
        <v>0.02</v>
      </c>
    </row>
    <row r="1877" customFormat="false" ht="15" hidden="false" customHeight="false" outlineLevel="0" collapsed="false">
      <c r="A1877" s="0" t="s">
        <v>889</v>
      </c>
      <c r="B1877" s="0" t="s">
        <v>98</v>
      </c>
      <c r="D1877" s="6" t="n">
        <f aca="false">Q!L15</f>
        <v>17.315</v>
      </c>
      <c r="E1877" s="6" t="n">
        <f aca="false">Q!M15</f>
        <v>17.087</v>
      </c>
      <c r="F1877" s="6" t="n">
        <f aca="false">Sens!E1877*(1+Sens!F1878)</f>
        <v>16.9564585436519</v>
      </c>
      <c r="G1877" s="6" t="n">
        <f aca="false">Sens!F1877*(1+Sens!G1878)</f>
        <v>16.9206490624268</v>
      </c>
      <c r="H1877" s="6" t="n">
        <f aca="false">Sens!G1877*(1+Sens!H1878)</f>
        <v>16.9784519149849</v>
      </c>
      <c r="I1877" s="6" t="n">
        <f aca="false">Sens!H1877*(1+Sens!I1878)</f>
        <v>17.1303084701817</v>
      </c>
      <c r="J1877" s="6" t="n">
        <f aca="false">Sens!I1877*(1+Sens!J1878)</f>
        <v>17.3782189407267</v>
      </c>
      <c r="K1877" s="6" t="n">
        <f aca="false">Sens!J1877*(1+Sens!K1878)</f>
        <v>17.7257833195413</v>
      </c>
    </row>
    <row r="1878" customFormat="false" ht="15" hidden="false" customHeight="false" outlineLevel="0" collapsed="false">
      <c r="A1878" s="1" t="s">
        <v>876</v>
      </c>
      <c r="B1878" s="0" t="s">
        <v>129</v>
      </c>
      <c r="E1878" s="7" t="n">
        <f aca="false">Sens!E1877/Sens!D1877-1</f>
        <v>-0.0131677736066995</v>
      </c>
      <c r="F1878" s="7" t="n">
        <f aca="false">Sens!$E$1878+(glt_win-Sens!$E$1878)*MIN(1,(Sens!F1819-base_fy)/n_conv)</f>
        <v>-0.00763981133891627</v>
      </c>
      <c r="G1878" s="7" t="n">
        <f aca="false">Sens!$E$1878+(glt_win-Sens!$E$1878)*MIN(1,(Sens!G1819-base_fy)/n_conv)</f>
        <v>-0.00211184907113301</v>
      </c>
      <c r="H1878" s="7" t="n">
        <f aca="false">Sens!$E$1878+(glt_win-Sens!$E$1878)*MIN(1,(Sens!H1819-base_fy)/n_conv)</f>
        <v>0.00341611319665024</v>
      </c>
      <c r="I1878" s="7" t="n">
        <f aca="false">Sens!$E$1878+(glt_win-Sens!$E$1878)*MIN(1,(Sens!I1819-base_fy)/n_conv)</f>
        <v>0.00894407546443349</v>
      </c>
      <c r="J1878" s="7" t="n">
        <f aca="false">Sens!$E$1878+(glt_win-Sens!$E$1878)*MIN(1,(Sens!J1819-base_fy)/n_conv)</f>
        <v>0.0144720377322168</v>
      </c>
      <c r="K1878" s="7" t="n">
        <f aca="false">Sens!$E$1878+(glt_win-Sens!$E$1878)*MIN(1,(Sens!K1819-base_fy)/n_conv)</f>
        <v>0.02</v>
      </c>
    </row>
    <row r="1879" customFormat="false" ht="15" hidden="false" customHeight="false" outlineLevel="0" collapsed="false">
      <c r="A1879" s="0" t="s">
        <v>729</v>
      </c>
      <c r="B1879" s="0" t="s">
        <v>98</v>
      </c>
      <c r="D1879" s="6" t="n">
        <f aca="false">Sens!D1873+Sens!D1875+Sens!D1877</f>
        <v>62.941</v>
      </c>
      <c r="E1879" s="6" t="n">
        <f aca="false">Sens!E1873+Sens!E1875+Sens!E1877</f>
        <v>63.712</v>
      </c>
      <c r="F1879" s="6" t="n">
        <f aca="false">Sens!F1873+Sens!F1875+Sens!F1877</f>
        <v>65.1415764563129</v>
      </c>
      <c r="G1879" s="6" t="n">
        <f aca="false">Sens!G1873+Sens!G1875+Sens!G1877</f>
        <v>67.1253610780702</v>
      </c>
      <c r="H1879" s="6" t="n">
        <f aca="false">Sens!H1873+Sens!H1875+Sens!H1877</f>
        <v>69.5768050148776</v>
      </c>
      <c r="I1879" s="6" t="n">
        <f aca="false">Sens!I1873+Sens!I1875+Sens!I1877</f>
        <v>72.4233188088189</v>
      </c>
      <c r="J1879" s="6" t="n">
        <f aca="false">Sens!J1873+Sens!J1875+Sens!J1877</f>
        <v>75.6044096678567</v>
      </c>
      <c r="K1879" s="6" t="n">
        <f aca="false">Sens!K1873+Sens!K1875+Sens!K1877</f>
        <v>79.0714397009747</v>
      </c>
    </row>
    <row r="1880" customFormat="false" ht="15" hidden="false" customHeight="false" outlineLevel="0" collapsed="false">
      <c r="A1880" s="1" t="s">
        <v>890</v>
      </c>
      <c r="B1880" s="0" t="s">
        <v>98</v>
      </c>
      <c r="D1880" s="6" t="n">
        <f aca="false">Sens!D1872+Sens!D1879</f>
        <v>281.724</v>
      </c>
      <c r="E1880" s="6" t="n">
        <f aca="false">Sens!E1872+Sens!E1879</f>
        <v>331.839</v>
      </c>
      <c r="F1880" s="6" t="n">
        <f aca="false">Sens!F1872+Sens!F1879</f>
        <v>404.575517363364</v>
      </c>
      <c r="G1880" s="6" t="n">
        <f aca="false">Sens!G1872+Sens!G1879</f>
        <v>491.616031959962</v>
      </c>
      <c r="H1880" s="6" t="n">
        <f aca="false">Sens!H1872+Sens!H1879</f>
        <v>585.223080296262</v>
      </c>
      <c r="I1880" s="6" t="n">
        <f aca="false">Sens!I1872+Sens!I1879</f>
        <v>665.287079253422</v>
      </c>
      <c r="J1880" s="6" t="n">
        <f aca="false">Sens!J1872+Sens!J1879</f>
        <v>730.200831531211</v>
      </c>
      <c r="K1880" s="6" t="n">
        <f aca="false">Sens!K1872+Sens!K1879</f>
        <v>782.719361000218</v>
      </c>
    </row>
    <row r="1881" customFormat="false" ht="15" hidden="false" customHeight="false" outlineLevel="0" collapsed="false">
      <c r="A1881" s="23" t="s">
        <v>891</v>
      </c>
      <c r="B1881" s="30" t="s">
        <v>98</v>
      </c>
      <c r="C1881" s="30"/>
      <c r="D1881" s="24" t="n">
        <f aca="false">(Sens!D1860+Sens!D1865+Sens!D1866+Sens!D1868+Sens!D1870-Sens!D1872)+(Sens!D1873+Sens!D1875+Sens!D1877-Sens!D1879)+(Sens!D1872-Q!L5)+(Sens!D1879-Q!L12)+(Sens!D1860-Q!L6)+(Sens!D1865-Q!L7)</f>
        <v>0</v>
      </c>
      <c r="E1881" s="24" t="n">
        <f aca="false">(Sens!E1860+Sens!E1865+Sens!E1866+Sens!E1868+Sens!E1870-Sens!E1872)+(Sens!E1873+Sens!E1875+Sens!E1877-Sens!E1879)+(Sens!E1872-Q!M5)+(Sens!E1879-Q!M12)+(Sens!E1860-Q!M6)+(Sens!E1865-Q!M7)</f>
        <v>0</v>
      </c>
      <c r="F1881" s="24" t="n">
        <f aca="false">(Sens!F1860+Sens!F1865+Sens!F1866+Sens!F1868+Sens!F1870-Sens!F1872)+(Sens!F1873+Sens!F1875+Sens!F1877-Sens!F1879)</f>
        <v>0</v>
      </c>
      <c r="G1881" s="24" t="n">
        <f aca="false">(Sens!G1860+Sens!G1865+Sens!G1866+Sens!G1868+Sens!G1870-Sens!G1872)+(Sens!G1873+Sens!G1875+Sens!G1877-Sens!G1879)</f>
        <v>0</v>
      </c>
      <c r="H1881" s="24" t="n">
        <f aca="false">(Sens!H1860+Sens!H1865+Sens!H1866+Sens!H1868+Sens!H1870-Sens!H1872)+(Sens!H1873+Sens!H1875+Sens!H1877-Sens!H1879)</f>
        <v>0</v>
      </c>
      <c r="I1881" s="24" t="n">
        <f aca="false">(Sens!I1860+Sens!I1865+Sens!I1866+Sens!I1868+Sens!I1870-Sens!I1872)+(Sens!I1873+Sens!I1875+Sens!I1877-Sens!I1879)</f>
        <v>0</v>
      </c>
      <c r="J1881" s="24" t="n">
        <f aca="false">(Sens!J1860+Sens!J1865+Sens!J1866+Sens!J1868+Sens!J1870-Sens!J1872)+(Sens!J1873+Sens!J1875+Sens!J1877-Sens!J1879)</f>
        <v>0</v>
      </c>
      <c r="K1881" s="24" t="n">
        <f aca="false">(Sens!K1860+Sens!K1865+Sens!K1866+Sens!K1868+Sens!K1870-Sens!K1872)+(Sens!K1873+Sens!K1875+Sens!K1877-Sens!K1879)</f>
        <v>0</v>
      </c>
    </row>
    <row r="1882" customFormat="false" ht="17.15" hidden="false" customHeight="false" outlineLevel="0" collapsed="false">
      <c r="A1882" s="3" t="s">
        <v>1309</v>
      </c>
    </row>
    <row r="1883" customFormat="false" ht="15" hidden="false" customHeight="false" outlineLevel="0" collapsed="false">
      <c r="A1883" s="4" t="s">
        <v>43</v>
      </c>
      <c r="B1883" s="4" t="s">
        <v>65</v>
      </c>
      <c r="C1883" s="20" t="s">
        <v>799</v>
      </c>
      <c r="D1883" s="20" t="s">
        <v>800</v>
      </c>
      <c r="E1883" s="20" t="s">
        <v>801</v>
      </c>
      <c r="F1883" s="20" t="s">
        <v>802</v>
      </c>
      <c r="G1883" s="20" t="s">
        <v>803</v>
      </c>
      <c r="H1883" s="20" t="s">
        <v>804</v>
      </c>
      <c r="I1883" s="20" t="s">
        <v>805</v>
      </c>
      <c r="J1883" s="20" t="s">
        <v>806</v>
      </c>
      <c r="K1883" s="20" t="s">
        <v>807</v>
      </c>
      <c r="L1883" s="4" t="s">
        <v>47</v>
      </c>
    </row>
    <row r="1884" customFormat="false" ht="15" hidden="false" customHeight="false" outlineLevel="0" collapsed="false">
      <c r="A1884" s="0" t="s">
        <v>877</v>
      </c>
      <c r="B1884" s="0" t="s">
        <v>98</v>
      </c>
      <c r="D1884" s="6" t="n">
        <f aca="false">Sens!D1860</f>
        <v>72.61</v>
      </c>
      <c r="E1884" s="6" t="n">
        <f aca="false">Sens!E1860</f>
        <v>101.938</v>
      </c>
      <c r="F1884" s="6" t="n">
        <f aca="false">Sens!F1860</f>
        <v>148.812368967868</v>
      </c>
      <c r="G1884" s="6" t="n">
        <f aca="false">Sens!G1860</f>
        <v>208.397514344463</v>
      </c>
      <c r="H1884" s="6" t="n">
        <f aca="false">Sens!H1860</f>
        <v>274.05759259987</v>
      </c>
      <c r="I1884" s="6" t="n">
        <f aca="false">Sens!I1860</f>
        <v>328.302405465117</v>
      </c>
      <c r="J1884" s="6" t="n">
        <f aca="false">Sens!J1860</f>
        <v>369.905524759186</v>
      </c>
      <c r="K1884" s="6" t="n">
        <f aca="false">Sens!K1860</f>
        <v>399.753851959067</v>
      </c>
    </row>
    <row r="1885" customFormat="false" ht="17.15" hidden="false" customHeight="false" outlineLevel="0" collapsed="false">
      <c r="A1885" s="0" t="s">
        <v>874</v>
      </c>
      <c r="B1885" s="0" t="s">
        <v>98</v>
      </c>
      <c r="D1885" s="6" t="n">
        <f aca="false">Sens!D1857</f>
        <v>12.9359794422418</v>
      </c>
      <c r="E1885" s="6" t="n">
        <f aca="false">Sens!E1857</f>
        <v>27.8095064661409</v>
      </c>
      <c r="F1885" s="6" t="n">
        <f aca="false">Sens!F1857</f>
        <v>58.7324192305018</v>
      </c>
      <c r="G1885" s="6" t="n">
        <f aca="false">Sens!G1857</f>
        <v>101.369089141153</v>
      </c>
      <c r="H1885" s="6" t="n">
        <f aca="false">Sens!H1857</f>
        <v>149.785610014234</v>
      </c>
      <c r="I1885" s="6" t="n">
        <f aca="false">Sens!I1857</f>
        <v>187.368703083263</v>
      </c>
      <c r="J1885" s="6" t="n">
        <f aca="false">Sens!J1857</f>
        <v>213.886657444854</v>
      </c>
      <c r="K1885" s="6" t="n">
        <f aca="false">Sens!K1857</f>
        <v>231.253475259589</v>
      </c>
    </row>
    <row r="1886" customFormat="false" ht="17.15" hidden="false" customHeight="false" outlineLevel="0" collapsed="false">
      <c r="A1886" s="0" t="s">
        <v>902</v>
      </c>
      <c r="B1886" s="0" t="s">
        <v>98</v>
      </c>
      <c r="D1886" s="6" t="n">
        <f aca="false">Sens!D1858</f>
        <v>59.6740205577583</v>
      </c>
      <c r="E1886" s="6" t="n">
        <f aca="false">Sens!E1858</f>
        <v>74.1284935338591</v>
      </c>
      <c r="F1886" s="6" t="n">
        <f aca="false">Sens!F1858</f>
        <v>90.0799497373663</v>
      </c>
      <c r="G1886" s="6" t="n">
        <f aca="false">Sens!G1858</f>
        <v>107.02842520331</v>
      </c>
      <c r="H1886" s="6" t="n">
        <f aca="false">Sens!H1858</f>
        <v>124.271982585636</v>
      </c>
      <c r="I1886" s="6" t="n">
        <f aca="false">Sens!I1858</f>
        <v>140.933702381855</v>
      </c>
      <c r="J1886" s="6" t="n">
        <f aca="false">Sens!J1858</f>
        <v>156.018867314332</v>
      </c>
      <c r="K1886" s="6" t="n">
        <f aca="false">Sens!K1858</f>
        <v>168.500376699478</v>
      </c>
    </row>
    <row r="1887" customFormat="false" ht="15" hidden="false" customHeight="false" outlineLevel="0" collapsed="false">
      <c r="A1887" s="0" t="s">
        <v>883</v>
      </c>
      <c r="B1887" s="0" t="s">
        <v>98</v>
      </c>
      <c r="D1887" s="6" t="n">
        <f aca="false">Sens!D1865</f>
        <v>84.605</v>
      </c>
      <c r="E1887" s="6" t="n">
        <f aca="false">Sens!E1865</f>
        <v>100.299</v>
      </c>
      <c r="F1887" s="6" t="n">
        <f aca="false">Sens!F1865</f>
        <v>120.39238776686</v>
      </c>
      <c r="G1887" s="6" t="n">
        <f aca="false">Sens!G1865</f>
        <v>141.544168448684</v>
      </c>
      <c r="H1887" s="6" t="n">
        <f aca="false">Sens!H1865</f>
        <v>162.777359388781</v>
      </c>
      <c r="I1887" s="6" t="n">
        <f aca="false">Sens!I1865</f>
        <v>181.584028071957</v>
      </c>
      <c r="J1887" s="6" t="n">
        <f aca="false">Sens!J1865</f>
        <v>197.682702785465</v>
      </c>
      <c r="K1887" s="6" t="n">
        <f aca="false">Sens!K1865</f>
        <v>213.027991980448</v>
      </c>
    </row>
    <row r="1888" customFormat="false" ht="17.15" hidden="false" customHeight="false" outlineLevel="0" collapsed="false">
      <c r="A1888" s="0" t="s">
        <v>903</v>
      </c>
      <c r="B1888" s="0" t="s">
        <v>98</v>
      </c>
      <c r="D1888" s="6" t="n">
        <f aca="false">Sens!D1863</f>
        <v>83.705</v>
      </c>
      <c r="E1888" s="6" t="n">
        <f aca="false">Sens!E1863</f>
        <v>95.049</v>
      </c>
      <c r="F1888" s="6" t="n">
        <f aca="false">Sens!F1863</f>
        <v>106.89238776686</v>
      </c>
      <c r="G1888" s="6" t="n">
        <f aca="false">Sens!G1863</f>
        <v>119.044168448684</v>
      </c>
      <c r="H1888" s="6" t="n">
        <f aca="false">Sens!H1863</f>
        <v>131.277359388781</v>
      </c>
      <c r="I1888" s="6" t="n">
        <f aca="false">Sens!I1863</f>
        <v>143.334028071957</v>
      </c>
      <c r="J1888" s="6" t="n">
        <f aca="false">Sens!J1863</f>
        <v>154.932702785465</v>
      </c>
      <c r="K1888" s="6" t="n">
        <f aca="false">Sens!K1863</f>
        <v>165.777991980448</v>
      </c>
    </row>
    <row r="1889" customFormat="false" ht="17.15" hidden="false" customHeight="false" outlineLevel="0" collapsed="false">
      <c r="A1889" s="0" t="s">
        <v>904</v>
      </c>
      <c r="B1889" s="0" t="s">
        <v>98</v>
      </c>
      <c r="D1889" s="6" t="n">
        <f aca="false">Sens!D1862</f>
        <v>0.9</v>
      </c>
      <c r="E1889" s="6" t="n">
        <f aca="false">Sens!E1862</f>
        <v>5.25</v>
      </c>
      <c r="F1889" s="6" t="n">
        <f aca="false">Sens!F1862</f>
        <v>13.5</v>
      </c>
      <c r="G1889" s="6" t="n">
        <f aca="false">Sens!G1862</f>
        <v>22.5</v>
      </c>
      <c r="H1889" s="6" t="n">
        <f aca="false">Sens!H1862</f>
        <v>31.5</v>
      </c>
      <c r="I1889" s="6" t="n">
        <f aca="false">Sens!I1862</f>
        <v>38.25</v>
      </c>
      <c r="J1889" s="6" t="n">
        <f aca="false">Sens!J1862</f>
        <v>42.75</v>
      </c>
      <c r="K1889" s="6" t="n">
        <f aca="false">Sens!K1862</f>
        <v>47.25</v>
      </c>
    </row>
    <row r="1890" customFormat="false" ht="15" hidden="false" customHeight="false" outlineLevel="0" collapsed="false">
      <c r="A1890" s="0" t="s">
        <v>884</v>
      </c>
      <c r="B1890" s="0" t="s">
        <v>98</v>
      </c>
      <c r="D1890" s="6" t="n">
        <f aca="false">Sens!D1866</f>
        <v>35.391</v>
      </c>
      <c r="E1890" s="6" t="n">
        <f aca="false">Sens!E1866</f>
        <v>37.285</v>
      </c>
      <c r="F1890" s="6" t="n">
        <f aca="false">Sens!F1866</f>
        <v>39.0720834331704</v>
      </c>
      <c r="G1890" s="6" t="n">
        <f aca="false">Sens!G1866</f>
        <v>40.726562953769</v>
      </c>
      <c r="H1890" s="6" t="n">
        <f aca="false">Sens!H1866</f>
        <v>42.2235987259198</v>
      </c>
      <c r="I1890" s="6" t="n">
        <f aca="false">Sens!I1866</f>
        <v>43.5397988077414</v>
      </c>
      <c r="J1890" s="6" t="n">
        <f aca="false">Sens!J1866</f>
        <v>44.653811225693</v>
      </c>
      <c r="K1890" s="6" t="n">
        <f aca="false">Sens!K1866</f>
        <v>45.5468874502068</v>
      </c>
    </row>
    <row r="1891" customFormat="false" ht="15" hidden="false" customHeight="false" outlineLevel="0" collapsed="false">
      <c r="A1891" s="0" t="s">
        <v>885</v>
      </c>
      <c r="B1891" s="0" t="s">
        <v>98</v>
      </c>
      <c r="D1891" s="6" t="n">
        <f aca="false">Sens!D1868</f>
        <v>18.417</v>
      </c>
      <c r="E1891" s="6" t="n">
        <f aca="false">Sens!E1868</f>
        <v>20.345</v>
      </c>
      <c r="F1891" s="6" t="n">
        <f aca="false">Sens!F1868</f>
        <v>22.3572203267814</v>
      </c>
      <c r="G1891" s="6" t="n">
        <f aca="false">Sens!G1868</f>
        <v>24.4392124437232</v>
      </c>
      <c r="H1891" s="6" t="n">
        <f aca="false">Sens!H1868</f>
        <v>26.5738052080665</v>
      </c>
      <c r="I1891" s="6" t="n">
        <f aca="false">Sens!I1868</f>
        <v>28.7412169166967</v>
      </c>
      <c r="J1891" s="6" t="n">
        <f aca="false">Sens!J1868</f>
        <v>30.9192545395413</v>
      </c>
      <c r="K1891" s="6" t="n">
        <f aca="false">Sens!K1868</f>
        <v>33.0836023573092</v>
      </c>
    </row>
    <row r="1892" customFormat="false" ht="15" hidden="false" customHeight="false" outlineLevel="0" collapsed="false">
      <c r="A1892" s="0" t="s">
        <v>886</v>
      </c>
      <c r="B1892" s="0" t="s">
        <v>98</v>
      </c>
      <c r="D1892" s="6" t="n">
        <f aca="false">Sens!D1870</f>
        <v>7.76</v>
      </c>
      <c r="E1892" s="6" t="n">
        <f aca="false">Sens!E1870</f>
        <v>8.26</v>
      </c>
      <c r="F1892" s="6" t="n">
        <f aca="false">Sens!F1870</f>
        <v>8.79988041237113</v>
      </c>
      <c r="G1892" s="6" t="n">
        <f aca="false">Sens!G1870</f>
        <v>9.38321269125306</v>
      </c>
      <c r="H1892" s="6" t="n">
        <f aca="false">Sens!H1870</f>
        <v>10.0139193587476</v>
      </c>
      <c r="I1892" s="6" t="n">
        <f aca="false">Sens!I1870</f>
        <v>10.6963111830911</v>
      </c>
      <c r="J1892" s="6" t="n">
        <f aca="false">Sens!J1870</f>
        <v>11.4351285534696</v>
      </c>
      <c r="K1892" s="6" t="n">
        <f aca="false">Sens!K1870</f>
        <v>12.2355875522124</v>
      </c>
    </row>
    <row r="1893" customFormat="false" ht="15" hidden="false" customHeight="false" outlineLevel="0" collapsed="false">
      <c r="A1893" s="0" t="s">
        <v>715</v>
      </c>
      <c r="B1893" s="0" t="s">
        <v>98</v>
      </c>
      <c r="D1893" s="6" t="n">
        <f aca="false">Sens!D1872</f>
        <v>218.783</v>
      </c>
      <c r="E1893" s="6" t="n">
        <f aca="false">Sens!E1872</f>
        <v>268.127</v>
      </c>
      <c r="F1893" s="6" t="n">
        <f aca="false">Sens!F1872</f>
        <v>339.433940907051</v>
      </c>
      <c r="G1893" s="6" t="n">
        <f aca="false">Sens!G1872</f>
        <v>424.490670881892</v>
      </c>
      <c r="H1893" s="6" t="n">
        <f aca="false">Sens!H1872</f>
        <v>515.646275281385</v>
      </c>
      <c r="I1893" s="6" t="n">
        <f aca="false">Sens!I1872</f>
        <v>592.863760444604</v>
      </c>
      <c r="J1893" s="6" t="n">
        <f aca="false">Sens!J1872</f>
        <v>654.596421863355</v>
      </c>
      <c r="K1893" s="6" t="n">
        <f aca="false">Sens!K1872</f>
        <v>703.647921299244</v>
      </c>
    </row>
    <row r="1894" customFormat="false" ht="15" hidden="false" customHeight="false" outlineLevel="0" collapsed="false">
      <c r="A1894" s="0" t="s">
        <v>887</v>
      </c>
      <c r="B1894" s="0" t="s">
        <v>98</v>
      </c>
      <c r="D1894" s="6" t="n">
        <f aca="false">Sens!D1873</f>
        <v>22.171</v>
      </c>
      <c r="E1894" s="6" t="n">
        <f aca="false">Sens!E1873</f>
        <v>24.835</v>
      </c>
      <c r="F1894" s="6" t="n">
        <f aca="false">Sens!F1873</f>
        <v>27.6114901218559</v>
      </c>
      <c r="G1894" s="6" t="n">
        <f aca="false">Sens!G1873</f>
        <v>30.4675667338515</v>
      </c>
      <c r="H1894" s="6" t="n">
        <f aca="false">Sens!H1873</f>
        <v>33.3643766955789</v>
      </c>
      <c r="I1894" s="6" t="n">
        <f aca="false">Sens!I1873</f>
        <v>36.2577016533691</v>
      </c>
      <c r="J1894" s="6" t="n">
        <f aca="false">Sens!J1873</f>
        <v>39.0988367952171</v>
      </c>
      <c r="K1894" s="6" t="n">
        <f aca="false">Sens!K1873</f>
        <v>41.8357553708823</v>
      </c>
    </row>
    <row r="1895" customFormat="false" ht="15" hidden="false" customHeight="false" outlineLevel="0" collapsed="false">
      <c r="A1895" s="0" t="s">
        <v>888</v>
      </c>
      <c r="B1895" s="0" t="s">
        <v>98</v>
      </c>
      <c r="D1895" s="6" t="n">
        <f aca="false">Sens!D1875</f>
        <v>23.455</v>
      </c>
      <c r="E1895" s="6" t="n">
        <f aca="false">Sens!E1875</f>
        <v>21.79</v>
      </c>
      <c r="F1895" s="6" t="n">
        <f aca="false">Sens!F1875</f>
        <v>20.5736277908051</v>
      </c>
      <c r="G1895" s="6" t="n">
        <f aca="false">Sens!G1875</f>
        <v>19.7371452817919</v>
      </c>
      <c r="H1895" s="6" t="n">
        <f aca="false">Sens!H1875</f>
        <v>19.2339764043138</v>
      </c>
      <c r="I1895" s="6" t="n">
        <f aca="false">Sens!I1875</f>
        <v>19.0353086852681</v>
      </c>
      <c r="J1895" s="6" t="n">
        <f aca="false">Sens!J1875</f>
        <v>19.1273539319129</v>
      </c>
      <c r="K1895" s="6" t="n">
        <f aca="false">Sens!K1875</f>
        <v>19.5099010105511</v>
      </c>
    </row>
    <row r="1896" customFormat="false" ht="15" hidden="false" customHeight="false" outlineLevel="0" collapsed="false">
      <c r="A1896" s="0" t="s">
        <v>889</v>
      </c>
      <c r="B1896" s="0" t="s">
        <v>98</v>
      </c>
      <c r="D1896" s="6" t="n">
        <f aca="false">Sens!D1877</f>
        <v>17.315</v>
      </c>
      <c r="E1896" s="6" t="n">
        <f aca="false">Sens!E1877</f>
        <v>17.087</v>
      </c>
      <c r="F1896" s="6" t="n">
        <f aca="false">Sens!F1877</f>
        <v>16.9564585436519</v>
      </c>
      <c r="G1896" s="6" t="n">
        <f aca="false">Sens!G1877</f>
        <v>16.9206490624268</v>
      </c>
      <c r="H1896" s="6" t="n">
        <f aca="false">Sens!H1877</f>
        <v>16.9784519149849</v>
      </c>
      <c r="I1896" s="6" t="n">
        <f aca="false">Sens!I1877</f>
        <v>17.1303084701817</v>
      </c>
      <c r="J1896" s="6" t="n">
        <f aca="false">Sens!J1877</f>
        <v>17.3782189407267</v>
      </c>
      <c r="K1896" s="6" t="n">
        <f aca="false">Sens!K1877</f>
        <v>17.7257833195413</v>
      </c>
    </row>
    <row r="1897" customFormat="false" ht="15" hidden="false" customHeight="false" outlineLevel="0" collapsed="false">
      <c r="A1897" s="0" t="s">
        <v>729</v>
      </c>
      <c r="B1897" s="0" t="s">
        <v>98</v>
      </c>
      <c r="D1897" s="6" t="n">
        <f aca="false">Sens!D1879</f>
        <v>62.941</v>
      </c>
      <c r="E1897" s="6" t="n">
        <f aca="false">Sens!E1879</f>
        <v>63.712</v>
      </c>
      <c r="F1897" s="6" t="n">
        <f aca="false">Sens!F1879</f>
        <v>65.1415764563129</v>
      </c>
      <c r="G1897" s="6" t="n">
        <f aca="false">Sens!G1879</f>
        <v>67.1253610780702</v>
      </c>
      <c r="H1897" s="6" t="n">
        <f aca="false">Sens!H1879</f>
        <v>69.5768050148776</v>
      </c>
      <c r="I1897" s="6" t="n">
        <f aca="false">Sens!I1879</f>
        <v>72.4233188088189</v>
      </c>
      <c r="J1897" s="6" t="n">
        <f aca="false">Sens!J1879</f>
        <v>75.6044096678567</v>
      </c>
      <c r="K1897" s="6" t="n">
        <f aca="false">Sens!K1879</f>
        <v>79.0714397009747</v>
      </c>
    </row>
    <row r="1898" customFormat="false" ht="15" hidden="false" customHeight="false" outlineLevel="0" collapsed="false">
      <c r="A1898" s="1" t="s">
        <v>905</v>
      </c>
      <c r="B1898" s="0" t="s">
        <v>98</v>
      </c>
      <c r="D1898" s="6" t="n">
        <f aca="false">Sens!D1880</f>
        <v>281.724</v>
      </c>
      <c r="E1898" s="6" t="n">
        <f aca="false">Sens!E1880</f>
        <v>331.839</v>
      </c>
      <c r="F1898" s="6" t="n">
        <f aca="false">Sens!F1880</f>
        <v>404.575517363364</v>
      </c>
      <c r="G1898" s="6" t="n">
        <f aca="false">Sens!G1880</f>
        <v>491.616031959962</v>
      </c>
      <c r="H1898" s="6" t="n">
        <f aca="false">Sens!H1880</f>
        <v>585.223080296262</v>
      </c>
      <c r="I1898" s="6" t="n">
        <f aca="false">Sens!I1880</f>
        <v>665.287079253422</v>
      </c>
      <c r="J1898" s="6" t="n">
        <f aca="false">Sens!J1880</f>
        <v>730.200831531211</v>
      </c>
      <c r="K1898" s="6" t="n">
        <f aca="false">Sens!K1880</f>
        <v>782.719361000218</v>
      </c>
    </row>
    <row r="1899" customFormat="false" ht="15" hidden="false" customHeight="false" outlineLevel="0" collapsed="false">
      <c r="A1899" s="1" t="s">
        <v>906</v>
      </c>
      <c r="B1899" s="0" t="s">
        <v>129</v>
      </c>
      <c r="E1899" s="7" t="n">
        <f aca="false">Sens!E1898/Sens!D1898-1</f>
        <v>0.177886867998467</v>
      </c>
      <c r="F1899" s="7" t="n">
        <f aca="false">Sens!F1898/Sens!E1898-1</f>
        <v>0.219192190680914</v>
      </c>
      <c r="G1899" s="7" t="n">
        <f aca="false">Sens!G1898/Sens!F1898-1</f>
        <v>0.215140340581766</v>
      </c>
      <c r="H1899" s="7" t="n">
        <f aca="false">Sens!H1898/Sens!G1898-1</f>
        <v>0.19040682616291</v>
      </c>
      <c r="I1899" s="7" t="n">
        <f aca="false">Sens!I1898/Sens!H1898-1</f>
        <v>0.13680936663781</v>
      </c>
      <c r="J1899" s="7" t="n">
        <f aca="false">Sens!J1898/Sens!I1898-1</f>
        <v>0.0975725431953893</v>
      </c>
      <c r="K1899" s="7" t="n">
        <f aca="false">Sens!K1898/Sens!J1898-1</f>
        <v>0.0719234040844312</v>
      </c>
    </row>
    <row r="1900" customFormat="false" ht="17.15" hidden="false" customHeight="false" outlineLevel="0" collapsed="false">
      <c r="A1900" s="23" t="s">
        <v>907</v>
      </c>
      <c r="B1900" s="30" t="s">
        <v>98</v>
      </c>
      <c r="C1900" s="30"/>
      <c r="D1900" s="24" t="n">
        <f aca="false">(Sens!D1893+Sens!D1897-Sens!D1898)+(Sens!D1885+Sens!D1886-Sens!D1884)+(Sens!D1888+Sens!D1889-Sens!D1887)+(Sens!D1898-Q!L18)</f>
        <v>0</v>
      </c>
      <c r="E1900" s="24" t="n">
        <f aca="false">(Sens!E1893+Sens!E1897-Sens!E1898)+(Sens!E1885+Sens!E1886-Sens!E1884)+(Sens!E1888+Sens!E1889-Sens!E1887)+(Sens!E1898-Q!M18)</f>
        <v>0</v>
      </c>
      <c r="F1900" s="24" t="n">
        <f aca="false">(Sens!F1893+Sens!F1897-Sens!F1898)+(Sens!F1885+Sens!F1886-Sens!F1884)+(Sens!F1888+Sens!F1889-Sens!F1887)</f>
        <v>0</v>
      </c>
      <c r="G1900" s="24" t="n">
        <f aca="false">(Sens!G1893+Sens!G1897-Sens!G1898)+(Sens!G1885+Sens!G1886-Sens!G1884)+(Sens!G1888+Sens!G1889-Sens!G1887)</f>
        <v>0</v>
      </c>
      <c r="H1900" s="24" t="n">
        <f aca="false">(Sens!H1893+Sens!H1897-Sens!H1898)+(Sens!H1885+Sens!H1886-Sens!H1884)+(Sens!H1888+Sens!H1889-Sens!H1887)</f>
        <v>0</v>
      </c>
      <c r="I1900" s="24" t="n">
        <f aca="false">(Sens!I1893+Sens!I1897-Sens!I1898)+(Sens!I1885+Sens!I1886-Sens!I1884)+(Sens!I1888+Sens!I1889-Sens!I1887)</f>
        <v>0</v>
      </c>
      <c r="J1900" s="24" t="n">
        <f aca="false">(Sens!J1893+Sens!J1897-Sens!J1898)+(Sens!J1885+Sens!J1886-Sens!J1884)+(Sens!J1888+Sens!J1889-Sens!J1887)</f>
        <v>0</v>
      </c>
      <c r="K1900" s="24" t="n">
        <f aca="false">(Sens!K1893+Sens!K1897-Sens!K1898)+(Sens!K1885+Sens!K1886-Sens!K1884)+(Sens!K1888+Sens!K1889-Sens!K1887)</f>
        <v>0</v>
      </c>
    </row>
    <row r="1901" customFormat="false" ht="17.15" hidden="false" customHeight="false" outlineLevel="0" collapsed="false">
      <c r="A1901" s="0" t="s">
        <v>908</v>
      </c>
      <c r="B1901" s="0" t="s">
        <v>129</v>
      </c>
      <c r="E1901" s="7" t="n">
        <f aca="false">(Q!M21+Sens!E1838+Sens!E1839+Sens!E1840+Sens!E1853-Sens!E1836)/(Q!M5-Sens!E1836)</f>
        <v>0.591291114837517</v>
      </c>
      <c r="F1901" s="7" t="n">
        <f aca="false">Sens!$E$1901+dm_seg</f>
        <v>0.591291114837517</v>
      </c>
      <c r="G1901" s="7" t="n">
        <f aca="false">Sens!$E$1901+dm_seg</f>
        <v>0.591291114837517</v>
      </c>
      <c r="H1901" s="7" t="n">
        <f aca="false">Sens!$E$1901+dm_seg</f>
        <v>0.591291114837517</v>
      </c>
      <c r="I1901" s="7" t="n">
        <f aca="false">Sens!$E$1901+dm_seg</f>
        <v>0.591291114837517</v>
      </c>
      <c r="J1901" s="7" t="n">
        <f aca="false">Sens!$E$1901+dm_seg</f>
        <v>0.591291114837517</v>
      </c>
      <c r="K1901" s="7" t="n">
        <f aca="false">Sens!$E$1901+dm_seg</f>
        <v>0.591291114837517</v>
      </c>
      <c r="L1901" s="11" t="s">
        <v>909</v>
      </c>
    </row>
    <row r="1902" customFormat="false" ht="17.15" hidden="false" customHeight="false" outlineLevel="0" collapsed="false">
      <c r="A1902" s="0" t="s">
        <v>743</v>
      </c>
      <c r="B1902" s="0" t="s">
        <v>98</v>
      </c>
      <c r="D1902" s="6" t="n">
        <f aca="false">Q!L21</f>
        <v>110.814</v>
      </c>
      <c r="E1902" s="6" t="n">
        <f aca="false">Q!M21</f>
        <v>136.365</v>
      </c>
      <c r="F1902" s="6" t="n">
        <f aca="false">Sens!F1901*(Sens!F1872-Sens!F1836)+Sens!F1836-(Sens!F1838+Sens!F1839+Sens!F1840)-Sens!F1853-Sens!F1936</f>
        <v>158.44490841054</v>
      </c>
      <c r="G1902" s="6" t="n">
        <f aca="false">Sens!G1901*(Sens!G1872-Sens!G1836)+Sens!G1836-(Sens!G1838+Sens!G1839+Sens!G1840)-Sens!G1853-Sens!G1936</f>
        <v>182.402751381588</v>
      </c>
      <c r="H1902" s="6" t="n">
        <f aca="false">Sens!H1901*(Sens!H1872-Sens!H1836)+Sens!H1836-(Sens!H1838+Sens!H1839+Sens!H1840)-Sens!H1853-Sens!H1936</f>
        <v>209.97141533724</v>
      </c>
      <c r="I1902" s="6" t="n">
        <f aca="false">Sens!I1901*(Sens!I1872-Sens!I1836)+Sens!I1836-(Sens!I1838+Sens!I1839+Sens!I1840)-Sens!I1853-Sens!I1936</f>
        <v>230.256536517288</v>
      </c>
      <c r="J1902" s="6" t="n">
        <f aca="false">Sens!J1901*(Sens!J1872-Sens!J1836)+Sens!J1836-(Sens!J1838+Sens!J1839+Sens!J1840)-Sens!J1853-Sens!J1936</f>
        <v>248.784674712815</v>
      </c>
      <c r="K1902" s="6" t="n">
        <f aca="false">Sens!K1901*(Sens!K1872-Sens!K1836)+Sens!K1836-(Sens!K1838+Sens!K1839+Sens!K1840)-Sens!K1853-Sens!K1936</f>
        <v>266.988957787795</v>
      </c>
      <c r="L1902" s="1" t="s">
        <v>910</v>
      </c>
    </row>
    <row r="1903" customFormat="false" ht="17.15" hidden="false" customHeight="false" outlineLevel="0" collapsed="false">
      <c r="A1903" s="0" t="s">
        <v>911</v>
      </c>
      <c r="B1903" s="0" t="s">
        <v>129</v>
      </c>
      <c r="E1903" s="7" t="n">
        <f aca="false">Q!M22/Q!M12</f>
        <v>0.296207935710698</v>
      </c>
      <c r="F1903" s="7" t="n">
        <f aca="false">Sens!$E$1903+dm_seg</f>
        <v>0.296207935710698</v>
      </c>
      <c r="G1903" s="7" t="n">
        <f aca="false">Sens!$E$1903+dm_seg</f>
        <v>0.296207935710698</v>
      </c>
      <c r="H1903" s="7" t="n">
        <f aca="false">Sens!$E$1903+dm_seg</f>
        <v>0.296207935710698</v>
      </c>
      <c r="I1903" s="7" t="n">
        <f aca="false">Sens!$E$1903+dm_seg</f>
        <v>0.296207935710698</v>
      </c>
      <c r="J1903" s="7" t="n">
        <f aca="false">Sens!$E$1903+dm_seg</f>
        <v>0.296207935710698</v>
      </c>
      <c r="K1903" s="7" t="n">
        <f aca="false">Sens!$E$1903+dm_seg</f>
        <v>0.296207935710698</v>
      </c>
      <c r="L1903" s="11" t="s">
        <v>912</v>
      </c>
    </row>
    <row r="1904" customFormat="false" ht="17.15" hidden="false" customHeight="false" outlineLevel="0" collapsed="false">
      <c r="A1904" s="0" t="s">
        <v>745</v>
      </c>
      <c r="B1904" s="0" t="s">
        <v>98</v>
      </c>
      <c r="D1904" s="6" t="n">
        <f aca="false">Q!L22</f>
        <v>17.714</v>
      </c>
      <c r="E1904" s="6" t="n">
        <f aca="false">Q!M22</f>
        <v>18.872</v>
      </c>
      <c r="F1904" s="6" t="n">
        <f aca="false">Sens!F1879*Sens!F1903</f>
        <v>19.2954518910651</v>
      </c>
      <c r="G1904" s="6" t="n">
        <f aca="false">Sens!G1879*Sens!G1903</f>
        <v>19.8830646387704</v>
      </c>
      <c r="H1904" s="6" t="n">
        <f aca="false">Sens!H1879*Sens!H1903</f>
        <v>20.6092017868026</v>
      </c>
      <c r="I1904" s="6" t="n">
        <f aca="false">Sens!I1879*Sens!I1903</f>
        <v>21.452361761678</v>
      </c>
      <c r="J1904" s="6" t="n">
        <f aca="false">Sens!J1879*Sens!J1903</f>
        <v>22.3946261183418</v>
      </c>
      <c r="K1904" s="6" t="n">
        <f aca="false">Sens!K1879*Sens!K1903</f>
        <v>23.4215879274986</v>
      </c>
    </row>
    <row r="1905" customFormat="false" ht="15" hidden="false" customHeight="false" outlineLevel="0" collapsed="false">
      <c r="A1905" s="1" t="s">
        <v>913</v>
      </c>
      <c r="B1905" s="0" t="s">
        <v>98</v>
      </c>
      <c r="D1905" s="6" t="n">
        <f aca="false">Sens!D1902+Sens!D1904</f>
        <v>128.528</v>
      </c>
      <c r="E1905" s="6" t="n">
        <f aca="false">Sens!E1902+Sens!E1904</f>
        <v>155.237</v>
      </c>
      <c r="F1905" s="6" t="n">
        <f aca="false">Sens!F1902+Sens!F1904</f>
        <v>177.740360301605</v>
      </c>
      <c r="G1905" s="6" t="n">
        <f aca="false">Sens!G1902+Sens!G1904</f>
        <v>202.285816020358</v>
      </c>
      <c r="H1905" s="6" t="n">
        <f aca="false">Sens!H1902+Sens!H1904</f>
        <v>230.580617124042</v>
      </c>
      <c r="I1905" s="6" t="n">
        <f aca="false">Sens!I1902+Sens!I1904</f>
        <v>251.708898278966</v>
      </c>
      <c r="J1905" s="6" t="n">
        <f aca="false">Sens!J1902+Sens!J1904</f>
        <v>271.179300831157</v>
      </c>
      <c r="K1905" s="6" t="n">
        <f aca="false">Sens!K1902+Sens!K1904</f>
        <v>290.410545715293</v>
      </c>
    </row>
    <row r="1906" customFormat="false" ht="15" hidden="false" customHeight="false" outlineLevel="0" collapsed="false">
      <c r="A1906" s="23" t="s">
        <v>914</v>
      </c>
      <c r="B1906" s="30" t="s">
        <v>98</v>
      </c>
      <c r="C1906" s="30"/>
      <c r="D1906" s="24" t="n">
        <f aca="false">Sens!D1905-Q!L23</f>
        <v>0</v>
      </c>
      <c r="E1906" s="24" t="n">
        <f aca="false">Sens!E1905-Q!M23</f>
        <v>0</v>
      </c>
      <c r="F1906" s="30"/>
      <c r="G1906" s="30"/>
      <c r="H1906" s="30"/>
      <c r="I1906" s="30"/>
      <c r="J1906" s="30"/>
      <c r="K1906" s="30"/>
    </row>
    <row r="1907" customFormat="false" ht="15" hidden="false" customHeight="false" outlineLevel="0" collapsed="false">
      <c r="A1907" s="1" t="s">
        <v>915</v>
      </c>
      <c r="B1907" s="0" t="s">
        <v>129</v>
      </c>
      <c r="D1907" s="7" t="n">
        <f aca="false">Sens!D1905/Sens!D1898</f>
        <v>0.456219562408598</v>
      </c>
      <c r="E1907" s="7" t="n">
        <f aca="false">Sens!E1905/Sens!E1898</f>
        <v>0.467808184089272</v>
      </c>
      <c r="F1907" s="7" t="n">
        <f aca="false">Sens!F1905/Sens!F1898</f>
        <v>0.439325546587561</v>
      </c>
      <c r="G1907" s="7" t="n">
        <f aca="false">Sens!G1905/Sens!G1898</f>
        <v>0.411471154050632</v>
      </c>
      <c r="H1907" s="7" t="n">
        <f aca="false">Sens!H1905/Sens!H1898</f>
        <v>0.394004653759236</v>
      </c>
      <c r="I1907" s="7" t="n">
        <f aca="false">Sens!I1905/Sens!I1898</f>
        <v>0.378346290087929</v>
      </c>
      <c r="J1907" s="7" t="n">
        <f aca="false">Sens!J1905/Sens!J1898</f>
        <v>0.371376324322311</v>
      </c>
      <c r="K1907" s="7" t="n">
        <f aca="false">Sens!K1905/Sens!K1898</f>
        <v>0.371027676310683</v>
      </c>
    </row>
    <row r="1908" customFormat="false" ht="17.15" hidden="false" customHeight="false" outlineLevel="0" collapsed="false">
      <c r="A1908" s="1" t="s">
        <v>916</v>
      </c>
      <c r="B1908" s="0" t="s">
        <v>98</v>
      </c>
      <c r="F1908" s="6" t="n">
        <f aca="false">Sens!F1923</f>
        <v>14.8511721911661</v>
      </c>
      <c r="G1908" s="6" t="n">
        <f aca="false">Sens!G1923</f>
        <v>36.621733145655</v>
      </c>
      <c r="H1908" s="6" t="n">
        <f aca="false">Sens!H1923</f>
        <v>60.6932625259265</v>
      </c>
      <c r="I1908" s="6" t="n">
        <f aca="false">Sens!I1923</f>
        <v>82.8035583027092</v>
      </c>
      <c r="J1908" s="6" t="n">
        <f aca="false">Sens!J1923</f>
        <v>98.4913422764011</v>
      </c>
      <c r="K1908" s="6" t="n">
        <f aca="false">Sens!K1923</f>
        <v>107.465350951677</v>
      </c>
      <c r="L1908" s="1" t="s">
        <v>917</v>
      </c>
    </row>
    <row r="1909" customFormat="false" ht="17.15" hidden="false" customHeight="false" outlineLevel="0" collapsed="false">
      <c r="A1909" s="1" t="s">
        <v>918</v>
      </c>
      <c r="B1909" s="0" t="s">
        <v>98</v>
      </c>
      <c r="D1909" s="6" t="n">
        <f aca="false">Sens!D1905</f>
        <v>128.528</v>
      </c>
      <c r="E1909" s="6" t="n">
        <f aca="false">Sens!E1905</f>
        <v>155.237</v>
      </c>
      <c r="F1909" s="6" t="n">
        <f aca="false">Sens!F1905+Sens!F1908</f>
        <v>192.591532492771</v>
      </c>
      <c r="G1909" s="6" t="n">
        <f aca="false">Sens!G1905+Sens!G1908</f>
        <v>238.907549166013</v>
      </c>
      <c r="H1909" s="6" t="n">
        <f aca="false">Sens!H1905+Sens!H1908</f>
        <v>291.273879649969</v>
      </c>
      <c r="I1909" s="6" t="n">
        <f aca="false">Sens!I1905+Sens!I1908</f>
        <v>334.512456581676</v>
      </c>
      <c r="J1909" s="6" t="n">
        <f aca="false">Sens!J1905+Sens!J1908</f>
        <v>369.670643107558</v>
      </c>
      <c r="K1909" s="6" t="n">
        <f aca="false">Sens!K1905+Sens!K1908</f>
        <v>397.875896666971</v>
      </c>
    </row>
    <row r="1910" customFormat="false" ht="17.15" hidden="false" customHeight="false" outlineLevel="0" collapsed="false">
      <c r="A1910" s="1" t="s">
        <v>919</v>
      </c>
      <c r="B1910" s="0" t="s">
        <v>98</v>
      </c>
      <c r="E1910" s="6" t="n">
        <f aca="false">Sens!E1853</f>
        <v>19.5664871725</v>
      </c>
      <c r="F1910" s="6" t="n">
        <f aca="false">Sens!F1853</f>
        <v>40.8598648571467</v>
      </c>
      <c r="G1910" s="6" t="n">
        <f aca="false">Sens!G1853</f>
        <v>70.9505245326133</v>
      </c>
      <c r="H1910" s="6" t="n">
        <f aca="false">Sens!H1853</f>
        <v>103.633223811973</v>
      </c>
      <c r="I1910" s="6" t="n">
        <f aca="false">Sens!I1853</f>
        <v>132.726892598871</v>
      </c>
      <c r="J1910" s="6" t="n">
        <f aca="false">Sens!J1853</f>
        <v>153.597987423412</v>
      </c>
      <c r="K1910" s="6" t="n">
        <f aca="false">Sens!K1853</f>
        <v>166.95775685317</v>
      </c>
    </row>
    <row r="1911" customFormat="false" ht="17.15" hidden="false" customHeight="false" outlineLevel="0" collapsed="false">
      <c r="A1911" s="1" t="s">
        <v>920</v>
      </c>
      <c r="B1911" s="0" t="s">
        <v>98</v>
      </c>
      <c r="E1911" s="6" t="n">
        <f aca="false">Sens!E1935</f>
        <v>18.9675128275</v>
      </c>
      <c r="F1911" s="6" t="n">
        <f aca="false">Sens!F1935</f>
        <v>20.6436962677062</v>
      </c>
      <c r="G1911" s="6" t="n">
        <f aca="false">Sens!G1935</f>
        <v>22.7396159979745</v>
      </c>
      <c r="H1911" s="6" t="n">
        <f aca="false">Sens!H1935</f>
        <v>25.2218057625861</v>
      </c>
      <c r="I1911" s="6" t="n">
        <f aca="false">Sens!I1935</f>
        <v>28.0169652174918</v>
      </c>
      <c r="J1911" s="6" t="n">
        <f aca="false">Sens!J1935</f>
        <v>31.03586002078</v>
      </c>
      <c r="K1911" s="6" t="n">
        <f aca="false">Sens!K1935</f>
        <v>34.1966442929014</v>
      </c>
    </row>
    <row r="1912" customFormat="false" ht="17.15" hidden="false" customHeight="false" outlineLevel="0" collapsed="false">
      <c r="A1912" s="1" t="s">
        <v>921</v>
      </c>
      <c r="B1912" s="0" t="s">
        <v>98</v>
      </c>
      <c r="D1912" s="6" t="n">
        <f aca="false">Q!L27</f>
        <v>-4.901</v>
      </c>
      <c r="E1912" s="6" t="n">
        <f aca="false">Q!M27</f>
        <v>10.697</v>
      </c>
      <c r="F1912" s="6" t="n">
        <f aca="false">oie_f</f>
        <v>-0.4</v>
      </c>
      <c r="G1912" s="6" t="n">
        <f aca="false">oie_f</f>
        <v>-0.4</v>
      </c>
      <c r="H1912" s="6" t="n">
        <f aca="false">oie_f</f>
        <v>-0.4</v>
      </c>
      <c r="I1912" s="6" t="n">
        <f aca="false">oie_f</f>
        <v>-0.4</v>
      </c>
      <c r="J1912" s="6" t="n">
        <f aca="false">oie_f</f>
        <v>-0.4</v>
      </c>
      <c r="K1912" s="6" t="n">
        <f aca="false">oie_f</f>
        <v>-0.4</v>
      </c>
      <c r="L1912" s="11" t="s">
        <v>922</v>
      </c>
    </row>
    <row r="1913" customFormat="false" ht="15" hidden="false" customHeight="false" outlineLevel="0" collapsed="false">
      <c r="A1913" s="1" t="s">
        <v>923</v>
      </c>
      <c r="B1913" s="0" t="s">
        <v>98</v>
      </c>
      <c r="D1913" s="6" t="n">
        <f aca="false">Sens!D1905+Sens!D1912</f>
        <v>123.627</v>
      </c>
      <c r="E1913" s="6" t="n">
        <f aca="false">Sens!E1905+Sens!E1912</f>
        <v>165.934</v>
      </c>
      <c r="F1913" s="6" t="n">
        <f aca="false">Sens!F1905+Sens!F1912</f>
        <v>177.340360301605</v>
      </c>
      <c r="G1913" s="6" t="n">
        <f aca="false">Sens!G1905+Sens!G1912</f>
        <v>201.885816020358</v>
      </c>
      <c r="H1913" s="6" t="n">
        <f aca="false">Sens!H1905+Sens!H1912</f>
        <v>230.180617124042</v>
      </c>
      <c r="I1913" s="6" t="n">
        <f aca="false">Sens!I1905+Sens!I1912</f>
        <v>251.308898278966</v>
      </c>
      <c r="J1913" s="6" t="n">
        <f aca="false">Sens!J1905+Sens!J1912</f>
        <v>270.779300831157</v>
      </c>
      <c r="K1913" s="6" t="n">
        <f aca="false">Sens!K1905+Sens!K1912</f>
        <v>290.010545715293</v>
      </c>
    </row>
    <row r="1914" customFormat="false" ht="15" hidden="false" customHeight="false" outlineLevel="0" collapsed="false">
      <c r="A1914" s="1" t="s">
        <v>924</v>
      </c>
      <c r="B1914" s="0" t="s">
        <v>98</v>
      </c>
      <c r="D1914" s="6" t="n">
        <f aca="false">Q!L29</f>
        <v>21.795</v>
      </c>
      <c r="E1914" s="6" t="n">
        <f aca="false">Q!M29</f>
        <v>32.185</v>
      </c>
      <c r="F1914" s="6" t="n">
        <f aca="false">Sens!F1913*tax_f</f>
        <v>35.468072060321</v>
      </c>
      <c r="G1914" s="6" t="n">
        <f aca="false">Sens!G1913*tax_f</f>
        <v>40.3771632040716</v>
      </c>
      <c r="H1914" s="6" t="n">
        <f aca="false">Sens!H1913*tax_f</f>
        <v>46.0361234248085</v>
      </c>
      <c r="I1914" s="6" t="n">
        <f aca="false">Sens!I1913*tax_f</f>
        <v>50.2617796557933</v>
      </c>
      <c r="J1914" s="6" t="n">
        <f aca="false">Sens!J1913*tax_f</f>
        <v>54.1558601662313</v>
      </c>
      <c r="K1914" s="6" t="n">
        <f aca="false">Sens!K1913*tax_f</f>
        <v>58.0021091430587</v>
      </c>
    </row>
    <row r="1915" customFormat="false" ht="15" hidden="false" customHeight="false" outlineLevel="0" collapsed="false">
      <c r="A1915" s="1" t="s">
        <v>925</v>
      </c>
      <c r="B1915" s="0" t="s">
        <v>98</v>
      </c>
      <c r="D1915" s="6" t="n">
        <f aca="false">Sens!D1913-Sens!D1914</f>
        <v>101.832</v>
      </c>
      <c r="E1915" s="6" t="n">
        <f aca="false">Sens!E1913-Sens!E1914</f>
        <v>133.749</v>
      </c>
      <c r="F1915" s="6" t="n">
        <f aca="false">Sens!F1913-Sens!F1914</f>
        <v>141.872288241284</v>
      </c>
      <c r="G1915" s="6" t="n">
        <f aca="false">Sens!G1913-Sens!G1914</f>
        <v>161.508652816286</v>
      </c>
      <c r="H1915" s="6" t="n">
        <f aca="false">Sens!H1913-Sens!H1914</f>
        <v>184.144493699234</v>
      </c>
      <c r="I1915" s="6" t="n">
        <f aca="false">Sens!I1913-Sens!I1914</f>
        <v>201.047118623173</v>
      </c>
      <c r="J1915" s="6" t="n">
        <f aca="false">Sens!J1913-Sens!J1914</f>
        <v>216.623440664925</v>
      </c>
      <c r="K1915" s="6" t="n">
        <f aca="false">Sens!K1913-Sens!K1914</f>
        <v>232.008436572235</v>
      </c>
    </row>
    <row r="1916" customFormat="false" ht="17.15" hidden="false" customHeight="false" outlineLevel="0" collapsed="false">
      <c r="A1916" s="1" t="s">
        <v>926</v>
      </c>
      <c r="B1916" s="1" t="s">
        <v>81</v>
      </c>
      <c r="D1916" s="14" t="n">
        <f aca="false">Q!L31</f>
        <v>7.465</v>
      </c>
      <c r="E1916" s="14" t="n">
        <f aca="false">Q!M31</f>
        <v>7.453</v>
      </c>
      <c r="F1916" s="14" t="n">
        <f aca="false">Sens!F1959</f>
        <v>7.4735</v>
      </c>
      <c r="G1916" s="14" t="n">
        <f aca="false">Sens!G1959</f>
        <v>7.5185</v>
      </c>
      <c r="H1916" s="14" t="n">
        <f aca="false">Sens!H1959</f>
        <v>7.54661397454561</v>
      </c>
      <c r="I1916" s="14" t="n">
        <f aca="false">Sens!I1959</f>
        <v>7.55875719524859</v>
      </c>
      <c r="J1916" s="14" t="n">
        <f aca="false">Sens!J1959</f>
        <v>7.57299870636647</v>
      </c>
      <c r="K1916" s="14" t="n">
        <f aca="false">Sens!K1959</f>
        <v>7.58951862406821</v>
      </c>
    </row>
    <row r="1917" customFormat="false" ht="17.15" hidden="false" customHeight="false" outlineLevel="0" collapsed="false">
      <c r="A1917" s="0" t="s">
        <v>927</v>
      </c>
      <c r="B1917" s="0" t="s">
        <v>75</v>
      </c>
      <c r="D1917" s="8" t="n">
        <f aca="false">Sens!D1915/Sens!D1916</f>
        <v>13.641259209645</v>
      </c>
      <c r="E1917" s="8" t="n">
        <f aca="false">Sens!E1915/Sens!E1916</f>
        <v>17.9456594659869</v>
      </c>
      <c r="F1917" s="8" t="n">
        <f aca="false">Sens!F1915/Sens!F1916</f>
        <v>18.9833797071364</v>
      </c>
      <c r="G1917" s="8" t="n">
        <f aca="false">Sens!G1915/Sens!G1916</f>
        <v>21.4814993437902</v>
      </c>
      <c r="H1917" s="8" t="n">
        <f aca="false">Sens!H1915/Sens!H1916</f>
        <v>24.4009425048565</v>
      </c>
      <c r="I1917" s="8" t="n">
        <f aca="false">Sens!I1915/Sens!I1916</f>
        <v>26.5979066968245</v>
      </c>
      <c r="J1917" s="8" t="n">
        <f aca="false">Sens!J1915/Sens!J1916</f>
        <v>28.6047111671648</v>
      </c>
      <c r="K1917" s="8" t="n">
        <f aca="false">Sens!K1915/Sens!K1916</f>
        <v>30.5695852483291</v>
      </c>
      <c r="L1917" s="1" t="s">
        <v>928</v>
      </c>
    </row>
    <row r="1918" customFormat="false" ht="17.15" hidden="false" customHeight="false" outlineLevel="0" collapsed="false">
      <c r="A1918" s="1" t="s">
        <v>929</v>
      </c>
      <c r="B1918" s="0" t="s">
        <v>98</v>
      </c>
      <c r="D1918" s="6" t="n">
        <f aca="false">Sens!D1915</f>
        <v>101.832</v>
      </c>
      <c r="E1918" s="6" t="n">
        <f aca="false">Sens!E1915</f>
        <v>133.749</v>
      </c>
      <c r="F1918" s="6" t="n">
        <f aca="false">Sens!F1915+Sens!F1908*(1-tax_f)</f>
        <v>153.753225994217</v>
      </c>
      <c r="G1918" s="6" t="n">
        <f aca="false">Sens!G1915+Sens!G1908*(1-tax_f)</f>
        <v>190.80603933281</v>
      </c>
      <c r="H1918" s="6" t="n">
        <f aca="false">Sens!H1915+Sens!H1908*(1-tax_f)</f>
        <v>232.699103719975</v>
      </c>
      <c r="I1918" s="6" t="n">
        <f aca="false">Sens!I1915+Sens!I1908*(1-tax_f)</f>
        <v>267.28996526534</v>
      </c>
      <c r="J1918" s="6" t="n">
        <f aca="false">Sens!J1915+Sens!J1908*(1-tax_f)</f>
        <v>295.416514486046</v>
      </c>
      <c r="K1918" s="6" t="n">
        <f aca="false">Sens!K1915+Sens!K1908*(1-tax_f)</f>
        <v>317.980717333577</v>
      </c>
    </row>
    <row r="1919" customFormat="false" ht="17.15" hidden="false" customHeight="false" outlineLevel="0" collapsed="false">
      <c r="A1919" s="0" t="s">
        <v>930</v>
      </c>
      <c r="B1919" s="0" t="s">
        <v>75</v>
      </c>
      <c r="D1919" s="8" t="n">
        <f aca="false">Sens!D1918/Sens!D1916</f>
        <v>13.641259209645</v>
      </c>
      <c r="E1919" s="8" t="n">
        <f aca="false">Sens!E1918/Sens!E1916</f>
        <v>17.9456594659869</v>
      </c>
      <c r="F1919" s="8" t="n">
        <f aca="false">Sens!F1918/Sens!F1916</f>
        <v>20.5731218296938</v>
      </c>
      <c r="G1919" s="8" t="n">
        <f aca="false">Sens!G1918/Sens!G1916</f>
        <v>25.3782056703878</v>
      </c>
      <c r="H1919" s="8" t="n">
        <f aca="false">Sens!H1918/Sens!H1916</f>
        <v>30.8349021832651</v>
      </c>
      <c r="I1919" s="8" t="n">
        <f aca="false">Sens!I1918/Sens!I1916</f>
        <v>35.3616286859112</v>
      </c>
      <c r="J1919" s="8" t="n">
        <f aca="false">Sens!J1918/Sens!J1916</f>
        <v>39.0091859170259</v>
      </c>
      <c r="K1919" s="8" t="n">
        <f aca="false">Sens!K1918/Sens!K1916</f>
        <v>41.8973498958395</v>
      </c>
      <c r="L1919" s="1" t="s">
        <v>931</v>
      </c>
    </row>
    <row r="1920" customFormat="false" ht="17.15" hidden="false" customHeight="false" outlineLevel="0" collapsed="false">
      <c r="A1920" s="0" t="s">
        <v>932</v>
      </c>
      <c r="B1920" s="0" t="s">
        <v>129</v>
      </c>
      <c r="E1920" s="7" t="n">
        <f aca="false">Sens!E1919/Sens!D1919-1</f>
        <v>0.315542736208578</v>
      </c>
      <c r="F1920" s="7" t="n">
        <f aca="false">Sens!F1919/Sens!E1919-1</f>
        <v>0.14641213763623</v>
      </c>
      <c r="G1920" s="7" t="n">
        <f aca="false">Sens!G1919/Sens!F1919-1</f>
        <v>0.233561239780276</v>
      </c>
      <c r="H1920" s="7" t="n">
        <f aca="false">Sens!H1919/Sens!G1919-1</f>
        <v>0.215015063860262</v>
      </c>
      <c r="I1920" s="7" t="n">
        <f aca="false">Sens!I1919/Sens!H1919-1</f>
        <v>0.1468052817467</v>
      </c>
      <c r="J1920" s="7" t="n">
        <f aca="false">Sens!J1919/Sens!I1919-1</f>
        <v>0.103150147961593</v>
      </c>
      <c r="K1920" s="7" t="n">
        <f aca="false">Sens!K1919/Sens!J1919-1</f>
        <v>0.0740380479858482</v>
      </c>
    </row>
    <row r="1921" customFormat="false" ht="17.15" hidden="false" customHeight="false" outlineLevel="0" collapsed="false">
      <c r="A1921" s="0" t="s">
        <v>856</v>
      </c>
      <c r="B1921" s="0" t="s">
        <v>98</v>
      </c>
      <c r="E1921" s="6" t="n">
        <f aca="false">Sens!E1862</f>
        <v>5.25</v>
      </c>
      <c r="F1921" s="6" t="n">
        <f aca="false">Sens!F1862</f>
        <v>13.5</v>
      </c>
      <c r="G1921" s="6" t="n">
        <f aca="false">Sens!G1862</f>
        <v>22.5</v>
      </c>
      <c r="H1921" s="6" t="n">
        <f aca="false">Sens!H1862</f>
        <v>31.5</v>
      </c>
      <c r="I1921" s="6" t="n">
        <f aca="false">Sens!I1862</f>
        <v>38.25</v>
      </c>
      <c r="J1921" s="6" t="n">
        <f aca="false">Sens!J1862</f>
        <v>42.75</v>
      </c>
      <c r="K1921" s="6" t="n">
        <f aca="false">Sens!K1862</f>
        <v>47.25</v>
      </c>
    </row>
    <row r="1922" customFormat="false" ht="17.15" hidden="false" customHeight="false" outlineLevel="0" collapsed="false">
      <c r="A1922" s="1" t="s">
        <v>857</v>
      </c>
      <c r="B1922" s="0" t="s">
        <v>98</v>
      </c>
      <c r="F1922" s="6" t="n">
        <f aca="false">MAX(0,((Sens!E1825+Sens!F1825)/2-(shadow_base*(Sens!$D$1825+Sens!$E$1825)/2+(1-shadow_base)*Sens!$E$1825))*Sens!F1833/1000-(Sens!F1921-Sens!$E$1921)*Sens!F1901)</f>
        <v>14.8511721911661</v>
      </c>
      <c r="G1922" s="6" t="n">
        <f aca="false">MAX(0,((Sens!F1825+Sens!G1825)/2-(shadow_base*(Sens!$D$1825+Sens!$E$1825)/2+(1-shadow_base)*Sens!$E$1825))*Sens!G1833/1000-(Sens!G1921-Sens!$E$1921)*Sens!G1901)</f>
        <v>36.621733145655</v>
      </c>
      <c r="H1922" s="6" t="n">
        <f aca="false">MAX(0,((Sens!G1825+Sens!H1825)/2-(shadow_base*(Sens!$D$1825+Sens!$E$1825)/2+(1-shadow_base)*Sens!$E$1825))*Sens!H1833/1000-(Sens!H1921-Sens!$E$1921)*Sens!H1901)</f>
        <v>60.6932625259265</v>
      </c>
      <c r="I1922" s="6" t="n">
        <f aca="false">MAX(0,((Sens!H1825+Sens!I1825)/2-(shadow_base*(Sens!$D$1825+Sens!$E$1825)/2+(1-shadow_base)*Sens!$E$1825))*Sens!I1833/1000-(Sens!I1921-Sens!$E$1921)*Sens!I1901)</f>
        <v>82.8035583027092</v>
      </c>
      <c r="J1922" s="6" t="n">
        <f aca="false">MAX(0,((Sens!I1825+Sens!J1825)/2-(shadow_base*(Sens!$D$1825+Sens!$E$1825)/2+(1-shadow_base)*Sens!$E$1825))*Sens!J1833/1000-(Sens!J1921-Sens!$E$1921)*Sens!J1901)</f>
        <v>98.4913422764011</v>
      </c>
      <c r="K1922" s="6" t="n">
        <f aca="false">MAX(0,((Sens!J1825+Sens!K1825)/2-(shadow_base*(Sens!$D$1825+Sens!$E$1825)/2+(1-shadow_base)*Sens!$E$1825))*Sens!K1833/1000-(Sens!K1921-Sens!$E$1921)*Sens!K1901)</f>
        <v>107.465350951677</v>
      </c>
      <c r="L1922" s="1" t="s">
        <v>858</v>
      </c>
    </row>
    <row r="1923" customFormat="false" ht="17.15" hidden="false" customHeight="false" outlineLevel="0" collapsed="false">
      <c r="A1923" s="1" t="s">
        <v>859</v>
      </c>
      <c r="B1923" s="0" t="s">
        <v>98</v>
      </c>
      <c r="F1923" s="6" t="n">
        <f aca="false">IF(internal_ai_reading=2,1,0)*Sens!F1922</f>
        <v>14.8511721911661</v>
      </c>
      <c r="G1923" s="6" t="n">
        <f aca="false">IF(internal_ai_reading=2,1,0)*Sens!G1922</f>
        <v>36.621733145655</v>
      </c>
      <c r="H1923" s="6" t="n">
        <f aca="false">IF(internal_ai_reading=2,1,0)*Sens!H1922</f>
        <v>60.6932625259265</v>
      </c>
      <c r="I1923" s="6" t="n">
        <f aca="false">IF(internal_ai_reading=2,1,0)*Sens!I1922</f>
        <v>82.8035583027092</v>
      </c>
      <c r="J1923" s="6" t="n">
        <f aca="false">IF(internal_ai_reading=2,1,0)*Sens!J1922</f>
        <v>98.4913422764011</v>
      </c>
      <c r="K1923" s="6" t="n">
        <f aca="false">IF(internal_ai_reading=2,1,0)*Sens!K1922</f>
        <v>107.465350951677</v>
      </c>
    </row>
    <row r="1924" customFormat="false" ht="17.15" hidden="false" customHeight="false" outlineLevel="0" collapsed="false">
      <c r="A1924" s="0" t="s">
        <v>860</v>
      </c>
      <c r="B1924" s="0" t="s">
        <v>98</v>
      </c>
      <c r="F1924" s="6" t="n">
        <f aca="false">Sens!F1842+Sens!F1921*Sens!F1901+Sens!F1923-Sens!F1843-Sens!F1853</f>
        <v>15.3021949632984</v>
      </c>
      <c r="G1924" s="6" t="n">
        <f aca="false">Sens!G1842+Sens!G1921*Sens!G1901+Sens!G1923-Sens!G1843-Sens!G1853</f>
        <v>41.2696143155434</v>
      </c>
      <c r="H1924" s="6" t="n">
        <f aca="false">Sens!H1842+Sens!H1921*Sens!H1901+Sens!H1923-Sens!H1843-Sens!H1853</f>
        <v>72.9601873395388</v>
      </c>
      <c r="I1924" s="6" t="n">
        <f aca="false">Sens!I1842+Sens!I1921*Sens!I1901+Sens!I1923-Sens!I1843-Sens!I1853</f>
        <v>95.9113554342424</v>
      </c>
      <c r="J1924" s="6" t="n">
        <f aca="false">Sens!J1842+Sens!J1921*Sens!J1901+Sens!J1923-Sens!J1843-Sens!J1853</f>
        <v>111.965944225725</v>
      </c>
      <c r="K1924" s="6" t="n">
        <f aca="false">Sens!K1842+Sens!K1921*Sens!K1901+Sens!K1923-Sens!K1843-Sens!K1853</f>
        <v>123.070175273706</v>
      </c>
    </row>
    <row r="1925" customFormat="false" ht="17.15" hidden="false" customHeight="false" outlineLevel="0" collapsed="false">
      <c r="A1925" s="0" t="s">
        <v>861</v>
      </c>
      <c r="B1925" s="0" t="s">
        <v>98</v>
      </c>
      <c r="E1925" s="6" t="n">
        <f aca="false">Sens!E1824*(cxit_open+self_build*tk_cxfac)/1000*ai_net_open</f>
        <v>152.03764584</v>
      </c>
      <c r="F1925" s="6" t="n">
        <f aca="false">Sens!E1925+Sens!F1850-Sens!F1853</f>
        <v>303.577232028613</v>
      </c>
      <c r="G1925" s="6" t="n">
        <f aca="false">Sens!F1925+Sens!G1850-Sens!G1853</f>
        <v>452.91572407584</v>
      </c>
      <c r="H1925" s="6" t="n">
        <f aca="false">Sens!G1925+Sens!H1850-Sens!H1853</f>
        <v>574.978843356347</v>
      </c>
      <c r="I1925" s="6" t="n">
        <f aca="false">Sens!H1925+Sens!I1850-Sens!I1853</f>
        <v>638.69995374257</v>
      </c>
      <c r="J1925" s="6" t="n">
        <f aca="false">Sens!I1925+Sens!J1850-Sens!J1853</f>
        <v>637.719690232249</v>
      </c>
      <c r="K1925" s="6" t="n">
        <f aca="false">Sens!J1925+Sens!K1850-Sens!K1853</f>
        <v>616.450831743388</v>
      </c>
      <c r="L1925" s="1" t="s">
        <v>862</v>
      </c>
    </row>
    <row r="1926" customFormat="false" ht="17.15" hidden="false" customHeight="false" outlineLevel="0" collapsed="false">
      <c r="A1926" s="0" t="s">
        <v>863</v>
      </c>
      <c r="B1926" s="0" t="s">
        <v>129</v>
      </c>
      <c r="F1926" s="7" t="n">
        <f aca="false">Sens!F1924*(1-tax_f)/((Sens!E1925+Sens!F1925)/2)</f>
        <v>0.0537372968499456</v>
      </c>
      <c r="G1926" s="7" t="n">
        <f aca="false">Sens!G1924*(1-tax_f)/((Sens!F1925+Sens!G1925)/2)</f>
        <v>0.0872861833967322</v>
      </c>
      <c r="H1926" s="7" t="n">
        <f aca="false">Sens!H1924*(1-tax_f)/((Sens!G1925+Sens!H1925)/2)</f>
        <v>0.113568359481541</v>
      </c>
      <c r="I1926" s="7" t="n">
        <f aca="false">Sens!I1924*(1-tax_f)/((Sens!H1925+Sens!I1925)/2)</f>
        <v>0.1264405121533</v>
      </c>
      <c r="J1926" s="7" t="n">
        <f aca="false">Sens!J1924*(1-tax_f)/((Sens!I1925+Sens!J1925)/2)</f>
        <v>0.140350010756098</v>
      </c>
      <c r="K1926" s="7" t="n">
        <f aca="false">Sens!K1924*(1-tax_f)/((Sens!J1925+Sens!K1925)/2)</f>
        <v>0.157005986815687</v>
      </c>
    </row>
    <row r="1927" customFormat="false" ht="17.15" hidden="false" customHeight="false" outlineLevel="0" collapsed="false">
      <c r="A1927" s="1" t="s">
        <v>864</v>
      </c>
      <c r="B1927" s="0" t="s">
        <v>129</v>
      </c>
      <c r="F1927" s="7" t="n">
        <f aca="false">(Sens!F1924-Sens!F1923)*(1-tax_f)/((Sens!E1925+Sens!F1925)/2)</f>
        <v>0.0015838737285917</v>
      </c>
      <c r="G1927" s="7" t="n">
        <f aca="false">(Sens!G1924-Sens!G1923)*(1-tax_f)/((Sens!F1925+Sens!G1925)/2)</f>
        <v>0.00983037556637162</v>
      </c>
      <c r="H1927" s="7" t="n">
        <f aca="false">(Sens!H1924-Sens!H1923)*(1-tax_f)/((Sens!G1925+Sens!H1925)/2)</f>
        <v>0.0190944483253869</v>
      </c>
      <c r="I1927" s="7" t="n">
        <f aca="false">(Sens!I1924-Sens!I1923)*(1-tax_f)/((Sens!H1925+Sens!I1925)/2)</f>
        <v>0.0172800871701673</v>
      </c>
      <c r="J1927" s="7" t="n">
        <f aca="false">(Sens!J1924-Sens!J1923)*(1-tax_f)/((Sens!I1925+Sens!J1925)/2)</f>
        <v>0.0168904977455392</v>
      </c>
      <c r="K1927" s="7" t="n">
        <f aca="false">(Sens!K1924-Sens!K1923)*(1-tax_f)/((Sens!J1925+Sens!K1925)/2)</f>
        <v>0.0199077545499282</v>
      </c>
    </row>
    <row r="1928" customFormat="false" ht="17.15" hidden="false" customHeight="false" outlineLevel="0" collapsed="false">
      <c r="A1928" s="1" t="s">
        <v>865</v>
      </c>
      <c r="B1928" s="0" t="s">
        <v>129</v>
      </c>
      <c r="F1928" s="7" t="n">
        <f aca="false">(Sens!F1924-Sens!F1923+Sens!F1922)*(1-tax_f)/((Sens!E1925+Sens!F1925)/2)</f>
        <v>0.0537372968499456</v>
      </c>
      <c r="G1928" s="7" t="n">
        <f aca="false">(Sens!G1924-Sens!G1923+Sens!G1922)*(1-tax_f)/((Sens!F1925+Sens!G1925)/2)</f>
        <v>0.0872861833967322</v>
      </c>
      <c r="H1928" s="7" t="n">
        <f aca="false">(Sens!H1924-Sens!H1923+Sens!H1922)*(1-tax_f)/((Sens!G1925+Sens!H1925)/2)</f>
        <v>0.113568359481541</v>
      </c>
      <c r="I1928" s="7" t="n">
        <f aca="false">(Sens!I1924-Sens!I1923+Sens!I1922)*(1-tax_f)/((Sens!H1925+Sens!I1925)/2)</f>
        <v>0.1264405121533</v>
      </c>
      <c r="J1928" s="7" t="n">
        <f aca="false">(Sens!J1924-Sens!J1923+Sens!J1922)*(1-tax_f)/((Sens!I1925+Sens!J1925)/2)</f>
        <v>0.140350010756098</v>
      </c>
      <c r="K1928" s="7" t="n">
        <f aca="false">(Sens!K1924-Sens!K1923+Sens!K1922)*(1-tax_f)/((Sens!J1925+Sens!K1925)/2)</f>
        <v>0.157005986815687</v>
      </c>
    </row>
    <row r="1929" customFormat="false" ht="17.15" hidden="false" customHeight="false" outlineLevel="0" collapsed="false">
      <c r="A1929" s="1" t="s">
        <v>866</v>
      </c>
      <c r="B1929" s="0" t="s">
        <v>129</v>
      </c>
      <c r="F1929" s="7" t="n">
        <f aca="false">Sens!F1854*(1-tax_f)/(Sens!F1841*(Sens!E1925+Sens!F1925)/2)</f>
        <v>0.159418295257403</v>
      </c>
      <c r="G1929" s="7" t="n">
        <f aca="false">Sens!G1854*(1-tax_f)/(Sens!G1841*(Sens!F1925+Sens!G1925)/2)</f>
        <v>0.181875227327983</v>
      </c>
      <c r="H1929" s="7" t="n">
        <f aca="false">Sens!H1854*(1-tax_f)/(Sens!H1841*(Sens!G1925+Sens!H1925)/2)</f>
        <v>0.212793847216411</v>
      </c>
      <c r="I1929" s="7" t="n">
        <f aca="false">Sens!I1854*(1-tax_f)/(Sens!I1841*(Sens!H1925+Sens!I1925)/2)</f>
        <v>0.22561326832943</v>
      </c>
      <c r="J1929" s="7" t="n">
        <f aca="false">Sens!J1854*(1-tax_f)/(Sens!J1841*(Sens!I1925+Sens!J1925)/2)</f>
        <v>0.24488839563955</v>
      </c>
      <c r="K1929" s="7" t="n">
        <f aca="false">Sens!K1854*(1-tax_f)/(Sens!K1841*(Sens!J1925+Sens!K1925)/2)</f>
        <v>0.270711455180788</v>
      </c>
    </row>
    <row r="1930" customFormat="false" ht="17.15" hidden="false" customHeight="false" outlineLevel="0" collapsed="false">
      <c r="A1930" s="0" t="s">
        <v>867</v>
      </c>
      <c r="B1930" s="0" t="s">
        <v>209</v>
      </c>
      <c r="F1930" s="7" t="n">
        <f aca="false">Sens!F1926-wacc</f>
        <v>-0.0491971232429301</v>
      </c>
      <c r="G1930" s="7" t="n">
        <f aca="false">Sens!G1926-wacc</f>
        <v>-0.0156482366961435</v>
      </c>
      <c r="H1930" s="7" t="n">
        <f aca="false">Sens!H1926-wacc</f>
        <v>0.0106339393886657</v>
      </c>
      <c r="I1930" s="7" t="n">
        <f aca="false">Sens!I1926-wacc</f>
        <v>0.023506092060424</v>
      </c>
      <c r="J1930" s="7" t="n">
        <f aca="false">Sens!J1926-wacc</f>
        <v>0.0374155906632222</v>
      </c>
      <c r="K1930" s="7" t="n">
        <f aca="false">Sens!K1926-wacc</f>
        <v>0.0540715667228112</v>
      </c>
    </row>
    <row r="1931" customFormat="false" ht="17.15" hidden="false" customHeight="false" outlineLevel="0" collapsed="false">
      <c r="A1931" s="0" t="s">
        <v>868</v>
      </c>
      <c r="B1931" s="0" t="s">
        <v>98</v>
      </c>
      <c r="F1931" s="6" t="n">
        <f aca="false">Sens!F1924*(1-tax_f)-wacc*(Sens!E1925+Sens!F1925)/2</f>
        <v>-11.2074706489074</v>
      </c>
      <c r="G1931" s="6" t="n">
        <f aca="false">Sens!G1924*(1-tax_f)-wacc*(Sens!F1925+Sens!G1925)/2</f>
        <v>-5.9188904180439</v>
      </c>
      <c r="H1931" s="6" t="n">
        <f aca="false">Sens!H1924*(1-tax_f)-wacc*(Sens!G1925+Sens!H1925)/2</f>
        <v>5.46528426400634</v>
      </c>
      <c r="I1931" s="6" t="n">
        <f aca="false">Sens!I1924*(1-tax_f)-wacc*(Sens!H1925+Sens!I1925)/2</f>
        <v>14.2644227681959</v>
      </c>
      <c r="J1931" s="6" t="n">
        <f aca="false">Sens!J1924*(1-tax_f)-wacc*(Sens!I1925+Sens!J1925)/2</f>
        <v>23.8789974567288</v>
      </c>
      <c r="K1931" s="6" t="n">
        <f aca="false">Sens!K1924*(1-tax_f)-wacc*(Sens!J1925+Sens!K1925)/2</f>
        <v>33.9074825303943</v>
      </c>
    </row>
    <row r="1932" customFormat="false" ht="17.15" hidden="false" customHeight="false" outlineLevel="0" collapsed="false">
      <c r="A1932" s="3" t="s">
        <v>1310</v>
      </c>
    </row>
    <row r="1933" customFormat="false" ht="15" hidden="false" customHeight="false" outlineLevel="0" collapsed="false">
      <c r="A1933" s="4" t="s">
        <v>43</v>
      </c>
      <c r="B1933" s="4" t="s">
        <v>65</v>
      </c>
      <c r="C1933" s="20" t="s">
        <v>799</v>
      </c>
      <c r="D1933" s="20" t="s">
        <v>800</v>
      </c>
      <c r="E1933" s="20" t="s">
        <v>801</v>
      </c>
      <c r="F1933" s="20" t="s">
        <v>802</v>
      </c>
      <c r="G1933" s="20" t="s">
        <v>803</v>
      </c>
      <c r="H1933" s="20" t="s">
        <v>804</v>
      </c>
      <c r="I1933" s="20" t="s">
        <v>805</v>
      </c>
      <c r="J1933" s="20" t="s">
        <v>806</v>
      </c>
      <c r="K1933" s="20" t="s">
        <v>807</v>
      </c>
      <c r="L1933" s="4" t="s">
        <v>47</v>
      </c>
    </row>
    <row r="1934" customFormat="false" ht="15" hidden="false" customHeight="false" outlineLevel="0" collapsed="false">
      <c r="A1934" s="1" t="s">
        <v>925</v>
      </c>
      <c r="B1934" s="0" t="s">
        <v>98</v>
      </c>
      <c r="F1934" s="6" t="n">
        <f aca="false">Sens!F1915</f>
        <v>141.872288241284</v>
      </c>
      <c r="G1934" s="6" t="n">
        <f aca="false">Sens!G1915</f>
        <v>161.508652816286</v>
      </c>
      <c r="H1934" s="6" t="n">
        <f aca="false">Sens!H1915</f>
        <v>184.144493699234</v>
      </c>
      <c r="I1934" s="6" t="n">
        <f aca="false">Sens!I1915</f>
        <v>201.047118623173</v>
      </c>
      <c r="J1934" s="6" t="n">
        <f aca="false">Sens!J1915</f>
        <v>216.623440664925</v>
      </c>
      <c r="K1934" s="6" t="n">
        <f aca="false">Sens!K1915</f>
        <v>232.008436572235</v>
      </c>
    </row>
    <row r="1935" customFormat="false" ht="17.15" hidden="false" customHeight="false" outlineLevel="0" collapsed="false">
      <c r="A1935" s="1" t="s">
        <v>947</v>
      </c>
      <c r="B1935" s="0" t="s">
        <v>98</v>
      </c>
      <c r="E1935" s="6" t="n">
        <f aca="false">Q!M38-Sens!E1853</f>
        <v>18.9675128275</v>
      </c>
      <c r="F1935" s="6" t="n">
        <f aca="false">Sens!E1935*(1-1/life_nonai)+(Sens!F1942+Sens!F1943)/life_nonai</f>
        <v>20.6436962677062</v>
      </c>
      <c r="G1935" s="6" t="n">
        <f aca="false">Sens!F1935*(1-1/life_nonai)+(Sens!G1942)/life_nonai</f>
        <v>22.7396159979745</v>
      </c>
      <c r="H1935" s="6" t="n">
        <f aca="false">Sens!G1935*(1-1/life_nonai)+(Sens!H1942)/life_nonai</f>
        <v>25.2218057625861</v>
      </c>
      <c r="I1935" s="6" t="n">
        <f aca="false">Sens!H1935*(1-1/life_nonai)+(Sens!I1942)/life_nonai</f>
        <v>28.0169652174918</v>
      </c>
      <c r="J1935" s="6" t="n">
        <f aca="false">Sens!I1935*(1-1/life_nonai)+(Sens!J1942)/life_nonai</f>
        <v>31.03586002078</v>
      </c>
      <c r="K1935" s="6" t="n">
        <f aca="false">Sens!J1935*(1-1/life_nonai)+(Sens!K1942)/life_nonai</f>
        <v>34.1966442929014</v>
      </c>
      <c r="L1935" s="11" t="s">
        <v>948</v>
      </c>
    </row>
    <row r="1936" customFormat="false" ht="17.15" hidden="false" customHeight="false" outlineLevel="0" collapsed="false">
      <c r="A1936" s="1" t="s">
        <v>949</v>
      </c>
      <c r="B1936" s="0" t="s">
        <v>98</v>
      </c>
      <c r="F1936" s="6" t="n">
        <f aca="false">Sens!$F$1943/life_nonai*(1-1/life_nonai)^(Sens!F1819-2027)</f>
        <v>0</v>
      </c>
      <c r="G1936" s="6" t="n">
        <f aca="false">Sens!$F$1943/life_nonai*(1-1/life_nonai)^(Sens!G1819-2027)</f>
        <v>0</v>
      </c>
      <c r="H1936" s="6" t="n">
        <f aca="false">Sens!$F$1943/life_nonai*(1-1/life_nonai)^(Sens!H1819-2027)</f>
        <v>0</v>
      </c>
      <c r="I1936" s="6" t="n">
        <f aca="false">Sens!$F$1943/life_nonai*(1-1/life_nonai)^(Sens!I1819-2027)</f>
        <v>0</v>
      </c>
      <c r="J1936" s="6" t="n">
        <f aca="false">Sens!$F$1943/life_nonai*(1-1/life_nonai)^(Sens!J1819-2027)</f>
        <v>0</v>
      </c>
      <c r="K1936" s="6" t="n">
        <f aca="false">Sens!$F$1943/life_nonai*(1-1/life_nonai)^(Sens!K1819-2027)</f>
        <v>0</v>
      </c>
      <c r="L1936" s="1" t="s">
        <v>950</v>
      </c>
    </row>
    <row r="1937" customFormat="false" ht="17.15" hidden="false" customHeight="false" outlineLevel="0" collapsed="false">
      <c r="A1937" s="1" t="s">
        <v>951</v>
      </c>
      <c r="B1937" s="0" t="s">
        <v>98</v>
      </c>
      <c r="E1937" s="6" t="n">
        <f aca="false">Sens!E1853+Sens!E1935</f>
        <v>38.534</v>
      </c>
      <c r="F1937" s="6" t="n">
        <f aca="false">Sens!F1853+Sens!F1935</f>
        <v>61.5035611248529</v>
      </c>
      <c r="G1937" s="6" t="n">
        <f aca="false">Sens!G1853+Sens!G1935</f>
        <v>93.6901405305879</v>
      </c>
      <c r="H1937" s="6" t="n">
        <f aca="false">Sens!H1853+Sens!H1935</f>
        <v>128.855029574559</v>
      </c>
      <c r="I1937" s="6" t="n">
        <f aca="false">Sens!I1853+Sens!I1935</f>
        <v>160.743857816363</v>
      </c>
      <c r="J1937" s="6" t="n">
        <f aca="false">Sens!J1853+Sens!J1935</f>
        <v>184.633847444192</v>
      </c>
      <c r="K1937" s="6" t="n">
        <f aca="false">Sens!K1853+Sens!K1935</f>
        <v>201.154401146071</v>
      </c>
    </row>
    <row r="1938" customFormat="false" ht="17.15" hidden="false" customHeight="false" outlineLevel="0" collapsed="false">
      <c r="A1938" s="1" t="s">
        <v>952</v>
      </c>
      <c r="B1938" s="0" t="s">
        <v>98</v>
      </c>
      <c r="F1938" s="6" t="n">
        <f aca="false">Sens!F1880*sbc_r</f>
        <v>15.1240791253967</v>
      </c>
      <c r="G1938" s="6" t="n">
        <f aca="false">Sens!G1880*sbc_r</f>
        <v>18.3778786594202</v>
      </c>
      <c r="H1938" s="6" t="n">
        <f aca="false">Sens!H1880*sbc_r</f>
        <v>21.8771522065674</v>
      </c>
      <c r="I1938" s="6" t="n">
        <f aca="false">Sens!I1880*sbc_r</f>
        <v>24.8701515437869</v>
      </c>
      <c r="J1938" s="6" t="n">
        <f aca="false">Sens!J1880*sbc_r</f>
        <v>27.2967954795689</v>
      </c>
      <c r="K1938" s="6" t="n">
        <f aca="false">Sens!K1880*sbc_r</f>
        <v>29.260073931056</v>
      </c>
    </row>
    <row r="1939" customFormat="false" ht="17.15" hidden="false" customHeight="false" outlineLevel="0" collapsed="false">
      <c r="A1939" s="1" t="s">
        <v>953</v>
      </c>
      <c r="B1939" s="0" t="s">
        <v>98</v>
      </c>
      <c r="F1939" s="6" t="n">
        <f aca="false">wc27</f>
        <v>-4.895</v>
      </c>
      <c r="G1939" s="6" t="n">
        <f aca="false">wc_f</f>
        <v>0</v>
      </c>
      <c r="H1939" s="6" t="n">
        <f aca="false">wc_f</f>
        <v>0</v>
      </c>
      <c r="I1939" s="6" t="n">
        <f aca="false">wc_f</f>
        <v>0</v>
      </c>
      <c r="J1939" s="6" t="n">
        <f aca="false">wc_f</f>
        <v>0</v>
      </c>
      <c r="K1939" s="6" t="n">
        <f aca="false">wc_f</f>
        <v>0</v>
      </c>
      <c r="L1939" s="11" t="s">
        <v>954</v>
      </c>
    </row>
    <row r="1940" customFormat="false" ht="15" hidden="false" customHeight="false" outlineLevel="0" collapsed="false">
      <c r="A1940" s="1" t="s">
        <v>767</v>
      </c>
      <c r="B1940" s="0" t="s">
        <v>98</v>
      </c>
      <c r="E1940" s="6" t="n">
        <f aca="false">Q!M35</f>
        <v>182.935</v>
      </c>
      <c r="F1940" s="6" t="n">
        <f aca="false">Sens!F1934+Sens!F1937+Sens!F1938+Sens!F1939</f>
        <v>213.604928491534</v>
      </c>
      <c r="G1940" s="6" t="n">
        <f aca="false">Sens!G1934+Sens!G1937+Sens!G1938+Sens!G1939</f>
        <v>273.576672006295</v>
      </c>
      <c r="H1940" s="6" t="n">
        <f aca="false">Sens!H1934+Sens!H1937+Sens!H1938+Sens!H1939</f>
        <v>334.876675480361</v>
      </c>
      <c r="I1940" s="6" t="n">
        <f aca="false">Sens!I1934+Sens!I1937+Sens!I1938+Sens!I1939</f>
        <v>386.661127983323</v>
      </c>
      <c r="J1940" s="6" t="n">
        <f aca="false">Sens!J1934+Sens!J1937+Sens!J1938+Sens!J1939</f>
        <v>428.554083588686</v>
      </c>
      <c r="K1940" s="6" t="n">
        <f aca="false">Sens!K1934+Sens!K1937+Sens!K1938+Sens!K1939</f>
        <v>462.422911649362</v>
      </c>
    </row>
    <row r="1941" customFormat="false" ht="17.15" hidden="false" customHeight="false" outlineLevel="0" collapsed="false">
      <c r="A1941" s="0" t="s">
        <v>955</v>
      </c>
      <c r="B1941" s="0" t="s">
        <v>98</v>
      </c>
      <c r="F1941" s="6" t="n">
        <f aca="false">Sens!F1850</f>
        <v>192.39945104576</v>
      </c>
      <c r="G1941" s="6" t="n">
        <f aca="false">Sens!G1850</f>
        <v>220.28901657984</v>
      </c>
      <c r="H1941" s="6" t="n">
        <f aca="false">Sens!H1850</f>
        <v>225.69634309248</v>
      </c>
      <c r="I1941" s="6" t="n">
        <f aca="false">Sens!I1850</f>
        <v>196.448002985094</v>
      </c>
      <c r="J1941" s="6" t="n">
        <f aca="false">Sens!J1850</f>
        <v>152.617723913091</v>
      </c>
      <c r="K1941" s="6" t="n">
        <f aca="false">Sens!K1850</f>
        <v>145.688898364309</v>
      </c>
    </row>
    <row r="1942" customFormat="false" ht="17.15" hidden="false" customHeight="false" outlineLevel="0" collapsed="false">
      <c r="A1942" s="1" t="s">
        <v>956</v>
      </c>
      <c r="B1942" s="0" t="s">
        <v>98</v>
      </c>
      <c r="E1942" s="6" t="n">
        <f aca="false">Sens!E1858*cx_azo+Sens!E1865*cx_m365+Sens!E1866*cx_lic+(Sens!E1868+Sens!E1870)*cx_ind+Sens!E1873*cx_srch+(Sens!E1875+Sens!E1877)*cx_dev</f>
        <v>30.1846587067718</v>
      </c>
      <c r="F1942" s="6" t="n">
        <f aca="false">Sens!F1858*cx_azo+Sens!F1865*cx_m365+Sens!F1866*cx_lic+(Sens!F1868+Sens!F1870)*cx_ind+Sens!F1873*cx_srch+(Sens!F1875+Sens!F1877)*cx_dev</f>
        <v>35.7293472295625</v>
      </c>
      <c r="G1942" s="6" t="n">
        <f aca="false">Sens!G1858*cx_azo+Sens!G1865*cx_m365+Sens!G1866*cx_lic+(Sens!G1868+Sens!G1870)*cx_ind+Sens!G1873*cx_srch+(Sens!G1875+Sens!G1877)*cx_dev</f>
        <v>41.6028935703892</v>
      </c>
      <c r="H1942" s="6" t="n">
        <f aca="false">Sens!H1858*cx_azo+Sens!H1865*cx_m365+Sens!H1866*cx_lic+(Sens!H1868+Sens!H1870)*cx_ind+Sens!H1873*cx_srch+(Sens!H1875+Sens!H1877)*cx_dev</f>
        <v>47.5615136440897</v>
      </c>
      <c r="I1942" s="6" t="n">
        <f aca="false">Sens!I1858*cx_azo+Sens!I1865*cx_m365+Sens!I1866*cx_lic+(Sens!I1868+Sens!I1870)*cx_ind+Sens!I1873*cx_srch+(Sens!I1875+Sens!I1877)*cx_dev</f>
        <v>53.1734003116439</v>
      </c>
      <c r="J1942" s="6" t="n">
        <f aca="false">Sens!J1858*cx_azo+Sens!J1865*cx_m365+Sens!J1866*cx_lic+(Sens!J1868+Sens!J1870)*cx_ind+Sens!J1873*cx_srch+(Sens!J1875+Sens!J1877)*cx_dev</f>
        <v>58.2059132503738</v>
      </c>
      <c r="K1942" s="6" t="n">
        <f aca="false">Sens!K1858*cx_azo+Sens!K1865*cx_m365+Sens!K1866*cx_lic+(Sens!K1868+Sens!K1870)*cx_ind+Sens!K1873*cx_srch+(Sens!K1875+Sens!K1877)*cx_dev</f>
        <v>62.643702741994</v>
      </c>
    </row>
    <row r="1943" customFormat="false" ht="17.15" hidden="false" customHeight="false" outlineLevel="0" collapsed="false">
      <c r="A1943" s="0" t="s">
        <v>957</v>
      </c>
      <c r="B1943" s="0" t="s">
        <v>98</v>
      </c>
      <c r="F1943" s="6" t="n">
        <f aca="false">Sens!F1848</f>
        <v>0</v>
      </c>
      <c r="L1943" s="1" t="s">
        <v>958</v>
      </c>
    </row>
    <row r="1944" customFormat="false" ht="17.15" hidden="false" customHeight="false" outlineLevel="0" collapsed="false">
      <c r="A1944" s="1" t="s">
        <v>959</v>
      </c>
      <c r="B1944" s="0" t="s">
        <v>98</v>
      </c>
      <c r="E1944" s="6" t="n">
        <f aca="false">Q!M42</f>
        <v>145.3</v>
      </c>
      <c r="F1944" s="6" t="n">
        <f aca="false">Sens!F1941+Sens!F1942+Sens!F1943</f>
        <v>228.128798275322</v>
      </c>
      <c r="G1944" s="6" t="n">
        <f aca="false">Sens!G1941+Sens!G1942</f>
        <v>261.891910150229</v>
      </c>
      <c r="H1944" s="6" t="n">
        <f aca="false">Sens!H1941+Sens!H1942</f>
        <v>273.25785673657</v>
      </c>
      <c r="I1944" s="6" t="n">
        <f aca="false">Sens!I1941+Sens!I1942</f>
        <v>249.621403296738</v>
      </c>
      <c r="J1944" s="6" t="n">
        <f aca="false">Sens!J1941+Sens!J1942</f>
        <v>210.823637163464</v>
      </c>
      <c r="K1944" s="6" t="n">
        <f aca="false">Sens!K1941+Sens!K1942</f>
        <v>208.332601106303</v>
      </c>
      <c r="L1944" s="1" t="s">
        <v>960</v>
      </c>
    </row>
    <row r="1945" customFormat="false" ht="15" hidden="false" customHeight="false" outlineLevel="0" collapsed="false">
      <c r="A1945" s="1" t="s">
        <v>961</v>
      </c>
      <c r="B1945" s="0" t="s">
        <v>98</v>
      </c>
      <c r="E1945" s="6" t="n">
        <f aca="false">fl_liab</f>
        <v>66.594</v>
      </c>
      <c r="F1945" s="6" t="n">
        <f aca="false">Sens!E1945-Sens!F1946</f>
        <v>62.46973</v>
      </c>
      <c r="G1945" s="6" t="n">
        <f aca="false">Sens!F1945-Sens!G1946</f>
        <v>57.98686785</v>
      </c>
      <c r="H1945" s="6" t="n">
        <f aca="false">Sens!G1945-Sens!H1946</f>
        <v>53.92827690325</v>
      </c>
      <c r="I1945" s="6" t="n">
        <f aca="false">Sens!H1945-Sens!I1946</f>
        <v>49.7850493638962</v>
      </c>
      <c r="J1945" s="6" t="n">
        <f aca="false">Sens!I1945-Sens!J1946</f>
        <v>45.4823765852716</v>
      </c>
      <c r="K1945" s="6" t="n">
        <f aca="false">Sens!J1945-Sens!K1946</f>
        <v>40.9860835316088</v>
      </c>
    </row>
    <row r="1946" customFormat="false" ht="15" hidden="false" customHeight="false" outlineLevel="0" collapsed="false">
      <c r="A1946" s="1" t="s">
        <v>962</v>
      </c>
      <c r="B1946" s="0" t="s">
        <v>98</v>
      </c>
      <c r="F1946" s="6" t="n">
        <f aca="false">fl_pay_27-Sens!E1945*fl_rate</f>
        <v>4.12427</v>
      </c>
      <c r="G1946" s="6" t="n">
        <f aca="false">fl_pay_28-Sens!F1945*fl_rate</f>
        <v>4.48286215</v>
      </c>
      <c r="H1946" s="6" t="n">
        <f aca="false">fl_pay_29-Sens!G1945*fl_rate</f>
        <v>4.05859094675</v>
      </c>
      <c r="I1946" s="6" t="n">
        <f aca="false">fl_pay_30-Sens!H1945*fl_rate</f>
        <v>4.14322753935375</v>
      </c>
      <c r="J1946" s="6" t="n">
        <f aca="false">fl_pay_31-Sens!I1945*fl_rate</f>
        <v>4.30267277862467</v>
      </c>
      <c r="K1946" s="6" t="n">
        <f aca="false">fl_pay_32-Sens!J1945*fl_rate</f>
        <v>4.49629305366278</v>
      </c>
    </row>
    <row r="1947" customFormat="false" ht="17.15" hidden="false" customHeight="false" outlineLevel="0" collapsed="false">
      <c r="A1947" s="1" t="s">
        <v>963</v>
      </c>
      <c r="B1947" s="0" t="s">
        <v>98</v>
      </c>
      <c r="E1947" s="6" t="n">
        <f aca="false">Q!M35-Q!M36-Q!M43</f>
        <v>63.886</v>
      </c>
      <c r="F1947" s="6" t="n">
        <f aca="false">Sens!F1940-Sens!F1944-Sens!F1946</f>
        <v>-18.6481397837889</v>
      </c>
      <c r="G1947" s="6" t="n">
        <f aca="false">Sens!G1940-Sens!G1944-Sens!G1946</f>
        <v>7.20189970606528</v>
      </c>
      <c r="H1947" s="6" t="n">
        <f aca="false">Sens!H1940-Sens!H1944-Sens!H1946</f>
        <v>57.5602277970412</v>
      </c>
      <c r="I1947" s="6" t="n">
        <f aca="false">Sens!I1940-Sens!I1944-Sens!I1946</f>
        <v>132.896497147231</v>
      </c>
      <c r="J1947" s="6" t="n">
        <f aca="false">Sens!J1940-Sens!J1944-Sens!J1946</f>
        <v>213.427773646597</v>
      </c>
      <c r="K1947" s="6" t="n">
        <f aca="false">Sens!K1940-Sens!K1944-Sens!K1946</f>
        <v>249.594017489396</v>
      </c>
      <c r="L1947" s="11" t="s">
        <v>964</v>
      </c>
    </row>
    <row r="1948" customFormat="false" ht="15" hidden="false" customHeight="false" outlineLevel="0" collapsed="false">
      <c r="A1948" s="1" t="s">
        <v>965</v>
      </c>
      <c r="B1948" s="0" t="s">
        <v>75</v>
      </c>
      <c r="F1948" s="8" t="n">
        <f aca="false">dps_27</f>
        <v>3.85</v>
      </c>
      <c r="G1948" s="8" t="n">
        <f aca="false">Sens!F1948*(1+dps_g)</f>
        <v>4.158</v>
      </c>
      <c r="H1948" s="8" t="n">
        <f aca="false">Sens!G1948*(1+dps_g)</f>
        <v>4.49064</v>
      </c>
      <c r="I1948" s="8" t="n">
        <f aca="false">Sens!H1948*(1+dps_g)</f>
        <v>4.8498912</v>
      </c>
      <c r="J1948" s="8" t="n">
        <f aca="false">Sens!I1948*(1+dps_g)</f>
        <v>5.237882496</v>
      </c>
      <c r="K1948" s="8" t="n">
        <f aca="false">Sens!J1948*(1+dps_g)</f>
        <v>5.65691309568</v>
      </c>
    </row>
    <row r="1949" customFormat="false" ht="17.15" hidden="false" customHeight="false" outlineLevel="0" collapsed="false">
      <c r="A1949" s="1" t="s">
        <v>966</v>
      </c>
      <c r="B1949" s="0" t="s">
        <v>98</v>
      </c>
      <c r="E1949" s="6" t="n">
        <f aca="false">Q!M41</f>
        <v>26.445</v>
      </c>
      <c r="F1949" s="6" t="n">
        <f aca="false">Sens!F1948*Sens!E1958</f>
        <v>28.59395</v>
      </c>
      <c r="G1949" s="6" t="n">
        <f aca="false">Sens!G1948*Sens!F1958</f>
        <v>31.068576</v>
      </c>
      <c r="H1949" s="6" t="n">
        <f aca="false">Sens!H1948*Sens!G1958</f>
        <v>33.75614088</v>
      </c>
      <c r="I1949" s="6" t="n">
        <f aca="false">Sens!I1948*Sens!H1958</f>
        <v>36.5110864818916</v>
      </c>
      <c r="J1949" s="6" t="n">
        <f aca="false">Sens!J1948*Sens!I1958</f>
        <v>39.5003722487624</v>
      </c>
      <c r="K1949" s="6" t="n">
        <f aca="false">Sens!K1948*Sens!J1958</f>
        <v>42.7476572539684</v>
      </c>
      <c r="L1949" s="1" t="s">
        <v>967</v>
      </c>
    </row>
    <row r="1950" customFormat="false" ht="15" hidden="false" customHeight="false" outlineLevel="0" collapsed="false">
      <c r="A1950" s="1" t="s">
        <v>968</v>
      </c>
      <c r="B1950" s="0" t="s">
        <v>98</v>
      </c>
      <c r="E1950" s="6" t="n">
        <f aca="false">Sens!E1947-Sens!E1949</f>
        <v>37.441</v>
      </c>
      <c r="F1950" s="6" t="n">
        <f aca="false">Sens!F1947-Sens!F1949</f>
        <v>-47.2420897837889</v>
      </c>
      <c r="G1950" s="6" t="n">
        <f aca="false">Sens!G1947-Sens!G1949</f>
        <v>-23.8666762939347</v>
      </c>
      <c r="H1950" s="6" t="n">
        <f aca="false">Sens!H1947-Sens!H1949</f>
        <v>23.8040869170412</v>
      </c>
      <c r="I1950" s="6" t="n">
        <f aca="false">Sens!I1947-Sens!I1949</f>
        <v>96.3854106653394</v>
      </c>
      <c r="J1950" s="6" t="n">
        <f aca="false">Sens!J1947-Sens!J1949</f>
        <v>173.927401397835</v>
      </c>
      <c r="K1950" s="6" t="n">
        <f aca="false">Sens!K1947-Sens!K1949</f>
        <v>206.846360235428</v>
      </c>
    </row>
    <row r="1951" customFormat="false" ht="15" hidden="false" customHeight="false" outlineLevel="0" collapsed="false">
      <c r="A1951" s="1" t="s">
        <v>969</v>
      </c>
      <c r="B1951" s="0" t="s">
        <v>98</v>
      </c>
      <c r="F1951" s="6" t="n">
        <f aca="false">debt_mat_27</f>
        <v>9.25</v>
      </c>
      <c r="G1951" s="6" t="n">
        <f aca="false">debt_mat_28</f>
        <v>0</v>
      </c>
      <c r="H1951" s="6" t="n">
        <f aca="false">debt_mat_29</f>
        <v>2.001</v>
      </c>
      <c r="I1951" s="6" t="n">
        <f aca="false">debt_mat_30</f>
        <v>0</v>
      </c>
      <c r="J1951" s="6" t="n">
        <f aca="false">debt_mat_31</f>
        <v>0.5</v>
      </c>
      <c r="K1951" s="6" t="n">
        <f aca="false">debt_mat_32</f>
        <v>0</v>
      </c>
    </row>
    <row r="1952" customFormat="false" ht="15" hidden="false" customHeight="false" outlineLevel="0" collapsed="false">
      <c r="A1952" s="1" t="s">
        <v>970</v>
      </c>
      <c r="B1952" s="0" t="s">
        <v>98</v>
      </c>
      <c r="E1952" s="6" t="n">
        <f aca="false">Q!M40</f>
        <v>22.271</v>
      </c>
      <c r="F1952" s="6" t="n">
        <f aca="false">MAX(0,MIN(bb_target,Sens!E1954+Sens!F1950-Sens!F1951-min_cash))</f>
        <v>0</v>
      </c>
      <c r="G1952" s="6" t="n">
        <f aca="false">MAX(0,MIN(bb_target,Sens!F1954+Sens!G1950-Sens!G1951-min_cash))</f>
        <v>0</v>
      </c>
      <c r="H1952" s="6" t="n">
        <f aca="false">MAX(0,MIN(bb_target,Sens!G1954+Sens!H1950-Sens!H1951-min_cash))</f>
        <v>21.8030869170412</v>
      </c>
      <c r="I1952" s="6" t="n">
        <f aca="false">MAX(0,MIN(bb_target,Sens!H1954+Sens!I1950-Sens!I1951-min_cash))</f>
        <v>22.271</v>
      </c>
      <c r="J1952" s="6" t="n">
        <f aca="false">MAX(0,MIN(bb_target,Sens!I1954+Sens!J1950-Sens!J1951-min_cash))</f>
        <v>22.271</v>
      </c>
      <c r="K1952" s="6" t="n">
        <f aca="false">MAX(0,MIN(bb_target,Sens!J1954+Sens!K1950-Sens!K1951-min_cash))</f>
        <v>22.271</v>
      </c>
    </row>
    <row r="1953" customFormat="false" ht="15" hidden="false" customHeight="false" outlineLevel="0" collapsed="false">
      <c r="A1953" s="1" t="s">
        <v>971</v>
      </c>
      <c r="B1953" s="0" t="s">
        <v>98</v>
      </c>
      <c r="F1953" s="6" t="n">
        <f aca="false">MAX(0,min_cash-(Sens!E1954+Sens!F1950-Sens!F1951-Sens!F1952))</f>
        <v>29.6490897837889</v>
      </c>
      <c r="G1953" s="6" t="n">
        <f aca="false">MAX(0,min_cash-(Sens!F1954+Sens!G1950-Sens!G1951-Sens!G1952))</f>
        <v>23.8666762939347</v>
      </c>
      <c r="H1953" s="6" t="n">
        <f aca="false">MAX(0,min_cash-(Sens!G1954+Sens!H1950-Sens!H1951-Sens!H1952))</f>
        <v>0</v>
      </c>
      <c r="I1953" s="6" t="n">
        <f aca="false">MAX(0,min_cash-(Sens!H1954+Sens!I1950-Sens!I1951-Sens!I1952))</f>
        <v>0</v>
      </c>
      <c r="J1953" s="6" t="n">
        <f aca="false">MAX(0,min_cash-(Sens!I1954+Sens!J1950-Sens!J1951-Sens!J1952))</f>
        <v>0</v>
      </c>
      <c r="K1953" s="6" t="n">
        <f aca="false">MAX(0,min_cash-(Sens!J1954+Sens!K1950-Sens!K1951-Sens!K1952))</f>
        <v>0</v>
      </c>
    </row>
    <row r="1954" customFormat="false" ht="15" hidden="false" customHeight="false" outlineLevel="0" collapsed="false">
      <c r="A1954" s="1" t="s">
        <v>972</v>
      </c>
      <c r="B1954" s="0" t="s">
        <v>98</v>
      </c>
      <c r="E1954" s="6" t="n">
        <f aca="false">cash_open</f>
        <v>76.843</v>
      </c>
      <c r="F1954" s="6" t="n">
        <f aca="false">Sens!E1954+Sens!F1950-Sens!F1951-Sens!F1952+Sens!F1953</f>
        <v>50</v>
      </c>
      <c r="G1954" s="6" t="n">
        <f aca="false">Sens!F1954+Sens!G1950-Sens!G1951-Sens!G1952+Sens!G1953</f>
        <v>50</v>
      </c>
      <c r="H1954" s="6" t="n">
        <f aca="false">Sens!G1954+Sens!H1950-Sens!H1951-Sens!H1952+Sens!H1953</f>
        <v>50</v>
      </c>
      <c r="I1954" s="6" t="n">
        <f aca="false">Sens!H1954+Sens!I1950-Sens!I1951-Sens!I1952+Sens!I1953</f>
        <v>124.114410665339</v>
      </c>
      <c r="J1954" s="6" t="n">
        <f aca="false">Sens!I1954+Sens!J1950-Sens!J1951-Sens!J1952+Sens!J1953</f>
        <v>275.270812063174</v>
      </c>
      <c r="K1954" s="6" t="n">
        <f aca="false">Sens!J1954+Sens!K1950-Sens!K1951-Sens!K1952+Sens!K1953</f>
        <v>459.846172298602</v>
      </c>
    </row>
    <row r="1955" customFormat="false" ht="15" hidden="false" customHeight="false" outlineLevel="0" collapsed="false">
      <c r="A1955" s="1" t="s">
        <v>973</v>
      </c>
      <c r="B1955" s="0" t="s">
        <v>98</v>
      </c>
      <c r="E1955" s="6" t="n">
        <f aca="false">debt_face</f>
        <v>46.136</v>
      </c>
      <c r="F1955" s="6" t="n">
        <f aca="false">Sens!E1955-Sens!F1951+Sens!F1953</f>
        <v>66.5350897837889</v>
      </c>
      <c r="G1955" s="6" t="n">
        <f aca="false">Sens!F1955-Sens!G1951+Sens!G1953</f>
        <v>90.4017660777236</v>
      </c>
      <c r="H1955" s="6" t="n">
        <f aca="false">Sens!G1955-Sens!H1951+Sens!H1953</f>
        <v>88.4007660777236</v>
      </c>
      <c r="I1955" s="6" t="n">
        <f aca="false">Sens!H1955-Sens!I1951+Sens!I1953</f>
        <v>88.4007660777236</v>
      </c>
      <c r="J1955" s="6" t="n">
        <f aca="false">Sens!I1955-Sens!J1951+Sens!J1953</f>
        <v>87.9007660777236</v>
      </c>
      <c r="K1955" s="6" t="n">
        <f aca="false">Sens!J1955-Sens!K1951+Sens!K1953</f>
        <v>87.9007660777236</v>
      </c>
    </row>
    <row r="1956" customFormat="false" ht="15" hidden="false" customHeight="false" outlineLevel="0" collapsed="false">
      <c r="A1956" s="1" t="s">
        <v>974</v>
      </c>
      <c r="B1956" s="0" t="s">
        <v>98</v>
      </c>
      <c r="E1956" s="6" t="n">
        <f aca="false">Sens!E1954-Sens!E1955</f>
        <v>30.707</v>
      </c>
      <c r="F1956" s="6" t="n">
        <f aca="false">Sens!F1954-Sens!F1955</f>
        <v>-16.5350897837889</v>
      </c>
      <c r="G1956" s="6" t="n">
        <f aca="false">Sens!G1954-Sens!G1955</f>
        <v>-40.4017660777236</v>
      </c>
      <c r="H1956" s="6" t="n">
        <f aca="false">Sens!H1954-Sens!H1955</f>
        <v>-38.4007660777236</v>
      </c>
      <c r="I1956" s="6" t="n">
        <f aca="false">Sens!I1954-Sens!I1955</f>
        <v>35.7136445876158</v>
      </c>
      <c r="J1956" s="6" t="n">
        <f aca="false">Sens!J1954-Sens!J1955</f>
        <v>187.37004598545</v>
      </c>
      <c r="K1956" s="6" t="n">
        <f aca="false">Sens!K1954-Sens!K1955</f>
        <v>371.945406220878</v>
      </c>
    </row>
    <row r="1957" customFormat="false" ht="15" hidden="false" customHeight="false" outlineLevel="0" collapsed="false">
      <c r="A1957" s="1" t="s">
        <v>975</v>
      </c>
      <c r="B1957" s="0" t="s">
        <v>75</v>
      </c>
      <c r="F1957" s="29" t="n">
        <f aca="false">px*(1+bb_g)^(Sens!F1819-base_fy-mid_yr)</f>
        <v>553.494156066711</v>
      </c>
      <c r="G1957" s="29" t="n">
        <f aca="false">px*(1+bb_g)^(Sens!G1819-base_fy-mid_yr)</f>
        <v>597.773688552047</v>
      </c>
      <c r="H1957" s="29" t="n">
        <f aca="false">px*(1+bb_g)^(Sens!H1819-base_fy-mid_yr)</f>
        <v>645.595583636211</v>
      </c>
      <c r="I1957" s="29" t="n">
        <f aca="false">px*(1+bb_g)^(Sens!I1819-base_fy-mid_yr)</f>
        <v>697.243230327108</v>
      </c>
      <c r="J1957" s="29" t="n">
        <f aca="false">px*(1+bb_g)^(Sens!J1819-base_fy-mid_yr)</f>
        <v>753.022688753277</v>
      </c>
      <c r="K1957" s="29" t="n">
        <f aca="false">px*(1+bb_g)^(Sens!K1819-base_fy-mid_yr)</f>
        <v>813.264503853539</v>
      </c>
    </row>
    <row r="1958" customFormat="false" ht="15" hidden="false" customHeight="false" outlineLevel="0" collapsed="false">
      <c r="A1958" s="1" t="s">
        <v>976</v>
      </c>
      <c r="B1958" s="1" t="s">
        <v>81</v>
      </c>
      <c r="E1958" s="14" t="n">
        <f aca="false">sh_out26</f>
        <v>7.427</v>
      </c>
      <c r="F1958" s="14" t="n">
        <f aca="false">Sens!E1958+sh_iss-Sens!F1952/Sens!F1957</f>
        <v>7.472</v>
      </c>
      <c r="G1958" s="14" t="n">
        <f aca="false">Sens!F1958+sh_iss-Sens!G1952/Sens!G1957</f>
        <v>7.517</v>
      </c>
      <c r="H1958" s="14" t="n">
        <f aca="false">Sens!G1958+sh_iss-Sens!H1952/Sens!H1957</f>
        <v>7.52822794909123</v>
      </c>
      <c r="I1958" s="14" t="n">
        <f aca="false">Sens!H1958+sh_iss-Sens!I1952/Sens!I1957</f>
        <v>7.54128644140595</v>
      </c>
      <c r="J1958" s="14" t="n">
        <f aca="false">Sens!I1958+sh_iss-Sens!J1952/Sens!J1957</f>
        <v>7.55671097132699</v>
      </c>
      <c r="K1958" s="14" t="n">
        <f aca="false">Sens!J1958+sh_iss-Sens!K1952/Sens!K1957</f>
        <v>7.57432627680944</v>
      </c>
    </row>
    <row r="1959" customFormat="false" ht="15" hidden="false" customHeight="false" outlineLevel="0" collapsed="false">
      <c r="A1959" s="1" t="s">
        <v>977</v>
      </c>
      <c r="B1959" s="1" t="s">
        <v>81</v>
      </c>
      <c r="E1959" s="14" t="n">
        <f aca="false">sh_dil26</f>
        <v>7.453</v>
      </c>
      <c r="F1959" s="14" t="n">
        <f aca="false">(Sens!E1958+Sens!F1958)/2+dil_gap</f>
        <v>7.4735</v>
      </c>
      <c r="G1959" s="14" t="n">
        <f aca="false">(Sens!F1958+Sens!G1958)/2+dil_gap</f>
        <v>7.5185</v>
      </c>
      <c r="H1959" s="14" t="n">
        <f aca="false">(Sens!G1958+Sens!H1958)/2+dil_gap</f>
        <v>7.54661397454561</v>
      </c>
      <c r="I1959" s="14" t="n">
        <f aca="false">(Sens!H1958+Sens!I1958)/2+dil_gap</f>
        <v>7.55875719524859</v>
      </c>
      <c r="J1959" s="14" t="n">
        <f aca="false">(Sens!I1958+Sens!J1958)/2+dil_gap</f>
        <v>7.57299870636647</v>
      </c>
      <c r="K1959" s="14" t="n">
        <f aca="false">(Sens!J1958+Sens!K1958)/2+dil_gap</f>
        <v>7.58951862406821</v>
      </c>
    </row>
    <row r="1960" customFormat="false" ht="17.15" hidden="false" customHeight="false" outlineLevel="0" collapsed="false">
      <c r="A1960" s="1" t="s">
        <v>978</v>
      </c>
      <c r="B1960" s="0" t="s">
        <v>98</v>
      </c>
      <c r="C1960" s="6" t="n">
        <f aca="false">SUM(Sens!F1950:J1950)</f>
        <v>223.008132902492</v>
      </c>
    </row>
    <row r="1961" customFormat="false" ht="15" hidden="false" customHeight="false" outlineLevel="0" collapsed="false">
      <c r="A1961" s="23" t="s">
        <v>945</v>
      </c>
      <c r="B1961" s="30" t="s">
        <v>98</v>
      </c>
      <c r="C1961" s="24" t="n">
        <f aca="false">Sens!$C$1960-(Sens!F1950+Sens!G1950+Sens!H1950+Sens!I1950+Sens!J1950)</f>
        <v>0</v>
      </c>
      <c r="D1961" s="30"/>
      <c r="E1961" s="30"/>
      <c r="F1961" s="30"/>
      <c r="G1961" s="30"/>
      <c r="H1961" s="30"/>
      <c r="I1961" s="30"/>
      <c r="J1961" s="30"/>
      <c r="K1961" s="30"/>
    </row>
    <row r="1962" customFormat="false" ht="17.15" hidden="false" customHeight="false" outlineLevel="0" collapsed="false">
      <c r="A1962" s="1" t="s">
        <v>939</v>
      </c>
      <c r="B1962" s="1" t="s">
        <v>979</v>
      </c>
      <c r="C1962" s="32" t="str">
        <f aca="false">IF(SUM(Sens!F1953:J1953)&gt;0.05,"需要舉債 "&amp;TEXT(SUM(Sens!F1953:J1953),"0.0")&amp;" 十億美元","不需舉債")&amp;"；"&amp;IF(SUM(Sens!F1952:J1952)&lt;COUNT(Sens!F1952:J1952)*bb_target-0.05,"回購較每年 "&amp;TEXT(bb_target,"0.0")&amp;" 的目標少 "&amp;TEXT(COUNT(Sens!F1952:J1952)*bb_target-SUM(Sens!F1952:J1952),"0.0")&amp;" 十億美元（"&amp;TEXT(COUNTIF(Sens!F1952:J1952,"&lt;"&amp;(bb_target-0.05)),"0")&amp;" 年減少）","回購不減")</f>
        <v>需要舉債 53.5 十億美元；回購較每年 22.3 的目標少 45.0 十億美元（3 年減少）</v>
      </c>
    </row>
    <row r="1963" customFormat="false" ht="17.15" hidden="false" customHeight="false" outlineLevel="0" collapsed="false">
      <c r="A1963" s="3" t="s">
        <v>1311</v>
      </c>
    </row>
    <row r="1964" customFormat="false" ht="15" hidden="false" customHeight="false" outlineLevel="0" collapsed="false">
      <c r="A1964" s="4" t="s">
        <v>43</v>
      </c>
      <c r="B1964" s="4" t="s">
        <v>65</v>
      </c>
      <c r="C1964" s="20" t="s">
        <v>799</v>
      </c>
      <c r="D1964" s="20" t="s">
        <v>800</v>
      </c>
      <c r="E1964" s="20" t="s">
        <v>801</v>
      </c>
      <c r="F1964" s="20" t="s">
        <v>802</v>
      </c>
      <c r="G1964" s="20" t="s">
        <v>803</v>
      </c>
      <c r="H1964" s="20" t="s">
        <v>804</v>
      </c>
      <c r="I1964" s="20" t="s">
        <v>805</v>
      </c>
      <c r="J1964" s="20" t="s">
        <v>806</v>
      </c>
      <c r="K1964" s="20" t="s">
        <v>807</v>
      </c>
      <c r="L1964" s="4" t="s">
        <v>47</v>
      </c>
    </row>
    <row r="1965" customFormat="false" ht="15" hidden="false" customHeight="false" outlineLevel="0" collapsed="false">
      <c r="A1965" s="1" t="s">
        <v>1057</v>
      </c>
      <c r="B1965" s="1" t="s">
        <v>235</v>
      </c>
      <c r="F1965" s="36" t="n">
        <f aca="false">Sens!F1819-base_fy-mid_yr</f>
        <v>0.5</v>
      </c>
      <c r="G1965" s="36" t="n">
        <f aca="false">Sens!G1819-base_fy-mid_yr</f>
        <v>1.5</v>
      </c>
      <c r="H1965" s="36" t="n">
        <f aca="false">Sens!H1819-base_fy-mid_yr</f>
        <v>2.5</v>
      </c>
      <c r="I1965" s="36" t="n">
        <f aca="false">Sens!I1819-base_fy-mid_yr</f>
        <v>3.5</v>
      </c>
      <c r="J1965" s="36" t="n">
        <f aca="false">Sens!J1819-base_fy-mid_yr</f>
        <v>4.5</v>
      </c>
      <c r="K1965" s="36" t="n">
        <f aca="false">Sens!K1819-base_fy-mid_yr</f>
        <v>5.5</v>
      </c>
    </row>
    <row r="1966" customFormat="false" ht="15" hidden="false" customHeight="false" outlineLevel="0" collapsed="false">
      <c r="A1966" s="1" t="s">
        <v>1058</v>
      </c>
      <c r="B1966" s="0" t="s">
        <v>185</v>
      </c>
      <c r="F1966" s="14" t="n">
        <f aca="false">1/(1+wacc)^Sens!F1965</f>
        <v>0.952193373608246</v>
      </c>
      <c r="G1966" s="14" t="n">
        <f aca="false">1/(1+wacc)^Sens!G1965</f>
        <v>0.863327280626589</v>
      </c>
      <c r="H1966" s="14" t="n">
        <f aca="false">1/(1+wacc)^Sens!H1965</f>
        <v>0.782754862754115</v>
      </c>
      <c r="I1966" s="14" t="n">
        <f aca="false">1/(1+wacc)^Sens!I1965</f>
        <v>0.709702089711011</v>
      </c>
      <c r="J1966" s="14" t="n">
        <f aca="false">1/(1+wacc)^Sens!J1965</f>
        <v>0.643467169744551</v>
      </c>
      <c r="K1966" s="14" t="n">
        <f aca="false">1/(1+wacc)^Sens!K1965</f>
        <v>0.583413807767797</v>
      </c>
    </row>
    <row r="1967" customFormat="false" ht="17.15" hidden="false" customHeight="false" outlineLevel="0" collapsed="false">
      <c r="A1967" s="1" t="s">
        <v>1059</v>
      </c>
      <c r="B1967" s="0" t="s">
        <v>98</v>
      </c>
      <c r="F1967" s="6" t="n">
        <f aca="false">Sens!F1940-Sens!F1938-Sens!F1944+Sens!F1923*(1-tax_f)</f>
        <v>-17.7670111562527</v>
      </c>
      <c r="G1967" s="6" t="n">
        <f aca="false">Sens!G1940-Sens!G1938-Sens!G1944+Sens!G1923*(1-tax_f)</f>
        <v>22.6042697131691</v>
      </c>
      <c r="H1967" s="6" t="n">
        <f aca="false">Sens!H1940-Sens!H1938-Sens!H1944+Sens!H1923*(1-tax_f)</f>
        <v>88.2962765579649</v>
      </c>
      <c r="I1967" s="6" t="n">
        <f aca="false">Sens!I1940-Sens!I1938-Sens!I1944+Sens!I1923*(1-tax_f)</f>
        <v>178.412419784965</v>
      </c>
      <c r="J1967" s="6" t="n">
        <f aca="false">Sens!J1940-Sens!J1938-Sens!J1944+Sens!J1923*(1-tax_f)</f>
        <v>269.226724766774</v>
      </c>
      <c r="K1967" s="6" t="n">
        <f aca="false">Sens!K1940-Sens!K1938-Sens!K1944+Sens!K1923*(1-tax_f)</f>
        <v>310.802517373345</v>
      </c>
      <c r="L1967" s="1" t="s">
        <v>1060</v>
      </c>
    </row>
    <row r="1968" customFormat="false" ht="15" hidden="false" customHeight="false" outlineLevel="0" collapsed="false">
      <c r="A1968" s="1" t="s">
        <v>1061</v>
      </c>
      <c r="B1968" s="0" t="s">
        <v>98</v>
      </c>
      <c r="F1968" s="6" t="n">
        <f aca="false">Sens!F1967*Sens!F1966</f>
        <v>-16.9176302918076</v>
      </c>
      <c r="G1968" s="6" t="n">
        <f aca="false">Sens!G1967*Sens!G1966</f>
        <v>19.5148827020202</v>
      </c>
      <c r="H1968" s="6" t="n">
        <f aca="false">Sens!H1967*Sens!H1966</f>
        <v>69.1143398388293</v>
      </c>
      <c r="I1968" s="6" t="n">
        <f aca="false">Sens!I1967*Sens!I1966</f>
        <v>126.619667151788</v>
      </c>
      <c r="J1968" s="6" t="n">
        <f aca="false">Sens!J1967*Sens!J1966</f>
        <v>173.238558605271</v>
      </c>
      <c r="K1968" s="6" t="n">
        <f aca="false">Sens!K1967*Sens!K1966</f>
        <v>181.3264801246</v>
      </c>
    </row>
    <row r="1969" customFormat="false" ht="17.15" hidden="false" customHeight="false" outlineLevel="0" collapsed="false">
      <c r="A1969" s="1" t="s">
        <v>1062</v>
      </c>
      <c r="B1969" s="0" t="s">
        <v>98</v>
      </c>
      <c r="C1969" s="6" t="n">
        <f aca="false">SUM(Sens!F1968:K1968)</f>
        <v>552.896298130701</v>
      </c>
    </row>
    <row r="1970" customFormat="false" ht="17.15" hidden="false" customHeight="false" outlineLevel="0" collapsed="false">
      <c r="A1970" s="1" t="s">
        <v>1063</v>
      </c>
      <c r="B1970" s="0" t="s">
        <v>98</v>
      </c>
      <c r="C1970" s="6" t="n">
        <f aca="false">Sens!K1909*(1+g_tv)*(1-tax_f)</f>
        <v>327.849738853584</v>
      </c>
    </row>
    <row r="1971" customFormat="false" ht="17.15" hidden="false" customHeight="false" outlineLevel="0" collapsed="false">
      <c r="A1971" s="1" t="s">
        <v>1064</v>
      </c>
      <c r="B1971" s="0" t="s">
        <v>98</v>
      </c>
      <c r="C1971" s="6" t="n">
        <f aca="false">Sens!$C$1970*(1-g_tv/(wacc+ronic_prem))</f>
        <v>232.29868647739</v>
      </c>
    </row>
    <row r="1972" customFormat="false" ht="17.15" hidden="false" customHeight="false" outlineLevel="0" collapsed="false">
      <c r="A1972" s="1" t="s">
        <v>1065</v>
      </c>
      <c r="B1972" s="0" t="s">
        <v>98</v>
      </c>
      <c r="C1972" s="6" t="n">
        <f aca="false">Sens!$C$1971/(wacc-g_tv)</f>
        <v>3185.03507920646</v>
      </c>
    </row>
    <row r="1973" customFormat="false" ht="15" hidden="false" customHeight="false" outlineLevel="0" collapsed="false">
      <c r="A1973" s="1" t="s">
        <v>1066</v>
      </c>
      <c r="B1973" s="0" t="s">
        <v>98</v>
      </c>
      <c r="C1973" s="6" t="n">
        <f aca="false">Sens!$C$1972/(1+wacc)^(Sens!K1965+mid_yr)</f>
        <v>1769.35948372</v>
      </c>
    </row>
    <row r="1974" customFormat="false" ht="17.15" hidden="false" customHeight="false" outlineLevel="0" collapsed="false">
      <c r="A1974" s="0" t="s">
        <v>986</v>
      </c>
      <c r="B1974" s="0" t="s">
        <v>98</v>
      </c>
      <c r="C1974" s="6" t="n">
        <f aca="false">Sens!$C$1969+Sens!$C$1973</f>
        <v>2322.2557818507</v>
      </c>
    </row>
    <row r="1975" customFormat="false" ht="15" hidden="false" customHeight="false" outlineLevel="0" collapsed="false">
      <c r="A1975" s="1" t="s">
        <v>987</v>
      </c>
      <c r="B1975" s="0" t="s">
        <v>129</v>
      </c>
      <c r="C1975" s="7" t="n">
        <f aca="false">Sens!$C$1973/Sens!$C$1974</f>
        <v>0.761914125716989</v>
      </c>
    </row>
    <row r="1976" customFormat="false" ht="17.15" hidden="false" customHeight="false" outlineLevel="0" collapsed="false">
      <c r="A1976" s="1" t="s">
        <v>1067</v>
      </c>
      <c r="B1976" s="0" t="s">
        <v>98</v>
      </c>
      <c r="C1976" s="6" t="n">
        <f aca="false">Sens!$C$1974+Sens!E1956-Sens!E1945+oai_v</f>
        <v>2456.7687818507</v>
      </c>
    </row>
    <row r="1977" customFormat="false" ht="17.15" hidden="false" customHeight="false" outlineLevel="0" collapsed="false">
      <c r="A1977" s="0" t="s">
        <v>994</v>
      </c>
      <c r="B1977" s="0" t="s">
        <v>75</v>
      </c>
      <c r="C1977" s="5" t="n">
        <f aca="false">Sens!$C$1976/sh_dil26</f>
        <v>329.634882845928</v>
      </c>
    </row>
    <row r="1978" customFormat="false" ht="15" hidden="false" customHeight="false" outlineLevel="0" collapsed="false">
      <c r="A1978" s="1" t="s">
        <v>1068</v>
      </c>
      <c r="B1978" s="0" t="s">
        <v>75</v>
      </c>
      <c r="C1978" s="8" t="n">
        <f aca="false">dps_27+Sens!G1948*roll_div_q/q_per_yr</f>
        <v>4.8895</v>
      </c>
    </row>
    <row r="1979" customFormat="false" ht="17.15" hidden="false" customHeight="false" outlineLevel="0" collapsed="false">
      <c r="A1979" s="0" t="s">
        <v>1069</v>
      </c>
      <c r="B1979" s="0" t="s">
        <v>75</v>
      </c>
      <c r="C1979" s="5" t="n">
        <f aca="false">Sens!$C$1977*(1+wacc)^t_roll-Sens!$C$1978</f>
        <v>370.476747449065</v>
      </c>
    </row>
    <row r="1980" customFormat="false" ht="17.15" hidden="false" customHeight="false" outlineLevel="0" collapsed="false">
      <c r="A1980" s="1" t="s">
        <v>1070</v>
      </c>
      <c r="B1980" s="0" t="s">
        <v>129</v>
      </c>
      <c r="F1980" s="7" t="n">
        <f aca="false">Sens!F1935/(Sens!F1880-Sens!F1836)</f>
        <v>0.0596909303067126</v>
      </c>
      <c r="G1980" s="7" t="n">
        <f aca="false">Sens!G1935/(Sens!G1880-Sens!G1836)</f>
        <v>0.0582698120162661</v>
      </c>
      <c r="H1980" s="7" t="n">
        <f aca="false">Sens!H1935/(Sens!H1880-Sens!H1836)</f>
        <v>0.0579229108286206</v>
      </c>
      <c r="I1980" s="7" t="n">
        <f aca="false">Sens!I1935/(Sens!I1880-Sens!I1836)</f>
        <v>0.0586229084598257</v>
      </c>
      <c r="J1980" s="7" t="n">
        <f aca="false">Sens!J1935/(Sens!J1880-Sens!J1836)</f>
        <v>0.0601104164449862</v>
      </c>
      <c r="K1980" s="7" t="n">
        <f aca="false">Sens!K1935/(Sens!K1880-Sens!K1836)</f>
        <v>0.0620104437593174</v>
      </c>
    </row>
    <row r="1981" customFormat="false" ht="17.15" hidden="false" customHeight="false" outlineLevel="0" collapsed="false">
      <c r="A1981" s="0" t="s">
        <v>1071</v>
      </c>
      <c r="B1981" s="0" t="s">
        <v>98</v>
      </c>
      <c r="F1981" s="6" t="n">
        <f aca="false">Sens!F1865*(al_m365+Sens!F1980+sbc_r)</f>
        <v>83.9223450932951</v>
      </c>
      <c r="G1981" s="6" t="n">
        <f aca="false">Sens!G1865*(al_m365+Sens!G1980+sbc_r)</f>
        <v>98.4655402254608</v>
      </c>
      <c r="H1981" s="6" t="n">
        <f aca="false">Sens!H1865*(al_m365+Sens!H1980+sbc_r)</f>
        <v>113.17999276402</v>
      </c>
      <c r="I1981" s="6" t="n">
        <f aca="false">Sens!I1865*(al_m365+Sens!I1980+sbc_r)</f>
        <v>126.383481268495</v>
      </c>
      <c r="J1981" s="6" t="n">
        <f aca="false">Sens!J1865*(al_m365+Sens!J1980+sbc_r)</f>
        <v>137.882301923692</v>
      </c>
      <c r="K1981" s="6" t="n">
        <f aca="false">Sens!K1865*(al_m365+Sens!K1980+sbc_r)</f>
        <v>148.990292763217</v>
      </c>
      <c r="L1981" s="11" t="s">
        <v>1072</v>
      </c>
    </row>
    <row r="1982" customFormat="false" ht="17.15" hidden="false" customHeight="false" outlineLevel="0" collapsed="false">
      <c r="A1982" s="0" t="s">
        <v>1073</v>
      </c>
      <c r="B1982" s="0" t="s">
        <v>98</v>
      </c>
      <c r="F1982" s="6" t="n">
        <f aca="false">Sens!F1866*(al_lic+Sens!F1980+sbc_r)</f>
        <v>33.0969271083864</v>
      </c>
      <c r="G1982" s="6" t="n">
        <f aca="false">Sens!G1866*(al_lic+Sens!G1980+sbc_r)</f>
        <v>34.4405156302578</v>
      </c>
      <c r="H1982" s="6" t="n">
        <f aca="false">Sens!H1866*(al_lic+Sens!H1980+sbc_r)</f>
        <v>35.6918401045486</v>
      </c>
      <c r="I1982" s="6" t="n">
        <f aca="false">Sens!I1866*(al_lic+Sens!I1980+sbc_r)</f>
        <v>36.8349090248432</v>
      </c>
      <c r="J1982" s="6" t="n">
        <f aca="false">Sens!J1866*(al_lic+Sens!J1980+sbc_r)</f>
        <v>37.8437925522416</v>
      </c>
      <c r="K1982" s="6" t="n">
        <f aca="false">Sens!K1866*(al_lic+Sens!K1980+sbc_r)</f>
        <v>38.6872087335246</v>
      </c>
    </row>
    <row r="1983" customFormat="false" ht="17.15" hidden="false" customHeight="false" outlineLevel="0" collapsed="false">
      <c r="A1983" s="0" t="s">
        <v>1074</v>
      </c>
      <c r="B1983" s="0" t="s">
        <v>98</v>
      </c>
      <c r="F1983" s="6" t="n">
        <f aca="false">Sens!F1868*(al_ind+Sens!F1980+sbc_r)</f>
        <v>8.87746009298676</v>
      </c>
      <c r="G1983" s="6" t="n">
        <f aca="false">Sens!G1868*(al_ind+Sens!G1980+sbc_r)</f>
        <v>9.66943301225405</v>
      </c>
      <c r="H1983" s="6" t="n">
        <f aca="false">Sens!H1868*(al_ind+Sens!H1980+sbc_r)</f>
        <v>10.504771273953</v>
      </c>
      <c r="I1983" s="6" t="n">
        <f aca="false">Sens!I1868*(al_ind+Sens!I1980+sbc_r)</f>
        <v>11.3816798203145</v>
      </c>
      <c r="J1983" s="6" t="n">
        <f aca="false">Sens!J1868*(al_ind+Sens!J1980+sbc_r)</f>
        <v>12.290187324415</v>
      </c>
      <c r="K1983" s="6" t="n">
        <f aca="false">Sens!K1868*(al_ind+Sens!K1980+sbc_r)</f>
        <v>13.2133601852594</v>
      </c>
    </row>
    <row r="1984" customFormat="false" ht="17.15" hidden="false" customHeight="false" outlineLevel="0" collapsed="false">
      <c r="A1984" s="0" t="s">
        <v>1075</v>
      </c>
      <c r="B1984" s="0" t="s">
        <v>98</v>
      </c>
      <c r="F1984" s="6" t="n">
        <f aca="false">Sens!F1870*(al_fro+Sens!F1980+sbc_r)</f>
        <v>3.49419945959476</v>
      </c>
      <c r="G1984" s="6" t="n">
        <f aca="false">Sens!G1870*(al_fro+Sens!G1980+sbc_r)</f>
        <v>3.71249060364488</v>
      </c>
      <c r="H1984" s="6" t="n">
        <f aca="false">Sens!H1870*(al_fro+Sens!H1980+sbc_r)</f>
        <v>3.95855736864969</v>
      </c>
      <c r="I1984" s="6" t="n">
        <f aca="false">Sens!I1870*(al_fro+Sens!I1980+sbc_r)</f>
        <v>4.23579800038558</v>
      </c>
      <c r="J1984" s="6" t="n">
        <f aca="false">Sens!J1870*(al_fro+Sens!J1980+sbc_r)</f>
        <v>4.54538358359117</v>
      </c>
      <c r="K1984" s="6" t="n">
        <f aca="false">Sens!K1870*(al_fro+Sens!K1980+sbc_r)</f>
        <v>4.88680838499865</v>
      </c>
    </row>
    <row r="1985" customFormat="false" ht="17.15" hidden="false" customHeight="false" outlineLevel="0" collapsed="false">
      <c r="A1985" s="0" t="s">
        <v>1076</v>
      </c>
      <c r="B1985" s="0" t="s">
        <v>98</v>
      </c>
      <c r="F1985" s="6" t="n">
        <f aca="false">Sens!F1873*(al_srch+Sens!F1980+sbc_r)</f>
        <v>10.9637914768433</v>
      </c>
      <c r="G1985" s="6" t="n">
        <f aca="false">Sens!G1873*(al_srch+Sens!G1980+sbc_r)</f>
        <v>12.0545658440406</v>
      </c>
      <c r="H1985" s="6" t="n">
        <f aca="false">Sens!H1873*(al_srch+Sens!H1980+sbc_r)</f>
        <v>13.1891215104818</v>
      </c>
      <c r="I1985" s="6" t="n">
        <f aca="false">Sens!I1873*(al_srch+Sens!I1980+sbc_r)</f>
        <v>14.3582490760646</v>
      </c>
      <c r="J1985" s="6" t="n">
        <f aca="false">Sens!J1873*(al_srch+Sens!J1980+sbc_r)</f>
        <v>15.5415140350624</v>
      </c>
      <c r="K1985" s="6" t="n">
        <f aca="false">Sens!K1873*(al_srch+Sens!K1980+sbc_r)</f>
        <v>16.7089090954371</v>
      </c>
    </row>
    <row r="1986" customFormat="false" ht="17.15" hidden="false" customHeight="false" outlineLevel="0" collapsed="false">
      <c r="A1986" s="0" t="s">
        <v>1077</v>
      </c>
      <c r="B1986" s="0" t="s">
        <v>98</v>
      </c>
      <c r="F1986" s="6" t="n">
        <f aca="false">Sens!F1842-Sens!F1843+Sens!F1923</f>
        <v>48.1796297701386</v>
      </c>
      <c r="G1986" s="6" t="n">
        <f aca="false">Sens!G1842-Sens!G1843+Sens!G1923</f>
        <v>98.9160887643126</v>
      </c>
      <c r="H1986" s="6" t="n">
        <f aca="false">Sens!H1842-Sens!H1843+Sens!H1923</f>
        <v>157.96774103413</v>
      </c>
      <c r="I1986" s="6" t="n">
        <f aca="false">Sens!I1842-Sens!I1843+Sens!I1923</f>
        <v>206.021362890579</v>
      </c>
      <c r="J1986" s="6" t="n">
        <f aca="false">Sens!J1842-Sens!J1843+Sens!J1923</f>
        <v>240.286236489833</v>
      </c>
      <c r="K1986" s="6" t="n">
        <f aca="false">Sens!K1842-Sens!K1843+Sens!K1923</f>
        <v>262.089426950803</v>
      </c>
    </row>
    <row r="1987" customFormat="false" ht="17.15" hidden="false" customHeight="false" outlineLevel="0" collapsed="false">
      <c r="A1987" s="0" t="s">
        <v>1078</v>
      </c>
      <c r="B1987" s="0" t="s">
        <v>98</v>
      </c>
      <c r="F1987" s="6" t="n">
        <f aca="false">Sens!F1902+Sens!F1923+Sens!F1853+Sens!F1980*(Sens!F1872-Sens!F1836)+sbc_r*Sens!F1872</f>
        <v>243.600198958873</v>
      </c>
      <c r="G1987" s="6" t="n">
        <f aca="false">Sens!G1902+Sens!G1923+Sens!G1853+Sens!G1980*(Sens!G1872-Sens!G1836)+sbc_r*Sens!G1872</f>
        <v>324.671801953455</v>
      </c>
      <c r="H1987" s="6" t="n">
        <f aca="false">Sens!H1902+Sens!H1923+Sens!H1853+Sens!H1980*(Sens!H1872-Sens!H1836)+sbc_r*Sens!H1872</f>
        <v>414.765807665304</v>
      </c>
      <c r="I1987" s="6" t="n">
        <f aca="false">Sens!I1902+Sens!I1923+Sens!I1853+Sens!I1980*(Sens!I1872-Sens!I1836)+sbc_r*Sens!I1872</f>
        <v>491.721067637807</v>
      </c>
      <c r="J1987" s="6" t="n">
        <f aca="false">Sens!J1902+Sens!J1923+Sens!J1853+Sens!J1980*(Sens!J1872-Sens!J1836)+sbc_r*Sens!J1872</f>
        <v>551.835759006273</v>
      </c>
      <c r="K1987" s="6" t="n">
        <f aca="false">Sens!K1902+Sens!K1923+Sens!K1853+Sens!K1980*(Sens!K1872-Sens!K1836)+sbc_r*Sens!K1872</f>
        <v>597.009633846721</v>
      </c>
    </row>
    <row r="1988" customFormat="false" ht="17.15" hidden="false" customHeight="false" outlineLevel="0" collapsed="false">
      <c r="A1988" s="0" t="s">
        <v>1079</v>
      </c>
      <c r="B1988" s="0" t="s">
        <v>98</v>
      </c>
      <c r="F1988" s="6" t="n">
        <f aca="false">Sens!F1987-Sens!F1981-Sens!F1982-Sens!F1983-Sens!F1984-Sens!F1986</f>
        <v>66.0296374344718</v>
      </c>
      <c r="G1988" s="6" t="n">
        <f aca="false">Sens!G1987-Sens!G1981-Sens!G1982-Sens!G1983-Sens!G1984-Sens!G1986</f>
        <v>79.467733717525</v>
      </c>
      <c r="H1988" s="6" t="n">
        <f aca="false">Sens!H1987-Sens!H1981-Sens!H1982-Sens!H1983-Sens!H1984-Sens!H1986</f>
        <v>93.4629051200021</v>
      </c>
      <c r="I1988" s="6" t="n">
        <f aca="false">Sens!I1987-Sens!I1981-Sens!I1982-Sens!I1983-Sens!I1984-Sens!I1986</f>
        <v>106.863836633189</v>
      </c>
      <c r="J1988" s="6" t="n">
        <f aca="false">Sens!J1987-Sens!J1981-Sens!J1982-Sens!J1983-Sens!J1984-Sens!J1986</f>
        <v>118.9878571325</v>
      </c>
      <c r="K1988" s="6" t="n">
        <f aca="false">Sens!K1987-Sens!K1981-Sens!K1982-Sens!K1983-Sens!K1984-Sens!K1986</f>
        <v>129.142536828918</v>
      </c>
    </row>
    <row r="1989" customFormat="false" ht="17.15" hidden="false" customHeight="false" outlineLevel="0" collapsed="false">
      <c r="A1989" s="0" t="s">
        <v>1080</v>
      </c>
      <c r="B1989" s="0" t="s">
        <v>98</v>
      </c>
      <c r="F1989" s="6" t="n">
        <f aca="false">Sens!F1904+Sens!F1980*Sens!F1879+sbc_r*Sens!F1879</f>
        <v>25.6189737841472</v>
      </c>
      <c r="G1989" s="6" t="n">
        <f aca="false">Sens!G1904+Sens!G1980*Sens!G1879+sbc_r*Sens!G1879</f>
        <v>26.303766402566</v>
      </c>
      <c r="H1989" s="6" t="n">
        <f aca="false">Sens!H1904+Sens!H1980*Sens!H1879+sbc_r*Sens!H1879</f>
        <v>27.2402537657917</v>
      </c>
      <c r="I1989" s="6" t="n">
        <f aca="false">Sens!I1904+Sens!I1980*Sens!I1879+sbc_r*Sens!I1879</f>
        <v>28.4053983040187</v>
      </c>
      <c r="J1989" s="6" t="n">
        <f aca="false">Sens!J1904+Sens!J1980*Sens!J1879+sbc_r*Sens!J1879</f>
        <v>29.7655270250454</v>
      </c>
      <c r="K1989" s="6" t="n">
        <f aca="false">Sens!K1904+Sens!K1980*Sens!K1879+sbc_r*Sens!K1879</f>
        <v>31.2807378973766</v>
      </c>
    </row>
    <row r="1990" customFormat="false" ht="17.15" hidden="false" customHeight="false" outlineLevel="0" collapsed="false">
      <c r="A1990" s="0" t="s">
        <v>1081</v>
      </c>
      <c r="B1990" s="0" t="s">
        <v>98</v>
      </c>
      <c r="F1990" s="6" t="n">
        <f aca="false">(Sens!F1989-Sens!F1985)*Sens!F1875/(Sens!F1875+Sens!F1877)</f>
        <v>8.03382820145665</v>
      </c>
      <c r="G1990" s="6" t="n">
        <f aca="false">(Sens!G1989-Sens!G1985)*Sens!G1875/(Sens!G1875+Sens!G1877)</f>
        <v>7.67199845501236</v>
      </c>
      <c r="H1990" s="6" t="n">
        <f aca="false">(Sens!H1989-Sens!H1985)*Sens!H1875/(Sens!H1875+Sens!H1877)</f>
        <v>7.46315999218682</v>
      </c>
      <c r="I1990" s="6" t="n">
        <f aca="false">(Sens!I1989-Sens!I1985)*Sens!I1875/(Sens!I1875+Sens!I1877)</f>
        <v>7.39353681019204</v>
      </c>
      <c r="J1990" s="6" t="n">
        <f aca="false">(Sens!J1989-Sens!J1985)*Sens!J1875/(Sens!J1875+Sens!J1877)</f>
        <v>7.45277253258619</v>
      </c>
      <c r="K1990" s="6" t="n">
        <f aca="false">(Sens!K1989-Sens!K1985)*Sens!K1875/(Sens!K1875+Sens!K1877)</f>
        <v>7.63501309518786</v>
      </c>
    </row>
    <row r="1991" customFormat="false" ht="17.15" hidden="false" customHeight="false" outlineLevel="0" collapsed="false">
      <c r="A1991" s="0" t="s">
        <v>1082</v>
      </c>
      <c r="B1991" s="0" t="s">
        <v>98</v>
      </c>
      <c r="F1991" s="6" t="n">
        <f aca="false">Sens!F1989-Sens!F1985-Sens!F1990</f>
        <v>6.6213541058473</v>
      </c>
      <c r="G1991" s="6" t="n">
        <f aca="false">Sens!G1989-Sens!G1985-Sens!G1990</f>
        <v>6.57720210351308</v>
      </c>
      <c r="H1991" s="6" t="n">
        <f aca="false">Sens!H1989-Sens!H1985-Sens!H1990</f>
        <v>6.58797226312305</v>
      </c>
      <c r="I1991" s="6" t="n">
        <f aca="false">Sens!I1989-Sens!I1985-Sens!I1990</f>
        <v>6.65361241776203</v>
      </c>
      <c r="J1991" s="6" t="n">
        <f aca="false">Sens!J1989-Sens!J1985-Sens!J1990</f>
        <v>6.77124045739684</v>
      </c>
      <c r="K1991" s="6" t="n">
        <f aca="false">Sens!K1989-Sens!K1985-Sens!K1990</f>
        <v>6.9368157067516</v>
      </c>
    </row>
    <row r="1992" customFormat="false" ht="17.15" hidden="false" customHeight="false" outlineLevel="0" collapsed="false">
      <c r="A1992" s="0" t="s">
        <v>1083</v>
      </c>
      <c r="B1992" s="0" t="s">
        <v>98</v>
      </c>
      <c r="F1992" s="6" t="n">
        <f aca="false">Sens!F1986-tax_f*(Sens!F1986-Sens!F1853)-Sens!F1850</f>
        <v>-145.68377425822</v>
      </c>
      <c r="G1992" s="6" t="n">
        <f aca="false">Sens!G1986-tax_f*(Sens!G1986-Sens!G1853)-Sens!G1850</f>
        <v>-126.966040661867</v>
      </c>
      <c r="H1992" s="6" t="n">
        <f aca="false">Sens!H1986-tax_f*(Sens!H1986-Sens!H1853)-Sens!H1850</f>
        <v>-78.5955055027809</v>
      </c>
      <c r="I1992" s="6" t="n">
        <f aca="false">Sens!I1986-tax_f*(Sens!I1986-Sens!I1853)-Sens!I1850</f>
        <v>-5.08553415285732</v>
      </c>
      <c r="J1992" s="6" t="n">
        <f aca="false">Sens!J1986-tax_f*(Sens!J1986-Sens!J1853)-Sens!J1850</f>
        <v>70.3308627634585</v>
      </c>
      <c r="K1992" s="6" t="n">
        <f aca="false">Sens!K1986-tax_f*(Sens!K1986-Sens!K1853)-Sens!K1850</f>
        <v>97.3741945669678</v>
      </c>
    </row>
    <row r="1993" customFormat="false" ht="17.15" hidden="false" customHeight="false" outlineLevel="0" collapsed="false">
      <c r="A1993" s="0" t="s">
        <v>1084</v>
      </c>
      <c r="B1993" s="0" t="s">
        <v>98</v>
      </c>
      <c r="G1993" s="6" t="n">
        <f aca="false">Sens!G1992/(1+wacc)^(Sens!G1965-(Sens!F1965+mid_yr))</f>
        <v>-120.896222591505</v>
      </c>
      <c r="H1993" s="6" t="n">
        <f aca="false">Sens!H1992/(1+wacc)^(Sens!H1965-(Sens!F1965+mid_yr))</f>
        <v>-67.853644035188</v>
      </c>
      <c r="I1993" s="6" t="n">
        <f aca="false">Sens!I1992/(1+wacc)^(Sens!I1965-(Sens!F1965+mid_yr))</f>
        <v>-3.9807265878512</v>
      </c>
      <c r="J1993" s="6" t="n">
        <f aca="false">Sens!J1992/(1+wacc)^(Sens!J1965-(Sens!F1965+mid_yr))</f>
        <v>49.9139602744048</v>
      </c>
      <c r="K1993" s="6" t="n">
        <f aca="false">Sens!K1992/(1+wacc)^(Sens!K1965-(Sens!F1965+mid_yr))</f>
        <v>62.657097384162</v>
      </c>
      <c r="L1993" s="1" t="s">
        <v>1085</v>
      </c>
    </row>
    <row r="1994" customFormat="false" ht="17.15" hidden="false" customHeight="false" outlineLevel="0" collapsed="false">
      <c r="A1994" s="0" t="s">
        <v>1086</v>
      </c>
      <c r="B1994" s="0" t="s">
        <v>98</v>
      </c>
      <c r="C1994" s="6" t="n">
        <f aca="false">(Sens!K1986-Sens!K1853)*(1-tax_f)*(1+g_tv)*(1-g_tv/(wacc+ronic_prem))/(wacc-g_tv)/(1+wacc)^(Sens!K1965+mid_yr-(Sens!F1965+mid_yr))</f>
        <v>466.598415064568</v>
      </c>
    </row>
    <row r="1995" customFormat="false" ht="17.15" hidden="false" customHeight="false" outlineLevel="0" collapsed="false">
      <c r="A1995" s="1" t="s">
        <v>1087</v>
      </c>
      <c r="B1995" s="0" t="s">
        <v>98</v>
      </c>
      <c r="C1995" s="6" t="n">
        <f aca="false">(SUM(Sens!G1993:K1993)+Sens!$C$1994)*(1+wacc)^(t_roll-(Sens!F1965+mid_yr))</f>
        <v>398.981886040234</v>
      </c>
      <c r="L1995" s="11" t="s">
        <v>1088</v>
      </c>
    </row>
    <row r="1996" customFormat="false" ht="17.15" hidden="false" customHeight="false" outlineLevel="0" collapsed="false">
      <c r="A1996" s="1" t="s">
        <v>1089</v>
      </c>
      <c r="B1996" s="0" t="s">
        <v>98</v>
      </c>
      <c r="C1996" s="6" t="n">
        <f aca="false">(w_ntm28*Sens!G1842+(1-w_ntm28)*Sens!H1842)*m_ai</f>
        <v>551.711134531404</v>
      </c>
    </row>
    <row r="1997" customFormat="false" ht="17.15" hidden="false" customHeight="false" outlineLevel="0" collapsed="false">
      <c r="A1997" s="1" t="s">
        <v>1090</v>
      </c>
      <c r="B1997" s="0" t="s">
        <v>98</v>
      </c>
      <c r="C1997" s="6" t="n">
        <f aca="false">(w_ntm28*Sens!G1988+(1-w_ntm28)*Sens!H1988)*m_cloud</f>
        <v>1160.77220522634</v>
      </c>
    </row>
    <row r="1998" customFormat="false" ht="17.15" hidden="false" customHeight="false" outlineLevel="0" collapsed="false">
      <c r="A1998" s="1" t="s">
        <v>1091</v>
      </c>
      <c r="B1998" s="0" t="s">
        <v>98</v>
      </c>
      <c r="C1998" s="6" t="n">
        <f aca="false">(w_ntm28*Sens!G1981+(1-w_ntm28)*Sens!H1981)*m_sw</f>
        <v>1114.80344625728</v>
      </c>
    </row>
    <row r="1999" customFormat="false" ht="17.15" hidden="false" customHeight="false" outlineLevel="0" collapsed="false">
      <c r="A1999" s="1" t="s">
        <v>1092</v>
      </c>
      <c r="B1999" s="0" t="s">
        <v>98</v>
      </c>
      <c r="C1999" s="6" t="n">
        <f aca="false">(w_ntm28*Sens!G1982+(1-w_ntm28)*Sens!H1982)*m_sw</f>
        <v>376.326576779486</v>
      </c>
    </row>
    <row r="2000" customFormat="false" ht="17.15" hidden="false" customHeight="false" outlineLevel="0" collapsed="false">
      <c r="A2000" s="1" t="s">
        <v>1093</v>
      </c>
      <c r="B2000" s="0" t="s">
        <v>98</v>
      </c>
      <c r="C2000" s="6" t="n">
        <f aca="false">(w_ntm28*Sens!G1983+(1-w_ntm28)*Sens!H1983)*m_sw</f>
        <v>107.346465794561</v>
      </c>
    </row>
    <row r="2001" customFormat="false" ht="17.15" hidden="false" customHeight="false" outlineLevel="0" collapsed="false">
      <c r="A2001" s="1" t="s">
        <v>1094</v>
      </c>
      <c r="B2001" s="0" t="s">
        <v>98</v>
      </c>
      <c r="C2001" s="6" t="n">
        <f aca="false">(w_ntm28*Sens!G1984+(1-w_ntm28)*Sens!H1984)*m_sw</f>
        <v>40.9540423147678</v>
      </c>
    </row>
    <row r="2002" customFormat="false" ht="17.15" hidden="false" customHeight="false" outlineLevel="0" collapsed="false">
      <c r="A2002" s="1" t="s">
        <v>1095</v>
      </c>
      <c r="B2002" s="0" t="s">
        <v>98</v>
      </c>
      <c r="C2002" s="6" t="n">
        <f aca="false">(w_ntm28*Sens!G1985+(1-w_ntm28)*Sens!H1985)*m_ads</f>
        <v>113.158532237322</v>
      </c>
    </row>
    <row r="2003" customFormat="false" ht="17.15" hidden="false" customHeight="false" outlineLevel="0" collapsed="false">
      <c r="A2003" s="1" t="s">
        <v>1096</v>
      </c>
      <c r="B2003" s="0" t="s">
        <v>98</v>
      </c>
      <c r="C2003" s="6" t="n">
        <f aca="false">(w_ntm28*Sens!G1990+(1-w_ntm28)*Sens!H1990)*m_game</f>
        <v>96.0446272958817</v>
      </c>
    </row>
    <row r="2004" customFormat="false" ht="17.15" hidden="false" customHeight="false" outlineLevel="0" collapsed="false">
      <c r="A2004" s="1" t="s">
        <v>1097</v>
      </c>
      <c r="B2004" s="0" t="s">
        <v>98</v>
      </c>
      <c r="C2004" s="6" t="n">
        <f aca="false">(w_ntm28*Sens!G1991+(1-w_ntm28)*Sens!H1991)*m_pc</f>
        <v>95.2224969494169</v>
      </c>
    </row>
    <row r="2005" customFormat="false" ht="17.15" hidden="false" customHeight="false" outlineLevel="0" collapsed="false">
      <c r="A2005" s="1" t="s">
        <v>1098</v>
      </c>
      <c r="B2005" s="0" t="s">
        <v>98</v>
      </c>
      <c r="C2005" s="6" t="n">
        <f aca="false">Sens!$C$1995+Sens!$C$1997+Sens!$C$1998+Sens!$C$1999+Sens!$C$2000+Sens!$C$2001+Sens!$C$2002+Sens!$C$2003+Sens!$C$2004</f>
        <v>3503.61027889529</v>
      </c>
    </row>
    <row r="2006" customFormat="false" ht="17.15" hidden="false" customHeight="false" outlineLevel="0" collapsed="false">
      <c r="A2006" s="1" t="s">
        <v>1099</v>
      </c>
      <c r="B2006" s="0" t="s">
        <v>98</v>
      </c>
      <c r="C2006" s="6" t="n">
        <f aca="false">(Sens!G1967-Sens!G1992)*t_stub</f>
        <v>48.7640189989845</v>
      </c>
      <c r="L2006" s="1" t="s">
        <v>1100</v>
      </c>
    </row>
    <row r="2007" customFormat="false" ht="17.15" hidden="false" customHeight="false" outlineLevel="0" collapsed="false">
      <c r="A2007" s="1" t="s">
        <v>1014</v>
      </c>
      <c r="B2007" s="0" t="s">
        <v>98</v>
      </c>
      <c r="C2007" s="6" t="n">
        <f aca="false">Sens!F1956+oai_v-Sens!F1945+Sens!$C$2006</f>
        <v>140.159199215196</v>
      </c>
      <c r="L2007" s="1" t="s">
        <v>1101</v>
      </c>
    </row>
    <row r="2008" customFormat="false" ht="17.15" hidden="false" customHeight="false" outlineLevel="0" collapsed="false">
      <c r="A2008" s="1" t="s">
        <v>1102</v>
      </c>
      <c r="B2008" s="0" t="s">
        <v>75</v>
      </c>
      <c r="C2008" s="5" t="n">
        <f aca="false">(Sens!$C$2005+Sens!$C$2007)/(Sens!F1958+dil_gap)-Sens!G1948*roll_div_q/q_per_yr</f>
        <v>485.055681178026</v>
      </c>
      <c r="L2008" s="1" t="s">
        <v>1103</v>
      </c>
    </row>
    <row r="2009" customFormat="false" ht="17.15" hidden="false" customHeight="false" outlineLevel="0" collapsed="false">
      <c r="A2009" s="1" t="s">
        <v>1104</v>
      </c>
      <c r="B2009" s="0" t="s">
        <v>75</v>
      </c>
      <c r="C2009" s="5" t="n">
        <f aca="false">w_dcf*Sens!$C$1979+(1-w_dcf)*Sens!$C$2008</f>
        <v>427.766214313546</v>
      </c>
    </row>
    <row r="2010" customFormat="false" ht="17.15" hidden="false" customHeight="false" outlineLevel="0" collapsed="false">
      <c r="A2010" s="3" t="s">
        <v>1312</v>
      </c>
    </row>
    <row r="2011" customFormat="false" ht="15" hidden="false" customHeight="false" outlineLevel="0" collapsed="false">
      <c r="A2011" s="4" t="s">
        <v>43</v>
      </c>
      <c r="B2011" s="4" t="s">
        <v>65</v>
      </c>
      <c r="C2011" s="20" t="s">
        <v>799</v>
      </c>
      <c r="D2011" s="20" t="s">
        <v>800</v>
      </c>
      <c r="E2011" s="20" t="s">
        <v>801</v>
      </c>
      <c r="F2011" s="20" t="s">
        <v>802</v>
      </c>
      <c r="G2011" s="20" t="s">
        <v>803</v>
      </c>
      <c r="H2011" s="20" t="s">
        <v>804</v>
      </c>
      <c r="I2011" s="20" t="s">
        <v>805</v>
      </c>
      <c r="J2011" s="20" t="s">
        <v>806</v>
      </c>
      <c r="K2011" s="20" t="s">
        <v>807</v>
      </c>
      <c r="L2011" s="4" t="s">
        <v>47</v>
      </c>
    </row>
    <row r="2012" customFormat="false" ht="17.15" hidden="false" customHeight="false" outlineLevel="0" collapsed="false">
      <c r="A2012" s="1" t="s">
        <v>808</v>
      </c>
      <c r="B2012" s="1" t="s">
        <v>235</v>
      </c>
      <c r="C2012" s="28" t="n">
        <v>2024</v>
      </c>
      <c r="D2012" s="28" t="n">
        <v>2025</v>
      </c>
      <c r="E2012" s="28" t="n">
        <v>2026</v>
      </c>
      <c r="F2012" s="28" t="n">
        <v>2027</v>
      </c>
      <c r="G2012" s="28" t="n">
        <v>2028</v>
      </c>
      <c r="H2012" s="28" t="n">
        <v>2029</v>
      </c>
      <c r="I2012" s="28" t="n">
        <v>2030</v>
      </c>
      <c r="J2012" s="28" t="n">
        <v>2031</v>
      </c>
      <c r="K2012" s="28" t="n">
        <v>2032</v>
      </c>
    </row>
    <row r="2013" customFormat="false" ht="17.15" hidden="false" customHeight="false" outlineLevel="0" collapsed="false">
      <c r="A2013" s="1" t="s">
        <v>809</v>
      </c>
      <c r="B2013" s="0" t="s">
        <v>399</v>
      </c>
      <c r="F2013" s="29" t="n">
        <f aca="false">pace</f>
        <v>2527.2</v>
      </c>
      <c r="G2013" s="29" t="n">
        <f aca="false">pace</f>
        <v>2527.2</v>
      </c>
      <c r="H2013" s="29" t="n">
        <f aca="false">pace</f>
        <v>2527.2</v>
      </c>
      <c r="I2013" s="29" t="n">
        <f aca="false">pace+(g_tv*Sens!H2014-pace)*MIN(1,(Sens!I2012-pace_y0)/(pace_y1-pace_y0))</f>
        <v>1793.116</v>
      </c>
      <c r="J2013" s="29" t="n">
        <f aca="false">pace+(g_tv*Sens!I2014-pace)*MIN(1,(Sens!J2012-pace_y0)/(pace_y1-pace_y0))</f>
        <v>1094.89432</v>
      </c>
      <c r="K2013" s="29" t="n">
        <f aca="false">pace+(g_tv*Sens!J2014-pace)*MIN(1,(Sens!K2012-pace_y0)/(pace_y1-pace_y0))</f>
        <v>411.5883096</v>
      </c>
      <c r="L2013" s="11" t="s">
        <v>810</v>
      </c>
    </row>
    <row r="2014" customFormat="false" ht="17.15" hidden="false" customHeight="false" outlineLevel="0" collapsed="false">
      <c r="A2014" s="1" t="s">
        <v>811</v>
      </c>
      <c r="B2014" s="0" t="s">
        <v>399</v>
      </c>
      <c r="C2014" s="29" t="n">
        <f aca="false">mw_ext_24</f>
        <v>640</v>
      </c>
      <c r="D2014" s="29" t="n">
        <f aca="false">mw_ext_25</f>
        <v>1630</v>
      </c>
      <c r="E2014" s="29" t="n">
        <f aca="false">mw_ext_26</f>
        <v>3250</v>
      </c>
      <c r="F2014" s="29" t="n">
        <f aca="false">Sens!E2014+Sens!F2013</f>
        <v>5777.2</v>
      </c>
      <c r="G2014" s="29" t="n">
        <f aca="false">Sens!F2014+Sens!G2013</f>
        <v>8304.4</v>
      </c>
      <c r="H2014" s="29" t="n">
        <f aca="false">Sens!G2014+Sens!H2013</f>
        <v>10831.6</v>
      </c>
      <c r="I2014" s="29" t="n">
        <f aca="false">Sens!H2014+Sens!I2013</f>
        <v>12624.716</v>
      </c>
      <c r="J2014" s="29" t="n">
        <f aca="false">Sens!I2014+Sens!J2013</f>
        <v>13719.61032</v>
      </c>
      <c r="K2014" s="29" t="n">
        <f aca="false">Sens!J2014+Sens!K2013</f>
        <v>14131.1986296</v>
      </c>
      <c r="L2014" s="1" t="s">
        <v>812</v>
      </c>
    </row>
    <row r="2015" customFormat="false" ht="17.15" hidden="false" customHeight="false" outlineLevel="0" collapsed="false">
      <c r="A2015" s="1" t="s">
        <v>813</v>
      </c>
      <c r="B2015" s="0" t="s">
        <v>399</v>
      </c>
      <c r="C2015" s="29" t="n">
        <f aca="false">rent_ext_24</f>
        <v>150</v>
      </c>
      <c r="D2015" s="29" t="n">
        <f aca="false">rent_ext_25</f>
        <v>400</v>
      </c>
      <c r="E2015" s="29" t="n">
        <f aca="false">rent_ext_26</f>
        <v>550</v>
      </c>
      <c r="F2015" s="29" t="n">
        <f aca="false">rent_ext_f</f>
        <v>756</v>
      </c>
      <c r="G2015" s="29" t="n">
        <f aca="false">rent_ext_f</f>
        <v>756</v>
      </c>
      <c r="H2015" s="29" t="n">
        <f aca="false">rent_ext_f</f>
        <v>756</v>
      </c>
      <c r="I2015" s="29" t="n">
        <f aca="false">rent_ext_f</f>
        <v>756</v>
      </c>
      <c r="J2015" s="29" t="n">
        <f aca="false">rent_ext_f</f>
        <v>756</v>
      </c>
      <c r="K2015" s="29" t="n">
        <f aca="false">rent_ext_f</f>
        <v>756</v>
      </c>
      <c r="L2015" s="1" t="s">
        <v>814</v>
      </c>
    </row>
    <row r="2016" customFormat="false" ht="17.15" hidden="false" customHeight="false" outlineLevel="0" collapsed="false">
      <c r="A2016" s="1" t="s">
        <v>815</v>
      </c>
      <c r="B2016" s="0" t="s">
        <v>399</v>
      </c>
      <c r="C2016" s="29" t="n">
        <f aca="false">Sens!C2014-Sens!C2015</f>
        <v>490</v>
      </c>
      <c r="D2016" s="29" t="n">
        <f aca="false">Sens!D2014-Sens!D2015</f>
        <v>1230</v>
      </c>
      <c r="E2016" s="29" t="n">
        <f aca="false">Sens!E2014-Sens!E2015</f>
        <v>2700</v>
      </c>
      <c r="F2016" s="29" t="n">
        <f aca="false">Sens!F2014-Sens!F2015</f>
        <v>5021.2</v>
      </c>
      <c r="G2016" s="29" t="n">
        <f aca="false">Sens!G2014-Sens!G2015</f>
        <v>7548.4</v>
      </c>
      <c r="H2016" s="29" t="n">
        <f aca="false">Sens!H2014-Sens!H2015</f>
        <v>10075.6</v>
      </c>
      <c r="I2016" s="29" t="n">
        <f aca="false">Sens!I2014-Sens!I2015</f>
        <v>11868.716</v>
      </c>
      <c r="J2016" s="29" t="n">
        <f aca="false">Sens!J2014-Sens!J2015</f>
        <v>12963.61032</v>
      </c>
      <c r="K2016" s="29" t="n">
        <f aca="false">Sens!K2014-Sens!K2015</f>
        <v>13375.1986296</v>
      </c>
    </row>
    <row r="2017" customFormat="false" ht="17.15" hidden="false" customHeight="false" outlineLevel="0" collapsed="false">
      <c r="A2017" s="1" t="s">
        <v>816</v>
      </c>
      <c r="B2017" s="0" t="s">
        <v>399</v>
      </c>
      <c r="C2017" s="29" t="n">
        <f aca="false">Sens!C2016/ext_sh_lo</f>
        <v>980</v>
      </c>
      <c r="D2017" s="29" t="n">
        <f aca="false">Sens!D2016/ext_sh_lo</f>
        <v>2460</v>
      </c>
      <c r="E2017" s="29" t="n">
        <f aca="false">Sens!E2016/ext_sh_lo</f>
        <v>5400</v>
      </c>
      <c r="F2017" s="29" t="n">
        <f aca="false">Sens!F2016/ext_sh_lo</f>
        <v>10042.4</v>
      </c>
      <c r="G2017" s="29" t="n">
        <f aca="false">Sens!G2016/ext_sh_lo</f>
        <v>15096.8</v>
      </c>
      <c r="H2017" s="29" t="n">
        <f aca="false">Sens!H2016/ext_sh_lo</f>
        <v>20151.2</v>
      </c>
      <c r="I2017" s="29" t="n">
        <f aca="false">Sens!I2016/ext_sh_lo</f>
        <v>23737.432</v>
      </c>
      <c r="J2017" s="29" t="n">
        <f aca="false">Sens!J2016/ext_sh_lo</f>
        <v>25927.22064</v>
      </c>
      <c r="K2017" s="29" t="n">
        <f aca="false">Sens!K2016/ext_sh_lo</f>
        <v>26750.3972592</v>
      </c>
      <c r="L2017" s="1" t="s">
        <v>817</v>
      </c>
    </row>
    <row r="2018" customFormat="false" ht="17.15" hidden="false" customHeight="false" outlineLevel="0" collapsed="false">
      <c r="A2018" s="1" t="s">
        <v>818</v>
      </c>
      <c r="B2018" s="0" t="s">
        <v>399</v>
      </c>
      <c r="C2018" s="29" t="n">
        <f aca="false">Sens!C2017-Sens!C2016</f>
        <v>490</v>
      </c>
      <c r="D2018" s="29" t="n">
        <f aca="false">Sens!D2017-Sens!D2016</f>
        <v>1230</v>
      </c>
      <c r="E2018" s="29" t="n">
        <f aca="false">Sens!E2017-Sens!E2016</f>
        <v>2700</v>
      </c>
      <c r="F2018" s="29" t="n">
        <f aca="false">Sens!F2017-Sens!F2016</f>
        <v>5021.2</v>
      </c>
      <c r="G2018" s="29" t="n">
        <f aca="false">Sens!G2017-Sens!G2016</f>
        <v>7548.4</v>
      </c>
      <c r="H2018" s="29" t="n">
        <f aca="false">Sens!H2017-Sens!H2016</f>
        <v>10075.6</v>
      </c>
      <c r="I2018" s="29" t="n">
        <f aca="false">Sens!I2017-Sens!I2016</f>
        <v>11868.716</v>
      </c>
      <c r="J2018" s="29" t="n">
        <f aca="false">Sens!J2017-Sens!J2016</f>
        <v>12963.61032</v>
      </c>
      <c r="K2018" s="29" t="n">
        <f aca="false">Sens!K2017-Sens!K2016</f>
        <v>13375.1986296</v>
      </c>
    </row>
    <row r="2019" customFormat="false" ht="17.15" hidden="false" customHeight="false" outlineLevel="0" collapsed="false">
      <c r="A2019" s="1" t="s">
        <v>819</v>
      </c>
      <c r="B2019" s="0" t="s">
        <v>399</v>
      </c>
      <c r="C2019" s="29" t="n">
        <f aca="false">Sens!C2017</f>
        <v>980</v>
      </c>
      <c r="D2019" s="29" t="n">
        <f aca="false">Sens!D2017-Sens!C2017</f>
        <v>1480</v>
      </c>
      <c r="E2019" s="29" t="n">
        <f aca="false">Sens!E2017-Sens!D2017</f>
        <v>2940</v>
      </c>
      <c r="F2019" s="29" t="n">
        <f aca="false">Sens!F2017-Sens!E2017</f>
        <v>4642.4</v>
      </c>
      <c r="G2019" s="29" t="n">
        <f aca="false">Sens!G2017-Sens!F2017</f>
        <v>5054.4</v>
      </c>
      <c r="H2019" s="29" t="n">
        <f aca="false">Sens!H2017-Sens!G2017</f>
        <v>5054.4</v>
      </c>
      <c r="I2019" s="29" t="n">
        <f aca="false">Sens!I2017-Sens!H2017</f>
        <v>3586.232</v>
      </c>
      <c r="J2019" s="29" t="n">
        <f aca="false">Sens!J2017-Sens!I2017</f>
        <v>2189.78864</v>
      </c>
      <c r="K2019" s="29" t="n">
        <f aca="false">Sens!K2017-Sens!J2017</f>
        <v>823.1766192</v>
      </c>
    </row>
    <row r="2020" customFormat="false" ht="17.15" hidden="false" customHeight="false" outlineLevel="0" collapsed="false">
      <c r="A2020" s="1" t="s">
        <v>820</v>
      </c>
      <c r="B2020" s="0" t="s">
        <v>399</v>
      </c>
      <c r="D2020" s="29" t="n">
        <f aca="false">Sens!D2014-Sens!C2014</f>
        <v>990</v>
      </c>
      <c r="E2020" s="29" t="n">
        <f aca="false">Sens!E2014-Sens!D2014</f>
        <v>1620</v>
      </c>
      <c r="F2020" s="29" t="n">
        <f aca="false">Sens!F2014-Sens!E2014</f>
        <v>2527.2</v>
      </c>
      <c r="G2020" s="29" t="n">
        <f aca="false">Sens!G2014-Sens!F2014</f>
        <v>2527.2</v>
      </c>
      <c r="H2020" s="29" t="n">
        <f aca="false">Sens!H2014-Sens!G2014</f>
        <v>2527.2</v>
      </c>
      <c r="I2020" s="29" t="n">
        <f aca="false">Sens!I2014-Sens!H2014</f>
        <v>1793.116</v>
      </c>
      <c r="J2020" s="29" t="n">
        <f aca="false">Sens!J2014-Sens!I2014</f>
        <v>1094.89432</v>
      </c>
      <c r="K2020" s="29" t="n">
        <f aca="false">Sens!K2014-Sens!J2014</f>
        <v>411.5883096</v>
      </c>
    </row>
    <row r="2021" customFormat="false" ht="17.15" hidden="false" customHeight="false" outlineLevel="0" collapsed="false">
      <c r="A2021" s="1" t="s">
        <v>821</v>
      </c>
      <c r="B2021" s="0" t="s">
        <v>399</v>
      </c>
      <c r="F2021" s="29" t="n">
        <f aca="false">Sens!F2038*ext_sh_lo</f>
        <v>0</v>
      </c>
      <c r="G2021" s="29" t="n">
        <f aca="false">Sens!G2038*ext_sh_lo</f>
        <v>0</v>
      </c>
      <c r="H2021" s="29" t="n">
        <f aca="false">Sens!H2038*ext_sh_lo</f>
        <v>0</v>
      </c>
      <c r="I2021" s="29" t="n">
        <f aca="false">Sens!I2038*ext_sh_lo</f>
        <v>490</v>
      </c>
      <c r="J2021" s="29" t="n">
        <f aca="false">Sens!J2038*ext_sh_lo</f>
        <v>740</v>
      </c>
      <c r="K2021" s="29" t="n">
        <f aca="false">Sens!K2038*ext_sh_lo</f>
        <v>1470</v>
      </c>
      <c r="L2021" s="1" t="s">
        <v>822</v>
      </c>
    </row>
    <row r="2022" customFormat="false" ht="17.15" hidden="false" customHeight="false" outlineLevel="0" collapsed="false">
      <c r="A2022" s="1" t="s">
        <v>823</v>
      </c>
      <c r="B2022" s="0" t="s">
        <v>399</v>
      </c>
      <c r="C2022" s="29" t="n">
        <f aca="false">mix_h*Sens!C2014</f>
        <v>128</v>
      </c>
      <c r="D2022" s="29" t="n">
        <f aca="false">mix_h*Sens!D2014</f>
        <v>326</v>
      </c>
      <c r="E2022" s="29" t="n">
        <f aca="false">mix_h*Sens!E2014</f>
        <v>650</v>
      </c>
      <c r="F2022" s="29" t="n">
        <f aca="false">Sens!E2022-Sens!F2021*mix_h</f>
        <v>650</v>
      </c>
      <c r="G2022" s="29" t="n">
        <f aca="false">Sens!F2022-Sens!G2021*mix_h</f>
        <v>650</v>
      </c>
      <c r="H2022" s="29" t="n">
        <f aca="false">Sens!G2022-Sens!H2021*mix_h</f>
        <v>650</v>
      </c>
      <c r="I2022" s="29" t="n">
        <f aca="false">Sens!H2022-Sens!I2021*mix_h</f>
        <v>552</v>
      </c>
      <c r="J2022" s="29" t="n">
        <f aca="false">Sens!I2022-Sens!J2021*mix_h</f>
        <v>404</v>
      </c>
      <c r="K2022" s="29" t="n">
        <f aca="false">Sens!J2022-Sens!K2021*mix_h</f>
        <v>110</v>
      </c>
    </row>
    <row r="2023" customFormat="false" ht="17.15" hidden="false" customHeight="false" outlineLevel="0" collapsed="false">
      <c r="A2023" s="1" t="s">
        <v>824</v>
      </c>
      <c r="B2023" s="0" t="s">
        <v>399</v>
      </c>
      <c r="C2023" s="29" t="n">
        <f aca="false">mix_g2*Sens!C2014</f>
        <v>288</v>
      </c>
      <c r="D2023" s="29" t="n">
        <f aca="false">mix_g2*Sens!D2014</f>
        <v>733.5</v>
      </c>
      <c r="E2023" s="29" t="n">
        <f aca="false">mix_g2*Sens!E2014</f>
        <v>1462.5</v>
      </c>
      <c r="F2023" s="29" t="n">
        <f aca="false">Sens!E2023-Sens!F2021*mix_g2</f>
        <v>1462.5</v>
      </c>
      <c r="G2023" s="29" t="n">
        <f aca="false">Sens!F2023-Sens!G2021*mix_g2</f>
        <v>1462.5</v>
      </c>
      <c r="H2023" s="29" t="n">
        <f aca="false">Sens!G2023-Sens!H2021*mix_g2</f>
        <v>1462.5</v>
      </c>
      <c r="I2023" s="29" t="n">
        <f aca="false">Sens!H2023-Sens!I2021*mix_g2</f>
        <v>1242</v>
      </c>
      <c r="J2023" s="29" t="n">
        <f aca="false">Sens!I2023-Sens!J2021*mix_g2</f>
        <v>909</v>
      </c>
      <c r="K2023" s="29" t="n">
        <f aca="false">Sens!J2023-Sens!K2021*mix_g2</f>
        <v>247.5</v>
      </c>
    </row>
    <row r="2024" customFormat="false" ht="17.15" hidden="false" customHeight="false" outlineLevel="0" collapsed="false">
      <c r="A2024" s="1" t="s">
        <v>825</v>
      </c>
      <c r="B2024" s="0" t="s">
        <v>399</v>
      </c>
      <c r="C2024" s="29" t="n">
        <f aca="false">mix_g3*Sens!C2014</f>
        <v>224</v>
      </c>
      <c r="D2024" s="29" t="n">
        <f aca="false">mix_g3*Sens!D2014</f>
        <v>570.5</v>
      </c>
      <c r="E2024" s="29" t="n">
        <f aca="false">mix_g3*Sens!E2014</f>
        <v>1137.5</v>
      </c>
      <c r="F2024" s="29" t="n">
        <f aca="false">Sens!E2024+(Sens!F2020+Sens!F2021)*a_g3_27-Sens!F2021*mix_g3</f>
        <v>2906.54</v>
      </c>
      <c r="G2024" s="29" t="n">
        <f aca="false">Sens!F2024+(Sens!G2020+Sens!G2021)*a_g3_28-Sens!G2021*mix_g3</f>
        <v>3664.7</v>
      </c>
      <c r="H2024" s="29" t="n">
        <f aca="false">Sens!G2024+(Sens!H2020+Sens!H2021)*a_g3_29-Sens!H2021*mix_g3</f>
        <v>3917.42</v>
      </c>
      <c r="I2024" s="29" t="n">
        <f aca="false">Sens!H2024+(Sens!I2020+Sens!I2021)*a_g3_29-Sens!I2021*mix_g3</f>
        <v>3974.2316</v>
      </c>
      <c r="J2024" s="29" t="n">
        <f aca="false">Sens!I2024+(Sens!J2020+Sens!J2021)*a_g3_29-Sens!J2021*mix_g3</f>
        <v>3898.721032</v>
      </c>
      <c r="K2024" s="29" t="n">
        <f aca="false">Sens!J2024+(Sens!K2020+Sens!K2021)*a_g3_29-Sens!K2021*mix_g3</f>
        <v>3572.37986296</v>
      </c>
    </row>
    <row r="2025" customFormat="false" ht="17.15" hidden="false" customHeight="false" outlineLevel="0" collapsed="false">
      <c r="A2025" s="1" t="s">
        <v>826</v>
      </c>
      <c r="B2025" s="0" t="s">
        <v>399</v>
      </c>
      <c r="C2025" s="29" t="n">
        <v>0</v>
      </c>
      <c r="D2025" s="29" t="n">
        <v>0</v>
      </c>
      <c r="E2025" s="29" t="n">
        <v>0</v>
      </c>
      <c r="F2025" s="29" t="n">
        <f aca="false">Sens!E2025+(Sens!F2020+Sens!F2021)*(1-a_g3_27)</f>
        <v>758.16</v>
      </c>
      <c r="G2025" s="29" t="n">
        <f aca="false">Sens!F2025+(Sens!G2020+Sens!G2021)*(1-a_g3_28)</f>
        <v>2527.2</v>
      </c>
      <c r="H2025" s="29" t="n">
        <f aca="false">Sens!G2025+(Sens!H2020+Sens!H2021)*(1-a_g3_29)</f>
        <v>4801.68</v>
      </c>
      <c r="I2025" s="29" t="n">
        <f aca="false">Sens!H2025+(Sens!I2020+Sens!I2021)*(1-a_g3_29)</f>
        <v>6856.4844</v>
      </c>
      <c r="J2025" s="29" t="n">
        <f aca="false">Sens!I2025+(Sens!J2020+Sens!J2021)*(1-a_g3_29)</f>
        <v>8507.889288</v>
      </c>
      <c r="K2025" s="29" t="n">
        <f aca="false">Sens!J2025+(Sens!K2020+Sens!K2021)*(1-a_g3_29)</f>
        <v>10201.31876664</v>
      </c>
    </row>
    <row r="2026" customFormat="false" ht="17.15" hidden="false" customHeight="false" outlineLevel="0" collapsed="false">
      <c r="A2026" s="1" t="s">
        <v>827</v>
      </c>
      <c r="B2026" s="0" t="s">
        <v>346</v>
      </c>
      <c r="C2026" s="14" t="n">
        <f aca="false">(Sens!C2022*tk_hold_h100+Sens!C2023*tk_hold_gb200+Sens!C2024*tk_hold_gb300+Sens!C2025*tk_hold_vr200)/Sens!C2014</f>
        <v>9.7235358126469</v>
      </c>
      <c r="D2026" s="14" t="n">
        <f aca="false">(Sens!D2022*tk_hold_h100+Sens!D2023*tk_hold_gb200+Sens!D2024*tk_hold_gb300+Sens!D2025*tk_hold_vr200)/Sens!D2014</f>
        <v>9.7235358126469</v>
      </c>
      <c r="E2026" s="14" t="n">
        <f aca="false">(Sens!E2022*tk_hold_h100+Sens!E2023*tk_hold_gb200+Sens!E2024*tk_hold_gb300+Sens!E2025*tk_hold_vr200)/Sens!E2014</f>
        <v>9.7235358126469</v>
      </c>
      <c r="F2026" s="14" t="n">
        <f aca="false">(Sens!F2022*tk_hold_h100+Sens!F2023*tk_hold_gb200+Sens!F2024*tk_hold_gb300+Sens!F2025*tk_hold_vr200)/Sens!F2014</f>
        <v>10.4079573161931</v>
      </c>
      <c r="G2026" s="14" t="n">
        <f aca="false">(Sens!G2022*tk_hold_h100+Sens!G2023*tk_hold_gb200+Sens!G2024*tk_hold_gb300+Sens!G2025*tk_hold_vr200)/Sens!G2014</f>
        <v>10.8388131109316</v>
      </c>
      <c r="H2026" s="14" t="n">
        <f aca="false">(Sens!H2022*tk_hold_h100+Sens!H2023*tk_hold_gb200+Sens!H2024*tk_hold_gb300+Sens!H2025*tk_hold_vr200)/Sens!H2014</f>
        <v>11.1311018388216</v>
      </c>
      <c r="I2026" s="14" t="n">
        <f aca="false">(Sens!I2022*tk_hold_h100+Sens!I2023*tk_hold_gb200+Sens!I2024*tk_hold_gb300+Sens!I2025*tk_hold_vr200)/Sens!I2014</f>
        <v>11.3594282560989</v>
      </c>
      <c r="J2026" s="14" t="n">
        <f aca="false">(Sens!J2022*tk_hold_h100+Sens!J2023*tk_hold_gb200+Sens!J2024*tk_hold_gb300+Sens!J2025*tk_hold_vr200)/Sens!J2014</f>
        <v>11.5455817917599</v>
      </c>
      <c r="K2026" s="14" t="n">
        <f aca="false">(Sens!K2022*tk_hold_h100+Sens!K2023*tk_hold_gb200+Sens!K2024*tk_hold_gb300+Sens!K2025*tk_hold_vr200)/Sens!K2014</f>
        <v>11.8078187977246</v>
      </c>
    </row>
    <row r="2027" customFormat="false" ht="17.15" hidden="false" customHeight="false" outlineLevel="0" collapsed="false">
      <c r="A2027" s="0" t="s">
        <v>828</v>
      </c>
      <c r="B2027" s="0" t="s">
        <v>185</v>
      </c>
      <c r="C2027" s="14" t="n">
        <f aca="false">k_B</f>
        <v>1.17213932619116</v>
      </c>
      <c r="D2027" s="14" t="n">
        <f aca="false">k_B</f>
        <v>1.17213932619116</v>
      </c>
      <c r="E2027" s="14" t="n">
        <f aca="false">k_B</f>
        <v>1.17213932619116</v>
      </c>
      <c r="F2027" s="14" t="n">
        <f aca="false">(k_B+((ls_B*k_long+(1-ls_B)*k_spot)-k_B)*MIN(1,(Sens!F2012-base_fy)/k_ramp))</f>
        <v>1.17213932619116</v>
      </c>
      <c r="G2027" s="14" t="n">
        <f aca="false">(k_B+((ls_B*k_long+(1-ls_B)*k_spot)-k_B)*MIN(1,(Sens!G2012-base_fy)/k_ramp))</f>
        <v>1.17213932619116</v>
      </c>
      <c r="H2027" s="14" t="n">
        <f aca="false">(k_B+((ls_B*k_long+(1-ls_B)*k_spot)-k_B)*MIN(1,(Sens!H2012-base_fy)/k_ramp))</f>
        <v>1.17213932619116</v>
      </c>
      <c r="I2027" s="14" t="n">
        <f aca="false">(k_B+((ls_B*k_long+(1-ls_B)*k_spot)-k_B)*MIN(1,(Sens!I2012-base_fy)/k_ramp))</f>
        <v>1.17213932619116</v>
      </c>
      <c r="J2027" s="14" t="n">
        <f aca="false">(k_B+((ls_B*k_long+(1-ls_B)*k_spot)-k_B)*MIN(1,(Sens!J2012-base_fy)/k_ramp))</f>
        <v>1.17213932619116</v>
      </c>
      <c r="K2027" s="14" t="n">
        <f aca="false">(k_B+((ls_B*k_long+(1-ls_B)*k_spot)-k_B)*MIN(1,(Sens!K2012-base_fy)/k_ramp))</f>
        <v>1.17213932619116</v>
      </c>
      <c r="L2027" s="1" t="s">
        <v>829</v>
      </c>
    </row>
    <row r="2028" customFormat="false" ht="17.15" hidden="false" customHeight="false" outlineLevel="0" collapsed="false">
      <c r="A2028" s="1" t="s">
        <v>830</v>
      </c>
      <c r="B2028" s="0" t="s">
        <v>346</v>
      </c>
      <c r="C2028" s="14" t="n">
        <f aca="false">Sens!C2026*Sens!C2027*chip_f</f>
        <v>11.3973387156315</v>
      </c>
      <c r="D2028" s="14" t="n">
        <f aca="false">Sens!D2026*Sens!D2027*chip_f</f>
        <v>11.3973387156315</v>
      </c>
      <c r="E2028" s="14" t="n">
        <f aca="false">Sens!E2026*Sens!E2027*chip_f</f>
        <v>11.3973387156315</v>
      </c>
      <c r="F2028" s="14" t="n">
        <f aca="false">Sens!F2026*Sens!F2027*chip_f</f>
        <v>12.1995760756289</v>
      </c>
      <c r="G2028" s="14" t="n">
        <f aca="false">Sens!G2026*Sens!G2027*chip_f</f>
        <v>12.7045990965592</v>
      </c>
      <c r="H2028" s="14" t="n">
        <f aca="false">Sens!H2026*Sens!H2027*chip_f</f>
        <v>13.0472022091214</v>
      </c>
      <c r="I2028" s="14" t="n">
        <f aca="false">Sens!I2026*Sens!I2027*chip_f</f>
        <v>13.3148325820205</v>
      </c>
      <c r="J2028" s="14" t="n">
        <f aca="false">Sens!J2026*Sens!J2027*chip_f</f>
        <v>13.5330304618783</v>
      </c>
      <c r="K2028" s="14" t="n">
        <f aca="false">Sens!K2026*Sens!K2027*chip_f</f>
        <v>13.8404087693522</v>
      </c>
      <c r="L2028" s="1" t="s">
        <v>831</v>
      </c>
    </row>
    <row r="2029" customFormat="false" ht="17.15" hidden="false" customHeight="false" outlineLevel="0" collapsed="false">
      <c r="A2029" s="0" t="s">
        <v>832</v>
      </c>
      <c r="B2029" s="0" t="s">
        <v>98</v>
      </c>
      <c r="D2029" s="6" t="n">
        <f aca="false">(Sens!C2014+Sens!D2014)/2*Sens!D2028/1000</f>
        <v>12.9359794422418</v>
      </c>
      <c r="E2029" s="6" t="n">
        <f aca="false">(Sens!D2014+Sens!E2014)/2*Sens!E2028/1000</f>
        <v>27.8095064661409</v>
      </c>
      <c r="F2029" s="6" t="n">
        <f aca="false">(Sens!E2014+Sens!F2014)/2*Sens!F2028/1000</f>
        <v>55.0640065749585</v>
      </c>
      <c r="G2029" s="6" t="n">
        <f aca="false">(Sens!F2014+Sens!G2014)/2*Sens!G2028/1000</f>
        <v>89.4505413190538</v>
      </c>
      <c r="H2029" s="6" t="n">
        <f aca="false">(Sens!G2014+Sens!H2014)/2*Sens!H2028/1000</f>
        <v>124.835630736874</v>
      </c>
      <c r="I2029" s="6" t="n">
        <f aca="false">(Sens!H2014+Sens!I2014)/2*Sens!I2028/1000</f>
        <v>156.158460265485</v>
      </c>
      <c r="J2029" s="6" t="n">
        <f aca="false">(Sens!I2014+Sens!J2014)/2*Sens!J2028/1000</f>
        <v>178.259285293112</v>
      </c>
      <c r="K2029" s="6" t="n">
        <f aca="false">(Sens!J2014+Sens!K2014)/2*Sens!K2028/1000</f>
        <v>192.733290209798</v>
      </c>
      <c r="L2029" s="11" t="s">
        <v>833</v>
      </c>
    </row>
    <row r="2030" customFormat="false" ht="17.15" hidden="false" customHeight="false" outlineLevel="0" collapsed="false">
      <c r="A2030" s="1" t="s">
        <v>834</v>
      </c>
      <c r="B2030" s="0" t="s">
        <v>346</v>
      </c>
      <c r="C2030" s="14" t="n">
        <f aca="false">(Sens!C2022*tk_opex_h100+Sens!C2023*tk_opex_gb200+Sens!C2024*tk_opex_gb300+Sens!C2025*tk_opex_vr200)/Sens!C2014</f>
        <v>1.88636041306092</v>
      </c>
      <c r="D2030" s="14" t="n">
        <f aca="false">(Sens!D2022*tk_opex_h100+Sens!D2023*tk_opex_gb200+Sens!D2024*tk_opex_gb300+Sens!D2025*tk_opex_vr200)/Sens!D2014</f>
        <v>1.88636041306092</v>
      </c>
      <c r="E2030" s="14" t="n">
        <f aca="false">(Sens!E2022*tk_opex_h100+Sens!E2023*tk_opex_gb200+Sens!E2024*tk_opex_gb300+Sens!E2025*tk_opex_vr200)/Sens!E2014</f>
        <v>1.88636041306092</v>
      </c>
      <c r="F2030" s="14" t="n">
        <f aca="false">(Sens!F2022*tk_opex_h100+Sens!F2023*tk_opex_gb200+Sens!F2024*tk_opex_gb300+Sens!F2025*tk_opex_vr200)/Sens!F2014</f>
        <v>1.9430236476499</v>
      </c>
      <c r="G2030" s="14" t="n">
        <f aca="false">(Sens!G2022*tk_opex_h100+Sens!G2023*tk_opex_gb200+Sens!G2024*tk_opex_gb300+Sens!G2025*tk_opex_vr200)/Sens!G2014</f>
        <v>1.9786941852423</v>
      </c>
      <c r="H2030" s="14" t="n">
        <f aca="false">(Sens!H2022*tk_opex_h100+Sens!H2023*tk_opex_gb200+Sens!H2024*tk_opex_gb300+Sens!H2025*tk_opex_vr200)/Sens!H2014</f>
        <v>2.00289275976156</v>
      </c>
      <c r="I2030" s="14" t="n">
        <f aca="false">(Sens!I2022*tk_opex_h100+Sens!I2023*tk_opex_gb200+Sens!I2024*tk_opex_gb300+Sens!I2025*tk_opex_vr200)/Sens!I2014</f>
        <v>2.02179589661219</v>
      </c>
      <c r="J2030" s="14" t="n">
        <f aca="false">(Sens!J2022*tk_opex_h100+Sens!J2023*tk_opex_gb200+Sens!J2024*tk_opex_gb300+Sens!J2025*tk_opex_vr200)/Sens!J2014</f>
        <v>2.03720754193029</v>
      </c>
      <c r="K2030" s="14" t="n">
        <f aca="false">(Sens!K2022*tk_opex_h100+Sens!K2023*tk_opex_gb200+Sens!K2024*tk_opex_gb300+Sens!K2025*tk_opex_vr200)/Sens!K2014</f>
        <v>2.0589181353437</v>
      </c>
    </row>
    <row r="2031" customFormat="false" ht="17.15" hidden="false" customHeight="false" outlineLevel="0" collapsed="false">
      <c r="A2031" s="0" t="s">
        <v>835</v>
      </c>
      <c r="B2031" s="0" t="s">
        <v>98</v>
      </c>
      <c r="D2031" s="6" t="n">
        <f aca="false">(Sens!C2017+Sens!D2017)/2*Sens!D2030/1000</f>
        <v>3.24453991046478</v>
      </c>
      <c r="E2031" s="6" t="n">
        <f aca="false">(Sens!D2017+Sens!E2017)/2*Sens!E2030/1000</f>
        <v>7.41339642332941</v>
      </c>
      <c r="F2031" s="6" t="n">
        <f aca="false">(Sens!E2017+Sens!F2017)/2*Sens!F2030/1000</f>
        <v>15.0024741882344</v>
      </c>
      <c r="G2031" s="6" t="n">
        <f aca="false">(Sens!F2017+Sens!G2017)/2*Sens!G2030/1000</f>
        <v>24.8713944308216</v>
      </c>
      <c r="H2031" s="6" t="n">
        <f aca="false">(Sens!G2017+Sens!H2017)/2*Sens!H2030/1000</f>
        <v>35.2989819980378</v>
      </c>
      <c r="I2031" s="6" t="n">
        <f aca="false">(Sens!H2017+Sens!I2017)/2*Sens!I2030/1000</f>
        <v>44.3669280427613</v>
      </c>
      <c r="J2031" s="6" t="n">
        <f aca="false">(Sens!I2017+Sens!J2017)/2*Sens!J2030/1000</f>
        <v>50.588602462778</v>
      </c>
      <c r="K2031" s="6" t="n">
        <f aca="false">(Sens!J2017+Sens!K2017)/2*Sens!K2030/1000</f>
        <v>54.2294514096844</v>
      </c>
    </row>
    <row r="2032" customFormat="false" ht="17.15" hidden="false" customHeight="false" outlineLevel="0" collapsed="false">
      <c r="A2032" s="0" t="s">
        <v>836</v>
      </c>
      <c r="B2032" s="0" t="s">
        <v>98</v>
      </c>
      <c r="D2032" s="6" t="n">
        <f aca="false">(Sens!C2015+Sens!D2015)/2*rent_mw/1000</f>
        <v>2.44475</v>
      </c>
      <c r="E2032" s="6" t="n">
        <f aca="false">(Sens!D2015+Sens!E2015)/2*rent_mw/1000</f>
        <v>4.22275</v>
      </c>
      <c r="F2032" s="6" t="n">
        <f aca="false">(Sens!E2015+Sens!F2015)/2*rent_mw/1000</f>
        <v>5.80517</v>
      </c>
      <c r="G2032" s="6" t="n">
        <f aca="false">(Sens!F2015+Sens!G2015)/2*rent_mw/1000</f>
        <v>6.72084</v>
      </c>
      <c r="H2032" s="6" t="n">
        <f aca="false">(Sens!G2015+Sens!H2015)/2*rent_mw/1000</f>
        <v>6.72084</v>
      </c>
      <c r="I2032" s="6" t="n">
        <f aca="false">(Sens!H2015+Sens!I2015)/2*rent_mw/1000</f>
        <v>6.72084</v>
      </c>
      <c r="J2032" s="6" t="n">
        <f aca="false">(Sens!I2015+Sens!J2015)/2*rent_mw/1000</f>
        <v>6.72084</v>
      </c>
      <c r="K2032" s="6" t="n">
        <f aca="false">(Sens!J2015+Sens!K2015)/2*rent_mw/1000</f>
        <v>6.72084</v>
      </c>
    </row>
    <row r="2033" customFormat="false" ht="17.15" hidden="false" customHeight="false" outlineLevel="0" collapsed="false">
      <c r="A2033" s="0" t="s">
        <v>837</v>
      </c>
      <c r="B2033" s="0" t="s">
        <v>98</v>
      </c>
      <c r="D2033" s="6" t="n">
        <f aca="false">(Sens!C2017+Sens!D2017)/2*(1-self_build)*fac_rent/1000</f>
        <v>1.02389085075729</v>
      </c>
      <c r="E2033" s="6" t="n">
        <f aca="false">(Sens!D2017+Sens!E2017)/2*(1-self_build)*fac_rent/1000</f>
        <v>2.33947153690474</v>
      </c>
      <c r="F2033" s="6" t="n">
        <f aca="false">(Sens!E2017+Sens!F2017)/2*(1-self_build)*fac_rent/1000</f>
        <v>4.59631746329488</v>
      </c>
      <c r="G2033" s="6" t="n">
        <f aca="false">(Sens!F2017+Sens!G2017)/2*(1-self_build)*fac_rent/1000</f>
        <v>7.48249909167374</v>
      </c>
      <c r="H2033" s="6" t="n">
        <f aca="false">(Sens!G2017+Sens!H2017)/2*(1-self_build)*fac_rent/1000</f>
        <v>10.4913095079921</v>
      </c>
      <c r="I2033" s="6" t="n">
        <f aca="false">(Sens!H2017+Sens!I2017)/2*(1-self_build)*fac_rent/1000</f>
        <v>13.0631304526319</v>
      </c>
      <c r="J2033" s="6" t="n">
        <f aca="false">(Sens!I2017+Sens!J2017)/2*(1-self_build)*fac_rent/1000</f>
        <v>14.7823207686439</v>
      </c>
      <c r="K2033" s="6" t="n">
        <f aca="false">(Sens!J2017+Sens!K2017)/2*(1-self_build)*fac_rent/1000</f>
        <v>15.6791078507789</v>
      </c>
      <c r="L2033" s="11" t="s">
        <v>838</v>
      </c>
    </row>
    <row r="2034" customFormat="false" ht="17.15" hidden="false" customHeight="false" outlineLevel="0" collapsed="false">
      <c r="A2034" s="1" t="s">
        <v>839</v>
      </c>
      <c r="B2034" s="0" t="s">
        <v>129</v>
      </c>
      <c r="D2034" s="7" t="n">
        <f aca="false">(Sens!C2016+Sens!D2016)/(Sens!C2017+Sens!D2017)</f>
        <v>0.5</v>
      </c>
      <c r="E2034" s="7" t="n">
        <f aca="false">(Sens!D2016+Sens!E2016)/(Sens!D2017+Sens!E2017)</f>
        <v>0.5</v>
      </c>
      <c r="F2034" s="7" t="n">
        <f aca="false">(Sens!E2016+Sens!F2016)/(Sens!E2017+Sens!F2017)</f>
        <v>0.5</v>
      </c>
      <c r="G2034" s="7" t="n">
        <f aca="false">(Sens!F2016+Sens!G2016)/(Sens!F2017+Sens!G2017)</f>
        <v>0.5</v>
      </c>
      <c r="H2034" s="7" t="n">
        <f aca="false">(Sens!G2016+Sens!H2016)/(Sens!G2017+Sens!H2017)</f>
        <v>0.5</v>
      </c>
      <c r="I2034" s="7" t="n">
        <f aca="false">(Sens!H2016+Sens!I2016)/(Sens!H2017+Sens!I2017)</f>
        <v>0.5</v>
      </c>
      <c r="J2034" s="7" t="n">
        <f aca="false">(Sens!I2016+Sens!J2016)/(Sens!I2017+Sens!J2017)</f>
        <v>0.5</v>
      </c>
      <c r="K2034" s="7" t="n">
        <f aca="false">(Sens!J2016+Sens!K2016)/(Sens!J2017+Sens!K2017)</f>
        <v>0.5</v>
      </c>
    </row>
    <row r="2035" customFormat="false" ht="17.15" hidden="false" customHeight="false" outlineLevel="0" collapsed="false">
      <c r="A2035" s="0" t="s">
        <v>840</v>
      </c>
      <c r="B2035" s="0" t="s">
        <v>98</v>
      </c>
      <c r="D2035" s="6" t="n">
        <f aca="false">Sens!D2029-Sens!D2034*(Sens!D2031+Sens!D2033)-Sens!D2032</f>
        <v>8.35701406163072</v>
      </c>
      <c r="E2035" s="6" t="n">
        <f aca="false">Sens!E2029-Sens!E2034*(Sens!E2031+Sens!E2033)-Sens!E2032</f>
        <v>18.7103224860238</v>
      </c>
      <c r="F2035" s="6" t="n">
        <f aca="false">Sens!F2029-Sens!F2034*(Sens!F2031+Sens!F2033)-Sens!F2032</f>
        <v>39.4594407491938</v>
      </c>
      <c r="G2035" s="6" t="n">
        <f aca="false">Sens!G2029-Sens!G2034*(Sens!G2031+Sens!G2033)-Sens!G2032</f>
        <v>66.5527545578061</v>
      </c>
      <c r="H2035" s="6" t="n">
        <f aca="false">Sens!H2029-Sens!H2034*(Sens!H2031+Sens!H2033)-Sens!H2032</f>
        <v>95.219644983859</v>
      </c>
      <c r="I2035" s="6" t="n">
        <f aca="false">Sens!I2029-Sens!I2034*(Sens!I2031+Sens!I2033)-Sens!I2032</f>
        <v>120.722591017788</v>
      </c>
      <c r="J2035" s="6" t="n">
        <f aca="false">Sens!J2029-Sens!J2034*(Sens!J2031+Sens!J2033)-Sens!J2032</f>
        <v>138.852983677401</v>
      </c>
      <c r="K2035" s="6" t="n">
        <f aca="false">Sens!K2029-Sens!K2034*(Sens!K2031+Sens!K2033)-Sens!K2032</f>
        <v>151.058170579566</v>
      </c>
    </row>
    <row r="2036" customFormat="false" ht="17.15" hidden="false" customHeight="false" outlineLevel="0" collapsed="false">
      <c r="A2036" s="1" t="s">
        <v>841</v>
      </c>
      <c r="B2036" s="0" t="s">
        <v>98</v>
      </c>
      <c r="D2036" s="6" t="n">
        <f aca="false">(1-Sens!D2034)*(Sens!D2031+Sens!D2033)</f>
        <v>2.13421538061103</v>
      </c>
      <c r="E2036" s="6" t="n">
        <f aca="false">(1-Sens!E2034)*(Sens!E2031+Sens!E2033)</f>
        <v>4.87643398011707</v>
      </c>
      <c r="F2036" s="6" t="n">
        <f aca="false">(1-Sens!F2034)*(Sens!F2031+Sens!F2033)</f>
        <v>9.79939582576465</v>
      </c>
      <c r="G2036" s="6" t="n">
        <f aca="false">(1-Sens!G2034)*(Sens!G2031+Sens!G2033)</f>
        <v>16.1769467612477</v>
      </c>
      <c r="H2036" s="6" t="n">
        <f aca="false">(1-Sens!H2034)*(Sens!H2031+Sens!H2033)</f>
        <v>22.895145753015</v>
      </c>
      <c r="I2036" s="6" t="n">
        <f aca="false">(1-Sens!I2034)*(Sens!I2031+Sens!I2033)</f>
        <v>28.7150292476966</v>
      </c>
      <c r="J2036" s="6" t="n">
        <f aca="false">(1-Sens!J2034)*(Sens!J2031+Sens!J2033)</f>
        <v>32.6854616157109</v>
      </c>
      <c r="K2036" s="6" t="n">
        <f aca="false">(1-Sens!K2034)*(Sens!K2031+Sens!K2033)</f>
        <v>34.9542796302317</v>
      </c>
    </row>
    <row r="2037" customFormat="false" ht="17.15" hidden="false" customHeight="false" outlineLevel="0" collapsed="false">
      <c r="A2037" s="1" t="s">
        <v>842</v>
      </c>
      <c r="B2037" s="0" t="s">
        <v>357</v>
      </c>
      <c r="C2037" s="8" t="n">
        <f aca="false">cxit_open</f>
        <v>27.5918995</v>
      </c>
      <c r="D2037" s="8" t="n">
        <f aca="false">cxit_open</f>
        <v>27.5918995</v>
      </c>
      <c r="E2037" s="8" t="n">
        <f aca="false">cxit_open</f>
        <v>27.5918995</v>
      </c>
      <c r="F2037" s="8" t="n">
        <f aca="false">(a_g3_27*tk_cxit_gb300+(1-a_g3_27)*tk_cxit_vr200)</f>
        <v>33.8419624</v>
      </c>
      <c r="G2037" s="8" t="n">
        <f aca="false">(a_g3_28*tk_cxit_gb300+(1-a_g3_28)*tk_cxit_vr200)</f>
        <v>35.9816136</v>
      </c>
      <c r="H2037" s="8" t="n">
        <f aca="false">(a_g3_29*tk_cxit_gb300+(1-a_g3_29)*tk_cxit_vr200)</f>
        <v>37.0514392</v>
      </c>
      <c r="I2037" s="8" t="n">
        <f aca="false">(a_g3_29*tk_cxit_gb300+(1-a_g3_29)*tk_cxit_vr200)</f>
        <v>37.0514392</v>
      </c>
      <c r="J2037" s="8" t="n">
        <f aca="false">(a_g3_29*tk_cxit_gb300+(1-a_g3_29)*tk_cxit_vr200)</f>
        <v>37.0514392</v>
      </c>
      <c r="K2037" s="8" t="n">
        <f aca="false">(a_g3_29*tk_cxit_gb300+(1-a_g3_29)*tk_cxit_vr200)</f>
        <v>37.0514392</v>
      </c>
      <c r="L2037" s="11" t="s">
        <v>843</v>
      </c>
    </row>
    <row r="2038" customFormat="false" ht="17.15" hidden="false" customHeight="false" outlineLevel="0" collapsed="false">
      <c r="A2038" s="0" t="s">
        <v>844</v>
      </c>
      <c r="B2038" s="0" t="s">
        <v>399</v>
      </c>
      <c r="F2038" s="29" t="n">
        <f aca="false">Sens!C2019*IF(Sens!F2012-Sens!C2012=life_it,1,0)+Sens!D2019*IF(Sens!F2012-Sens!D2012=life_it,1,0)+Sens!E2019*IF(Sens!F2012-Sens!E2012=life_it,1,0)</f>
        <v>0</v>
      </c>
      <c r="G2038" s="29" t="n">
        <f aca="false">Sens!C2019*IF(Sens!G2012-Sens!C2012=life_it,1,0)+Sens!D2019*IF(Sens!G2012-Sens!D2012=life_it,1,0)+Sens!E2019*IF(Sens!G2012-Sens!E2012=life_it,1,0)+Sens!F2019*IF(Sens!G2012-Sens!F2012=life_it,1,0)</f>
        <v>0</v>
      </c>
      <c r="H2038" s="29" t="n">
        <f aca="false">Sens!C2019*IF(Sens!H2012-Sens!C2012=life_it,1,0)+Sens!D2019*IF(Sens!H2012-Sens!D2012=life_it,1,0)+Sens!E2019*IF(Sens!H2012-Sens!E2012=life_it,1,0)+Sens!F2019*IF(Sens!H2012-Sens!F2012=life_it,1,0)+Sens!G2019*IF(Sens!H2012-Sens!G2012=life_it,1,0)</f>
        <v>0</v>
      </c>
      <c r="I2038" s="29" t="n">
        <f aca="false">Sens!C2019*IF(Sens!I2012-Sens!C2012=life_it,1,0)+Sens!D2019*IF(Sens!I2012-Sens!D2012=life_it,1,0)+Sens!E2019*IF(Sens!I2012-Sens!E2012=life_it,1,0)+Sens!F2019*IF(Sens!I2012-Sens!F2012=life_it,1,0)+Sens!G2019*IF(Sens!I2012-Sens!G2012=life_it,1,0)+Sens!H2019*IF(Sens!I2012-Sens!H2012=life_it,1,0)</f>
        <v>980</v>
      </c>
      <c r="J2038" s="29" t="n">
        <f aca="false">Sens!C2019*IF(Sens!J2012-Sens!C2012=life_it,1,0)+Sens!D2019*IF(Sens!J2012-Sens!D2012=life_it,1,0)+Sens!E2019*IF(Sens!J2012-Sens!E2012=life_it,1,0)+Sens!F2019*IF(Sens!J2012-Sens!F2012=life_it,1,0)+Sens!G2019*IF(Sens!J2012-Sens!G2012=life_it,1,0)+Sens!H2019*IF(Sens!J2012-Sens!H2012=life_it,1,0)+Sens!I2019*IF(Sens!J2012-Sens!I2012=life_it,1,0)</f>
        <v>1480</v>
      </c>
      <c r="K2038" s="29" t="n">
        <f aca="false">Sens!C2019*IF(Sens!K2012-Sens!C2012=life_it,1,0)+Sens!D2019*IF(Sens!K2012-Sens!D2012=life_it,1,0)+Sens!E2019*IF(Sens!K2012-Sens!E2012=life_it,1,0)+Sens!F2019*IF(Sens!K2012-Sens!F2012=life_it,1,0)+Sens!G2019*IF(Sens!K2012-Sens!G2012=life_it,1,0)+Sens!H2019*IF(Sens!K2012-Sens!H2012=life_it,1,0)+Sens!I2019*IF(Sens!K2012-Sens!I2012=life_it,1,0)+Sens!J2019*IF(Sens!K2012-Sens!J2012=life_it,1,0)</f>
        <v>2940</v>
      </c>
      <c r="L2038" s="1" t="s">
        <v>845</v>
      </c>
    </row>
    <row r="2039" customFormat="false" ht="17.15" hidden="false" customHeight="false" outlineLevel="0" collapsed="false">
      <c r="A2039" s="0" t="s">
        <v>846</v>
      </c>
      <c r="B2039" s="0" t="s">
        <v>98</v>
      </c>
      <c r="C2039" s="6" t="n">
        <f aca="false">Sens!C2019*Sens!C2037/1000</f>
        <v>27.04006151</v>
      </c>
      <c r="D2039" s="6" t="n">
        <f aca="false">Sens!D2019*Sens!D2037/1000</f>
        <v>40.83601126</v>
      </c>
      <c r="E2039" s="6" t="n">
        <f aca="false">Sens!E2019*Sens!E2037/1000</f>
        <v>81.12018453</v>
      </c>
      <c r="F2039" s="6" t="n">
        <f aca="false">(Sens!F2019+Sens!F2038)*Sens!F2037/1000</f>
        <v>157.10792624576</v>
      </c>
      <c r="G2039" s="6" t="n">
        <f aca="false">(Sens!G2019+Sens!G2038)*Sens!G2037/1000</f>
        <v>181.86546777984</v>
      </c>
      <c r="H2039" s="6" t="n">
        <f aca="false">(Sens!H2019+Sens!H2038)*Sens!H2037/1000</f>
        <v>187.27279429248</v>
      </c>
      <c r="I2039" s="6" t="n">
        <f aca="false">(Sens!I2019+Sens!I2038)*Sens!I2037/1000</f>
        <v>169.185467321094</v>
      </c>
      <c r="J2039" s="6" t="n">
        <f aca="false">(Sens!J2019+Sens!J2038)*Sens!J2037/1000</f>
        <v>135.970950671811</v>
      </c>
      <c r="K2039" s="6" t="n">
        <f aca="false">(Sens!K2019+Sens!K2038)*Sens!K2037/1000</f>
        <v>139.43110970515</v>
      </c>
    </row>
    <row r="2040" customFormat="false" ht="17.15" hidden="false" customHeight="false" outlineLevel="0" collapsed="false">
      <c r="A2040" s="0" t="s">
        <v>847</v>
      </c>
      <c r="B2040" s="0" t="s">
        <v>98</v>
      </c>
      <c r="C2040" s="6" t="n">
        <f aca="false">Sens!C2019*self_build*tk_cxfac/1000</f>
        <v>7.44996</v>
      </c>
      <c r="D2040" s="6" t="n">
        <f aca="false">Sens!D2019*self_build*tk_cxfac/1000</f>
        <v>11.25096</v>
      </c>
      <c r="E2040" s="6" t="n">
        <f aca="false">Sens!E2019*self_build*tk_cxfac/1000</f>
        <v>22.34988</v>
      </c>
      <c r="F2040" s="6" t="n">
        <f aca="false">Sens!F2019*self_build*tk_cxfac/1000</f>
        <v>35.2915248</v>
      </c>
      <c r="G2040" s="6" t="n">
        <f aca="false">Sens!G2019*self_build*tk_cxfac/1000</f>
        <v>38.4235488</v>
      </c>
      <c r="H2040" s="6" t="n">
        <f aca="false">Sens!H2019*self_build*tk_cxfac/1000</f>
        <v>38.4235488</v>
      </c>
      <c r="I2040" s="6" t="n">
        <f aca="false">Sens!I2019*self_build*tk_cxfac/1000</f>
        <v>27.262535664</v>
      </c>
      <c r="J2040" s="6" t="n">
        <f aca="false">Sens!J2019*self_build*tk_cxfac/1000</f>
        <v>16.64677324128</v>
      </c>
      <c r="K2040" s="6" t="n">
        <f aca="false">Sens!K2019*self_build*tk_cxfac/1000</f>
        <v>6.2577886591584</v>
      </c>
    </row>
    <row r="2041" customFormat="false" ht="17.15" hidden="false" customHeight="false" outlineLevel="0" collapsed="false">
      <c r="A2041" s="0" t="s">
        <v>848</v>
      </c>
      <c r="B2041" s="0" t="s">
        <v>98</v>
      </c>
      <c r="F2041" s="6" t="n">
        <f aca="false">MAX(0,capex_floor27-Sens!F2039-Sens!F2040-Sens!F2135)</f>
        <v>0</v>
      </c>
    </row>
    <row r="2042" customFormat="false" ht="17.15" hidden="false" customHeight="false" outlineLevel="0" collapsed="false">
      <c r="A2042" s="0" t="s">
        <v>849</v>
      </c>
      <c r="B2042" s="0" t="s">
        <v>98</v>
      </c>
      <c r="C2042" s="6" t="n">
        <f aca="false">Sens!C2039</f>
        <v>27.04006151</v>
      </c>
      <c r="D2042" s="6" t="n">
        <f aca="false">Sens!D2039</f>
        <v>40.83601126</v>
      </c>
      <c r="E2042" s="6" t="n">
        <f aca="false">Sens!E2039</f>
        <v>81.12018453</v>
      </c>
      <c r="F2042" s="6" t="n">
        <f aca="false">Sens!F2039</f>
        <v>157.10792624576</v>
      </c>
      <c r="G2042" s="6" t="n">
        <f aca="false">Sens!G2039</f>
        <v>181.86546777984</v>
      </c>
      <c r="H2042" s="6" t="n">
        <f aca="false">Sens!H2039</f>
        <v>187.27279429248</v>
      </c>
      <c r="I2042" s="6" t="n">
        <f aca="false">Sens!I2039</f>
        <v>169.185467321094</v>
      </c>
      <c r="J2042" s="6" t="n">
        <f aca="false">Sens!J2039</f>
        <v>135.970950671811</v>
      </c>
      <c r="K2042" s="6" t="n">
        <f aca="false">Sens!K2039</f>
        <v>139.43110970515</v>
      </c>
    </row>
    <row r="2043" customFormat="false" ht="17.15" hidden="false" customHeight="false" outlineLevel="0" collapsed="false">
      <c r="A2043" s="0" t="s">
        <v>850</v>
      </c>
      <c r="B2043" s="0" t="s">
        <v>98</v>
      </c>
      <c r="C2043" s="6" t="n">
        <f aca="false">Sens!C2042+Sens!C2040</f>
        <v>34.49002151</v>
      </c>
      <c r="D2043" s="6" t="n">
        <f aca="false">Sens!D2042+Sens!D2040</f>
        <v>52.08697126</v>
      </c>
      <c r="E2043" s="6" t="n">
        <f aca="false">Sens!E2042+Sens!E2040</f>
        <v>103.47006453</v>
      </c>
      <c r="F2043" s="6" t="n">
        <f aca="false">Sens!F2042+Sens!F2040</f>
        <v>192.39945104576</v>
      </c>
      <c r="G2043" s="6" t="n">
        <f aca="false">Sens!G2042+Sens!G2040</f>
        <v>220.28901657984</v>
      </c>
      <c r="H2043" s="6" t="n">
        <f aca="false">Sens!H2042+Sens!H2040</f>
        <v>225.69634309248</v>
      </c>
      <c r="I2043" s="6" t="n">
        <f aca="false">Sens!I2042+Sens!I2040</f>
        <v>196.448002985094</v>
      </c>
      <c r="J2043" s="6" t="n">
        <f aca="false">Sens!J2042+Sens!J2040</f>
        <v>152.617723913091</v>
      </c>
      <c r="K2043" s="6" t="n">
        <f aca="false">Sens!K2042+Sens!K2040</f>
        <v>145.688898364309</v>
      </c>
      <c r="L2043" s="11" t="s">
        <v>851</v>
      </c>
    </row>
    <row r="2044" customFormat="false" ht="17.15" hidden="false" customHeight="false" outlineLevel="0" collapsed="false">
      <c r="A2044" s="0" t="s">
        <v>852</v>
      </c>
      <c r="B2044" s="0" t="s">
        <v>98</v>
      </c>
      <c r="E2044" s="6" t="n">
        <f aca="false">(Sens!C2042*IF(2&lt;life_it,1,IF(2=life_it,0.5,0))+Sens!D2042*IF(1&lt;life_it,1,IF(1=life_it,0.5,0))+Sens!E2042*0.5)/life_it</f>
        <v>18.0726941725</v>
      </c>
      <c r="F2044" s="6" t="n">
        <f aca="false">(Sens!C2042*IF(3&lt;life_it,1,IF(3=life_it,0.5,0))+Sens!D2042*IF(2&lt;life_it,1,IF(2=life_it,0.5,0))+Sens!E2042*IF(1&lt;life_it,1,IF(1=life_it,0.5,0))+Sens!F2042*0.5)/life_it</f>
        <v>37.9250367371467</v>
      </c>
      <c r="G2044" s="6" t="n">
        <f aca="false">(Sens!C2042*IF(4&lt;life_it,1,IF(4=life_it,0.5,0))+Sens!D2042*IF(3&lt;life_it,1,IF(3=life_it,0.5,0))+Sens!E2042*IF(2&lt;life_it,1,IF(2=life_it,0.5,0))+Sens!F2042*IF(1&lt;life_it,1,IF(1=life_it,0.5,0))+Sens!G2042*0.5)/life_it</f>
        <v>66.1728195726133</v>
      </c>
      <c r="H2044" s="6" t="n">
        <f aca="false">(Sens!C2042*IF(5&lt;life_it,1,IF(5=life_it,0.5,0))+Sens!D2042*IF(4&lt;life_it,1,IF(4=life_it,0.5,0))+Sens!E2042*IF(3&lt;life_it,1,IF(3=life_it,0.5,0))+Sens!F2042*IF(2&lt;life_it,1,IF(2=life_it,0.5,0))+Sens!G2042*IF(1&lt;life_it,1,IF(1=life_it,0.5,0))+Sens!H2042*0.5)/life_it</f>
        <v>96.9343414119733</v>
      </c>
      <c r="I2044" s="6" t="n">
        <f aca="false">(Sens!C2042*IF(6&lt;life_it,1,IF(6=life_it,0.5,0))+Sens!D2042*IF(5&lt;life_it,1,IF(5=life_it,0.5,0))+Sens!E2042*IF(4&lt;life_it,1,IF(4=life_it,0.5,0))+Sens!F2042*IF(3&lt;life_it,1,IF(3=life_it,0.5,0))+Sens!G2042*IF(2&lt;life_it,1,IF(2=life_it,0.5,0))+Sens!H2042*IF(1&lt;life_it,1,IF(1=life_it,0.5,0))+Sens!I2042*0.5)/life_it</f>
        <v>124.385858087271</v>
      </c>
      <c r="J2044" s="6" t="n">
        <f aca="false">(Sens!C2042*IF(7&lt;life_it,1,IF(7=life_it,0.5,0))+Sens!D2042*IF(6&lt;life_it,1,IF(6=life_it,0.5,0))+Sens!E2042*IF(5&lt;life_it,1,IF(5=life_it,0.5,0))+Sens!F2042*IF(4&lt;life_it,1,IF(4=life_it,0.5,0))+Sens!G2042*IF(3&lt;life_it,1,IF(3=life_it,0.5,0))+Sens!H2042*IF(2&lt;life_it,1,IF(2=life_it,0.5,0))+Sens!I2042*IF(1&lt;life_it,1,IF(1=life_it,0.5,0))+Sens!J2042*0.5)/life_it</f>
        <v>144.15922018918</v>
      </c>
      <c r="K2044" s="6" t="n">
        <f aca="false">(Sens!C2042*IF(8&lt;life_it,1,IF(8=life_it,0.5,0))+Sens!D2042*IF(7&lt;life_it,1,IF(7=life_it,0.5,0))+Sens!E2042*IF(6&lt;life_it,1,IF(6=life_it,0.5,0))+Sens!F2042*IF(5&lt;life_it,1,IF(5=life_it,0.5,0))+Sens!G2042*IF(4&lt;life_it,1,IF(4=life_it,0.5,0))+Sens!H2042*IF(3&lt;life_it,1,IF(3=life_it,0.5,0))+Sens!I2042*IF(2&lt;life_it,1,IF(2=life_it,0.5,0))+Sens!J2042*IF(1&lt;life_it,1,IF(1=life_it,0.5,0))+Sens!K2042*0.5)/life_it</f>
        <v>156.946375571427</v>
      </c>
    </row>
    <row r="2045" customFormat="false" ht="17.15" hidden="false" customHeight="false" outlineLevel="0" collapsed="false">
      <c r="A2045" s="0" t="s">
        <v>853</v>
      </c>
      <c r="B2045" s="0" t="s">
        <v>98</v>
      </c>
      <c r="E2045" s="6" t="n">
        <f aca="false">(Sens!C2040*IF(2&lt;life_fac,1,IF(2=life_fac,0.5,0))+Sens!D2040*IF(1&lt;life_fac,1,IF(1=life_fac,0.5,0))+Sens!E2040*0.5)/life_fac</f>
        <v>1.493793</v>
      </c>
      <c r="F2045" s="6" t="n">
        <f aca="false">(Sens!C2040*IF(3&lt;life_fac,1,IF(3=life_fac,0.5,0))+Sens!D2040*IF(2&lt;life_fac,1,IF(2=life_fac,0.5,0))+Sens!E2040*IF(1&lt;life_fac,1,IF(1=life_fac,0.5,0))+Sens!F2040*0.5)/life_fac</f>
        <v>2.93482812</v>
      </c>
      <c r="G2045" s="6" t="n">
        <f aca="false">(Sens!C2040*IF(4&lt;life_fac,1,IF(4=life_fac,0.5,0))+Sens!D2040*IF(3&lt;life_fac,1,IF(3=life_fac,0.5,0))+Sens!E2040*IF(2&lt;life_fac,1,IF(2=life_fac,0.5,0))+Sens!F2040*IF(1&lt;life_fac,1,IF(1=life_fac,0.5,0))+Sens!G2040*0.5)/life_fac</f>
        <v>4.77770496</v>
      </c>
      <c r="H2045" s="6" t="n">
        <f aca="false">(Sens!C2040*IF(5&lt;life_fac,1,IF(5=life_fac,0.5,0))+Sens!D2040*IF(4&lt;life_fac,1,IF(4=life_fac,0.5,0))+Sens!E2040*IF(3&lt;life_fac,1,IF(3=life_fac,0.5,0))+Sens!F2040*IF(2&lt;life_fac,1,IF(2=life_fac,0.5,0))+Sens!G2040*IF(1&lt;life_fac,1,IF(1=life_fac,0.5,0))+Sens!H2040*0.5)/life_fac</f>
        <v>6.6988824</v>
      </c>
      <c r="I2045" s="6" t="n">
        <f aca="false">(Sens!C2040*IF(6&lt;life_fac,1,IF(6=life_fac,0.5,0))+Sens!D2040*IF(5&lt;life_fac,1,IF(5=life_fac,0.5,0))+Sens!E2040*IF(4&lt;life_fac,1,IF(4=life_fac,0.5,0))+Sens!F2040*IF(3&lt;life_fac,1,IF(3=life_fac,0.5,0))+Sens!G2040*IF(2&lt;life_fac,1,IF(2=life_fac,0.5,0))+Sens!H2040*IF(1&lt;life_fac,1,IF(1=life_fac,0.5,0))+Sens!I2040*0.5)/life_fac</f>
        <v>8.3410345116</v>
      </c>
      <c r="J2045" s="6" t="n">
        <f aca="false">(Sens!C2040*IF(7&lt;life_fac,1,IF(7=life_fac,0.5,0))+Sens!D2040*IF(6&lt;life_fac,1,IF(6=life_fac,0.5,0))+Sens!E2040*IF(5&lt;life_fac,1,IF(5=life_fac,0.5,0))+Sens!F2040*IF(4&lt;life_fac,1,IF(4=life_fac,0.5,0))+Sens!G2040*IF(3&lt;life_fac,1,IF(3=life_fac,0.5,0))+Sens!H2040*IF(2&lt;life_fac,1,IF(2=life_fac,0.5,0))+Sens!I2040*IF(1&lt;life_fac,1,IF(1=life_fac,0.5,0))+Sens!J2040*0.5)/life_fac</f>
        <v>9.438767234232</v>
      </c>
      <c r="K2045" s="6" t="n">
        <f aca="false">(Sens!C2040*IF(8&lt;life_fac,1,IF(8=life_fac,0.5,0))+Sens!D2040*IF(7&lt;life_fac,1,IF(7=life_fac,0.5,0))+Sens!E2040*IF(6&lt;life_fac,1,IF(6=life_fac,0.5,0))+Sens!F2040*IF(5&lt;life_fac,1,IF(5=life_fac,0.5,0))+Sens!G2040*IF(4&lt;life_fac,1,IF(4=life_fac,0.5,0))+Sens!H2040*IF(3&lt;life_fac,1,IF(3=life_fac,0.5,0))+Sens!I2040*IF(2&lt;life_fac,1,IF(2=life_fac,0.5,0))+Sens!J2040*IF(1&lt;life_fac,1,IF(1=life_fac,0.5,0))+Sens!K2040*0.5)/life_fac</f>
        <v>10.011381281743</v>
      </c>
    </row>
    <row r="2046" customFormat="false" ht="17.15" hidden="false" customHeight="false" outlineLevel="0" collapsed="false">
      <c r="A2046" s="0" t="s">
        <v>854</v>
      </c>
      <c r="B2046" s="0" t="s">
        <v>98</v>
      </c>
      <c r="E2046" s="6" t="n">
        <f aca="false">Sens!E2044+Sens!E2045</f>
        <v>19.5664871725</v>
      </c>
      <c r="F2046" s="6" t="n">
        <f aca="false">Sens!F2044+Sens!F2045</f>
        <v>40.8598648571467</v>
      </c>
      <c r="G2046" s="6" t="n">
        <f aca="false">Sens!G2044+Sens!G2045</f>
        <v>70.9505245326133</v>
      </c>
      <c r="H2046" s="6" t="n">
        <f aca="false">Sens!H2044+Sens!H2045</f>
        <v>103.633223811973</v>
      </c>
      <c r="I2046" s="6" t="n">
        <f aca="false">Sens!I2044+Sens!I2045</f>
        <v>132.726892598871</v>
      </c>
      <c r="J2046" s="6" t="n">
        <f aca="false">Sens!J2044+Sens!J2045</f>
        <v>153.597987423412</v>
      </c>
      <c r="K2046" s="6" t="n">
        <f aca="false">Sens!K2044+Sens!K2045</f>
        <v>166.95775685317</v>
      </c>
    </row>
    <row r="2047" customFormat="false" ht="17.15" hidden="false" customHeight="false" outlineLevel="0" collapsed="false">
      <c r="A2047" s="0" t="s">
        <v>855</v>
      </c>
      <c r="B2047" s="0" t="s">
        <v>98</v>
      </c>
      <c r="E2047" s="6" t="n">
        <f aca="false">Sens!E2035-Sens!E2034*Sens!E2046</f>
        <v>8.92707889977379</v>
      </c>
      <c r="F2047" s="6" t="n">
        <f aca="false">Sens!F2035-Sens!F2034*Sens!F2046</f>
        <v>19.0295083206205</v>
      </c>
      <c r="G2047" s="6" t="n">
        <f aca="false">Sens!G2035-Sens!G2034*Sens!G2046</f>
        <v>31.0774922914994</v>
      </c>
      <c r="H2047" s="6" t="n">
        <f aca="false">Sens!H2035-Sens!H2034*Sens!H2046</f>
        <v>43.4030330778723</v>
      </c>
      <c r="I2047" s="6" t="n">
        <f aca="false">Sens!I2035-Sens!I2034*Sens!I2046</f>
        <v>54.3591447183526</v>
      </c>
      <c r="J2047" s="6" t="n">
        <f aca="false">Sens!J2035-Sens!J2034*Sens!J2046</f>
        <v>62.0539899656947</v>
      </c>
      <c r="K2047" s="6" t="n">
        <f aca="false">Sens!K2035-Sens!K2034*Sens!K2046</f>
        <v>67.5792921529812</v>
      </c>
    </row>
    <row r="2048" customFormat="false" ht="17.15" hidden="false" customHeight="false" outlineLevel="0" collapsed="false">
      <c r="A2048" s="3" t="s">
        <v>1313</v>
      </c>
    </row>
    <row r="2049" customFormat="false" ht="15" hidden="false" customHeight="false" outlineLevel="0" collapsed="false">
      <c r="A2049" s="4" t="s">
        <v>43</v>
      </c>
      <c r="B2049" s="4" t="s">
        <v>65</v>
      </c>
      <c r="C2049" s="20" t="s">
        <v>799</v>
      </c>
      <c r="D2049" s="20" t="s">
        <v>800</v>
      </c>
      <c r="E2049" s="20" t="s">
        <v>801</v>
      </c>
      <c r="F2049" s="20" t="s">
        <v>802</v>
      </c>
      <c r="G2049" s="20" t="s">
        <v>803</v>
      </c>
      <c r="H2049" s="20" t="s">
        <v>804</v>
      </c>
      <c r="I2049" s="20" t="s">
        <v>805</v>
      </c>
      <c r="J2049" s="20" t="s">
        <v>806</v>
      </c>
      <c r="K2049" s="20" t="s">
        <v>807</v>
      </c>
      <c r="L2049" s="4" t="s">
        <v>47</v>
      </c>
    </row>
    <row r="2050" customFormat="false" ht="17.15" hidden="false" customHeight="false" outlineLevel="0" collapsed="false">
      <c r="A2050" s="0" t="s">
        <v>874</v>
      </c>
      <c r="B2050" s="0" t="s">
        <v>98</v>
      </c>
      <c r="D2050" s="6" t="n">
        <f aca="false">Sens!D2029</f>
        <v>12.9359794422418</v>
      </c>
      <c r="E2050" s="6" t="n">
        <f aca="false">Sens!E2029</f>
        <v>27.8095064661409</v>
      </c>
      <c r="F2050" s="6" t="n">
        <f aca="false">Sens!F2029</f>
        <v>55.0640065749585</v>
      </c>
      <c r="G2050" s="6" t="n">
        <f aca="false">Sens!G2029</f>
        <v>89.4505413190538</v>
      </c>
      <c r="H2050" s="6" t="n">
        <f aca="false">Sens!H2029</f>
        <v>124.835630736874</v>
      </c>
      <c r="I2050" s="6" t="n">
        <f aca="false">Sens!I2029</f>
        <v>156.158460265485</v>
      </c>
      <c r="J2050" s="6" t="n">
        <f aca="false">Sens!J2029</f>
        <v>178.259285293112</v>
      </c>
      <c r="K2050" s="6" t="n">
        <f aca="false">Sens!K2029</f>
        <v>192.733290209798</v>
      </c>
    </row>
    <row r="2051" customFormat="false" ht="17.15" hidden="false" customHeight="false" outlineLevel="0" collapsed="false">
      <c r="A2051" s="0" t="s">
        <v>875</v>
      </c>
      <c r="B2051" s="0" t="s">
        <v>98</v>
      </c>
      <c r="D2051" s="6" t="n">
        <f aca="false">Q!L6-Sens!D2050</f>
        <v>59.6740205577583</v>
      </c>
      <c r="E2051" s="6" t="n">
        <f aca="false">Q!M6-Sens!E2050</f>
        <v>74.1284935338591</v>
      </c>
      <c r="F2051" s="6" t="n">
        <f aca="false">Sens!E2051*(1+Sens!F2052)</f>
        <v>90.0799497373663</v>
      </c>
      <c r="G2051" s="6" t="n">
        <f aca="false">Sens!F2051*(1+Sens!G2052)</f>
        <v>107.02842520331</v>
      </c>
      <c r="H2051" s="6" t="n">
        <f aca="false">Sens!G2051*(1+Sens!H2052)</f>
        <v>124.271982585636</v>
      </c>
      <c r="I2051" s="6" t="n">
        <f aca="false">Sens!H2051*(1+Sens!I2052)</f>
        <v>140.933702381855</v>
      </c>
      <c r="J2051" s="6" t="n">
        <f aca="false">Sens!I2051*(1+Sens!J2052)</f>
        <v>156.018867314332</v>
      </c>
      <c r="K2051" s="6" t="n">
        <f aca="false">Sens!J2051*(1+Sens!K2052)</f>
        <v>168.500376699478</v>
      </c>
    </row>
    <row r="2052" customFormat="false" ht="15" hidden="false" customHeight="false" outlineLevel="0" collapsed="false">
      <c r="A2052" s="1" t="s">
        <v>876</v>
      </c>
      <c r="B2052" s="0" t="s">
        <v>129</v>
      </c>
      <c r="E2052" s="7" t="n">
        <f aca="false">Sens!E2051/Sens!D2051-1</f>
        <v>0.242223883039864</v>
      </c>
      <c r="F2052" s="7" t="n">
        <f aca="false">Sens!$E$2052+(glt_azo-Sens!$E$2052)*MIN(1,(Sens!F2012-base_fy)/n_conv)</f>
        <v>0.215186569199887</v>
      </c>
      <c r="G2052" s="7" t="n">
        <f aca="false">Sens!$E$2052+(glt_azo-Sens!$E$2052)*MIN(1,(Sens!G2012-base_fy)/n_conv)</f>
        <v>0.18814925535991</v>
      </c>
      <c r="H2052" s="7" t="n">
        <f aca="false">Sens!$E$2052+(glt_azo-Sens!$E$2052)*MIN(1,(Sens!H2012-base_fy)/n_conv)</f>
        <v>0.161111941519932</v>
      </c>
      <c r="I2052" s="7" t="n">
        <f aca="false">Sens!$E$2052+(glt_azo-Sens!$E$2052)*MIN(1,(Sens!I2012-base_fy)/n_conv)</f>
        <v>0.134074627679955</v>
      </c>
      <c r="J2052" s="7" t="n">
        <f aca="false">Sens!$E$2052+(glt_azo-Sens!$E$2052)*MIN(1,(Sens!J2012-base_fy)/n_conv)</f>
        <v>0.107037313839977</v>
      </c>
      <c r="K2052" s="7" t="n">
        <f aca="false">Sens!$E$2052+(glt_azo-Sens!$E$2052)*MIN(1,(Sens!K2012-base_fy)/n_conv)</f>
        <v>0.08</v>
      </c>
    </row>
    <row r="2053" customFormat="false" ht="15" hidden="false" customHeight="false" outlineLevel="0" collapsed="false">
      <c r="A2053" s="0" t="s">
        <v>877</v>
      </c>
      <c r="B2053" s="0" t="s">
        <v>98</v>
      </c>
      <c r="D2053" s="6" t="n">
        <f aca="false">Sens!D2050+Sens!D2051</f>
        <v>72.61</v>
      </c>
      <c r="E2053" s="6" t="n">
        <f aca="false">Sens!E2050+Sens!E2051</f>
        <v>101.938</v>
      </c>
      <c r="F2053" s="6" t="n">
        <f aca="false">Sens!F2050+Sens!F2051</f>
        <v>145.143956312325</v>
      </c>
      <c r="G2053" s="6" t="n">
        <f aca="false">Sens!G2050+Sens!G2051</f>
        <v>196.478966522364</v>
      </c>
      <c r="H2053" s="6" t="n">
        <f aca="false">Sens!H2050+Sens!H2051</f>
        <v>249.10761332251</v>
      </c>
      <c r="I2053" s="6" t="n">
        <f aca="false">Sens!I2050+Sens!I2051</f>
        <v>297.09216264734</v>
      </c>
      <c r="J2053" s="6" t="n">
        <f aca="false">Sens!J2050+Sens!J2051</f>
        <v>334.278152607443</v>
      </c>
      <c r="K2053" s="6" t="n">
        <f aca="false">Sens!K2050+Sens!K2051</f>
        <v>361.233666909276</v>
      </c>
    </row>
    <row r="2054" customFormat="false" ht="17.15" hidden="false" customHeight="false" outlineLevel="0" collapsed="false">
      <c r="A2054" s="0" t="s">
        <v>878</v>
      </c>
      <c r="B2054" s="1" t="s">
        <v>528</v>
      </c>
      <c r="C2054" s="29" t="n">
        <f aca="false">cop_s24</f>
        <v>1</v>
      </c>
      <c r="D2054" s="29" t="n">
        <f aca="false">cop_s25</f>
        <v>5</v>
      </c>
      <c r="E2054" s="29" t="n">
        <f aca="false">cop_s26</f>
        <v>30</v>
      </c>
      <c r="F2054" s="29" t="n">
        <f aca="false">Sens!E2054+cop_add_B</f>
        <v>50</v>
      </c>
      <c r="G2054" s="29" t="n">
        <f aca="false">Sens!F2054+cop_add_B</f>
        <v>70</v>
      </c>
      <c r="H2054" s="29" t="n">
        <f aca="false">Sens!G2054+cop_add_B</f>
        <v>90</v>
      </c>
      <c r="I2054" s="29" t="n">
        <f aca="false">Sens!H2054+cop_add_B*cop_tail</f>
        <v>100</v>
      </c>
      <c r="J2054" s="29" t="n">
        <f aca="false">Sens!I2054+cop_add_B*cop_tail</f>
        <v>110</v>
      </c>
      <c r="K2054" s="29" t="n">
        <f aca="false">Sens!J2054+cop_add_B*cop_tail</f>
        <v>120</v>
      </c>
      <c r="L2054" s="11" t="s">
        <v>879</v>
      </c>
    </row>
    <row r="2055" customFormat="false" ht="17.15" hidden="false" customHeight="false" outlineLevel="0" collapsed="false">
      <c r="A2055" s="0" t="s">
        <v>880</v>
      </c>
      <c r="B2055" s="0" t="s">
        <v>98</v>
      </c>
      <c r="D2055" s="6" t="n">
        <f aca="false">(Sens!C2054+Sens!D2054)/2*cop_px*12/1000</f>
        <v>0.9</v>
      </c>
      <c r="E2055" s="6" t="n">
        <f aca="false">(Sens!D2054+Sens!E2054)/2*cop_px*12/1000</f>
        <v>5.25</v>
      </c>
      <c r="F2055" s="6" t="n">
        <f aca="false">(Sens!E2054+Sens!F2054)/2*cop_px*12/1000</f>
        <v>12</v>
      </c>
      <c r="G2055" s="6" t="n">
        <f aca="false">(Sens!F2054+Sens!G2054)/2*cop_px*12/1000</f>
        <v>18</v>
      </c>
      <c r="H2055" s="6" t="n">
        <f aca="false">(Sens!G2054+Sens!H2054)/2*cop_px*12/1000</f>
        <v>24</v>
      </c>
      <c r="I2055" s="6" t="n">
        <f aca="false">(Sens!H2054+Sens!I2054)/2*cop_px*12/1000</f>
        <v>28.5</v>
      </c>
      <c r="J2055" s="6" t="n">
        <f aca="false">(Sens!I2054+Sens!J2054)/2*cop_px*12/1000</f>
        <v>31.5</v>
      </c>
      <c r="K2055" s="6" t="n">
        <f aca="false">(Sens!J2054+Sens!K2054)/2*cop_px*12/1000</f>
        <v>34.5</v>
      </c>
      <c r="L2055" s="1" t="s">
        <v>881</v>
      </c>
    </row>
    <row r="2056" customFormat="false" ht="17.15" hidden="false" customHeight="false" outlineLevel="0" collapsed="false">
      <c r="A2056" s="0" t="s">
        <v>882</v>
      </c>
      <c r="B2056" s="0" t="s">
        <v>98</v>
      </c>
      <c r="D2056" s="6" t="n">
        <f aca="false">Q!L7-Sens!D2055</f>
        <v>83.705</v>
      </c>
      <c r="E2056" s="6" t="n">
        <f aca="false">Q!M7-Sens!E2055</f>
        <v>95.049</v>
      </c>
      <c r="F2056" s="6" t="n">
        <f aca="false">Sens!E2056*(1+Sens!F2057)</f>
        <v>106.89238776686</v>
      </c>
      <c r="G2056" s="6" t="n">
        <f aca="false">Sens!F2056*(1+Sens!G2057)</f>
        <v>119.044168448684</v>
      </c>
      <c r="H2056" s="6" t="n">
        <f aca="false">Sens!G2056*(1+Sens!H2057)</f>
        <v>131.277359388781</v>
      </c>
      <c r="I2056" s="6" t="n">
        <f aca="false">Sens!H2056*(1+Sens!I2057)</f>
        <v>143.334028071957</v>
      </c>
      <c r="J2056" s="6" t="n">
        <f aca="false">Sens!I2056*(1+Sens!J2057)</f>
        <v>154.932702785465</v>
      </c>
      <c r="K2056" s="6" t="n">
        <f aca="false">Sens!J2056*(1+Sens!K2057)</f>
        <v>165.777991980448</v>
      </c>
    </row>
    <row r="2057" customFormat="false" ht="15" hidden="false" customHeight="false" outlineLevel="0" collapsed="false">
      <c r="A2057" s="1" t="s">
        <v>876</v>
      </c>
      <c r="B2057" s="0" t="s">
        <v>129</v>
      </c>
      <c r="E2057" s="7" t="n">
        <f aca="false">Sens!E2056/Sens!D2056-1</f>
        <v>0.135523564900544</v>
      </c>
      <c r="F2057" s="7" t="n">
        <f aca="false">Sens!$E$2057+(glt_m365b-Sens!$E$2057)*MIN(1,(Sens!F2012-base_fy)/n_conv)</f>
        <v>0.124602970750453</v>
      </c>
      <c r="G2057" s="7" t="n">
        <f aca="false">Sens!$E$2057+(glt_m365b-Sens!$E$2057)*MIN(1,(Sens!G2012-base_fy)/n_conv)</f>
        <v>0.113682376600363</v>
      </c>
      <c r="H2057" s="7" t="n">
        <f aca="false">Sens!$E$2057+(glt_m365b-Sens!$E$2057)*MIN(1,(Sens!H2012-base_fy)/n_conv)</f>
        <v>0.102761782450272</v>
      </c>
      <c r="I2057" s="7" t="n">
        <f aca="false">Sens!$E$2057+(glt_m365b-Sens!$E$2057)*MIN(1,(Sens!I2012-base_fy)/n_conv)</f>
        <v>0.0918411883001813</v>
      </c>
      <c r="J2057" s="7" t="n">
        <f aca="false">Sens!$E$2057+(glt_m365b-Sens!$E$2057)*MIN(1,(Sens!J2012-base_fy)/n_conv)</f>
        <v>0.0809205941500906</v>
      </c>
      <c r="K2057" s="7" t="n">
        <f aca="false">Sens!$E$2057+(glt_m365b-Sens!$E$2057)*MIN(1,(Sens!K2012-base_fy)/n_conv)</f>
        <v>0.07</v>
      </c>
    </row>
    <row r="2058" customFormat="false" ht="15" hidden="false" customHeight="false" outlineLevel="0" collapsed="false">
      <c r="A2058" s="0" t="s">
        <v>883</v>
      </c>
      <c r="B2058" s="0" t="s">
        <v>98</v>
      </c>
      <c r="D2058" s="6" t="n">
        <f aca="false">Sens!D2056+Sens!D2055</f>
        <v>84.605</v>
      </c>
      <c r="E2058" s="6" t="n">
        <f aca="false">Sens!E2056+Sens!E2055</f>
        <v>100.299</v>
      </c>
      <c r="F2058" s="6" t="n">
        <f aca="false">Sens!F2056+Sens!F2055</f>
        <v>118.89238776686</v>
      </c>
      <c r="G2058" s="6" t="n">
        <f aca="false">Sens!G2056+Sens!G2055</f>
        <v>137.044168448684</v>
      </c>
      <c r="H2058" s="6" t="n">
        <f aca="false">Sens!H2056+Sens!H2055</f>
        <v>155.277359388781</v>
      </c>
      <c r="I2058" s="6" t="n">
        <f aca="false">Sens!I2056+Sens!I2055</f>
        <v>171.834028071957</v>
      </c>
      <c r="J2058" s="6" t="n">
        <f aca="false">Sens!J2056+Sens!J2055</f>
        <v>186.432702785465</v>
      </c>
      <c r="K2058" s="6" t="n">
        <f aca="false">Sens!K2056+Sens!K2055</f>
        <v>200.277991980448</v>
      </c>
    </row>
    <row r="2059" customFormat="false" ht="15" hidden="false" customHeight="false" outlineLevel="0" collapsed="false">
      <c r="A2059" s="0" t="s">
        <v>884</v>
      </c>
      <c r="B2059" s="0" t="s">
        <v>98</v>
      </c>
      <c r="D2059" s="6" t="n">
        <f aca="false">Q!L8</f>
        <v>35.391</v>
      </c>
      <c r="E2059" s="6" t="n">
        <f aca="false">Q!M8</f>
        <v>37.285</v>
      </c>
      <c r="F2059" s="6" t="n">
        <f aca="false">Sens!E2059*(1+Sens!F2060)</f>
        <v>39.0720834331704</v>
      </c>
      <c r="G2059" s="6" t="n">
        <f aca="false">Sens!F2059*(1+Sens!G2060)</f>
        <v>40.726562953769</v>
      </c>
      <c r="H2059" s="6" t="n">
        <f aca="false">Sens!G2059*(1+Sens!H2060)</f>
        <v>42.2235987259198</v>
      </c>
      <c r="I2059" s="6" t="n">
        <f aca="false">Sens!H2059*(1+Sens!I2060)</f>
        <v>43.5397988077414</v>
      </c>
      <c r="J2059" s="6" t="n">
        <f aca="false">Sens!I2059*(1+Sens!J2060)</f>
        <v>44.653811225693</v>
      </c>
      <c r="K2059" s="6" t="n">
        <f aca="false">Sens!J2059*(1+Sens!K2060)</f>
        <v>45.5468874502068</v>
      </c>
    </row>
    <row r="2060" customFormat="false" ht="15" hidden="false" customHeight="false" outlineLevel="0" collapsed="false">
      <c r="A2060" s="1" t="s">
        <v>876</v>
      </c>
      <c r="B2060" s="0" t="s">
        <v>129</v>
      </c>
      <c r="E2060" s="7" t="n">
        <f aca="false">Sens!E2059/Sens!D2059-1</f>
        <v>0.0535164307309768</v>
      </c>
      <c r="F2060" s="7" t="n">
        <f aca="false">Sens!$E$2060+(glt_lic-Sens!$E$2060)*MIN(1,(Sens!F2012-base_fy)/n_conv)</f>
        <v>0.0479303589424807</v>
      </c>
      <c r="G2060" s="7" t="n">
        <f aca="false">Sens!$E$2060+(glt_lic-Sens!$E$2060)*MIN(1,(Sens!G2012-base_fy)/n_conv)</f>
        <v>0.0423442871539845</v>
      </c>
      <c r="H2060" s="7" t="n">
        <f aca="false">Sens!$E$2060+(glt_lic-Sens!$E$2060)*MIN(1,(Sens!H2012-base_fy)/n_conv)</f>
        <v>0.0367582153654884</v>
      </c>
      <c r="I2060" s="7" t="n">
        <f aca="false">Sens!$E$2060+(glt_lic-Sens!$E$2060)*MIN(1,(Sens!I2012-base_fy)/n_conv)</f>
        <v>0.0311721435769923</v>
      </c>
      <c r="J2060" s="7" t="n">
        <f aca="false">Sens!$E$2060+(glt_lic-Sens!$E$2060)*MIN(1,(Sens!J2012-base_fy)/n_conv)</f>
        <v>0.0255860717884961</v>
      </c>
      <c r="K2060" s="7" t="n">
        <f aca="false">Sens!$E$2060+(glt_lic-Sens!$E$2060)*MIN(1,(Sens!K2012-base_fy)/n_conv)</f>
        <v>0.02</v>
      </c>
    </row>
    <row r="2061" customFormat="false" ht="15" hidden="false" customHeight="false" outlineLevel="0" collapsed="false">
      <c r="A2061" s="0" t="s">
        <v>885</v>
      </c>
      <c r="B2061" s="0" t="s">
        <v>98</v>
      </c>
      <c r="D2061" s="6" t="n">
        <f aca="false">Q!L9</f>
        <v>18.417</v>
      </c>
      <c r="E2061" s="6" t="n">
        <f aca="false">Q!M9</f>
        <v>20.345</v>
      </c>
      <c r="F2061" s="6" t="n">
        <f aca="false">Sens!E2061*(1+Sens!F2062)</f>
        <v>22.3572203267814</v>
      </c>
      <c r="G2061" s="6" t="n">
        <f aca="false">Sens!F2061*(1+Sens!G2062)</f>
        <v>24.4392124437232</v>
      </c>
      <c r="H2061" s="6" t="n">
        <f aca="false">Sens!G2061*(1+Sens!H2062)</f>
        <v>26.5738052080665</v>
      </c>
      <c r="I2061" s="6" t="n">
        <f aca="false">Sens!H2061*(1+Sens!I2062)</f>
        <v>28.7412169166967</v>
      </c>
      <c r="J2061" s="6" t="n">
        <f aca="false">Sens!I2061*(1+Sens!J2062)</f>
        <v>30.9192545395413</v>
      </c>
      <c r="K2061" s="6" t="n">
        <f aca="false">Sens!J2061*(1+Sens!K2062)</f>
        <v>33.0836023573092</v>
      </c>
    </row>
    <row r="2062" customFormat="false" ht="15" hidden="false" customHeight="false" outlineLevel="0" collapsed="false">
      <c r="A2062" s="1" t="s">
        <v>876</v>
      </c>
      <c r="B2062" s="0" t="s">
        <v>129</v>
      </c>
      <c r="E2062" s="7" t="n">
        <f aca="false">Sens!E2061/Sens!D2061-1</f>
        <v>0.104685888038225</v>
      </c>
      <c r="F2062" s="7" t="n">
        <f aca="false">Sens!$E$2062+(glt_ind-Sens!$E$2062)*MIN(1,(Sens!F2012-base_fy)/n_conv)</f>
        <v>0.0989049066985211</v>
      </c>
      <c r="G2062" s="7" t="n">
        <f aca="false">Sens!$E$2062+(glt_ind-Sens!$E$2062)*MIN(1,(Sens!G2012-base_fy)/n_conv)</f>
        <v>0.0931239253588169</v>
      </c>
      <c r="H2062" s="7" t="n">
        <f aca="false">Sens!$E$2062+(glt_ind-Sens!$E$2062)*MIN(1,(Sens!H2012-base_fy)/n_conv)</f>
        <v>0.0873429440191127</v>
      </c>
      <c r="I2062" s="7" t="n">
        <f aca="false">Sens!$E$2062+(glt_ind-Sens!$E$2062)*MIN(1,(Sens!I2012-base_fy)/n_conv)</f>
        <v>0.0815619626794085</v>
      </c>
      <c r="J2062" s="7" t="n">
        <f aca="false">Sens!$E$2062+(glt_ind-Sens!$E$2062)*MIN(1,(Sens!J2012-base_fy)/n_conv)</f>
        <v>0.0757809813397042</v>
      </c>
      <c r="K2062" s="7" t="n">
        <f aca="false">Sens!$E$2062+(glt_ind-Sens!$E$2062)*MIN(1,(Sens!K2012-base_fy)/n_conv)</f>
        <v>0.07</v>
      </c>
    </row>
    <row r="2063" customFormat="false" ht="15" hidden="false" customHeight="false" outlineLevel="0" collapsed="false">
      <c r="A2063" s="0" t="s">
        <v>886</v>
      </c>
      <c r="B2063" s="0" t="s">
        <v>98</v>
      </c>
      <c r="D2063" s="6" t="n">
        <f aca="false">Q!L10</f>
        <v>7.76</v>
      </c>
      <c r="E2063" s="6" t="n">
        <f aca="false">Q!M10</f>
        <v>8.26</v>
      </c>
      <c r="F2063" s="6" t="n">
        <f aca="false">Sens!E2063*(1+Sens!F2064)</f>
        <v>8.79988041237113</v>
      </c>
      <c r="G2063" s="6" t="n">
        <f aca="false">Sens!F2063*(1+Sens!G2064)</f>
        <v>9.38321269125306</v>
      </c>
      <c r="H2063" s="6" t="n">
        <f aca="false">Sens!G2063*(1+Sens!H2064)</f>
        <v>10.0139193587476</v>
      </c>
      <c r="I2063" s="6" t="n">
        <f aca="false">Sens!H2063*(1+Sens!I2064)</f>
        <v>10.6963111830911</v>
      </c>
      <c r="J2063" s="6" t="n">
        <f aca="false">Sens!I2063*(1+Sens!J2064)</f>
        <v>11.4351285534696</v>
      </c>
      <c r="K2063" s="6" t="n">
        <f aca="false">Sens!J2063*(1+Sens!K2064)</f>
        <v>12.2355875522124</v>
      </c>
    </row>
    <row r="2064" customFormat="false" ht="15" hidden="false" customHeight="false" outlineLevel="0" collapsed="false">
      <c r="A2064" s="1" t="s">
        <v>876</v>
      </c>
      <c r="B2064" s="0" t="s">
        <v>129</v>
      </c>
      <c r="E2064" s="7" t="n">
        <f aca="false">Sens!E2063/Sens!D2063-1</f>
        <v>0.0644329896907216</v>
      </c>
      <c r="F2064" s="7" t="n">
        <f aca="false">Sens!$E$2064+(glt_fro-Sens!$E$2064)*MIN(1,(Sens!F2012-base_fy)/n_conv)</f>
        <v>0.065360824742268</v>
      </c>
      <c r="G2064" s="7" t="n">
        <f aca="false">Sens!$E$2064+(glt_fro-Sens!$E$2064)*MIN(1,(Sens!G2012-base_fy)/n_conv)</f>
        <v>0.0662886597938144</v>
      </c>
      <c r="H2064" s="7" t="n">
        <f aca="false">Sens!$E$2064+(glt_fro-Sens!$E$2064)*MIN(1,(Sens!H2012-base_fy)/n_conv)</f>
        <v>0.0672164948453608</v>
      </c>
      <c r="I2064" s="7" t="n">
        <f aca="false">Sens!$E$2064+(glt_fro-Sens!$E$2064)*MIN(1,(Sens!I2012-base_fy)/n_conv)</f>
        <v>0.0681443298969072</v>
      </c>
      <c r="J2064" s="7" t="n">
        <f aca="false">Sens!$E$2064+(glt_fro-Sens!$E$2064)*MIN(1,(Sens!J2012-base_fy)/n_conv)</f>
        <v>0.0690721649484536</v>
      </c>
      <c r="K2064" s="7" t="n">
        <f aca="false">Sens!$E$2064+(glt_fro-Sens!$E$2064)*MIN(1,(Sens!K2012-base_fy)/n_conv)</f>
        <v>0.07</v>
      </c>
    </row>
    <row r="2065" customFormat="false" ht="15" hidden="false" customHeight="false" outlineLevel="0" collapsed="false">
      <c r="A2065" s="0" t="s">
        <v>715</v>
      </c>
      <c r="B2065" s="0" t="s">
        <v>98</v>
      </c>
      <c r="D2065" s="6" t="n">
        <f aca="false">Sens!D2053+Sens!D2058+Sens!D2059+Sens!D2061+Sens!D2063</f>
        <v>218.783</v>
      </c>
      <c r="E2065" s="6" t="n">
        <f aca="false">Sens!E2053+Sens!E2058+Sens!E2059+Sens!E2061+Sens!E2063</f>
        <v>268.127</v>
      </c>
      <c r="F2065" s="6" t="n">
        <f aca="false">Sens!F2053+Sens!F2058+Sens!F2059+Sens!F2061+Sens!F2063</f>
        <v>334.265528251508</v>
      </c>
      <c r="G2065" s="6" t="n">
        <f aca="false">Sens!G2053+Sens!G2058+Sens!G2059+Sens!G2061+Sens!G2063</f>
        <v>408.072123059793</v>
      </c>
      <c r="H2065" s="6" t="n">
        <f aca="false">Sens!H2053+Sens!H2058+Sens!H2059+Sens!H2061+Sens!H2063</f>
        <v>483.196296004025</v>
      </c>
      <c r="I2065" s="6" t="n">
        <f aca="false">Sens!I2053+Sens!I2058+Sens!I2059+Sens!I2061+Sens!I2063</f>
        <v>551.903517626826</v>
      </c>
      <c r="J2065" s="6" t="n">
        <f aca="false">Sens!J2053+Sens!J2058+Sens!J2059+Sens!J2061+Sens!J2063</f>
        <v>607.719049711612</v>
      </c>
      <c r="K2065" s="6" t="n">
        <f aca="false">Sens!K2053+Sens!K2058+Sens!K2059+Sens!K2061+Sens!K2063</f>
        <v>652.377736249452</v>
      </c>
    </row>
    <row r="2066" customFormat="false" ht="15" hidden="false" customHeight="false" outlineLevel="0" collapsed="false">
      <c r="A2066" s="0" t="s">
        <v>887</v>
      </c>
      <c r="B2066" s="0" t="s">
        <v>98</v>
      </c>
      <c r="D2066" s="6" t="n">
        <f aca="false">Q!L13</f>
        <v>22.171</v>
      </c>
      <c r="E2066" s="6" t="n">
        <f aca="false">Q!M13</f>
        <v>24.835</v>
      </c>
      <c r="F2066" s="6" t="n">
        <f aca="false">Sens!E2066*(1+Sens!F2067)</f>
        <v>27.6114901218559</v>
      </c>
      <c r="G2066" s="6" t="n">
        <f aca="false">Sens!F2066*(1+Sens!G2067)</f>
        <v>30.4675667338515</v>
      </c>
      <c r="H2066" s="6" t="n">
        <f aca="false">Sens!G2066*(1+Sens!H2067)</f>
        <v>33.3643766955789</v>
      </c>
      <c r="I2066" s="6" t="n">
        <f aca="false">Sens!H2066*(1+Sens!I2067)</f>
        <v>36.2577016533691</v>
      </c>
      <c r="J2066" s="6" t="n">
        <f aca="false">Sens!I2066*(1+Sens!J2067)</f>
        <v>39.0988367952171</v>
      </c>
      <c r="K2066" s="6" t="n">
        <f aca="false">Sens!J2066*(1+Sens!K2067)</f>
        <v>41.8357553708823</v>
      </c>
    </row>
    <row r="2067" customFormat="false" ht="15" hidden="false" customHeight="false" outlineLevel="0" collapsed="false">
      <c r="A2067" s="1" t="s">
        <v>876</v>
      </c>
      <c r="B2067" s="0" t="s">
        <v>129</v>
      </c>
      <c r="E2067" s="7" t="n">
        <f aca="false">Sens!E2066/Sens!D2066-1</f>
        <v>0.120156961796942</v>
      </c>
      <c r="F2067" s="7" t="n">
        <f aca="false">Sens!$E$2067+(glt_srch-Sens!$E$2067)*MIN(1,(Sens!F2012-base_fy)/n_conv)</f>
        <v>0.111797468164118</v>
      </c>
      <c r="G2067" s="7" t="n">
        <f aca="false">Sens!$E$2067+(glt_srch-Sens!$E$2067)*MIN(1,(Sens!G2012-base_fy)/n_conv)</f>
        <v>0.103437974531295</v>
      </c>
      <c r="H2067" s="7" t="n">
        <f aca="false">Sens!$E$2067+(glt_srch-Sens!$E$2067)*MIN(1,(Sens!H2012-base_fy)/n_conv)</f>
        <v>0.095078480898471</v>
      </c>
      <c r="I2067" s="7" t="n">
        <f aca="false">Sens!$E$2067+(glt_srch-Sens!$E$2067)*MIN(1,(Sens!I2012-base_fy)/n_conv)</f>
        <v>0.0867189872656474</v>
      </c>
      <c r="J2067" s="7" t="n">
        <f aca="false">Sens!$E$2067+(glt_srch-Sens!$E$2067)*MIN(1,(Sens!J2012-base_fy)/n_conv)</f>
        <v>0.0783594936328237</v>
      </c>
      <c r="K2067" s="7" t="n">
        <f aca="false">Sens!$E$2067+(glt_srch-Sens!$E$2067)*MIN(1,(Sens!K2012-base_fy)/n_conv)</f>
        <v>0.07</v>
      </c>
    </row>
    <row r="2068" customFormat="false" ht="15" hidden="false" customHeight="false" outlineLevel="0" collapsed="false">
      <c r="A2068" s="0" t="s">
        <v>888</v>
      </c>
      <c r="B2068" s="0" t="s">
        <v>98</v>
      </c>
      <c r="D2068" s="6" t="n">
        <f aca="false">Q!L14</f>
        <v>23.455</v>
      </c>
      <c r="E2068" s="6" t="n">
        <f aca="false">Q!M14</f>
        <v>21.79</v>
      </c>
      <c r="F2068" s="6" t="n">
        <f aca="false">Sens!E2068*(1+Sens!F2069)</f>
        <v>20.5736277908051</v>
      </c>
      <c r="G2068" s="6" t="n">
        <f aca="false">Sens!F2068*(1+Sens!G2069)</f>
        <v>19.7371452817919</v>
      </c>
      <c r="H2068" s="6" t="n">
        <f aca="false">Sens!G2068*(1+Sens!H2069)</f>
        <v>19.2339764043138</v>
      </c>
      <c r="I2068" s="6" t="n">
        <f aca="false">Sens!H2068*(1+Sens!I2069)</f>
        <v>19.0353086852681</v>
      </c>
      <c r="J2068" s="6" t="n">
        <f aca="false">Sens!I2068*(1+Sens!J2069)</f>
        <v>19.1273539319129</v>
      </c>
      <c r="K2068" s="6" t="n">
        <f aca="false">Sens!J2068*(1+Sens!K2069)</f>
        <v>19.5099010105511</v>
      </c>
    </row>
    <row r="2069" customFormat="false" ht="15" hidden="false" customHeight="false" outlineLevel="0" collapsed="false">
      <c r="A2069" s="1" t="s">
        <v>876</v>
      </c>
      <c r="B2069" s="0" t="s">
        <v>129</v>
      </c>
      <c r="E2069" s="7" t="n">
        <f aca="false">Sens!E2068/Sens!D2068-1</f>
        <v>-0.0709869963760392</v>
      </c>
      <c r="F2069" s="7" t="n">
        <f aca="false">Sens!$E$2069+(glt_xbox-Sens!$E$2069)*MIN(1,(Sens!F2012-base_fy)/n_conv)</f>
        <v>-0.0558224969800327</v>
      </c>
      <c r="G2069" s="7" t="n">
        <f aca="false">Sens!$E$2069+(glt_xbox-Sens!$E$2069)*MIN(1,(Sens!G2012-base_fy)/n_conv)</f>
        <v>-0.0406579975840262</v>
      </c>
      <c r="H2069" s="7" t="n">
        <f aca="false">Sens!$E$2069+(glt_xbox-Sens!$E$2069)*MIN(1,(Sens!H2012-base_fy)/n_conv)</f>
        <v>-0.0254934981880196</v>
      </c>
      <c r="I2069" s="7" t="n">
        <f aca="false">Sens!$E$2069+(glt_xbox-Sens!$E$2069)*MIN(1,(Sens!I2012-base_fy)/n_conv)</f>
        <v>-0.0103289987920131</v>
      </c>
      <c r="J2069" s="7" t="n">
        <f aca="false">Sens!$E$2069+(glt_xbox-Sens!$E$2069)*MIN(1,(Sens!J2012-base_fy)/n_conv)</f>
        <v>0.00483550060399347</v>
      </c>
      <c r="K2069" s="7" t="n">
        <f aca="false">Sens!$E$2069+(glt_xbox-Sens!$E$2069)*MIN(1,(Sens!K2012-base_fy)/n_conv)</f>
        <v>0.02</v>
      </c>
    </row>
    <row r="2070" customFormat="false" ht="15" hidden="false" customHeight="false" outlineLevel="0" collapsed="false">
      <c r="A2070" s="0" t="s">
        <v>889</v>
      </c>
      <c r="B2070" s="0" t="s">
        <v>98</v>
      </c>
      <c r="D2070" s="6" t="n">
        <f aca="false">Q!L15</f>
        <v>17.315</v>
      </c>
      <c r="E2070" s="6" t="n">
        <f aca="false">Q!M15</f>
        <v>17.087</v>
      </c>
      <c r="F2070" s="6" t="n">
        <f aca="false">Sens!E2070*(1+Sens!F2071)</f>
        <v>16.9564585436519</v>
      </c>
      <c r="G2070" s="6" t="n">
        <f aca="false">Sens!F2070*(1+Sens!G2071)</f>
        <v>16.9206490624268</v>
      </c>
      <c r="H2070" s="6" t="n">
        <f aca="false">Sens!G2070*(1+Sens!H2071)</f>
        <v>16.9784519149849</v>
      </c>
      <c r="I2070" s="6" t="n">
        <f aca="false">Sens!H2070*(1+Sens!I2071)</f>
        <v>17.1303084701817</v>
      </c>
      <c r="J2070" s="6" t="n">
        <f aca="false">Sens!I2070*(1+Sens!J2071)</f>
        <v>17.3782189407267</v>
      </c>
      <c r="K2070" s="6" t="n">
        <f aca="false">Sens!J2070*(1+Sens!K2071)</f>
        <v>17.7257833195413</v>
      </c>
    </row>
    <row r="2071" customFormat="false" ht="15" hidden="false" customHeight="false" outlineLevel="0" collapsed="false">
      <c r="A2071" s="1" t="s">
        <v>876</v>
      </c>
      <c r="B2071" s="0" t="s">
        <v>129</v>
      </c>
      <c r="E2071" s="7" t="n">
        <f aca="false">Sens!E2070/Sens!D2070-1</f>
        <v>-0.0131677736066995</v>
      </c>
      <c r="F2071" s="7" t="n">
        <f aca="false">Sens!$E$2071+(glt_win-Sens!$E$2071)*MIN(1,(Sens!F2012-base_fy)/n_conv)</f>
        <v>-0.00763981133891627</v>
      </c>
      <c r="G2071" s="7" t="n">
        <f aca="false">Sens!$E$2071+(glt_win-Sens!$E$2071)*MIN(1,(Sens!G2012-base_fy)/n_conv)</f>
        <v>-0.00211184907113301</v>
      </c>
      <c r="H2071" s="7" t="n">
        <f aca="false">Sens!$E$2071+(glt_win-Sens!$E$2071)*MIN(1,(Sens!H2012-base_fy)/n_conv)</f>
        <v>0.00341611319665024</v>
      </c>
      <c r="I2071" s="7" t="n">
        <f aca="false">Sens!$E$2071+(glt_win-Sens!$E$2071)*MIN(1,(Sens!I2012-base_fy)/n_conv)</f>
        <v>0.00894407546443349</v>
      </c>
      <c r="J2071" s="7" t="n">
        <f aca="false">Sens!$E$2071+(glt_win-Sens!$E$2071)*MIN(1,(Sens!J2012-base_fy)/n_conv)</f>
        <v>0.0144720377322168</v>
      </c>
      <c r="K2071" s="7" t="n">
        <f aca="false">Sens!$E$2071+(glt_win-Sens!$E$2071)*MIN(1,(Sens!K2012-base_fy)/n_conv)</f>
        <v>0.02</v>
      </c>
    </row>
    <row r="2072" customFormat="false" ht="15" hidden="false" customHeight="false" outlineLevel="0" collapsed="false">
      <c r="A2072" s="0" t="s">
        <v>729</v>
      </c>
      <c r="B2072" s="0" t="s">
        <v>98</v>
      </c>
      <c r="D2072" s="6" t="n">
        <f aca="false">Sens!D2066+Sens!D2068+Sens!D2070</f>
        <v>62.941</v>
      </c>
      <c r="E2072" s="6" t="n">
        <f aca="false">Sens!E2066+Sens!E2068+Sens!E2070</f>
        <v>63.712</v>
      </c>
      <c r="F2072" s="6" t="n">
        <f aca="false">Sens!F2066+Sens!F2068+Sens!F2070</f>
        <v>65.1415764563129</v>
      </c>
      <c r="G2072" s="6" t="n">
        <f aca="false">Sens!G2066+Sens!G2068+Sens!G2070</f>
        <v>67.1253610780702</v>
      </c>
      <c r="H2072" s="6" t="n">
        <f aca="false">Sens!H2066+Sens!H2068+Sens!H2070</f>
        <v>69.5768050148776</v>
      </c>
      <c r="I2072" s="6" t="n">
        <f aca="false">Sens!I2066+Sens!I2068+Sens!I2070</f>
        <v>72.4233188088189</v>
      </c>
      <c r="J2072" s="6" t="n">
        <f aca="false">Sens!J2066+Sens!J2068+Sens!J2070</f>
        <v>75.6044096678567</v>
      </c>
      <c r="K2072" s="6" t="n">
        <f aca="false">Sens!K2066+Sens!K2068+Sens!K2070</f>
        <v>79.0714397009747</v>
      </c>
    </row>
    <row r="2073" customFormat="false" ht="15" hidden="false" customHeight="false" outlineLevel="0" collapsed="false">
      <c r="A2073" s="1" t="s">
        <v>890</v>
      </c>
      <c r="B2073" s="0" t="s">
        <v>98</v>
      </c>
      <c r="D2073" s="6" t="n">
        <f aca="false">Sens!D2065+Sens!D2072</f>
        <v>281.724</v>
      </c>
      <c r="E2073" s="6" t="n">
        <f aca="false">Sens!E2065+Sens!E2072</f>
        <v>331.839</v>
      </c>
      <c r="F2073" s="6" t="n">
        <f aca="false">Sens!F2065+Sens!F2072</f>
        <v>399.407104707821</v>
      </c>
      <c r="G2073" s="6" t="n">
        <f aca="false">Sens!G2065+Sens!G2072</f>
        <v>475.197484137863</v>
      </c>
      <c r="H2073" s="6" t="n">
        <f aca="false">Sens!H2065+Sens!H2072</f>
        <v>552.773101018903</v>
      </c>
      <c r="I2073" s="6" t="n">
        <f aca="false">Sens!I2065+Sens!I2072</f>
        <v>624.326836435645</v>
      </c>
      <c r="J2073" s="6" t="n">
        <f aca="false">Sens!J2065+Sens!J2072</f>
        <v>683.323459379469</v>
      </c>
      <c r="K2073" s="6" t="n">
        <f aca="false">Sens!K2065+Sens!K2072</f>
        <v>731.449175950427</v>
      </c>
    </row>
    <row r="2074" customFormat="false" ht="15" hidden="false" customHeight="false" outlineLevel="0" collapsed="false">
      <c r="A2074" s="23" t="s">
        <v>891</v>
      </c>
      <c r="B2074" s="30" t="s">
        <v>98</v>
      </c>
      <c r="C2074" s="30"/>
      <c r="D2074" s="24" t="n">
        <f aca="false">(Sens!D2053+Sens!D2058+Sens!D2059+Sens!D2061+Sens!D2063-Sens!D2065)+(Sens!D2066+Sens!D2068+Sens!D2070-Sens!D2072)+(Sens!D2065-Q!L5)+(Sens!D2072-Q!L12)+(Sens!D2053-Q!L6)+(Sens!D2058-Q!L7)</f>
        <v>0</v>
      </c>
      <c r="E2074" s="24" t="n">
        <f aca="false">(Sens!E2053+Sens!E2058+Sens!E2059+Sens!E2061+Sens!E2063-Sens!E2065)+(Sens!E2066+Sens!E2068+Sens!E2070-Sens!E2072)+(Sens!E2065-Q!M5)+(Sens!E2072-Q!M12)+(Sens!E2053-Q!M6)+(Sens!E2058-Q!M7)</f>
        <v>0</v>
      </c>
      <c r="F2074" s="24" t="n">
        <f aca="false">(Sens!F2053+Sens!F2058+Sens!F2059+Sens!F2061+Sens!F2063-Sens!F2065)+(Sens!F2066+Sens!F2068+Sens!F2070-Sens!F2072)</f>
        <v>0</v>
      </c>
      <c r="G2074" s="24" t="n">
        <f aca="false">(Sens!G2053+Sens!G2058+Sens!G2059+Sens!G2061+Sens!G2063-Sens!G2065)+(Sens!G2066+Sens!G2068+Sens!G2070-Sens!G2072)</f>
        <v>0</v>
      </c>
      <c r="H2074" s="24" t="n">
        <f aca="false">(Sens!H2053+Sens!H2058+Sens!H2059+Sens!H2061+Sens!H2063-Sens!H2065)+(Sens!H2066+Sens!H2068+Sens!H2070-Sens!H2072)</f>
        <v>0</v>
      </c>
      <c r="I2074" s="24" t="n">
        <f aca="false">(Sens!I2053+Sens!I2058+Sens!I2059+Sens!I2061+Sens!I2063-Sens!I2065)+(Sens!I2066+Sens!I2068+Sens!I2070-Sens!I2072)</f>
        <v>0</v>
      </c>
      <c r="J2074" s="24" t="n">
        <f aca="false">(Sens!J2053+Sens!J2058+Sens!J2059+Sens!J2061+Sens!J2063-Sens!J2065)+(Sens!J2066+Sens!J2068+Sens!J2070-Sens!J2072)</f>
        <v>0</v>
      </c>
      <c r="K2074" s="24" t="n">
        <f aca="false">(Sens!K2053+Sens!K2058+Sens!K2059+Sens!K2061+Sens!K2063-Sens!K2065)+(Sens!K2066+Sens!K2068+Sens!K2070-Sens!K2072)</f>
        <v>0</v>
      </c>
    </row>
    <row r="2075" customFormat="false" ht="17.15" hidden="false" customHeight="false" outlineLevel="0" collapsed="false">
      <c r="A2075" s="3" t="s">
        <v>1314</v>
      </c>
    </row>
    <row r="2076" customFormat="false" ht="15" hidden="false" customHeight="false" outlineLevel="0" collapsed="false">
      <c r="A2076" s="4" t="s">
        <v>43</v>
      </c>
      <c r="B2076" s="4" t="s">
        <v>65</v>
      </c>
      <c r="C2076" s="20" t="s">
        <v>799</v>
      </c>
      <c r="D2076" s="20" t="s">
        <v>800</v>
      </c>
      <c r="E2076" s="20" t="s">
        <v>801</v>
      </c>
      <c r="F2076" s="20" t="s">
        <v>802</v>
      </c>
      <c r="G2076" s="20" t="s">
        <v>803</v>
      </c>
      <c r="H2076" s="20" t="s">
        <v>804</v>
      </c>
      <c r="I2076" s="20" t="s">
        <v>805</v>
      </c>
      <c r="J2076" s="20" t="s">
        <v>806</v>
      </c>
      <c r="K2076" s="20" t="s">
        <v>807</v>
      </c>
      <c r="L2076" s="4" t="s">
        <v>47</v>
      </c>
    </row>
    <row r="2077" customFormat="false" ht="15" hidden="false" customHeight="false" outlineLevel="0" collapsed="false">
      <c r="A2077" s="0" t="s">
        <v>877</v>
      </c>
      <c r="B2077" s="0" t="s">
        <v>98</v>
      </c>
      <c r="D2077" s="6" t="n">
        <f aca="false">Sens!D2053</f>
        <v>72.61</v>
      </c>
      <c r="E2077" s="6" t="n">
        <f aca="false">Sens!E2053</f>
        <v>101.938</v>
      </c>
      <c r="F2077" s="6" t="n">
        <f aca="false">Sens!F2053</f>
        <v>145.143956312325</v>
      </c>
      <c r="G2077" s="6" t="n">
        <f aca="false">Sens!G2053</f>
        <v>196.478966522364</v>
      </c>
      <c r="H2077" s="6" t="n">
        <f aca="false">Sens!H2053</f>
        <v>249.10761332251</v>
      </c>
      <c r="I2077" s="6" t="n">
        <f aca="false">Sens!I2053</f>
        <v>297.09216264734</v>
      </c>
      <c r="J2077" s="6" t="n">
        <f aca="false">Sens!J2053</f>
        <v>334.278152607443</v>
      </c>
      <c r="K2077" s="6" t="n">
        <f aca="false">Sens!K2053</f>
        <v>361.233666909276</v>
      </c>
    </row>
    <row r="2078" customFormat="false" ht="17.15" hidden="false" customHeight="false" outlineLevel="0" collapsed="false">
      <c r="A2078" s="0" t="s">
        <v>874</v>
      </c>
      <c r="B2078" s="0" t="s">
        <v>98</v>
      </c>
      <c r="D2078" s="6" t="n">
        <f aca="false">Sens!D2050</f>
        <v>12.9359794422418</v>
      </c>
      <c r="E2078" s="6" t="n">
        <f aca="false">Sens!E2050</f>
        <v>27.8095064661409</v>
      </c>
      <c r="F2078" s="6" t="n">
        <f aca="false">Sens!F2050</f>
        <v>55.0640065749585</v>
      </c>
      <c r="G2078" s="6" t="n">
        <f aca="false">Sens!G2050</f>
        <v>89.4505413190538</v>
      </c>
      <c r="H2078" s="6" t="n">
        <f aca="false">Sens!H2050</f>
        <v>124.835630736874</v>
      </c>
      <c r="I2078" s="6" t="n">
        <f aca="false">Sens!I2050</f>
        <v>156.158460265485</v>
      </c>
      <c r="J2078" s="6" t="n">
        <f aca="false">Sens!J2050</f>
        <v>178.259285293112</v>
      </c>
      <c r="K2078" s="6" t="n">
        <f aca="false">Sens!K2050</f>
        <v>192.733290209798</v>
      </c>
    </row>
    <row r="2079" customFormat="false" ht="17.15" hidden="false" customHeight="false" outlineLevel="0" collapsed="false">
      <c r="A2079" s="0" t="s">
        <v>902</v>
      </c>
      <c r="B2079" s="0" t="s">
        <v>98</v>
      </c>
      <c r="D2079" s="6" t="n">
        <f aca="false">Sens!D2051</f>
        <v>59.6740205577583</v>
      </c>
      <c r="E2079" s="6" t="n">
        <f aca="false">Sens!E2051</f>
        <v>74.1284935338591</v>
      </c>
      <c r="F2079" s="6" t="n">
        <f aca="false">Sens!F2051</f>
        <v>90.0799497373663</v>
      </c>
      <c r="G2079" s="6" t="n">
        <f aca="false">Sens!G2051</f>
        <v>107.02842520331</v>
      </c>
      <c r="H2079" s="6" t="n">
        <f aca="false">Sens!H2051</f>
        <v>124.271982585636</v>
      </c>
      <c r="I2079" s="6" t="n">
        <f aca="false">Sens!I2051</f>
        <v>140.933702381855</v>
      </c>
      <c r="J2079" s="6" t="n">
        <f aca="false">Sens!J2051</f>
        <v>156.018867314332</v>
      </c>
      <c r="K2079" s="6" t="n">
        <f aca="false">Sens!K2051</f>
        <v>168.500376699478</v>
      </c>
    </row>
    <row r="2080" customFormat="false" ht="15" hidden="false" customHeight="false" outlineLevel="0" collapsed="false">
      <c r="A2080" s="0" t="s">
        <v>883</v>
      </c>
      <c r="B2080" s="0" t="s">
        <v>98</v>
      </c>
      <c r="D2080" s="6" t="n">
        <f aca="false">Sens!D2058</f>
        <v>84.605</v>
      </c>
      <c r="E2080" s="6" t="n">
        <f aca="false">Sens!E2058</f>
        <v>100.299</v>
      </c>
      <c r="F2080" s="6" t="n">
        <f aca="false">Sens!F2058</f>
        <v>118.89238776686</v>
      </c>
      <c r="G2080" s="6" t="n">
        <f aca="false">Sens!G2058</f>
        <v>137.044168448684</v>
      </c>
      <c r="H2080" s="6" t="n">
        <f aca="false">Sens!H2058</f>
        <v>155.277359388781</v>
      </c>
      <c r="I2080" s="6" t="n">
        <f aca="false">Sens!I2058</f>
        <v>171.834028071957</v>
      </c>
      <c r="J2080" s="6" t="n">
        <f aca="false">Sens!J2058</f>
        <v>186.432702785465</v>
      </c>
      <c r="K2080" s="6" t="n">
        <f aca="false">Sens!K2058</f>
        <v>200.277991980448</v>
      </c>
    </row>
    <row r="2081" customFormat="false" ht="17.15" hidden="false" customHeight="false" outlineLevel="0" collapsed="false">
      <c r="A2081" s="0" t="s">
        <v>903</v>
      </c>
      <c r="B2081" s="0" t="s">
        <v>98</v>
      </c>
      <c r="D2081" s="6" t="n">
        <f aca="false">Sens!D2056</f>
        <v>83.705</v>
      </c>
      <c r="E2081" s="6" t="n">
        <f aca="false">Sens!E2056</f>
        <v>95.049</v>
      </c>
      <c r="F2081" s="6" t="n">
        <f aca="false">Sens!F2056</f>
        <v>106.89238776686</v>
      </c>
      <c r="G2081" s="6" t="n">
        <f aca="false">Sens!G2056</f>
        <v>119.044168448684</v>
      </c>
      <c r="H2081" s="6" t="n">
        <f aca="false">Sens!H2056</f>
        <v>131.277359388781</v>
      </c>
      <c r="I2081" s="6" t="n">
        <f aca="false">Sens!I2056</f>
        <v>143.334028071957</v>
      </c>
      <c r="J2081" s="6" t="n">
        <f aca="false">Sens!J2056</f>
        <v>154.932702785465</v>
      </c>
      <c r="K2081" s="6" t="n">
        <f aca="false">Sens!K2056</f>
        <v>165.777991980448</v>
      </c>
    </row>
    <row r="2082" customFormat="false" ht="17.15" hidden="false" customHeight="false" outlineLevel="0" collapsed="false">
      <c r="A2082" s="0" t="s">
        <v>904</v>
      </c>
      <c r="B2082" s="0" t="s">
        <v>98</v>
      </c>
      <c r="D2082" s="6" t="n">
        <f aca="false">Sens!D2055</f>
        <v>0.9</v>
      </c>
      <c r="E2082" s="6" t="n">
        <f aca="false">Sens!E2055</f>
        <v>5.25</v>
      </c>
      <c r="F2082" s="6" t="n">
        <f aca="false">Sens!F2055</f>
        <v>12</v>
      </c>
      <c r="G2082" s="6" t="n">
        <f aca="false">Sens!G2055</f>
        <v>18</v>
      </c>
      <c r="H2082" s="6" t="n">
        <f aca="false">Sens!H2055</f>
        <v>24</v>
      </c>
      <c r="I2082" s="6" t="n">
        <f aca="false">Sens!I2055</f>
        <v>28.5</v>
      </c>
      <c r="J2082" s="6" t="n">
        <f aca="false">Sens!J2055</f>
        <v>31.5</v>
      </c>
      <c r="K2082" s="6" t="n">
        <f aca="false">Sens!K2055</f>
        <v>34.5</v>
      </c>
    </row>
    <row r="2083" customFormat="false" ht="15" hidden="false" customHeight="false" outlineLevel="0" collapsed="false">
      <c r="A2083" s="0" t="s">
        <v>884</v>
      </c>
      <c r="B2083" s="0" t="s">
        <v>98</v>
      </c>
      <c r="D2083" s="6" t="n">
        <f aca="false">Sens!D2059</f>
        <v>35.391</v>
      </c>
      <c r="E2083" s="6" t="n">
        <f aca="false">Sens!E2059</f>
        <v>37.285</v>
      </c>
      <c r="F2083" s="6" t="n">
        <f aca="false">Sens!F2059</f>
        <v>39.0720834331704</v>
      </c>
      <c r="G2083" s="6" t="n">
        <f aca="false">Sens!G2059</f>
        <v>40.726562953769</v>
      </c>
      <c r="H2083" s="6" t="n">
        <f aca="false">Sens!H2059</f>
        <v>42.2235987259198</v>
      </c>
      <c r="I2083" s="6" t="n">
        <f aca="false">Sens!I2059</f>
        <v>43.5397988077414</v>
      </c>
      <c r="J2083" s="6" t="n">
        <f aca="false">Sens!J2059</f>
        <v>44.653811225693</v>
      </c>
      <c r="K2083" s="6" t="n">
        <f aca="false">Sens!K2059</f>
        <v>45.5468874502068</v>
      </c>
    </row>
    <row r="2084" customFormat="false" ht="15" hidden="false" customHeight="false" outlineLevel="0" collapsed="false">
      <c r="A2084" s="0" t="s">
        <v>885</v>
      </c>
      <c r="B2084" s="0" t="s">
        <v>98</v>
      </c>
      <c r="D2084" s="6" t="n">
        <f aca="false">Sens!D2061</f>
        <v>18.417</v>
      </c>
      <c r="E2084" s="6" t="n">
        <f aca="false">Sens!E2061</f>
        <v>20.345</v>
      </c>
      <c r="F2084" s="6" t="n">
        <f aca="false">Sens!F2061</f>
        <v>22.3572203267814</v>
      </c>
      <c r="G2084" s="6" t="n">
        <f aca="false">Sens!G2061</f>
        <v>24.4392124437232</v>
      </c>
      <c r="H2084" s="6" t="n">
        <f aca="false">Sens!H2061</f>
        <v>26.5738052080665</v>
      </c>
      <c r="I2084" s="6" t="n">
        <f aca="false">Sens!I2061</f>
        <v>28.7412169166967</v>
      </c>
      <c r="J2084" s="6" t="n">
        <f aca="false">Sens!J2061</f>
        <v>30.9192545395413</v>
      </c>
      <c r="K2084" s="6" t="n">
        <f aca="false">Sens!K2061</f>
        <v>33.0836023573092</v>
      </c>
    </row>
    <row r="2085" customFormat="false" ht="15" hidden="false" customHeight="false" outlineLevel="0" collapsed="false">
      <c r="A2085" s="0" t="s">
        <v>886</v>
      </c>
      <c r="B2085" s="0" t="s">
        <v>98</v>
      </c>
      <c r="D2085" s="6" t="n">
        <f aca="false">Sens!D2063</f>
        <v>7.76</v>
      </c>
      <c r="E2085" s="6" t="n">
        <f aca="false">Sens!E2063</f>
        <v>8.26</v>
      </c>
      <c r="F2085" s="6" t="n">
        <f aca="false">Sens!F2063</f>
        <v>8.79988041237113</v>
      </c>
      <c r="G2085" s="6" t="n">
        <f aca="false">Sens!G2063</f>
        <v>9.38321269125306</v>
      </c>
      <c r="H2085" s="6" t="n">
        <f aca="false">Sens!H2063</f>
        <v>10.0139193587476</v>
      </c>
      <c r="I2085" s="6" t="n">
        <f aca="false">Sens!I2063</f>
        <v>10.6963111830911</v>
      </c>
      <c r="J2085" s="6" t="n">
        <f aca="false">Sens!J2063</f>
        <v>11.4351285534696</v>
      </c>
      <c r="K2085" s="6" t="n">
        <f aca="false">Sens!K2063</f>
        <v>12.2355875522124</v>
      </c>
    </row>
    <row r="2086" customFormat="false" ht="15" hidden="false" customHeight="false" outlineLevel="0" collapsed="false">
      <c r="A2086" s="0" t="s">
        <v>715</v>
      </c>
      <c r="B2086" s="0" t="s">
        <v>98</v>
      </c>
      <c r="D2086" s="6" t="n">
        <f aca="false">Sens!D2065</f>
        <v>218.783</v>
      </c>
      <c r="E2086" s="6" t="n">
        <f aca="false">Sens!E2065</f>
        <v>268.127</v>
      </c>
      <c r="F2086" s="6" t="n">
        <f aca="false">Sens!F2065</f>
        <v>334.265528251508</v>
      </c>
      <c r="G2086" s="6" t="n">
        <f aca="false">Sens!G2065</f>
        <v>408.072123059793</v>
      </c>
      <c r="H2086" s="6" t="n">
        <f aca="false">Sens!H2065</f>
        <v>483.196296004025</v>
      </c>
      <c r="I2086" s="6" t="n">
        <f aca="false">Sens!I2065</f>
        <v>551.903517626826</v>
      </c>
      <c r="J2086" s="6" t="n">
        <f aca="false">Sens!J2065</f>
        <v>607.719049711612</v>
      </c>
      <c r="K2086" s="6" t="n">
        <f aca="false">Sens!K2065</f>
        <v>652.377736249452</v>
      </c>
    </row>
    <row r="2087" customFormat="false" ht="15" hidden="false" customHeight="false" outlineLevel="0" collapsed="false">
      <c r="A2087" s="0" t="s">
        <v>887</v>
      </c>
      <c r="B2087" s="0" t="s">
        <v>98</v>
      </c>
      <c r="D2087" s="6" t="n">
        <f aca="false">Sens!D2066</f>
        <v>22.171</v>
      </c>
      <c r="E2087" s="6" t="n">
        <f aca="false">Sens!E2066</f>
        <v>24.835</v>
      </c>
      <c r="F2087" s="6" t="n">
        <f aca="false">Sens!F2066</f>
        <v>27.6114901218559</v>
      </c>
      <c r="G2087" s="6" t="n">
        <f aca="false">Sens!G2066</f>
        <v>30.4675667338515</v>
      </c>
      <c r="H2087" s="6" t="n">
        <f aca="false">Sens!H2066</f>
        <v>33.3643766955789</v>
      </c>
      <c r="I2087" s="6" t="n">
        <f aca="false">Sens!I2066</f>
        <v>36.2577016533691</v>
      </c>
      <c r="J2087" s="6" t="n">
        <f aca="false">Sens!J2066</f>
        <v>39.0988367952171</v>
      </c>
      <c r="K2087" s="6" t="n">
        <f aca="false">Sens!K2066</f>
        <v>41.8357553708823</v>
      </c>
    </row>
    <row r="2088" customFormat="false" ht="15" hidden="false" customHeight="false" outlineLevel="0" collapsed="false">
      <c r="A2088" s="0" t="s">
        <v>888</v>
      </c>
      <c r="B2088" s="0" t="s">
        <v>98</v>
      </c>
      <c r="D2088" s="6" t="n">
        <f aca="false">Sens!D2068</f>
        <v>23.455</v>
      </c>
      <c r="E2088" s="6" t="n">
        <f aca="false">Sens!E2068</f>
        <v>21.79</v>
      </c>
      <c r="F2088" s="6" t="n">
        <f aca="false">Sens!F2068</f>
        <v>20.5736277908051</v>
      </c>
      <c r="G2088" s="6" t="n">
        <f aca="false">Sens!G2068</f>
        <v>19.7371452817919</v>
      </c>
      <c r="H2088" s="6" t="n">
        <f aca="false">Sens!H2068</f>
        <v>19.2339764043138</v>
      </c>
      <c r="I2088" s="6" t="n">
        <f aca="false">Sens!I2068</f>
        <v>19.0353086852681</v>
      </c>
      <c r="J2088" s="6" t="n">
        <f aca="false">Sens!J2068</f>
        <v>19.1273539319129</v>
      </c>
      <c r="K2088" s="6" t="n">
        <f aca="false">Sens!K2068</f>
        <v>19.5099010105511</v>
      </c>
    </row>
    <row r="2089" customFormat="false" ht="15" hidden="false" customHeight="false" outlineLevel="0" collapsed="false">
      <c r="A2089" s="0" t="s">
        <v>889</v>
      </c>
      <c r="B2089" s="0" t="s">
        <v>98</v>
      </c>
      <c r="D2089" s="6" t="n">
        <f aca="false">Sens!D2070</f>
        <v>17.315</v>
      </c>
      <c r="E2089" s="6" t="n">
        <f aca="false">Sens!E2070</f>
        <v>17.087</v>
      </c>
      <c r="F2089" s="6" t="n">
        <f aca="false">Sens!F2070</f>
        <v>16.9564585436519</v>
      </c>
      <c r="G2089" s="6" t="n">
        <f aca="false">Sens!G2070</f>
        <v>16.9206490624268</v>
      </c>
      <c r="H2089" s="6" t="n">
        <f aca="false">Sens!H2070</f>
        <v>16.9784519149849</v>
      </c>
      <c r="I2089" s="6" t="n">
        <f aca="false">Sens!I2070</f>
        <v>17.1303084701817</v>
      </c>
      <c r="J2089" s="6" t="n">
        <f aca="false">Sens!J2070</f>
        <v>17.3782189407267</v>
      </c>
      <c r="K2089" s="6" t="n">
        <f aca="false">Sens!K2070</f>
        <v>17.7257833195413</v>
      </c>
    </row>
    <row r="2090" customFormat="false" ht="15" hidden="false" customHeight="false" outlineLevel="0" collapsed="false">
      <c r="A2090" s="0" t="s">
        <v>729</v>
      </c>
      <c r="B2090" s="0" t="s">
        <v>98</v>
      </c>
      <c r="D2090" s="6" t="n">
        <f aca="false">Sens!D2072</f>
        <v>62.941</v>
      </c>
      <c r="E2090" s="6" t="n">
        <f aca="false">Sens!E2072</f>
        <v>63.712</v>
      </c>
      <c r="F2090" s="6" t="n">
        <f aca="false">Sens!F2072</f>
        <v>65.1415764563129</v>
      </c>
      <c r="G2090" s="6" t="n">
        <f aca="false">Sens!G2072</f>
        <v>67.1253610780702</v>
      </c>
      <c r="H2090" s="6" t="n">
        <f aca="false">Sens!H2072</f>
        <v>69.5768050148776</v>
      </c>
      <c r="I2090" s="6" t="n">
        <f aca="false">Sens!I2072</f>
        <v>72.4233188088189</v>
      </c>
      <c r="J2090" s="6" t="n">
        <f aca="false">Sens!J2072</f>
        <v>75.6044096678567</v>
      </c>
      <c r="K2090" s="6" t="n">
        <f aca="false">Sens!K2072</f>
        <v>79.0714397009747</v>
      </c>
    </row>
    <row r="2091" customFormat="false" ht="15" hidden="false" customHeight="false" outlineLevel="0" collapsed="false">
      <c r="A2091" s="1" t="s">
        <v>905</v>
      </c>
      <c r="B2091" s="0" t="s">
        <v>98</v>
      </c>
      <c r="D2091" s="6" t="n">
        <f aca="false">Sens!D2073</f>
        <v>281.724</v>
      </c>
      <c r="E2091" s="6" t="n">
        <f aca="false">Sens!E2073</f>
        <v>331.839</v>
      </c>
      <c r="F2091" s="6" t="n">
        <f aca="false">Sens!F2073</f>
        <v>399.407104707821</v>
      </c>
      <c r="G2091" s="6" t="n">
        <f aca="false">Sens!G2073</f>
        <v>475.197484137863</v>
      </c>
      <c r="H2091" s="6" t="n">
        <f aca="false">Sens!H2073</f>
        <v>552.773101018903</v>
      </c>
      <c r="I2091" s="6" t="n">
        <f aca="false">Sens!I2073</f>
        <v>624.326836435645</v>
      </c>
      <c r="J2091" s="6" t="n">
        <f aca="false">Sens!J2073</f>
        <v>683.323459379469</v>
      </c>
      <c r="K2091" s="6" t="n">
        <f aca="false">Sens!K2073</f>
        <v>731.449175950427</v>
      </c>
    </row>
    <row r="2092" customFormat="false" ht="15" hidden="false" customHeight="false" outlineLevel="0" collapsed="false">
      <c r="A2092" s="1" t="s">
        <v>906</v>
      </c>
      <c r="B2092" s="0" t="s">
        <v>129</v>
      </c>
      <c r="E2092" s="7" t="n">
        <f aca="false">Sens!E2091/Sens!D2091-1</f>
        <v>0.177886867998467</v>
      </c>
      <c r="F2092" s="7" t="n">
        <f aca="false">Sens!F2091/Sens!E2091-1</f>
        <v>0.203617129715978</v>
      </c>
      <c r="G2092" s="7" t="n">
        <f aca="false">Sens!G2091/Sens!F2091-1</f>
        <v>0.189757213972159</v>
      </c>
      <c r="H2092" s="7" t="n">
        <f aca="false">Sens!H2091/Sens!G2091-1</f>
        <v>0.163249216316418</v>
      </c>
      <c r="I2092" s="7" t="n">
        <f aca="false">Sens!I2091/Sens!H2091-1</f>
        <v>0.129445038633121</v>
      </c>
      <c r="J2092" s="7" t="n">
        <f aca="false">Sens!J2091/Sens!I2091-1</f>
        <v>0.0944963751368479</v>
      </c>
      <c r="K2092" s="7" t="n">
        <f aca="false">Sens!K2091/Sens!J2091-1</f>
        <v>0.0704288955843271</v>
      </c>
    </row>
    <row r="2093" customFormat="false" ht="17.15" hidden="false" customHeight="false" outlineLevel="0" collapsed="false">
      <c r="A2093" s="23" t="s">
        <v>907</v>
      </c>
      <c r="B2093" s="30" t="s">
        <v>98</v>
      </c>
      <c r="C2093" s="30"/>
      <c r="D2093" s="24" t="n">
        <f aca="false">(Sens!D2086+Sens!D2090-Sens!D2091)+(Sens!D2078+Sens!D2079-Sens!D2077)+(Sens!D2081+Sens!D2082-Sens!D2080)+(Sens!D2091-Q!L18)</f>
        <v>0</v>
      </c>
      <c r="E2093" s="24" t="n">
        <f aca="false">(Sens!E2086+Sens!E2090-Sens!E2091)+(Sens!E2078+Sens!E2079-Sens!E2077)+(Sens!E2081+Sens!E2082-Sens!E2080)+(Sens!E2091-Q!M18)</f>
        <v>0</v>
      </c>
      <c r="F2093" s="24" t="n">
        <f aca="false">(Sens!F2086+Sens!F2090-Sens!F2091)+(Sens!F2078+Sens!F2079-Sens!F2077)+(Sens!F2081+Sens!F2082-Sens!F2080)</f>
        <v>0</v>
      </c>
      <c r="G2093" s="24" t="n">
        <f aca="false">(Sens!G2086+Sens!G2090-Sens!G2091)+(Sens!G2078+Sens!G2079-Sens!G2077)+(Sens!G2081+Sens!G2082-Sens!G2080)</f>
        <v>0</v>
      </c>
      <c r="H2093" s="24" t="n">
        <f aca="false">(Sens!H2086+Sens!H2090-Sens!H2091)+(Sens!H2078+Sens!H2079-Sens!H2077)+(Sens!H2081+Sens!H2082-Sens!H2080)</f>
        <v>0</v>
      </c>
      <c r="I2093" s="24" t="n">
        <f aca="false">(Sens!I2086+Sens!I2090-Sens!I2091)+(Sens!I2078+Sens!I2079-Sens!I2077)+(Sens!I2081+Sens!I2082-Sens!I2080)</f>
        <v>0</v>
      </c>
      <c r="J2093" s="24" t="n">
        <f aca="false">(Sens!J2086+Sens!J2090-Sens!J2091)+(Sens!J2078+Sens!J2079-Sens!J2077)+(Sens!J2081+Sens!J2082-Sens!J2080)</f>
        <v>0</v>
      </c>
      <c r="K2093" s="24" t="n">
        <f aca="false">(Sens!K2086+Sens!K2090-Sens!K2091)+(Sens!K2078+Sens!K2079-Sens!K2077)+(Sens!K2081+Sens!K2082-Sens!K2080)</f>
        <v>0</v>
      </c>
    </row>
    <row r="2094" customFormat="false" ht="17.15" hidden="false" customHeight="false" outlineLevel="0" collapsed="false">
      <c r="A2094" s="0" t="s">
        <v>908</v>
      </c>
      <c r="B2094" s="0" t="s">
        <v>129</v>
      </c>
      <c r="E2094" s="7" t="n">
        <f aca="false">(Q!M21+Sens!E2031+Sens!E2032+Sens!E2033+Sens!E2046-Sens!E2029)/(Q!M5-Sens!E2029)</f>
        <v>0.591291114837517</v>
      </c>
      <c r="F2094" s="7" t="n">
        <f aca="false">Sens!$E$2094+dm_seg</f>
        <v>0.591291114837517</v>
      </c>
      <c r="G2094" s="7" t="n">
        <f aca="false">Sens!$E$2094+dm_seg</f>
        <v>0.591291114837517</v>
      </c>
      <c r="H2094" s="7" t="n">
        <f aca="false">Sens!$E$2094+dm_seg</f>
        <v>0.591291114837517</v>
      </c>
      <c r="I2094" s="7" t="n">
        <f aca="false">Sens!$E$2094+dm_seg</f>
        <v>0.591291114837517</v>
      </c>
      <c r="J2094" s="7" t="n">
        <f aca="false">Sens!$E$2094+dm_seg</f>
        <v>0.591291114837517</v>
      </c>
      <c r="K2094" s="7" t="n">
        <f aca="false">Sens!$E$2094+dm_seg</f>
        <v>0.591291114837517</v>
      </c>
      <c r="L2094" s="11" t="s">
        <v>909</v>
      </c>
    </row>
    <row r="2095" customFormat="false" ht="17.15" hidden="false" customHeight="false" outlineLevel="0" collapsed="false">
      <c r="A2095" s="0" t="s">
        <v>743</v>
      </c>
      <c r="B2095" s="0" t="s">
        <v>98</v>
      </c>
      <c r="D2095" s="6" t="n">
        <f aca="false">Q!L21</f>
        <v>110.814</v>
      </c>
      <c r="E2095" s="6" t="n">
        <f aca="false">Q!M21</f>
        <v>136.365</v>
      </c>
      <c r="F2095" s="6" t="n">
        <f aca="false">Sens!F2094*(Sens!F2065-Sens!F2029)+Sens!F2029-(Sens!F2031+Sens!F2032+Sens!F2033)-Sens!F2046-Sens!F2129</f>
        <v>153.88955908274</v>
      </c>
      <c r="G2095" s="6" t="n">
        <f aca="false">Sens!G2094*(Sens!G2065-Sens!G2029)+Sens!G2029-(Sens!G2031+Sens!G2032+Sens!G2033)-Sens!G2046-Sens!G2129</f>
        <v>167.82339354272</v>
      </c>
      <c r="H2095" s="6" t="n">
        <f aca="false">Sens!H2094*(Sens!H2065-Sens!H2029)+Sens!H2029-(Sens!H2031+Sens!H2032+Sens!H2033)-Sens!H2046-Sens!H2129</f>
        <v>180.586752698599</v>
      </c>
      <c r="I2095" s="6" t="n">
        <f aca="false">Sens!I2094*(Sens!I2065-Sens!I2029)+Sens!I2029-(Sens!I2031+Sens!I2032+Sens!I2033)-Sens!I2046-Sens!I2129</f>
        <v>193.281205329845</v>
      </c>
      <c r="J2095" s="6" t="n">
        <f aca="false">Sens!J2094*(Sens!J2065-Sens!J2029)+Sens!J2029-(Sens!J2031+Sens!J2032+Sens!J2033)-Sens!J2046-Sens!J2129</f>
        <v>206.50527751915</v>
      </c>
      <c r="K2095" s="6" t="n">
        <f aca="false">Sens!K2094*(Sens!K2065-Sens!K2029)+Sens!K2029-(Sens!K2031+Sens!K2032+Sens!K2033)-Sens!K2046-Sens!K2129</f>
        <v>220.929811023825</v>
      </c>
      <c r="L2095" s="1" t="s">
        <v>910</v>
      </c>
    </row>
    <row r="2096" customFormat="false" ht="17.15" hidden="false" customHeight="false" outlineLevel="0" collapsed="false">
      <c r="A2096" s="0" t="s">
        <v>911</v>
      </c>
      <c r="B2096" s="0" t="s">
        <v>129</v>
      </c>
      <c r="E2096" s="7" t="n">
        <f aca="false">Q!M22/Q!M12</f>
        <v>0.296207935710698</v>
      </c>
      <c r="F2096" s="7" t="n">
        <f aca="false">Sens!$E$2096+dm_seg</f>
        <v>0.296207935710698</v>
      </c>
      <c r="G2096" s="7" t="n">
        <f aca="false">Sens!$E$2096+dm_seg</f>
        <v>0.296207935710698</v>
      </c>
      <c r="H2096" s="7" t="n">
        <f aca="false">Sens!$E$2096+dm_seg</f>
        <v>0.296207935710698</v>
      </c>
      <c r="I2096" s="7" t="n">
        <f aca="false">Sens!$E$2096+dm_seg</f>
        <v>0.296207935710698</v>
      </c>
      <c r="J2096" s="7" t="n">
        <f aca="false">Sens!$E$2096+dm_seg</f>
        <v>0.296207935710698</v>
      </c>
      <c r="K2096" s="7" t="n">
        <f aca="false">Sens!$E$2096+dm_seg</f>
        <v>0.296207935710698</v>
      </c>
      <c r="L2096" s="11" t="s">
        <v>912</v>
      </c>
    </row>
    <row r="2097" customFormat="false" ht="17.15" hidden="false" customHeight="false" outlineLevel="0" collapsed="false">
      <c r="A2097" s="0" t="s">
        <v>745</v>
      </c>
      <c r="B2097" s="0" t="s">
        <v>98</v>
      </c>
      <c r="D2097" s="6" t="n">
        <f aca="false">Q!L22</f>
        <v>17.714</v>
      </c>
      <c r="E2097" s="6" t="n">
        <f aca="false">Q!M22</f>
        <v>18.872</v>
      </c>
      <c r="F2097" s="6" t="n">
        <f aca="false">Sens!F2072*Sens!F2096</f>
        <v>19.2954518910651</v>
      </c>
      <c r="G2097" s="6" t="n">
        <f aca="false">Sens!G2072*Sens!G2096</f>
        <v>19.8830646387704</v>
      </c>
      <c r="H2097" s="6" t="n">
        <f aca="false">Sens!H2072*Sens!H2096</f>
        <v>20.6092017868026</v>
      </c>
      <c r="I2097" s="6" t="n">
        <f aca="false">Sens!I2072*Sens!I2096</f>
        <v>21.452361761678</v>
      </c>
      <c r="J2097" s="6" t="n">
        <f aca="false">Sens!J2072*Sens!J2096</f>
        <v>22.3946261183418</v>
      </c>
      <c r="K2097" s="6" t="n">
        <f aca="false">Sens!K2072*Sens!K2096</f>
        <v>23.4215879274986</v>
      </c>
    </row>
    <row r="2098" customFormat="false" ht="15" hidden="false" customHeight="false" outlineLevel="0" collapsed="false">
      <c r="A2098" s="1" t="s">
        <v>913</v>
      </c>
      <c r="B2098" s="0" t="s">
        <v>98</v>
      </c>
      <c r="D2098" s="6" t="n">
        <f aca="false">Sens!D2095+Sens!D2097</f>
        <v>128.528</v>
      </c>
      <c r="E2098" s="6" t="n">
        <f aca="false">Sens!E2095+Sens!E2097</f>
        <v>155.237</v>
      </c>
      <c r="F2098" s="6" t="n">
        <f aca="false">Sens!F2095+Sens!F2097</f>
        <v>173.185010973805</v>
      </c>
      <c r="G2098" s="6" t="n">
        <f aca="false">Sens!G2095+Sens!G2097</f>
        <v>187.70645818149</v>
      </c>
      <c r="H2098" s="6" t="n">
        <f aca="false">Sens!H2095+Sens!H2097</f>
        <v>201.195954485401</v>
      </c>
      <c r="I2098" s="6" t="n">
        <f aca="false">Sens!I2095+Sens!I2097</f>
        <v>214.733567091523</v>
      </c>
      <c r="J2098" s="6" t="n">
        <f aca="false">Sens!J2095+Sens!J2097</f>
        <v>228.899903637492</v>
      </c>
      <c r="K2098" s="6" t="n">
        <f aca="false">Sens!K2095+Sens!K2097</f>
        <v>244.351398951323</v>
      </c>
    </row>
    <row r="2099" customFormat="false" ht="15" hidden="false" customHeight="false" outlineLevel="0" collapsed="false">
      <c r="A2099" s="23" t="s">
        <v>914</v>
      </c>
      <c r="B2099" s="30" t="s">
        <v>98</v>
      </c>
      <c r="C2099" s="30"/>
      <c r="D2099" s="24" t="n">
        <f aca="false">Sens!D2098-Q!L23</f>
        <v>0</v>
      </c>
      <c r="E2099" s="24" t="n">
        <f aca="false">Sens!E2098-Q!M23</f>
        <v>0</v>
      </c>
      <c r="F2099" s="30"/>
      <c r="G2099" s="30"/>
      <c r="H2099" s="30"/>
      <c r="I2099" s="30"/>
      <c r="J2099" s="30"/>
      <c r="K2099" s="30"/>
    </row>
    <row r="2100" customFormat="false" ht="15" hidden="false" customHeight="false" outlineLevel="0" collapsed="false">
      <c r="A2100" s="1" t="s">
        <v>915</v>
      </c>
      <c r="B2100" s="0" t="s">
        <v>129</v>
      </c>
      <c r="D2100" s="7" t="n">
        <f aca="false">Sens!D2098/Sens!D2091</f>
        <v>0.456219562408598</v>
      </c>
      <c r="E2100" s="7" t="n">
        <f aca="false">Sens!E2098/Sens!E2091</f>
        <v>0.467808184089272</v>
      </c>
      <c r="F2100" s="7" t="n">
        <f aca="false">Sens!F2098/Sens!F2091</f>
        <v>0.43360523368881</v>
      </c>
      <c r="G2100" s="7" t="n">
        <f aca="false">Sens!G2098/Sens!G2091</f>
        <v>0.395007264236763</v>
      </c>
      <c r="H2100" s="7" t="n">
        <f aca="false">Sens!H2098/Sens!H2091</f>
        <v>0.363975660383158</v>
      </c>
      <c r="I2100" s="7" t="n">
        <f aca="false">Sens!I2098/Sens!I2091</f>
        <v>0.343944156425282</v>
      </c>
      <c r="J2100" s="7" t="n">
        <f aca="false">Sens!J2098/Sens!J2091</f>
        <v>0.334980309098941</v>
      </c>
      <c r="K2100" s="7" t="n">
        <f aca="false">Sens!K2098/Sens!K2091</f>
        <v>0.334064767567506</v>
      </c>
    </row>
    <row r="2101" customFormat="false" ht="17.15" hidden="false" customHeight="false" outlineLevel="0" collapsed="false">
      <c r="A2101" s="1" t="s">
        <v>916</v>
      </c>
      <c r="B2101" s="0" t="s">
        <v>98</v>
      </c>
      <c r="F2101" s="6" t="n">
        <f aca="false">Sens!F2116</f>
        <v>15.7381088634224</v>
      </c>
      <c r="G2101" s="6" t="n">
        <f aca="false">Sens!G2116</f>
        <v>39.2825431624238</v>
      </c>
      <c r="H2101" s="6" t="n">
        <f aca="false">Sens!H2116</f>
        <v>65.1279458872078</v>
      </c>
      <c r="I2101" s="6" t="n">
        <f aca="false">Sens!I2116</f>
        <v>88.568646672375</v>
      </c>
      <c r="J2101" s="6" t="n">
        <f aca="false">Sens!J2116</f>
        <v>105.143367318323</v>
      </c>
      <c r="K2101" s="6" t="n">
        <f aca="false">Sens!K2116</f>
        <v>115.004312665856</v>
      </c>
      <c r="L2101" s="1" t="s">
        <v>917</v>
      </c>
    </row>
    <row r="2102" customFormat="false" ht="17.15" hidden="false" customHeight="false" outlineLevel="0" collapsed="false">
      <c r="A2102" s="1" t="s">
        <v>918</v>
      </c>
      <c r="B2102" s="0" t="s">
        <v>98</v>
      </c>
      <c r="D2102" s="6" t="n">
        <f aca="false">Sens!D2098</f>
        <v>128.528</v>
      </c>
      <c r="E2102" s="6" t="n">
        <f aca="false">Sens!E2098</f>
        <v>155.237</v>
      </c>
      <c r="F2102" s="6" t="n">
        <f aca="false">Sens!F2098+Sens!F2101</f>
        <v>188.923119837228</v>
      </c>
      <c r="G2102" s="6" t="n">
        <f aca="false">Sens!G2098+Sens!G2101</f>
        <v>226.989001343914</v>
      </c>
      <c r="H2102" s="6" t="n">
        <f aca="false">Sens!H2098+Sens!H2101</f>
        <v>266.323900372609</v>
      </c>
      <c r="I2102" s="6" t="n">
        <f aca="false">Sens!I2098+Sens!I2101</f>
        <v>303.302213763898</v>
      </c>
      <c r="J2102" s="6" t="n">
        <f aca="false">Sens!J2098+Sens!J2101</f>
        <v>334.043270955815</v>
      </c>
      <c r="K2102" s="6" t="n">
        <f aca="false">Sens!K2098+Sens!K2101</f>
        <v>359.355711617179</v>
      </c>
    </row>
    <row r="2103" customFormat="false" ht="17.15" hidden="false" customHeight="false" outlineLevel="0" collapsed="false">
      <c r="A2103" s="1" t="s">
        <v>919</v>
      </c>
      <c r="B2103" s="0" t="s">
        <v>98</v>
      </c>
      <c r="E2103" s="6" t="n">
        <f aca="false">Sens!E2046</f>
        <v>19.5664871725</v>
      </c>
      <c r="F2103" s="6" t="n">
        <f aca="false">Sens!F2046</f>
        <v>40.8598648571467</v>
      </c>
      <c r="G2103" s="6" t="n">
        <f aca="false">Sens!G2046</f>
        <v>70.9505245326133</v>
      </c>
      <c r="H2103" s="6" t="n">
        <f aca="false">Sens!H2046</f>
        <v>103.633223811973</v>
      </c>
      <c r="I2103" s="6" t="n">
        <f aca="false">Sens!I2046</f>
        <v>132.726892598871</v>
      </c>
      <c r="J2103" s="6" t="n">
        <f aca="false">Sens!J2046</f>
        <v>153.597987423412</v>
      </c>
      <c r="K2103" s="6" t="n">
        <f aca="false">Sens!K2046</f>
        <v>166.95775685317</v>
      </c>
    </row>
    <row r="2104" customFormat="false" ht="17.15" hidden="false" customHeight="false" outlineLevel="0" collapsed="false">
      <c r="A2104" s="1" t="s">
        <v>920</v>
      </c>
      <c r="B2104" s="0" t="s">
        <v>98</v>
      </c>
      <c r="E2104" s="6" t="n">
        <f aca="false">Sens!E2128</f>
        <v>18.9675128275</v>
      </c>
      <c r="F2104" s="6" t="n">
        <f aca="false">Sens!F2128</f>
        <v>20.6286962677062</v>
      </c>
      <c r="G2104" s="6" t="n">
        <f aca="false">Sens!G2128</f>
        <v>22.6811159979745</v>
      </c>
      <c r="H2104" s="6" t="n">
        <f aca="false">Sens!H2128</f>
        <v>25.0941557625861</v>
      </c>
      <c r="I2104" s="6" t="n">
        <f aca="false">Sens!I2128</f>
        <v>27.8045802174918</v>
      </c>
      <c r="J2104" s="6" t="n">
        <f aca="false">Sens!J2128</f>
        <v>30.73221352078</v>
      </c>
      <c r="K2104" s="6" t="n">
        <f aca="false">Sens!K2128</f>
        <v>33.7958624429014</v>
      </c>
    </row>
    <row r="2105" customFormat="false" ht="17.15" hidden="false" customHeight="false" outlineLevel="0" collapsed="false">
      <c r="A2105" s="1" t="s">
        <v>921</v>
      </c>
      <c r="B2105" s="0" t="s">
        <v>98</v>
      </c>
      <c r="D2105" s="6" t="n">
        <f aca="false">Q!L27</f>
        <v>-4.901</v>
      </c>
      <c r="E2105" s="6" t="n">
        <f aca="false">Q!M27</f>
        <v>10.697</v>
      </c>
      <c r="F2105" s="6" t="n">
        <f aca="false">oie_f</f>
        <v>-0.4</v>
      </c>
      <c r="G2105" s="6" t="n">
        <f aca="false">oie_f</f>
        <v>-0.4</v>
      </c>
      <c r="H2105" s="6" t="n">
        <f aca="false">oie_f</f>
        <v>-0.4</v>
      </c>
      <c r="I2105" s="6" t="n">
        <f aca="false">oie_f</f>
        <v>-0.4</v>
      </c>
      <c r="J2105" s="6" t="n">
        <f aca="false">oie_f</f>
        <v>-0.4</v>
      </c>
      <c r="K2105" s="6" t="n">
        <f aca="false">oie_f</f>
        <v>-0.4</v>
      </c>
      <c r="L2105" s="11" t="s">
        <v>922</v>
      </c>
    </row>
    <row r="2106" customFormat="false" ht="15" hidden="false" customHeight="false" outlineLevel="0" collapsed="false">
      <c r="A2106" s="1" t="s">
        <v>923</v>
      </c>
      <c r="B2106" s="0" t="s">
        <v>98</v>
      </c>
      <c r="D2106" s="6" t="n">
        <f aca="false">Sens!D2098+Sens!D2105</f>
        <v>123.627</v>
      </c>
      <c r="E2106" s="6" t="n">
        <f aca="false">Sens!E2098+Sens!E2105</f>
        <v>165.934</v>
      </c>
      <c r="F2106" s="6" t="n">
        <f aca="false">Sens!F2098+Sens!F2105</f>
        <v>172.785010973805</v>
      </c>
      <c r="G2106" s="6" t="n">
        <f aca="false">Sens!G2098+Sens!G2105</f>
        <v>187.30645818149</v>
      </c>
      <c r="H2106" s="6" t="n">
        <f aca="false">Sens!H2098+Sens!H2105</f>
        <v>200.795954485401</v>
      </c>
      <c r="I2106" s="6" t="n">
        <f aca="false">Sens!I2098+Sens!I2105</f>
        <v>214.333567091523</v>
      </c>
      <c r="J2106" s="6" t="n">
        <f aca="false">Sens!J2098+Sens!J2105</f>
        <v>228.499903637492</v>
      </c>
      <c r="K2106" s="6" t="n">
        <f aca="false">Sens!K2098+Sens!K2105</f>
        <v>243.951398951323</v>
      </c>
    </row>
    <row r="2107" customFormat="false" ht="15" hidden="false" customHeight="false" outlineLevel="0" collapsed="false">
      <c r="A2107" s="1" t="s">
        <v>924</v>
      </c>
      <c r="B2107" s="0" t="s">
        <v>98</v>
      </c>
      <c r="D2107" s="6" t="n">
        <f aca="false">Q!L29</f>
        <v>21.795</v>
      </c>
      <c r="E2107" s="6" t="n">
        <f aca="false">Q!M29</f>
        <v>32.185</v>
      </c>
      <c r="F2107" s="6" t="n">
        <f aca="false">Sens!F2106*tax_f</f>
        <v>34.5570021947611</v>
      </c>
      <c r="G2107" s="6" t="n">
        <f aca="false">Sens!G2106*tax_f</f>
        <v>37.461291636298</v>
      </c>
      <c r="H2107" s="6" t="n">
        <f aca="false">Sens!H2106*tax_f</f>
        <v>40.1591908970802</v>
      </c>
      <c r="I2107" s="6" t="n">
        <f aca="false">Sens!I2106*tax_f</f>
        <v>42.8667134183046</v>
      </c>
      <c r="J2107" s="6" t="n">
        <f aca="false">Sens!J2106*tax_f</f>
        <v>45.6999807274984</v>
      </c>
      <c r="K2107" s="6" t="n">
        <f aca="false">Sens!K2106*tax_f</f>
        <v>48.7902797902647</v>
      </c>
    </row>
    <row r="2108" customFormat="false" ht="15" hidden="false" customHeight="false" outlineLevel="0" collapsed="false">
      <c r="A2108" s="1" t="s">
        <v>925</v>
      </c>
      <c r="B2108" s="0" t="s">
        <v>98</v>
      </c>
      <c r="D2108" s="6" t="n">
        <f aca="false">Sens!D2106-Sens!D2107</f>
        <v>101.832</v>
      </c>
      <c r="E2108" s="6" t="n">
        <f aca="false">Sens!E2106-Sens!E2107</f>
        <v>133.749</v>
      </c>
      <c r="F2108" s="6" t="n">
        <f aca="false">Sens!F2106-Sens!F2107</f>
        <v>138.228008779044</v>
      </c>
      <c r="G2108" s="6" t="n">
        <f aca="false">Sens!G2106-Sens!G2107</f>
        <v>149.845166545192</v>
      </c>
      <c r="H2108" s="6" t="n">
        <f aca="false">Sens!H2106-Sens!H2107</f>
        <v>160.636763588321</v>
      </c>
      <c r="I2108" s="6" t="n">
        <f aca="false">Sens!I2106-Sens!I2107</f>
        <v>171.466853673218</v>
      </c>
      <c r="J2108" s="6" t="n">
        <f aca="false">Sens!J2106-Sens!J2107</f>
        <v>182.799922909994</v>
      </c>
      <c r="K2108" s="6" t="n">
        <f aca="false">Sens!K2106-Sens!K2107</f>
        <v>195.161119161059</v>
      </c>
    </row>
    <row r="2109" customFormat="false" ht="17.15" hidden="false" customHeight="false" outlineLevel="0" collapsed="false">
      <c r="A2109" s="1" t="s">
        <v>926</v>
      </c>
      <c r="B2109" s="1" t="s">
        <v>81</v>
      </c>
      <c r="D2109" s="14" t="n">
        <f aca="false">Q!L31</f>
        <v>7.465</v>
      </c>
      <c r="E2109" s="14" t="n">
        <f aca="false">Q!M31</f>
        <v>7.453</v>
      </c>
      <c r="F2109" s="14" t="n">
        <f aca="false">Sens!F2152</f>
        <v>7.4735</v>
      </c>
      <c r="G2109" s="14" t="n">
        <f aca="false">Sens!G2152</f>
        <v>7.5185</v>
      </c>
      <c r="H2109" s="14" t="n">
        <f aca="false">Sens!H2152</f>
        <v>7.5635</v>
      </c>
      <c r="I2109" s="14" t="n">
        <f aca="false">Sens!I2152</f>
        <v>7.59252924615736</v>
      </c>
      <c r="J2109" s="14" t="n">
        <f aca="false">Sens!J2152</f>
        <v>7.60677075727524</v>
      </c>
      <c r="K2109" s="14" t="n">
        <f aca="false">Sens!K2152</f>
        <v>7.62329067497699</v>
      </c>
    </row>
    <row r="2110" customFormat="false" ht="17.15" hidden="false" customHeight="false" outlineLevel="0" collapsed="false">
      <c r="A2110" s="0" t="s">
        <v>927</v>
      </c>
      <c r="B2110" s="0" t="s">
        <v>75</v>
      </c>
      <c r="D2110" s="8" t="n">
        <f aca="false">Sens!D2108/Sens!D2109</f>
        <v>13.641259209645</v>
      </c>
      <c r="E2110" s="8" t="n">
        <f aca="false">Sens!E2108/Sens!E2109</f>
        <v>17.9456594659869</v>
      </c>
      <c r="F2110" s="8" t="n">
        <f aca="false">Sens!F2108/Sens!F2109</f>
        <v>18.4957528305405</v>
      </c>
      <c r="G2110" s="8" t="n">
        <f aca="false">Sens!G2108/Sens!G2109</f>
        <v>19.9301943931891</v>
      </c>
      <c r="H2110" s="8" t="n">
        <f aca="false">Sens!H2108/Sens!H2109</f>
        <v>21.2384165516389</v>
      </c>
      <c r="I2110" s="8" t="n">
        <f aca="false">Sens!I2108/Sens!I2109</f>
        <v>22.5836276837523</v>
      </c>
      <c r="J2110" s="8" t="n">
        <f aca="false">Sens!J2108/Sens!J2109</f>
        <v>24.0312122900721</v>
      </c>
      <c r="K2110" s="8" t="n">
        <f aca="false">Sens!K2108/Sens!K2109</f>
        <v>25.6006398656244</v>
      </c>
      <c r="L2110" s="1" t="s">
        <v>928</v>
      </c>
    </row>
    <row r="2111" customFormat="false" ht="17.15" hidden="false" customHeight="false" outlineLevel="0" collapsed="false">
      <c r="A2111" s="1" t="s">
        <v>929</v>
      </c>
      <c r="B2111" s="0" t="s">
        <v>98</v>
      </c>
      <c r="D2111" s="6" t="n">
        <f aca="false">Sens!D2108</f>
        <v>101.832</v>
      </c>
      <c r="E2111" s="6" t="n">
        <f aca="false">Sens!E2108</f>
        <v>133.749</v>
      </c>
      <c r="F2111" s="6" t="n">
        <f aca="false">Sens!F2108+Sens!F2101*(1-tax_f)</f>
        <v>150.818495869782</v>
      </c>
      <c r="G2111" s="6" t="n">
        <f aca="false">Sens!G2108+Sens!G2101*(1-tax_f)</f>
        <v>181.271201075131</v>
      </c>
      <c r="H2111" s="6" t="n">
        <f aca="false">Sens!H2108+Sens!H2101*(1-tax_f)</f>
        <v>212.739120298087</v>
      </c>
      <c r="I2111" s="6" t="n">
        <f aca="false">Sens!I2108+Sens!I2101*(1-tax_f)</f>
        <v>242.321771011118</v>
      </c>
      <c r="J2111" s="6" t="n">
        <f aca="false">Sens!J2108+Sens!J2101*(1-tax_f)</f>
        <v>266.914616764652</v>
      </c>
      <c r="K2111" s="6" t="n">
        <f aca="false">Sens!K2108+Sens!K2101*(1-tax_f)</f>
        <v>287.164569293743</v>
      </c>
    </row>
    <row r="2112" customFormat="false" ht="17.15" hidden="false" customHeight="false" outlineLevel="0" collapsed="false">
      <c r="A2112" s="0" t="s">
        <v>930</v>
      </c>
      <c r="B2112" s="0" t="s">
        <v>75</v>
      </c>
      <c r="D2112" s="8" t="n">
        <f aca="false">Sens!D2111/Sens!D2109</f>
        <v>13.641259209645</v>
      </c>
      <c r="E2112" s="8" t="n">
        <f aca="false">Sens!E2111/Sens!E2109</f>
        <v>17.9456594659869</v>
      </c>
      <c r="F2112" s="8" t="n">
        <f aca="false">Sens!F2111/Sens!F2109</f>
        <v>20.1804369933475</v>
      </c>
      <c r="G2112" s="8" t="n">
        <f aca="false">Sens!G2111/Sens!G2109</f>
        <v>24.1100220888649</v>
      </c>
      <c r="H2112" s="8" t="n">
        <f aca="false">Sens!H2111/Sens!H2109</f>
        <v>28.127073484245</v>
      </c>
      <c r="I2112" s="8" t="n">
        <f aca="false">Sens!I2111/Sens!I2109</f>
        <v>31.9158166079846</v>
      </c>
      <c r="J2112" s="8" t="n">
        <f aca="false">Sens!J2111/Sens!J2109</f>
        <v>35.0890838282948</v>
      </c>
      <c r="K2112" s="8" t="n">
        <f aca="false">Sens!K2111/Sens!K2109</f>
        <v>37.6693716056695</v>
      </c>
      <c r="L2112" s="1" t="s">
        <v>931</v>
      </c>
    </row>
    <row r="2113" customFormat="false" ht="17.15" hidden="false" customHeight="false" outlineLevel="0" collapsed="false">
      <c r="A2113" s="0" t="s">
        <v>932</v>
      </c>
      <c r="B2113" s="0" t="s">
        <v>129</v>
      </c>
      <c r="E2113" s="7" t="n">
        <f aca="false">Sens!E2112/Sens!D2112-1</f>
        <v>0.315542736208578</v>
      </c>
      <c r="F2113" s="7" t="n">
        <f aca="false">Sens!F2112/Sens!E2112-1</f>
        <v>0.124530253769513</v>
      </c>
      <c r="G2113" s="7" t="n">
        <f aca="false">Sens!G2112/Sens!F2112-1</f>
        <v>0.194722497674995</v>
      </c>
      <c r="H2113" s="7" t="n">
        <f aca="false">Sens!H2112/Sens!G2112-1</f>
        <v>0.166613343636683</v>
      </c>
      <c r="I2113" s="7" t="n">
        <f aca="false">Sens!I2112/Sens!H2112-1</f>
        <v>0.134700935945641</v>
      </c>
      <c r="J2113" s="7" t="n">
        <f aca="false">Sens!J2112/Sens!I2112-1</f>
        <v>0.0994261641269187</v>
      </c>
      <c r="K2113" s="7" t="n">
        <f aca="false">Sens!K2112/Sens!J2112-1</f>
        <v>0.0735353419314435</v>
      </c>
    </row>
    <row r="2114" customFormat="false" ht="17.15" hidden="false" customHeight="false" outlineLevel="0" collapsed="false">
      <c r="A2114" s="0" t="s">
        <v>856</v>
      </c>
      <c r="B2114" s="0" t="s">
        <v>98</v>
      </c>
      <c r="E2114" s="6" t="n">
        <f aca="false">Sens!E2055</f>
        <v>5.25</v>
      </c>
      <c r="F2114" s="6" t="n">
        <f aca="false">Sens!F2055</f>
        <v>12</v>
      </c>
      <c r="G2114" s="6" t="n">
        <f aca="false">Sens!G2055</f>
        <v>18</v>
      </c>
      <c r="H2114" s="6" t="n">
        <f aca="false">Sens!H2055</f>
        <v>24</v>
      </c>
      <c r="I2114" s="6" t="n">
        <f aca="false">Sens!I2055</f>
        <v>28.5</v>
      </c>
      <c r="J2114" s="6" t="n">
        <f aca="false">Sens!J2055</f>
        <v>31.5</v>
      </c>
      <c r="K2114" s="6" t="n">
        <f aca="false">Sens!K2055</f>
        <v>34.5</v>
      </c>
    </row>
    <row r="2115" customFormat="false" ht="17.15" hidden="false" customHeight="false" outlineLevel="0" collapsed="false">
      <c r="A2115" s="1" t="s">
        <v>857</v>
      </c>
      <c r="B2115" s="0" t="s">
        <v>98</v>
      </c>
      <c r="F2115" s="6" t="n">
        <f aca="false">MAX(0,((Sens!E2018+Sens!F2018)/2-(shadow_base*(Sens!$D$2018+Sens!$E$2018)/2+(1-shadow_base)*Sens!$E$2018))*Sens!F2026/1000-(Sens!F2114-Sens!$E$2114)*Sens!F2094)</f>
        <v>15.7381088634224</v>
      </c>
      <c r="G2115" s="6" t="n">
        <f aca="false">MAX(0,((Sens!F2018+Sens!G2018)/2-(shadow_base*(Sens!$D$2018+Sens!$E$2018)/2+(1-shadow_base)*Sens!$E$2018))*Sens!G2026/1000-(Sens!G2114-Sens!$E$2114)*Sens!G2094)</f>
        <v>39.2825431624238</v>
      </c>
      <c r="H2115" s="6" t="n">
        <f aca="false">MAX(0,((Sens!G2018+Sens!H2018)/2-(shadow_base*(Sens!$D$2018+Sens!$E$2018)/2+(1-shadow_base)*Sens!$E$2018))*Sens!H2026/1000-(Sens!H2114-Sens!$E$2114)*Sens!H2094)</f>
        <v>65.1279458872078</v>
      </c>
      <c r="I2115" s="6" t="n">
        <f aca="false">MAX(0,((Sens!H2018+Sens!I2018)/2-(shadow_base*(Sens!$D$2018+Sens!$E$2018)/2+(1-shadow_base)*Sens!$E$2018))*Sens!I2026/1000-(Sens!I2114-Sens!$E$2114)*Sens!I2094)</f>
        <v>88.568646672375</v>
      </c>
      <c r="J2115" s="6" t="n">
        <f aca="false">MAX(0,((Sens!I2018+Sens!J2018)/2-(shadow_base*(Sens!$D$2018+Sens!$E$2018)/2+(1-shadow_base)*Sens!$E$2018))*Sens!J2026/1000-(Sens!J2114-Sens!$E$2114)*Sens!J2094)</f>
        <v>105.143367318323</v>
      </c>
      <c r="K2115" s="6" t="n">
        <f aca="false">MAX(0,((Sens!J2018+Sens!K2018)/2-(shadow_base*(Sens!$D$2018+Sens!$E$2018)/2+(1-shadow_base)*Sens!$E$2018))*Sens!K2026/1000-(Sens!K2114-Sens!$E$2114)*Sens!K2094)</f>
        <v>115.004312665856</v>
      </c>
      <c r="L2115" s="1" t="s">
        <v>858</v>
      </c>
    </row>
    <row r="2116" customFormat="false" ht="17.15" hidden="false" customHeight="false" outlineLevel="0" collapsed="false">
      <c r="A2116" s="1" t="s">
        <v>859</v>
      </c>
      <c r="B2116" s="0" t="s">
        <v>98</v>
      </c>
      <c r="F2116" s="6" t="n">
        <f aca="false">IF(internal_ai_reading=2,1,0)*Sens!F2115</f>
        <v>15.7381088634224</v>
      </c>
      <c r="G2116" s="6" t="n">
        <f aca="false">IF(internal_ai_reading=2,1,0)*Sens!G2115</f>
        <v>39.2825431624238</v>
      </c>
      <c r="H2116" s="6" t="n">
        <f aca="false">IF(internal_ai_reading=2,1,0)*Sens!H2115</f>
        <v>65.1279458872078</v>
      </c>
      <c r="I2116" s="6" t="n">
        <f aca="false">IF(internal_ai_reading=2,1,0)*Sens!I2115</f>
        <v>88.568646672375</v>
      </c>
      <c r="J2116" s="6" t="n">
        <f aca="false">IF(internal_ai_reading=2,1,0)*Sens!J2115</f>
        <v>105.143367318323</v>
      </c>
      <c r="K2116" s="6" t="n">
        <f aca="false">IF(internal_ai_reading=2,1,0)*Sens!K2115</f>
        <v>115.004312665856</v>
      </c>
    </row>
    <row r="2117" customFormat="false" ht="17.15" hidden="false" customHeight="false" outlineLevel="0" collapsed="false">
      <c r="A2117" s="0" t="s">
        <v>860</v>
      </c>
      <c r="B2117" s="0" t="s">
        <v>98</v>
      </c>
      <c r="F2117" s="6" t="n">
        <f aca="false">Sens!F2035+Sens!F2114*Sens!F2094+Sens!F2116-Sens!F2036-Sens!F2046</f>
        <v>11.6337823077551</v>
      </c>
      <c r="G2117" s="6" t="n">
        <f aca="false">Sens!G2035+Sens!G2114*Sens!G2094+Sens!G2116-Sens!G2036-Sens!G2046</f>
        <v>29.3510664934442</v>
      </c>
      <c r="H2117" s="6" t="n">
        <f aca="false">Sens!H2035+Sens!H2114*Sens!H2094+Sens!H2116-Sens!H2036-Sens!H2046</f>
        <v>48.0102080621789</v>
      </c>
      <c r="I2117" s="6" t="n">
        <f aca="false">Sens!I2035+Sens!I2114*Sens!I2094+Sens!I2116-Sens!I2036-Sens!I2046</f>
        <v>64.7011126164647</v>
      </c>
      <c r="J2117" s="6" t="n">
        <f aca="false">Sens!J2035+Sens!J2114*Sens!J2094+Sens!J2116-Sens!J2036-Sens!J2046</f>
        <v>76.3385720739828</v>
      </c>
      <c r="K2117" s="6" t="n">
        <f aca="false">Sens!K2035+Sens!K2114*Sens!K2094+Sens!K2116-Sens!K2036-Sens!K2046</f>
        <v>84.5499902239146</v>
      </c>
    </row>
    <row r="2118" customFormat="false" ht="17.15" hidden="false" customHeight="false" outlineLevel="0" collapsed="false">
      <c r="A2118" s="0" t="s">
        <v>861</v>
      </c>
      <c r="B2118" s="0" t="s">
        <v>98</v>
      </c>
      <c r="E2118" s="6" t="n">
        <f aca="false">Sens!E2017*(cxit_open+self_build*tk_cxfac)/1000*ai_net_open</f>
        <v>152.03764584</v>
      </c>
      <c r="F2118" s="6" t="n">
        <f aca="false">Sens!E2118+Sens!F2043-Sens!F2046</f>
        <v>303.577232028613</v>
      </c>
      <c r="G2118" s="6" t="n">
        <f aca="false">Sens!F2118+Sens!G2043-Sens!G2046</f>
        <v>452.91572407584</v>
      </c>
      <c r="H2118" s="6" t="n">
        <f aca="false">Sens!G2118+Sens!H2043-Sens!H2046</f>
        <v>574.978843356347</v>
      </c>
      <c r="I2118" s="6" t="n">
        <f aca="false">Sens!H2118+Sens!I2043-Sens!I2046</f>
        <v>638.69995374257</v>
      </c>
      <c r="J2118" s="6" t="n">
        <f aca="false">Sens!I2118+Sens!J2043-Sens!J2046</f>
        <v>637.719690232249</v>
      </c>
      <c r="K2118" s="6" t="n">
        <f aca="false">Sens!J2118+Sens!K2043-Sens!K2046</f>
        <v>616.450831743388</v>
      </c>
      <c r="L2118" s="1" t="s">
        <v>862</v>
      </c>
    </row>
    <row r="2119" customFormat="false" ht="17.15" hidden="false" customHeight="false" outlineLevel="0" collapsed="false">
      <c r="A2119" s="0" t="s">
        <v>863</v>
      </c>
      <c r="B2119" s="0" t="s">
        <v>129</v>
      </c>
      <c r="F2119" s="7" t="n">
        <f aca="false">Sens!F2117*(1-tax_f)/((Sens!E2118+Sens!F2118)/2)</f>
        <v>0.04085479337173</v>
      </c>
      <c r="G2119" s="7" t="n">
        <f aca="false">Sens!G2117*(1-tax_f)/((Sens!F2118+Sens!G2118)/2)</f>
        <v>0.0620781806500078</v>
      </c>
      <c r="H2119" s="7" t="n">
        <f aca="false">Sens!H2117*(1-tax_f)/((Sens!G2118+Sens!H2118)/2)</f>
        <v>0.0747317237908781</v>
      </c>
      <c r="I2119" s="7" t="n">
        <f aca="false">Sens!I2117*(1-tax_f)/((Sens!H2118+Sens!I2118)/2)</f>
        <v>0.0852958628211961</v>
      </c>
      <c r="J2119" s="7" t="n">
        <f aca="false">Sens!J2117*(1-tax_f)/((Sens!I2118+Sens!J2118)/2)</f>
        <v>0.0956908771303602</v>
      </c>
      <c r="K2119" s="7" t="n">
        <f aca="false">Sens!K2117*(1-tax_f)/((Sens!J2118+Sens!K2118)/2)</f>
        <v>0.107864107781104</v>
      </c>
    </row>
    <row r="2120" customFormat="false" ht="17.15" hidden="false" customHeight="false" outlineLevel="0" collapsed="false">
      <c r="A2120" s="1" t="s">
        <v>864</v>
      </c>
      <c r="B2120" s="0" t="s">
        <v>129</v>
      </c>
      <c r="F2120" s="7" t="n">
        <f aca="false">(Sens!F2117-Sens!F2116)*(1-tax_f)/((Sens!E2118+Sens!F2118)/2)</f>
        <v>-0.014413318809491</v>
      </c>
      <c r="G2120" s="7" t="n">
        <f aca="false">(Sens!G2117-Sens!G2116)*(1-tax_f)/((Sens!F2118+Sens!G2118)/2)</f>
        <v>-0.0210053015591771</v>
      </c>
      <c r="H2120" s="7" t="n">
        <f aca="false">(Sens!H2117-Sens!H2116)*(1-tax_f)/((Sens!G2118+Sens!H2118)/2)</f>
        <v>-0.0266451262491502</v>
      </c>
      <c r="I2120" s="7" t="n">
        <f aca="false">(Sens!I2117-Sens!I2116)*(1-tax_f)/((Sens!H2118+Sens!I2118)/2)</f>
        <v>-0.0314647125588239</v>
      </c>
      <c r="J2120" s="7" t="n">
        <f aca="false">(Sens!J2117-Sens!J2116)*(1-tax_f)/((Sens!I2118+Sens!J2118)/2)</f>
        <v>-0.0361069908383938</v>
      </c>
      <c r="K2120" s="7" t="n">
        <f aca="false">(Sens!K2117-Sens!K2116)*(1-tax_f)/((Sens!J2118+Sens!K2118)/2)</f>
        <v>-0.0388519065416626</v>
      </c>
    </row>
    <row r="2121" customFormat="false" ht="17.15" hidden="false" customHeight="false" outlineLevel="0" collapsed="false">
      <c r="A2121" s="1" t="s">
        <v>865</v>
      </c>
      <c r="B2121" s="0" t="s">
        <v>129</v>
      </c>
      <c r="F2121" s="7" t="n">
        <f aca="false">(Sens!F2117-Sens!F2116+Sens!F2115)*(1-tax_f)/((Sens!E2118+Sens!F2118)/2)</f>
        <v>0.04085479337173</v>
      </c>
      <c r="G2121" s="7" t="n">
        <f aca="false">(Sens!G2117-Sens!G2116+Sens!G2115)*(1-tax_f)/((Sens!F2118+Sens!G2118)/2)</f>
        <v>0.0620781806500078</v>
      </c>
      <c r="H2121" s="7" t="n">
        <f aca="false">(Sens!H2117-Sens!H2116+Sens!H2115)*(1-tax_f)/((Sens!G2118+Sens!H2118)/2)</f>
        <v>0.0747317237908781</v>
      </c>
      <c r="I2121" s="7" t="n">
        <f aca="false">(Sens!I2117-Sens!I2116+Sens!I2115)*(1-tax_f)/((Sens!H2118+Sens!I2118)/2)</f>
        <v>0.0852958628211961</v>
      </c>
      <c r="J2121" s="7" t="n">
        <f aca="false">(Sens!J2117-Sens!J2116+Sens!J2115)*(1-tax_f)/((Sens!I2118+Sens!J2118)/2)</f>
        <v>0.0956908771303602</v>
      </c>
      <c r="K2121" s="7" t="n">
        <f aca="false">(Sens!K2117-Sens!K2116+Sens!K2115)*(1-tax_f)/((Sens!J2118+Sens!K2118)/2)</f>
        <v>0.107864107781104</v>
      </c>
    </row>
    <row r="2122" customFormat="false" ht="17.15" hidden="false" customHeight="false" outlineLevel="0" collapsed="false">
      <c r="A2122" s="1" t="s">
        <v>866</v>
      </c>
      <c r="B2122" s="0" t="s">
        <v>129</v>
      </c>
      <c r="F2122" s="7" t="n">
        <f aca="false">Sens!F2047*(1-tax_f)/(Sens!F2034*(Sens!E2118+Sens!F2118)/2)</f>
        <v>0.133653288300971</v>
      </c>
      <c r="G2122" s="7" t="n">
        <f aca="false">Sens!G2047*(1-tax_f)/(Sens!G2034*(Sens!F2118+Sens!G2118)/2)</f>
        <v>0.131459221834535</v>
      </c>
      <c r="H2122" s="7" t="n">
        <f aca="false">Sens!H2047*(1-tax_f)/(Sens!H2034*(Sens!G2118+Sens!H2118)/2)</f>
        <v>0.135120575835084</v>
      </c>
      <c r="I2122" s="7" t="n">
        <f aca="false">Sens!I2047*(1-tax_f)/(Sens!I2034*(Sens!H2118+Sens!I2118)/2)</f>
        <v>0.143323969665222</v>
      </c>
      <c r="J2122" s="7" t="n">
        <f aca="false">Sens!J2047*(1-tax_f)/(Sens!J2034*(Sens!I2118+Sens!J2118)/2)</f>
        <v>0.155570128388075</v>
      </c>
      <c r="K2122" s="7" t="n">
        <f aca="false">Sens!K2047*(1-tax_f)/(Sens!K2034*(Sens!J2118+Sens!K2118)/2)</f>
        <v>0.172427697111622</v>
      </c>
    </row>
    <row r="2123" customFormat="false" ht="17.15" hidden="false" customHeight="false" outlineLevel="0" collapsed="false">
      <c r="A2123" s="0" t="s">
        <v>867</v>
      </c>
      <c r="B2123" s="0" t="s">
        <v>209</v>
      </c>
      <c r="F2123" s="7" t="n">
        <f aca="false">Sens!F2119-wacc</f>
        <v>-0.0620796267211458</v>
      </c>
      <c r="G2123" s="7" t="n">
        <f aca="false">Sens!G2119-wacc</f>
        <v>-0.0408562394428679</v>
      </c>
      <c r="H2123" s="7" t="n">
        <f aca="false">Sens!H2119-wacc</f>
        <v>-0.0282026963019977</v>
      </c>
      <c r="I2123" s="7" t="n">
        <f aca="false">Sens!I2119-wacc</f>
        <v>-0.0176385572716796</v>
      </c>
      <c r="J2123" s="7" t="n">
        <f aca="false">Sens!J2119-wacc</f>
        <v>-0.00724354296251555</v>
      </c>
      <c r="K2123" s="7" t="n">
        <f aca="false">Sens!K2119-wacc</f>
        <v>0.0049296876882282</v>
      </c>
    </row>
    <row r="2124" customFormat="false" ht="17.15" hidden="false" customHeight="false" outlineLevel="0" collapsed="false">
      <c r="A2124" s="0" t="s">
        <v>868</v>
      </c>
      <c r="B2124" s="0" t="s">
        <v>98</v>
      </c>
      <c r="F2124" s="6" t="n">
        <f aca="false">Sens!F2117*(1-tax_f)-wacc*(Sens!E2118+Sens!F2118)/2</f>
        <v>-14.142200773342</v>
      </c>
      <c r="G2124" s="6" t="n">
        <f aca="false">Sens!G2117*(1-tax_f)-wacc*(Sens!F2118+Sens!G2118)/2</f>
        <v>-15.4537286757233</v>
      </c>
      <c r="H2124" s="6" t="n">
        <f aca="false">Sens!H2117*(1-tax_f)-wacc*(Sens!G2118+Sens!H2118)/2</f>
        <v>-14.4946991578816</v>
      </c>
      <c r="I2124" s="6" t="n">
        <f aca="false">Sens!I2117*(1-tax_f)-wacc*(Sens!H2118+Sens!I2118)/2</f>
        <v>-10.7037714860262</v>
      </c>
      <c r="J2124" s="6" t="n">
        <f aca="false">Sens!J2117*(1-tax_f)-wacc*(Sens!I2118+Sens!J2118)/2</f>
        <v>-4.6229002646652</v>
      </c>
      <c r="K2124" s="6" t="n">
        <f aca="false">Sens!K2117*(1-tax_f)-wacc*(Sens!J2118+Sens!K2118)/2</f>
        <v>3.09133449056101</v>
      </c>
    </row>
    <row r="2125" customFormat="false" ht="17.15" hidden="false" customHeight="false" outlineLevel="0" collapsed="false">
      <c r="A2125" s="3" t="s">
        <v>1315</v>
      </c>
    </row>
    <row r="2126" customFormat="false" ht="15" hidden="false" customHeight="false" outlineLevel="0" collapsed="false">
      <c r="A2126" s="4" t="s">
        <v>43</v>
      </c>
      <c r="B2126" s="4" t="s">
        <v>65</v>
      </c>
      <c r="C2126" s="20" t="s">
        <v>799</v>
      </c>
      <c r="D2126" s="20" t="s">
        <v>800</v>
      </c>
      <c r="E2126" s="20" t="s">
        <v>801</v>
      </c>
      <c r="F2126" s="20" t="s">
        <v>802</v>
      </c>
      <c r="G2126" s="20" t="s">
        <v>803</v>
      </c>
      <c r="H2126" s="20" t="s">
        <v>804</v>
      </c>
      <c r="I2126" s="20" t="s">
        <v>805</v>
      </c>
      <c r="J2126" s="20" t="s">
        <v>806</v>
      </c>
      <c r="K2126" s="20" t="s">
        <v>807</v>
      </c>
      <c r="L2126" s="4" t="s">
        <v>47</v>
      </c>
    </row>
    <row r="2127" customFormat="false" ht="15" hidden="false" customHeight="false" outlineLevel="0" collapsed="false">
      <c r="A2127" s="1" t="s">
        <v>925</v>
      </c>
      <c r="B2127" s="0" t="s">
        <v>98</v>
      </c>
      <c r="F2127" s="6" t="n">
        <f aca="false">Sens!F2108</f>
        <v>138.228008779044</v>
      </c>
      <c r="G2127" s="6" t="n">
        <f aca="false">Sens!G2108</f>
        <v>149.845166545192</v>
      </c>
      <c r="H2127" s="6" t="n">
        <f aca="false">Sens!H2108</f>
        <v>160.636763588321</v>
      </c>
      <c r="I2127" s="6" t="n">
        <f aca="false">Sens!I2108</f>
        <v>171.466853673218</v>
      </c>
      <c r="J2127" s="6" t="n">
        <f aca="false">Sens!J2108</f>
        <v>182.799922909994</v>
      </c>
      <c r="K2127" s="6" t="n">
        <f aca="false">Sens!K2108</f>
        <v>195.161119161059</v>
      </c>
    </row>
    <row r="2128" customFormat="false" ht="17.15" hidden="false" customHeight="false" outlineLevel="0" collapsed="false">
      <c r="A2128" s="1" t="s">
        <v>947</v>
      </c>
      <c r="B2128" s="0" t="s">
        <v>98</v>
      </c>
      <c r="E2128" s="6" t="n">
        <f aca="false">Q!M38-Sens!E2046</f>
        <v>18.9675128275</v>
      </c>
      <c r="F2128" s="6" t="n">
        <f aca="false">Sens!E2128*(1-1/life_nonai)+(Sens!F2135+Sens!F2136)/life_nonai</f>
        <v>20.6286962677062</v>
      </c>
      <c r="G2128" s="6" t="n">
        <f aca="false">Sens!F2128*(1-1/life_nonai)+(Sens!G2135)/life_nonai</f>
        <v>22.6811159979745</v>
      </c>
      <c r="H2128" s="6" t="n">
        <f aca="false">Sens!G2128*(1-1/life_nonai)+(Sens!H2135)/life_nonai</f>
        <v>25.0941557625861</v>
      </c>
      <c r="I2128" s="6" t="n">
        <f aca="false">Sens!H2128*(1-1/life_nonai)+(Sens!I2135)/life_nonai</f>
        <v>27.8045802174918</v>
      </c>
      <c r="J2128" s="6" t="n">
        <f aca="false">Sens!I2128*(1-1/life_nonai)+(Sens!J2135)/life_nonai</f>
        <v>30.73221352078</v>
      </c>
      <c r="K2128" s="6" t="n">
        <f aca="false">Sens!J2128*(1-1/life_nonai)+(Sens!K2135)/life_nonai</f>
        <v>33.7958624429014</v>
      </c>
      <c r="L2128" s="11" t="s">
        <v>948</v>
      </c>
    </row>
    <row r="2129" customFormat="false" ht="17.15" hidden="false" customHeight="false" outlineLevel="0" collapsed="false">
      <c r="A2129" s="1" t="s">
        <v>949</v>
      </c>
      <c r="B2129" s="0" t="s">
        <v>98</v>
      </c>
      <c r="F2129" s="6" t="n">
        <f aca="false">Sens!$F$2136/life_nonai*(1-1/life_nonai)^(Sens!F2012-2027)</f>
        <v>0</v>
      </c>
      <c r="G2129" s="6" t="n">
        <f aca="false">Sens!$F$2136/life_nonai*(1-1/life_nonai)^(Sens!G2012-2027)</f>
        <v>0</v>
      </c>
      <c r="H2129" s="6" t="n">
        <f aca="false">Sens!$F$2136/life_nonai*(1-1/life_nonai)^(Sens!H2012-2027)</f>
        <v>0</v>
      </c>
      <c r="I2129" s="6" t="n">
        <f aca="false">Sens!$F$2136/life_nonai*(1-1/life_nonai)^(Sens!I2012-2027)</f>
        <v>0</v>
      </c>
      <c r="J2129" s="6" t="n">
        <f aca="false">Sens!$F$2136/life_nonai*(1-1/life_nonai)^(Sens!J2012-2027)</f>
        <v>0</v>
      </c>
      <c r="K2129" s="6" t="n">
        <f aca="false">Sens!$F$2136/life_nonai*(1-1/life_nonai)^(Sens!K2012-2027)</f>
        <v>0</v>
      </c>
      <c r="L2129" s="1" t="s">
        <v>950</v>
      </c>
    </row>
    <row r="2130" customFormat="false" ht="17.15" hidden="false" customHeight="false" outlineLevel="0" collapsed="false">
      <c r="A2130" s="1" t="s">
        <v>951</v>
      </c>
      <c r="B2130" s="0" t="s">
        <v>98</v>
      </c>
      <c r="E2130" s="6" t="n">
        <f aca="false">Sens!E2046+Sens!E2128</f>
        <v>38.534</v>
      </c>
      <c r="F2130" s="6" t="n">
        <f aca="false">Sens!F2046+Sens!F2128</f>
        <v>61.4885611248529</v>
      </c>
      <c r="G2130" s="6" t="n">
        <f aca="false">Sens!G2046+Sens!G2128</f>
        <v>93.6316405305879</v>
      </c>
      <c r="H2130" s="6" t="n">
        <f aca="false">Sens!H2046+Sens!H2128</f>
        <v>128.727379574559</v>
      </c>
      <c r="I2130" s="6" t="n">
        <f aca="false">Sens!I2046+Sens!I2128</f>
        <v>160.531472816363</v>
      </c>
      <c r="J2130" s="6" t="n">
        <f aca="false">Sens!J2046+Sens!J2128</f>
        <v>184.330200944192</v>
      </c>
      <c r="K2130" s="6" t="n">
        <f aca="false">Sens!K2046+Sens!K2128</f>
        <v>200.753619296071</v>
      </c>
    </row>
    <row r="2131" customFormat="false" ht="17.15" hidden="false" customHeight="false" outlineLevel="0" collapsed="false">
      <c r="A2131" s="1" t="s">
        <v>952</v>
      </c>
      <c r="B2131" s="0" t="s">
        <v>98</v>
      </c>
      <c r="F2131" s="6" t="n">
        <f aca="false">Sens!F2073*sbc_r</f>
        <v>14.9308704941267</v>
      </c>
      <c r="G2131" s="6" t="n">
        <f aca="false">Sens!G2073*sbc_r</f>
        <v>17.7641108812713</v>
      </c>
      <c r="H2131" s="6" t="n">
        <f aca="false">Sens!H2073*sbc_r</f>
        <v>20.6640880611968</v>
      </c>
      <c r="I2131" s="6" t="n">
        <f aca="false">Sens!I2073*sbc_r</f>
        <v>23.3389517385966</v>
      </c>
      <c r="J2131" s="6" t="n">
        <f aca="false">Sens!J2073*sbc_r</f>
        <v>25.5443980773879</v>
      </c>
      <c r="K2131" s="6" t="n">
        <f aca="false">Sens!K2073*sbc_r</f>
        <v>27.3434618223447</v>
      </c>
    </row>
    <row r="2132" customFormat="false" ht="17.15" hidden="false" customHeight="false" outlineLevel="0" collapsed="false">
      <c r="A2132" s="1" t="s">
        <v>953</v>
      </c>
      <c r="B2132" s="0" t="s">
        <v>98</v>
      </c>
      <c r="F2132" s="6" t="n">
        <f aca="false">wc27</f>
        <v>-4.895</v>
      </c>
      <c r="G2132" s="6" t="n">
        <f aca="false">wc_f</f>
        <v>0</v>
      </c>
      <c r="H2132" s="6" t="n">
        <f aca="false">wc_f</f>
        <v>0</v>
      </c>
      <c r="I2132" s="6" t="n">
        <f aca="false">wc_f</f>
        <v>0</v>
      </c>
      <c r="J2132" s="6" t="n">
        <f aca="false">wc_f</f>
        <v>0</v>
      </c>
      <c r="K2132" s="6" t="n">
        <f aca="false">wc_f</f>
        <v>0</v>
      </c>
      <c r="L2132" s="11" t="s">
        <v>954</v>
      </c>
    </row>
    <row r="2133" customFormat="false" ht="15" hidden="false" customHeight="false" outlineLevel="0" collapsed="false">
      <c r="A2133" s="1" t="s">
        <v>767</v>
      </c>
      <c r="B2133" s="0" t="s">
        <v>98</v>
      </c>
      <c r="E2133" s="6" t="n">
        <f aca="false">Q!M35</f>
        <v>182.935</v>
      </c>
      <c r="F2133" s="6" t="n">
        <f aca="false">Sens!F2127+Sens!F2130+Sens!F2131+Sens!F2132</f>
        <v>209.752440398024</v>
      </c>
      <c r="G2133" s="6" t="n">
        <f aca="false">Sens!G2127+Sens!G2130+Sens!G2131+Sens!G2132</f>
        <v>261.240917957051</v>
      </c>
      <c r="H2133" s="6" t="n">
        <f aca="false">Sens!H2127+Sens!H2130+Sens!H2131+Sens!H2132</f>
        <v>310.028231224077</v>
      </c>
      <c r="I2133" s="6" t="n">
        <f aca="false">Sens!I2127+Sens!I2130+Sens!I2131+Sens!I2132</f>
        <v>355.337278228178</v>
      </c>
      <c r="J2133" s="6" t="n">
        <f aca="false">Sens!J2127+Sens!J2130+Sens!J2131+Sens!J2132</f>
        <v>392.674521931574</v>
      </c>
      <c r="K2133" s="6" t="n">
        <f aca="false">Sens!K2127+Sens!K2130+Sens!K2131+Sens!K2132</f>
        <v>423.258200279474</v>
      </c>
    </row>
    <row r="2134" customFormat="false" ht="17.15" hidden="false" customHeight="false" outlineLevel="0" collapsed="false">
      <c r="A2134" s="0" t="s">
        <v>955</v>
      </c>
      <c r="B2134" s="0" t="s">
        <v>98</v>
      </c>
      <c r="F2134" s="6" t="n">
        <f aca="false">Sens!F2043</f>
        <v>192.39945104576</v>
      </c>
      <c r="G2134" s="6" t="n">
        <f aca="false">Sens!G2043</f>
        <v>220.28901657984</v>
      </c>
      <c r="H2134" s="6" t="n">
        <f aca="false">Sens!H2043</f>
        <v>225.69634309248</v>
      </c>
      <c r="I2134" s="6" t="n">
        <f aca="false">Sens!I2043</f>
        <v>196.448002985094</v>
      </c>
      <c r="J2134" s="6" t="n">
        <f aca="false">Sens!J2043</f>
        <v>152.617723913091</v>
      </c>
      <c r="K2134" s="6" t="n">
        <f aca="false">Sens!K2043</f>
        <v>145.688898364309</v>
      </c>
    </row>
    <row r="2135" customFormat="false" ht="17.15" hidden="false" customHeight="false" outlineLevel="0" collapsed="false">
      <c r="A2135" s="1" t="s">
        <v>956</v>
      </c>
      <c r="B2135" s="0" t="s">
        <v>98</v>
      </c>
      <c r="E2135" s="6" t="n">
        <f aca="false">Sens!E2051*cx_azo+Sens!E2058*cx_m365+Sens!E2059*cx_lic+(Sens!E2061+Sens!E2063)*cx_ind+Sens!E2066*cx_srch+(Sens!E2068+Sens!E2070)*cx_dev</f>
        <v>30.1846587067718</v>
      </c>
      <c r="F2135" s="6" t="n">
        <f aca="false">Sens!F2051*cx_azo+Sens!F2058*cx_m365+Sens!F2059*cx_lic+(Sens!F2061+Sens!F2063)*cx_ind+Sens!F2066*cx_srch+(Sens!F2068+Sens!F2070)*cx_dev</f>
        <v>35.5793472295625</v>
      </c>
      <c r="G2135" s="6" t="n">
        <f aca="false">Sens!G2051*cx_azo+Sens!G2058*cx_m365+Sens!G2059*cx_lic+(Sens!G2061+Sens!G2063)*cx_ind+Sens!G2066*cx_srch+(Sens!G2068+Sens!G2070)*cx_dev</f>
        <v>41.1528935703892</v>
      </c>
      <c r="H2135" s="6" t="n">
        <f aca="false">Sens!H2051*cx_azo+Sens!H2058*cx_m365+Sens!H2059*cx_lic+(Sens!H2061+Sens!H2063)*cx_ind+Sens!H2066*cx_srch+(Sens!H2068+Sens!H2070)*cx_dev</f>
        <v>46.8115136440897</v>
      </c>
      <c r="I2135" s="6" t="n">
        <f aca="false">Sens!I2051*cx_azo+Sens!I2058*cx_m365+Sens!I2059*cx_lic+(Sens!I2061+Sens!I2063)*cx_ind+Sens!I2066*cx_srch+(Sens!I2068+Sens!I2070)*cx_dev</f>
        <v>52.1984003116439</v>
      </c>
      <c r="J2135" s="6" t="n">
        <f aca="false">Sens!J2051*cx_azo+Sens!J2058*cx_m365+Sens!J2059*cx_lic+(Sens!J2061+Sens!J2063)*cx_ind+Sens!J2066*cx_srch+(Sens!J2068+Sens!J2070)*cx_dev</f>
        <v>57.0809132503738</v>
      </c>
      <c r="K2135" s="6" t="n">
        <f aca="false">Sens!K2051*cx_azo+Sens!K2058*cx_m365+Sens!K2059*cx_lic+(Sens!K2061+Sens!K2063)*cx_ind+Sens!K2066*cx_srch+(Sens!K2068+Sens!K2070)*cx_dev</f>
        <v>61.368702741994</v>
      </c>
    </row>
    <row r="2136" customFormat="false" ht="17.15" hidden="false" customHeight="false" outlineLevel="0" collapsed="false">
      <c r="A2136" s="0" t="s">
        <v>957</v>
      </c>
      <c r="B2136" s="0" t="s">
        <v>98</v>
      </c>
      <c r="F2136" s="6" t="n">
        <f aca="false">Sens!F2041</f>
        <v>0</v>
      </c>
      <c r="L2136" s="1" t="s">
        <v>958</v>
      </c>
    </row>
    <row r="2137" customFormat="false" ht="17.15" hidden="false" customHeight="false" outlineLevel="0" collapsed="false">
      <c r="A2137" s="1" t="s">
        <v>959</v>
      </c>
      <c r="B2137" s="0" t="s">
        <v>98</v>
      </c>
      <c r="E2137" s="6" t="n">
        <f aca="false">Q!M42</f>
        <v>145.3</v>
      </c>
      <c r="F2137" s="6" t="n">
        <f aca="false">Sens!F2134+Sens!F2135+Sens!F2136</f>
        <v>227.978798275322</v>
      </c>
      <c r="G2137" s="6" t="n">
        <f aca="false">Sens!G2134+Sens!G2135</f>
        <v>261.441910150229</v>
      </c>
      <c r="H2137" s="6" t="n">
        <f aca="false">Sens!H2134+Sens!H2135</f>
        <v>272.50785673657</v>
      </c>
      <c r="I2137" s="6" t="n">
        <f aca="false">Sens!I2134+Sens!I2135</f>
        <v>248.646403296738</v>
      </c>
      <c r="J2137" s="6" t="n">
        <f aca="false">Sens!J2134+Sens!J2135</f>
        <v>209.698637163464</v>
      </c>
      <c r="K2137" s="6" t="n">
        <f aca="false">Sens!K2134+Sens!K2135</f>
        <v>207.057601106303</v>
      </c>
      <c r="L2137" s="1" t="s">
        <v>960</v>
      </c>
    </row>
    <row r="2138" customFormat="false" ht="15" hidden="false" customHeight="false" outlineLevel="0" collapsed="false">
      <c r="A2138" s="1" t="s">
        <v>961</v>
      </c>
      <c r="B2138" s="0" t="s">
        <v>98</v>
      </c>
      <c r="E2138" s="6" t="n">
        <f aca="false">fl_liab</f>
        <v>66.594</v>
      </c>
      <c r="F2138" s="6" t="n">
        <f aca="false">Sens!E2138-Sens!F2139</f>
        <v>62.46973</v>
      </c>
      <c r="G2138" s="6" t="n">
        <f aca="false">Sens!F2138-Sens!G2139</f>
        <v>57.98686785</v>
      </c>
      <c r="H2138" s="6" t="n">
        <f aca="false">Sens!G2138-Sens!H2139</f>
        <v>53.92827690325</v>
      </c>
      <c r="I2138" s="6" t="n">
        <f aca="false">Sens!H2138-Sens!I2139</f>
        <v>49.7850493638962</v>
      </c>
      <c r="J2138" s="6" t="n">
        <f aca="false">Sens!I2138-Sens!J2139</f>
        <v>45.4823765852716</v>
      </c>
      <c r="K2138" s="6" t="n">
        <f aca="false">Sens!J2138-Sens!K2139</f>
        <v>40.9860835316088</v>
      </c>
    </row>
    <row r="2139" customFormat="false" ht="15" hidden="false" customHeight="false" outlineLevel="0" collapsed="false">
      <c r="A2139" s="1" t="s">
        <v>962</v>
      </c>
      <c r="B2139" s="0" t="s">
        <v>98</v>
      </c>
      <c r="F2139" s="6" t="n">
        <f aca="false">fl_pay_27-Sens!E2138*fl_rate</f>
        <v>4.12427</v>
      </c>
      <c r="G2139" s="6" t="n">
        <f aca="false">fl_pay_28-Sens!F2138*fl_rate</f>
        <v>4.48286215</v>
      </c>
      <c r="H2139" s="6" t="n">
        <f aca="false">fl_pay_29-Sens!G2138*fl_rate</f>
        <v>4.05859094675</v>
      </c>
      <c r="I2139" s="6" t="n">
        <f aca="false">fl_pay_30-Sens!H2138*fl_rate</f>
        <v>4.14322753935375</v>
      </c>
      <c r="J2139" s="6" t="n">
        <f aca="false">fl_pay_31-Sens!I2138*fl_rate</f>
        <v>4.30267277862467</v>
      </c>
      <c r="K2139" s="6" t="n">
        <f aca="false">fl_pay_32-Sens!J2138*fl_rate</f>
        <v>4.49629305366278</v>
      </c>
    </row>
    <row r="2140" customFormat="false" ht="17.15" hidden="false" customHeight="false" outlineLevel="0" collapsed="false">
      <c r="A2140" s="1" t="s">
        <v>963</v>
      </c>
      <c r="B2140" s="0" t="s">
        <v>98</v>
      </c>
      <c r="E2140" s="6" t="n">
        <f aca="false">Q!M35-Q!M36-Q!M43</f>
        <v>63.886</v>
      </c>
      <c r="F2140" s="6" t="n">
        <f aca="false">Sens!F2133-Sens!F2137-Sens!F2139</f>
        <v>-22.3506278772985</v>
      </c>
      <c r="G2140" s="6" t="n">
        <f aca="false">Sens!G2133-Sens!G2137-Sens!G2139</f>
        <v>-4.68385434317797</v>
      </c>
      <c r="H2140" s="6" t="n">
        <f aca="false">Sens!H2133-Sens!H2137-Sens!H2139</f>
        <v>33.4617835407575</v>
      </c>
      <c r="I2140" s="6" t="n">
        <f aca="false">Sens!I2133-Sens!I2137-Sens!I2139</f>
        <v>102.547647392086</v>
      </c>
      <c r="J2140" s="6" t="n">
        <f aca="false">Sens!J2133-Sens!J2137-Sens!J2139</f>
        <v>178.673211989484</v>
      </c>
      <c r="K2140" s="6" t="n">
        <f aca="false">Sens!K2133-Sens!K2137-Sens!K2139</f>
        <v>211.704306119509</v>
      </c>
      <c r="L2140" s="11" t="s">
        <v>964</v>
      </c>
    </row>
    <row r="2141" customFormat="false" ht="15" hidden="false" customHeight="false" outlineLevel="0" collapsed="false">
      <c r="A2141" s="1" t="s">
        <v>965</v>
      </c>
      <c r="B2141" s="0" t="s">
        <v>75</v>
      </c>
      <c r="F2141" s="8" t="n">
        <f aca="false">dps_27</f>
        <v>3.85</v>
      </c>
      <c r="G2141" s="8" t="n">
        <f aca="false">Sens!F2141*(1+dps_g)</f>
        <v>4.158</v>
      </c>
      <c r="H2141" s="8" t="n">
        <f aca="false">Sens!G2141*(1+dps_g)</f>
        <v>4.49064</v>
      </c>
      <c r="I2141" s="8" t="n">
        <f aca="false">Sens!H2141*(1+dps_g)</f>
        <v>4.8498912</v>
      </c>
      <c r="J2141" s="8" t="n">
        <f aca="false">Sens!I2141*(1+dps_g)</f>
        <v>5.237882496</v>
      </c>
      <c r="K2141" s="8" t="n">
        <f aca="false">Sens!J2141*(1+dps_g)</f>
        <v>5.65691309568</v>
      </c>
    </row>
    <row r="2142" customFormat="false" ht="17.15" hidden="false" customHeight="false" outlineLevel="0" collapsed="false">
      <c r="A2142" s="1" t="s">
        <v>966</v>
      </c>
      <c r="B2142" s="0" t="s">
        <v>98</v>
      </c>
      <c r="E2142" s="6" t="n">
        <f aca="false">Q!M41</f>
        <v>26.445</v>
      </c>
      <c r="F2142" s="6" t="n">
        <f aca="false">Sens!F2141*Sens!E2151</f>
        <v>28.59395</v>
      </c>
      <c r="G2142" s="6" t="n">
        <f aca="false">Sens!G2141*Sens!F2151</f>
        <v>31.068576</v>
      </c>
      <c r="H2142" s="6" t="n">
        <f aca="false">Sens!H2141*Sens!G2151</f>
        <v>33.75614088</v>
      </c>
      <c r="I2142" s="6" t="n">
        <f aca="false">Sens!I2141*Sens!H2151</f>
        <v>36.6748772544</v>
      </c>
      <c r="J2142" s="6" t="n">
        <f aca="false">Sens!J2141*Sens!I2151</f>
        <v>39.6772662830715</v>
      </c>
      <c r="K2142" s="6" t="n">
        <f aca="false">Sens!K2141*Sens!J2151</f>
        <v>42.9387028110222</v>
      </c>
      <c r="L2142" s="1" t="s">
        <v>967</v>
      </c>
    </row>
    <row r="2143" customFormat="false" ht="15" hidden="false" customHeight="false" outlineLevel="0" collapsed="false">
      <c r="A2143" s="1" t="s">
        <v>968</v>
      </c>
      <c r="B2143" s="0" t="s">
        <v>98</v>
      </c>
      <c r="E2143" s="6" t="n">
        <f aca="false">Sens!E2140-Sens!E2142</f>
        <v>37.441</v>
      </c>
      <c r="F2143" s="6" t="n">
        <f aca="false">Sens!F2140-Sens!F2142</f>
        <v>-50.9445778772985</v>
      </c>
      <c r="G2143" s="6" t="n">
        <f aca="false">Sens!G2140-Sens!G2142</f>
        <v>-35.752430343178</v>
      </c>
      <c r="H2143" s="6" t="n">
        <f aca="false">Sens!H2140-Sens!H2142</f>
        <v>-0.294357339242481</v>
      </c>
      <c r="I2143" s="6" t="n">
        <f aca="false">Sens!I2140-Sens!I2142</f>
        <v>65.8727701376858</v>
      </c>
      <c r="J2143" s="6" t="n">
        <f aca="false">Sens!J2140-Sens!J2142</f>
        <v>138.995945706413</v>
      </c>
      <c r="K2143" s="6" t="n">
        <f aca="false">Sens!K2140-Sens!K2142</f>
        <v>168.765603308487</v>
      </c>
    </row>
    <row r="2144" customFormat="false" ht="15" hidden="false" customHeight="false" outlineLevel="0" collapsed="false">
      <c r="A2144" s="1" t="s">
        <v>969</v>
      </c>
      <c r="B2144" s="0" t="s">
        <v>98</v>
      </c>
      <c r="F2144" s="6" t="n">
        <f aca="false">debt_mat_27</f>
        <v>9.25</v>
      </c>
      <c r="G2144" s="6" t="n">
        <f aca="false">debt_mat_28</f>
        <v>0</v>
      </c>
      <c r="H2144" s="6" t="n">
        <f aca="false">debt_mat_29</f>
        <v>2.001</v>
      </c>
      <c r="I2144" s="6" t="n">
        <f aca="false">debt_mat_30</f>
        <v>0</v>
      </c>
      <c r="J2144" s="6" t="n">
        <f aca="false">debt_mat_31</f>
        <v>0.5</v>
      </c>
      <c r="K2144" s="6" t="n">
        <f aca="false">debt_mat_32</f>
        <v>0</v>
      </c>
    </row>
    <row r="2145" customFormat="false" ht="15" hidden="false" customHeight="false" outlineLevel="0" collapsed="false">
      <c r="A2145" s="1" t="s">
        <v>970</v>
      </c>
      <c r="B2145" s="0" t="s">
        <v>98</v>
      </c>
      <c r="E2145" s="6" t="n">
        <f aca="false">Q!M40</f>
        <v>22.271</v>
      </c>
      <c r="F2145" s="6" t="n">
        <f aca="false">MAX(0,MIN(bb_target,Sens!E2147+Sens!F2143-Sens!F2144-min_cash))</f>
        <v>0</v>
      </c>
      <c r="G2145" s="6" t="n">
        <f aca="false">MAX(0,MIN(bb_target,Sens!F2147+Sens!G2143-Sens!G2144-min_cash))</f>
        <v>0</v>
      </c>
      <c r="H2145" s="6" t="n">
        <f aca="false">MAX(0,MIN(bb_target,Sens!G2147+Sens!H2143-Sens!H2144-min_cash))</f>
        <v>0</v>
      </c>
      <c r="I2145" s="6" t="n">
        <f aca="false">MAX(0,MIN(bb_target,Sens!H2147+Sens!I2143-Sens!I2144-min_cash))</f>
        <v>22.271</v>
      </c>
      <c r="J2145" s="6" t="n">
        <f aca="false">MAX(0,MIN(bb_target,Sens!I2147+Sens!J2143-Sens!J2144-min_cash))</f>
        <v>22.271</v>
      </c>
      <c r="K2145" s="6" t="n">
        <f aca="false">MAX(0,MIN(bb_target,Sens!J2147+Sens!K2143-Sens!K2144-min_cash))</f>
        <v>22.271</v>
      </c>
    </row>
    <row r="2146" customFormat="false" ht="15" hidden="false" customHeight="false" outlineLevel="0" collapsed="false">
      <c r="A2146" s="1" t="s">
        <v>971</v>
      </c>
      <c r="B2146" s="0" t="s">
        <v>98</v>
      </c>
      <c r="F2146" s="6" t="n">
        <f aca="false">MAX(0,min_cash-(Sens!E2147+Sens!F2143-Sens!F2144-Sens!F2145))</f>
        <v>33.3515778772985</v>
      </c>
      <c r="G2146" s="6" t="n">
        <f aca="false">MAX(0,min_cash-(Sens!F2147+Sens!G2143-Sens!G2144-Sens!G2145))</f>
        <v>35.752430343178</v>
      </c>
      <c r="H2146" s="6" t="n">
        <f aca="false">MAX(0,min_cash-(Sens!G2147+Sens!H2143-Sens!H2144-Sens!H2145))</f>
        <v>2.29535733924248</v>
      </c>
      <c r="I2146" s="6" t="n">
        <f aca="false">MAX(0,min_cash-(Sens!H2147+Sens!I2143-Sens!I2144-Sens!I2145))</f>
        <v>0</v>
      </c>
      <c r="J2146" s="6" t="n">
        <f aca="false">MAX(0,min_cash-(Sens!I2147+Sens!J2143-Sens!J2144-Sens!J2145))</f>
        <v>0</v>
      </c>
      <c r="K2146" s="6" t="n">
        <f aca="false">MAX(0,min_cash-(Sens!J2147+Sens!K2143-Sens!K2144-Sens!K2145))</f>
        <v>0</v>
      </c>
    </row>
    <row r="2147" customFormat="false" ht="15" hidden="false" customHeight="false" outlineLevel="0" collapsed="false">
      <c r="A2147" s="1" t="s">
        <v>972</v>
      </c>
      <c r="B2147" s="0" t="s">
        <v>98</v>
      </c>
      <c r="E2147" s="6" t="n">
        <f aca="false">cash_open</f>
        <v>76.843</v>
      </c>
      <c r="F2147" s="6" t="n">
        <f aca="false">Sens!E2147+Sens!F2143-Sens!F2144-Sens!F2145+Sens!F2146</f>
        <v>50</v>
      </c>
      <c r="G2147" s="6" t="n">
        <f aca="false">Sens!F2147+Sens!G2143-Sens!G2144-Sens!G2145+Sens!G2146</f>
        <v>50</v>
      </c>
      <c r="H2147" s="6" t="n">
        <f aca="false">Sens!G2147+Sens!H2143-Sens!H2144-Sens!H2145+Sens!H2146</f>
        <v>50</v>
      </c>
      <c r="I2147" s="6" t="n">
        <f aca="false">Sens!H2147+Sens!I2143-Sens!I2144-Sens!I2145+Sens!I2146</f>
        <v>93.6017701376858</v>
      </c>
      <c r="J2147" s="6" t="n">
        <f aca="false">Sens!I2147+Sens!J2143-Sens!J2144-Sens!J2145+Sens!J2146</f>
        <v>209.826715844099</v>
      </c>
      <c r="K2147" s="6" t="n">
        <f aca="false">Sens!J2147+Sens!K2143-Sens!K2144-Sens!K2145+Sens!K2146</f>
        <v>356.321319152585</v>
      </c>
    </row>
    <row r="2148" customFormat="false" ht="15" hidden="false" customHeight="false" outlineLevel="0" collapsed="false">
      <c r="A2148" s="1" t="s">
        <v>973</v>
      </c>
      <c r="B2148" s="0" t="s">
        <v>98</v>
      </c>
      <c r="E2148" s="6" t="n">
        <f aca="false">debt_face</f>
        <v>46.136</v>
      </c>
      <c r="F2148" s="6" t="n">
        <f aca="false">Sens!E2148-Sens!F2144+Sens!F2146</f>
        <v>70.2375778772986</v>
      </c>
      <c r="G2148" s="6" t="n">
        <f aca="false">Sens!F2148-Sens!G2144+Sens!G2146</f>
        <v>105.990008220477</v>
      </c>
      <c r="H2148" s="6" t="n">
        <f aca="false">Sens!G2148-Sens!H2144+Sens!H2146</f>
        <v>106.284365559719</v>
      </c>
      <c r="I2148" s="6" t="n">
        <f aca="false">Sens!H2148-Sens!I2144+Sens!I2146</f>
        <v>106.284365559719</v>
      </c>
      <c r="J2148" s="6" t="n">
        <f aca="false">Sens!I2148-Sens!J2144+Sens!J2146</f>
        <v>105.784365559719</v>
      </c>
      <c r="K2148" s="6" t="n">
        <f aca="false">Sens!J2148-Sens!K2144+Sens!K2146</f>
        <v>105.784365559719</v>
      </c>
    </row>
    <row r="2149" customFormat="false" ht="15" hidden="false" customHeight="false" outlineLevel="0" collapsed="false">
      <c r="A2149" s="1" t="s">
        <v>974</v>
      </c>
      <c r="B2149" s="0" t="s">
        <v>98</v>
      </c>
      <c r="E2149" s="6" t="n">
        <f aca="false">Sens!E2147-Sens!E2148</f>
        <v>30.707</v>
      </c>
      <c r="F2149" s="6" t="n">
        <f aca="false">Sens!F2147-Sens!F2148</f>
        <v>-20.2375778772986</v>
      </c>
      <c r="G2149" s="6" t="n">
        <f aca="false">Sens!G2147-Sens!G2148</f>
        <v>-55.9900082204765</v>
      </c>
      <c r="H2149" s="6" t="n">
        <f aca="false">Sens!H2147-Sens!H2148</f>
        <v>-56.284365559719</v>
      </c>
      <c r="I2149" s="6" t="n">
        <f aca="false">Sens!I2147-Sens!I2148</f>
        <v>-12.6825954220332</v>
      </c>
      <c r="J2149" s="6" t="n">
        <f aca="false">Sens!J2147-Sens!J2148</f>
        <v>104.04235028438</v>
      </c>
      <c r="K2149" s="6" t="n">
        <f aca="false">Sens!K2147-Sens!K2148</f>
        <v>250.536953592866</v>
      </c>
    </row>
    <row r="2150" customFormat="false" ht="15" hidden="false" customHeight="false" outlineLevel="0" collapsed="false">
      <c r="A2150" s="1" t="s">
        <v>975</v>
      </c>
      <c r="B2150" s="0" t="s">
        <v>75</v>
      </c>
      <c r="F2150" s="29" t="n">
        <f aca="false">px*(1+bb_g)^(Sens!F2012-base_fy-mid_yr)</f>
        <v>553.494156066711</v>
      </c>
      <c r="G2150" s="29" t="n">
        <f aca="false">px*(1+bb_g)^(Sens!G2012-base_fy-mid_yr)</f>
        <v>597.773688552047</v>
      </c>
      <c r="H2150" s="29" t="n">
        <f aca="false">px*(1+bb_g)^(Sens!H2012-base_fy-mid_yr)</f>
        <v>645.595583636211</v>
      </c>
      <c r="I2150" s="29" t="n">
        <f aca="false">px*(1+bb_g)^(Sens!I2012-base_fy-mid_yr)</f>
        <v>697.243230327108</v>
      </c>
      <c r="J2150" s="29" t="n">
        <f aca="false">px*(1+bb_g)^(Sens!J2012-base_fy-mid_yr)</f>
        <v>753.022688753277</v>
      </c>
      <c r="K2150" s="29" t="n">
        <f aca="false">px*(1+bb_g)^(Sens!K2012-base_fy-mid_yr)</f>
        <v>813.264503853539</v>
      </c>
    </row>
    <row r="2151" customFormat="false" ht="15" hidden="false" customHeight="false" outlineLevel="0" collapsed="false">
      <c r="A2151" s="1" t="s">
        <v>976</v>
      </c>
      <c r="B2151" s="1" t="s">
        <v>81</v>
      </c>
      <c r="E2151" s="14" t="n">
        <f aca="false">sh_out26</f>
        <v>7.427</v>
      </c>
      <c r="F2151" s="14" t="n">
        <f aca="false">Sens!E2151+sh_iss-Sens!F2145/Sens!F2150</f>
        <v>7.472</v>
      </c>
      <c r="G2151" s="14" t="n">
        <f aca="false">Sens!F2151+sh_iss-Sens!G2145/Sens!G2150</f>
        <v>7.517</v>
      </c>
      <c r="H2151" s="14" t="n">
        <f aca="false">Sens!G2151+sh_iss-Sens!H2145/Sens!H2150</f>
        <v>7.562</v>
      </c>
      <c r="I2151" s="14" t="n">
        <f aca="false">Sens!H2151+sh_iss-Sens!I2145/Sens!I2150</f>
        <v>7.57505849231472</v>
      </c>
      <c r="J2151" s="14" t="n">
        <f aca="false">Sens!I2151+sh_iss-Sens!J2145/Sens!J2150</f>
        <v>7.59048302223576</v>
      </c>
      <c r="K2151" s="14" t="n">
        <f aca="false">Sens!J2151+sh_iss-Sens!K2145/Sens!K2150</f>
        <v>7.60809832771821</v>
      </c>
    </row>
    <row r="2152" customFormat="false" ht="15" hidden="false" customHeight="false" outlineLevel="0" collapsed="false">
      <c r="A2152" s="1" t="s">
        <v>977</v>
      </c>
      <c r="B2152" s="1" t="s">
        <v>81</v>
      </c>
      <c r="E2152" s="14" t="n">
        <f aca="false">sh_dil26</f>
        <v>7.453</v>
      </c>
      <c r="F2152" s="14" t="n">
        <f aca="false">(Sens!E2151+Sens!F2151)/2+dil_gap</f>
        <v>7.4735</v>
      </c>
      <c r="G2152" s="14" t="n">
        <f aca="false">(Sens!F2151+Sens!G2151)/2+dil_gap</f>
        <v>7.5185</v>
      </c>
      <c r="H2152" s="14" t="n">
        <f aca="false">(Sens!G2151+Sens!H2151)/2+dil_gap</f>
        <v>7.5635</v>
      </c>
      <c r="I2152" s="14" t="n">
        <f aca="false">(Sens!H2151+Sens!I2151)/2+dil_gap</f>
        <v>7.59252924615736</v>
      </c>
      <c r="J2152" s="14" t="n">
        <f aca="false">(Sens!I2151+Sens!J2151)/2+dil_gap</f>
        <v>7.60677075727524</v>
      </c>
      <c r="K2152" s="14" t="n">
        <f aca="false">(Sens!J2151+Sens!K2151)/2+dil_gap</f>
        <v>7.62329067497699</v>
      </c>
    </row>
    <row r="2153" customFormat="false" ht="17.15" hidden="false" customHeight="false" outlineLevel="0" collapsed="false">
      <c r="A2153" s="1" t="s">
        <v>978</v>
      </c>
      <c r="B2153" s="0" t="s">
        <v>98</v>
      </c>
      <c r="C2153" s="6" t="n">
        <f aca="false">SUM(Sens!F2143:J2143)</f>
        <v>117.87735028438</v>
      </c>
    </row>
    <row r="2154" customFormat="false" ht="15" hidden="false" customHeight="false" outlineLevel="0" collapsed="false">
      <c r="A2154" s="23" t="s">
        <v>945</v>
      </c>
      <c r="B2154" s="30" t="s">
        <v>98</v>
      </c>
      <c r="C2154" s="24" t="n">
        <f aca="false">Sens!$C$2153-(Sens!F2143+Sens!G2143+Sens!H2143+Sens!I2143+Sens!J2143)</f>
        <v>0</v>
      </c>
      <c r="D2154" s="30"/>
      <c r="E2154" s="30"/>
      <c r="F2154" s="30"/>
      <c r="G2154" s="30"/>
      <c r="H2154" s="30"/>
      <c r="I2154" s="30"/>
      <c r="J2154" s="30"/>
      <c r="K2154" s="30"/>
    </row>
    <row r="2155" customFormat="false" ht="17.15" hidden="false" customHeight="false" outlineLevel="0" collapsed="false">
      <c r="A2155" s="1" t="s">
        <v>939</v>
      </c>
      <c r="B2155" s="1" t="s">
        <v>979</v>
      </c>
      <c r="C2155" s="32" t="str">
        <f aca="false">IF(SUM(Sens!F2146:J2146)&gt;0.05,"需要舉債 "&amp;TEXT(SUM(Sens!F2146:J2146),"0.0")&amp;" 十億美元","不需舉債")&amp;"；"&amp;IF(SUM(Sens!F2145:J2145)&lt;COUNT(Sens!F2145:J2145)*bb_target-0.05,"回購較每年 "&amp;TEXT(bb_target,"0.0")&amp;" 的目標少 "&amp;TEXT(COUNT(Sens!F2145:J2145)*bb_target-SUM(Sens!F2145:J2145),"0.0")&amp;" 十億美元（"&amp;TEXT(COUNTIF(Sens!F2145:J2145,"&lt;"&amp;(bb_target-0.05)),"0")&amp;" 年減少）","回購不減")</f>
        <v>需要舉債 71.4 十億美元；回購較每年 22.3 的目標少 66.8 十億美元（3 年減少）</v>
      </c>
    </row>
    <row r="2156" customFormat="false" ht="17.15" hidden="false" customHeight="false" outlineLevel="0" collapsed="false">
      <c r="A2156" s="3" t="s">
        <v>1316</v>
      </c>
    </row>
    <row r="2157" customFormat="false" ht="15" hidden="false" customHeight="false" outlineLevel="0" collapsed="false">
      <c r="A2157" s="4" t="s">
        <v>43</v>
      </c>
      <c r="B2157" s="4" t="s">
        <v>65</v>
      </c>
      <c r="C2157" s="20" t="s">
        <v>799</v>
      </c>
      <c r="D2157" s="20" t="s">
        <v>800</v>
      </c>
      <c r="E2157" s="20" t="s">
        <v>801</v>
      </c>
      <c r="F2157" s="20" t="s">
        <v>802</v>
      </c>
      <c r="G2157" s="20" t="s">
        <v>803</v>
      </c>
      <c r="H2157" s="20" t="s">
        <v>804</v>
      </c>
      <c r="I2157" s="20" t="s">
        <v>805</v>
      </c>
      <c r="J2157" s="20" t="s">
        <v>806</v>
      </c>
      <c r="K2157" s="20" t="s">
        <v>807</v>
      </c>
      <c r="L2157" s="4" t="s">
        <v>47</v>
      </c>
    </row>
    <row r="2158" customFormat="false" ht="15" hidden="false" customHeight="false" outlineLevel="0" collapsed="false">
      <c r="A2158" s="1" t="s">
        <v>1057</v>
      </c>
      <c r="B2158" s="1" t="s">
        <v>235</v>
      </c>
      <c r="F2158" s="36" t="n">
        <f aca="false">Sens!F2012-base_fy-mid_yr</f>
        <v>0.5</v>
      </c>
      <c r="G2158" s="36" t="n">
        <f aca="false">Sens!G2012-base_fy-mid_yr</f>
        <v>1.5</v>
      </c>
      <c r="H2158" s="36" t="n">
        <f aca="false">Sens!H2012-base_fy-mid_yr</f>
        <v>2.5</v>
      </c>
      <c r="I2158" s="36" t="n">
        <f aca="false">Sens!I2012-base_fy-mid_yr</f>
        <v>3.5</v>
      </c>
      <c r="J2158" s="36" t="n">
        <f aca="false">Sens!J2012-base_fy-mid_yr</f>
        <v>4.5</v>
      </c>
      <c r="K2158" s="36" t="n">
        <f aca="false">Sens!K2012-base_fy-mid_yr</f>
        <v>5.5</v>
      </c>
    </row>
    <row r="2159" customFormat="false" ht="15" hidden="false" customHeight="false" outlineLevel="0" collapsed="false">
      <c r="A2159" s="1" t="s">
        <v>1058</v>
      </c>
      <c r="B2159" s="0" t="s">
        <v>185</v>
      </c>
      <c r="F2159" s="14" t="n">
        <f aca="false">1/(1+wacc)^Sens!F2158</f>
        <v>0.952193373608246</v>
      </c>
      <c r="G2159" s="14" t="n">
        <f aca="false">1/(1+wacc)^Sens!G2158</f>
        <v>0.863327280626589</v>
      </c>
      <c r="H2159" s="14" t="n">
        <f aca="false">1/(1+wacc)^Sens!H2158</f>
        <v>0.782754862754115</v>
      </c>
      <c r="I2159" s="14" t="n">
        <f aca="false">1/(1+wacc)^Sens!I2158</f>
        <v>0.709702089711011</v>
      </c>
      <c r="J2159" s="14" t="n">
        <f aca="false">1/(1+wacc)^Sens!J2158</f>
        <v>0.643467169744551</v>
      </c>
      <c r="K2159" s="14" t="n">
        <f aca="false">1/(1+wacc)^Sens!K2158</f>
        <v>0.583413807767797</v>
      </c>
    </row>
    <row r="2160" customFormat="false" ht="17.15" hidden="false" customHeight="false" outlineLevel="0" collapsed="false">
      <c r="A2160" s="1" t="s">
        <v>1059</v>
      </c>
      <c r="B2160" s="0" t="s">
        <v>98</v>
      </c>
      <c r="F2160" s="6" t="n">
        <f aca="false">Sens!F2133-Sens!F2131-Sens!F2137+Sens!F2116*(1-tax_f)</f>
        <v>-20.5667412806873</v>
      </c>
      <c r="G2160" s="6" t="n">
        <f aca="false">Sens!G2133-Sens!G2131-Sens!G2137+Sens!G2116*(1-tax_f)</f>
        <v>13.4609314554898</v>
      </c>
      <c r="H2160" s="6" t="n">
        <f aca="false">Sens!H2133-Sens!H2131-Sens!H2137+Sens!H2116*(1-tax_f)</f>
        <v>68.958643136077</v>
      </c>
      <c r="I2160" s="6" t="n">
        <f aca="false">Sens!I2133-Sens!I2131-Sens!I2137+Sens!I2116*(1-tax_f)</f>
        <v>154.206840530743</v>
      </c>
      <c r="J2160" s="6" t="n">
        <f aca="false">Sens!J2133-Sens!J2131-Sens!J2137+Sens!J2116*(1-tax_f)</f>
        <v>241.54618054538</v>
      </c>
      <c r="K2160" s="6" t="n">
        <f aca="false">Sens!K2133-Sens!K2131-Sens!K2137+Sens!K2116*(1-tax_f)</f>
        <v>280.860587483512</v>
      </c>
      <c r="L2160" s="1" t="s">
        <v>1060</v>
      </c>
    </row>
    <row r="2161" customFormat="false" ht="15" hidden="false" customHeight="false" outlineLevel="0" collapsed="false">
      <c r="A2161" s="1" t="s">
        <v>1061</v>
      </c>
      <c r="B2161" s="0" t="s">
        <v>98</v>
      </c>
      <c r="F2161" s="6" t="n">
        <f aca="false">Sens!F2160*Sens!F2159</f>
        <v>-19.5835147641857</v>
      </c>
      <c r="G2161" s="6" t="n">
        <f aca="false">Sens!G2160*Sens!G2159</f>
        <v>11.6211893481689</v>
      </c>
      <c r="H2161" s="6" t="n">
        <f aca="false">Sens!H2160*Sens!H2159</f>
        <v>53.97771324369</v>
      </c>
      <c r="I2161" s="6" t="n">
        <f aca="false">Sens!I2160*Sens!I2159</f>
        <v>109.440916972401</v>
      </c>
      <c r="J2161" s="6" t="n">
        <f aca="false">Sens!J2160*Sens!J2159</f>
        <v>155.427037158142</v>
      </c>
      <c r="K2161" s="6" t="n">
        <f aca="false">Sens!K2160*Sens!K2159</f>
        <v>163.857944795656</v>
      </c>
    </row>
    <row r="2162" customFormat="false" ht="17.15" hidden="false" customHeight="false" outlineLevel="0" collapsed="false">
      <c r="A2162" s="1" t="s">
        <v>1062</v>
      </c>
      <c r="B2162" s="0" t="s">
        <v>98</v>
      </c>
      <c r="C2162" s="6" t="n">
        <f aca="false">SUM(Sens!F2161:K2161)</f>
        <v>474.741286753872</v>
      </c>
    </row>
    <row r="2163" customFormat="false" ht="17.15" hidden="false" customHeight="false" outlineLevel="0" collapsed="false">
      <c r="A2163" s="1" t="s">
        <v>1063</v>
      </c>
      <c r="B2163" s="0" t="s">
        <v>98</v>
      </c>
      <c r="C2163" s="6" t="n">
        <f aca="false">Sens!K2102*(1+g_tv)*(1-tax_f)</f>
        <v>296.109106372555</v>
      </c>
    </row>
    <row r="2164" customFormat="false" ht="17.15" hidden="false" customHeight="false" outlineLevel="0" collapsed="false">
      <c r="A2164" s="1" t="s">
        <v>1064</v>
      </c>
      <c r="B2164" s="0" t="s">
        <v>98</v>
      </c>
      <c r="C2164" s="6" t="n">
        <f aca="false">Sens!$C$2163*(1-g_tv/(wacc+ronic_prem))</f>
        <v>209.808788333541</v>
      </c>
    </row>
    <row r="2165" customFormat="false" ht="17.15" hidden="false" customHeight="false" outlineLevel="0" collapsed="false">
      <c r="A2165" s="1" t="s">
        <v>1065</v>
      </c>
      <c r="B2165" s="0" t="s">
        <v>98</v>
      </c>
      <c r="C2165" s="6" t="n">
        <f aca="false">Sens!$C$2164/(wacc-g_tv)</f>
        <v>2876.67726796714</v>
      </c>
    </row>
    <row r="2166" customFormat="false" ht="15" hidden="false" customHeight="false" outlineLevel="0" collapsed="false">
      <c r="A2166" s="1" t="s">
        <v>1066</v>
      </c>
      <c r="B2166" s="0" t="s">
        <v>98</v>
      </c>
      <c r="C2166" s="6" t="n">
        <f aca="false">Sens!$C$2165/(1+wacc)^(Sens!K2158+mid_yr)</f>
        <v>1598.05970078908</v>
      </c>
    </row>
    <row r="2167" customFormat="false" ht="17.15" hidden="false" customHeight="false" outlineLevel="0" collapsed="false">
      <c r="A2167" s="0" t="s">
        <v>986</v>
      </c>
      <c r="B2167" s="0" t="s">
        <v>98</v>
      </c>
      <c r="C2167" s="6" t="n">
        <f aca="false">Sens!$C$2162+Sens!$C$2166</f>
        <v>2072.80098754295</v>
      </c>
    </row>
    <row r="2168" customFormat="false" ht="15" hidden="false" customHeight="false" outlineLevel="0" collapsed="false">
      <c r="A2168" s="1" t="s">
        <v>987</v>
      </c>
      <c r="B2168" s="0" t="s">
        <v>129</v>
      </c>
      <c r="C2168" s="7" t="n">
        <f aca="false">Sens!$C$2166/Sens!$C$2167</f>
        <v>0.770966296520044</v>
      </c>
    </row>
    <row r="2169" customFormat="false" ht="17.15" hidden="false" customHeight="false" outlineLevel="0" collapsed="false">
      <c r="A2169" s="1" t="s">
        <v>1067</v>
      </c>
      <c r="B2169" s="0" t="s">
        <v>98</v>
      </c>
      <c r="C2169" s="6" t="n">
        <f aca="false">Sens!$C$2167+Sens!E2149-Sens!E2138+oai_v</f>
        <v>2207.31398754295</v>
      </c>
    </row>
    <row r="2170" customFormat="false" ht="17.15" hidden="false" customHeight="false" outlineLevel="0" collapsed="false">
      <c r="A2170" s="0" t="s">
        <v>994</v>
      </c>
      <c r="B2170" s="0" t="s">
        <v>75</v>
      </c>
      <c r="C2170" s="5" t="n">
        <f aca="false">Sens!$C$2169/sh_dil26</f>
        <v>296.164495846364</v>
      </c>
    </row>
    <row r="2171" customFormat="false" ht="15" hidden="false" customHeight="false" outlineLevel="0" collapsed="false">
      <c r="A2171" s="1" t="s">
        <v>1068</v>
      </c>
      <c r="B2171" s="0" t="s">
        <v>75</v>
      </c>
      <c r="C2171" s="8" t="n">
        <f aca="false">dps_27+Sens!G2141*roll_div_q/q_per_yr</f>
        <v>4.8895</v>
      </c>
    </row>
    <row r="2172" customFormat="false" ht="17.15" hidden="false" customHeight="false" outlineLevel="0" collapsed="false">
      <c r="A2172" s="0" t="s">
        <v>1069</v>
      </c>
      <c r="B2172" s="0" t="s">
        <v>75</v>
      </c>
      <c r="C2172" s="5" t="n">
        <f aca="false">Sens!$C$2170*(1+wacc)^t_roll-Sens!$C$2171</f>
        <v>332.362900212313</v>
      </c>
    </row>
    <row r="2173" customFormat="false" ht="17.15" hidden="false" customHeight="false" outlineLevel="0" collapsed="false">
      <c r="A2173" s="1" t="s">
        <v>1070</v>
      </c>
      <c r="B2173" s="0" t="s">
        <v>129</v>
      </c>
      <c r="F2173" s="7" t="n">
        <f aca="false">Sens!F2128/(Sens!F2073-Sens!F2029)</f>
        <v>0.0599073899827283</v>
      </c>
      <c r="G2173" s="7" t="n">
        <f aca="false">Sens!G2128/(Sens!G2073-Sens!G2029)</f>
        <v>0.0587979151104463</v>
      </c>
      <c r="H2173" s="7" t="n">
        <f aca="false">Sens!H2128/(Sens!H2073-Sens!H2029)</f>
        <v>0.0586397721752385</v>
      </c>
      <c r="I2173" s="7" t="n">
        <f aca="false">Sens!I2128/(Sens!I2073-Sens!I2029)</f>
        <v>0.0593901289210231</v>
      </c>
      <c r="J2173" s="7" t="n">
        <f aca="false">Sens!J2128/(Sens!J2073-Sens!J2029)</f>
        <v>0.0608481359351483</v>
      </c>
      <c r="K2173" s="7" t="n">
        <f aca="false">Sens!K2128/(Sens!K2073-Sens!K2029)</f>
        <v>0.0627341115000512</v>
      </c>
    </row>
    <row r="2174" customFormat="false" ht="17.15" hidden="false" customHeight="false" outlineLevel="0" collapsed="false">
      <c r="A2174" s="0" t="s">
        <v>1071</v>
      </c>
      <c r="B2174" s="0" t="s">
        <v>98</v>
      </c>
      <c r="F2174" s="6" t="n">
        <f aca="false">Sens!F2058*(al_m365+Sens!F2173+sbc_r)</f>
        <v>82.9024702263713</v>
      </c>
      <c r="G2174" s="6" t="n">
        <f aca="false">Sens!G2058*(al_m365+Sens!G2173+sbc_r)</f>
        <v>95.4074778831834</v>
      </c>
      <c r="H2174" s="6" t="n">
        <f aca="false">Sens!H2058*(al_m365+Sens!H2173+sbc_r)</f>
        <v>108.076513873754</v>
      </c>
      <c r="I2174" s="6" t="n">
        <f aca="false">Sens!I2058*(al_m365+Sens!I2173+sbc_r)</f>
        <v>119.729262278476</v>
      </c>
      <c r="J2174" s="6" t="n">
        <f aca="false">Sens!J2058*(al_m365+Sens!J2173+sbc_r)</f>
        <v>130.173040683131</v>
      </c>
      <c r="K2174" s="6" t="n">
        <f aca="false">Sens!K2058*(al_m365+Sens!K2173+sbc_r)</f>
        <v>140.217966354057</v>
      </c>
      <c r="L2174" s="11" t="s">
        <v>1072</v>
      </c>
    </row>
    <row r="2175" customFormat="false" ht="17.15" hidden="false" customHeight="false" outlineLevel="0" collapsed="false">
      <c r="A2175" s="0" t="s">
        <v>1073</v>
      </c>
      <c r="B2175" s="0" t="s">
        <v>98</v>
      </c>
      <c r="F2175" s="6" t="n">
        <f aca="false">Sens!F2059*(al_lic+Sens!F2173+sbc_r)</f>
        <v>33.1053846389076</v>
      </c>
      <c r="G2175" s="6" t="n">
        <f aca="false">Sens!G2059*(al_lic+Sens!G2173+sbc_r)</f>
        <v>34.462023454169</v>
      </c>
      <c r="H2175" s="6" t="n">
        <f aca="false">Sens!H2059*(al_lic+Sens!H2173+sbc_r)</f>
        <v>35.7221085703903</v>
      </c>
      <c r="I2175" s="6" t="n">
        <f aca="false">Sens!I2059*(al_lic+Sens!I2173+sbc_r)</f>
        <v>36.8683136493649</v>
      </c>
      <c r="J2175" s="6" t="n">
        <f aca="false">Sens!J2059*(al_lic+Sens!J2173+sbc_r)</f>
        <v>37.8767345390928</v>
      </c>
      <c r="K2175" s="6" t="n">
        <f aca="false">Sens!K2059*(al_lic+Sens!K2173+sbc_r)</f>
        <v>38.7201695466631</v>
      </c>
    </row>
    <row r="2176" customFormat="false" ht="17.15" hidden="false" customHeight="false" outlineLevel="0" collapsed="false">
      <c r="A2176" s="0" t="s">
        <v>1074</v>
      </c>
      <c r="B2176" s="0" t="s">
        <v>98</v>
      </c>
      <c r="F2176" s="6" t="n">
        <f aca="false">Sens!F2061*(al_ind+Sens!F2173+sbc_r)</f>
        <v>8.88229952965531</v>
      </c>
      <c r="G2176" s="6" t="n">
        <f aca="false">Sens!G2061*(al_ind+Sens!G2173+sbc_r)</f>
        <v>9.68233943596491</v>
      </c>
      <c r="H2176" s="6" t="n">
        <f aca="false">Sens!H2061*(al_ind+Sens!H2173+sbc_r)</f>
        <v>10.5238210077392</v>
      </c>
      <c r="I2176" s="6" t="n">
        <f aca="false">Sens!I2061*(al_ind+Sens!I2173+sbc_r)</f>
        <v>11.4037306700127</v>
      </c>
      <c r="J2176" s="6" t="n">
        <f aca="false">Sens!J2061*(al_ind+Sens!J2173+sbc_r)</f>
        <v>12.3129970611101</v>
      </c>
      <c r="K2176" s="6" t="n">
        <f aca="false">Sens!K2061*(al_ind+Sens!K2173+sbc_r)</f>
        <v>13.2373017210327</v>
      </c>
    </row>
    <row r="2177" customFormat="false" ht="17.15" hidden="false" customHeight="false" outlineLevel="0" collapsed="false">
      <c r="A2177" s="0" t="s">
        <v>1075</v>
      </c>
      <c r="B2177" s="0" t="s">
        <v>98</v>
      </c>
      <c r="F2177" s="6" t="n">
        <f aca="false">Sens!F2063*(al_fro+Sens!F2173+sbc_r)</f>
        <v>3.4961042788578</v>
      </c>
      <c r="G2177" s="6" t="n">
        <f aca="false">Sens!G2063*(al_fro+Sens!G2173+sbc_r)</f>
        <v>3.71744590730048</v>
      </c>
      <c r="H2177" s="6" t="n">
        <f aca="false">Sens!H2063*(al_fro+Sens!H2173+sbc_r)</f>
        <v>3.96573596036612</v>
      </c>
      <c r="I2177" s="6" t="n">
        <f aca="false">Sens!I2063*(al_fro+Sens!I2173+sbc_r)</f>
        <v>4.24400442918459</v>
      </c>
      <c r="J2177" s="6" t="n">
        <f aca="false">Sens!J2063*(al_fro+Sens!J2173+sbc_r)</f>
        <v>4.55381950079757</v>
      </c>
      <c r="K2177" s="6" t="n">
        <f aca="false">Sens!K2063*(al_fro+Sens!K2173+sbc_r)</f>
        <v>4.89566288499911</v>
      </c>
    </row>
    <row r="2178" customFormat="false" ht="17.15" hidden="false" customHeight="false" outlineLevel="0" collapsed="false">
      <c r="A2178" s="0" t="s">
        <v>1076</v>
      </c>
      <c r="B2178" s="0" t="s">
        <v>98</v>
      </c>
      <c r="F2178" s="6" t="n">
        <f aca="false">Sens!F2066*(al_srch+Sens!F2173+sbc_r)</f>
        <v>10.9697682510494</v>
      </c>
      <c r="G2178" s="6" t="n">
        <f aca="false">Sens!G2066*(al_srch+Sens!G2173+sbc_r)</f>
        <v>12.0706558603049</v>
      </c>
      <c r="H2178" s="6" t="n">
        <f aca="false">Sens!H2066*(al_srch+Sens!H2173+sbc_r)</f>
        <v>13.2130391424888</v>
      </c>
      <c r="I2178" s="6" t="n">
        <f aca="false">Sens!I2066*(al_srch+Sens!I2173+sbc_r)</f>
        <v>14.3860667266491</v>
      </c>
      <c r="J2178" s="6" t="n">
        <f aca="false">Sens!J2066*(al_srch+Sens!J2173+sbc_r)</f>
        <v>15.5703580090089</v>
      </c>
      <c r="K2178" s="6" t="n">
        <f aca="false">Sens!K2066*(al_srch+Sens!K2173+sbc_r)</f>
        <v>16.7391842820082</v>
      </c>
    </row>
    <row r="2179" customFormat="false" ht="17.15" hidden="false" customHeight="false" outlineLevel="0" collapsed="false">
      <c r="A2179" s="0" t="s">
        <v>1077</v>
      </c>
      <c r="B2179" s="0" t="s">
        <v>98</v>
      </c>
      <c r="F2179" s="6" t="n">
        <f aca="false">Sens!F2035-Sens!F2036+Sens!F2116</f>
        <v>45.3981537868516</v>
      </c>
      <c r="G2179" s="6" t="n">
        <f aca="false">Sens!G2035-Sens!G2036+Sens!G2116</f>
        <v>89.6583509589822</v>
      </c>
      <c r="H2179" s="6" t="n">
        <f aca="false">Sens!H2035-Sens!H2036+Sens!H2116</f>
        <v>137.452445118052</v>
      </c>
      <c r="I2179" s="6" t="n">
        <f aca="false">Sens!I2035-Sens!I2036+Sens!I2116</f>
        <v>180.576208442467</v>
      </c>
      <c r="J2179" s="6" t="n">
        <f aca="false">Sens!J2035-Sens!J2036+Sens!J2116</f>
        <v>211.310889380013</v>
      </c>
      <c r="K2179" s="6" t="n">
        <f aca="false">Sens!K2035-Sens!K2036+Sens!K2116</f>
        <v>231.10820361519</v>
      </c>
    </row>
    <row r="2180" customFormat="false" ht="17.15" hidden="false" customHeight="false" outlineLevel="0" collapsed="false">
      <c r="A2180" s="0" t="s">
        <v>1078</v>
      </c>
      <c r="B2180" s="0" t="s">
        <v>98</v>
      </c>
      <c r="F2180" s="6" t="n">
        <f aca="false">Sens!F2095+Sens!F2116+Sens!F2046+Sens!F2173*(Sens!F2065-Sens!F2029)+sbc_r*Sens!F2065</f>
        <v>239.709477147525</v>
      </c>
      <c r="G2180" s="6" t="n">
        <f aca="false">Sens!G2095+Sens!G2116+Sens!G2046+Sens!G2173*(Sens!G2065-Sens!G2029)+sbc_r*Sens!G2065</f>
        <v>312.045537242324</v>
      </c>
      <c r="H2180" s="6" t="n">
        <f aca="false">Sens!H2095+Sens!H2116+Sens!H2046+Sens!H2173*(Sens!H2065-Sens!H2029)+sbc_r*Sens!H2065</f>
        <v>388.425237320437</v>
      </c>
      <c r="I2180" s="6" t="n">
        <f aca="false">Sens!I2095+Sens!I2116+Sens!I2046+Sens!I2173*(Sens!I2065-Sens!I2029)+sbc_r*Sens!I2065</f>
        <v>458.711675362781</v>
      </c>
      <c r="J2180" s="6" t="n">
        <f aca="false">Sens!J2095+Sens!J2116+Sens!J2046+Sens!J2173*(Sens!J2065-Sens!J2029)+sbc_r*Sens!J2065</f>
        <v>514.096568105795</v>
      </c>
      <c r="K2180" s="6" t="n">
        <f aca="false">Sens!K2095+Sens!K2116+Sens!K2046+Sens!K2173*(Sens!K2065-Sens!K2029)+sbc_r*Sens!K2065</f>
        <v>556.114833388093</v>
      </c>
    </row>
    <row r="2181" customFormat="false" ht="17.15" hidden="false" customHeight="false" outlineLevel="0" collapsed="false">
      <c r="A2181" s="0" t="s">
        <v>1079</v>
      </c>
      <c r="B2181" s="0" t="s">
        <v>98</v>
      </c>
      <c r="F2181" s="6" t="n">
        <f aca="false">Sens!F2180-Sens!F2174-Sens!F2175-Sens!F2176-Sens!F2177-Sens!F2179</f>
        <v>65.9250646868817</v>
      </c>
      <c r="G2181" s="6" t="n">
        <f aca="false">Sens!G2180-Sens!G2174-Sens!G2175-Sens!G2176-Sens!G2177-Sens!G2179</f>
        <v>79.1178996027238</v>
      </c>
      <c r="H2181" s="6" t="n">
        <f aca="false">Sens!H2180-Sens!H2174-Sens!H2175-Sens!H2176-Sens!H2177-Sens!H2179</f>
        <v>92.6846127901355</v>
      </c>
      <c r="I2181" s="6" t="n">
        <f aca="false">Sens!I2180-Sens!I2174-Sens!I2175-Sens!I2176-Sens!I2177-Sens!I2179</f>
        <v>105.890155893276</v>
      </c>
      <c r="J2181" s="6" t="n">
        <f aca="false">Sens!J2180-Sens!J2174-Sens!J2175-Sens!J2176-Sens!J2177-Sens!J2179</f>
        <v>117.869086941651</v>
      </c>
      <c r="K2181" s="6" t="n">
        <f aca="false">Sens!K2180-Sens!K2174-Sens!K2175-Sens!K2176-Sens!K2177-Sens!K2179</f>
        <v>127.935529266151</v>
      </c>
    </row>
    <row r="2182" customFormat="false" ht="17.15" hidden="false" customHeight="false" outlineLevel="0" collapsed="false">
      <c r="A2182" s="0" t="s">
        <v>1080</v>
      </c>
      <c r="B2182" s="0" t="s">
        <v>98</v>
      </c>
      <c r="F2182" s="6" t="n">
        <f aca="false">Sens!F2097+Sens!F2173*Sens!F2072+sbc_r*Sens!F2072</f>
        <v>25.6330743086821</v>
      </c>
      <c r="G2182" s="6" t="n">
        <f aca="false">Sens!G2097+Sens!G2173*Sens!G2072+sbc_r*Sens!G2072</f>
        <v>26.3392155134493</v>
      </c>
      <c r="H2182" s="6" t="n">
        <f aca="false">Sens!H2097+Sens!H2173*Sens!H2072+sbc_r*Sens!H2072</f>
        <v>27.290130687928</v>
      </c>
      <c r="I2182" s="6" t="n">
        <f aca="false">Sens!I2097+Sens!I2173*Sens!I2072+sbc_r*Sens!I2072</f>
        <v>28.4609629560767</v>
      </c>
      <c r="J2182" s="6" t="n">
        <f aca="false">Sens!J2097+Sens!J2173*Sens!J2072+sbc_r*Sens!J2072</f>
        <v>29.8213018715996</v>
      </c>
      <c r="K2182" s="6" t="n">
        <f aca="false">Sens!K2097+Sens!K2173*Sens!K2072+sbc_r*Sens!K2072</f>
        <v>31.3379593475015</v>
      </c>
    </row>
    <row r="2183" customFormat="false" ht="17.15" hidden="false" customHeight="false" outlineLevel="0" collapsed="false">
      <c r="A2183" s="0" t="s">
        <v>1081</v>
      </c>
      <c r="B2183" s="0" t="s">
        <v>98</v>
      </c>
      <c r="F2183" s="6" t="n">
        <f aca="false">(Sens!F2182-Sens!F2178)*Sens!F2068/(Sens!F2068+Sens!F2070)</f>
        <v>8.03828156226271</v>
      </c>
      <c r="G2183" s="6" t="n">
        <f aca="false">(Sens!G2182-Sens!G2178)*Sens!G2068/(Sens!G2068+Sens!G2070)</f>
        <v>7.68242170250596</v>
      </c>
      <c r="H2183" s="6" t="n">
        <f aca="false">(Sens!H2182-Sens!H2178)*Sens!H2068/(Sens!H2068+Sens!H2070)</f>
        <v>7.47694808641284</v>
      </c>
      <c r="I2183" s="6" t="n">
        <f aca="false">(Sens!I2182-Sens!I2178)*Sens!I2068/(Sens!I2068+Sens!I2070)</f>
        <v>7.40814108850059</v>
      </c>
      <c r="J2183" s="6" t="n">
        <f aca="false">(Sens!J2182-Sens!J2178)*Sens!J2068/(Sens!J2068+Sens!J2070)</f>
        <v>7.46688315437699</v>
      </c>
      <c r="K2183" s="6" t="n">
        <f aca="false">(Sens!K2182-Sens!K2178)*Sens!K2068/(Sens!K2068+Sens!K2070)</f>
        <v>7.64913178117411</v>
      </c>
    </row>
    <row r="2184" customFormat="false" ht="17.15" hidden="false" customHeight="false" outlineLevel="0" collapsed="false">
      <c r="A2184" s="0" t="s">
        <v>1082</v>
      </c>
      <c r="B2184" s="0" t="s">
        <v>98</v>
      </c>
      <c r="F2184" s="6" t="n">
        <f aca="false">Sens!F2182-Sens!F2178-Sens!F2183</f>
        <v>6.62502449537004</v>
      </c>
      <c r="G2184" s="6" t="n">
        <f aca="false">Sens!G2182-Sens!G2178-Sens!G2183</f>
        <v>6.58613795063849</v>
      </c>
      <c r="H2184" s="6" t="n">
        <f aca="false">Sens!H2182-Sens!H2178-Sens!H2183</f>
        <v>6.60014345902631</v>
      </c>
      <c r="I2184" s="6" t="n">
        <f aca="false">Sens!I2182-Sens!I2178-Sens!I2183</f>
        <v>6.66675514092698</v>
      </c>
      <c r="J2184" s="6" t="n">
        <f aca="false">Sens!J2182-Sens!J2178-Sens!J2183</f>
        <v>6.78406070821372</v>
      </c>
      <c r="K2184" s="6" t="n">
        <f aca="false">Sens!K2182-Sens!K2178-Sens!K2183</f>
        <v>6.94964328431919</v>
      </c>
    </row>
    <row r="2185" customFormat="false" ht="17.15" hidden="false" customHeight="false" outlineLevel="0" collapsed="false">
      <c r="A2185" s="0" t="s">
        <v>1083</v>
      </c>
      <c r="B2185" s="0" t="s">
        <v>98</v>
      </c>
      <c r="F2185" s="6" t="n">
        <f aca="false">Sens!F2179-tax_f*(Sens!F2179-Sens!F2046)-Sens!F2043</f>
        <v>-147.908955044849</v>
      </c>
      <c r="G2185" s="6" t="n">
        <f aca="false">Sens!G2179-tax_f*(Sens!G2179-Sens!G2046)-Sens!G2043</f>
        <v>-134.372230906132</v>
      </c>
      <c r="H2185" s="6" t="n">
        <f aca="false">Sens!H2179-tax_f*(Sens!H2179-Sens!H2046)-Sens!H2043</f>
        <v>-95.0077422356438</v>
      </c>
      <c r="I2185" s="6" t="n">
        <f aca="false">Sens!I2179-tax_f*(Sens!I2179-Sens!I2046)-Sens!I2043</f>
        <v>-25.4416577113468</v>
      </c>
      <c r="J2185" s="6" t="n">
        <f aca="false">Sens!J2179-tax_f*(Sens!J2179-Sens!J2046)-Sens!J2043</f>
        <v>47.1505850756021</v>
      </c>
      <c r="K2185" s="6" t="n">
        <f aca="false">Sens!K2179-tax_f*(Sens!K2179-Sens!K2046)-Sens!K2043</f>
        <v>72.5892158984771</v>
      </c>
    </row>
    <row r="2186" customFormat="false" ht="17.15" hidden="false" customHeight="false" outlineLevel="0" collapsed="false">
      <c r="A2186" s="0" t="s">
        <v>1084</v>
      </c>
      <c r="B2186" s="0" t="s">
        <v>98</v>
      </c>
      <c r="G2186" s="6" t="n">
        <f aca="false">Sens!G2185/(1+wacc)^(Sens!G2158-(Sens!F2158+mid_yr))</f>
        <v>-127.948347865776</v>
      </c>
      <c r="H2186" s="6" t="n">
        <f aca="false">Sens!H2185/(1+wacc)^(Sens!H2158-(Sens!F2158+mid_yr))</f>
        <v>-82.0227757427702</v>
      </c>
      <c r="I2186" s="6" t="n">
        <f aca="false">Sens!I2185/(1+wacc)^(Sens!I2158-(Sens!F2158+mid_yr))</f>
        <v>-19.9145812900825</v>
      </c>
      <c r="J2186" s="6" t="n">
        <f aca="false">Sens!J2185/(1+wacc)^(Sens!J2158-(Sens!F2158+mid_yr))</f>
        <v>33.4628687592516</v>
      </c>
      <c r="K2186" s="6" t="n">
        <f aca="false">Sens!K2185/(1+wacc)^(Sens!K2158-(Sens!F2158+mid_yr))</f>
        <v>46.7087773081692</v>
      </c>
      <c r="L2186" s="1" t="s">
        <v>1085</v>
      </c>
    </row>
    <row r="2187" customFormat="false" ht="17.15" hidden="false" customHeight="false" outlineLevel="0" collapsed="false">
      <c r="A2187" s="0" t="s">
        <v>1086</v>
      </c>
      <c r="B2187" s="0" t="s">
        <v>98</v>
      </c>
      <c r="C2187" s="6" t="n">
        <f aca="false">(Sens!K2179-Sens!K2046)*(1-tax_f)*(1+g_tv)*(1-g_tv/(wacc+ronic_prem))/(wacc-g_tv)/(1+wacc)^(Sens!K2158+mid_yr-(Sens!F2158+mid_yr))</f>
        <v>314.642818255192</v>
      </c>
    </row>
    <row r="2188" customFormat="false" ht="17.15" hidden="false" customHeight="false" outlineLevel="0" collapsed="false">
      <c r="A2188" s="1" t="s">
        <v>1087</v>
      </c>
      <c r="B2188" s="0" t="s">
        <v>98</v>
      </c>
      <c r="C2188" s="6" t="n">
        <f aca="false">(SUM(Sens!G2186:K2186)+Sens!$C$2187)*(1+wacc)^(t_roll-(Sens!F2158+mid_yr))</f>
        <v>170.28200573642</v>
      </c>
      <c r="L2188" s="11" t="s">
        <v>1088</v>
      </c>
    </row>
    <row r="2189" customFormat="false" ht="17.15" hidden="false" customHeight="false" outlineLevel="0" collapsed="false">
      <c r="A2189" s="1" t="s">
        <v>1089</v>
      </c>
      <c r="B2189" s="0" t="s">
        <v>98</v>
      </c>
      <c r="C2189" s="6" t="n">
        <f aca="false">(w_ntm28*Sens!G2035+(1-w_ntm28)*Sens!H2035)*m_ai</f>
        <v>454.922440830797</v>
      </c>
    </row>
    <row r="2190" customFormat="false" ht="17.15" hidden="false" customHeight="false" outlineLevel="0" collapsed="false">
      <c r="A2190" s="1" t="s">
        <v>1090</v>
      </c>
      <c r="B2190" s="0" t="s">
        <v>98</v>
      </c>
      <c r="C2190" s="6" t="n">
        <f aca="false">(w_ntm28*Sens!G2181+(1-w_ntm28)*Sens!H2181)*m_cloud</f>
        <v>1154.02321688636</v>
      </c>
    </row>
    <row r="2191" customFormat="false" ht="17.15" hidden="false" customHeight="false" outlineLevel="0" collapsed="false">
      <c r="A2191" s="1" t="s">
        <v>1091</v>
      </c>
      <c r="B2191" s="0" t="s">
        <v>98</v>
      </c>
      <c r="C2191" s="6" t="n">
        <f aca="false">(w_ntm28*Sens!G2174+(1-w_ntm28)*Sens!H2174)*m_sw</f>
        <v>1074.63478707368</v>
      </c>
    </row>
    <row r="2192" customFormat="false" ht="17.15" hidden="false" customHeight="false" outlineLevel="0" collapsed="false">
      <c r="A2192" s="1" t="s">
        <v>1092</v>
      </c>
      <c r="B2192" s="0" t="s">
        <v>98</v>
      </c>
      <c r="C2192" s="6" t="n">
        <f aca="false">(w_ntm28*Sens!G2175+(1-w_ntm28)*Sens!H2175)*m_sw</f>
        <v>376.589449119032</v>
      </c>
    </row>
    <row r="2193" customFormat="false" ht="17.15" hidden="false" customHeight="false" outlineLevel="0" collapsed="false">
      <c r="A2193" s="1" t="s">
        <v>1093</v>
      </c>
      <c r="B2193" s="0" t="s">
        <v>98</v>
      </c>
      <c r="C2193" s="6" t="n">
        <f aca="false">(w_ntm28*Sens!G2176+(1-w_ntm28)*Sens!H2176)*m_sw</f>
        <v>107.507304579843</v>
      </c>
    </row>
    <row r="2194" customFormat="false" ht="17.15" hidden="false" customHeight="false" outlineLevel="0" collapsed="false">
      <c r="A2194" s="1" t="s">
        <v>1094</v>
      </c>
      <c r="B2194" s="0" t="s">
        <v>98</v>
      </c>
      <c r="C2194" s="6" t="n">
        <f aca="false">(w_ntm28*Sens!G2177+(1-w_ntm28)*Sens!H2177)*m_sw</f>
        <v>41.0153222197407</v>
      </c>
    </row>
    <row r="2195" customFormat="false" ht="17.15" hidden="false" customHeight="false" outlineLevel="0" collapsed="false">
      <c r="A2195" s="1" t="s">
        <v>1095</v>
      </c>
      <c r="B2195" s="0" t="s">
        <v>98</v>
      </c>
      <c r="C2195" s="6" t="n">
        <f aca="false">(w_ntm28*Sens!G2178+(1-w_ntm28)*Sens!H2178)*m_ads</f>
        <v>113.328165793356</v>
      </c>
    </row>
    <row r="2196" customFormat="false" ht="17.15" hidden="false" customHeight="false" outlineLevel="0" collapsed="false">
      <c r="A2196" s="1" t="s">
        <v>1096</v>
      </c>
      <c r="B2196" s="0" t="s">
        <v>98</v>
      </c>
      <c r="C2196" s="6" t="n">
        <f aca="false">(w_ntm28*Sens!G2183+(1-w_ntm28)*Sens!H2183)*m_game</f>
        <v>96.1900119957784</v>
      </c>
    </row>
    <row r="2197" customFormat="false" ht="17.15" hidden="false" customHeight="false" outlineLevel="0" collapsed="false">
      <c r="A2197" s="1" t="s">
        <v>1097</v>
      </c>
      <c r="B2197" s="0" t="s">
        <v>98</v>
      </c>
      <c r="C2197" s="6" t="n">
        <f aca="false">(w_ntm28*Sens!G2184+(1-w_ntm28)*Sens!H2184)*m_pc</f>
        <v>95.3669335302646</v>
      </c>
    </row>
    <row r="2198" customFormat="false" ht="17.15" hidden="false" customHeight="false" outlineLevel="0" collapsed="false">
      <c r="A2198" s="1" t="s">
        <v>1098</v>
      </c>
      <c r="B2198" s="0" t="s">
        <v>98</v>
      </c>
      <c r="C2198" s="6" t="n">
        <f aca="false">Sens!$C$2188+Sens!$C$2190+Sens!$C$2191+Sens!$C$2192+Sens!$C$2193+Sens!$C$2194+Sens!$C$2195+Sens!$C$2196+Sens!$C$2197</f>
        <v>3228.93719693448</v>
      </c>
    </row>
    <row r="2199" customFormat="false" ht="17.15" hidden="false" customHeight="false" outlineLevel="0" collapsed="false">
      <c r="A2199" s="1" t="s">
        <v>1099</v>
      </c>
      <c r="B2199" s="0" t="s">
        <v>98</v>
      </c>
      <c r="C2199" s="6" t="n">
        <f aca="false">(Sens!G2160-Sens!G2185)*t_stub</f>
        <v>48.1976611535149</v>
      </c>
      <c r="L2199" s="1" t="s">
        <v>1100</v>
      </c>
    </row>
    <row r="2200" customFormat="false" ht="17.15" hidden="false" customHeight="false" outlineLevel="0" collapsed="false">
      <c r="A2200" s="1" t="s">
        <v>1014</v>
      </c>
      <c r="B2200" s="0" t="s">
        <v>98</v>
      </c>
      <c r="C2200" s="6" t="n">
        <f aca="false">Sens!F2149+oai_v-Sens!F2138+Sens!$C$2199</f>
        <v>135.890353276216</v>
      </c>
      <c r="L2200" s="1" t="s">
        <v>1101</v>
      </c>
    </row>
    <row r="2201" customFormat="false" ht="17.15" hidden="false" customHeight="false" outlineLevel="0" collapsed="false">
      <c r="A2201" s="1" t="s">
        <v>1102</v>
      </c>
      <c r="B2201" s="0" t="s">
        <v>75</v>
      </c>
      <c r="C2201" s="5" t="n">
        <f aca="false">(Sens!$C$2198+Sens!$C$2200)/(Sens!F2151+dil_gap)-Sens!G2141*roll_div_q/q_per_yr</f>
        <v>447.843577669516</v>
      </c>
      <c r="L2201" s="1" t="s">
        <v>1103</v>
      </c>
    </row>
    <row r="2202" customFormat="false" ht="17.15" hidden="false" customHeight="false" outlineLevel="0" collapsed="false">
      <c r="A2202" s="1" t="s">
        <v>1104</v>
      </c>
      <c r="B2202" s="0" t="s">
        <v>75</v>
      </c>
      <c r="C2202" s="5" t="n">
        <f aca="false">w_dcf*Sens!$C$2172+(1-w_dcf)*Sens!$C$2201</f>
        <v>390.103238940915</v>
      </c>
    </row>
    <row r="2203" customFormat="false" ht="17.15" hidden="false" customHeight="false" outlineLevel="0" collapsed="false">
      <c r="A2203" s="3" t="s">
        <v>1317</v>
      </c>
    </row>
    <row r="2204" customFormat="false" ht="15" hidden="false" customHeight="false" outlineLevel="0" collapsed="false">
      <c r="A2204" s="4" t="s">
        <v>43</v>
      </c>
      <c r="B2204" s="4" t="s">
        <v>65</v>
      </c>
      <c r="C2204" s="20" t="s">
        <v>799</v>
      </c>
      <c r="D2204" s="20" t="s">
        <v>800</v>
      </c>
      <c r="E2204" s="20" t="s">
        <v>801</v>
      </c>
      <c r="F2204" s="20" t="s">
        <v>802</v>
      </c>
      <c r="G2204" s="20" t="s">
        <v>803</v>
      </c>
      <c r="H2204" s="20" t="s">
        <v>804</v>
      </c>
      <c r="I2204" s="20" t="s">
        <v>805</v>
      </c>
      <c r="J2204" s="20" t="s">
        <v>806</v>
      </c>
      <c r="K2204" s="20" t="s">
        <v>807</v>
      </c>
      <c r="L2204" s="4" t="s">
        <v>47</v>
      </c>
    </row>
    <row r="2205" customFormat="false" ht="17.15" hidden="false" customHeight="false" outlineLevel="0" collapsed="false">
      <c r="A2205" s="1" t="s">
        <v>808</v>
      </c>
      <c r="B2205" s="1" t="s">
        <v>235</v>
      </c>
      <c r="C2205" s="28" t="n">
        <v>2024</v>
      </c>
      <c r="D2205" s="28" t="n">
        <v>2025</v>
      </c>
      <c r="E2205" s="28" t="n">
        <v>2026</v>
      </c>
      <c r="F2205" s="28" t="n">
        <v>2027</v>
      </c>
      <c r="G2205" s="28" t="n">
        <v>2028</v>
      </c>
      <c r="H2205" s="28" t="n">
        <v>2029</v>
      </c>
      <c r="I2205" s="28" t="n">
        <v>2030</v>
      </c>
      <c r="J2205" s="28" t="n">
        <v>2031</v>
      </c>
      <c r="K2205" s="28" t="n">
        <v>2032</v>
      </c>
    </row>
    <row r="2206" customFormat="false" ht="17.15" hidden="false" customHeight="false" outlineLevel="0" collapsed="false">
      <c r="A2206" s="1" t="s">
        <v>809</v>
      </c>
      <c r="B2206" s="0" t="s">
        <v>399</v>
      </c>
      <c r="F2206" s="29" t="n">
        <f aca="false">pace</f>
        <v>2527.2</v>
      </c>
      <c r="G2206" s="29" t="n">
        <f aca="false">pace</f>
        <v>2527.2</v>
      </c>
      <c r="H2206" s="29" t="n">
        <f aca="false">pace</f>
        <v>2527.2</v>
      </c>
      <c r="I2206" s="29" t="n">
        <f aca="false">pace+(g_tv*Sens!H2207-pace)*MIN(1,(Sens!I2205-pace_y0)/(pace_y1-pace_y0))</f>
        <v>1793.116</v>
      </c>
      <c r="J2206" s="29" t="n">
        <f aca="false">pace+(g_tv*Sens!I2207-pace)*MIN(1,(Sens!J2205-pace_y0)/(pace_y1-pace_y0))</f>
        <v>1094.89432</v>
      </c>
      <c r="K2206" s="29" t="n">
        <f aca="false">pace+(g_tv*Sens!J2207-pace)*MIN(1,(Sens!K2205-pace_y0)/(pace_y1-pace_y0))</f>
        <v>411.5883096</v>
      </c>
      <c r="L2206" s="11" t="s">
        <v>810</v>
      </c>
    </row>
    <row r="2207" customFormat="false" ht="17.15" hidden="false" customHeight="false" outlineLevel="0" collapsed="false">
      <c r="A2207" s="1" t="s">
        <v>811</v>
      </c>
      <c r="B2207" s="0" t="s">
        <v>399</v>
      </c>
      <c r="C2207" s="29" t="n">
        <f aca="false">mw_ext_24</f>
        <v>640</v>
      </c>
      <c r="D2207" s="29" t="n">
        <f aca="false">mw_ext_25</f>
        <v>1630</v>
      </c>
      <c r="E2207" s="29" t="n">
        <f aca="false">mw_ext_26</f>
        <v>3250</v>
      </c>
      <c r="F2207" s="29" t="n">
        <f aca="false">Sens!E2207+Sens!F2206</f>
        <v>5777.2</v>
      </c>
      <c r="G2207" s="29" t="n">
        <f aca="false">Sens!F2207+Sens!G2206</f>
        <v>8304.4</v>
      </c>
      <c r="H2207" s="29" t="n">
        <f aca="false">Sens!G2207+Sens!H2206</f>
        <v>10831.6</v>
      </c>
      <c r="I2207" s="29" t="n">
        <f aca="false">Sens!H2207+Sens!I2206</f>
        <v>12624.716</v>
      </c>
      <c r="J2207" s="29" t="n">
        <f aca="false">Sens!I2207+Sens!J2206</f>
        <v>13719.61032</v>
      </c>
      <c r="K2207" s="29" t="n">
        <f aca="false">Sens!J2207+Sens!K2206</f>
        <v>14131.1986296</v>
      </c>
      <c r="L2207" s="1" t="s">
        <v>812</v>
      </c>
    </row>
    <row r="2208" customFormat="false" ht="17.15" hidden="false" customHeight="false" outlineLevel="0" collapsed="false">
      <c r="A2208" s="1" t="s">
        <v>813</v>
      </c>
      <c r="B2208" s="0" t="s">
        <v>399</v>
      </c>
      <c r="C2208" s="29" t="n">
        <f aca="false">rent_ext_24</f>
        <v>150</v>
      </c>
      <c r="D2208" s="29" t="n">
        <f aca="false">rent_ext_25</f>
        <v>400</v>
      </c>
      <c r="E2208" s="29" t="n">
        <f aca="false">rent_ext_26</f>
        <v>550</v>
      </c>
      <c r="F2208" s="29" t="n">
        <f aca="false">rent_ext_f</f>
        <v>756</v>
      </c>
      <c r="G2208" s="29" t="n">
        <f aca="false">rent_ext_f</f>
        <v>756</v>
      </c>
      <c r="H2208" s="29" t="n">
        <f aca="false">rent_ext_f</f>
        <v>756</v>
      </c>
      <c r="I2208" s="29" t="n">
        <f aca="false">rent_ext_f</f>
        <v>756</v>
      </c>
      <c r="J2208" s="29" t="n">
        <f aca="false">rent_ext_f</f>
        <v>756</v>
      </c>
      <c r="K2208" s="29" t="n">
        <f aca="false">rent_ext_f</f>
        <v>756</v>
      </c>
      <c r="L2208" s="1" t="s">
        <v>814</v>
      </c>
    </row>
    <row r="2209" customFormat="false" ht="17.15" hidden="false" customHeight="false" outlineLevel="0" collapsed="false">
      <c r="A2209" s="1" t="s">
        <v>815</v>
      </c>
      <c r="B2209" s="0" t="s">
        <v>399</v>
      </c>
      <c r="C2209" s="29" t="n">
        <f aca="false">Sens!C2207-Sens!C2208</f>
        <v>490</v>
      </c>
      <c r="D2209" s="29" t="n">
        <f aca="false">Sens!D2207-Sens!D2208</f>
        <v>1230</v>
      </c>
      <c r="E2209" s="29" t="n">
        <f aca="false">Sens!E2207-Sens!E2208</f>
        <v>2700</v>
      </c>
      <c r="F2209" s="29" t="n">
        <f aca="false">Sens!F2207-Sens!F2208</f>
        <v>5021.2</v>
      </c>
      <c r="G2209" s="29" t="n">
        <f aca="false">Sens!G2207-Sens!G2208</f>
        <v>7548.4</v>
      </c>
      <c r="H2209" s="29" t="n">
        <f aca="false">Sens!H2207-Sens!H2208</f>
        <v>10075.6</v>
      </c>
      <c r="I2209" s="29" t="n">
        <f aca="false">Sens!I2207-Sens!I2208</f>
        <v>11868.716</v>
      </c>
      <c r="J2209" s="29" t="n">
        <f aca="false">Sens!J2207-Sens!J2208</f>
        <v>12963.61032</v>
      </c>
      <c r="K2209" s="29" t="n">
        <f aca="false">Sens!K2207-Sens!K2208</f>
        <v>13375.1986296</v>
      </c>
    </row>
    <row r="2210" customFormat="false" ht="17.15" hidden="false" customHeight="false" outlineLevel="0" collapsed="false">
      <c r="A2210" s="1" t="s">
        <v>816</v>
      </c>
      <c r="B2210" s="0" t="s">
        <v>399</v>
      </c>
      <c r="C2210" s="29" t="n">
        <f aca="false">Sens!C2209/ext_sh_lo</f>
        <v>980</v>
      </c>
      <c r="D2210" s="29" t="n">
        <f aca="false">Sens!D2209/ext_sh_lo</f>
        <v>2460</v>
      </c>
      <c r="E2210" s="29" t="n">
        <f aca="false">Sens!E2209/ext_sh_lo</f>
        <v>5400</v>
      </c>
      <c r="F2210" s="29" t="n">
        <f aca="false">Sens!F2209/ext_sh_lo</f>
        <v>10042.4</v>
      </c>
      <c r="G2210" s="29" t="n">
        <f aca="false">Sens!G2209/ext_sh_lo</f>
        <v>15096.8</v>
      </c>
      <c r="H2210" s="29" t="n">
        <f aca="false">Sens!H2209/ext_sh_lo</f>
        <v>20151.2</v>
      </c>
      <c r="I2210" s="29" t="n">
        <f aca="false">Sens!I2209/ext_sh_lo</f>
        <v>23737.432</v>
      </c>
      <c r="J2210" s="29" t="n">
        <f aca="false">Sens!J2209/ext_sh_lo</f>
        <v>25927.22064</v>
      </c>
      <c r="K2210" s="29" t="n">
        <f aca="false">Sens!K2209/ext_sh_lo</f>
        <v>26750.3972592</v>
      </c>
      <c r="L2210" s="1" t="s">
        <v>817</v>
      </c>
    </row>
    <row r="2211" customFormat="false" ht="17.15" hidden="false" customHeight="false" outlineLevel="0" collapsed="false">
      <c r="A2211" s="1" t="s">
        <v>818</v>
      </c>
      <c r="B2211" s="0" t="s">
        <v>399</v>
      </c>
      <c r="C2211" s="29" t="n">
        <f aca="false">Sens!C2210-Sens!C2209</f>
        <v>490</v>
      </c>
      <c r="D2211" s="29" t="n">
        <f aca="false">Sens!D2210-Sens!D2209</f>
        <v>1230</v>
      </c>
      <c r="E2211" s="29" t="n">
        <f aca="false">Sens!E2210-Sens!E2209</f>
        <v>2700</v>
      </c>
      <c r="F2211" s="29" t="n">
        <f aca="false">Sens!F2210-Sens!F2209</f>
        <v>5021.2</v>
      </c>
      <c r="G2211" s="29" t="n">
        <f aca="false">Sens!G2210-Sens!G2209</f>
        <v>7548.4</v>
      </c>
      <c r="H2211" s="29" t="n">
        <f aca="false">Sens!H2210-Sens!H2209</f>
        <v>10075.6</v>
      </c>
      <c r="I2211" s="29" t="n">
        <f aca="false">Sens!I2210-Sens!I2209</f>
        <v>11868.716</v>
      </c>
      <c r="J2211" s="29" t="n">
        <f aca="false">Sens!J2210-Sens!J2209</f>
        <v>12963.61032</v>
      </c>
      <c r="K2211" s="29" t="n">
        <f aca="false">Sens!K2210-Sens!K2209</f>
        <v>13375.1986296</v>
      </c>
    </row>
    <row r="2212" customFormat="false" ht="17.15" hidden="false" customHeight="false" outlineLevel="0" collapsed="false">
      <c r="A2212" s="1" t="s">
        <v>819</v>
      </c>
      <c r="B2212" s="0" t="s">
        <v>399</v>
      </c>
      <c r="C2212" s="29" t="n">
        <f aca="false">Sens!C2210</f>
        <v>980</v>
      </c>
      <c r="D2212" s="29" t="n">
        <f aca="false">Sens!D2210-Sens!C2210</f>
        <v>1480</v>
      </c>
      <c r="E2212" s="29" t="n">
        <f aca="false">Sens!E2210-Sens!D2210</f>
        <v>2940</v>
      </c>
      <c r="F2212" s="29" t="n">
        <f aca="false">Sens!F2210-Sens!E2210</f>
        <v>4642.4</v>
      </c>
      <c r="G2212" s="29" t="n">
        <f aca="false">Sens!G2210-Sens!F2210</f>
        <v>5054.4</v>
      </c>
      <c r="H2212" s="29" t="n">
        <f aca="false">Sens!H2210-Sens!G2210</f>
        <v>5054.4</v>
      </c>
      <c r="I2212" s="29" t="n">
        <f aca="false">Sens!I2210-Sens!H2210</f>
        <v>3586.232</v>
      </c>
      <c r="J2212" s="29" t="n">
        <f aca="false">Sens!J2210-Sens!I2210</f>
        <v>2189.78864</v>
      </c>
      <c r="K2212" s="29" t="n">
        <f aca="false">Sens!K2210-Sens!J2210</f>
        <v>823.1766192</v>
      </c>
    </row>
    <row r="2213" customFormat="false" ht="17.15" hidden="false" customHeight="false" outlineLevel="0" collapsed="false">
      <c r="A2213" s="1" t="s">
        <v>820</v>
      </c>
      <c r="B2213" s="0" t="s">
        <v>399</v>
      </c>
      <c r="D2213" s="29" t="n">
        <f aca="false">Sens!D2207-Sens!C2207</f>
        <v>990</v>
      </c>
      <c r="E2213" s="29" t="n">
        <f aca="false">Sens!E2207-Sens!D2207</f>
        <v>1620</v>
      </c>
      <c r="F2213" s="29" t="n">
        <f aca="false">Sens!F2207-Sens!E2207</f>
        <v>2527.2</v>
      </c>
      <c r="G2213" s="29" t="n">
        <f aca="false">Sens!G2207-Sens!F2207</f>
        <v>2527.2</v>
      </c>
      <c r="H2213" s="29" t="n">
        <f aca="false">Sens!H2207-Sens!G2207</f>
        <v>2527.2</v>
      </c>
      <c r="I2213" s="29" t="n">
        <f aca="false">Sens!I2207-Sens!H2207</f>
        <v>1793.116</v>
      </c>
      <c r="J2213" s="29" t="n">
        <f aca="false">Sens!J2207-Sens!I2207</f>
        <v>1094.89432</v>
      </c>
      <c r="K2213" s="29" t="n">
        <f aca="false">Sens!K2207-Sens!J2207</f>
        <v>411.5883096</v>
      </c>
    </row>
    <row r="2214" customFormat="false" ht="17.15" hidden="false" customHeight="false" outlineLevel="0" collapsed="false">
      <c r="A2214" s="1" t="s">
        <v>821</v>
      </c>
      <c r="B2214" s="0" t="s">
        <v>399</v>
      </c>
      <c r="F2214" s="29" t="n">
        <f aca="false">Sens!F2231*ext_sh_lo</f>
        <v>0</v>
      </c>
      <c r="G2214" s="29" t="n">
        <f aca="false">Sens!G2231*ext_sh_lo</f>
        <v>0</v>
      </c>
      <c r="H2214" s="29" t="n">
        <f aca="false">Sens!H2231*ext_sh_lo</f>
        <v>0</v>
      </c>
      <c r="I2214" s="29" t="n">
        <f aca="false">Sens!I2231*ext_sh_lo</f>
        <v>490</v>
      </c>
      <c r="J2214" s="29" t="n">
        <f aca="false">Sens!J2231*ext_sh_lo</f>
        <v>740</v>
      </c>
      <c r="K2214" s="29" t="n">
        <f aca="false">Sens!K2231*ext_sh_lo</f>
        <v>1470</v>
      </c>
      <c r="L2214" s="1" t="s">
        <v>822</v>
      </c>
    </row>
    <row r="2215" customFormat="false" ht="17.15" hidden="false" customHeight="false" outlineLevel="0" collapsed="false">
      <c r="A2215" s="1" t="s">
        <v>823</v>
      </c>
      <c r="B2215" s="0" t="s">
        <v>399</v>
      </c>
      <c r="C2215" s="29" t="n">
        <f aca="false">mix_h*Sens!C2207</f>
        <v>128</v>
      </c>
      <c r="D2215" s="29" t="n">
        <f aca="false">mix_h*Sens!D2207</f>
        <v>326</v>
      </c>
      <c r="E2215" s="29" t="n">
        <f aca="false">mix_h*Sens!E2207</f>
        <v>650</v>
      </c>
      <c r="F2215" s="29" t="n">
        <f aca="false">Sens!E2215-Sens!F2214*mix_h</f>
        <v>650</v>
      </c>
      <c r="G2215" s="29" t="n">
        <f aca="false">Sens!F2215-Sens!G2214*mix_h</f>
        <v>650</v>
      </c>
      <c r="H2215" s="29" t="n">
        <f aca="false">Sens!G2215-Sens!H2214*mix_h</f>
        <v>650</v>
      </c>
      <c r="I2215" s="29" t="n">
        <f aca="false">Sens!H2215-Sens!I2214*mix_h</f>
        <v>552</v>
      </c>
      <c r="J2215" s="29" t="n">
        <f aca="false">Sens!I2215-Sens!J2214*mix_h</f>
        <v>404</v>
      </c>
      <c r="K2215" s="29" t="n">
        <f aca="false">Sens!J2215-Sens!K2214*mix_h</f>
        <v>110</v>
      </c>
    </row>
    <row r="2216" customFormat="false" ht="17.15" hidden="false" customHeight="false" outlineLevel="0" collapsed="false">
      <c r="A2216" s="1" t="s">
        <v>824</v>
      </c>
      <c r="B2216" s="0" t="s">
        <v>399</v>
      </c>
      <c r="C2216" s="29" t="n">
        <f aca="false">mix_g2*Sens!C2207</f>
        <v>288</v>
      </c>
      <c r="D2216" s="29" t="n">
        <f aca="false">mix_g2*Sens!D2207</f>
        <v>733.5</v>
      </c>
      <c r="E2216" s="29" t="n">
        <f aca="false">mix_g2*Sens!E2207</f>
        <v>1462.5</v>
      </c>
      <c r="F2216" s="29" t="n">
        <f aca="false">Sens!E2216-Sens!F2214*mix_g2</f>
        <v>1462.5</v>
      </c>
      <c r="G2216" s="29" t="n">
        <f aca="false">Sens!F2216-Sens!G2214*mix_g2</f>
        <v>1462.5</v>
      </c>
      <c r="H2216" s="29" t="n">
        <f aca="false">Sens!G2216-Sens!H2214*mix_g2</f>
        <v>1462.5</v>
      </c>
      <c r="I2216" s="29" t="n">
        <f aca="false">Sens!H2216-Sens!I2214*mix_g2</f>
        <v>1242</v>
      </c>
      <c r="J2216" s="29" t="n">
        <f aca="false">Sens!I2216-Sens!J2214*mix_g2</f>
        <v>909</v>
      </c>
      <c r="K2216" s="29" t="n">
        <f aca="false">Sens!J2216-Sens!K2214*mix_g2</f>
        <v>247.5</v>
      </c>
    </row>
    <row r="2217" customFormat="false" ht="17.15" hidden="false" customHeight="false" outlineLevel="0" collapsed="false">
      <c r="A2217" s="1" t="s">
        <v>825</v>
      </c>
      <c r="B2217" s="0" t="s">
        <v>399</v>
      </c>
      <c r="C2217" s="29" t="n">
        <f aca="false">mix_g3*Sens!C2207</f>
        <v>224</v>
      </c>
      <c r="D2217" s="29" t="n">
        <f aca="false">mix_g3*Sens!D2207</f>
        <v>570.5</v>
      </c>
      <c r="E2217" s="29" t="n">
        <f aca="false">mix_g3*Sens!E2207</f>
        <v>1137.5</v>
      </c>
      <c r="F2217" s="29" t="n">
        <f aca="false">Sens!E2217+(Sens!F2213+Sens!F2214)*a_g3_27-Sens!F2214*mix_g3</f>
        <v>2906.54</v>
      </c>
      <c r="G2217" s="29" t="n">
        <f aca="false">Sens!F2217+(Sens!G2213+Sens!G2214)*a_g3_28-Sens!G2214*mix_g3</f>
        <v>3664.7</v>
      </c>
      <c r="H2217" s="29" t="n">
        <f aca="false">Sens!G2217+(Sens!H2213+Sens!H2214)*a_g3_29-Sens!H2214*mix_g3</f>
        <v>3917.42</v>
      </c>
      <c r="I2217" s="29" t="n">
        <f aca="false">Sens!H2217+(Sens!I2213+Sens!I2214)*a_g3_29-Sens!I2214*mix_g3</f>
        <v>3974.2316</v>
      </c>
      <c r="J2217" s="29" t="n">
        <f aca="false">Sens!I2217+(Sens!J2213+Sens!J2214)*a_g3_29-Sens!J2214*mix_g3</f>
        <v>3898.721032</v>
      </c>
      <c r="K2217" s="29" t="n">
        <f aca="false">Sens!J2217+(Sens!K2213+Sens!K2214)*a_g3_29-Sens!K2214*mix_g3</f>
        <v>3572.37986296</v>
      </c>
    </row>
    <row r="2218" customFormat="false" ht="17.15" hidden="false" customHeight="false" outlineLevel="0" collapsed="false">
      <c r="A2218" s="1" t="s">
        <v>826</v>
      </c>
      <c r="B2218" s="0" t="s">
        <v>399</v>
      </c>
      <c r="C2218" s="29" t="n">
        <v>0</v>
      </c>
      <c r="D2218" s="29" t="n">
        <v>0</v>
      </c>
      <c r="E2218" s="29" t="n">
        <v>0</v>
      </c>
      <c r="F2218" s="29" t="n">
        <f aca="false">Sens!E2218+(Sens!F2213+Sens!F2214)*(1-a_g3_27)</f>
        <v>758.16</v>
      </c>
      <c r="G2218" s="29" t="n">
        <f aca="false">Sens!F2218+(Sens!G2213+Sens!G2214)*(1-a_g3_28)</f>
        <v>2527.2</v>
      </c>
      <c r="H2218" s="29" t="n">
        <f aca="false">Sens!G2218+(Sens!H2213+Sens!H2214)*(1-a_g3_29)</f>
        <v>4801.68</v>
      </c>
      <c r="I2218" s="29" t="n">
        <f aca="false">Sens!H2218+(Sens!I2213+Sens!I2214)*(1-a_g3_29)</f>
        <v>6856.4844</v>
      </c>
      <c r="J2218" s="29" t="n">
        <f aca="false">Sens!I2218+(Sens!J2213+Sens!J2214)*(1-a_g3_29)</f>
        <v>8507.889288</v>
      </c>
      <c r="K2218" s="29" t="n">
        <f aca="false">Sens!J2218+(Sens!K2213+Sens!K2214)*(1-a_g3_29)</f>
        <v>10201.31876664</v>
      </c>
    </row>
    <row r="2219" customFormat="false" ht="17.15" hidden="false" customHeight="false" outlineLevel="0" collapsed="false">
      <c r="A2219" s="1" t="s">
        <v>827</v>
      </c>
      <c r="B2219" s="0" t="s">
        <v>346</v>
      </c>
      <c r="C2219" s="14" t="n">
        <f aca="false">(Sens!C2215*tk_hold_h100+Sens!C2216*tk_hold_gb200+Sens!C2217*tk_hold_gb300+Sens!C2218*tk_hold_vr200)/Sens!C2207</f>
        <v>9.7235358126469</v>
      </c>
      <c r="D2219" s="14" t="n">
        <f aca="false">(Sens!D2215*tk_hold_h100+Sens!D2216*tk_hold_gb200+Sens!D2217*tk_hold_gb300+Sens!D2218*tk_hold_vr200)/Sens!D2207</f>
        <v>9.7235358126469</v>
      </c>
      <c r="E2219" s="14" t="n">
        <f aca="false">(Sens!E2215*tk_hold_h100+Sens!E2216*tk_hold_gb200+Sens!E2217*tk_hold_gb300+Sens!E2218*tk_hold_vr200)/Sens!E2207</f>
        <v>9.7235358126469</v>
      </c>
      <c r="F2219" s="14" t="n">
        <f aca="false">(Sens!F2215*tk_hold_h100+Sens!F2216*tk_hold_gb200+Sens!F2217*tk_hold_gb300+Sens!F2218*tk_hold_vr200)/Sens!F2207</f>
        <v>10.4079573161931</v>
      </c>
      <c r="G2219" s="14" t="n">
        <f aca="false">(Sens!G2215*tk_hold_h100+Sens!G2216*tk_hold_gb200+Sens!G2217*tk_hold_gb300+Sens!G2218*tk_hold_vr200)/Sens!G2207</f>
        <v>10.8388131109316</v>
      </c>
      <c r="H2219" s="14" t="n">
        <f aca="false">(Sens!H2215*tk_hold_h100+Sens!H2216*tk_hold_gb200+Sens!H2217*tk_hold_gb300+Sens!H2218*tk_hold_vr200)/Sens!H2207</f>
        <v>11.1311018388216</v>
      </c>
      <c r="I2219" s="14" t="n">
        <f aca="false">(Sens!I2215*tk_hold_h100+Sens!I2216*tk_hold_gb200+Sens!I2217*tk_hold_gb300+Sens!I2218*tk_hold_vr200)/Sens!I2207</f>
        <v>11.3594282560989</v>
      </c>
      <c r="J2219" s="14" t="n">
        <f aca="false">(Sens!J2215*tk_hold_h100+Sens!J2216*tk_hold_gb200+Sens!J2217*tk_hold_gb300+Sens!J2218*tk_hold_vr200)/Sens!J2207</f>
        <v>11.5455817917599</v>
      </c>
      <c r="K2219" s="14" t="n">
        <f aca="false">(Sens!K2215*tk_hold_h100+Sens!K2216*tk_hold_gb200+Sens!K2217*tk_hold_gb300+Sens!K2218*tk_hold_vr200)/Sens!K2207</f>
        <v>11.8078187977246</v>
      </c>
    </row>
    <row r="2220" customFormat="false" ht="17.15" hidden="false" customHeight="false" outlineLevel="0" collapsed="false">
      <c r="A2220" s="0" t="s">
        <v>828</v>
      </c>
      <c r="B2220" s="0" t="s">
        <v>185</v>
      </c>
      <c r="C2220" s="14" t="n">
        <f aca="false">k_B</f>
        <v>1.17213932619116</v>
      </c>
      <c r="D2220" s="14" t="n">
        <f aca="false">k_B</f>
        <v>1.17213932619116</v>
      </c>
      <c r="E2220" s="14" t="n">
        <f aca="false">k_B</f>
        <v>1.17213932619116</v>
      </c>
      <c r="F2220" s="14" t="n">
        <f aca="false">(k_B+((ls_C*k_long+(1-ls_C)*k_spot)-k_B)*MIN(1,(Sens!F2205-base_fy)/k_ramp))</f>
        <v>1.07843258004497</v>
      </c>
      <c r="G2220" s="14" t="n">
        <f aca="false">(k_B+((ls_C*k_long+(1-ls_C)*k_spot)-k_B)*MIN(1,(Sens!G2205-base_fy)/k_ramp))</f>
        <v>0.984725833898784</v>
      </c>
      <c r="H2220" s="14" t="n">
        <f aca="false">(k_B+((ls_C*k_long+(1-ls_C)*k_spot)-k_B)*MIN(1,(Sens!H2205-base_fy)/k_ramp))</f>
        <v>0.891019087752599</v>
      </c>
      <c r="I2220" s="14" t="n">
        <f aca="false">(k_B+((ls_C*k_long+(1-ls_C)*k_spot)-k_B)*MIN(1,(Sens!I2205-base_fy)/k_ramp))</f>
        <v>0.891019087752599</v>
      </c>
      <c r="J2220" s="14" t="n">
        <f aca="false">(k_B+((ls_C*k_long+(1-ls_C)*k_spot)-k_B)*MIN(1,(Sens!J2205-base_fy)/k_ramp))</f>
        <v>0.891019087752599</v>
      </c>
      <c r="K2220" s="14" t="n">
        <f aca="false">(k_B+((ls_C*k_long+(1-ls_C)*k_spot)-k_B)*MIN(1,(Sens!K2205-base_fy)/k_ramp))</f>
        <v>0.891019087752599</v>
      </c>
      <c r="L2220" s="1" t="s">
        <v>829</v>
      </c>
    </row>
    <row r="2221" customFormat="false" ht="17.15" hidden="false" customHeight="false" outlineLevel="0" collapsed="false">
      <c r="A2221" s="1" t="s">
        <v>830</v>
      </c>
      <c r="B2221" s="0" t="s">
        <v>346</v>
      </c>
      <c r="C2221" s="14" t="n">
        <f aca="false">Sens!C2219*Sens!C2220*chip_f</f>
        <v>11.3973387156315</v>
      </c>
      <c r="D2221" s="14" t="n">
        <f aca="false">Sens!D2219*Sens!D2220*chip_f</f>
        <v>11.3973387156315</v>
      </c>
      <c r="E2221" s="14" t="n">
        <f aca="false">Sens!E2219*Sens!E2220*chip_f</f>
        <v>11.3973387156315</v>
      </c>
      <c r="F2221" s="14" t="n">
        <f aca="false">Sens!F2219*Sens!F2220*chip_f</f>
        <v>11.2242802615</v>
      </c>
      <c r="G2221" s="14" t="n">
        <f aca="false">Sens!G2219*Sens!G2220*chip_f</f>
        <v>10.6732592791352</v>
      </c>
      <c r="H2221" s="14" t="n">
        <f aca="false">Sens!H2219*Sens!H2220*chip_f</f>
        <v>9.91802420610807</v>
      </c>
      <c r="I2221" s="14" t="n">
        <f aca="false">Sens!I2219*Sens!I2220*chip_f</f>
        <v>10.1214674021403</v>
      </c>
      <c r="J2221" s="14" t="n">
        <f aca="false">Sens!J2219*Sens!J2220*chip_f</f>
        <v>10.2873337556669</v>
      </c>
      <c r="K2221" s="14" t="n">
        <f aca="false">Sens!K2219*Sens!K2220*chip_f</f>
        <v>10.5209919334966</v>
      </c>
      <c r="L2221" s="1" t="s">
        <v>831</v>
      </c>
    </row>
    <row r="2222" customFormat="false" ht="17.15" hidden="false" customHeight="false" outlineLevel="0" collapsed="false">
      <c r="A2222" s="0" t="s">
        <v>832</v>
      </c>
      <c r="B2222" s="0" t="s">
        <v>98</v>
      </c>
      <c r="D2222" s="6" t="n">
        <f aca="false">(Sens!C2207+Sens!D2207)/2*Sens!D2221/1000</f>
        <v>12.9359794422418</v>
      </c>
      <c r="E2222" s="6" t="n">
        <f aca="false">(Sens!D2207+Sens!E2207)/2*Sens!E2221/1000</f>
        <v>27.8095064661409</v>
      </c>
      <c r="F2222" s="6" t="n">
        <f aca="false">(Sens!E2207+Sens!F2207)/2*Sens!F2221/1000</f>
        <v>50.6619113883066</v>
      </c>
      <c r="G2222" s="6" t="n">
        <f aca="false">(Sens!F2207+Sens!G2207)/2*Sens!G2221/1000</f>
        <v>75.1482839325348</v>
      </c>
      <c r="H2222" s="6" t="n">
        <f aca="false">(Sens!G2207+Sens!H2207)/2*Sens!H2221/1000</f>
        <v>94.895655604042</v>
      </c>
      <c r="I2222" s="6" t="n">
        <f aca="false">(Sens!H2207+Sens!I2207)/2*Sens!I2221/1000</f>
        <v>118.706168884151</v>
      </c>
      <c r="J2222" s="6" t="n">
        <f aca="false">(Sens!I2207+Sens!J2207)/2*Sens!J2221/1000</f>
        <v>135.50643871102</v>
      </c>
      <c r="K2222" s="6" t="n">
        <f aca="false">(Sens!J2207+Sens!K2207)/2*Sens!K2221/1000</f>
        <v>146.509068150048</v>
      </c>
      <c r="L2222" s="11" t="s">
        <v>833</v>
      </c>
    </row>
    <row r="2223" customFormat="false" ht="17.15" hidden="false" customHeight="false" outlineLevel="0" collapsed="false">
      <c r="A2223" s="1" t="s">
        <v>834</v>
      </c>
      <c r="B2223" s="0" t="s">
        <v>346</v>
      </c>
      <c r="C2223" s="14" t="n">
        <f aca="false">(Sens!C2215*tk_opex_h100+Sens!C2216*tk_opex_gb200+Sens!C2217*tk_opex_gb300+Sens!C2218*tk_opex_vr200)/Sens!C2207</f>
        <v>1.88636041306092</v>
      </c>
      <c r="D2223" s="14" t="n">
        <f aca="false">(Sens!D2215*tk_opex_h100+Sens!D2216*tk_opex_gb200+Sens!D2217*tk_opex_gb300+Sens!D2218*tk_opex_vr200)/Sens!D2207</f>
        <v>1.88636041306092</v>
      </c>
      <c r="E2223" s="14" t="n">
        <f aca="false">(Sens!E2215*tk_opex_h100+Sens!E2216*tk_opex_gb200+Sens!E2217*tk_opex_gb300+Sens!E2218*tk_opex_vr200)/Sens!E2207</f>
        <v>1.88636041306092</v>
      </c>
      <c r="F2223" s="14" t="n">
        <f aca="false">(Sens!F2215*tk_opex_h100+Sens!F2216*tk_opex_gb200+Sens!F2217*tk_opex_gb300+Sens!F2218*tk_opex_vr200)/Sens!F2207</f>
        <v>1.9430236476499</v>
      </c>
      <c r="G2223" s="14" t="n">
        <f aca="false">(Sens!G2215*tk_opex_h100+Sens!G2216*tk_opex_gb200+Sens!G2217*tk_opex_gb300+Sens!G2218*tk_opex_vr200)/Sens!G2207</f>
        <v>1.9786941852423</v>
      </c>
      <c r="H2223" s="14" t="n">
        <f aca="false">(Sens!H2215*tk_opex_h100+Sens!H2216*tk_opex_gb200+Sens!H2217*tk_opex_gb300+Sens!H2218*tk_opex_vr200)/Sens!H2207</f>
        <v>2.00289275976156</v>
      </c>
      <c r="I2223" s="14" t="n">
        <f aca="false">(Sens!I2215*tk_opex_h100+Sens!I2216*tk_opex_gb200+Sens!I2217*tk_opex_gb300+Sens!I2218*tk_opex_vr200)/Sens!I2207</f>
        <v>2.02179589661219</v>
      </c>
      <c r="J2223" s="14" t="n">
        <f aca="false">(Sens!J2215*tk_opex_h100+Sens!J2216*tk_opex_gb200+Sens!J2217*tk_opex_gb300+Sens!J2218*tk_opex_vr200)/Sens!J2207</f>
        <v>2.03720754193029</v>
      </c>
      <c r="K2223" s="14" t="n">
        <f aca="false">(Sens!K2215*tk_opex_h100+Sens!K2216*tk_opex_gb200+Sens!K2217*tk_opex_gb300+Sens!K2218*tk_opex_vr200)/Sens!K2207</f>
        <v>2.0589181353437</v>
      </c>
    </row>
    <row r="2224" customFormat="false" ht="17.15" hidden="false" customHeight="false" outlineLevel="0" collapsed="false">
      <c r="A2224" s="0" t="s">
        <v>835</v>
      </c>
      <c r="B2224" s="0" t="s">
        <v>98</v>
      </c>
      <c r="D2224" s="6" t="n">
        <f aca="false">(Sens!C2210+Sens!D2210)/2*Sens!D2223/1000</f>
        <v>3.24453991046478</v>
      </c>
      <c r="E2224" s="6" t="n">
        <f aca="false">(Sens!D2210+Sens!E2210)/2*Sens!E2223/1000</f>
        <v>7.41339642332941</v>
      </c>
      <c r="F2224" s="6" t="n">
        <f aca="false">(Sens!E2210+Sens!F2210)/2*Sens!F2223/1000</f>
        <v>15.0024741882344</v>
      </c>
      <c r="G2224" s="6" t="n">
        <f aca="false">(Sens!F2210+Sens!G2210)/2*Sens!G2223/1000</f>
        <v>24.8713944308216</v>
      </c>
      <c r="H2224" s="6" t="n">
        <f aca="false">(Sens!G2210+Sens!H2210)/2*Sens!H2223/1000</f>
        <v>35.2989819980378</v>
      </c>
      <c r="I2224" s="6" t="n">
        <f aca="false">(Sens!H2210+Sens!I2210)/2*Sens!I2223/1000</f>
        <v>44.3669280427613</v>
      </c>
      <c r="J2224" s="6" t="n">
        <f aca="false">(Sens!I2210+Sens!J2210)/2*Sens!J2223/1000</f>
        <v>50.588602462778</v>
      </c>
      <c r="K2224" s="6" t="n">
        <f aca="false">(Sens!J2210+Sens!K2210)/2*Sens!K2223/1000</f>
        <v>54.2294514096844</v>
      </c>
    </row>
    <row r="2225" customFormat="false" ht="17.15" hidden="false" customHeight="false" outlineLevel="0" collapsed="false">
      <c r="A2225" s="0" t="s">
        <v>836</v>
      </c>
      <c r="B2225" s="0" t="s">
        <v>98</v>
      </c>
      <c r="D2225" s="6" t="n">
        <f aca="false">(Sens!C2208+Sens!D2208)/2*rent_mw/1000</f>
        <v>2.44475</v>
      </c>
      <c r="E2225" s="6" t="n">
        <f aca="false">(Sens!D2208+Sens!E2208)/2*rent_mw/1000</f>
        <v>4.22275</v>
      </c>
      <c r="F2225" s="6" t="n">
        <f aca="false">(Sens!E2208+Sens!F2208)/2*rent_mw/1000</f>
        <v>5.80517</v>
      </c>
      <c r="G2225" s="6" t="n">
        <f aca="false">(Sens!F2208+Sens!G2208)/2*rent_mw/1000</f>
        <v>6.72084</v>
      </c>
      <c r="H2225" s="6" t="n">
        <f aca="false">(Sens!G2208+Sens!H2208)/2*rent_mw/1000</f>
        <v>6.72084</v>
      </c>
      <c r="I2225" s="6" t="n">
        <f aca="false">(Sens!H2208+Sens!I2208)/2*rent_mw/1000</f>
        <v>6.72084</v>
      </c>
      <c r="J2225" s="6" t="n">
        <f aca="false">(Sens!I2208+Sens!J2208)/2*rent_mw/1000</f>
        <v>6.72084</v>
      </c>
      <c r="K2225" s="6" t="n">
        <f aca="false">(Sens!J2208+Sens!K2208)/2*rent_mw/1000</f>
        <v>6.72084</v>
      </c>
    </row>
    <row r="2226" customFormat="false" ht="17.15" hidden="false" customHeight="false" outlineLevel="0" collapsed="false">
      <c r="A2226" s="0" t="s">
        <v>837</v>
      </c>
      <c r="B2226" s="0" t="s">
        <v>98</v>
      </c>
      <c r="D2226" s="6" t="n">
        <f aca="false">(Sens!C2210+Sens!D2210)/2*(1-self_build)*fac_rent/1000</f>
        <v>1.02389085075729</v>
      </c>
      <c r="E2226" s="6" t="n">
        <f aca="false">(Sens!D2210+Sens!E2210)/2*(1-self_build)*fac_rent/1000</f>
        <v>2.33947153690474</v>
      </c>
      <c r="F2226" s="6" t="n">
        <f aca="false">(Sens!E2210+Sens!F2210)/2*(1-self_build)*fac_rent/1000</f>
        <v>4.59631746329488</v>
      </c>
      <c r="G2226" s="6" t="n">
        <f aca="false">(Sens!F2210+Sens!G2210)/2*(1-self_build)*fac_rent/1000</f>
        <v>7.48249909167374</v>
      </c>
      <c r="H2226" s="6" t="n">
        <f aca="false">(Sens!G2210+Sens!H2210)/2*(1-self_build)*fac_rent/1000</f>
        <v>10.4913095079921</v>
      </c>
      <c r="I2226" s="6" t="n">
        <f aca="false">(Sens!H2210+Sens!I2210)/2*(1-self_build)*fac_rent/1000</f>
        <v>13.0631304526319</v>
      </c>
      <c r="J2226" s="6" t="n">
        <f aca="false">(Sens!I2210+Sens!J2210)/2*(1-self_build)*fac_rent/1000</f>
        <v>14.7823207686439</v>
      </c>
      <c r="K2226" s="6" t="n">
        <f aca="false">(Sens!J2210+Sens!K2210)/2*(1-self_build)*fac_rent/1000</f>
        <v>15.6791078507789</v>
      </c>
      <c r="L2226" s="11" t="s">
        <v>838</v>
      </c>
    </row>
    <row r="2227" customFormat="false" ht="17.15" hidden="false" customHeight="false" outlineLevel="0" collapsed="false">
      <c r="A2227" s="1" t="s">
        <v>839</v>
      </c>
      <c r="B2227" s="0" t="s">
        <v>129</v>
      </c>
      <c r="D2227" s="7" t="n">
        <f aca="false">(Sens!C2209+Sens!D2209)/(Sens!C2210+Sens!D2210)</f>
        <v>0.5</v>
      </c>
      <c r="E2227" s="7" t="n">
        <f aca="false">(Sens!D2209+Sens!E2209)/(Sens!D2210+Sens!E2210)</f>
        <v>0.5</v>
      </c>
      <c r="F2227" s="7" t="n">
        <f aca="false">(Sens!E2209+Sens!F2209)/(Sens!E2210+Sens!F2210)</f>
        <v>0.5</v>
      </c>
      <c r="G2227" s="7" t="n">
        <f aca="false">(Sens!F2209+Sens!G2209)/(Sens!F2210+Sens!G2210)</f>
        <v>0.5</v>
      </c>
      <c r="H2227" s="7" t="n">
        <f aca="false">(Sens!G2209+Sens!H2209)/(Sens!G2210+Sens!H2210)</f>
        <v>0.5</v>
      </c>
      <c r="I2227" s="7" t="n">
        <f aca="false">(Sens!H2209+Sens!I2209)/(Sens!H2210+Sens!I2210)</f>
        <v>0.5</v>
      </c>
      <c r="J2227" s="7" t="n">
        <f aca="false">(Sens!I2209+Sens!J2209)/(Sens!I2210+Sens!J2210)</f>
        <v>0.5</v>
      </c>
      <c r="K2227" s="7" t="n">
        <f aca="false">(Sens!J2209+Sens!K2209)/(Sens!J2210+Sens!K2210)</f>
        <v>0.5</v>
      </c>
    </row>
    <row r="2228" customFormat="false" ht="17.15" hidden="false" customHeight="false" outlineLevel="0" collapsed="false">
      <c r="A2228" s="0" t="s">
        <v>840</v>
      </c>
      <c r="B2228" s="0" t="s">
        <v>98</v>
      </c>
      <c r="D2228" s="6" t="n">
        <f aca="false">Sens!D2222-Sens!D2227*(Sens!D2224+Sens!D2226)-Sens!D2225</f>
        <v>8.35701406163072</v>
      </c>
      <c r="E2228" s="6" t="n">
        <f aca="false">Sens!E2222-Sens!E2227*(Sens!E2224+Sens!E2226)-Sens!E2225</f>
        <v>18.7103224860238</v>
      </c>
      <c r="F2228" s="6" t="n">
        <f aca="false">Sens!F2222-Sens!F2227*(Sens!F2224+Sens!F2226)-Sens!F2225</f>
        <v>35.0573455625419</v>
      </c>
      <c r="G2228" s="6" t="n">
        <f aca="false">Sens!G2222-Sens!G2227*(Sens!G2224+Sens!G2226)-Sens!G2225</f>
        <v>52.2504971712871</v>
      </c>
      <c r="H2228" s="6" t="n">
        <f aca="false">Sens!H2222-Sens!H2227*(Sens!H2224+Sens!H2226)-Sens!H2225</f>
        <v>65.2796698510271</v>
      </c>
      <c r="I2228" s="6" t="n">
        <f aca="false">Sens!I2222-Sens!I2227*(Sens!I2224+Sens!I2226)-Sens!I2225</f>
        <v>83.2702996364549</v>
      </c>
      <c r="J2228" s="6" t="n">
        <f aca="false">Sens!J2222-Sens!J2227*(Sens!J2224+Sens!J2226)-Sens!J2225</f>
        <v>96.1001370953096</v>
      </c>
      <c r="K2228" s="6" t="n">
        <f aca="false">Sens!K2222-Sens!K2227*(Sens!K2224+Sens!K2226)-Sens!K2225</f>
        <v>104.833948519816</v>
      </c>
    </row>
    <row r="2229" customFormat="false" ht="17.15" hidden="false" customHeight="false" outlineLevel="0" collapsed="false">
      <c r="A2229" s="1" t="s">
        <v>841</v>
      </c>
      <c r="B2229" s="0" t="s">
        <v>98</v>
      </c>
      <c r="D2229" s="6" t="n">
        <f aca="false">(1-Sens!D2227)*(Sens!D2224+Sens!D2226)</f>
        <v>2.13421538061103</v>
      </c>
      <c r="E2229" s="6" t="n">
        <f aca="false">(1-Sens!E2227)*(Sens!E2224+Sens!E2226)</f>
        <v>4.87643398011707</v>
      </c>
      <c r="F2229" s="6" t="n">
        <f aca="false">(1-Sens!F2227)*(Sens!F2224+Sens!F2226)</f>
        <v>9.79939582576465</v>
      </c>
      <c r="G2229" s="6" t="n">
        <f aca="false">(1-Sens!G2227)*(Sens!G2224+Sens!G2226)</f>
        <v>16.1769467612477</v>
      </c>
      <c r="H2229" s="6" t="n">
        <f aca="false">(1-Sens!H2227)*(Sens!H2224+Sens!H2226)</f>
        <v>22.895145753015</v>
      </c>
      <c r="I2229" s="6" t="n">
        <f aca="false">(1-Sens!I2227)*(Sens!I2224+Sens!I2226)</f>
        <v>28.7150292476966</v>
      </c>
      <c r="J2229" s="6" t="n">
        <f aca="false">(1-Sens!J2227)*(Sens!J2224+Sens!J2226)</f>
        <v>32.6854616157109</v>
      </c>
      <c r="K2229" s="6" t="n">
        <f aca="false">(1-Sens!K2227)*(Sens!K2224+Sens!K2226)</f>
        <v>34.9542796302317</v>
      </c>
    </row>
    <row r="2230" customFormat="false" ht="17.15" hidden="false" customHeight="false" outlineLevel="0" collapsed="false">
      <c r="A2230" s="1" t="s">
        <v>842</v>
      </c>
      <c r="B2230" s="0" t="s">
        <v>357</v>
      </c>
      <c r="C2230" s="8" t="n">
        <f aca="false">cxit_open</f>
        <v>27.5918995</v>
      </c>
      <c r="D2230" s="8" t="n">
        <f aca="false">cxit_open</f>
        <v>27.5918995</v>
      </c>
      <c r="E2230" s="8" t="n">
        <f aca="false">cxit_open</f>
        <v>27.5918995</v>
      </c>
      <c r="F2230" s="8" t="n">
        <f aca="false">(a_g3_27*tk_cxit_gb300+(1-a_g3_27)*tk_cxit_vr200)</f>
        <v>33.8419624</v>
      </c>
      <c r="G2230" s="8" t="n">
        <f aca="false">(a_g3_28*tk_cxit_gb300+(1-a_g3_28)*tk_cxit_vr200)</f>
        <v>35.9816136</v>
      </c>
      <c r="H2230" s="8" t="n">
        <f aca="false">(a_g3_29*tk_cxit_gb300+(1-a_g3_29)*tk_cxit_vr200)</f>
        <v>37.0514392</v>
      </c>
      <c r="I2230" s="8" t="n">
        <f aca="false">(a_g3_29*tk_cxit_gb300+(1-a_g3_29)*tk_cxit_vr200)</f>
        <v>37.0514392</v>
      </c>
      <c r="J2230" s="8" t="n">
        <f aca="false">(a_g3_29*tk_cxit_gb300+(1-a_g3_29)*tk_cxit_vr200)</f>
        <v>37.0514392</v>
      </c>
      <c r="K2230" s="8" t="n">
        <f aca="false">(a_g3_29*tk_cxit_gb300+(1-a_g3_29)*tk_cxit_vr200)</f>
        <v>37.0514392</v>
      </c>
      <c r="L2230" s="11" t="s">
        <v>843</v>
      </c>
    </row>
    <row r="2231" customFormat="false" ht="17.15" hidden="false" customHeight="false" outlineLevel="0" collapsed="false">
      <c r="A2231" s="0" t="s">
        <v>844</v>
      </c>
      <c r="B2231" s="0" t="s">
        <v>399</v>
      </c>
      <c r="F2231" s="29" t="n">
        <f aca="false">Sens!C2212*IF(Sens!F2205-Sens!C2205=life_it,1,0)+Sens!D2212*IF(Sens!F2205-Sens!D2205=life_it,1,0)+Sens!E2212*IF(Sens!F2205-Sens!E2205=life_it,1,0)</f>
        <v>0</v>
      </c>
      <c r="G2231" s="29" t="n">
        <f aca="false">Sens!C2212*IF(Sens!G2205-Sens!C2205=life_it,1,0)+Sens!D2212*IF(Sens!G2205-Sens!D2205=life_it,1,0)+Sens!E2212*IF(Sens!G2205-Sens!E2205=life_it,1,0)+Sens!F2212*IF(Sens!G2205-Sens!F2205=life_it,1,0)</f>
        <v>0</v>
      </c>
      <c r="H2231" s="29" t="n">
        <f aca="false">Sens!C2212*IF(Sens!H2205-Sens!C2205=life_it,1,0)+Sens!D2212*IF(Sens!H2205-Sens!D2205=life_it,1,0)+Sens!E2212*IF(Sens!H2205-Sens!E2205=life_it,1,0)+Sens!F2212*IF(Sens!H2205-Sens!F2205=life_it,1,0)+Sens!G2212*IF(Sens!H2205-Sens!G2205=life_it,1,0)</f>
        <v>0</v>
      </c>
      <c r="I2231" s="29" t="n">
        <f aca="false">Sens!C2212*IF(Sens!I2205-Sens!C2205=life_it,1,0)+Sens!D2212*IF(Sens!I2205-Sens!D2205=life_it,1,0)+Sens!E2212*IF(Sens!I2205-Sens!E2205=life_it,1,0)+Sens!F2212*IF(Sens!I2205-Sens!F2205=life_it,1,0)+Sens!G2212*IF(Sens!I2205-Sens!G2205=life_it,1,0)+Sens!H2212*IF(Sens!I2205-Sens!H2205=life_it,1,0)</f>
        <v>980</v>
      </c>
      <c r="J2231" s="29" t="n">
        <f aca="false">Sens!C2212*IF(Sens!J2205-Sens!C2205=life_it,1,0)+Sens!D2212*IF(Sens!J2205-Sens!D2205=life_it,1,0)+Sens!E2212*IF(Sens!J2205-Sens!E2205=life_it,1,0)+Sens!F2212*IF(Sens!J2205-Sens!F2205=life_it,1,0)+Sens!G2212*IF(Sens!J2205-Sens!G2205=life_it,1,0)+Sens!H2212*IF(Sens!J2205-Sens!H2205=life_it,1,0)+Sens!I2212*IF(Sens!J2205-Sens!I2205=life_it,1,0)</f>
        <v>1480</v>
      </c>
      <c r="K2231" s="29" t="n">
        <f aca="false">Sens!C2212*IF(Sens!K2205-Sens!C2205=life_it,1,0)+Sens!D2212*IF(Sens!K2205-Sens!D2205=life_it,1,0)+Sens!E2212*IF(Sens!K2205-Sens!E2205=life_it,1,0)+Sens!F2212*IF(Sens!K2205-Sens!F2205=life_it,1,0)+Sens!G2212*IF(Sens!K2205-Sens!G2205=life_it,1,0)+Sens!H2212*IF(Sens!K2205-Sens!H2205=life_it,1,0)+Sens!I2212*IF(Sens!K2205-Sens!I2205=life_it,1,0)+Sens!J2212*IF(Sens!K2205-Sens!J2205=life_it,1,0)</f>
        <v>2940</v>
      </c>
      <c r="L2231" s="1" t="s">
        <v>845</v>
      </c>
    </row>
    <row r="2232" customFormat="false" ht="17.15" hidden="false" customHeight="false" outlineLevel="0" collapsed="false">
      <c r="A2232" s="0" t="s">
        <v>846</v>
      </c>
      <c r="B2232" s="0" t="s">
        <v>98</v>
      </c>
      <c r="C2232" s="6" t="n">
        <f aca="false">Sens!C2212*Sens!C2230/1000</f>
        <v>27.04006151</v>
      </c>
      <c r="D2232" s="6" t="n">
        <f aca="false">Sens!D2212*Sens!D2230/1000</f>
        <v>40.83601126</v>
      </c>
      <c r="E2232" s="6" t="n">
        <f aca="false">Sens!E2212*Sens!E2230/1000</f>
        <v>81.12018453</v>
      </c>
      <c r="F2232" s="6" t="n">
        <f aca="false">(Sens!F2212+Sens!F2231)*Sens!F2230/1000</f>
        <v>157.10792624576</v>
      </c>
      <c r="G2232" s="6" t="n">
        <f aca="false">(Sens!G2212+Sens!G2231)*Sens!G2230/1000</f>
        <v>181.86546777984</v>
      </c>
      <c r="H2232" s="6" t="n">
        <f aca="false">(Sens!H2212+Sens!H2231)*Sens!H2230/1000</f>
        <v>187.27279429248</v>
      </c>
      <c r="I2232" s="6" t="n">
        <f aca="false">(Sens!I2212+Sens!I2231)*Sens!I2230/1000</f>
        <v>169.185467321094</v>
      </c>
      <c r="J2232" s="6" t="n">
        <f aca="false">(Sens!J2212+Sens!J2231)*Sens!J2230/1000</f>
        <v>135.970950671811</v>
      </c>
      <c r="K2232" s="6" t="n">
        <f aca="false">(Sens!K2212+Sens!K2231)*Sens!K2230/1000</f>
        <v>139.43110970515</v>
      </c>
    </row>
    <row r="2233" customFormat="false" ht="17.15" hidden="false" customHeight="false" outlineLevel="0" collapsed="false">
      <c r="A2233" s="0" t="s">
        <v>847</v>
      </c>
      <c r="B2233" s="0" t="s">
        <v>98</v>
      </c>
      <c r="C2233" s="6" t="n">
        <f aca="false">Sens!C2212*self_build*tk_cxfac/1000</f>
        <v>7.44996</v>
      </c>
      <c r="D2233" s="6" t="n">
        <f aca="false">Sens!D2212*self_build*tk_cxfac/1000</f>
        <v>11.25096</v>
      </c>
      <c r="E2233" s="6" t="n">
        <f aca="false">Sens!E2212*self_build*tk_cxfac/1000</f>
        <v>22.34988</v>
      </c>
      <c r="F2233" s="6" t="n">
        <f aca="false">Sens!F2212*self_build*tk_cxfac/1000</f>
        <v>35.2915248</v>
      </c>
      <c r="G2233" s="6" t="n">
        <f aca="false">Sens!G2212*self_build*tk_cxfac/1000</f>
        <v>38.4235488</v>
      </c>
      <c r="H2233" s="6" t="n">
        <f aca="false">Sens!H2212*self_build*tk_cxfac/1000</f>
        <v>38.4235488</v>
      </c>
      <c r="I2233" s="6" t="n">
        <f aca="false">Sens!I2212*self_build*tk_cxfac/1000</f>
        <v>27.262535664</v>
      </c>
      <c r="J2233" s="6" t="n">
        <f aca="false">Sens!J2212*self_build*tk_cxfac/1000</f>
        <v>16.64677324128</v>
      </c>
      <c r="K2233" s="6" t="n">
        <f aca="false">Sens!K2212*self_build*tk_cxfac/1000</f>
        <v>6.2577886591584</v>
      </c>
    </row>
    <row r="2234" customFormat="false" ht="17.15" hidden="false" customHeight="false" outlineLevel="0" collapsed="false">
      <c r="A2234" s="0" t="s">
        <v>848</v>
      </c>
      <c r="B2234" s="0" t="s">
        <v>98</v>
      </c>
      <c r="F2234" s="6" t="n">
        <f aca="false">MAX(0,capex_floor27-Sens!F2232-Sens!F2233-Sens!F2328)</f>
        <v>0</v>
      </c>
    </row>
    <row r="2235" customFormat="false" ht="17.15" hidden="false" customHeight="false" outlineLevel="0" collapsed="false">
      <c r="A2235" s="0" t="s">
        <v>849</v>
      </c>
      <c r="B2235" s="0" t="s">
        <v>98</v>
      </c>
      <c r="C2235" s="6" t="n">
        <f aca="false">Sens!C2232</f>
        <v>27.04006151</v>
      </c>
      <c r="D2235" s="6" t="n">
        <f aca="false">Sens!D2232</f>
        <v>40.83601126</v>
      </c>
      <c r="E2235" s="6" t="n">
        <f aca="false">Sens!E2232</f>
        <v>81.12018453</v>
      </c>
      <c r="F2235" s="6" t="n">
        <f aca="false">Sens!F2232</f>
        <v>157.10792624576</v>
      </c>
      <c r="G2235" s="6" t="n">
        <f aca="false">Sens!G2232</f>
        <v>181.86546777984</v>
      </c>
      <c r="H2235" s="6" t="n">
        <f aca="false">Sens!H2232</f>
        <v>187.27279429248</v>
      </c>
      <c r="I2235" s="6" t="n">
        <f aca="false">Sens!I2232</f>
        <v>169.185467321094</v>
      </c>
      <c r="J2235" s="6" t="n">
        <f aca="false">Sens!J2232</f>
        <v>135.970950671811</v>
      </c>
      <c r="K2235" s="6" t="n">
        <f aca="false">Sens!K2232</f>
        <v>139.43110970515</v>
      </c>
    </row>
    <row r="2236" customFormat="false" ht="17.15" hidden="false" customHeight="false" outlineLevel="0" collapsed="false">
      <c r="A2236" s="0" t="s">
        <v>850</v>
      </c>
      <c r="B2236" s="0" t="s">
        <v>98</v>
      </c>
      <c r="C2236" s="6" t="n">
        <f aca="false">Sens!C2235+Sens!C2233</f>
        <v>34.49002151</v>
      </c>
      <c r="D2236" s="6" t="n">
        <f aca="false">Sens!D2235+Sens!D2233</f>
        <v>52.08697126</v>
      </c>
      <c r="E2236" s="6" t="n">
        <f aca="false">Sens!E2235+Sens!E2233</f>
        <v>103.47006453</v>
      </c>
      <c r="F2236" s="6" t="n">
        <f aca="false">Sens!F2235+Sens!F2233</f>
        <v>192.39945104576</v>
      </c>
      <c r="G2236" s="6" t="n">
        <f aca="false">Sens!G2235+Sens!G2233</f>
        <v>220.28901657984</v>
      </c>
      <c r="H2236" s="6" t="n">
        <f aca="false">Sens!H2235+Sens!H2233</f>
        <v>225.69634309248</v>
      </c>
      <c r="I2236" s="6" t="n">
        <f aca="false">Sens!I2235+Sens!I2233</f>
        <v>196.448002985094</v>
      </c>
      <c r="J2236" s="6" t="n">
        <f aca="false">Sens!J2235+Sens!J2233</f>
        <v>152.617723913091</v>
      </c>
      <c r="K2236" s="6" t="n">
        <f aca="false">Sens!K2235+Sens!K2233</f>
        <v>145.688898364309</v>
      </c>
      <c r="L2236" s="11" t="s">
        <v>851</v>
      </c>
    </row>
    <row r="2237" customFormat="false" ht="17.15" hidden="false" customHeight="false" outlineLevel="0" collapsed="false">
      <c r="A2237" s="0" t="s">
        <v>852</v>
      </c>
      <c r="B2237" s="0" t="s">
        <v>98</v>
      </c>
      <c r="E2237" s="6" t="n">
        <f aca="false">(Sens!C2235*IF(2&lt;life_it,1,IF(2=life_it,0.5,0))+Sens!D2235*IF(1&lt;life_it,1,IF(1=life_it,0.5,0))+Sens!E2235*0.5)/life_it</f>
        <v>18.0726941725</v>
      </c>
      <c r="F2237" s="6" t="n">
        <f aca="false">(Sens!C2235*IF(3&lt;life_it,1,IF(3=life_it,0.5,0))+Sens!D2235*IF(2&lt;life_it,1,IF(2=life_it,0.5,0))+Sens!E2235*IF(1&lt;life_it,1,IF(1=life_it,0.5,0))+Sens!F2235*0.5)/life_it</f>
        <v>37.9250367371467</v>
      </c>
      <c r="G2237" s="6" t="n">
        <f aca="false">(Sens!C2235*IF(4&lt;life_it,1,IF(4=life_it,0.5,0))+Sens!D2235*IF(3&lt;life_it,1,IF(3=life_it,0.5,0))+Sens!E2235*IF(2&lt;life_it,1,IF(2=life_it,0.5,0))+Sens!F2235*IF(1&lt;life_it,1,IF(1=life_it,0.5,0))+Sens!G2235*0.5)/life_it</f>
        <v>66.1728195726133</v>
      </c>
      <c r="H2237" s="6" t="n">
        <f aca="false">(Sens!C2235*IF(5&lt;life_it,1,IF(5=life_it,0.5,0))+Sens!D2235*IF(4&lt;life_it,1,IF(4=life_it,0.5,0))+Sens!E2235*IF(3&lt;life_it,1,IF(3=life_it,0.5,0))+Sens!F2235*IF(2&lt;life_it,1,IF(2=life_it,0.5,0))+Sens!G2235*IF(1&lt;life_it,1,IF(1=life_it,0.5,0))+Sens!H2235*0.5)/life_it</f>
        <v>96.9343414119733</v>
      </c>
      <c r="I2237" s="6" t="n">
        <f aca="false">(Sens!C2235*IF(6&lt;life_it,1,IF(6=life_it,0.5,0))+Sens!D2235*IF(5&lt;life_it,1,IF(5=life_it,0.5,0))+Sens!E2235*IF(4&lt;life_it,1,IF(4=life_it,0.5,0))+Sens!F2235*IF(3&lt;life_it,1,IF(3=life_it,0.5,0))+Sens!G2235*IF(2&lt;life_it,1,IF(2=life_it,0.5,0))+Sens!H2235*IF(1&lt;life_it,1,IF(1=life_it,0.5,0))+Sens!I2235*0.5)/life_it</f>
        <v>124.385858087271</v>
      </c>
      <c r="J2237" s="6" t="n">
        <f aca="false">(Sens!C2235*IF(7&lt;life_it,1,IF(7=life_it,0.5,0))+Sens!D2235*IF(6&lt;life_it,1,IF(6=life_it,0.5,0))+Sens!E2235*IF(5&lt;life_it,1,IF(5=life_it,0.5,0))+Sens!F2235*IF(4&lt;life_it,1,IF(4=life_it,0.5,0))+Sens!G2235*IF(3&lt;life_it,1,IF(3=life_it,0.5,0))+Sens!H2235*IF(2&lt;life_it,1,IF(2=life_it,0.5,0))+Sens!I2235*IF(1&lt;life_it,1,IF(1=life_it,0.5,0))+Sens!J2235*0.5)/life_it</f>
        <v>144.15922018918</v>
      </c>
      <c r="K2237" s="6" t="n">
        <f aca="false">(Sens!C2235*IF(8&lt;life_it,1,IF(8=life_it,0.5,0))+Sens!D2235*IF(7&lt;life_it,1,IF(7=life_it,0.5,0))+Sens!E2235*IF(6&lt;life_it,1,IF(6=life_it,0.5,0))+Sens!F2235*IF(5&lt;life_it,1,IF(5=life_it,0.5,0))+Sens!G2235*IF(4&lt;life_it,1,IF(4=life_it,0.5,0))+Sens!H2235*IF(3&lt;life_it,1,IF(3=life_it,0.5,0))+Sens!I2235*IF(2&lt;life_it,1,IF(2=life_it,0.5,0))+Sens!J2235*IF(1&lt;life_it,1,IF(1=life_it,0.5,0))+Sens!K2235*0.5)/life_it</f>
        <v>156.946375571427</v>
      </c>
    </row>
    <row r="2238" customFormat="false" ht="17.15" hidden="false" customHeight="false" outlineLevel="0" collapsed="false">
      <c r="A2238" s="0" t="s">
        <v>853</v>
      </c>
      <c r="B2238" s="0" t="s">
        <v>98</v>
      </c>
      <c r="E2238" s="6" t="n">
        <f aca="false">(Sens!C2233*IF(2&lt;life_fac,1,IF(2=life_fac,0.5,0))+Sens!D2233*IF(1&lt;life_fac,1,IF(1=life_fac,0.5,0))+Sens!E2233*0.5)/life_fac</f>
        <v>1.493793</v>
      </c>
      <c r="F2238" s="6" t="n">
        <f aca="false">(Sens!C2233*IF(3&lt;life_fac,1,IF(3=life_fac,0.5,0))+Sens!D2233*IF(2&lt;life_fac,1,IF(2=life_fac,0.5,0))+Sens!E2233*IF(1&lt;life_fac,1,IF(1=life_fac,0.5,0))+Sens!F2233*0.5)/life_fac</f>
        <v>2.93482812</v>
      </c>
      <c r="G2238" s="6" t="n">
        <f aca="false">(Sens!C2233*IF(4&lt;life_fac,1,IF(4=life_fac,0.5,0))+Sens!D2233*IF(3&lt;life_fac,1,IF(3=life_fac,0.5,0))+Sens!E2233*IF(2&lt;life_fac,1,IF(2=life_fac,0.5,0))+Sens!F2233*IF(1&lt;life_fac,1,IF(1=life_fac,0.5,0))+Sens!G2233*0.5)/life_fac</f>
        <v>4.77770496</v>
      </c>
      <c r="H2238" s="6" t="n">
        <f aca="false">(Sens!C2233*IF(5&lt;life_fac,1,IF(5=life_fac,0.5,0))+Sens!D2233*IF(4&lt;life_fac,1,IF(4=life_fac,0.5,0))+Sens!E2233*IF(3&lt;life_fac,1,IF(3=life_fac,0.5,0))+Sens!F2233*IF(2&lt;life_fac,1,IF(2=life_fac,0.5,0))+Sens!G2233*IF(1&lt;life_fac,1,IF(1=life_fac,0.5,0))+Sens!H2233*0.5)/life_fac</f>
        <v>6.6988824</v>
      </c>
      <c r="I2238" s="6" t="n">
        <f aca="false">(Sens!C2233*IF(6&lt;life_fac,1,IF(6=life_fac,0.5,0))+Sens!D2233*IF(5&lt;life_fac,1,IF(5=life_fac,0.5,0))+Sens!E2233*IF(4&lt;life_fac,1,IF(4=life_fac,0.5,0))+Sens!F2233*IF(3&lt;life_fac,1,IF(3=life_fac,0.5,0))+Sens!G2233*IF(2&lt;life_fac,1,IF(2=life_fac,0.5,0))+Sens!H2233*IF(1&lt;life_fac,1,IF(1=life_fac,0.5,0))+Sens!I2233*0.5)/life_fac</f>
        <v>8.3410345116</v>
      </c>
      <c r="J2238" s="6" t="n">
        <f aca="false">(Sens!C2233*IF(7&lt;life_fac,1,IF(7=life_fac,0.5,0))+Sens!D2233*IF(6&lt;life_fac,1,IF(6=life_fac,0.5,0))+Sens!E2233*IF(5&lt;life_fac,1,IF(5=life_fac,0.5,0))+Sens!F2233*IF(4&lt;life_fac,1,IF(4=life_fac,0.5,0))+Sens!G2233*IF(3&lt;life_fac,1,IF(3=life_fac,0.5,0))+Sens!H2233*IF(2&lt;life_fac,1,IF(2=life_fac,0.5,0))+Sens!I2233*IF(1&lt;life_fac,1,IF(1=life_fac,0.5,0))+Sens!J2233*0.5)/life_fac</f>
        <v>9.438767234232</v>
      </c>
      <c r="K2238" s="6" t="n">
        <f aca="false">(Sens!C2233*IF(8&lt;life_fac,1,IF(8=life_fac,0.5,0))+Sens!D2233*IF(7&lt;life_fac,1,IF(7=life_fac,0.5,0))+Sens!E2233*IF(6&lt;life_fac,1,IF(6=life_fac,0.5,0))+Sens!F2233*IF(5&lt;life_fac,1,IF(5=life_fac,0.5,0))+Sens!G2233*IF(4&lt;life_fac,1,IF(4=life_fac,0.5,0))+Sens!H2233*IF(3&lt;life_fac,1,IF(3=life_fac,0.5,0))+Sens!I2233*IF(2&lt;life_fac,1,IF(2=life_fac,0.5,0))+Sens!J2233*IF(1&lt;life_fac,1,IF(1=life_fac,0.5,0))+Sens!K2233*0.5)/life_fac</f>
        <v>10.011381281743</v>
      </c>
    </row>
    <row r="2239" customFormat="false" ht="17.15" hidden="false" customHeight="false" outlineLevel="0" collapsed="false">
      <c r="A2239" s="0" t="s">
        <v>854</v>
      </c>
      <c r="B2239" s="0" t="s">
        <v>98</v>
      </c>
      <c r="E2239" s="6" t="n">
        <f aca="false">Sens!E2237+Sens!E2238</f>
        <v>19.5664871725</v>
      </c>
      <c r="F2239" s="6" t="n">
        <f aca="false">Sens!F2237+Sens!F2238</f>
        <v>40.8598648571467</v>
      </c>
      <c r="G2239" s="6" t="n">
        <f aca="false">Sens!G2237+Sens!G2238</f>
        <v>70.9505245326133</v>
      </c>
      <c r="H2239" s="6" t="n">
        <f aca="false">Sens!H2237+Sens!H2238</f>
        <v>103.633223811973</v>
      </c>
      <c r="I2239" s="6" t="n">
        <f aca="false">Sens!I2237+Sens!I2238</f>
        <v>132.726892598871</v>
      </c>
      <c r="J2239" s="6" t="n">
        <f aca="false">Sens!J2237+Sens!J2238</f>
        <v>153.597987423412</v>
      </c>
      <c r="K2239" s="6" t="n">
        <f aca="false">Sens!K2237+Sens!K2238</f>
        <v>166.95775685317</v>
      </c>
    </row>
    <row r="2240" customFormat="false" ht="17.15" hidden="false" customHeight="false" outlineLevel="0" collapsed="false">
      <c r="A2240" s="0" t="s">
        <v>855</v>
      </c>
      <c r="B2240" s="0" t="s">
        <v>98</v>
      </c>
      <c r="E2240" s="6" t="n">
        <f aca="false">Sens!E2228-Sens!E2227*Sens!E2239</f>
        <v>8.92707889977379</v>
      </c>
      <c r="F2240" s="6" t="n">
        <f aca="false">Sens!F2228-Sens!F2227*Sens!F2239</f>
        <v>14.6274131339686</v>
      </c>
      <c r="G2240" s="6" t="n">
        <f aca="false">Sens!G2228-Sens!G2227*Sens!G2239</f>
        <v>16.7752349049804</v>
      </c>
      <c r="H2240" s="6" t="n">
        <f aca="false">Sens!H2228-Sens!H2227*Sens!H2239</f>
        <v>13.4630579450404</v>
      </c>
      <c r="I2240" s="6" t="n">
        <f aca="false">Sens!I2228-Sens!I2227*Sens!I2239</f>
        <v>16.9068533370193</v>
      </c>
      <c r="J2240" s="6" t="n">
        <f aca="false">Sens!J2228-Sens!J2227*Sens!J2239</f>
        <v>19.3011433836036</v>
      </c>
      <c r="K2240" s="6" t="n">
        <f aca="false">Sens!K2228-Sens!K2227*Sens!K2239</f>
        <v>21.3550700932312</v>
      </c>
    </row>
    <row r="2241" customFormat="false" ht="17.15" hidden="false" customHeight="false" outlineLevel="0" collapsed="false">
      <c r="A2241" s="3" t="s">
        <v>1318</v>
      </c>
    </row>
    <row r="2242" customFormat="false" ht="15" hidden="false" customHeight="false" outlineLevel="0" collapsed="false">
      <c r="A2242" s="4" t="s">
        <v>43</v>
      </c>
      <c r="B2242" s="4" t="s">
        <v>65</v>
      </c>
      <c r="C2242" s="20" t="s">
        <v>799</v>
      </c>
      <c r="D2242" s="20" t="s">
        <v>800</v>
      </c>
      <c r="E2242" s="20" t="s">
        <v>801</v>
      </c>
      <c r="F2242" s="20" t="s">
        <v>802</v>
      </c>
      <c r="G2242" s="20" t="s">
        <v>803</v>
      </c>
      <c r="H2242" s="20" t="s">
        <v>804</v>
      </c>
      <c r="I2242" s="20" t="s">
        <v>805</v>
      </c>
      <c r="J2242" s="20" t="s">
        <v>806</v>
      </c>
      <c r="K2242" s="20" t="s">
        <v>807</v>
      </c>
      <c r="L2242" s="4" t="s">
        <v>47</v>
      </c>
    </row>
    <row r="2243" customFormat="false" ht="17.15" hidden="false" customHeight="false" outlineLevel="0" collapsed="false">
      <c r="A2243" s="0" t="s">
        <v>874</v>
      </c>
      <c r="B2243" s="0" t="s">
        <v>98</v>
      </c>
      <c r="D2243" s="6" t="n">
        <f aca="false">Sens!D2222</f>
        <v>12.9359794422418</v>
      </c>
      <c r="E2243" s="6" t="n">
        <f aca="false">Sens!E2222</f>
        <v>27.8095064661409</v>
      </c>
      <c r="F2243" s="6" t="n">
        <f aca="false">Sens!F2222</f>
        <v>50.6619113883066</v>
      </c>
      <c r="G2243" s="6" t="n">
        <f aca="false">Sens!G2222</f>
        <v>75.1482839325348</v>
      </c>
      <c r="H2243" s="6" t="n">
        <f aca="false">Sens!H2222</f>
        <v>94.895655604042</v>
      </c>
      <c r="I2243" s="6" t="n">
        <f aca="false">Sens!I2222</f>
        <v>118.706168884151</v>
      </c>
      <c r="J2243" s="6" t="n">
        <f aca="false">Sens!J2222</f>
        <v>135.50643871102</v>
      </c>
      <c r="K2243" s="6" t="n">
        <f aca="false">Sens!K2222</f>
        <v>146.509068150048</v>
      </c>
    </row>
    <row r="2244" customFormat="false" ht="17.15" hidden="false" customHeight="false" outlineLevel="0" collapsed="false">
      <c r="A2244" s="0" t="s">
        <v>875</v>
      </c>
      <c r="B2244" s="0" t="s">
        <v>98</v>
      </c>
      <c r="D2244" s="6" t="n">
        <f aca="false">Q!L6-Sens!D2243</f>
        <v>59.6740205577583</v>
      </c>
      <c r="E2244" s="6" t="n">
        <f aca="false">Q!M6-Sens!E2243</f>
        <v>74.1284935338591</v>
      </c>
      <c r="F2244" s="6" t="n">
        <f aca="false">Sens!E2244*(1+Sens!F2245)</f>
        <v>90.0799497373663</v>
      </c>
      <c r="G2244" s="6" t="n">
        <f aca="false">Sens!F2244*(1+Sens!G2245)</f>
        <v>107.02842520331</v>
      </c>
      <c r="H2244" s="6" t="n">
        <f aca="false">Sens!G2244*(1+Sens!H2245)</f>
        <v>124.271982585636</v>
      </c>
      <c r="I2244" s="6" t="n">
        <f aca="false">Sens!H2244*(1+Sens!I2245)</f>
        <v>140.933702381855</v>
      </c>
      <c r="J2244" s="6" t="n">
        <f aca="false">Sens!I2244*(1+Sens!J2245)</f>
        <v>156.018867314332</v>
      </c>
      <c r="K2244" s="6" t="n">
        <f aca="false">Sens!J2244*(1+Sens!K2245)</f>
        <v>168.500376699478</v>
      </c>
    </row>
    <row r="2245" customFormat="false" ht="15" hidden="false" customHeight="false" outlineLevel="0" collapsed="false">
      <c r="A2245" s="1" t="s">
        <v>876</v>
      </c>
      <c r="B2245" s="0" t="s">
        <v>129</v>
      </c>
      <c r="E2245" s="7" t="n">
        <f aca="false">Sens!E2244/Sens!D2244-1</f>
        <v>0.242223883039864</v>
      </c>
      <c r="F2245" s="7" t="n">
        <f aca="false">Sens!$E$2245+(glt_azo-Sens!$E$2245)*MIN(1,(Sens!F2205-base_fy)/n_conv)</f>
        <v>0.215186569199887</v>
      </c>
      <c r="G2245" s="7" t="n">
        <f aca="false">Sens!$E$2245+(glt_azo-Sens!$E$2245)*MIN(1,(Sens!G2205-base_fy)/n_conv)</f>
        <v>0.18814925535991</v>
      </c>
      <c r="H2245" s="7" t="n">
        <f aca="false">Sens!$E$2245+(glt_azo-Sens!$E$2245)*MIN(1,(Sens!H2205-base_fy)/n_conv)</f>
        <v>0.161111941519932</v>
      </c>
      <c r="I2245" s="7" t="n">
        <f aca="false">Sens!$E$2245+(glt_azo-Sens!$E$2245)*MIN(1,(Sens!I2205-base_fy)/n_conv)</f>
        <v>0.134074627679955</v>
      </c>
      <c r="J2245" s="7" t="n">
        <f aca="false">Sens!$E$2245+(glt_azo-Sens!$E$2245)*MIN(1,(Sens!J2205-base_fy)/n_conv)</f>
        <v>0.107037313839977</v>
      </c>
      <c r="K2245" s="7" t="n">
        <f aca="false">Sens!$E$2245+(glt_azo-Sens!$E$2245)*MIN(1,(Sens!K2205-base_fy)/n_conv)</f>
        <v>0.08</v>
      </c>
    </row>
    <row r="2246" customFormat="false" ht="15" hidden="false" customHeight="false" outlineLevel="0" collapsed="false">
      <c r="A2246" s="0" t="s">
        <v>877</v>
      </c>
      <c r="B2246" s="0" t="s">
        <v>98</v>
      </c>
      <c r="D2246" s="6" t="n">
        <f aca="false">Sens!D2243+Sens!D2244</f>
        <v>72.61</v>
      </c>
      <c r="E2246" s="6" t="n">
        <f aca="false">Sens!E2243+Sens!E2244</f>
        <v>101.938</v>
      </c>
      <c r="F2246" s="6" t="n">
        <f aca="false">Sens!F2243+Sens!F2244</f>
        <v>140.741861125673</v>
      </c>
      <c r="G2246" s="6" t="n">
        <f aca="false">Sens!G2243+Sens!G2244</f>
        <v>182.176709135845</v>
      </c>
      <c r="H2246" s="6" t="n">
        <f aca="false">Sens!H2243+Sens!H2244</f>
        <v>219.167638189678</v>
      </c>
      <c r="I2246" s="6" t="n">
        <f aca="false">Sens!I2243+Sens!I2244</f>
        <v>259.639871266006</v>
      </c>
      <c r="J2246" s="6" t="n">
        <f aca="false">Sens!J2243+Sens!J2244</f>
        <v>291.525306025352</v>
      </c>
      <c r="K2246" s="6" t="n">
        <f aca="false">Sens!K2243+Sens!K2244</f>
        <v>315.009444849526</v>
      </c>
    </row>
    <row r="2247" customFormat="false" ht="17.15" hidden="false" customHeight="false" outlineLevel="0" collapsed="false">
      <c r="A2247" s="0" t="s">
        <v>878</v>
      </c>
      <c r="B2247" s="1" t="s">
        <v>528</v>
      </c>
      <c r="C2247" s="29" t="n">
        <f aca="false">cop_s24</f>
        <v>1</v>
      </c>
      <c r="D2247" s="29" t="n">
        <f aca="false">cop_s25</f>
        <v>5</v>
      </c>
      <c r="E2247" s="29" t="n">
        <f aca="false">cop_s26</f>
        <v>30</v>
      </c>
      <c r="F2247" s="29" t="n">
        <f aca="false">Sens!E2247+cop_add_C</f>
        <v>40</v>
      </c>
      <c r="G2247" s="29" t="n">
        <f aca="false">Sens!F2247+cop_add_C</f>
        <v>50</v>
      </c>
      <c r="H2247" s="29" t="n">
        <f aca="false">Sens!G2247+cop_add_C</f>
        <v>60</v>
      </c>
      <c r="I2247" s="29" t="n">
        <f aca="false">Sens!H2247+cop_add_C*cop_tail</f>
        <v>65</v>
      </c>
      <c r="J2247" s="29" t="n">
        <f aca="false">Sens!I2247+cop_add_C*cop_tail</f>
        <v>70</v>
      </c>
      <c r="K2247" s="29" t="n">
        <f aca="false">Sens!J2247+cop_add_C*cop_tail</f>
        <v>75</v>
      </c>
      <c r="L2247" s="11" t="s">
        <v>879</v>
      </c>
    </row>
    <row r="2248" customFormat="false" ht="17.15" hidden="false" customHeight="false" outlineLevel="0" collapsed="false">
      <c r="A2248" s="0" t="s">
        <v>880</v>
      </c>
      <c r="B2248" s="0" t="s">
        <v>98</v>
      </c>
      <c r="D2248" s="6" t="n">
        <f aca="false">(Sens!C2247+Sens!D2247)/2*cop_px*12/1000</f>
        <v>0.9</v>
      </c>
      <c r="E2248" s="6" t="n">
        <f aca="false">(Sens!D2247+Sens!E2247)/2*cop_px*12/1000</f>
        <v>5.25</v>
      </c>
      <c r="F2248" s="6" t="n">
        <f aca="false">(Sens!E2247+Sens!F2247)/2*cop_px*12/1000</f>
        <v>10.5</v>
      </c>
      <c r="G2248" s="6" t="n">
        <f aca="false">(Sens!F2247+Sens!G2247)/2*cop_px*12/1000</f>
        <v>13.5</v>
      </c>
      <c r="H2248" s="6" t="n">
        <f aca="false">(Sens!G2247+Sens!H2247)/2*cop_px*12/1000</f>
        <v>16.5</v>
      </c>
      <c r="I2248" s="6" t="n">
        <f aca="false">(Sens!H2247+Sens!I2247)/2*cop_px*12/1000</f>
        <v>18.75</v>
      </c>
      <c r="J2248" s="6" t="n">
        <f aca="false">(Sens!I2247+Sens!J2247)/2*cop_px*12/1000</f>
        <v>20.25</v>
      </c>
      <c r="K2248" s="6" t="n">
        <f aca="false">(Sens!J2247+Sens!K2247)/2*cop_px*12/1000</f>
        <v>21.75</v>
      </c>
      <c r="L2248" s="1" t="s">
        <v>881</v>
      </c>
    </row>
    <row r="2249" customFormat="false" ht="17.15" hidden="false" customHeight="false" outlineLevel="0" collapsed="false">
      <c r="A2249" s="0" t="s">
        <v>882</v>
      </c>
      <c r="B2249" s="0" t="s">
        <v>98</v>
      </c>
      <c r="D2249" s="6" t="n">
        <f aca="false">Q!L7-Sens!D2248</f>
        <v>83.705</v>
      </c>
      <c r="E2249" s="6" t="n">
        <f aca="false">Q!M7-Sens!E2248</f>
        <v>95.049</v>
      </c>
      <c r="F2249" s="6" t="n">
        <f aca="false">Sens!E2249*(1+Sens!F2250)</f>
        <v>106.89238776686</v>
      </c>
      <c r="G2249" s="6" t="n">
        <f aca="false">Sens!F2249*(1+Sens!G2250)</f>
        <v>119.044168448684</v>
      </c>
      <c r="H2249" s="6" t="n">
        <f aca="false">Sens!G2249*(1+Sens!H2250)</f>
        <v>131.277359388781</v>
      </c>
      <c r="I2249" s="6" t="n">
        <f aca="false">Sens!H2249*(1+Sens!I2250)</f>
        <v>143.334028071957</v>
      </c>
      <c r="J2249" s="6" t="n">
        <f aca="false">Sens!I2249*(1+Sens!J2250)</f>
        <v>154.932702785465</v>
      </c>
      <c r="K2249" s="6" t="n">
        <f aca="false">Sens!J2249*(1+Sens!K2250)</f>
        <v>165.777991980448</v>
      </c>
    </row>
    <row r="2250" customFormat="false" ht="15" hidden="false" customHeight="false" outlineLevel="0" collapsed="false">
      <c r="A2250" s="1" t="s">
        <v>876</v>
      </c>
      <c r="B2250" s="0" t="s">
        <v>129</v>
      </c>
      <c r="E2250" s="7" t="n">
        <f aca="false">Sens!E2249/Sens!D2249-1</f>
        <v>0.135523564900544</v>
      </c>
      <c r="F2250" s="7" t="n">
        <f aca="false">Sens!$E$2250+(glt_m365b-Sens!$E$2250)*MIN(1,(Sens!F2205-base_fy)/n_conv)</f>
        <v>0.124602970750453</v>
      </c>
      <c r="G2250" s="7" t="n">
        <f aca="false">Sens!$E$2250+(glt_m365b-Sens!$E$2250)*MIN(1,(Sens!G2205-base_fy)/n_conv)</f>
        <v>0.113682376600363</v>
      </c>
      <c r="H2250" s="7" t="n">
        <f aca="false">Sens!$E$2250+(glt_m365b-Sens!$E$2250)*MIN(1,(Sens!H2205-base_fy)/n_conv)</f>
        <v>0.102761782450272</v>
      </c>
      <c r="I2250" s="7" t="n">
        <f aca="false">Sens!$E$2250+(glt_m365b-Sens!$E$2250)*MIN(1,(Sens!I2205-base_fy)/n_conv)</f>
        <v>0.0918411883001813</v>
      </c>
      <c r="J2250" s="7" t="n">
        <f aca="false">Sens!$E$2250+(glt_m365b-Sens!$E$2250)*MIN(1,(Sens!J2205-base_fy)/n_conv)</f>
        <v>0.0809205941500906</v>
      </c>
      <c r="K2250" s="7" t="n">
        <f aca="false">Sens!$E$2250+(glt_m365b-Sens!$E$2250)*MIN(1,(Sens!K2205-base_fy)/n_conv)</f>
        <v>0.07</v>
      </c>
    </row>
    <row r="2251" customFormat="false" ht="15" hidden="false" customHeight="false" outlineLevel="0" collapsed="false">
      <c r="A2251" s="0" t="s">
        <v>883</v>
      </c>
      <c r="B2251" s="0" t="s">
        <v>98</v>
      </c>
      <c r="D2251" s="6" t="n">
        <f aca="false">Sens!D2249+Sens!D2248</f>
        <v>84.605</v>
      </c>
      <c r="E2251" s="6" t="n">
        <f aca="false">Sens!E2249+Sens!E2248</f>
        <v>100.299</v>
      </c>
      <c r="F2251" s="6" t="n">
        <f aca="false">Sens!F2249+Sens!F2248</f>
        <v>117.39238776686</v>
      </c>
      <c r="G2251" s="6" t="n">
        <f aca="false">Sens!G2249+Sens!G2248</f>
        <v>132.544168448684</v>
      </c>
      <c r="H2251" s="6" t="n">
        <f aca="false">Sens!H2249+Sens!H2248</f>
        <v>147.777359388781</v>
      </c>
      <c r="I2251" s="6" t="n">
        <f aca="false">Sens!I2249+Sens!I2248</f>
        <v>162.084028071957</v>
      </c>
      <c r="J2251" s="6" t="n">
        <f aca="false">Sens!J2249+Sens!J2248</f>
        <v>175.182702785465</v>
      </c>
      <c r="K2251" s="6" t="n">
        <f aca="false">Sens!K2249+Sens!K2248</f>
        <v>187.527991980448</v>
      </c>
    </row>
    <row r="2252" customFormat="false" ht="15" hidden="false" customHeight="false" outlineLevel="0" collapsed="false">
      <c r="A2252" s="0" t="s">
        <v>884</v>
      </c>
      <c r="B2252" s="0" t="s">
        <v>98</v>
      </c>
      <c r="D2252" s="6" t="n">
        <f aca="false">Q!L8</f>
        <v>35.391</v>
      </c>
      <c r="E2252" s="6" t="n">
        <f aca="false">Q!M8</f>
        <v>37.285</v>
      </c>
      <c r="F2252" s="6" t="n">
        <f aca="false">Sens!E2252*(1+Sens!F2253)</f>
        <v>39.0720834331704</v>
      </c>
      <c r="G2252" s="6" t="n">
        <f aca="false">Sens!F2252*(1+Sens!G2253)</f>
        <v>40.726562953769</v>
      </c>
      <c r="H2252" s="6" t="n">
        <f aca="false">Sens!G2252*(1+Sens!H2253)</f>
        <v>42.2235987259198</v>
      </c>
      <c r="I2252" s="6" t="n">
        <f aca="false">Sens!H2252*(1+Sens!I2253)</f>
        <v>43.5397988077414</v>
      </c>
      <c r="J2252" s="6" t="n">
        <f aca="false">Sens!I2252*(1+Sens!J2253)</f>
        <v>44.653811225693</v>
      </c>
      <c r="K2252" s="6" t="n">
        <f aca="false">Sens!J2252*(1+Sens!K2253)</f>
        <v>45.5468874502068</v>
      </c>
    </row>
    <row r="2253" customFormat="false" ht="15" hidden="false" customHeight="false" outlineLevel="0" collapsed="false">
      <c r="A2253" s="1" t="s">
        <v>876</v>
      </c>
      <c r="B2253" s="0" t="s">
        <v>129</v>
      </c>
      <c r="E2253" s="7" t="n">
        <f aca="false">Sens!E2252/Sens!D2252-1</f>
        <v>0.0535164307309768</v>
      </c>
      <c r="F2253" s="7" t="n">
        <f aca="false">Sens!$E$2253+(glt_lic-Sens!$E$2253)*MIN(1,(Sens!F2205-base_fy)/n_conv)</f>
        <v>0.0479303589424807</v>
      </c>
      <c r="G2253" s="7" t="n">
        <f aca="false">Sens!$E$2253+(glt_lic-Sens!$E$2253)*MIN(1,(Sens!G2205-base_fy)/n_conv)</f>
        <v>0.0423442871539845</v>
      </c>
      <c r="H2253" s="7" t="n">
        <f aca="false">Sens!$E$2253+(glt_lic-Sens!$E$2253)*MIN(1,(Sens!H2205-base_fy)/n_conv)</f>
        <v>0.0367582153654884</v>
      </c>
      <c r="I2253" s="7" t="n">
        <f aca="false">Sens!$E$2253+(glt_lic-Sens!$E$2253)*MIN(1,(Sens!I2205-base_fy)/n_conv)</f>
        <v>0.0311721435769923</v>
      </c>
      <c r="J2253" s="7" t="n">
        <f aca="false">Sens!$E$2253+(glt_lic-Sens!$E$2253)*MIN(1,(Sens!J2205-base_fy)/n_conv)</f>
        <v>0.0255860717884961</v>
      </c>
      <c r="K2253" s="7" t="n">
        <f aca="false">Sens!$E$2253+(glt_lic-Sens!$E$2253)*MIN(1,(Sens!K2205-base_fy)/n_conv)</f>
        <v>0.02</v>
      </c>
    </row>
    <row r="2254" customFormat="false" ht="15" hidden="false" customHeight="false" outlineLevel="0" collapsed="false">
      <c r="A2254" s="0" t="s">
        <v>885</v>
      </c>
      <c r="B2254" s="0" t="s">
        <v>98</v>
      </c>
      <c r="D2254" s="6" t="n">
        <f aca="false">Q!L9</f>
        <v>18.417</v>
      </c>
      <c r="E2254" s="6" t="n">
        <f aca="false">Q!M9</f>
        <v>20.345</v>
      </c>
      <c r="F2254" s="6" t="n">
        <f aca="false">Sens!E2254*(1+Sens!F2255)</f>
        <v>22.3572203267814</v>
      </c>
      <c r="G2254" s="6" t="n">
        <f aca="false">Sens!F2254*(1+Sens!G2255)</f>
        <v>24.4392124437232</v>
      </c>
      <c r="H2254" s="6" t="n">
        <f aca="false">Sens!G2254*(1+Sens!H2255)</f>
        <v>26.5738052080665</v>
      </c>
      <c r="I2254" s="6" t="n">
        <f aca="false">Sens!H2254*(1+Sens!I2255)</f>
        <v>28.7412169166967</v>
      </c>
      <c r="J2254" s="6" t="n">
        <f aca="false">Sens!I2254*(1+Sens!J2255)</f>
        <v>30.9192545395413</v>
      </c>
      <c r="K2254" s="6" t="n">
        <f aca="false">Sens!J2254*(1+Sens!K2255)</f>
        <v>33.0836023573092</v>
      </c>
    </row>
    <row r="2255" customFormat="false" ht="15" hidden="false" customHeight="false" outlineLevel="0" collapsed="false">
      <c r="A2255" s="1" t="s">
        <v>876</v>
      </c>
      <c r="B2255" s="0" t="s">
        <v>129</v>
      </c>
      <c r="E2255" s="7" t="n">
        <f aca="false">Sens!E2254/Sens!D2254-1</f>
        <v>0.104685888038225</v>
      </c>
      <c r="F2255" s="7" t="n">
        <f aca="false">Sens!$E$2255+(glt_ind-Sens!$E$2255)*MIN(1,(Sens!F2205-base_fy)/n_conv)</f>
        <v>0.0989049066985211</v>
      </c>
      <c r="G2255" s="7" t="n">
        <f aca="false">Sens!$E$2255+(glt_ind-Sens!$E$2255)*MIN(1,(Sens!G2205-base_fy)/n_conv)</f>
        <v>0.0931239253588169</v>
      </c>
      <c r="H2255" s="7" t="n">
        <f aca="false">Sens!$E$2255+(glt_ind-Sens!$E$2255)*MIN(1,(Sens!H2205-base_fy)/n_conv)</f>
        <v>0.0873429440191127</v>
      </c>
      <c r="I2255" s="7" t="n">
        <f aca="false">Sens!$E$2255+(glt_ind-Sens!$E$2255)*MIN(1,(Sens!I2205-base_fy)/n_conv)</f>
        <v>0.0815619626794085</v>
      </c>
      <c r="J2255" s="7" t="n">
        <f aca="false">Sens!$E$2255+(glt_ind-Sens!$E$2255)*MIN(1,(Sens!J2205-base_fy)/n_conv)</f>
        <v>0.0757809813397042</v>
      </c>
      <c r="K2255" s="7" t="n">
        <f aca="false">Sens!$E$2255+(glt_ind-Sens!$E$2255)*MIN(1,(Sens!K2205-base_fy)/n_conv)</f>
        <v>0.07</v>
      </c>
    </row>
    <row r="2256" customFormat="false" ht="15" hidden="false" customHeight="false" outlineLevel="0" collapsed="false">
      <c r="A2256" s="0" t="s">
        <v>886</v>
      </c>
      <c r="B2256" s="0" t="s">
        <v>98</v>
      </c>
      <c r="D2256" s="6" t="n">
        <f aca="false">Q!L10</f>
        <v>7.76</v>
      </c>
      <c r="E2256" s="6" t="n">
        <f aca="false">Q!M10</f>
        <v>8.26</v>
      </c>
      <c r="F2256" s="6" t="n">
        <f aca="false">Sens!E2256*(1+Sens!F2257)</f>
        <v>8.79988041237113</v>
      </c>
      <c r="G2256" s="6" t="n">
        <f aca="false">Sens!F2256*(1+Sens!G2257)</f>
        <v>9.38321269125306</v>
      </c>
      <c r="H2256" s="6" t="n">
        <f aca="false">Sens!G2256*(1+Sens!H2257)</f>
        <v>10.0139193587476</v>
      </c>
      <c r="I2256" s="6" t="n">
        <f aca="false">Sens!H2256*(1+Sens!I2257)</f>
        <v>10.6963111830911</v>
      </c>
      <c r="J2256" s="6" t="n">
        <f aca="false">Sens!I2256*(1+Sens!J2257)</f>
        <v>11.4351285534696</v>
      </c>
      <c r="K2256" s="6" t="n">
        <f aca="false">Sens!J2256*(1+Sens!K2257)</f>
        <v>12.2355875522124</v>
      </c>
    </row>
    <row r="2257" customFormat="false" ht="15" hidden="false" customHeight="false" outlineLevel="0" collapsed="false">
      <c r="A2257" s="1" t="s">
        <v>876</v>
      </c>
      <c r="B2257" s="0" t="s">
        <v>129</v>
      </c>
      <c r="E2257" s="7" t="n">
        <f aca="false">Sens!E2256/Sens!D2256-1</f>
        <v>0.0644329896907216</v>
      </c>
      <c r="F2257" s="7" t="n">
        <f aca="false">Sens!$E$2257+(glt_fro-Sens!$E$2257)*MIN(1,(Sens!F2205-base_fy)/n_conv)</f>
        <v>0.065360824742268</v>
      </c>
      <c r="G2257" s="7" t="n">
        <f aca="false">Sens!$E$2257+(glt_fro-Sens!$E$2257)*MIN(1,(Sens!G2205-base_fy)/n_conv)</f>
        <v>0.0662886597938144</v>
      </c>
      <c r="H2257" s="7" t="n">
        <f aca="false">Sens!$E$2257+(glt_fro-Sens!$E$2257)*MIN(1,(Sens!H2205-base_fy)/n_conv)</f>
        <v>0.0672164948453608</v>
      </c>
      <c r="I2257" s="7" t="n">
        <f aca="false">Sens!$E$2257+(glt_fro-Sens!$E$2257)*MIN(1,(Sens!I2205-base_fy)/n_conv)</f>
        <v>0.0681443298969072</v>
      </c>
      <c r="J2257" s="7" t="n">
        <f aca="false">Sens!$E$2257+(glt_fro-Sens!$E$2257)*MIN(1,(Sens!J2205-base_fy)/n_conv)</f>
        <v>0.0690721649484536</v>
      </c>
      <c r="K2257" s="7" t="n">
        <f aca="false">Sens!$E$2257+(glt_fro-Sens!$E$2257)*MIN(1,(Sens!K2205-base_fy)/n_conv)</f>
        <v>0.07</v>
      </c>
    </row>
    <row r="2258" customFormat="false" ht="15" hidden="false" customHeight="false" outlineLevel="0" collapsed="false">
      <c r="A2258" s="0" t="s">
        <v>715</v>
      </c>
      <c r="B2258" s="0" t="s">
        <v>98</v>
      </c>
      <c r="D2258" s="6" t="n">
        <f aca="false">Sens!D2246+Sens!D2251+Sens!D2252+Sens!D2254+Sens!D2256</f>
        <v>218.783</v>
      </c>
      <c r="E2258" s="6" t="n">
        <f aca="false">Sens!E2246+Sens!E2251+Sens!E2252+Sens!E2254+Sens!E2256</f>
        <v>268.127</v>
      </c>
      <c r="F2258" s="6" t="n">
        <f aca="false">Sens!F2246+Sens!F2251+Sens!F2252+Sens!F2254+Sens!F2256</f>
        <v>328.363433064856</v>
      </c>
      <c r="G2258" s="6" t="n">
        <f aca="false">Sens!G2246+Sens!G2251+Sens!G2252+Sens!G2254+Sens!G2256</f>
        <v>389.269865673274</v>
      </c>
      <c r="H2258" s="6" t="n">
        <f aca="false">Sens!H2246+Sens!H2251+Sens!H2252+Sens!H2254+Sens!H2256</f>
        <v>445.756320871193</v>
      </c>
      <c r="I2258" s="6" t="n">
        <f aca="false">Sens!I2246+Sens!I2251+Sens!I2252+Sens!I2254+Sens!I2256</f>
        <v>504.701226245492</v>
      </c>
      <c r="J2258" s="6" t="n">
        <f aca="false">Sens!J2246+Sens!J2251+Sens!J2252+Sens!J2254+Sens!J2256</f>
        <v>553.716203129521</v>
      </c>
      <c r="K2258" s="6" t="n">
        <f aca="false">Sens!K2246+Sens!K2251+Sens!K2252+Sens!K2254+Sens!K2256</f>
        <v>593.403514189702</v>
      </c>
    </row>
    <row r="2259" customFormat="false" ht="15" hidden="false" customHeight="false" outlineLevel="0" collapsed="false">
      <c r="A2259" s="0" t="s">
        <v>887</v>
      </c>
      <c r="B2259" s="0" t="s">
        <v>98</v>
      </c>
      <c r="D2259" s="6" t="n">
        <f aca="false">Q!L13</f>
        <v>22.171</v>
      </c>
      <c r="E2259" s="6" t="n">
        <f aca="false">Q!M13</f>
        <v>24.835</v>
      </c>
      <c r="F2259" s="6" t="n">
        <f aca="false">Sens!E2259*(1+Sens!F2260)</f>
        <v>27.6114901218559</v>
      </c>
      <c r="G2259" s="6" t="n">
        <f aca="false">Sens!F2259*(1+Sens!G2260)</f>
        <v>30.4675667338515</v>
      </c>
      <c r="H2259" s="6" t="n">
        <f aca="false">Sens!G2259*(1+Sens!H2260)</f>
        <v>33.3643766955789</v>
      </c>
      <c r="I2259" s="6" t="n">
        <f aca="false">Sens!H2259*(1+Sens!I2260)</f>
        <v>36.2577016533691</v>
      </c>
      <c r="J2259" s="6" t="n">
        <f aca="false">Sens!I2259*(1+Sens!J2260)</f>
        <v>39.0988367952171</v>
      </c>
      <c r="K2259" s="6" t="n">
        <f aca="false">Sens!J2259*(1+Sens!K2260)</f>
        <v>41.8357553708823</v>
      </c>
    </row>
    <row r="2260" customFormat="false" ht="15" hidden="false" customHeight="false" outlineLevel="0" collapsed="false">
      <c r="A2260" s="1" t="s">
        <v>876</v>
      </c>
      <c r="B2260" s="0" t="s">
        <v>129</v>
      </c>
      <c r="E2260" s="7" t="n">
        <f aca="false">Sens!E2259/Sens!D2259-1</f>
        <v>0.120156961796942</v>
      </c>
      <c r="F2260" s="7" t="n">
        <f aca="false">Sens!$E$2260+(glt_srch-Sens!$E$2260)*MIN(1,(Sens!F2205-base_fy)/n_conv)</f>
        <v>0.111797468164118</v>
      </c>
      <c r="G2260" s="7" t="n">
        <f aca="false">Sens!$E$2260+(glt_srch-Sens!$E$2260)*MIN(1,(Sens!G2205-base_fy)/n_conv)</f>
        <v>0.103437974531295</v>
      </c>
      <c r="H2260" s="7" t="n">
        <f aca="false">Sens!$E$2260+(glt_srch-Sens!$E$2260)*MIN(1,(Sens!H2205-base_fy)/n_conv)</f>
        <v>0.095078480898471</v>
      </c>
      <c r="I2260" s="7" t="n">
        <f aca="false">Sens!$E$2260+(glt_srch-Sens!$E$2260)*MIN(1,(Sens!I2205-base_fy)/n_conv)</f>
        <v>0.0867189872656474</v>
      </c>
      <c r="J2260" s="7" t="n">
        <f aca="false">Sens!$E$2260+(glt_srch-Sens!$E$2260)*MIN(1,(Sens!J2205-base_fy)/n_conv)</f>
        <v>0.0783594936328237</v>
      </c>
      <c r="K2260" s="7" t="n">
        <f aca="false">Sens!$E$2260+(glt_srch-Sens!$E$2260)*MIN(1,(Sens!K2205-base_fy)/n_conv)</f>
        <v>0.07</v>
      </c>
    </row>
    <row r="2261" customFormat="false" ht="15" hidden="false" customHeight="false" outlineLevel="0" collapsed="false">
      <c r="A2261" s="0" t="s">
        <v>888</v>
      </c>
      <c r="B2261" s="0" t="s">
        <v>98</v>
      </c>
      <c r="D2261" s="6" t="n">
        <f aca="false">Q!L14</f>
        <v>23.455</v>
      </c>
      <c r="E2261" s="6" t="n">
        <f aca="false">Q!M14</f>
        <v>21.79</v>
      </c>
      <c r="F2261" s="6" t="n">
        <f aca="false">Sens!E2261*(1+Sens!F2262)</f>
        <v>20.5736277908051</v>
      </c>
      <c r="G2261" s="6" t="n">
        <f aca="false">Sens!F2261*(1+Sens!G2262)</f>
        <v>19.7371452817919</v>
      </c>
      <c r="H2261" s="6" t="n">
        <f aca="false">Sens!G2261*(1+Sens!H2262)</f>
        <v>19.2339764043138</v>
      </c>
      <c r="I2261" s="6" t="n">
        <f aca="false">Sens!H2261*(1+Sens!I2262)</f>
        <v>19.0353086852681</v>
      </c>
      <c r="J2261" s="6" t="n">
        <f aca="false">Sens!I2261*(1+Sens!J2262)</f>
        <v>19.1273539319129</v>
      </c>
      <c r="K2261" s="6" t="n">
        <f aca="false">Sens!J2261*(1+Sens!K2262)</f>
        <v>19.5099010105511</v>
      </c>
    </row>
    <row r="2262" customFormat="false" ht="15" hidden="false" customHeight="false" outlineLevel="0" collapsed="false">
      <c r="A2262" s="1" t="s">
        <v>876</v>
      </c>
      <c r="B2262" s="0" t="s">
        <v>129</v>
      </c>
      <c r="E2262" s="7" t="n">
        <f aca="false">Sens!E2261/Sens!D2261-1</f>
        <v>-0.0709869963760392</v>
      </c>
      <c r="F2262" s="7" t="n">
        <f aca="false">Sens!$E$2262+(glt_xbox-Sens!$E$2262)*MIN(1,(Sens!F2205-base_fy)/n_conv)</f>
        <v>-0.0558224969800327</v>
      </c>
      <c r="G2262" s="7" t="n">
        <f aca="false">Sens!$E$2262+(glt_xbox-Sens!$E$2262)*MIN(1,(Sens!G2205-base_fy)/n_conv)</f>
        <v>-0.0406579975840262</v>
      </c>
      <c r="H2262" s="7" t="n">
        <f aca="false">Sens!$E$2262+(glt_xbox-Sens!$E$2262)*MIN(1,(Sens!H2205-base_fy)/n_conv)</f>
        <v>-0.0254934981880196</v>
      </c>
      <c r="I2262" s="7" t="n">
        <f aca="false">Sens!$E$2262+(glt_xbox-Sens!$E$2262)*MIN(1,(Sens!I2205-base_fy)/n_conv)</f>
        <v>-0.0103289987920131</v>
      </c>
      <c r="J2262" s="7" t="n">
        <f aca="false">Sens!$E$2262+(glt_xbox-Sens!$E$2262)*MIN(1,(Sens!J2205-base_fy)/n_conv)</f>
        <v>0.00483550060399347</v>
      </c>
      <c r="K2262" s="7" t="n">
        <f aca="false">Sens!$E$2262+(glt_xbox-Sens!$E$2262)*MIN(1,(Sens!K2205-base_fy)/n_conv)</f>
        <v>0.02</v>
      </c>
    </row>
    <row r="2263" customFormat="false" ht="15" hidden="false" customHeight="false" outlineLevel="0" collapsed="false">
      <c r="A2263" s="0" t="s">
        <v>889</v>
      </c>
      <c r="B2263" s="0" t="s">
        <v>98</v>
      </c>
      <c r="D2263" s="6" t="n">
        <f aca="false">Q!L15</f>
        <v>17.315</v>
      </c>
      <c r="E2263" s="6" t="n">
        <f aca="false">Q!M15</f>
        <v>17.087</v>
      </c>
      <c r="F2263" s="6" t="n">
        <f aca="false">Sens!E2263*(1+Sens!F2264)</f>
        <v>16.9564585436519</v>
      </c>
      <c r="G2263" s="6" t="n">
        <f aca="false">Sens!F2263*(1+Sens!G2264)</f>
        <v>16.9206490624268</v>
      </c>
      <c r="H2263" s="6" t="n">
        <f aca="false">Sens!G2263*(1+Sens!H2264)</f>
        <v>16.9784519149849</v>
      </c>
      <c r="I2263" s="6" t="n">
        <f aca="false">Sens!H2263*(1+Sens!I2264)</f>
        <v>17.1303084701817</v>
      </c>
      <c r="J2263" s="6" t="n">
        <f aca="false">Sens!I2263*(1+Sens!J2264)</f>
        <v>17.3782189407267</v>
      </c>
      <c r="K2263" s="6" t="n">
        <f aca="false">Sens!J2263*(1+Sens!K2264)</f>
        <v>17.7257833195413</v>
      </c>
    </row>
    <row r="2264" customFormat="false" ht="15" hidden="false" customHeight="false" outlineLevel="0" collapsed="false">
      <c r="A2264" s="1" t="s">
        <v>876</v>
      </c>
      <c r="B2264" s="0" t="s">
        <v>129</v>
      </c>
      <c r="E2264" s="7" t="n">
        <f aca="false">Sens!E2263/Sens!D2263-1</f>
        <v>-0.0131677736066995</v>
      </c>
      <c r="F2264" s="7" t="n">
        <f aca="false">Sens!$E$2264+(glt_win-Sens!$E$2264)*MIN(1,(Sens!F2205-base_fy)/n_conv)</f>
        <v>-0.00763981133891627</v>
      </c>
      <c r="G2264" s="7" t="n">
        <f aca="false">Sens!$E$2264+(glt_win-Sens!$E$2264)*MIN(1,(Sens!G2205-base_fy)/n_conv)</f>
        <v>-0.00211184907113301</v>
      </c>
      <c r="H2264" s="7" t="n">
        <f aca="false">Sens!$E$2264+(glt_win-Sens!$E$2264)*MIN(1,(Sens!H2205-base_fy)/n_conv)</f>
        <v>0.00341611319665024</v>
      </c>
      <c r="I2264" s="7" t="n">
        <f aca="false">Sens!$E$2264+(glt_win-Sens!$E$2264)*MIN(1,(Sens!I2205-base_fy)/n_conv)</f>
        <v>0.00894407546443349</v>
      </c>
      <c r="J2264" s="7" t="n">
        <f aca="false">Sens!$E$2264+(glt_win-Sens!$E$2264)*MIN(1,(Sens!J2205-base_fy)/n_conv)</f>
        <v>0.0144720377322168</v>
      </c>
      <c r="K2264" s="7" t="n">
        <f aca="false">Sens!$E$2264+(glt_win-Sens!$E$2264)*MIN(1,(Sens!K2205-base_fy)/n_conv)</f>
        <v>0.02</v>
      </c>
    </row>
    <row r="2265" customFormat="false" ht="15" hidden="false" customHeight="false" outlineLevel="0" collapsed="false">
      <c r="A2265" s="0" t="s">
        <v>729</v>
      </c>
      <c r="B2265" s="0" t="s">
        <v>98</v>
      </c>
      <c r="D2265" s="6" t="n">
        <f aca="false">Sens!D2259+Sens!D2261+Sens!D2263</f>
        <v>62.941</v>
      </c>
      <c r="E2265" s="6" t="n">
        <f aca="false">Sens!E2259+Sens!E2261+Sens!E2263</f>
        <v>63.712</v>
      </c>
      <c r="F2265" s="6" t="n">
        <f aca="false">Sens!F2259+Sens!F2261+Sens!F2263</f>
        <v>65.1415764563129</v>
      </c>
      <c r="G2265" s="6" t="n">
        <f aca="false">Sens!G2259+Sens!G2261+Sens!G2263</f>
        <v>67.1253610780702</v>
      </c>
      <c r="H2265" s="6" t="n">
        <f aca="false">Sens!H2259+Sens!H2261+Sens!H2263</f>
        <v>69.5768050148776</v>
      </c>
      <c r="I2265" s="6" t="n">
        <f aca="false">Sens!I2259+Sens!I2261+Sens!I2263</f>
        <v>72.4233188088189</v>
      </c>
      <c r="J2265" s="6" t="n">
        <f aca="false">Sens!J2259+Sens!J2261+Sens!J2263</f>
        <v>75.6044096678567</v>
      </c>
      <c r="K2265" s="6" t="n">
        <f aca="false">Sens!K2259+Sens!K2261+Sens!K2263</f>
        <v>79.0714397009747</v>
      </c>
    </row>
    <row r="2266" customFormat="false" ht="15" hidden="false" customHeight="false" outlineLevel="0" collapsed="false">
      <c r="A2266" s="1" t="s">
        <v>890</v>
      </c>
      <c r="B2266" s="0" t="s">
        <v>98</v>
      </c>
      <c r="D2266" s="6" t="n">
        <f aca="false">Sens!D2258+Sens!D2265</f>
        <v>281.724</v>
      </c>
      <c r="E2266" s="6" t="n">
        <f aca="false">Sens!E2258+Sens!E2265</f>
        <v>331.839</v>
      </c>
      <c r="F2266" s="6" t="n">
        <f aca="false">Sens!F2258+Sens!F2265</f>
        <v>393.505009521169</v>
      </c>
      <c r="G2266" s="6" t="n">
        <f aca="false">Sens!G2258+Sens!G2265</f>
        <v>456.395226751344</v>
      </c>
      <c r="H2266" s="6" t="n">
        <f aca="false">Sens!H2258+Sens!H2265</f>
        <v>515.333125886071</v>
      </c>
      <c r="I2266" s="6" t="n">
        <f aca="false">Sens!I2258+Sens!I2265</f>
        <v>577.124545054311</v>
      </c>
      <c r="J2266" s="6" t="n">
        <f aca="false">Sens!J2258+Sens!J2265</f>
        <v>629.320612797378</v>
      </c>
      <c r="K2266" s="6" t="n">
        <f aca="false">Sens!K2258+Sens!K2265</f>
        <v>672.474953890677</v>
      </c>
    </row>
    <row r="2267" customFormat="false" ht="15" hidden="false" customHeight="false" outlineLevel="0" collapsed="false">
      <c r="A2267" s="23" t="s">
        <v>891</v>
      </c>
      <c r="B2267" s="30" t="s">
        <v>98</v>
      </c>
      <c r="C2267" s="30"/>
      <c r="D2267" s="24" t="n">
        <f aca="false">(Sens!D2246+Sens!D2251+Sens!D2252+Sens!D2254+Sens!D2256-Sens!D2258)+(Sens!D2259+Sens!D2261+Sens!D2263-Sens!D2265)+(Sens!D2258-Q!L5)+(Sens!D2265-Q!L12)+(Sens!D2246-Q!L6)+(Sens!D2251-Q!L7)</f>
        <v>0</v>
      </c>
      <c r="E2267" s="24" t="n">
        <f aca="false">(Sens!E2246+Sens!E2251+Sens!E2252+Sens!E2254+Sens!E2256-Sens!E2258)+(Sens!E2259+Sens!E2261+Sens!E2263-Sens!E2265)+(Sens!E2258-Q!M5)+(Sens!E2265-Q!M12)+(Sens!E2246-Q!M6)+(Sens!E2251-Q!M7)</f>
        <v>0</v>
      </c>
      <c r="F2267" s="24" t="n">
        <f aca="false">(Sens!F2246+Sens!F2251+Sens!F2252+Sens!F2254+Sens!F2256-Sens!F2258)+(Sens!F2259+Sens!F2261+Sens!F2263-Sens!F2265)</f>
        <v>0</v>
      </c>
      <c r="G2267" s="24" t="n">
        <f aca="false">(Sens!G2246+Sens!G2251+Sens!G2252+Sens!G2254+Sens!G2256-Sens!G2258)+(Sens!G2259+Sens!G2261+Sens!G2263-Sens!G2265)</f>
        <v>0</v>
      </c>
      <c r="H2267" s="24" t="n">
        <f aca="false">(Sens!H2246+Sens!H2251+Sens!H2252+Sens!H2254+Sens!H2256-Sens!H2258)+(Sens!H2259+Sens!H2261+Sens!H2263-Sens!H2265)</f>
        <v>0</v>
      </c>
      <c r="I2267" s="24" t="n">
        <f aca="false">(Sens!I2246+Sens!I2251+Sens!I2252+Sens!I2254+Sens!I2256-Sens!I2258)+(Sens!I2259+Sens!I2261+Sens!I2263-Sens!I2265)</f>
        <v>0</v>
      </c>
      <c r="J2267" s="24" t="n">
        <f aca="false">(Sens!J2246+Sens!J2251+Sens!J2252+Sens!J2254+Sens!J2256-Sens!J2258)+(Sens!J2259+Sens!J2261+Sens!J2263-Sens!J2265)</f>
        <v>0</v>
      </c>
      <c r="K2267" s="24" t="n">
        <f aca="false">(Sens!K2246+Sens!K2251+Sens!K2252+Sens!K2254+Sens!K2256-Sens!K2258)+(Sens!K2259+Sens!K2261+Sens!K2263-Sens!K2265)</f>
        <v>0</v>
      </c>
    </row>
    <row r="2268" customFormat="false" ht="17.15" hidden="false" customHeight="false" outlineLevel="0" collapsed="false">
      <c r="A2268" s="3" t="s">
        <v>1319</v>
      </c>
    </row>
    <row r="2269" customFormat="false" ht="15" hidden="false" customHeight="false" outlineLevel="0" collapsed="false">
      <c r="A2269" s="4" t="s">
        <v>43</v>
      </c>
      <c r="B2269" s="4" t="s">
        <v>65</v>
      </c>
      <c r="C2269" s="20" t="s">
        <v>799</v>
      </c>
      <c r="D2269" s="20" t="s">
        <v>800</v>
      </c>
      <c r="E2269" s="20" t="s">
        <v>801</v>
      </c>
      <c r="F2269" s="20" t="s">
        <v>802</v>
      </c>
      <c r="G2269" s="20" t="s">
        <v>803</v>
      </c>
      <c r="H2269" s="20" t="s">
        <v>804</v>
      </c>
      <c r="I2269" s="20" t="s">
        <v>805</v>
      </c>
      <c r="J2269" s="20" t="s">
        <v>806</v>
      </c>
      <c r="K2269" s="20" t="s">
        <v>807</v>
      </c>
      <c r="L2269" s="4" t="s">
        <v>47</v>
      </c>
    </row>
    <row r="2270" customFormat="false" ht="15" hidden="false" customHeight="false" outlineLevel="0" collapsed="false">
      <c r="A2270" s="0" t="s">
        <v>877</v>
      </c>
      <c r="B2270" s="0" t="s">
        <v>98</v>
      </c>
      <c r="D2270" s="6" t="n">
        <f aca="false">Sens!D2246</f>
        <v>72.61</v>
      </c>
      <c r="E2270" s="6" t="n">
        <f aca="false">Sens!E2246</f>
        <v>101.938</v>
      </c>
      <c r="F2270" s="6" t="n">
        <f aca="false">Sens!F2246</f>
        <v>140.741861125673</v>
      </c>
      <c r="G2270" s="6" t="n">
        <f aca="false">Sens!G2246</f>
        <v>182.176709135845</v>
      </c>
      <c r="H2270" s="6" t="n">
        <f aca="false">Sens!H2246</f>
        <v>219.167638189678</v>
      </c>
      <c r="I2270" s="6" t="n">
        <f aca="false">Sens!I2246</f>
        <v>259.639871266006</v>
      </c>
      <c r="J2270" s="6" t="n">
        <f aca="false">Sens!J2246</f>
        <v>291.525306025352</v>
      </c>
      <c r="K2270" s="6" t="n">
        <f aca="false">Sens!K2246</f>
        <v>315.009444849526</v>
      </c>
    </row>
    <row r="2271" customFormat="false" ht="17.15" hidden="false" customHeight="false" outlineLevel="0" collapsed="false">
      <c r="A2271" s="0" t="s">
        <v>874</v>
      </c>
      <c r="B2271" s="0" t="s">
        <v>98</v>
      </c>
      <c r="D2271" s="6" t="n">
        <f aca="false">Sens!D2243</f>
        <v>12.9359794422418</v>
      </c>
      <c r="E2271" s="6" t="n">
        <f aca="false">Sens!E2243</f>
        <v>27.8095064661409</v>
      </c>
      <c r="F2271" s="6" t="n">
        <f aca="false">Sens!F2243</f>
        <v>50.6619113883066</v>
      </c>
      <c r="G2271" s="6" t="n">
        <f aca="false">Sens!G2243</f>
        <v>75.1482839325348</v>
      </c>
      <c r="H2271" s="6" t="n">
        <f aca="false">Sens!H2243</f>
        <v>94.895655604042</v>
      </c>
      <c r="I2271" s="6" t="n">
        <f aca="false">Sens!I2243</f>
        <v>118.706168884151</v>
      </c>
      <c r="J2271" s="6" t="n">
        <f aca="false">Sens!J2243</f>
        <v>135.50643871102</v>
      </c>
      <c r="K2271" s="6" t="n">
        <f aca="false">Sens!K2243</f>
        <v>146.509068150048</v>
      </c>
    </row>
    <row r="2272" customFormat="false" ht="17.15" hidden="false" customHeight="false" outlineLevel="0" collapsed="false">
      <c r="A2272" s="0" t="s">
        <v>902</v>
      </c>
      <c r="B2272" s="0" t="s">
        <v>98</v>
      </c>
      <c r="D2272" s="6" t="n">
        <f aca="false">Sens!D2244</f>
        <v>59.6740205577583</v>
      </c>
      <c r="E2272" s="6" t="n">
        <f aca="false">Sens!E2244</f>
        <v>74.1284935338591</v>
      </c>
      <c r="F2272" s="6" t="n">
        <f aca="false">Sens!F2244</f>
        <v>90.0799497373663</v>
      </c>
      <c r="G2272" s="6" t="n">
        <f aca="false">Sens!G2244</f>
        <v>107.02842520331</v>
      </c>
      <c r="H2272" s="6" t="n">
        <f aca="false">Sens!H2244</f>
        <v>124.271982585636</v>
      </c>
      <c r="I2272" s="6" t="n">
        <f aca="false">Sens!I2244</f>
        <v>140.933702381855</v>
      </c>
      <c r="J2272" s="6" t="n">
        <f aca="false">Sens!J2244</f>
        <v>156.018867314332</v>
      </c>
      <c r="K2272" s="6" t="n">
        <f aca="false">Sens!K2244</f>
        <v>168.500376699478</v>
      </c>
    </row>
    <row r="2273" customFormat="false" ht="15" hidden="false" customHeight="false" outlineLevel="0" collapsed="false">
      <c r="A2273" s="0" t="s">
        <v>883</v>
      </c>
      <c r="B2273" s="0" t="s">
        <v>98</v>
      </c>
      <c r="D2273" s="6" t="n">
        <f aca="false">Sens!D2251</f>
        <v>84.605</v>
      </c>
      <c r="E2273" s="6" t="n">
        <f aca="false">Sens!E2251</f>
        <v>100.299</v>
      </c>
      <c r="F2273" s="6" t="n">
        <f aca="false">Sens!F2251</f>
        <v>117.39238776686</v>
      </c>
      <c r="G2273" s="6" t="n">
        <f aca="false">Sens!G2251</f>
        <v>132.544168448684</v>
      </c>
      <c r="H2273" s="6" t="n">
        <f aca="false">Sens!H2251</f>
        <v>147.777359388781</v>
      </c>
      <c r="I2273" s="6" t="n">
        <f aca="false">Sens!I2251</f>
        <v>162.084028071957</v>
      </c>
      <c r="J2273" s="6" t="n">
        <f aca="false">Sens!J2251</f>
        <v>175.182702785465</v>
      </c>
      <c r="K2273" s="6" t="n">
        <f aca="false">Sens!K2251</f>
        <v>187.527991980448</v>
      </c>
    </row>
    <row r="2274" customFormat="false" ht="17.15" hidden="false" customHeight="false" outlineLevel="0" collapsed="false">
      <c r="A2274" s="0" t="s">
        <v>903</v>
      </c>
      <c r="B2274" s="0" t="s">
        <v>98</v>
      </c>
      <c r="D2274" s="6" t="n">
        <f aca="false">Sens!D2249</f>
        <v>83.705</v>
      </c>
      <c r="E2274" s="6" t="n">
        <f aca="false">Sens!E2249</f>
        <v>95.049</v>
      </c>
      <c r="F2274" s="6" t="n">
        <f aca="false">Sens!F2249</f>
        <v>106.89238776686</v>
      </c>
      <c r="G2274" s="6" t="n">
        <f aca="false">Sens!G2249</f>
        <v>119.044168448684</v>
      </c>
      <c r="H2274" s="6" t="n">
        <f aca="false">Sens!H2249</f>
        <v>131.277359388781</v>
      </c>
      <c r="I2274" s="6" t="n">
        <f aca="false">Sens!I2249</f>
        <v>143.334028071957</v>
      </c>
      <c r="J2274" s="6" t="n">
        <f aca="false">Sens!J2249</f>
        <v>154.932702785465</v>
      </c>
      <c r="K2274" s="6" t="n">
        <f aca="false">Sens!K2249</f>
        <v>165.777991980448</v>
      </c>
    </row>
    <row r="2275" customFormat="false" ht="17.15" hidden="false" customHeight="false" outlineLevel="0" collapsed="false">
      <c r="A2275" s="0" t="s">
        <v>904</v>
      </c>
      <c r="B2275" s="0" t="s">
        <v>98</v>
      </c>
      <c r="D2275" s="6" t="n">
        <f aca="false">Sens!D2248</f>
        <v>0.9</v>
      </c>
      <c r="E2275" s="6" t="n">
        <f aca="false">Sens!E2248</f>
        <v>5.25</v>
      </c>
      <c r="F2275" s="6" t="n">
        <f aca="false">Sens!F2248</f>
        <v>10.5</v>
      </c>
      <c r="G2275" s="6" t="n">
        <f aca="false">Sens!G2248</f>
        <v>13.5</v>
      </c>
      <c r="H2275" s="6" t="n">
        <f aca="false">Sens!H2248</f>
        <v>16.5</v>
      </c>
      <c r="I2275" s="6" t="n">
        <f aca="false">Sens!I2248</f>
        <v>18.75</v>
      </c>
      <c r="J2275" s="6" t="n">
        <f aca="false">Sens!J2248</f>
        <v>20.25</v>
      </c>
      <c r="K2275" s="6" t="n">
        <f aca="false">Sens!K2248</f>
        <v>21.75</v>
      </c>
    </row>
    <row r="2276" customFormat="false" ht="15" hidden="false" customHeight="false" outlineLevel="0" collapsed="false">
      <c r="A2276" s="0" t="s">
        <v>884</v>
      </c>
      <c r="B2276" s="0" t="s">
        <v>98</v>
      </c>
      <c r="D2276" s="6" t="n">
        <f aca="false">Sens!D2252</f>
        <v>35.391</v>
      </c>
      <c r="E2276" s="6" t="n">
        <f aca="false">Sens!E2252</f>
        <v>37.285</v>
      </c>
      <c r="F2276" s="6" t="n">
        <f aca="false">Sens!F2252</f>
        <v>39.0720834331704</v>
      </c>
      <c r="G2276" s="6" t="n">
        <f aca="false">Sens!G2252</f>
        <v>40.726562953769</v>
      </c>
      <c r="H2276" s="6" t="n">
        <f aca="false">Sens!H2252</f>
        <v>42.2235987259198</v>
      </c>
      <c r="I2276" s="6" t="n">
        <f aca="false">Sens!I2252</f>
        <v>43.5397988077414</v>
      </c>
      <c r="J2276" s="6" t="n">
        <f aca="false">Sens!J2252</f>
        <v>44.653811225693</v>
      </c>
      <c r="K2276" s="6" t="n">
        <f aca="false">Sens!K2252</f>
        <v>45.5468874502068</v>
      </c>
    </row>
    <row r="2277" customFormat="false" ht="15" hidden="false" customHeight="false" outlineLevel="0" collapsed="false">
      <c r="A2277" s="0" t="s">
        <v>885</v>
      </c>
      <c r="B2277" s="0" t="s">
        <v>98</v>
      </c>
      <c r="D2277" s="6" t="n">
        <f aca="false">Sens!D2254</f>
        <v>18.417</v>
      </c>
      <c r="E2277" s="6" t="n">
        <f aca="false">Sens!E2254</f>
        <v>20.345</v>
      </c>
      <c r="F2277" s="6" t="n">
        <f aca="false">Sens!F2254</f>
        <v>22.3572203267814</v>
      </c>
      <c r="G2277" s="6" t="n">
        <f aca="false">Sens!G2254</f>
        <v>24.4392124437232</v>
      </c>
      <c r="H2277" s="6" t="n">
        <f aca="false">Sens!H2254</f>
        <v>26.5738052080665</v>
      </c>
      <c r="I2277" s="6" t="n">
        <f aca="false">Sens!I2254</f>
        <v>28.7412169166967</v>
      </c>
      <c r="J2277" s="6" t="n">
        <f aca="false">Sens!J2254</f>
        <v>30.9192545395413</v>
      </c>
      <c r="K2277" s="6" t="n">
        <f aca="false">Sens!K2254</f>
        <v>33.0836023573092</v>
      </c>
    </row>
    <row r="2278" customFormat="false" ht="15" hidden="false" customHeight="false" outlineLevel="0" collapsed="false">
      <c r="A2278" s="0" t="s">
        <v>886</v>
      </c>
      <c r="B2278" s="0" t="s">
        <v>98</v>
      </c>
      <c r="D2278" s="6" t="n">
        <f aca="false">Sens!D2256</f>
        <v>7.76</v>
      </c>
      <c r="E2278" s="6" t="n">
        <f aca="false">Sens!E2256</f>
        <v>8.26</v>
      </c>
      <c r="F2278" s="6" t="n">
        <f aca="false">Sens!F2256</f>
        <v>8.79988041237113</v>
      </c>
      <c r="G2278" s="6" t="n">
        <f aca="false">Sens!G2256</f>
        <v>9.38321269125306</v>
      </c>
      <c r="H2278" s="6" t="n">
        <f aca="false">Sens!H2256</f>
        <v>10.0139193587476</v>
      </c>
      <c r="I2278" s="6" t="n">
        <f aca="false">Sens!I2256</f>
        <v>10.6963111830911</v>
      </c>
      <c r="J2278" s="6" t="n">
        <f aca="false">Sens!J2256</f>
        <v>11.4351285534696</v>
      </c>
      <c r="K2278" s="6" t="n">
        <f aca="false">Sens!K2256</f>
        <v>12.2355875522124</v>
      </c>
    </row>
    <row r="2279" customFormat="false" ht="15" hidden="false" customHeight="false" outlineLevel="0" collapsed="false">
      <c r="A2279" s="0" t="s">
        <v>715</v>
      </c>
      <c r="B2279" s="0" t="s">
        <v>98</v>
      </c>
      <c r="D2279" s="6" t="n">
        <f aca="false">Sens!D2258</f>
        <v>218.783</v>
      </c>
      <c r="E2279" s="6" t="n">
        <f aca="false">Sens!E2258</f>
        <v>268.127</v>
      </c>
      <c r="F2279" s="6" t="n">
        <f aca="false">Sens!F2258</f>
        <v>328.363433064856</v>
      </c>
      <c r="G2279" s="6" t="n">
        <f aca="false">Sens!G2258</f>
        <v>389.269865673274</v>
      </c>
      <c r="H2279" s="6" t="n">
        <f aca="false">Sens!H2258</f>
        <v>445.756320871193</v>
      </c>
      <c r="I2279" s="6" t="n">
        <f aca="false">Sens!I2258</f>
        <v>504.701226245492</v>
      </c>
      <c r="J2279" s="6" t="n">
        <f aca="false">Sens!J2258</f>
        <v>553.716203129521</v>
      </c>
      <c r="K2279" s="6" t="n">
        <f aca="false">Sens!K2258</f>
        <v>593.403514189702</v>
      </c>
    </row>
    <row r="2280" customFormat="false" ht="15" hidden="false" customHeight="false" outlineLevel="0" collapsed="false">
      <c r="A2280" s="0" t="s">
        <v>887</v>
      </c>
      <c r="B2280" s="0" t="s">
        <v>98</v>
      </c>
      <c r="D2280" s="6" t="n">
        <f aca="false">Sens!D2259</f>
        <v>22.171</v>
      </c>
      <c r="E2280" s="6" t="n">
        <f aca="false">Sens!E2259</f>
        <v>24.835</v>
      </c>
      <c r="F2280" s="6" t="n">
        <f aca="false">Sens!F2259</f>
        <v>27.6114901218559</v>
      </c>
      <c r="G2280" s="6" t="n">
        <f aca="false">Sens!G2259</f>
        <v>30.4675667338515</v>
      </c>
      <c r="H2280" s="6" t="n">
        <f aca="false">Sens!H2259</f>
        <v>33.3643766955789</v>
      </c>
      <c r="I2280" s="6" t="n">
        <f aca="false">Sens!I2259</f>
        <v>36.2577016533691</v>
      </c>
      <c r="J2280" s="6" t="n">
        <f aca="false">Sens!J2259</f>
        <v>39.0988367952171</v>
      </c>
      <c r="K2280" s="6" t="n">
        <f aca="false">Sens!K2259</f>
        <v>41.8357553708823</v>
      </c>
    </row>
    <row r="2281" customFormat="false" ht="15" hidden="false" customHeight="false" outlineLevel="0" collapsed="false">
      <c r="A2281" s="0" t="s">
        <v>888</v>
      </c>
      <c r="B2281" s="0" t="s">
        <v>98</v>
      </c>
      <c r="D2281" s="6" t="n">
        <f aca="false">Sens!D2261</f>
        <v>23.455</v>
      </c>
      <c r="E2281" s="6" t="n">
        <f aca="false">Sens!E2261</f>
        <v>21.79</v>
      </c>
      <c r="F2281" s="6" t="n">
        <f aca="false">Sens!F2261</f>
        <v>20.5736277908051</v>
      </c>
      <c r="G2281" s="6" t="n">
        <f aca="false">Sens!G2261</f>
        <v>19.7371452817919</v>
      </c>
      <c r="H2281" s="6" t="n">
        <f aca="false">Sens!H2261</f>
        <v>19.2339764043138</v>
      </c>
      <c r="I2281" s="6" t="n">
        <f aca="false">Sens!I2261</f>
        <v>19.0353086852681</v>
      </c>
      <c r="J2281" s="6" t="n">
        <f aca="false">Sens!J2261</f>
        <v>19.1273539319129</v>
      </c>
      <c r="K2281" s="6" t="n">
        <f aca="false">Sens!K2261</f>
        <v>19.5099010105511</v>
      </c>
    </row>
    <row r="2282" customFormat="false" ht="15" hidden="false" customHeight="false" outlineLevel="0" collapsed="false">
      <c r="A2282" s="0" t="s">
        <v>889</v>
      </c>
      <c r="B2282" s="0" t="s">
        <v>98</v>
      </c>
      <c r="D2282" s="6" t="n">
        <f aca="false">Sens!D2263</f>
        <v>17.315</v>
      </c>
      <c r="E2282" s="6" t="n">
        <f aca="false">Sens!E2263</f>
        <v>17.087</v>
      </c>
      <c r="F2282" s="6" t="n">
        <f aca="false">Sens!F2263</f>
        <v>16.9564585436519</v>
      </c>
      <c r="G2282" s="6" t="n">
        <f aca="false">Sens!G2263</f>
        <v>16.9206490624268</v>
      </c>
      <c r="H2282" s="6" t="n">
        <f aca="false">Sens!H2263</f>
        <v>16.9784519149849</v>
      </c>
      <c r="I2282" s="6" t="n">
        <f aca="false">Sens!I2263</f>
        <v>17.1303084701817</v>
      </c>
      <c r="J2282" s="6" t="n">
        <f aca="false">Sens!J2263</f>
        <v>17.3782189407267</v>
      </c>
      <c r="K2282" s="6" t="n">
        <f aca="false">Sens!K2263</f>
        <v>17.7257833195413</v>
      </c>
    </row>
    <row r="2283" customFormat="false" ht="15" hidden="false" customHeight="false" outlineLevel="0" collapsed="false">
      <c r="A2283" s="0" t="s">
        <v>729</v>
      </c>
      <c r="B2283" s="0" t="s">
        <v>98</v>
      </c>
      <c r="D2283" s="6" t="n">
        <f aca="false">Sens!D2265</f>
        <v>62.941</v>
      </c>
      <c r="E2283" s="6" t="n">
        <f aca="false">Sens!E2265</f>
        <v>63.712</v>
      </c>
      <c r="F2283" s="6" t="n">
        <f aca="false">Sens!F2265</f>
        <v>65.1415764563129</v>
      </c>
      <c r="G2283" s="6" t="n">
        <f aca="false">Sens!G2265</f>
        <v>67.1253610780702</v>
      </c>
      <c r="H2283" s="6" t="n">
        <f aca="false">Sens!H2265</f>
        <v>69.5768050148776</v>
      </c>
      <c r="I2283" s="6" t="n">
        <f aca="false">Sens!I2265</f>
        <v>72.4233188088189</v>
      </c>
      <c r="J2283" s="6" t="n">
        <f aca="false">Sens!J2265</f>
        <v>75.6044096678567</v>
      </c>
      <c r="K2283" s="6" t="n">
        <f aca="false">Sens!K2265</f>
        <v>79.0714397009747</v>
      </c>
    </row>
    <row r="2284" customFormat="false" ht="15" hidden="false" customHeight="false" outlineLevel="0" collapsed="false">
      <c r="A2284" s="1" t="s">
        <v>905</v>
      </c>
      <c r="B2284" s="0" t="s">
        <v>98</v>
      </c>
      <c r="D2284" s="6" t="n">
        <f aca="false">Sens!D2266</f>
        <v>281.724</v>
      </c>
      <c r="E2284" s="6" t="n">
        <f aca="false">Sens!E2266</f>
        <v>331.839</v>
      </c>
      <c r="F2284" s="6" t="n">
        <f aca="false">Sens!F2266</f>
        <v>393.505009521169</v>
      </c>
      <c r="G2284" s="6" t="n">
        <f aca="false">Sens!G2266</f>
        <v>456.395226751344</v>
      </c>
      <c r="H2284" s="6" t="n">
        <f aca="false">Sens!H2266</f>
        <v>515.333125886071</v>
      </c>
      <c r="I2284" s="6" t="n">
        <f aca="false">Sens!I2266</f>
        <v>577.124545054311</v>
      </c>
      <c r="J2284" s="6" t="n">
        <f aca="false">Sens!J2266</f>
        <v>629.320612797378</v>
      </c>
      <c r="K2284" s="6" t="n">
        <f aca="false">Sens!K2266</f>
        <v>672.474953890677</v>
      </c>
    </row>
    <row r="2285" customFormat="false" ht="15" hidden="false" customHeight="false" outlineLevel="0" collapsed="false">
      <c r="A2285" s="1" t="s">
        <v>906</v>
      </c>
      <c r="B2285" s="0" t="s">
        <v>129</v>
      </c>
      <c r="E2285" s="7" t="n">
        <f aca="false">Sens!E2284/Sens!D2284-1</f>
        <v>0.177886867998467</v>
      </c>
      <c r="F2285" s="7" t="n">
        <f aca="false">Sens!F2284/Sens!E2284-1</f>
        <v>0.185831109427067</v>
      </c>
      <c r="G2285" s="7" t="n">
        <f aca="false">Sens!G2284/Sens!F2284-1</f>
        <v>0.159820626697237</v>
      </c>
      <c r="H2285" s="7" t="n">
        <f aca="false">Sens!H2284/Sens!G2284-1</f>
        <v>0.129137851756801</v>
      </c>
      <c r="I2285" s="7" t="n">
        <f aca="false">Sens!I2284/Sens!H2284-1</f>
        <v>0.119905777572508</v>
      </c>
      <c r="J2285" s="7" t="n">
        <f aca="false">Sens!J2284/Sens!I2284-1</f>
        <v>0.0904416008474471</v>
      </c>
      <c r="K2285" s="7" t="n">
        <f aca="false">Sens!K2284/Sens!J2284-1</f>
        <v>0.0685729026123501</v>
      </c>
    </row>
    <row r="2286" customFormat="false" ht="17.15" hidden="false" customHeight="false" outlineLevel="0" collapsed="false">
      <c r="A2286" s="23" t="s">
        <v>907</v>
      </c>
      <c r="B2286" s="30" t="s">
        <v>98</v>
      </c>
      <c r="C2286" s="30"/>
      <c r="D2286" s="24" t="n">
        <f aca="false">(Sens!D2279+Sens!D2283-Sens!D2284)+(Sens!D2271+Sens!D2272-Sens!D2270)+(Sens!D2274+Sens!D2275-Sens!D2273)+(Sens!D2284-Q!L18)</f>
        <v>0</v>
      </c>
      <c r="E2286" s="24" t="n">
        <f aca="false">(Sens!E2279+Sens!E2283-Sens!E2284)+(Sens!E2271+Sens!E2272-Sens!E2270)+(Sens!E2274+Sens!E2275-Sens!E2273)+(Sens!E2284-Q!M18)</f>
        <v>0</v>
      </c>
      <c r="F2286" s="24" t="n">
        <f aca="false">(Sens!F2279+Sens!F2283-Sens!F2284)+(Sens!F2271+Sens!F2272-Sens!F2270)+(Sens!F2274+Sens!F2275-Sens!F2273)</f>
        <v>0</v>
      </c>
      <c r="G2286" s="24" t="n">
        <f aca="false">(Sens!G2279+Sens!G2283-Sens!G2284)+(Sens!G2271+Sens!G2272-Sens!G2270)+(Sens!G2274+Sens!G2275-Sens!G2273)</f>
        <v>0</v>
      </c>
      <c r="H2286" s="24" t="n">
        <f aca="false">(Sens!H2279+Sens!H2283-Sens!H2284)+(Sens!H2271+Sens!H2272-Sens!H2270)+(Sens!H2274+Sens!H2275-Sens!H2273)</f>
        <v>0</v>
      </c>
      <c r="I2286" s="24" t="n">
        <f aca="false">(Sens!I2279+Sens!I2283-Sens!I2284)+(Sens!I2271+Sens!I2272-Sens!I2270)+(Sens!I2274+Sens!I2275-Sens!I2273)</f>
        <v>0</v>
      </c>
      <c r="J2286" s="24" t="n">
        <f aca="false">(Sens!J2279+Sens!J2283-Sens!J2284)+(Sens!J2271+Sens!J2272-Sens!J2270)+(Sens!J2274+Sens!J2275-Sens!J2273)</f>
        <v>0</v>
      </c>
      <c r="K2286" s="24" t="n">
        <f aca="false">(Sens!K2279+Sens!K2283-Sens!K2284)+(Sens!K2271+Sens!K2272-Sens!K2270)+(Sens!K2274+Sens!K2275-Sens!K2273)</f>
        <v>0</v>
      </c>
    </row>
    <row r="2287" customFormat="false" ht="17.15" hidden="false" customHeight="false" outlineLevel="0" collapsed="false">
      <c r="A2287" s="0" t="s">
        <v>908</v>
      </c>
      <c r="B2287" s="0" t="s">
        <v>129</v>
      </c>
      <c r="E2287" s="7" t="n">
        <f aca="false">(Q!M21+Sens!E2224+Sens!E2225+Sens!E2226+Sens!E2239-Sens!E2222)/(Q!M5-Sens!E2222)</f>
        <v>0.591291114837517</v>
      </c>
      <c r="F2287" s="7" t="n">
        <f aca="false">Sens!$E$2287+dm_seg</f>
        <v>0.591291114837517</v>
      </c>
      <c r="G2287" s="7" t="n">
        <f aca="false">Sens!$E$2287+dm_seg</f>
        <v>0.591291114837517</v>
      </c>
      <c r="H2287" s="7" t="n">
        <f aca="false">Sens!$E$2287+dm_seg</f>
        <v>0.591291114837517</v>
      </c>
      <c r="I2287" s="7" t="n">
        <f aca="false">Sens!$E$2287+dm_seg</f>
        <v>0.591291114837517</v>
      </c>
      <c r="J2287" s="7" t="n">
        <f aca="false">Sens!$E$2287+dm_seg</f>
        <v>0.591291114837517</v>
      </c>
      <c r="K2287" s="7" t="n">
        <f aca="false">Sens!$E$2287+dm_seg</f>
        <v>0.591291114837517</v>
      </c>
      <c r="L2287" s="11" t="s">
        <v>909</v>
      </c>
    </row>
    <row r="2288" customFormat="false" ht="17.15" hidden="false" customHeight="false" outlineLevel="0" collapsed="false">
      <c r="A2288" s="0" t="s">
        <v>743</v>
      </c>
      <c r="B2288" s="0" t="s">
        <v>98</v>
      </c>
      <c r="D2288" s="6" t="n">
        <f aca="false">Q!L21</f>
        <v>110.814</v>
      </c>
      <c r="E2288" s="6" t="n">
        <f aca="false">Q!M21</f>
        <v>136.365</v>
      </c>
      <c r="F2288" s="6" t="n">
        <f aca="false">Sens!F2287*(Sens!F2258-Sens!F2222)+Sens!F2222-(Sens!F2224+Sens!F2225+Sens!F2226)-Sens!F2239-Sens!F2322</f>
        <v>148.600527223832</v>
      </c>
      <c r="G2288" s="6" t="n">
        <f aca="false">Sens!G2287*(Sens!G2258-Sens!G2222)+Sens!G2222-(Sens!G2224+Sens!G2225+Sens!G2226)-Sens!G2239-Sens!G2322</f>
        <v>150.860326139432</v>
      </c>
      <c r="H2288" s="6" t="n">
        <f aca="false">Sens!H2287*(Sens!H2258-Sens!H2222)+Sens!H2222-(Sens!H2224+Sens!H2225+Sens!H2226)-Sens!H2239-Sens!H2322</f>
        <v>146.212094204485</v>
      </c>
      <c r="I2288" s="6" t="n">
        <f aca="false">Sens!I2287*(Sens!I2258-Sens!I2222)+Sens!I2222-(Sens!I2224+Sens!I2225+Sens!I2226)-Sens!I2239-Sens!I2322</f>
        <v>150.063825578846</v>
      </c>
      <c r="J2288" s="6" t="n">
        <f aca="false">Sens!J2287*(Sens!J2258-Sens!J2222)+Sens!J2222-(Sens!J2224+Sens!J2225+Sens!J2226)-Sens!J2239-Sens!J2322</f>
        <v>157.100405895137</v>
      </c>
      <c r="K2288" s="6" t="n">
        <f aca="false">Sens!K2287*(Sens!K2258-Sens!K2222)+Sens!K2222-(Sens!K2224+Sens!K2225+Sens!K2226)-Sens!K2239-Sens!K2322</f>
        <v>167.166627249896</v>
      </c>
      <c r="L2288" s="1" t="s">
        <v>910</v>
      </c>
    </row>
    <row r="2289" customFormat="false" ht="17.15" hidden="false" customHeight="false" outlineLevel="0" collapsed="false">
      <c r="A2289" s="0" t="s">
        <v>911</v>
      </c>
      <c r="B2289" s="0" t="s">
        <v>129</v>
      </c>
      <c r="E2289" s="7" t="n">
        <f aca="false">Q!M22/Q!M12</f>
        <v>0.296207935710698</v>
      </c>
      <c r="F2289" s="7" t="n">
        <f aca="false">Sens!$E$2289+dm_seg</f>
        <v>0.296207935710698</v>
      </c>
      <c r="G2289" s="7" t="n">
        <f aca="false">Sens!$E$2289+dm_seg</f>
        <v>0.296207935710698</v>
      </c>
      <c r="H2289" s="7" t="n">
        <f aca="false">Sens!$E$2289+dm_seg</f>
        <v>0.296207935710698</v>
      </c>
      <c r="I2289" s="7" t="n">
        <f aca="false">Sens!$E$2289+dm_seg</f>
        <v>0.296207935710698</v>
      </c>
      <c r="J2289" s="7" t="n">
        <f aca="false">Sens!$E$2289+dm_seg</f>
        <v>0.296207935710698</v>
      </c>
      <c r="K2289" s="7" t="n">
        <f aca="false">Sens!$E$2289+dm_seg</f>
        <v>0.296207935710698</v>
      </c>
      <c r="L2289" s="11" t="s">
        <v>912</v>
      </c>
    </row>
    <row r="2290" customFormat="false" ht="17.15" hidden="false" customHeight="false" outlineLevel="0" collapsed="false">
      <c r="A2290" s="0" t="s">
        <v>745</v>
      </c>
      <c r="B2290" s="0" t="s">
        <v>98</v>
      </c>
      <c r="D2290" s="6" t="n">
        <f aca="false">Q!L22</f>
        <v>17.714</v>
      </c>
      <c r="E2290" s="6" t="n">
        <f aca="false">Q!M22</f>
        <v>18.872</v>
      </c>
      <c r="F2290" s="6" t="n">
        <f aca="false">Sens!F2265*Sens!F2289</f>
        <v>19.2954518910651</v>
      </c>
      <c r="G2290" s="6" t="n">
        <f aca="false">Sens!G2265*Sens!G2289</f>
        <v>19.8830646387704</v>
      </c>
      <c r="H2290" s="6" t="n">
        <f aca="false">Sens!H2265*Sens!H2289</f>
        <v>20.6092017868026</v>
      </c>
      <c r="I2290" s="6" t="n">
        <f aca="false">Sens!I2265*Sens!I2289</f>
        <v>21.452361761678</v>
      </c>
      <c r="J2290" s="6" t="n">
        <f aca="false">Sens!J2265*Sens!J2289</f>
        <v>22.3946261183418</v>
      </c>
      <c r="K2290" s="6" t="n">
        <f aca="false">Sens!K2265*Sens!K2289</f>
        <v>23.4215879274986</v>
      </c>
    </row>
    <row r="2291" customFormat="false" ht="15" hidden="false" customHeight="false" outlineLevel="0" collapsed="false">
      <c r="A2291" s="1" t="s">
        <v>913</v>
      </c>
      <c r="B2291" s="0" t="s">
        <v>98</v>
      </c>
      <c r="D2291" s="6" t="n">
        <f aca="false">Sens!D2288+Sens!D2290</f>
        <v>128.528</v>
      </c>
      <c r="E2291" s="6" t="n">
        <f aca="false">Sens!E2288+Sens!E2290</f>
        <v>155.237</v>
      </c>
      <c r="F2291" s="6" t="n">
        <f aca="false">Sens!F2288+Sens!F2290</f>
        <v>167.895979114897</v>
      </c>
      <c r="G2291" s="6" t="n">
        <f aca="false">Sens!G2288+Sens!G2290</f>
        <v>170.743390778202</v>
      </c>
      <c r="H2291" s="6" t="n">
        <f aca="false">Sens!H2288+Sens!H2290</f>
        <v>166.821295991288</v>
      </c>
      <c r="I2291" s="6" t="n">
        <f aca="false">Sens!I2288+Sens!I2290</f>
        <v>171.516187340524</v>
      </c>
      <c r="J2291" s="6" t="n">
        <f aca="false">Sens!J2288+Sens!J2290</f>
        <v>179.495032013479</v>
      </c>
      <c r="K2291" s="6" t="n">
        <f aca="false">Sens!K2288+Sens!K2290</f>
        <v>190.588215177395</v>
      </c>
    </row>
    <row r="2292" customFormat="false" ht="15" hidden="false" customHeight="false" outlineLevel="0" collapsed="false">
      <c r="A2292" s="23" t="s">
        <v>914</v>
      </c>
      <c r="B2292" s="30" t="s">
        <v>98</v>
      </c>
      <c r="C2292" s="30"/>
      <c r="D2292" s="24" t="n">
        <f aca="false">Sens!D2291-Q!L23</f>
        <v>0</v>
      </c>
      <c r="E2292" s="24" t="n">
        <f aca="false">Sens!E2291-Q!M23</f>
        <v>0</v>
      </c>
      <c r="F2292" s="30"/>
      <c r="G2292" s="30"/>
      <c r="H2292" s="30"/>
      <c r="I2292" s="30"/>
      <c r="J2292" s="30"/>
      <c r="K2292" s="30"/>
    </row>
    <row r="2293" customFormat="false" ht="15" hidden="false" customHeight="false" outlineLevel="0" collapsed="false">
      <c r="A2293" s="1" t="s">
        <v>915</v>
      </c>
      <c r="B2293" s="0" t="s">
        <v>129</v>
      </c>
      <c r="D2293" s="7" t="n">
        <f aca="false">Sens!D2291/Sens!D2284</f>
        <v>0.456219562408598</v>
      </c>
      <c r="E2293" s="7" t="n">
        <f aca="false">Sens!E2291/Sens!E2284</f>
        <v>0.467808184089272</v>
      </c>
      <c r="F2293" s="7" t="n">
        <f aca="false">Sens!F2291/Sens!F2284</f>
        <v>0.426667958609216</v>
      </c>
      <c r="G2293" s="7" t="n">
        <f aca="false">Sens!G2291/Sens!G2284</f>
        <v>0.374113007258132</v>
      </c>
      <c r="H2293" s="7" t="n">
        <f aca="false">Sens!H2291/Sens!H2284</f>
        <v>0.323715452416247</v>
      </c>
      <c r="I2293" s="7" t="n">
        <f aca="false">Sens!I2291/Sens!I2284</f>
        <v>0.297190942250399</v>
      </c>
      <c r="J2293" s="7" t="n">
        <f aca="false">Sens!J2291/Sens!J2284</f>
        <v>0.285220328658249</v>
      </c>
      <c r="K2293" s="7" t="n">
        <f aca="false">Sens!K2291/Sens!K2284</f>
        <v>0.283413105684794</v>
      </c>
    </row>
    <row r="2294" customFormat="false" ht="17.15" hidden="false" customHeight="false" outlineLevel="0" collapsed="false">
      <c r="A2294" s="1" t="s">
        <v>916</v>
      </c>
      <c r="B2294" s="0" t="s">
        <v>98</v>
      </c>
      <c r="F2294" s="6" t="n">
        <f aca="false">Sens!F2309</f>
        <v>16.6250455356787</v>
      </c>
      <c r="G2294" s="6" t="n">
        <f aca="false">Sens!G2309</f>
        <v>41.9433531791926</v>
      </c>
      <c r="H2294" s="6" t="n">
        <f aca="false">Sens!H2309</f>
        <v>69.5626292484892</v>
      </c>
      <c r="I2294" s="6" t="n">
        <f aca="false">Sens!I2309</f>
        <v>94.3337350420408</v>
      </c>
      <c r="J2294" s="6" t="n">
        <f aca="false">Sens!J2309</f>
        <v>111.795392360245</v>
      </c>
      <c r="K2294" s="6" t="n">
        <f aca="false">Sens!K2309</f>
        <v>122.543274380034</v>
      </c>
      <c r="L2294" s="1" t="s">
        <v>917</v>
      </c>
    </row>
    <row r="2295" customFormat="false" ht="17.15" hidden="false" customHeight="false" outlineLevel="0" collapsed="false">
      <c r="A2295" s="1" t="s">
        <v>918</v>
      </c>
      <c r="B2295" s="0" t="s">
        <v>98</v>
      </c>
      <c r="D2295" s="6" t="n">
        <f aca="false">Sens!D2291</f>
        <v>128.528</v>
      </c>
      <c r="E2295" s="6" t="n">
        <f aca="false">Sens!E2291</f>
        <v>155.237</v>
      </c>
      <c r="F2295" s="6" t="n">
        <f aca="false">Sens!F2291+Sens!F2294</f>
        <v>184.521024650576</v>
      </c>
      <c r="G2295" s="6" t="n">
        <f aca="false">Sens!G2291+Sens!G2294</f>
        <v>212.686743957395</v>
      </c>
      <c r="H2295" s="6" t="n">
        <f aca="false">Sens!H2291+Sens!H2294</f>
        <v>236.383925239777</v>
      </c>
      <c r="I2295" s="6" t="n">
        <f aca="false">Sens!I2291+Sens!I2294</f>
        <v>265.849922382564</v>
      </c>
      <c r="J2295" s="6" t="n">
        <f aca="false">Sens!J2291+Sens!J2294</f>
        <v>291.290424373724</v>
      </c>
      <c r="K2295" s="6" t="n">
        <f aca="false">Sens!K2291+Sens!K2294</f>
        <v>313.131489557429</v>
      </c>
    </row>
    <row r="2296" customFormat="false" ht="17.15" hidden="false" customHeight="false" outlineLevel="0" collapsed="false">
      <c r="A2296" s="1" t="s">
        <v>919</v>
      </c>
      <c r="B2296" s="0" t="s">
        <v>98</v>
      </c>
      <c r="E2296" s="6" t="n">
        <f aca="false">Sens!E2239</f>
        <v>19.5664871725</v>
      </c>
      <c r="F2296" s="6" t="n">
        <f aca="false">Sens!F2239</f>
        <v>40.8598648571467</v>
      </c>
      <c r="G2296" s="6" t="n">
        <f aca="false">Sens!G2239</f>
        <v>70.9505245326133</v>
      </c>
      <c r="H2296" s="6" t="n">
        <f aca="false">Sens!H2239</f>
        <v>103.633223811973</v>
      </c>
      <c r="I2296" s="6" t="n">
        <f aca="false">Sens!I2239</f>
        <v>132.726892598871</v>
      </c>
      <c r="J2296" s="6" t="n">
        <f aca="false">Sens!J2239</f>
        <v>153.597987423412</v>
      </c>
      <c r="K2296" s="6" t="n">
        <f aca="false">Sens!K2239</f>
        <v>166.95775685317</v>
      </c>
    </row>
    <row r="2297" customFormat="false" ht="17.15" hidden="false" customHeight="false" outlineLevel="0" collapsed="false">
      <c r="A2297" s="1" t="s">
        <v>920</v>
      </c>
      <c r="B2297" s="0" t="s">
        <v>98</v>
      </c>
      <c r="E2297" s="6" t="n">
        <f aca="false">Sens!E2321</f>
        <v>18.9675128275</v>
      </c>
      <c r="F2297" s="6" t="n">
        <f aca="false">Sens!F2321</f>
        <v>20.6136962677062</v>
      </c>
      <c r="G2297" s="6" t="n">
        <f aca="false">Sens!G2321</f>
        <v>22.6226159979745</v>
      </c>
      <c r="H2297" s="6" t="n">
        <f aca="false">Sens!H2321</f>
        <v>24.9665057625861</v>
      </c>
      <c r="I2297" s="6" t="n">
        <f aca="false">Sens!I2321</f>
        <v>27.5921952174918</v>
      </c>
      <c r="J2297" s="6" t="n">
        <f aca="false">Sens!J2321</f>
        <v>30.42856702078</v>
      </c>
      <c r="K2297" s="6" t="n">
        <f aca="false">Sens!K2321</f>
        <v>33.3950805929014</v>
      </c>
    </row>
    <row r="2298" customFormat="false" ht="17.15" hidden="false" customHeight="false" outlineLevel="0" collapsed="false">
      <c r="A2298" s="1" t="s">
        <v>921</v>
      </c>
      <c r="B2298" s="0" t="s">
        <v>98</v>
      </c>
      <c r="D2298" s="6" t="n">
        <f aca="false">Q!L27</f>
        <v>-4.901</v>
      </c>
      <c r="E2298" s="6" t="n">
        <f aca="false">Q!M27</f>
        <v>10.697</v>
      </c>
      <c r="F2298" s="6" t="n">
        <f aca="false">oie_f</f>
        <v>-0.4</v>
      </c>
      <c r="G2298" s="6" t="n">
        <f aca="false">oie_f</f>
        <v>-0.4</v>
      </c>
      <c r="H2298" s="6" t="n">
        <f aca="false">oie_f</f>
        <v>-0.4</v>
      </c>
      <c r="I2298" s="6" t="n">
        <f aca="false">oie_f</f>
        <v>-0.4</v>
      </c>
      <c r="J2298" s="6" t="n">
        <f aca="false">oie_f</f>
        <v>-0.4</v>
      </c>
      <c r="K2298" s="6" t="n">
        <f aca="false">oie_f</f>
        <v>-0.4</v>
      </c>
      <c r="L2298" s="11" t="s">
        <v>922</v>
      </c>
    </row>
    <row r="2299" customFormat="false" ht="15" hidden="false" customHeight="false" outlineLevel="0" collapsed="false">
      <c r="A2299" s="1" t="s">
        <v>923</v>
      </c>
      <c r="B2299" s="0" t="s">
        <v>98</v>
      </c>
      <c r="D2299" s="6" t="n">
        <f aca="false">Sens!D2291+Sens!D2298</f>
        <v>123.627</v>
      </c>
      <c r="E2299" s="6" t="n">
        <f aca="false">Sens!E2291+Sens!E2298</f>
        <v>165.934</v>
      </c>
      <c r="F2299" s="6" t="n">
        <f aca="false">Sens!F2291+Sens!F2298</f>
        <v>167.495979114897</v>
      </c>
      <c r="G2299" s="6" t="n">
        <f aca="false">Sens!G2291+Sens!G2298</f>
        <v>170.343390778202</v>
      </c>
      <c r="H2299" s="6" t="n">
        <f aca="false">Sens!H2291+Sens!H2298</f>
        <v>166.421295991288</v>
      </c>
      <c r="I2299" s="6" t="n">
        <f aca="false">Sens!I2291+Sens!I2298</f>
        <v>171.116187340524</v>
      </c>
      <c r="J2299" s="6" t="n">
        <f aca="false">Sens!J2291+Sens!J2298</f>
        <v>179.095032013479</v>
      </c>
      <c r="K2299" s="6" t="n">
        <f aca="false">Sens!K2291+Sens!K2298</f>
        <v>190.188215177395</v>
      </c>
    </row>
    <row r="2300" customFormat="false" ht="15" hidden="false" customHeight="false" outlineLevel="0" collapsed="false">
      <c r="A2300" s="1" t="s">
        <v>924</v>
      </c>
      <c r="B2300" s="0" t="s">
        <v>98</v>
      </c>
      <c r="D2300" s="6" t="n">
        <f aca="false">Q!L29</f>
        <v>21.795</v>
      </c>
      <c r="E2300" s="6" t="n">
        <f aca="false">Q!M29</f>
        <v>32.185</v>
      </c>
      <c r="F2300" s="6" t="n">
        <f aca="false">Sens!F2299*tax_f</f>
        <v>33.4991958229794</v>
      </c>
      <c r="G2300" s="6" t="n">
        <f aca="false">Sens!G2299*tax_f</f>
        <v>34.0686781556405</v>
      </c>
      <c r="H2300" s="6" t="n">
        <f aca="false">Sens!H2299*tax_f</f>
        <v>33.2842591982576</v>
      </c>
      <c r="I2300" s="6" t="n">
        <f aca="false">Sens!I2299*tax_f</f>
        <v>34.2232374681047</v>
      </c>
      <c r="J2300" s="6" t="n">
        <f aca="false">Sens!J2299*tax_f</f>
        <v>35.8190064026958</v>
      </c>
      <c r="K2300" s="6" t="n">
        <f aca="false">Sens!K2299*tax_f</f>
        <v>38.037643035479</v>
      </c>
    </row>
    <row r="2301" customFormat="false" ht="15" hidden="false" customHeight="false" outlineLevel="0" collapsed="false">
      <c r="A2301" s="1" t="s">
        <v>925</v>
      </c>
      <c r="B2301" s="0" t="s">
        <v>98</v>
      </c>
      <c r="D2301" s="6" t="n">
        <f aca="false">Sens!D2299-Sens!D2300</f>
        <v>101.832</v>
      </c>
      <c r="E2301" s="6" t="n">
        <f aca="false">Sens!E2299-Sens!E2300</f>
        <v>133.749</v>
      </c>
      <c r="F2301" s="6" t="n">
        <f aca="false">Sens!F2299-Sens!F2300</f>
        <v>133.996783291918</v>
      </c>
      <c r="G2301" s="6" t="n">
        <f aca="false">Sens!G2299-Sens!G2300</f>
        <v>136.274712622562</v>
      </c>
      <c r="H2301" s="6" t="n">
        <f aca="false">Sens!H2299-Sens!H2300</f>
        <v>133.13703679303</v>
      </c>
      <c r="I2301" s="6" t="n">
        <f aca="false">Sens!I2299-Sens!I2300</f>
        <v>136.892949872419</v>
      </c>
      <c r="J2301" s="6" t="n">
        <f aca="false">Sens!J2299-Sens!J2300</f>
        <v>143.276025610783</v>
      </c>
      <c r="K2301" s="6" t="n">
        <f aca="false">Sens!K2299-Sens!K2300</f>
        <v>152.150572141916</v>
      </c>
    </row>
    <row r="2302" customFormat="false" ht="17.15" hidden="false" customHeight="false" outlineLevel="0" collapsed="false">
      <c r="A2302" s="1" t="s">
        <v>926</v>
      </c>
      <c r="B2302" s="1" t="s">
        <v>81</v>
      </c>
      <c r="D2302" s="14" t="n">
        <f aca="false">Q!L31</f>
        <v>7.465</v>
      </c>
      <c r="E2302" s="14" t="n">
        <f aca="false">Q!M31</f>
        <v>7.453</v>
      </c>
      <c r="F2302" s="14" t="n">
        <f aca="false">Sens!F2345</f>
        <v>7.4735</v>
      </c>
      <c r="G2302" s="14" t="n">
        <f aca="false">Sens!G2345</f>
        <v>7.5185</v>
      </c>
      <c r="H2302" s="14" t="n">
        <f aca="false">Sens!H2345</f>
        <v>7.5635</v>
      </c>
      <c r="I2302" s="14" t="n">
        <f aca="false">Sens!I2345</f>
        <v>7.59252924615736</v>
      </c>
      <c r="J2302" s="14" t="n">
        <f aca="false">Sens!J2345</f>
        <v>7.60677075727524</v>
      </c>
      <c r="K2302" s="14" t="n">
        <f aca="false">Sens!K2345</f>
        <v>7.62329067497699</v>
      </c>
    </row>
    <row r="2303" customFormat="false" ht="17.15" hidden="false" customHeight="false" outlineLevel="0" collapsed="false">
      <c r="A2303" s="0" t="s">
        <v>927</v>
      </c>
      <c r="B2303" s="0" t="s">
        <v>75</v>
      </c>
      <c r="D2303" s="8" t="n">
        <f aca="false">Sens!D2301/Sens!D2302</f>
        <v>13.641259209645</v>
      </c>
      <c r="E2303" s="8" t="n">
        <f aca="false">Sens!E2301/Sens!E2302</f>
        <v>17.9456594659869</v>
      </c>
      <c r="F2303" s="8" t="n">
        <f aca="false">Sens!F2301/Sens!F2302</f>
        <v>17.9295889866753</v>
      </c>
      <c r="G2303" s="8" t="n">
        <f aca="false">Sens!G2301/Sens!G2302</f>
        <v>18.1252527262834</v>
      </c>
      <c r="H2303" s="8" t="n">
        <f aca="false">Sens!H2301/Sens!H2302</f>
        <v>17.6025698146401</v>
      </c>
      <c r="I2303" s="8" t="n">
        <f aca="false">Sens!I2301/Sens!I2302</f>
        <v>18.0299535812393</v>
      </c>
      <c r="J2303" s="8" t="n">
        <f aca="false">Sens!J2301/Sens!J2302</f>
        <v>18.8353284439066</v>
      </c>
      <c r="K2303" s="8" t="n">
        <f aca="false">Sens!K2301/Sens!K2302</f>
        <v>19.958647601008</v>
      </c>
      <c r="L2303" s="1" t="s">
        <v>928</v>
      </c>
    </row>
    <row r="2304" customFormat="false" ht="17.15" hidden="false" customHeight="false" outlineLevel="0" collapsed="false">
      <c r="A2304" s="1" t="s">
        <v>929</v>
      </c>
      <c r="B2304" s="0" t="s">
        <v>98</v>
      </c>
      <c r="D2304" s="6" t="n">
        <f aca="false">Sens!D2301</f>
        <v>101.832</v>
      </c>
      <c r="E2304" s="6" t="n">
        <f aca="false">Sens!E2301</f>
        <v>133.749</v>
      </c>
      <c r="F2304" s="6" t="n">
        <f aca="false">Sens!F2301+Sens!F2294*(1-tax_f)</f>
        <v>147.296819720461</v>
      </c>
      <c r="G2304" s="6" t="n">
        <f aca="false">Sens!G2301+Sens!G2294*(1-tax_f)</f>
        <v>169.829395165916</v>
      </c>
      <c r="H2304" s="6" t="n">
        <f aca="false">Sens!H2301+Sens!H2294*(1-tax_f)</f>
        <v>188.787140191822</v>
      </c>
      <c r="I2304" s="6" t="n">
        <f aca="false">Sens!I2301+Sens!I2294*(1-tax_f)</f>
        <v>212.359937906052</v>
      </c>
      <c r="J2304" s="6" t="n">
        <f aca="false">Sens!J2301+Sens!J2294*(1-tax_f)</f>
        <v>232.712339498979</v>
      </c>
      <c r="K2304" s="6" t="n">
        <f aca="false">Sens!K2301+Sens!K2294*(1-tax_f)</f>
        <v>250.185191645943</v>
      </c>
    </row>
    <row r="2305" customFormat="false" ht="17.15" hidden="false" customHeight="false" outlineLevel="0" collapsed="false">
      <c r="A2305" s="0" t="s">
        <v>930</v>
      </c>
      <c r="B2305" s="0" t="s">
        <v>75</v>
      </c>
      <c r="D2305" s="8" t="n">
        <f aca="false">Sens!D2304/Sens!D2302</f>
        <v>13.641259209645</v>
      </c>
      <c r="E2305" s="8" t="n">
        <f aca="false">Sens!E2304/Sens!E2302</f>
        <v>17.9456594659869</v>
      </c>
      <c r="F2305" s="8" t="n">
        <f aca="false">Sens!F2304/Sens!F2302</f>
        <v>19.7092151897318</v>
      </c>
      <c r="G2305" s="8" t="n">
        <f aca="false">Sens!G2304/Sens!G2302</f>
        <v>22.5882017910376</v>
      </c>
      <c r="H2305" s="8" t="n">
        <f aca="false">Sens!H2304/Sens!H2302</f>
        <v>24.9602882517117</v>
      </c>
      <c r="I2305" s="8" t="n">
        <f aca="false">Sens!I2304/Sens!I2302</f>
        <v>27.9695910310163</v>
      </c>
      <c r="J2305" s="8" t="n">
        <f aca="false">Sens!J2304/Sens!J2302</f>
        <v>30.5927898874052</v>
      </c>
      <c r="K2305" s="8" t="n">
        <f aca="false">Sens!K2304/Sens!K2302</f>
        <v>32.8185297285281</v>
      </c>
      <c r="L2305" s="1" t="s">
        <v>931</v>
      </c>
    </row>
    <row r="2306" customFormat="false" ht="17.15" hidden="false" customHeight="false" outlineLevel="0" collapsed="false">
      <c r="A2306" s="0" t="s">
        <v>932</v>
      </c>
      <c r="B2306" s="0" t="s">
        <v>129</v>
      </c>
      <c r="E2306" s="7" t="n">
        <f aca="false">Sens!E2305/Sens!D2305-1</f>
        <v>0.315542736208578</v>
      </c>
      <c r="F2306" s="7" t="n">
        <f aca="false">Sens!F2305/Sens!E2305-1</f>
        <v>0.0982719931294527</v>
      </c>
      <c r="G2306" s="7" t="n">
        <f aca="false">Sens!G2305/Sens!F2305-1</f>
        <v>0.146073122323291</v>
      </c>
      <c r="H2306" s="7" t="n">
        <f aca="false">Sens!H2305/Sens!G2305-1</f>
        <v>0.105014400111095</v>
      </c>
      <c r="I2306" s="7" t="n">
        <f aca="false">Sens!I2305/Sens!H2305-1</f>
        <v>0.120563622861933</v>
      </c>
      <c r="J2306" s="7" t="n">
        <f aca="false">Sens!J2305/Sens!I2305-1</f>
        <v>0.0937875299456459</v>
      </c>
      <c r="K2306" s="7" t="n">
        <f aca="false">Sens!K2305/Sens!J2305-1</f>
        <v>0.0727537386853121</v>
      </c>
    </row>
    <row r="2307" customFormat="false" ht="17.15" hidden="false" customHeight="false" outlineLevel="0" collapsed="false">
      <c r="A2307" s="0" t="s">
        <v>856</v>
      </c>
      <c r="B2307" s="0" t="s">
        <v>98</v>
      </c>
      <c r="E2307" s="6" t="n">
        <f aca="false">Sens!E2248</f>
        <v>5.25</v>
      </c>
      <c r="F2307" s="6" t="n">
        <f aca="false">Sens!F2248</f>
        <v>10.5</v>
      </c>
      <c r="G2307" s="6" t="n">
        <f aca="false">Sens!G2248</f>
        <v>13.5</v>
      </c>
      <c r="H2307" s="6" t="n">
        <f aca="false">Sens!H2248</f>
        <v>16.5</v>
      </c>
      <c r="I2307" s="6" t="n">
        <f aca="false">Sens!I2248</f>
        <v>18.75</v>
      </c>
      <c r="J2307" s="6" t="n">
        <f aca="false">Sens!J2248</f>
        <v>20.25</v>
      </c>
      <c r="K2307" s="6" t="n">
        <f aca="false">Sens!K2248</f>
        <v>21.75</v>
      </c>
    </row>
    <row r="2308" customFormat="false" ht="17.15" hidden="false" customHeight="false" outlineLevel="0" collapsed="false">
      <c r="A2308" s="1" t="s">
        <v>857</v>
      </c>
      <c r="B2308" s="0" t="s">
        <v>98</v>
      </c>
      <c r="F2308" s="6" t="n">
        <f aca="false">MAX(0,((Sens!E2211+Sens!F2211)/2-(shadow_base*(Sens!$D$2211+Sens!$E$2211)/2+(1-shadow_base)*Sens!$E$2211))*Sens!F2219/1000-(Sens!F2307-Sens!$E$2307)*Sens!F2287)</f>
        <v>16.6250455356787</v>
      </c>
      <c r="G2308" s="6" t="n">
        <f aca="false">MAX(0,((Sens!F2211+Sens!G2211)/2-(shadow_base*(Sens!$D$2211+Sens!$E$2211)/2+(1-shadow_base)*Sens!$E$2211))*Sens!G2219/1000-(Sens!G2307-Sens!$E$2307)*Sens!G2287)</f>
        <v>41.9433531791926</v>
      </c>
      <c r="H2308" s="6" t="n">
        <f aca="false">MAX(0,((Sens!G2211+Sens!H2211)/2-(shadow_base*(Sens!$D$2211+Sens!$E$2211)/2+(1-shadow_base)*Sens!$E$2211))*Sens!H2219/1000-(Sens!H2307-Sens!$E$2307)*Sens!H2287)</f>
        <v>69.5626292484892</v>
      </c>
      <c r="I2308" s="6" t="n">
        <f aca="false">MAX(0,((Sens!H2211+Sens!I2211)/2-(shadow_base*(Sens!$D$2211+Sens!$E$2211)/2+(1-shadow_base)*Sens!$E$2211))*Sens!I2219/1000-(Sens!I2307-Sens!$E$2307)*Sens!I2287)</f>
        <v>94.3337350420408</v>
      </c>
      <c r="J2308" s="6" t="n">
        <f aca="false">MAX(0,((Sens!I2211+Sens!J2211)/2-(shadow_base*(Sens!$D$2211+Sens!$E$2211)/2+(1-shadow_base)*Sens!$E$2211))*Sens!J2219/1000-(Sens!J2307-Sens!$E$2307)*Sens!J2287)</f>
        <v>111.795392360245</v>
      </c>
      <c r="K2308" s="6" t="n">
        <f aca="false">MAX(0,((Sens!J2211+Sens!K2211)/2-(shadow_base*(Sens!$D$2211+Sens!$E$2211)/2+(1-shadow_base)*Sens!$E$2211))*Sens!K2219/1000-(Sens!K2307-Sens!$E$2307)*Sens!K2287)</f>
        <v>122.543274380034</v>
      </c>
      <c r="L2308" s="1" t="s">
        <v>858</v>
      </c>
    </row>
    <row r="2309" customFormat="false" ht="17.15" hidden="false" customHeight="false" outlineLevel="0" collapsed="false">
      <c r="A2309" s="1" t="s">
        <v>859</v>
      </c>
      <c r="B2309" s="0" t="s">
        <v>98</v>
      </c>
      <c r="F2309" s="6" t="n">
        <f aca="false">IF(internal_ai_reading=2,1,0)*Sens!F2308</f>
        <v>16.6250455356787</v>
      </c>
      <c r="G2309" s="6" t="n">
        <f aca="false">IF(internal_ai_reading=2,1,0)*Sens!G2308</f>
        <v>41.9433531791926</v>
      </c>
      <c r="H2309" s="6" t="n">
        <f aca="false">IF(internal_ai_reading=2,1,0)*Sens!H2308</f>
        <v>69.5626292484892</v>
      </c>
      <c r="I2309" s="6" t="n">
        <f aca="false">IF(internal_ai_reading=2,1,0)*Sens!I2308</f>
        <v>94.3337350420408</v>
      </c>
      <c r="J2309" s="6" t="n">
        <f aca="false">IF(internal_ai_reading=2,1,0)*Sens!J2308</f>
        <v>111.795392360245</v>
      </c>
      <c r="K2309" s="6" t="n">
        <f aca="false">IF(internal_ai_reading=2,1,0)*Sens!K2308</f>
        <v>122.543274380034</v>
      </c>
    </row>
    <row r="2310" customFormat="false" ht="17.15" hidden="false" customHeight="false" outlineLevel="0" collapsed="false">
      <c r="A2310" s="0" t="s">
        <v>860</v>
      </c>
      <c r="B2310" s="0" t="s">
        <v>98</v>
      </c>
      <c r="F2310" s="6" t="n">
        <f aca="false">Sens!F2228+Sens!F2307*Sens!F2287+Sens!F2309-Sens!F2229-Sens!F2239</f>
        <v>7.23168712110319</v>
      </c>
      <c r="G2310" s="6" t="n">
        <f aca="false">Sens!G2228+Sens!G2307*Sens!G2287+Sens!G2309-Sens!G2229-Sens!G2239</f>
        <v>15.0488091069252</v>
      </c>
      <c r="H2310" s="6" t="n">
        <f aca="false">Sens!H2228+Sens!H2307*Sens!H2287+Sens!H2309-Sens!H2229-Sens!H2239</f>
        <v>18.070232929347</v>
      </c>
      <c r="I2310" s="6" t="n">
        <f aca="false">Sens!I2228+Sens!I2307*Sens!I2287+Sens!I2309-Sens!I2229-Sens!I2239</f>
        <v>27.2488212351313</v>
      </c>
      <c r="J2310" s="6" t="n">
        <f aca="false">Sens!J2228+Sens!J2307*Sens!J2287+Sens!J2309-Sens!J2229-Sens!J2239</f>
        <v>33.5857254918917</v>
      </c>
      <c r="K2310" s="6" t="n">
        <f aca="false">Sens!K2228+Sens!K2307*Sens!K2287+Sens!K2309-Sens!K2229-Sens!K2239</f>
        <v>38.3257681641646</v>
      </c>
    </row>
    <row r="2311" customFormat="false" ht="17.15" hidden="false" customHeight="false" outlineLevel="0" collapsed="false">
      <c r="A2311" s="0" t="s">
        <v>861</v>
      </c>
      <c r="B2311" s="0" t="s">
        <v>98</v>
      </c>
      <c r="E2311" s="6" t="n">
        <f aca="false">Sens!E2210*(cxit_open+self_build*tk_cxfac)/1000*ai_net_open</f>
        <v>152.03764584</v>
      </c>
      <c r="F2311" s="6" t="n">
        <f aca="false">Sens!E2311+Sens!F2236-Sens!F2239</f>
        <v>303.577232028613</v>
      </c>
      <c r="G2311" s="6" t="n">
        <f aca="false">Sens!F2311+Sens!G2236-Sens!G2239</f>
        <v>452.91572407584</v>
      </c>
      <c r="H2311" s="6" t="n">
        <f aca="false">Sens!G2311+Sens!H2236-Sens!H2239</f>
        <v>574.978843356347</v>
      </c>
      <c r="I2311" s="6" t="n">
        <f aca="false">Sens!H2311+Sens!I2236-Sens!I2239</f>
        <v>638.69995374257</v>
      </c>
      <c r="J2311" s="6" t="n">
        <f aca="false">Sens!I2311+Sens!J2236-Sens!J2239</f>
        <v>637.719690232249</v>
      </c>
      <c r="K2311" s="6" t="n">
        <f aca="false">Sens!J2311+Sens!K2236-Sens!K2239</f>
        <v>616.450831743388</v>
      </c>
      <c r="L2311" s="1" t="s">
        <v>862</v>
      </c>
    </row>
    <row r="2312" customFormat="false" ht="17.15" hidden="false" customHeight="false" outlineLevel="0" collapsed="false">
      <c r="A2312" s="0" t="s">
        <v>863</v>
      </c>
      <c r="B2312" s="0" t="s">
        <v>129</v>
      </c>
      <c r="F2312" s="7" t="n">
        <f aca="false">Sens!F2310*(1-tax_f)/((Sens!E2311+Sens!F2311)/2)</f>
        <v>0.0253957891978711</v>
      </c>
      <c r="G2312" s="7" t="n">
        <f aca="false">Sens!G2310*(1-tax_f)/((Sens!F2311+Sens!G2311)/2)</f>
        <v>0.0318285773539386</v>
      </c>
      <c r="H2312" s="7" t="n">
        <f aca="false">Sens!H2310*(1-tax_f)/((Sens!G2311+Sens!H2311)/2)</f>
        <v>0.028127760962082</v>
      </c>
      <c r="I2312" s="7" t="n">
        <f aca="false">Sens!I2310*(1-tax_f)/((Sens!H2311+Sens!I2311)/2)</f>
        <v>0.0359222836226716</v>
      </c>
      <c r="J2312" s="7" t="n">
        <f aca="false">Sens!J2310*(1-tax_f)/((Sens!I2311+Sens!J2311)/2)</f>
        <v>0.0420999167794748</v>
      </c>
      <c r="K2312" s="7" t="n">
        <f aca="false">Sens!K2310*(1-tax_f)/((Sens!J2311+Sens!K2311)/2)</f>
        <v>0.0488938529396042</v>
      </c>
    </row>
    <row r="2313" customFormat="false" ht="17.15" hidden="false" customHeight="false" outlineLevel="0" collapsed="false">
      <c r="A2313" s="1" t="s">
        <v>864</v>
      </c>
      <c r="B2313" s="0" t="s">
        <v>129</v>
      </c>
      <c r="F2313" s="7" t="n">
        <f aca="false">(Sens!F2310-Sens!F2309)*(1-tax_f)/((Sens!E2311+Sens!F2311)/2)</f>
        <v>-0.0329870120432169</v>
      </c>
      <c r="G2313" s="7" t="n">
        <f aca="false">(Sens!G2310-Sens!G2309)*(1-tax_f)/((Sens!F2311+Sens!G2311)/2)</f>
        <v>-0.0568825792340707</v>
      </c>
      <c r="H2313" s="7" t="n">
        <f aca="false">(Sens!H2310-Sens!H2309)*(1-tax_f)/((Sens!G2311+Sens!H2311)/2)</f>
        <v>-0.08015202796182</v>
      </c>
      <c r="I2313" s="7" t="n">
        <f aca="false">(Sens!I2310-Sens!I2309)*(1-tax_f)/((Sens!H2311+Sens!I2311)/2)</f>
        <v>-0.0884384421542359</v>
      </c>
      <c r="J2313" s="7" t="n">
        <f aca="false">(Sens!J2310-Sens!J2309)*(1-tax_f)/((Sens!I2311+Sens!J2311)/2)</f>
        <v>-0.0980363061474746</v>
      </c>
      <c r="K2313" s="7" t="n">
        <f aca="false">(Sens!K2310-Sens!K2309)*(1-tax_f)/((Sens!J2311+Sens!K2311)/2)</f>
        <v>-0.10743994344017</v>
      </c>
    </row>
    <row r="2314" customFormat="false" ht="17.15" hidden="false" customHeight="false" outlineLevel="0" collapsed="false">
      <c r="A2314" s="1" t="s">
        <v>865</v>
      </c>
      <c r="B2314" s="0" t="s">
        <v>129</v>
      </c>
      <c r="F2314" s="7" t="n">
        <f aca="false">(Sens!F2310-Sens!F2309+Sens!F2308)*(1-tax_f)/((Sens!E2311+Sens!F2311)/2)</f>
        <v>0.0253957891978711</v>
      </c>
      <c r="G2314" s="7" t="n">
        <f aca="false">(Sens!G2310-Sens!G2309+Sens!G2308)*(1-tax_f)/((Sens!F2311+Sens!G2311)/2)</f>
        <v>0.0318285773539386</v>
      </c>
      <c r="H2314" s="7" t="n">
        <f aca="false">(Sens!H2310-Sens!H2309+Sens!H2308)*(1-tax_f)/((Sens!G2311+Sens!H2311)/2)</f>
        <v>0.028127760962082</v>
      </c>
      <c r="I2314" s="7" t="n">
        <f aca="false">(Sens!I2310-Sens!I2309+Sens!I2308)*(1-tax_f)/((Sens!H2311+Sens!I2311)/2)</f>
        <v>0.0359222836226716</v>
      </c>
      <c r="J2314" s="7" t="n">
        <f aca="false">(Sens!J2310-Sens!J2309+Sens!J2308)*(1-tax_f)/((Sens!I2311+Sens!J2311)/2)</f>
        <v>0.0420999167794748</v>
      </c>
      <c r="K2314" s="7" t="n">
        <f aca="false">(Sens!K2310-Sens!K2309+Sens!K2308)*(1-tax_f)/((Sens!J2311+Sens!K2311)/2)</f>
        <v>0.0488938529396042</v>
      </c>
    </row>
    <row r="2315" customFormat="false" ht="17.15" hidden="false" customHeight="false" outlineLevel="0" collapsed="false">
      <c r="A2315" s="1" t="s">
        <v>866</v>
      </c>
      <c r="B2315" s="0" t="s">
        <v>129</v>
      </c>
      <c r="F2315" s="7" t="n">
        <f aca="false">Sens!F2240*(1-tax_f)/(Sens!F2227*(Sens!E2311+Sens!F2311)/2)</f>
        <v>0.102735279953254</v>
      </c>
      <c r="G2315" s="7" t="n">
        <f aca="false">Sens!G2240*(1-tax_f)/(Sens!G2227*(Sens!F2311+Sens!G2311)/2)</f>
        <v>0.0709600152423963</v>
      </c>
      <c r="H2315" s="7" t="n">
        <f aca="false">Sens!H2240*(1-tax_f)/(Sens!H2227*(Sens!G2311+Sens!H2311)/2)</f>
        <v>0.0419126501774916</v>
      </c>
      <c r="I2315" s="7" t="n">
        <f aca="false">Sens!I2240*(1-tax_f)/(Sens!I2227*(Sens!H2311+Sens!I2311)/2)</f>
        <v>0.0445768112681731</v>
      </c>
      <c r="J2315" s="7" t="n">
        <f aca="false">Sens!J2240*(1-tax_f)/(Sens!J2227*(Sens!I2311+Sens!J2311)/2)</f>
        <v>0.0483882076863038</v>
      </c>
      <c r="K2315" s="7" t="n">
        <f aca="false">Sens!K2240*(1-tax_f)/(Sens!K2227*(Sens!J2311+Sens!K2311)/2)</f>
        <v>0.0544871874286225</v>
      </c>
    </row>
    <row r="2316" customFormat="false" ht="17.15" hidden="false" customHeight="false" outlineLevel="0" collapsed="false">
      <c r="A2316" s="0" t="s">
        <v>867</v>
      </c>
      <c r="B2316" s="0" t="s">
        <v>209</v>
      </c>
      <c r="F2316" s="7" t="n">
        <f aca="false">Sens!F2312-wacc</f>
        <v>-0.0775386308950046</v>
      </c>
      <c r="G2316" s="7" t="n">
        <f aca="false">Sens!G2312-wacc</f>
        <v>-0.0711058427389371</v>
      </c>
      <c r="H2316" s="7" t="n">
        <f aca="false">Sens!H2312-wacc</f>
        <v>-0.0748066591307937</v>
      </c>
      <c r="I2316" s="7" t="n">
        <f aca="false">Sens!I2312-wacc</f>
        <v>-0.0670121364702041</v>
      </c>
      <c r="J2316" s="7" t="n">
        <f aca="false">Sens!J2312-wacc</f>
        <v>-0.0608345033134009</v>
      </c>
      <c r="K2316" s="7" t="n">
        <f aca="false">Sens!K2312-wacc</f>
        <v>-0.0540405671532715</v>
      </c>
    </row>
    <row r="2317" customFormat="false" ht="17.15" hidden="false" customHeight="false" outlineLevel="0" collapsed="false">
      <c r="A2317" s="0" t="s">
        <v>868</v>
      </c>
      <c r="B2317" s="0" t="s">
        <v>98</v>
      </c>
      <c r="F2317" s="6" t="n">
        <f aca="false">Sens!F2310*(1-tax_f)-wacc*(Sens!E2311+Sens!F2311)/2</f>
        <v>-17.6638769226635</v>
      </c>
      <c r="G2317" s="6" t="n">
        <f aca="false">Sens!G2310*(1-tax_f)-wacc*(Sens!F2311+Sens!G2311)/2</f>
        <v>-26.8955345849385</v>
      </c>
      <c r="H2317" s="6" t="n">
        <f aca="false">Sens!H2310*(1-tax_f)-wacc*(Sens!G2311+Sens!H2311)/2</f>
        <v>-38.4466792641471</v>
      </c>
      <c r="I2317" s="6" t="n">
        <f aca="false">Sens!I2310*(1-tax_f)-wacc*(Sens!H2311+Sens!I2311)/2</f>
        <v>-40.6656045910929</v>
      </c>
      <c r="J2317" s="6" t="n">
        <f aca="false">Sens!J2310*(1-tax_f)-wacc*(Sens!I2311+Sens!J2311)/2</f>
        <v>-38.8251775303381</v>
      </c>
      <c r="K2317" s="6" t="n">
        <f aca="false">Sens!K2310*(1-tax_f)-wacc*(Sens!J2311+Sens!K2311)/2</f>
        <v>-33.888043157239</v>
      </c>
    </row>
    <row r="2318" customFormat="false" ht="17.15" hidden="false" customHeight="false" outlineLevel="0" collapsed="false">
      <c r="A2318" s="3" t="s">
        <v>1320</v>
      </c>
    </row>
    <row r="2319" customFormat="false" ht="15" hidden="false" customHeight="false" outlineLevel="0" collapsed="false">
      <c r="A2319" s="4" t="s">
        <v>43</v>
      </c>
      <c r="B2319" s="4" t="s">
        <v>65</v>
      </c>
      <c r="C2319" s="20" t="s">
        <v>799</v>
      </c>
      <c r="D2319" s="20" t="s">
        <v>800</v>
      </c>
      <c r="E2319" s="20" t="s">
        <v>801</v>
      </c>
      <c r="F2319" s="20" t="s">
        <v>802</v>
      </c>
      <c r="G2319" s="20" t="s">
        <v>803</v>
      </c>
      <c r="H2319" s="20" t="s">
        <v>804</v>
      </c>
      <c r="I2319" s="20" t="s">
        <v>805</v>
      </c>
      <c r="J2319" s="20" t="s">
        <v>806</v>
      </c>
      <c r="K2319" s="20" t="s">
        <v>807</v>
      </c>
      <c r="L2319" s="4" t="s">
        <v>47</v>
      </c>
    </row>
    <row r="2320" customFormat="false" ht="15" hidden="false" customHeight="false" outlineLevel="0" collapsed="false">
      <c r="A2320" s="1" t="s">
        <v>925</v>
      </c>
      <c r="B2320" s="0" t="s">
        <v>98</v>
      </c>
      <c r="F2320" s="6" t="n">
        <f aca="false">Sens!F2301</f>
        <v>133.996783291918</v>
      </c>
      <c r="G2320" s="6" t="n">
        <f aca="false">Sens!G2301</f>
        <v>136.274712622562</v>
      </c>
      <c r="H2320" s="6" t="n">
        <f aca="false">Sens!H2301</f>
        <v>133.13703679303</v>
      </c>
      <c r="I2320" s="6" t="n">
        <f aca="false">Sens!I2301</f>
        <v>136.892949872419</v>
      </c>
      <c r="J2320" s="6" t="n">
        <f aca="false">Sens!J2301</f>
        <v>143.276025610783</v>
      </c>
      <c r="K2320" s="6" t="n">
        <f aca="false">Sens!K2301</f>
        <v>152.150572141916</v>
      </c>
    </row>
    <row r="2321" customFormat="false" ht="17.15" hidden="false" customHeight="false" outlineLevel="0" collapsed="false">
      <c r="A2321" s="1" t="s">
        <v>947</v>
      </c>
      <c r="B2321" s="0" t="s">
        <v>98</v>
      </c>
      <c r="E2321" s="6" t="n">
        <f aca="false">Q!M38-Sens!E2239</f>
        <v>18.9675128275</v>
      </c>
      <c r="F2321" s="6" t="n">
        <f aca="false">Sens!E2321*(1-1/life_nonai)+(Sens!F2328+Sens!F2329)/life_nonai</f>
        <v>20.6136962677062</v>
      </c>
      <c r="G2321" s="6" t="n">
        <f aca="false">Sens!F2321*(1-1/life_nonai)+(Sens!G2328)/life_nonai</f>
        <v>22.6226159979745</v>
      </c>
      <c r="H2321" s="6" t="n">
        <f aca="false">Sens!G2321*(1-1/life_nonai)+(Sens!H2328)/life_nonai</f>
        <v>24.9665057625861</v>
      </c>
      <c r="I2321" s="6" t="n">
        <f aca="false">Sens!H2321*(1-1/life_nonai)+(Sens!I2328)/life_nonai</f>
        <v>27.5921952174918</v>
      </c>
      <c r="J2321" s="6" t="n">
        <f aca="false">Sens!I2321*(1-1/life_nonai)+(Sens!J2328)/life_nonai</f>
        <v>30.42856702078</v>
      </c>
      <c r="K2321" s="6" t="n">
        <f aca="false">Sens!J2321*(1-1/life_nonai)+(Sens!K2328)/life_nonai</f>
        <v>33.3950805929014</v>
      </c>
      <c r="L2321" s="11" t="s">
        <v>948</v>
      </c>
    </row>
    <row r="2322" customFormat="false" ht="17.15" hidden="false" customHeight="false" outlineLevel="0" collapsed="false">
      <c r="A2322" s="1" t="s">
        <v>949</v>
      </c>
      <c r="B2322" s="0" t="s">
        <v>98</v>
      </c>
      <c r="F2322" s="6" t="n">
        <f aca="false">Sens!$F$2329/life_nonai*(1-1/life_nonai)^(Sens!F2205-2027)</f>
        <v>0</v>
      </c>
      <c r="G2322" s="6" t="n">
        <f aca="false">Sens!$F$2329/life_nonai*(1-1/life_nonai)^(Sens!G2205-2027)</f>
        <v>0</v>
      </c>
      <c r="H2322" s="6" t="n">
        <f aca="false">Sens!$F$2329/life_nonai*(1-1/life_nonai)^(Sens!H2205-2027)</f>
        <v>0</v>
      </c>
      <c r="I2322" s="6" t="n">
        <f aca="false">Sens!$F$2329/life_nonai*(1-1/life_nonai)^(Sens!I2205-2027)</f>
        <v>0</v>
      </c>
      <c r="J2322" s="6" t="n">
        <f aca="false">Sens!$F$2329/life_nonai*(1-1/life_nonai)^(Sens!J2205-2027)</f>
        <v>0</v>
      </c>
      <c r="K2322" s="6" t="n">
        <f aca="false">Sens!$F$2329/life_nonai*(1-1/life_nonai)^(Sens!K2205-2027)</f>
        <v>0</v>
      </c>
      <c r="L2322" s="1" t="s">
        <v>950</v>
      </c>
    </row>
    <row r="2323" customFormat="false" ht="17.15" hidden="false" customHeight="false" outlineLevel="0" collapsed="false">
      <c r="A2323" s="1" t="s">
        <v>951</v>
      </c>
      <c r="B2323" s="0" t="s">
        <v>98</v>
      </c>
      <c r="E2323" s="6" t="n">
        <f aca="false">Sens!E2239+Sens!E2321</f>
        <v>38.534</v>
      </c>
      <c r="F2323" s="6" t="n">
        <f aca="false">Sens!F2239+Sens!F2321</f>
        <v>61.4735611248529</v>
      </c>
      <c r="G2323" s="6" t="n">
        <f aca="false">Sens!G2239+Sens!G2321</f>
        <v>93.5731405305879</v>
      </c>
      <c r="H2323" s="6" t="n">
        <f aca="false">Sens!H2239+Sens!H2321</f>
        <v>128.599729574559</v>
      </c>
      <c r="I2323" s="6" t="n">
        <f aca="false">Sens!I2239+Sens!I2321</f>
        <v>160.319087816363</v>
      </c>
      <c r="J2323" s="6" t="n">
        <f aca="false">Sens!J2239+Sens!J2321</f>
        <v>184.026554444192</v>
      </c>
      <c r="K2323" s="6" t="n">
        <f aca="false">Sens!K2239+Sens!K2321</f>
        <v>200.352837446071</v>
      </c>
    </row>
    <row r="2324" customFormat="false" ht="17.15" hidden="false" customHeight="false" outlineLevel="0" collapsed="false">
      <c r="A2324" s="1" t="s">
        <v>952</v>
      </c>
      <c r="B2324" s="0" t="s">
        <v>98</v>
      </c>
      <c r="F2324" s="6" t="n">
        <f aca="false">Sens!F2266*sbc_r</f>
        <v>14.7102349124428</v>
      </c>
      <c r="G2324" s="6" t="n">
        <f aca="false">Sens!G2266*sbc_r</f>
        <v>17.061233875013</v>
      </c>
      <c r="H2324" s="6" t="n">
        <f aca="false">Sens!H2266*sbc_r</f>
        <v>19.2644849659525</v>
      </c>
      <c r="I2324" s="6" t="n">
        <f aca="false">Sens!I2266*sbc_r</f>
        <v>21.5744080153289</v>
      </c>
      <c r="J2324" s="6" t="n">
        <f aca="false">Sens!J2266*sbc_r</f>
        <v>23.5256320135712</v>
      </c>
      <c r="K2324" s="6" t="n">
        <f aca="false">Sens!K2266*sbc_r</f>
        <v>25.1388528865318</v>
      </c>
    </row>
    <row r="2325" customFormat="false" ht="17.15" hidden="false" customHeight="false" outlineLevel="0" collapsed="false">
      <c r="A2325" s="1" t="s">
        <v>953</v>
      </c>
      <c r="B2325" s="0" t="s">
        <v>98</v>
      </c>
      <c r="F2325" s="6" t="n">
        <f aca="false">wc27</f>
        <v>-4.895</v>
      </c>
      <c r="G2325" s="6" t="n">
        <f aca="false">wc_f</f>
        <v>0</v>
      </c>
      <c r="H2325" s="6" t="n">
        <f aca="false">wc_f</f>
        <v>0</v>
      </c>
      <c r="I2325" s="6" t="n">
        <f aca="false">wc_f</f>
        <v>0</v>
      </c>
      <c r="J2325" s="6" t="n">
        <f aca="false">wc_f</f>
        <v>0</v>
      </c>
      <c r="K2325" s="6" t="n">
        <f aca="false">wc_f</f>
        <v>0</v>
      </c>
      <c r="L2325" s="11" t="s">
        <v>954</v>
      </c>
    </row>
    <row r="2326" customFormat="false" ht="15" hidden="false" customHeight="false" outlineLevel="0" collapsed="false">
      <c r="A2326" s="1" t="s">
        <v>767</v>
      </c>
      <c r="B2326" s="0" t="s">
        <v>98</v>
      </c>
      <c r="E2326" s="6" t="n">
        <f aca="false">Q!M35</f>
        <v>182.935</v>
      </c>
      <c r="F2326" s="6" t="n">
        <f aca="false">Sens!F2320+Sens!F2323+Sens!F2324+Sens!F2325</f>
        <v>205.285579329213</v>
      </c>
      <c r="G2326" s="6" t="n">
        <f aca="false">Sens!G2320+Sens!G2323+Sens!G2324+Sens!G2325</f>
        <v>246.909087028163</v>
      </c>
      <c r="H2326" s="6" t="n">
        <f aca="false">Sens!H2320+Sens!H2323+Sens!H2324+Sens!H2325</f>
        <v>281.001251333542</v>
      </c>
      <c r="I2326" s="6" t="n">
        <f aca="false">Sens!I2320+Sens!I2323+Sens!I2324+Sens!I2325</f>
        <v>318.786445704111</v>
      </c>
      <c r="J2326" s="6" t="n">
        <f aca="false">Sens!J2320+Sens!J2323+Sens!J2324+Sens!J2325</f>
        <v>350.828212068546</v>
      </c>
      <c r="K2326" s="6" t="n">
        <f aca="false">Sens!K2320+Sens!K2323+Sens!K2324+Sens!K2325</f>
        <v>377.642262474519</v>
      </c>
    </row>
    <row r="2327" customFormat="false" ht="17.15" hidden="false" customHeight="false" outlineLevel="0" collapsed="false">
      <c r="A2327" s="0" t="s">
        <v>955</v>
      </c>
      <c r="B2327" s="0" t="s">
        <v>98</v>
      </c>
      <c r="F2327" s="6" t="n">
        <f aca="false">Sens!F2236</f>
        <v>192.39945104576</v>
      </c>
      <c r="G2327" s="6" t="n">
        <f aca="false">Sens!G2236</f>
        <v>220.28901657984</v>
      </c>
      <c r="H2327" s="6" t="n">
        <f aca="false">Sens!H2236</f>
        <v>225.69634309248</v>
      </c>
      <c r="I2327" s="6" t="n">
        <f aca="false">Sens!I2236</f>
        <v>196.448002985094</v>
      </c>
      <c r="J2327" s="6" t="n">
        <f aca="false">Sens!J2236</f>
        <v>152.617723913091</v>
      </c>
      <c r="K2327" s="6" t="n">
        <f aca="false">Sens!K2236</f>
        <v>145.688898364309</v>
      </c>
    </row>
    <row r="2328" customFormat="false" ht="17.15" hidden="false" customHeight="false" outlineLevel="0" collapsed="false">
      <c r="A2328" s="1" t="s">
        <v>956</v>
      </c>
      <c r="B2328" s="0" t="s">
        <v>98</v>
      </c>
      <c r="E2328" s="6" t="n">
        <f aca="false">Sens!E2244*cx_azo+Sens!E2251*cx_m365+Sens!E2252*cx_lic+(Sens!E2254+Sens!E2256)*cx_ind+Sens!E2259*cx_srch+(Sens!E2261+Sens!E2263)*cx_dev</f>
        <v>30.1846587067718</v>
      </c>
      <c r="F2328" s="6" t="n">
        <f aca="false">Sens!F2244*cx_azo+Sens!F2251*cx_m365+Sens!F2252*cx_lic+(Sens!F2254+Sens!F2256)*cx_ind+Sens!F2259*cx_srch+(Sens!F2261+Sens!F2263)*cx_dev</f>
        <v>35.4293472295625</v>
      </c>
      <c r="G2328" s="6" t="n">
        <f aca="false">Sens!G2244*cx_azo+Sens!G2251*cx_m365+Sens!G2252*cx_lic+(Sens!G2254+Sens!G2256)*cx_ind+Sens!G2259*cx_srch+(Sens!G2261+Sens!G2263)*cx_dev</f>
        <v>40.7028935703892</v>
      </c>
      <c r="H2328" s="6" t="n">
        <f aca="false">Sens!H2244*cx_azo+Sens!H2251*cx_m365+Sens!H2252*cx_lic+(Sens!H2254+Sens!H2256)*cx_ind+Sens!H2259*cx_srch+(Sens!H2261+Sens!H2263)*cx_dev</f>
        <v>46.0615136440897</v>
      </c>
      <c r="I2328" s="6" t="n">
        <f aca="false">Sens!I2244*cx_azo+Sens!I2251*cx_m365+Sens!I2252*cx_lic+(Sens!I2254+Sens!I2256)*cx_ind+Sens!I2259*cx_srch+(Sens!I2261+Sens!I2263)*cx_dev</f>
        <v>51.2234003116439</v>
      </c>
      <c r="J2328" s="6" t="n">
        <f aca="false">Sens!J2244*cx_azo+Sens!J2251*cx_m365+Sens!J2252*cx_lic+(Sens!J2254+Sens!J2256)*cx_ind+Sens!J2259*cx_srch+(Sens!J2261+Sens!J2263)*cx_dev</f>
        <v>55.9559132503738</v>
      </c>
      <c r="K2328" s="6" t="n">
        <f aca="false">Sens!K2244*cx_azo+Sens!K2251*cx_m365+Sens!K2252*cx_lic+(Sens!K2254+Sens!K2256)*cx_ind+Sens!K2259*cx_srch+(Sens!K2261+Sens!K2263)*cx_dev</f>
        <v>60.093702741994</v>
      </c>
    </row>
    <row r="2329" customFormat="false" ht="17.15" hidden="false" customHeight="false" outlineLevel="0" collapsed="false">
      <c r="A2329" s="0" t="s">
        <v>957</v>
      </c>
      <c r="B2329" s="0" t="s">
        <v>98</v>
      </c>
      <c r="F2329" s="6" t="n">
        <f aca="false">Sens!F2234</f>
        <v>0</v>
      </c>
      <c r="L2329" s="1" t="s">
        <v>958</v>
      </c>
    </row>
    <row r="2330" customFormat="false" ht="17.15" hidden="false" customHeight="false" outlineLevel="0" collapsed="false">
      <c r="A2330" s="1" t="s">
        <v>959</v>
      </c>
      <c r="B2330" s="0" t="s">
        <v>98</v>
      </c>
      <c r="E2330" s="6" t="n">
        <f aca="false">Q!M42</f>
        <v>145.3</v>
      </c>
      <c r="F2330" s="6" t="n">
        <f aca="false">Sens!F2327+Sens!F2328+Sens!F2329</f>
        <v>227.828798275322</v>
      </c>
      <c r="G2330" s="6" t="n">
        <f aca="false">Sens!G2327+Sens!G2328</f>
        <v>260.991910150229</v>
      </c>
      <c r="H2330" s="6" t="n">
        <f aca="false">Sens!H2327+Sens!H2328</f>
        <v>271.75785673657</v>
      </c>
      <c r="I2330" s="6" t="n">
        <f aca="false">Sens!I2327+Sens!I2328</f>
        <v>247.671403296738</v>
      </c>
      <c r="J2330" s="6" t="n">
        <f aca="false">Sens!J2327+Sens!J2328</f>
        <v>208.573637163464</v>
      </c>
      <c r="K2330" s="6" t="n">
        <f aca="false">Sens!K2327+Sens!K2328</f>
        <v>205.782601106303</v>
      </c>
      <c r="L2330" s="1" t="s">
        <v>960</v>
      </c>
    </row>
    <row r="2331" customFormat="false" ht="15" hidden="false" customHeight="false" outlineLevel="0" collapsed="false">
      <c r="A2331" s="1" t="s">
        <v>961</v>
      </c>
      <c r="B2331" s="0" t="s">
        <v>98</v>
      </c>
      <c r="E2331" s="6" t="n">
        <f aca="false">fl_liab</f>
        <v>66.594</v>
      </c>
      <c r="F2331" s="6" t="n">
        <f aca="false">Sens!E2331-Sens!F2332</f>
        <v>62.46973</v>
      </c>
      <c r="G2331" s="6" t="n">
        <f aca="false">Sens!F2331-Sens!G2332</f>
        <v>57.98686785</v>
      </c>
      <c r="H2331" s="6" t="n">
        <f aca="false">Sens!G2331-Sens!H2332</f>
        <v>53.92827690325</v>
      </c>
      <c r="I2331" s="6" t="n">
        <f aca="false">Sens!H2331-Sens!I2332</f>
        <v>49.7850493638962</v>
      </c>
      <c r="J2331" s="6" t="n">
        <f aca="false">Sens!I2331-Sens!J2332</f>
        <v>45.4823765852716</v>
      </c>
      <c r="K2331" s="6" t="n">
        <f aca="false">Sens!J2331-Sens!K2332</f>
        <v>40.9860835316088</v>
      </c>
    </row>
    <row r="2332" customFormat="false" ht="15" hidden="false" customHeight="false" outlineLevel="0" collapsed="false">
      <c r="A2332" s="1" t="s">
        <v>962</v>
      </c>
      <c r="B2332" s="0" t="s">
        <v>98</v>
      </c>
      <c r="F2332" s="6" t="n">
        <f aca="false">fl_pay_27-Sens!E2331*fl_rate</f>
        <v>4.12427</v>
      </c>
      <c r="G2332" s="6" t="n">
        <f aca="false">fl_pay_28-Sens!F2331*fl_rate</f>
        <v>4.48286215</v>
      </c>
      <c r="H2332" s="6" t="n">
        <f aca="false">fl_pay_29-Sens!G2331*fl_rate</f>
        <v>4.05859094675</v>
      </c>
      <c r="I2332" s="6" t="n">
        <f aca="false">fl_pay_30-Sens!H2331*fl_rate</f>
        <v>4.14322753935375</v>
      </c>
      <c r="J2332" s="6" t="n">
        <f aca="false">fl_pay_31-Sens!I2331*fl_rate</f>
        <v>4.30267277862467</v>
      </c>
      <c r="K2332" s="6" t="n">
        <f aca="false">fl_pay_32-Sens!J2331*fl_rate</f>
        <v>4.49629305366278</v>
      </c>
    </row>
    <row r="2333" customFormat="false" ht="17.15" hidden="false" customHeight="false" outlineLevel="0" collapsed="false">
      <c r="A2333" s="1" t="s">
        <v>963</v>
      </c>
      <c r="B2333" s="0" t="s">
        <v>98</v>
      </c>
      <c r="E2333" s="6" t="n">
        <f aca="false">Q!M35-Q!M36-Q!M43</f>
        <v>63.886</v>
      </c>
      <c r="F2333" s="6" t="n">
        <f aca="false">Sens!F2326-Sens!F2330-Sens!F2332</f>
        <v>-26.667488946109</v>
      </c>
      <c r="G2333" s="6" t="n">
        <f aca="false">Sens!G2326-Sens!G2330-Sens!G2332</f>
        <v>-18.5656852720666</v>
      </c>
      <c r="H2333" s="6" t="n">
        <f aca="false">Sens!H2326-Sens!H2330-Sens!H2332</f>
        <v>5.18480365022268</v>
      </c>
      <c r="I2333" s="6" t="n">
        <f aca="false">Sens!I2326-Sens!I2330-Sens!I2332</f>
        <v>66.9718148680187</v>
      </c>
      <c r="J2333" s="6" t="n">
        <f aca="false">Sens!J2326-Sens!J2330-Sens!J2332</f>
        <v>137.951902126457</v>
      </c>
      <c r="K2333" s="6" t="n">
        <f aca="false">Sens!K2326-Sens!K2330-Sens!K2332</f>
        <v>167.363368314553</v>
      </c>
      <c r="L2333" s="11" t="s">
        <v>964</v>
      </c>
    </row>
    <row r="2334" customFormat="false" ht="15" hidden="false" customHeight="false" outlineLevel="0" collapsed="false">
      <c r="A2334" s="1" t="s">
        <v>965</v>
      </c>
      <c r="B2334" s="0" t="s">
        <v>75</v>
      </c>
      <c r="F2334" s="8" t="n">
        <f aca="false">dps_27</f>
        <v>3.85</v>
      </c>
      <c r="G2334" s="8" t="n">
        <f aca="false">Sens!F2334*(1+dps_g)</f>
        <v>4.158</v>
      </c>
      <c r="H2334" s="8" t="n">
        <f aca="false">Sens!G2334*(1+dps_g)</f>
        <v>4.49064</v>
      </c>
      <c r="I2334" s="8" t="n">
        <f aca="false">Sens!H2334*(1+dps_g)</f>
        <v>4.8498912</v>
      </c>
      <c r="J2334" s="8" t="n">
        <f aca="false">Sens!I2334*(1+dps_g)</f>
        <v>5.237882496</v>
      </c>
      <c r="K2334" s="8" t="n">
        <f aca="false">Sens!J2334*(1+dps_g)</f>
        <v>5.65691309568</v>
      </c>
    </row>
    <row r="2335" customFormat="false" ht="17.15" hidden="false" customHeight="false" outlineLevel="0" collapsed="false">
      <c r="A2335" s="1" t="s">
        <v>966</v>
      </c>
      <c r="B2335" s="0" t="s">
        <v>98</v>
      </c>
      <c r="E2335" s="6" t="n">
        <f aca="false">Q!M41</f>
        <v>26.445</v>
      </c>
      <c r="F2335" s="6" t="n">
        <f aca="false">Sens!F2334*Sens!E2344</f>
        <v>28.59395</v>
      </c>
      <c r="G2335" s="6" t="n">
        <f aca="false">Sens!G2334*Sens!F2344</f>
        <v>31.068576</v>
      </c>
      <c r="H2335" s="6" t="n">
        <f aca="false">Sens!H2334*Sens!G2344</f>
        <v>33.75614088</v>
      </c>
      <c r="I2335" s="6" t="n">
        <f aca="false">Sens!I2334*Sens!H2344</f>
        <v>36.6748772544</v>
      </c>
      <c r="J2335" s="6" t="n">
        <f aca="false">Sens!J2334*Sens!I2344</f>
        <v>39.6772662830715</v>
      </c>
      <c r="K2335" s="6" t="n">
        <f aca="false">Sens!K2334*Sens!J2344</f>
        <v>42.9387028110222</v>
      </c>
      <c r="L2335" s="1" t="s">
        <v>967</v>
      </c>
    </row>
    <row r="2336" customFormat="false" ht="15" hidden="false" customHeight="false" outlineLevel="0" collapsed="false">
      <c r="A2336" s="1" t="s">
        <v>968</v>
      </c>
      <c r="B2336" s="0" t="s">
        <v>98</v>
      </c>
      <c r="E2336" s="6" t="n">
        <f aca="false">Sens!E2333-Sens!E2335</f>
        <v>37.441</v>
      </c>
      <c r="F2336" s="6" t="n">
        <f aca="false">Sens!F2333-Sens!F2335</f>
        <v>-55.261438946109</v>
      </c>
      <c r="G2336" s="6" t="n">
        <f aca="false">Sens!G2333-Sens!G2335</f>
        <v>-49.6342612720666</v>
      </c>
      <c r="H2336" s="6" t="n">
        <f aca="false">Sens!H2333-Sens!H2335</f>
        <v>-28.5713372297773</v>
      </c>
      <c r="I2336" s="6" t="n">
        <f aca="false">Sens!I2333-Sens!I2335</f>
        <v>30.2969376136187</v>
      </c>
      <c r="J2336" s="6" t="n">
        <f aca="false">Sens!J2333-Sens!J2335</f>
        <v>98.2746358433858</v>
      </c>
      <c r="K2336" s="6" t="n">
        <f aca="false">Sens!K2333-Sens!K2335</f>
        <v>124.424665503531</v>
      </c>
    </row>
    <row r="2337" customFormat="false" ht="15" hidden="false" customHeight="false" outlineLevel="0" collapsed="false">
      <c r="A2337" s="1" t="s">
        <v>969</v>
      </c>
      <c r="B2337" s="0" t="s">
        <v>98</v>
      </c>
      <c r="F2337" s="6" t="n">
        <f aca="false">debt_mat_27</f>
        <v>9.25</v>
      </c>
      <c r="G2337" s="6" t="n">
        <f aca="false">debt_mat_28</f>
        <v>0</v>
      </c>
      <c r="H2337" s="6" t="n">
        <f aca="false">debt_mat_29</f>
        <v>2.001</v>
      </c>
      <c r="I2337" s="6" t="n">
        <f aca="false">debt_mat_30</f>
        <v>0</v>
      </c>
      <c r="J2337" s="6" t="n">
        <f aca="false">debt_mat_31</f>
        <v>0.5</v>
      </c>
      <c r="K2337" s="6" t="n">
        <f aca="false">debt_mat_32</f>
        <v>0</v>
      </c>
    </row>
    <row r="2338" customFormat="false" ht="15" hidden="false" customHeight="false" outlineLevel="0" collapsed="false">
      <c r="A2338" s="1" t="s">
        <v>970</v>
      </c>
      <c r="B2338" s="0" t="s">
        <v>98</v>
      </c>
      <c r="E2338" s="6" t="n">
        <f aca="false">Q!M40</f>
        <v>22.271</v>
      </c>
      <c r="F2338" s="6" t="n">
        <f aca="false">MAX(0,MIN(bb_target,Sens!E2340+Sens!F2336-Sens!F2337-min_cash))</f>
        <v>0</v>
      </c>
      <c r="G2338" s="6" t="n">
        <f aca="false">MAX(0,MIN(bb_target,Sens!F2340+Sens!G2336-Sens!G2337-min_cash))</f>
        <v>0</v>
      </c>
      <c r="H2338" s="6" t="n">
        <f aca="false">MAX(0,MIN(bb_target,Sens!G2340+Sens!H2336-Sens!H2337-min_cash))</f>
        <v>0</v>
      </c>
      <c r="I2338" s="6" t="n">
        <f aca="false">MAX(0,MIN(bb_target,Sens!H2340+Sens!I2336-Sens!I2337-min_cash))</f>
        <v>22.271</v>
      </c>
      <c r="J2338" s="6" t="n">
        <f aca="false">MAX(0,MIN(bb_target,Sens!I2340+Sens!J2336-Sens!J2337-min_cash))</f>
        <v>22.271</v>
      </c>
      <c r="K2338" s="6" t="n">
        <f aca="false">MAX(0,MIN(bb_target,Sens!J2340+Sens!K2336-Sens!K2337-min_cash))</f>
        <v>22.271</v>
      </c>
    </row>
    <row r="2339" customFormat="false" ht="15" hidden="false" customHeight="false" outlineLevel="0" collapsed="false">
      <c r="A2339" s="1" t="s">
        <v>971</v>
      </c>
      <c r="B2339" s="0" t="s">
        <v>98</v>
      </c>
      <c r="F2339" s="6" t="n">
        <f aca="false">MAX(0,min_cash-(Sens!E2340+Sens!F2336-Sens!F2337-Sens!F2338))</f>
        <v>37.668438946109</v>
      </c>
      <c r="G2339" s="6" t="n">
        <f aca="false">MAX(0,min_cash-(Sens!F2340+Sens!G2336-Sens!G2337-Sens!G2338))</f>
        <v>49.6342612720666</v>
      </c>
      <c r="H2339" s="6" t="n">
        <f aca="false">MAX(0,min_cash-(Sens!G2340+Sens!H2336-Sens!H2337-Sens!H2338))</f>
        <v>30.5723372297773</v>
      </c>
      <c r="I2339" s="6" t="n">
        <f aca="false">MAX(0,min_cash-(Sens!H2340+Sens!I2336-Sens!I2337-Sens!I2338))</f>
        <v>0</v>
      </c>
      <c r="J2339" s="6" t="n">
        <f aca="false">MAX(0,min_cash-(Sens!I2340+Sens!J2336-Sens!J2337-Sens!J2338))</f>
        <v>0</v>
      </c>
      <c r="K2339" s="6" t="n">
        <f aca="false">MAX(0,min_cash-(Sens!J2340+Sens!K2336-Sens!K2337-Sens!K2338))</f>
        <v>0</v>
      </c>
    </row>
    <row r="2340" customFormat="false" ht="15" hidden="false" customHeight="false" outlineLevel="0" collapsed="false">
      <c r="A2340" s="1" t="s">
        <v>972</v>
      </c>
      <c r="B2340" s="0" t="s">
        <v>98</v>
      </c>
      <c r="E2340" s="6" t="n">
        <f aca="false">cash_open</f>
        <v>76.843</v>
      </c>
      <c r="F2340" s="6" t="n">
        <f aca="false">Sens!E2340+Sens!F2336-Sens!F2337-Sens!F2338+Sens!F2339</f>
        <v>50</v>
      </c>
      <c r="G2340" s="6" t="n">
        <f aca="false">Sens!F2340+Sens!G2336-Sens!G2337-Sens!G2338+Sens!G2339</f>
        <v>50</v>
      </c>
      <c r="H2340" s="6" t="n">
        <f aca="false">Sens!G2340+Sens!H2336-Sens!H2337-Sens!H2338+Sens!H2339</f>
        <v>50</v>
      </c>
      <c r="I2340" s="6" t="n">
        <f aca="false">Sens!H2340+Sens!I2336-Sens!I2337-Sens!I2338+Sens!I2339</f>
        <v>58.0259376136187</v>
      </c>
      <c r="J2340" s="6" t="n">
        <f aca="false">Sens!I2340+Sens!J2336-Sens!J2337-Sens!J2338+Sens!J2339</f>
        <v>133.529573457004</v>
      </c>
      <c r="K2340" s="6" t="n">
        <f aca="false">Sens!J2340+Sens!K2336-Sens!K2337-Sens!K2338+Sens!K2339</f>
        <v>235.683238960536</v>
      </c>
    </row>
    <row r="2341" customFormat="false" ht="15" hidden="false" customHeight="false" outlineLevel="0" collapsed="false">
      <c r="A2341" s="1" t="s">
        <v>973</v>
      </c>
      <c r="B2341" s="0" t="s">
        <v>98</v>
      </c>
      <c r="E2341" s="6" t="n">
        <f aca="false">debt_face</f>
        <v>46.136</v>
      </c>
      <c r="F2341" s="6" t="n">
        <f aca="false">Sens!E2341-Sens!F2337+Sens!F2339</f>
        <v>74.554438946109</v>
      </c>
      <c r="G2341" s="6" t="n">
        <f aca="false">Sens!F2341-Sens!G2337+Sens!G2339</f>
        <v>124.188700218176</v>
      </c>
      <c r="H2341" s="6" t="n">
        <f aca="false">Sens!G2341-Sens!H2337+Sens!H2339</f>
        <v>152.760037447953</v>
      </c>
      <c r="I2341" s="6" t="n">
        <f aca="false">Sens!H2341-Sens!I2337+Sens!I2339</f>
        <v>152.760037447953</v>
      </c>
      <c r="J2341" s="6" t="n">
        <f aca="false">Sens!I2341-Sens!J2337+Sens!J2339</f>
        <v>152.260037447953</v>
      </c>
      <c r="K2341" s="6" t="n">
        <f aca="false">Sens!J2341-Sens!K2337+Sens!K2339</f>
        <v>152.260037447953</v>
      </c>
    </row>
    <row r="2342" customFormat="false" ht="15" hidden="false" customHeight="false" outlineLevel="0" collapsed="false">
      <c r="A2342" s="1" t="s">
        <v>974</v>
      </c>
      <c r="B2342" s="0" t="s">
        <v>98</v>
      </c>
      <c r="E2342" s="6" t="n">
        <f aca="false">Sens!E2340-Sens!E2341</f>
        <v>30.707</v>
      </c>
      <c r="F2342" s="6" t="n">
        <f aca="false">Sens!F2340-Sens!F2341</f>
        <v>-24.554438946109</v>
      </c>
      <c r="G2342" s="6" t="n">
        <f aca="false">Sens!G2340-Sens!G2341</f>
        <v>-74.1887002181756</v>
      </c>
      <c r="H2342" s="6" t="n">
        <f aca="false">Sens!H2340-Sens!H2341</f>
        <v>-102.760037447953</v>
      </c>
      <c r="I2342" s="6" t="n">
        <f aca="false">Sens!I2340-Sens!I2341</f>
        <v>-94.7340998343342</v>
      </c>
      <c r="J2342" s="6" t="n">
        <f aca="false">Sens!J2340-Sens!J2341</f>
        <v>-18.7304639909485</v>
      </c>
      <c r="K2342" s="6" t="n">
        <f aca="false">Sens!K2340-Sens!K2341</f>
        <v>83.4232015125826</v>
      </c>
    </row>
    <row r="2343" customFormat="false" ht="15" hidden="false" customHeight="false" outlineLevel="0" collapsed="false">
      <c r="A2343" s="1" t="s">
        <v>975</v>
      </c>
      <c r="B2343" s="0" t="s">
        <v>75</v>
      </c>
      <c r="F2343" s="29" t="n">
        <f aca="false">px*(1+bb_g)^(Sens!F2205-base_fy-mid_yr)</f>
        <v>553.494156066711</v>
      </c>
      <c r="G2343" s="29" t="n">
        <f aca="false">px*(1+bb_g)^(Sens!G2205-base_fy-mid_yr)</f>
        <v>597.773688552047</v>
      </c>
      <c r="H2343" s="29" t="n">
        <f aca="false">px*(1+bb_g)^(Sens!H2205-base_fy-mid_yr)</f>
        <v>645.595583636211</v>
      </c>
      <c r="I2343" s="29" t="n">
        <f aca="false">px*(1+bb_g)^(Sens!I2205-base_fy-mid_yr)</f>
        <v>697.243230327108</v>
      </c>
      <c r="J2343" s="29" t="n">
        <f aca="false">px*(1+bb_g)^(Sens!J2205-base_fy-mid_yr)</f>
        <v>753.022688753277</v>
      </c>
      <c r="K2343" s="29" t="n">
        <f aca="false">px*(1+bb_g)^(Sens!K2205-base_fy-mid_yr)</f>
        <v>813.264503853539</v>
      </c>
    </row>
    <row r="2344" customFormat="false" ht="15" hidden="false" customHeight="false" outlineLevel="0" collapsed="false">
      <c r="A2344" s="1" t="s">
        <v>976</v>
      </c>
      <c r="B2344" s="1" t="s">
        <v>81</v>
      </c>
      <c r="E2344" s="14" t="n">
        <f aca="false">sh_out26</f>
        <v>7.427</v>
      </c>
      <c r="F2344" s="14" t="n">
        <f aca="false">Sens!E2344+sh_iss-Sens!F2338/Sens!F2343</f>
        <v>7.472</v>
      </c>
      <c r="G2344" s="14" t="n">
        <f aca="false">Sens!F2344+sh_iss-Sens!G2338/Sens!G2343</f>
        <v>7.517</v>
      </c>
      <c r="H2344" s="14" t="n">
        <f aca="false">Sens!G2344+sh_iss-Sens!H2338/Sens!H2343</f>
        <v>7.562</v>
      </c>
      <c r="I2344" s="14" t="n">
        <f aca="false">Sens!H2344+sh_iss-Sens!I2338/Sens!I2343</f>
        <v>7.57505849231472</v>
      </c>
      <c r="J2344" s="14" t="n">
        <f aca="false">Sens!I2344+sh_iss-Sens!J2338/Sens!J2343</f>
        <v>7.59048302223576</v>
      </c>
      <c r="K2344" s="14" t="n">
        <f aca="false">Sens!J2344+sh_iss-Sens!K2338/Sens!K2343</f>
        <v>7.60809832771821</v>
      </c>
    </row>
    <row r="2345" customFormat="false" ht="15" hidden="false" customHeight="false" outlineLevel="0" collapsed="false">
      <c r="A2345" s="1" t="s">
        <v>977</v>
      </c>
      <c r="B2345" s="1" t="s">
        <v>81</v>
      </c>
      <c r="E2345" s="14" t="n">
        <f aca="false">sh_dil26</f>
        <v>7.453</v>
      </c>
      <c r="F2345" s="14" t="n">
        <f aca="false">(Sens!E2344+Sens!F2344)/2+dil_gap</f>
        <v>7.4735</v>
      </c>
      <c r="G2345" s="14" t="n">
        <f aca="false">(Sens!F2344+Sens!G2344)/2+dil_gap</f>
        <v>7.5185</v>
      </c>
      <c r="H2345" s="14" t="n">
        <f aca="false">(Sens!G2344+Sens!H2344)/2+dil_gap</f>
        <v>7.5635</v>
      </c>
      <c r="I2345" s="14" t="n">
        <f aca="false">(Sens!H2344+Sens!I2344)/2+dil_gap</f>
        <v>7.59252924615736</v>
      </c>
      <c r="J2345" s="14" t="n">
        <f aca="false">(Sens!I2344+Sens!J2344)/2+dil_gap</f>
        <v>7.60677075727524</v>
      </c>
      <c r="K2345" s="14" t="n">
        <f aca="false">(Sens!J2344+Sens!K2344)/2+dil_gap</f>
        <v>7.62329067497699</v>
      </c>
    </row>
    <row r="2346" customFormat="false" ht="17.15" hidden="false" customHeight="false" outlineLevel="0" collapsed="false">
      <c r="A2346" s="1" t="s">
        <v>978</v>
      </c>
      <c r="B2346" s="0" t="s">
        <v>98</v>
      </c>
      <c r="C2346" s="6" t="n">
        <f aca="false">SUM(Sens!F2336:J2336)</f>
        <v>-4.89546399094843</v>
      </c>
    </row>
    <row r="2347" customFormat="false" ht="15" hidden="false" customHeight="false" outlineLevel="0" collapsed="false">
      <c r="A2347" s="23" t="s">
        <v>945</v>
      </c>
      <c r="B2347" s="30" t="s">
        <v>98</v>
      </c>
      <c r="C2347" s="24" t="n">
        <f aca="false">Sens!$C$2346-(Sens!F2336+Sens!G2336+Sens!H2336+Sens!I2336+Sens!J2336)</f>
        <v>0</v>
      </c>
      <c r="D2347" s="30"/>
      <c r="E2347" s="30"/>
      <c r="F2347" s="30"/>
      <c r="G2347" s="30"/>
      <c r="H2347" s="30"/>
      <c r="I2347" s="30"/>
      <c r="J2347" s="30"/>
      <c r="K2347" s="30"/>
    </row>
    <row r="2348" customFormat="false" ht="17.15" hidden="false" customHeight="false" outlineLevel="0" collapsed="false">
      <c r="A2348" s="1" t="s">
        <v>939</v>
      </c>
      <c r="B2348" s="1" t="s">
        <v>979</v>
      </c>
      <c r="C2348" s="32" t="str">
        <f aca="false">IF(SUM(Sens!F2339:J2339)&gt;0.05,"需要舉債 "&amp;TEXT(SUM(Sens!F2339:J2339),"0.0")&amp;" 十億美元","不需舉債")&amp;"；"&amp;IF(SUM(Sens!F2338:J2338)&lt;COUNT(Sens!F2338:J2338)*bb_target-0.05,"回購較每年 "&amp;TEXT(bb_target,"0.0")&amp;" 的目標少 "&amp;TEXT(COUNT(Sens!F2338:J2338)*bb_target-SUM(Sens!F2338:J2338),"0.0")&amp;" 十億美元（"&amp;TEXT(COUNTIF(Sens!F2338:J2338,"&lt;"&amp;(bb_target-0.05)),"0")&amp;" 年減少）","回購不減")</f>
        <v>需要舉債 117.9 十億美元；回購較每年 22.3 的目標少 66.8 十億美元（3 年減少）</v>
      </c>
    </row>
    <row r="2349" customFormat="false" ht="17.15" hidden="false" customHeight="false" outlineLevel="0" collapsed="false">
      <c r="A2349" s="3" t="s">
        <v>1321</v>
      </c>
    </row>
    <row r="2350" customFormat="false" ht="15" hidden="false" customHeight="false" outlineLevel="0" collapsed="false">
      <c r="A2350" s="4" t="s">
        <v>43</v>
      </c>
      <c r="B2350" s="4" t="s">
        <v>65</v>
      </c>
      <c r="C2350" s="20" t="s">
        <v>799</v>
      </c>
      <c r="D2350" s="20" t="s">
        <v>800</v>
      </c>
      <c r="E2350" s="20" t="s">
        <v>801</v>
      </c>
      <c r="F2350" s="20" t="s">
        <v>802</v>
      </c>
      <c r="G2350" s="20" t="s">
        <v>803</v>
      </c>
      <c r="H2350" s="20" t="s">
        <v>804</v>
      </c>
      <c r="I2350" s="20" t="s">
        <v>805</v>
      </c>
      <c r="J2350" s="20" t="s">
        <v>806</v>
      </c>
      <c r="K2350" s="20" t="s">
        <v>807</v>
      </c>
      <c r="L2350" s="4" t="s">
        <v>47</v>
      </c>
    </row>
    <row r="2351" customFormat="false" ht="15" hidden="false" customHeight="false" outlineLevel="0" collapsed="false">
      <c r="A2351" s="1" t="s">
        <v>1057</v>
      </c>
      <c r="B2351" s="1" t="s">
        <v>235</v>
      </c>
      <c r="F2351" s="36" t="n">
        <f aca="false">Sens!F2205-base_fy-mid_yr</f>
        <v>0.5</v>
      </c>
      <c r="G2351" s="36" t="n">
        <f aca="false">Sens!G2205-base_fy-mid_yr</f>
        <v>1.5</v>
      </c>
      <c r="H2351" s="36" t="n">
        <f aca="false">Sens!H2205-base_fy-mid_yr</f>
        <v>2.5</v>
      </c>
      <c r="I2351" s="36" t="n">
        <f aca="false">Sens!I2205-base_fy-mid_yr</f>
        <v>3.5</v>
      </c>
      <c r="J2351" s="36" t="n">
        <f aca="false">Sens!J2205-base_fy-mid_yr</f>
        <v>4.5</v>
      </c>
      <c r="K2351" s="36" t="n">
        <f aca="false">Sens!K2205-base_fy-mid_yr</f>
        <v>5.5</v>
      </c>
    </row>
    <row r="2352" customFormat="false" ht="15" hidden="false" customHeight="false" outlineLevel="0" collapsed="false">
      <c r="A2352" s="1" t="s">
        <v>1058</v>
      </c>
      <c r="B2352" s="0" t="s">
        <v>185</v>
      </c>
      <c r="F2352" s="14" t="n">
        <f aca="false">1/(1+wacc)^Sens!F2351</f>
        <v>0.952193373608246</v>
      </c>
      <c r="G2352" s="14" t="n">
        <f aca="false">1/(1+wacc)^Sens!G2351</f>
        <v>0.863327280626589</v>
      </c>
      <c r="H2352" s="14" t="n">
        <f aca="false">1/(1+wacc)^Sens!H2351</f>
        <v>0.782754862754115</v>
      </c>
      <c r="I2352" s="14" t="n">
        <f aca="false">1/(1+wacc)^Sens!I2351</f>
        <v>0.709702089711011</v>
      </c>
      <c r="J2352" s="14" t="n">
        <f aca="false">1/(1+wacc)^Sens!J2351</f>
        <v>0.643467169744551</v>
      </c>
      <c r="K2352" s="14" t="n">
        <f aca="false">1/(1+wacc)^Sens!K2351</f>
        <v>0.583413807767797</v>
      </c>
    </row>
    <row r="2353" customFormat="false" ht="17.15" hidden="false" customHeight="false" outlineLevel="0" collapsed="false">
      <c r="A2353" s="1" t="s">
        <v>1059</v>
      </c>
      <c r="B2353" s="0" t="s">
        <v>98</v>
      </c>
      <c r="F2353" s="6" t="n">
        <f aca="false">Sens!F2326-Sens!F2324-Sens!F2330+Sens!F2309*(1-tax_f)</f>
        <v>-23.9534174300088</v>
      </c>
      <c r="G2353" s="6" t="n">
        <f aca="false">Sens!G2326-Sens!G2324-Sens!G2330+Sens!G2309*(1-tax_f)</f>
        <v>2.41062554627455</v>
      </c>
      <c r="H2353" s="6" t="n">
        <f aca="false">Sens!H2326-Sens!H2324-Sens!H2330+Sens!H2309*(1-tax_f)</f>
        <v>45.6290130298116</v>
      </c>
      <c r="I2353" s="6" t="n">
        <f aca="false">Sens!I2326-Sens!I2324-Sens!I2330+Sens!I2309*(1-tax_f)</f>
        <v>125.007622425676</v>
      </c>
      <c r="J2353" s="6" t="n">
        <f aca="false">Sens!J2326-Sens!J2324-Sens!J2330+Sens!J2309*(1-tax_f)</f>
        <v>208.165256779707</v>
      </c>
      <c r="K2353" s="6" t="n">
        <f aca="false">Sens!K2326-Sens!K2324-Sens!K2330+Sens!K2309*(1-tax_f)</f>
        <v>244.755427985711</v>
      </c>
      <c r="L2353" s="1" t="s">
        <v>1060</v>
      </c>
    </row>
    <row r="2354" customFormat="false" ht="15" hidden="false" customHeight="false" outlineLevel="0" collapsed="false">
      <c r="A2354" s="1" t="s">
        <v>1061</v>
      </c>
      <c r="B2354" s="0" t="s">
        <v>98</v>
      </c>
      <c r="F2354" s="6" t="n">
        <f aca="false">Sens!F2353*Sens!F2352</f>
        <v>-22.8082853521267</v>
      </c>
      <c r="G2354" s="6" t="n">
        <f aca="false">Sens!G2353*Sens!G2352</f>
        <v>2.08115879747419</v>
      </c>
      <c r="H2354" s="6" t="n">
        <f aca="false">Sens!H2353*Sens!H2352</f>
        <v>35.7163318317559</v>
      </c>
      <c r="I2354" s="6" t="n">
        <f aca="false">Sens!I2353*Sens!I2352</f>
        <v>88.7181708653074</v>
      </c>
      <c r="J2354" s="6" t="n">
        <f aca="false">Sens!J2353*Sens!J2352</f>
        <v>133.947508619186</v>
      </c>
      <c r="K2354" s="6" t="n">
        <f aca="false">Sens!K2353*Sens!K2352</f>
        <v>142.793696212981</v>
      </c>
    </row>
    <row r="2355" customFormat="false" ht="17.15" hidden="false" customHeight="false" outlineLevel="0" collapsed="false">
      <c r="A2355" s="1" t="s">
        <v>1062</v>
      </c>
      <c r="B2355" s="0" t="s">
        <v>98</v>
      </c>
      <c r="C2355" s="6" t="n">
        <f aca="false">SUM(Sens!F2354:K2354)</f>
        <v>380.448580974577</v>
      </c>
    </row>
    <row r="2356" customFormat="false" ht="17.15" hidden="false" customHeight="false" outlineLevel="0" collapsed="false">
      <c r="A2356" s="1" t="s">
        <v>1063</v>
      </c>
      <c r="B2356" s="0" t="s">
        <v>98</v>
      </c>
      <c r="C2356" s="6" t="n">
        <f aca="false">Sens!K2295*(1+g_tv)*(1-tax_f)</f>
        <v>258.020347395321</v>
      </c>
    </row>
    <row r="2357" customFormat="false" ht="17.15" hidden="false" customHeight="false" outlineLevel="0" collapsed="false">
      <c r="A2357" s="1" t="s">
        <v>1064</v>
      </c>
      <c r="B2357" s="0" t="s">
        <v>98</v>
      </c>
      <c r="C2357" s="6" t="n">
        <f aca="false">Sens!$C$2356*(1-g_tv/(wacc+ronic_prem))</f>
        <v>182.820910560923</v>
      </c>
    </row>
    <row r="2358" customFormat="false" ht="17.15" hidden="false" customHeight="false" outlineLevel="0" collapsed="false">
      <c r="A2358" s="1" t="s">
        <v>1065</v>
      </c>
      <c r="B2358" s="0" t="s">
        <v>98</v>
      </c>
      <c r="C2358" s="6" t="n">
        <f aca="false">Sens!$C$2357/(wacc-g_tv)</f>
        <v>2506.64789447995</v>
      </c>
    </row>
    <row r="2359" customFormat="false" ht="15" hidden="false" customHeight="false" outlineLevel="0" collapsed="false">
      <c r="A2359" s="1" t="s">
        <v>1066</v>
      </c>
      <c r="B2359" s="0" t="s">
        <v>98</v>
      </c>
      <c r="C2359" s="6" t="n">
        <f aca="false">Sens!$C$2358/(1+wacc)^(Sens!K2351+mid_yr)</f>
        <v>1392.49996127197</v>
      </c>
    </row>
    <row r="2360" customFormat="false" ht="17.15" hidden="false" customHeight="false" outlineLevel="0" collapsed="false">
      <c r="A2360" s="0" t="s">
        <v>986</v>
      </c>
      <c r="B2360" s="0" t="s">
        <v>98</v>
      </c>
      <c r="C2360" s="6" t="n">
        <f aca="false">Sens!$C$2355+Sens!$C$2359</f>
        <v>1772.94854224655</v>
      </c>
    </row>
    <row r="2361" customFormat="false" ht="15" hidden="false" customHeight="false" outlineLevel="0" collapsed="false">
      <c r="A2361" s="1" t="s">
        <v>987</v>
      </c>
      <c r="B2361" s="0" t="s">
        <v>129</v>
      </c>
      <c r="C2361" s="7" t="n">
        <f aca="false">Sens!$C$2359/Sens!$C$2360</f>
        <v>0.785414764213911</v>
      </c>
    </row>
    <row r="2362" customFormat="false" ht="17.15" hidden="false" customHeight="false" outlineLevel="0" collapsed="false">
      <c r="A2362" s="1" t="s">
        <v>1067</v>
      </c>
      <c r="B2362" s="0" t="s">
        <v>98</v>
      </c>
      <c r="C2362" s="6" t="n">
        <f aca="false">Sens!$C$2360+Sens!E2342-Sens!E2331+oai_v</f>
        <v>1907.46154224655</v>
      </c>
    </row>
    <row r="2363" customFormat="false" ht="17.15" hidden="false" customHeight="false" outlineLevel="0" collapsed="false">
      <c r="A2363" s="0" t="s">
        <v>994</v>
      </c>
      <c r="B2363" s="0" t="s">
        <v>75</v>
      </c>
      <c r="C2363" s="5" t="n">
        <f aca="false">Sens!$C$2362/sh_dil26</f>
        <v>255.932046457339</v>
      </c>
    </row>
    <row r="2364" customFormat="false" ht="15" hidden="false" customHeight="false" outlineLevel="0" collapsed="false">
      <c r="A2364" s="1" t="s">
        <v>1068</v>
      </c>
      <c r="B2364" s="0" t="s">
        <v>75</v>
      </c>
      <c r="C2364" s="8" t="n">
        <f aca="false">dps_27+Sens!G2334*roll_div_q/q_per_yr</f>
        <v>4.8895</v>
      </c>
    </row>
    <row r="2365" customFormat="false" ht="17.15" hidden="false" customHeight="false" outlineLevel="0" collapsed="false">
      <c r="A2365" s="0" t="s">
        <v>1069</v>
      </c>
      <c r="B2365" s="0" t="s">
        <v>75</v>
      </c>
      <c r="C2365" s="5" t="n">
        <f aca="false">Sens!$C$2363*(1+wacc)^t_roll-Sens!$C$2364</f>
        <v>286.548866750626</v>
      </c>
    </row>
    <row r="2366" customFormat="false" ht="17.15" hidden="false" customHeight="false" outlineLevel="0" collapsed="false">
      <c r="A2366" s="1" t="s">
        <v>1070</v>
      </c>
      <c r="B2366" s="0" t="s">
        <v>129</v>
      </c>
      <c r="F2366" s="7" t="n">
        <f aca="false">Sens!F2321/(Sens!F2266-Sens!F2222)</f>
        <v>0.0601257437584986</v>
      </c>
      <c r="G2366" s="7" t="n">
        <f aca="false">Sens!G2321/(Sens!G2266-Sens!G2222)</f>
        <v>0.0593384850005896</v>
      </c>
      <c r="H2366" s="7" t="n">
        <f aca="false">Sens!H2321/(Sens!H2266-Sens!H2222)</f>
        <v>0.0593822090734172</v>
      </c>
      <c r="I2366" s="7" t="n">
        <f aca="false">Sens!I2321/(Sens!I2266-Sens!I2222)</f>
        <v>0.0601899850699919</v>
      </c>
      <c r="J2366" s="7" t="n">
        <f aca="false">Sens!J2321/(Sens!J2266-Sens!J2222)</f>
        <v>0.0616194686535238</v>
      </c>
      <c r="K2366" s="7" t="n">
        <f aca="false">Sens!K2321/(Sens!K2266-Sens!K2222)</f>
        <v>0.0634928642679492</v>
      </c>
    </row>
    <row r="2367" customFormat="false" ht="17.15" hidden="false" customHeight="false" outlineLevel="0" collapsed="false">
      <c r="A2367" s="0" t="s">
        <v>1071</v>
      </c>
      <c r="B2367" s="0" t="s">
        <v>98</v>
      </c>
      <c r="F2367" s="6" t="n">
        <f aca="false">Sens!F2251*(al_m365+Sens!F2366+sbc_r)</f>
        <v>81.8821683333124</v>
      </c>
      <c r="G2367" s="6" t="n">
        <f aca="false">Sens!G2251*(al_m365+Sens!G2366+sbc_r)</f>
        <v>92.3463150141624</v>
      </c>
      <c r="H2367" s="6" t="n">
        <f aca="false">Sens!H2251*(al_m365+Sens!H2366+sbc_r)</f>
        <v>102.966061550763</v>
      </c>
      <c r="I2367" s="6" t="n">
        <f aca="false">Sens!I2251*(al_m365+Sens!I2366+sbc_r)</f>
        <v>113.065372213196</v>
      </c>
      <c r="J2367" s="6" t="n">
        <f aca="false">Sens!J2251*(al_m365+Sens!J2366+sbc_r)</f>
        <v>122.453069210209</v>
      </c>
      <c r="K2367" s="6" t="n">
        <f aca="false">Sens!K2251*(al_m365+Sens!K2366+sbc_r)</f>
        <v>131.433765842201</v>
      </c>
      <c r="L2367" s="11" t="s">
        <v>1072</v>
      </c>
    </row>
    <row r="2368" customFormat="false" ht="17.15" hidden="false" customHeight="false" outlineLevel="0" collapsed="false">
      <c r="A2368" s="0" t="s">
        <v>1073</v>
      </c>
      <c r="B2368" s="0" t="s">
        <v>98</v>
      </c>
      <c r="F2368" s="6" t="n">
        <f aca="false">Sens!F2252*(al_lic+Sens!F2366+sbc_r)</f>
        <v>33.1139161758524</v>
      </c>
      <c r="G2368" s="6" t="n">
        <f aca="false">Sens!G2252*(al_lic+Sens!G2366+sbc_r)</f>
        <v>34.4840390078308</v>
      </c>
      <c r="H2368" s="6" t="n">
        <f aca="false">Sens!H2252*(al_lic+Sens!H2366+sbc_r)</f>
        <v>35.7534569280583</v>
      </c>
      <c r="I2368" s="6" t="n">
        <f aca="false">Sens!I2252*(al_lic+Sens!I2366+sbc_r)</f>
        <v>36.9031392251661</v>
      </c>
      <c r="J2368" s="6" t="n">
        <f aca="false">Sens!J2252*(al_lic+Sens!J2366+sbc_r)</f>
        <v>37.9111774846913</v>
      </c>
      <c r="K2368" s="6" t="n">
        <f aca="false">Sens!K2252*(al_lic+Sens!K2366+sbc_r)</f>
        <v>38.7547283735851</v>
      </c>
    </row>
    <row r="2369" customFormat="false" ht="17.15" hidden="false" customHeight="false" outlineLevel="0" collapsed="false">
      <c r="A2369" s="0" t="s">
        <v>1074</v>
      </c>
      <c r="B2369" s="0" t="s">
        <v>98</v>
      </c>
      <c r="F2369" s="6" t="n">
        <f aca="false">Sens!F2254*(al_ind+Sens!F2366+sbc_r)</f>
        <v>8.88718131312939</v>
      </c>
      <c r="G2369" s="6" t="n">
        <f aca="false">Sens!G2254*(al_ind+Sens!G2366+sbc_r)</f>
        <v>9.6955505383508</v>
      </c>
      <c r="H2369" s="6" t="n">
        <f aca="false">Sens!H2254*(al_ind+Sens!H2366+sbc_r)</f>
        <v>10.5435503812507</v>
      </c>
      <c r="I2369" s="6" t="n">
        <f aca="false">Sens!I2254*(al_ind+Sens!I2366+sbc_r)</f>
        <v>11.4267195090924</v>
      </c>
      <c r="J2369" s="6" t="n">
        <f aca="false">Sens!J2254*(al_ind+Sens!J2366+sbc_r)</f>
        <v>12.3368460937642</v>
      </c>
      <c r="K2369" s="6" t="n">
        <f aca="false">Sens!K2254*(al_ind+Sens!K2366+sbc_r)</f>
        <v>13.2624039958933</v>
      </c>
    </row>
    <row r="2370" customFormat="false" ht="17.15" hidden="false" customHeight="false" outlineLevel="0" collapsed="false">
      <c r="A2370" s="0" t="s">
        <v>1075</v>
      </c>
      <c r="B2370" s="0" t="s">
        <v>98</v>
      </c>
      <c r="F2370" s="6" t="n">
        <f aca="false">Sens!F2256*(al_fro+Sens!F2366+sbc_r)</f>
        <v>3.49802576597217</v>
      </c>
      <c r="G2370" s="6" t="n">
        <f aca="false">Sens!G2256*(al_fro+Sens!G2366+sbc_r)</f>
        <v>3.72251818955418</v>
      </c>
      <c r="H2370" s="6" t="n">
        <f aca="false">Sens!H2256*(al_fro+Sens!H2366+sbc_r)</f>
        <v>3.97317066359344</v>
      </c>
      <c r="I2370" s="6" t="n">
        <f aca="false">Sens!I2256*(al_fro+Sens!I2366+sbc_r)</f>
        <v>4.25255993945567</v>
      </c>
      <c r="J2370" s="6" t="n">
        <f aca="false">Sens!J2256*(al_fro+Sens!J2366+sbc_r)</f>
        <v>4.56263978958969</v>
      </c>
      <c r="K2370" s="6" t="n">
        <f aca="false">Sens!K2256*(al_fro+Sens!K2366+sbc_r)</f>
        <v>4.90494667092121</v>
      </c>
    </row>
    <row r="2371" customFormat="false" ht="17.15" hidden="false" customHeight="false" outlineLevel="0" collapsed="false">
      <c r="A2371" s="0" t="s">
        <v>1076</v>
      </c>
      <c r="B2371" s="0" t="s">
        <v>98</v>
      </c>
      <c r="F2371" s="6" t="n">
        <f aca="false">Sens!F2259*(al_srch+Sens!F2366+sbc_r)</f>
        <v>10.9757973241721</v>
      </c>
      <c r="G2371" s="6" t="n">
        <f aca="false">Sens!G2259*(al_srch+Sens!G2366+sbc_r)</f>
        <v>12.0871257095071</v>
      </c>
      <c r="H2371" s="6" t="n">
        <f aca="false">Sens!H2259*(al_srch+Sens!H2366+sbc_r)</f>
        <v>13.2378100868324</v>
      </c>
      <c r="I2371" s="6" t="n">
        <f aca="false">Sens!I2259*(al_srch+Sens!I2366+sbc_r)</f>
        <v>14.415067672264</v>
      </c>
      <c r="J2371" s="6" t="n">
        <f aca="false">Sens!J2259*(al_srch+Sens!J2366+sbc_r)</f>
        <v>15.6005162210795</v>
      </c>
      <c r="K2371" s="6" t="n">
        <f aca="false">Sens!K2259*(al_srch+Sens!K2366+sbc_r)</f>
        <v>16.770927277193</v>
      </c>
    </row>
    <row r="2372" customFormat="false" ht="17.15" hidden="false" customHeight="false" outlineLevel="0" collapsed="false">
      <c r="A2372" s="0" t="s">
        <v>1077</v>
      </c>
      <c r="B2372" s="0" t="s">
        <v>98</v>
      </c>
      <c r="F2372" s="6" t="n">
        <f aca="false">Sens!F2228-Sens!F2229+Sens!F2309</f>
        <v>41.8829952724559</v>
      </c>
      <c r="G2372" s="6" t="n">
        <f aca="false">Sens!G2228-Sens!G2229+Sens!G2309</f>
        <v>78.016903589232</v>
      </c>
      <c r="H2372" s="6" t="n">
        <f aca="false">Sens!H2228-Sens!H2229+Sens!H2309</f>
        <v>111.947153346501</v>
      </c>
      <c r="I2372" s="6" t="n">
        <f aca="false">Sens!I2228-Sens!I2229+Sens!I2309</f>
        <v>148.889005430799</v>
      </c>
      <c r="J2372" s="6" t="n">
        <f aca="false">Sens!J2228-Sens!J2229+Sens!J2309</f>
        <v>175.210067839844</v>
      </c>
      <c r="K2372" s="6" t="n">
        <f aca="false">Sens!K2228-Sens!K2229+Sens!K2309</f>
        <v>192.422943269618</v>
      </c>
    </row>
    <row r="2373" customFormat="false" ht="17.15" hidden="false" customHeight="false" outlineLevel="0" collapsed="false">
      <c r="A2373" s="0" t="s">
        <v>1078</v>
      </c>
      <c r="B2373" s="0" t="s">
        <v>98</v>
      </c>
      <c r="F2373" s="6" t="n">
        <f aca="false">Sens!F2288+Sens!F2309+Sens!F2239+Sens!F2366*(Sens!F2258-Sens!F2222)+sbc_r*Sens!F2258</f>
        <v>235.057522470011</v>
      </c>
      <c r="G2373" s="6" t="n">
        <f aca="false">Sens!G2288+Sens!G2309+Sens!G2239+Sens!G2366*(Sens!G2258-Sens!G2222)+sbc_r*Sens!G2258</f>
        <v>296.945616900483</v>
      </c>
      <c r="H2373" s="6" t="n">
        <f aca="false">Sens!H2288+Sens!H2309+Sens!H2239+Sens!H2366*(Sens!H2258-Sens!H2222)+sbc_r*Sens!H2258</f>
        <v>356.906352705061</v>
      </c>
      <c r="I2373" s="6" t="n">
        <f aca="false">Sens!I2288+Sens!I2309+Sens!I2239+Sens!I2366*(Sens!I2258-Sens!I2222)+sbc_r*Sens!I2258</f>
        <v>419.224527021302</v>
      </c>
      <c r="J2373" s="6" t="n">
        <f aca="false">Sens!J2288+Sens!J2309+Sens!J2239+Sens!J2366*(Sens!J2258-Sens!J2222)+sbc_r*Sens!J2258</f>
        <v>468.962992805057</v>
      </c>
      <c r="K2373" s="6" t="n">
        <f aca="false">Sens!K2288+Sens!K2309+Sens!K2239+Sens!K2366*(Sens!K2258-Sens!K2222)+sbc_r*Sens!K2258</f>
        <v>507.225224868796</v>
      </c>
    </row>
    <row r="2374" customFormat="false" ht="17.15" hidden="false" customHeight="false" outlineLevel="0" collapsed="false">
      <c r="A2374" s="0" t="s">
        <v>1079</v>
      </c>
      <c r="B2374" s="0" t="s">
        <v>98</v>
      </c>
      <c r="F2374" s="6" t="n">
        <f aca="false">Sens!F2373-Sens!F2367-Sens!F2368-Sens!F2369-Sens!F2370-Sens!F2372</f>
        <v>65.7932356092883</v>
      </c>
      <c r="G2374" s="6" t="n">
        <f aca="false">Sens!G2373-Sens!G2367-Sens!G2368-Sens!G2369-Sens!G2370-Sens!G2372</f>
        <v>78.6802905613524</v>
      </c>
      <c r="H2374" s="6" t="n">
        <f aca="false">Sens!H2373-Sens!H2367-Sens!H2368-Sens!H2369-Sens!H2370-Sens!H2372</f>
        <v>91.7229598348936</v>
      </c>
      <c r="I2374" s="6" t="n">
        <f aca="false">Sens!I2373-Sens!I2367-Sens!I2368-Sens!I2369-Sens!I2370-Sens!I2372</f>
        <v>104.687730703592</v>
      </c>
      <c r="J2374" s="6" t="n">
        <f aca="false">Sens!J2373-Sens!J2367-Sens!J2368-Sens!J2369-Sens!J2370-Sens!J2372</f>
        <v>116.48919238696</v>
      </c>
      <c r="K2374" s="6" t="n">
        <f aca="false">Sens!K2373-Sens!K2367-Sens!K2368-Sens!K2369-Sens!K2370-Sens!K2372</f>
        <v>126.446436716576</v>
      </c>
    </row>
    <row r="2375" customFormat="false" ht="17.15" hidden="false" customHeight="false" outlineLevel="0" collapsed="false">
      <c r="A2375" s="0" t="s">
        <v>1080</v>
      </c>
      <c r="B2375" s="0" t="s">
        <v>98</v>
      </c>
      <c r="F2375" s="6" t="n">
        <f aca="false">Sens!F2290+Sens!F2366*Sens!F2265+sbc_r*Sens!F2265</f>
        <v>25.647298217861</v>
      </c>
      <c r="G2375" s="6" t="n">
        <f aca="false">Sens!G2290+Sens!G2366*Sens!G2265+sbc_r*Sens!G2265</f>
        <v>26.3755014625131</v>
      </c>
      <c r="H2375" s="6" t="n">
        <f aca="false">Sens!H2290+Sens!H2366*Sens!H2265+sbc_r*Sens!H2265</f>
        <v>27.3417870752284</v>
      </c>
      <c r="I2375" s="6" t="n">
        <f aca="false">Sens!I2290+Sens!I2366*Sens!I2265+sbc_r*Sens!I2265</f>
        <v>28.5188911929546</v>
      </c>
      <c r="J2375" s="6" t="n">
        <f aca="false">Sens!J2290+Sens!J2366*Sens!J2265+sbc_r*Sens!J2265</f>
        <v>29.8796180264299</v>
      </c>
      <c r="K2375" s="6" t="n">
        <f aca="false">Sens!K2290+Sens!K2366*Sens!K2265+sbc_r*Sens!K2265</f>
        <v>31.3979550212363</v>
      </c>
    </row>
    <row r="2376" customFormat="false" ht="17.15" hidden="false" customHeight="false" outlineLevel="0" collapsed="false">
      <c r="A2376" s="0" t="s">
        <v>1081</v>
      </c>
      <c r="B2376" s="0" t="s">
        <v>98</v>
      </c>
      <c r="F2376" s="6" t="n">
        <f aca="false">(Sens!F2375-Sens!F2371)*Sens!F2261/(Sens!F2261+Sens!F2263)</f>
        <v>8.04277389157213</v>
      </c>
      <c r="G2376" s="6" t="n">
        <f aca="false">(Sens!G2375-Sens!G2371)*Sens!G2261/(Sens!G2261+Sens!G2263)</f>
        <v>7.69309100896268</v>
      </c>
      <c r="H2376" s="6" t="n">
        <f aca="false">(Sens!H2375-Sens!H2371)*Sens!H2261/(Sens!H2261+Sens!H2263)</f>
        <v>7.4912281001941</v>
      </c>
      <c r="I2376" s="6" t="n">
        <f aca="false">(Sens!I2375-Sens!I2371)*Sens!I2261/(Sens!I2261+Sens!I2263)</f>
        <v>7.42336659720002</v>
      </c>
      <c r="J2376" s="6" t="n">
        <f aca="false">(Sens!J2375-Sens!J2371)*Sens!J2261/(Sens!J2261+Sens!J2263)</f>
        <v>7.48163670828062</v>
      </c>
      <c r="K2376" s="6" t="n">
        <f aca="false">(Sens!K2375-Sens!K2371)*Sens!K2261/(Sens!K2261+Sens!K2263)</f>
        <v>7.66393497256728</v>
      </c>
    </row>
    <row r="2377" customFormat="false" ht="17.15" hidden="false" customHeight="false" outlineLevel="0" collapsed="false">
      <c r="A2377" s="0" t="s">
        <v>1082</v>
      </c>
      <c r="B2377" s="0" t="s">
        <v>98</v>
      </c>
      <c r="F2377" s="6" t="n">
        <f aca="false">Sens!F2375-Sens!F2371-Sens!F2376</f>
        <v>6.62872700211674</v>
      </c>
      <c r="G2377" s="6" t="n">
        <f aca="false">Sens!G2375-Sens!G2371-Sens!G2376</f>
        <v>6.59528474404332</v>
      </c>
      <c r="H2377" s="6" t="n">
        <f aca="false">Sens!H2375-Sens!H2371-Sens!H2376</f>
        <v>6.61274888820195</v>
      </c>
      <c r="I2377" s="6" t="n">
        <f aca="false">Sens!I2375-Sens!I2371-Sens!I2376</f>
        <v>6.68045692349059</v>
      </c>
      <c r="J2377" s="6" t="n">
        <f aca="false">Sens!J2375-Sens!J2371-Sens!J2376</f>
        <v>6.7974650970698</v>
      </c>
      <c r="K2377" s="6" t="n">
        <f aca="false">Sens!K2375-Sens!K2371-Sens!K2376</f>
        <v>6.96309277147605</v>
      </c>
    </row>
    <row r="2378" customFormat="false" ht="17.15" hidden="false" customHeight="false" outlineLevel="0" collapsed="false">
      <c r="A2378" s="0" t="s">
        <v>1083</v>
      </c>
      <c r="B2378" s="0" t="s">
        <v>98</v>
      </c>
      <c r="F2378" s="6" t="n">
        <f aca="false">Sens!F2372-tax_f*(Sens!F2372-Sens!F2239)-Sens!F2236</f>
        <v>-150.721081856366</v>
      </c>
      <c r="G2378" s="6" t="n">
        <f aca="false">Sens!G2372-tax_f*(Sens!G2372-Sens!G2239)-Sens!G2236</f>
        <v>-143.685388801932</v>
      </c>
      <c r="H2378" s="6" t="n">
        <f aca="false">Sens!H2372-tax_f*(Sens!H2372-Sens!H2239)-Sens!H2236</f>
        <v>-115.411975652884</v>
      </c>
      <c r="I2378" s="6" t="n">
        <f aca="false">Sens!I2372-tax_f*(Sens!I2372-Sens!I2239)-Sens!I2236</f>
        <v>-50.7914201206809</v>
      </c>
      <c r="J2378" s="6" t="n">
        <f aca="false">Sens!J2372-tax_f*(Sens!J2372-Sens!J2239)-Sens!J2236</f>
        <v>18.2699278434669</v>
      </c>
      <c r="K2378" s="6" t="n">
        <f aca="false">Sens!K2372-tax_f*(Sens!K2372-Sens!K2239)-Sens!K2236</f>
        <v>41.6410076220198</v>
      </c>
    </row>
    <row r="2379" customFormat="false" ht="17.15" hidden="false" customHeight="false" outlineLevel="0" collapsed="false">
      <c r="A2379" s="0" t="s">
        <v>1084</v>
      </c>
      <c r="B2379" s="0" t="s">
        <v>98</v>
      </c>
      <c r="G2379" s="6" t="n">
        <f aca="false">Sens!G2378/(1+wacc)^(Sens!G2351-(Sens!F2351+mid_yr))</f>
        <v>-136.816275101524</v>
      </c>
      <c r="H2379" s="6" t="n">
        <f aca="false">Sens!H2378/(1+wacc)^(Sens!H2351-(Sens!F2351+mid_yr))</f>
        <v>-99.6383070921466</v>
      </c>
      <c r="I2379" s="6" t="n">
        <f aca="false">Sens!I2378/(1+wacc)^(Sens!I2351-(Sens!F2351+mid_yr))</f>
        <v>-39.7572310856502</v>
      </c>
      <c r="J2379" s="6" t="n">
        <f aca="false">Sens!J2378/(1+wacc)^(Sens!J2351-(Sens!F2351+mid_yr))</f>
        <v>12.9662059693778</v>
      </c>
      <c r="K2379" s="6" t="n">
        <f aca="false">Sens!K2378/(1+wacc)^(Sens!K2351-(Sens!F2351+mid_yr))</f>
        <v>26.7946213198524</v>
      </c>
      <c r="L2379" s="1" t="s">
        <v>1085</v>
      </c>
    </row>
    <row r="2380" customFormat="false" ht="17.15" hidden="false" customHeight="false" outlineLevel="0" collapsed="false">
      <c r="A2380" s="0" t="s">
        <v>1086</v>
      </c>
      <c r="B2380" s="0" t="s">
        <v>98</v>
      </c>
      <c r="C2380" s="6" t="n">
        <f aca="false">(Sens!K2372-Sens!K2239)*(1-tax_f)*(1+g_tv)*(1-g_tv/(wacc+ronic_prem))/(wacc-g_tv)/(1+wacc)^(Sens!K2351+mid_yr-(Sens!F2351+mid_yr))</f>
        <v>124.900736096026</v>
      </c>
    </row>
    <row r="2381" customFormat="false" ht="17.15" hidden="false" customHeight="false" outlineLevel="0" collapsed="false">
      <c r="A2381" s="1" t="s">
        <v>1087</v>
      </c>
      <c r="B2381" s="0" t="s">
        <v>98</v>
      </c>
      <c r="C2381" s="6" t="n">
        <f aca="false">(SUM(Sens!G2379:K2379)+Sens!$C$2380)*(1+wacc)^(t_roll-(Sens!F2351+mid_yr))</f>
        <v>-115.170940221102</v>
      </c>
      <c r="L2381" s="11" t="s">
        <v>1088</v>
      </c>
    </row>
    <row r="2382" customFormat="false" ht="17.15" hidden="false" customHeight="false" outlineLevel="0" collapsed="false">
      <c r="A2382" s="1" t="s">
        <v>1089</v>
      </c>
      <c r="B2382" s="0" t="s">
        <v>98</v>
      </c>
      <c r="C2382" s="6" t="n">
        <f aca="false">(w_ntm28*Sens!G2228+(1-w_ntm28)*Sens!H2228)*m_ai</f>
        <v>338.776008390068</v>
      </c>
    </row>
    <row r="2383" customFormat="false" ht="17.15" hidden="false" customHeight="false" outlineLevel="0" collapsed="false">
      <c r="A2383" s="1" t="s">
        <v>1090</v>
      </c>
      <c r="B2383" s="0" t="s">
        <v>98</v>
      </c>
      <c r="C2383" s="6" t="n">
        <f aca="false">(w_ntm28*Sens!G2374+(1-w_ntm28)*Sens!H2374)*m_cloud</f>
        <v>1145.63411787164</v>
      </c>
    </row>
    <row r="2384" customFormat="false" ht="17.15" hidden="false" customHeight="false" outlineLevel="0" collapsed="false">
      <c r="A2384" s="1" t="s">
        <v>1091</v>
      </c>
      <c r="B2384" s="0" t="s">
        <v>98</v>
      </c>
      <c r="C2384" s="6" t="n">
        <f aca="false">(w_ntm28*Sens!G2367+(1-w_ntm28)*Sens!H2367)*m_sw</f>
        <v>1034.41911992349</v>
      </c>
    </row>
    <row r="2385" customFormat="false" ht="17.15" hidden="false" customHeight="false" outlineLevel="0" collapsed="false">
      <c r="A2385" s="1" t="s">
        <v>1092</v>
      </c>
      <c r="B2385" s="0" t="s">
        <v>98</v>
      </c>
      <c r="C2385" s="6" t="n">
        <f aca="false">(w_ntm28*Sens!G2368+(1-w_ntm28)*Sens!H2368)*m_sw</f>
        <v>376.85980264769</v>
      </c>
    </row>
    <row r="2386" customFormat="false" ht="17.15" hidden="false" customHeight="false" outlineLevel="0" collapsed="false">
      <c r="A2386" s="1" t="s">
        <v>1093</v>
      </c>
      <c r="B2386" s="0" t="s">
        <v>98</v>
      </c>
      <c r="C2386" s="6" t="n">
        <f aca="false">(w_ntm28*Sens!G2369+(1-w_ntm28)*Sens!H2369)*m_sw</f>
        <v>107.672743073892</v>
      </c>
    </row>
    <row r="2387" customFormat="false" ht="17.15" hidden="false" customHeight="false" outlineLevel="0" collapsed="false">
      <c r="A2387" s="1" t="s">
        <v>1094</v>
      </c>
      <c r="B2387" s="0" t="s">
        <v>98</v>
      </c>
      <c r="C2387" s="6" t="n">
        <f aca="false">(w_ntm28*Sens!G2370+(1-w_ntm28)*Sens!H2370)*m_sw</f>
        <v>41.078351277091</v>
      </c>
    </row>
    <row r="2388" customFormat="false" ht="17.15" hidden="false" customHeight="false" outlineLevel="0" collapsed="false">
      <c r="A2388" s="1" t="s">
        <v>1095</v>
      </c>
      <c r="B2388" s="0" t="s">
        <v>98</v>
      </c>
      <c r="C2388" s="6" t="n">
        <f aca="false">(w_ntm28*Sens!G2371+(1-w_ntm28)*Sens!H2371)*m_ads</f>
        <v>113.502654095629</v>
      </c>
    </row>
    <row r="2389" customFormat="false" ht="17.15" hidden="false" customHeight="false" outlineLevel="0" collapsed="false">
      <c r="A2389" s="1" t="s">
        <v>1096</v>
      </c>
      <c r="B2389" s="0" t="s">
        <v>98</v>
      </c>
      <c r="C2389" s="6" t="n">
        <f aca="false">(w_ntm28*Sens!G2376+(1-w_ntm28)*Sens!H2376)*m_game</f>
        <v>96.3395082994886</v>
      </c>
    </row>
    <row r="2390" customFormat="false" ht="17.15" hidden="false" customHeight="false" outlineLevel="0" collapsed="false">
      <c r="A2390" s="1" t="s">
        <v>1097</v>
      </c>
      <c r="B2390" s="0" t="s">
        <v>98</v>
      </c>
      <c r="C2390" s="6" t="n">
        <f aca="false">(w_ntm28*Sens!G2377+(1-w_ntm28)*Sens!H2377)*m_pc</f>
        <v>95.5154670342112</v>
      </c>
    </row>
    <row r="2391" customFormat="false" ht="17.15" hidden="false" customHeight="false" outlineLevel="0" collapsed="false">
      <c r="A2391" s="1" t="s">
        <v>1098</v>
      </c>
      <c r="B2391" s="0" t="s">
        <v>98</v>
      </c>
      <c r="C2391" s="6" t="n">
        <f aca="false">Sens!$C$2381+Sens!$C$2383+Sens!$C$2384+Sens!$C$2385+Sens!$C$2386+Sens!$C$2387+Sens!$C$2388+Sens!$C$2389+Sens!$C$2390</f>
        <v>2895.85082400203</v>
      </c>
    </row>
    <row r="2392" customFormat="false" ht="17.15" hidden="false" customHeight="false" outlineLevel="0" collapsed="false">
      <c r="A2392" s="1" t="s">
        <v>1099</v>
      </c>
      <c r="B2392" s="0" t="s">
        <v>98</v>
      </c>
      <c r="C2392" s="6" t="n">
        <f aca="false">(Sens!G2353-Sens!G2378)*t_stub</f>
        <v>47.6313033080453</v>
      </c>
      <c r="L2392" s="1" t="s">
        <v>1100</v>
      </c>
    </row>
    <row r="2393" customFormat="false" ht="17.15" hidden="false" customHeight="false" outlineLevel="0" collapsed="false">
      <c r="A2393" s="1" t="s">
        <v>1014</v>
      </c>
      <c r="B2393" s="0" t="s">
        <v>98</v>
      </c>
      <c r="C2393" s="6" t="n">
        <f aca="false">Sens!F2342+oai_v-Sens!F2331+Sens!$C$2392</f>
        <v>131.007134361936</v>
      </c>
      <c r="L2393" s="1" t="s">
        <v>1101</v>
      </c>
    </row>
    <row r="2394" customFormat="false" ht="17.15" hidden="false" customHeight="false" outlineLevel="0" collapsed="false">
      <c r="A2394" s="1" t="s">
        <v>1102</v>
      </c>
      <c r="B2394" s="0" t="s">
        <v>75</v>
      </c>
      <c r="C2394" s="5" t="n">
        <f aca="false">(Sens!$C$2391+Sens!$C$2393)/(Sens!F2344+dil_gap)-Sens!G2334*roll_div_q/q_per_yr</f>
        <v>402.756919205438</v>
      </c>
      <c r="L2394" s="1" t="s">
        <v>1103</v>
      </c>
    </row>
    <row r="2395" customFormat="false" ht="17.15" hidden="false" customHeight="false" outlineLevel="0" collapsed="false">
      <c r="A2395" s="1" t="s">
        <v>1104</v>
      </c>
      <c r="B2395" s="0" t="s">
        <v>75</v>
      </c>
      <c r="C2395" s="5" t="n">
        <f aca="false">w_dcf*Sens!$C$2365+(1-w_dcf)*Sens!$C$2394</f>
        <v>344.652892978032</v>
      </c>
    </row>
    <row r="2396" customFormat="false" ht="17.15" hidden="false" customHeight="false" outlineLevel="0" collapsed="false">
      <c r="A2396" s="3" t="s">
        <v>1322</v>
      </c>
    </row>
    <row r="2397" customFormat="false" ht="15" hidden="false" customHeight="false" outlineLevel="0" collapsed="false">
      <c r="A2397" s="4" t="s">
        <v>43</v>
      </c>
      <c r="B2397" s="4" t="s">
        <v>65</v>
      </c>
      <c r="C2397" s="20" t="s">
        <v>799</v>
      </c>
      <c r="D2397" s="20" t="s">
        <v>800</v>
      </c>
      <c r="E2397" s="20" t="s">
        <v>801</v>
      </c>
      <c r="F2397" s="20" t="s">
        <v>802</v>
      </c>
      <c r="G2397" s="20" t="s">
        <v>803</v>
      </c>
      <c r="H2397" s="20" t="s">
        <v>804</v>
      </c>
      <c r="I2397" s="20" t="s">
        <v>805</v>
      </c>
      <c r="J2397" s="20" t="s">
        <v>806</v>
      </c>
      <c r="K2397" s="20" t="s">
        <v>807</v>
      </c>
      <c r="L2397" s="4" t="s">
        <v>47</v>
      </c>
    </row>
    <row r="2398" customFormat="false" ht="17.15" hidden="false" customHeight="false" outlineLevel="0" collapsed="false">
      <c r="A2398" s="1" t="s">
        <v>808</v>
      </c>
      <c r="B2398" s="1" t="s">
        <v>235</v>
      </c>
      <c r="C2398" s="28" t="n">
        <v>2024</v>
      </c>
      <c r="D2398" s="28" t="n">
        <v>2025</v>
      </c>
      <c r="E2398" s="28" t="n">
        <v>2026</v>
      </c>
      <c r="F2398" s="28" t="n">
        <v>2027</v>
      </c>
      <c r="G2398" s="28" t="n">
        <v>2028</v>
      </c>
      <c r="H2398" s="28" t="n">
        <v>2029</v>
      </c>
      <c r="I2398" s="28" t="n">
        <v>2030</v>
      </c>
      <c r="J2398" s="28" t="n">
        <v>2031</v>
      </c>
      <c r="K2398" s="28" t="n">
        <v>2032</v>
      </c>
    </row>
    <row r="2399" customFormat="false" ht="17.15" hidden="false" customHeight="false" outlineLevel="0" collapsed="false">
      <c r="A2399" s="1" t="s">
        <v>809</v>
      </c>
      <c r="B2399" s="0" t="s">
        <v>399</v>
      </c>
      <c r="F2399" s="29" t="n">
        <f aca="false">pace</f>
        <v>2527.2</v>
      </c>
      <c r="G2399" s="29" t="n">
        <f aca="false">pace</f>
        <v>2527.2</v>
      </c>
      <c r="H2399" s="29" t="n">
        <f aca="false">pace</f>
        <v>2527.2</v>
      </c>
      <c r="I2399" s="29" t="n">
        <f aca="false">pace+(g_tv*Sens!H2400-pace)*MIN(1,(Sens!I2398-pace_y0)/(pace_y1-pace_y0))</f>
        <v>1793.116</v>
      </c>
      <c r="J2399" s="29" t="n">
        <f aca="false">pace+(g_tv*Sens!I2400-pace)*MIN(1,(Sens!J2398-pace_y0)/(pace_y1-pace_y0))</f>
        <v>1094.89432</v>
      </c>
      <c r="K2399" s="29" t="n">
        <f aca="false">pace+(g_tv*Sens!J2400-pace)*MIN(1,(Sens!K2398-pace_y0)/(pace_y1-pace_y0))</f>
        <v>411.5883096</v>
      </c>
      <c r="L2399" s="11" t="s">
        <v>810</v>
      </c>
    </row>
    <row r="2400" customFormat="false" ht="17.15" hidden="false" customHeight="false" outlineLevel="0" collapsed="false">
      <c r="A2400" s="1" t="s">
        <v>811</v>
      </c>
      <c r="B2400" s="0" t="s">
        <v>399</v>
      </c>
      <c r="C2400" s="29" t="n">
        <f aca="false">mw_ext_24</f>
        <v>640</v>
      </c>
      <c r="D2400" s="29" t="n">
        <f aca="false">mw_ext_25</f>
        <v>1630</v>
      </c>
      <c r="E2400" s="29" t="n">
        <f aca="false">mw_ext_26</f>
        <v>3250</v>
      </c>
      <c r="F2400" s="29" t="n">
        <f aca="false">Sens!E2400+Sens!F2399</f>
        <v>5777.2</v>
      </c>
      <c r="G2400" s="29" t="n">
        <f aca="false">Sens!F2400+Sens!G2399</f>
        <v>8304.4</v>
      </c>
      <c r="H2400" s="29" t="n">
        <f aca="false">Sens!G2400+Sens!H2399</f>
        <v>10831.6</v>
      </c>
      <c r="I2400" s="29" t="n">
        <f aca="false">Sens!H2400+Sens!I2399</f>
        <v>12624.716</v>
      </c>
      <c r="J2400" s="29" t="n">
        <f aca="false">Sens!I2400+Sens!J2399</f>
        <v>13719.61032</v>
      </c>
      <c r="K2400" s="29" t="n">
        <f aca="false">Sens!J2400+Sens!K2399</f>
        <v>14131.1986296</v>
      </c>
      <c r="L2400" s="1" t="s">
        <v>812</v>
      </c>
    </row>
    <row r="2401" customFormat="false" ht="17.15" hidden="false" customHeight="false" outlineLevel="0" collapsed="false">
      <c r="A2401" s="1" t="s">
        <v>813</v>
      </c>
      <c r="B2401" s="0" t="s">
        <v>399</v>
      </c>
      <c r="C2401" s="29" t="n">
        <f aca="false">rent_ext_24</f>
        <v>150</v>
      </c>
      <c r="D2401" s="29" t="n">
        <f aca="false">rent_ext_25</f>
        <v>400</v>
      </c>
      <c r="E2401" s="29" t="n">
        <f aca="false">rent_ext_26</f>
        <v>550</v>
      </c>
      <c r="F2401" s="29" t="n">
        <f aca="false">rent_ext_f</f>
        <v>756</v>
      </c>
      <c r="G2401" s="29" t="n">
        <f aca="false">rent_ext_f</f>
        <v>756</v>
      </c>
      <c r="H2401" s="29" t="n">
        <f aca="false">rent_ext_f</f>
        <v>756</v>
      </c>
      <c r="I2401" s="29" t="n">
        <f aca="false">rent_ext_f</f>
        <v>756</v>
      </c>
      <c r="J2401" s="29" t="n">
        <f aca="false">rent_ext_f</f>
        <v>756</v>
      </c>
      <c r="K2401" s="29" t="n">
        <f aca="false">rent_ext_f</f>
        <v>756</v>
      </c>
      <c r="L2401" s="1" t="s">
        <v>814</v>
      </c>
    </row>
    <row r="2402" customFormat="false" ht="17.15" hidden="false" customHeight="false" outlineLevel="0" collapsed="false">
      <c r="A2402" s="1" t="s">
        <v>815</v>
      </c>
      <c r="B2402" s="0" t="s">
        <v>399</v>
      </c>
      <c r="C2402" s="29" t="n">
        <f aca="false">Sens!C2400-Sens!C2401</f>
        <v>490</v>
      </c>
      <c r="D2402" s="29" t="n">
        <f aca="false">Sens!D2400-Sens!D2401</f>
        <v>1230</v>
      </c>
      <c r="E2402" s="29" t="n">
        <f aca="false">Sens!E2400-Sens!E2401</f>
        <v>2700</v>
      </c>
      <c r="F2402" s="29" t="n">
        <f aca="false">Sens!F2400-Sens!F2401</f>
        <v>5021.2</v>
      </c>
      <c r="G2402" s="29" t="n">
        <f aca="false">Sens!G2400-Sens!G2401</f>
        <v>7548.4</v>
      </c>
      <c r="H2402" s="29" t="n">
        <f aca="false">Sens!H2400-Sens!H2401</f>
        <v>10075.6</v>
      </c>
      <c r="I2402" s="29" t="n">
        <f aca="false">Sens!I2400-Sens!I2401</f>
        <v>11868.716</v>
      </c>
      <c r="J2402" s="29" t="n">
        <f aca="false">Sens!J2400-Sens!J2401</f>
        <v>12963.61032</v>
      </c>
      <c r="K2402" s="29" t="n">
        <f aca="false">Sens!K2400-Sens!K2401</f>
        <v>13375.1986296</v>
      </c>
    </row>
    <row r="2403" customFormat="false" ht="17.15" hidden="false" customHeight="false" outlineLevel="0" collapsed="false">
      <c r="A2403" s="1" t="s">
        <v>816</v>
      </c>
      <c r="B2403" s="0" t="s">
        <v>399</v>
      </c>
      <c r="C2403" s="29" t="n">
        <f aca="false">Sens!C2402/ext_sh_hi</f>
        <v>653.333333333333</v>
      </c>
      <c r="D2403" s="29" t="n">
        <f aca="false">Sens!D2402/ext_sh_hi</f>
        <v>1640</v>
      </c>
      <c r="E2403" s="29" t="n">
        <f aca="false">Sens!E2402/ext_sh_hi</f>
        <v>3600</v>
      </c>
      <c r="F2403" s="29" t="n">
        <f aca="false">Sens!F2402/ext_sh_hi</f>
        <v>6694.93333333333</v>
      </c>
      <c r="G2403" s="29" t="n">
        <f aca="false">Sens!G2402/ext_sh_hi</f>
        <v>10064.5333333333</v>
      </c>
      <c r="H2403" s="29" t="n">
        <f aca="false">Sens!H2402/ext_sh_hi</f>
        <v>13434.1333333333</v>
      </c>
      <c r="I2403" s="29" t="n">
        <f aca="false">Sens!I2402/ext_sh_hi</f>
        <v>15824.9546666667</v>
      </c>
      <c r="J2403" s="29" t="n">
        <f aca="false">Sens!J2402/ext_sh_hi</f>
        <v>17284.81376</v>
      </c>
      <c r="K2403" s="29" t="n">
        <f aca="false">Sens!K2402/ext_sh_hi</f>
        <v>17833.5981728</v>
      </c>
      <c r="L2403" s="1" t="s">
        <v>817</v>
      </c>
    </row>
    <row r="2404" customFormat="false" ht="17.15" hidden="false" customHeight="false" outlineLevel="0" collapsed="false">
      <c r="A2404" s="1" t="s">
        <v>818</v>
      </c>
      <c r="B2404" s="0" t="s">
        <v>399</v>
      </c>
      <c r="C2404" s="29" t="n">
        <f aca="false">Sens!C2403-Sens!C2402</f>
        <v>163.333333333333</v>
      </c>
      <c r="D2404" s="29" t="n">
        <f aca="false">Sens!D2403-Sens!D2402</f>
        <v>410</v>
      </c>
      <c r="E2404" s="29" t="n">
        <f aca="false">Sens!E2403-Sens!E2402</f>
        <v>900</v>
      </c>
      <c r="F2404" s="29" t="n">
        <f aca="false">Sens!F2403-Sens!F2402</f>
        <v>1673.73333333333</v>
      </c>
      <c r="G2404" s="29" t="n">
        <f aca="false">Sens!G2403-Sens!G2402</f>
        <v>2516.13333333333</v>
      </c>
      <c r="H2404" s="29" t="n">
        <f aca="false">Sens!H2403-Sens!H2402</f>
        <v>3358.53333333333</v>
      </c>
      <c r="I2404" s="29" t="n">
        <f aca="false">Sens!I2403-Sens!I2402</f>
        <v>3956.23866666667</v>
      </c>
      <c r="J2404" s="29" t="n">
        <f aca="false">Sens!J2403-Sens!J2402</f>
        <v>4321.20344</v>
      </c>
      <c r="K2404" s="29" t="n">
        <f aca="false">Sens!K2403-Sens!K2402</f>
        <v>4458.3995432</v>
      </c>
    </row>
    <row r="2405" customFormat="false" ht="17.15" hidden="false" customHeight="false" outlineLevel="0" collapsed="false">
      <c r="A2405" s="1" t="s">
        <v>819</v>
      </c>
      <c r="B2405" s="0" t="s">
        <v>399</v>
      </c>
      <c r="C2405" s="29" t="n">
        <f aca="false">Sens!C2403</f>
        <v>653.333333333333</v>
      </c>
      <c r="D2405" s="29" t="n">
        <f aca="false">Sens!D2403-Sens!C2403</f>
        <v>986.666666666667</v>
      </c>
      <c r="E2405" s="29" t="n">
        <f aca="false">Sens!E2403-Sens!D2403</f>
        <v>1960</v>
      </c>
      <c r="F2405" s="29" t="n">
        <f aca="false">Sens!F2403-Sens!E2403</f>
        <v>3094.93333333333</v>
      </c>
      <c r="G2405" s="29" t="n">
        <f aca="false">Sens!G2403-Sens!F2403</f>
        <v>3369.6</v>
      </c>
      <c r="H2405" s="29" t="n">
        <f aca="false">Sens!H2403-Sens!G2403</f>
        <v>3369.6</v>
      </c>
      <c r="I2405" s="29" t="n">
        <f aca="false">Sens!I2403-Sens!H2403</f>
        <v>2390.82133333333</v>
      </c>
      <c r="J2405" s="29" t="n">
        <f aca="false">Sens!J2403-Sens!I2403</f>
        <v>1459.85909333333</v>
      </c>
      <c r="K2405" s="29" t="n">
        <f aca="false">Sens!K2403-Sens!J2403</f>
        <v>548.7844128</v>
      </c>
    </row>
    <row r="2406" customFormat="false" ht="17.15" hidden="false" customHeight="false" outlineLevel="0" collapsed="false">
      <c r="A2406" s="1" t="s">
        <v>820</v>
      </c>
      <c r="B2406" s="0" t="s">
        <v>399</v>
      </c>
      <c r="D2406" s="29" t="n">
        <f aca="false">Sens!D2400-Sens!C2400</f>
        <v>990</v>
      </c>
      <c r="E2406" s="29" t="n">
        <f aca="false">Sens!E2400-Sens!D2400</f>
        <v>1620</v>
      </c>
      <c r="F2406" s="29" t="n">
        <f aca="false">Sens!F2400-Sens!E2400</f>
        <v>2527.2</v>
      </c>
      <c r="G2406" s="29" t="n">
        <f aca="false">Sens!G2400-Sens!F2400</f>
        <v>2527.2</v>
      </c>
      <c r="H2406" s="29" t="n">
        <f aca="false">Sens!H2400-Sens!G2400</f>
        <v>2527.2</v>
      </c>
      <c r="I2406" s="29" t="n">
        <f aca="false">Sens!I2400-Sens!H2400</f>
        <v>1793.116</v>
      </c>
      <c r="J2406" s="29" t="n">
        <f aca="false">Sens!J2400-Sens!I2400</f>
        <v>1094.89432</v>
      </c>
      <c r="K2406" s="29" t="n">
        <f aca="false">Sens!K2400-Sens!J2400</f>
        <v>411.5883096</v>
      </c>
    </row>
    <row r="2407" customFormat="false" ht="17.15" hidden="false" customHeight="false" outlineLevel="0" collapsed="false">
      <c r="A2407" s="1" t="s">
        <v>821</v>
      </c>
      <c r="B2407" s="0" t="s">
        <v>399</v>
      </c>
      <c r="F2407" s="29" t="n">
        <f aca="false">Sens!F2424*ext_sh_hi</f>
        <v>0</v>
      </c>
      <c r="G2407" s="29" t="n">
        <f aca="false">Sens!G2424*ext_sh_hi</f>
        <v>0</v>
      </c>
      <c r="H2407" s="29" t="n">
        <f aca="false">Sens!H2424*ext_sh_hi</f>
        <v>0</v>
      </c>
      <c r="I2407" s="29" t="n">
        <f aca="false">Sens!I2424*ext_sh_hi</f>
        <v>490</v>
      </c>
      <c r="J2407" s="29" t="n">
        <f aca="false">Sens!J2424*ext_sh_hi</f>
        <v>740</v>
      </c>
      <c r="K2407" s="29" t="n">
        <f aca="false">Sens!K2424*ext_sh_hi</f>
        <v>1470</v>
      </c>
      <c r="L2407" s="1" t="s">
        <v>822</v>
      </c>
    </row>
    <row r="2408" customFormat="false" ht="17.15" hidden="false" customHeight="false" outlineLevel="0" collapsed="false">
      <c r="A2408" s="1" t="s">
        <v>823</v>
      </c>
      <c r="B2408" s="0" t="s">
        <v>399</v>
      </c>
      <c r="C2408" s="29" t="n">
        <f aca="false">mix_h*Sens!C2400</f>
        <v>128</v>
      </c>
      <c r="D2408" s="29" t="n">
        <f aca="false">mix_h*Sens!D2400</f>
        <v>326</v>
      </c>
      <c r="E2408" s="29" t="n">
        <f aca="false">mix_h*Sens!E2400</f>
        <v>650</v>
      </c>
      <c r="F2408" s="29" t="n">
        <f aca="false">Sens!E2408-Sens!F2407*mix_h</f>
        <v>650</v>
      </c>
      <c r="G2408" s="29" t="n">
        <f aca="false">Sens!F2408-Sens!G2407*mix_h</f>
        <v>650</v>
      </c>
      <c r="H2408" s="29" t="n">
        <f aca="false">Sens!G2408-Sens!H2407*mix_h</f>
        <v>650</v>
      </c>
      <c r="I2408" s="29" t="n">
        <f aca="false">Sens!H2408-Sens!I2407*mix_h</f>
        <v>552</v>
      </c>
      <c r="J2408" s="29" t="n">
        <f aca="false">Sens!I2408-Sens!J2407*mix_h</f>
        <v>404</v>
      </c>
      <c r="K2408" s="29" t="n">
        <f aca="false">Sens!J2408-Sens!K2407*mix_h</f>
        <v>110</v>
      </c>
    </row>
    <row r="2409" customFormat="false" ht="17.15" hidden="false" customHeight="false" outlineLevel="0" collapsed="false">
      <c r="A2409" s="1" t="s">
        <v>824</v>
      </c>
      <c r="B2409" s="0" t="s">
        <v>399</v>
      </c>
      <c r="C2409" s="29" t="n">
        <f aca="false">mix_g2*Sens!C2400</f>
        <v>288</v>
      </c>
      <c r="D2409" s="29" t="n">
        <f aca="false">mix_g2*Sens!D2400</f>
        <v>733.5</v>
      </c>
      <c r="E2409" s="29" t="n">
        <f aca="false">mix_g2*Sens!E2400</f>
        <v>1462.5</v>
      </c>
      <c r="F2409" s="29" t="n">
        <f aca="false">Sens!E2409-Sens!F2407*mix_g2</f>
        <v>1462.5</v>
      </c>
      <c r="G2409" s="29" t="n">
        <f aca="false">Sens!F2409-Sens!G2407*mix_g2</f>
        <v>1462.5</v>
      </c>
      <c r="H2409" s="29" t="n">
        <f aca="false">Sens!G2409-Sens!H2407*mix_g2</f>
        <v>1462.5</v>
      </c>
      <c r="I2409" s="29" t="n">
        <f aca="false">Sens!H2409-Sens!I2407*mix_g2</f>
        <v>1242</v>
      </c>
      <c r="J2409" s="29" t="n">
        <f aca="false">Sens!I2409-Sens!J2407*mix_g2</f>
        <v>909</v>
      </c>
      <c r="K2409" s="29" t="n">
        <f aca="false">Sens!J2409-Sens!K2407*mix_g2</f>
        <v>247.5</v>
      </c>
    </row>
    <row r="2410" customFormat="false" ht="17.15" hidden="false" customHeight="false" outlineLevel="0" collapsed="false">
      <c r="A2410" s="1" t="s">
        <v>825</v>
      </c>
      <c r="B2410" s="0" t="s">
        <v>399</v>
      </c>
      <c r="C2410" s="29" t="n">
        <f aca="false">mix_g3*Sens!C2400</f>
        <v>224</v>
      </c>
      <c r="D2410" s="29" t="n">
        <f aca="false">mix_g3*Sens!D2400</f>
        <v>570.5</v>
      </c>
      <c r="E2410" s="29" t="n">
        <f aca="false">mix_g3*Sens!E2400</f>
        <v>1137.5</v>
      </c>
      <c r="F2410" s="29" t="n">
        <f aca="false">Sens!E2410+(Sens!F2406+Sens!F2407)*a_g3_27-Sens!F2407*mix_g3</f>
        <v>2906.54</v>
      </c>
      <c r="G2410" s="29" t="n">
        <f aca="false">Sens!F2410+(Sens!G2406+Sens!G2407)*a_g3_28-Sens!G2407*mix_g3</f>
        <v>3664.7</v>
      </c>
      <c r="H2410" s="29" t="n">
        <f aca="false">Sens!G2410+(Sens!H2406+Sens!H2407)*a_g3_29-Sens!H2407*mix_g3</f>
        <v>3917.42</v>
      </c>
      <c r="I2410" s="29" t="n">
        <f aca="false">Sens!H2410+(Sens!I2406+Sens!I2407)*a_g3_29-Sens!I2407*mix_g3</f>
        <v>3974.2316</v>
      </c>
      <c r="J2410" s="29" t="n">
        <f aca="false">Sens!I2410+(Sens!J2406+Sens!J2407)*a_g3_29-Sens!J2407*mix_g3</f>
        <v>3898.721032</v>
      </c>
      <c r="K2410" s="29" t="n">
        <f aca="false">Sens!J2410+(Sens!K2406+Sens!K2407)*a_g3_29-Sens!K2407*mix_g3</f>
        <v>3572.37986296</v>
      </c>
    </row>
    <row r="2411" customFormat="false" ht="17.15" hidden="false" customHeight="false" outlineLevel="0" collapsed="false">
      <c r="A2411" s="1" t="s">
        <v>826</v>
      </c>
      <c r="B2411" s="0" t="s">
        <v>399</v>
      </c>
      <c r="C2411" s="29" t="n">
        <v>0</v>
      </c>
      <c r="D2411" s="29" t="n">
        <v>0</v>
      </c>
      <c r="E2411" s="29" t="n">
        <v>0</v>
      </c>
      <c r="F2411" s="29" t="n">
        <f aca="false">Sens!E2411+(Sens!F2406+Sens!F2407)*(1-a_g3_27)</f>
        <v>758.16</v>
      </c>
      <c r="G2411" s="29" t="n">
        <f aca="false">Sens!F2411+(Sens!G2406+Sens!G2407)*(1-a_g3_28)</f>
        <v>2527.2</v>
      </c>
      <c r="H2411" s="29" t="n">
        <f aca="false">Sens!G2411+(Sens!H2406+Sens!H2407)*(1-a_g3_29)</f>
        <v>4801.68</v>
      </c>
      <c r="I2411" s="29" t="n">
        <f aca="false">Sens!H2411+(Sens!I2406+Sens!I2407)*(1-a_g3_29)</f>
        <v>6856.4844</v>
      </c>
      <c r="J2411" s="29" t="n">
        <f aca="false">Sens!I2411+(Sens!J2406+Sens!J2407)*(1-a_g3_29)</f>
        <v>8507.889288</v>
      </c>
      <c r="K2411" s="29" t="n">
        <f aca="false">Sens!J2411+(Sens!K2406+Sens!K2407)*(1-a_g3_29)</f>
        <v>10201.31876664</v>
      </c>
    </row>
    <row r="2412" customFormat="false" ht="17.15" hidden="false" customHeight="false" outlineLevel="0" collapsed="false">
      <c r="A2412" s="1" t="s">
        <v>827</v>
      </c>
      <c r="B2412" s="0" t="s">
        <v>346</v>
      </c>
      <c r="C2412" s="14" t="n">
        <f aca="false">(Sens!C2408*tk_hold_h100+Sens!C2409*tk_hold_gb200+Sens!C2410*tk_hold_gb300+Sens!C2411*tk_hold_vr200)/Sens!C2400</f>
        <v>9.7235358126469</v>
      </c>
      <c r="D2412" s="14" t="n">
        <f aca="false">(Sens!D2408*tk_hold_h100+Sens!D2409*tk_hold_gb200+Sens!D2410*tk_hold_gb300+Sens!D2411*tk_hold_vr200)/Sens!D2400</f>
        <v>9.7235358126469</v>
      </c>
      <c r="E2412" s="14" t="n">
        <f aca="false">(Sens!E2408*tk_hold_h100+Sens!E2409*tk_hold_gb200+Sens!E2410*tk_hold_gb300+Sens!E2411*tk_hold_vr200)/Sens!E2400</f>
        <v>9.7235358126469</v>
      </c>
      <c r="F2412" s="14" t="n">
        <f aca="false">(Sens!F2408*tk_hold_h100+Sens!F2409*tk_hold_gb200+Sens!F2410*tk_hold_gb300+Sens!F2411*tk_hold_vr200)/Sens!F2400</f>
        <v>10.4079573161931</v>
      </c>
      <c r="G2412" s="14" t="n">
        <f aca="false">(Sens!G2408*tk_hold_h100+Sens!G2409*tk_hold_gb200+Sens!G2410*tk_hold_gb300+Sens!G2411*tk_hold_vr200)/Sens!G2400</f>
        <v>10.8388131109316</v>
      </c>
      <c r="H2412" s="14" t="n">
        <f aca="false">(Sens!H2408*tk_hold_h100+Sens!H2409*tk_hold_gb200+Sens!H2410*tk_hold_gb300+Sens!H2411*tk_hold_vr200)/Sens!H2400</f>
        <v>11.1311018388216</v>
      </c>
      <c r="I2412" s="14" t="n">
        <f aca="false">(Sens!I2408*tk_hold_h100+Sens!I2409*tk_hold_gb200+Sens!I2410*tk_hold_gb300+Sens!I2411*tk_hold_vr200)/Sens!I2400</f>
        <v>11.3594282560989</v>
      </c>
      <c r="J2412" s="14" t="n">
        <f aca="false">(Sens!J2408*tk_hold_h100+Sens!J2409*tk_hold_gb200+Sens!J2410*tk_hold_gb300+Sens!J2411*tk_hold_vr200)/Sens!J2400</f>
        <v>11.5455817917599</v>
      </c>
      <c r="K2412" s="14" t="n">
        <f aca="false">(Sens!K2408*tk_hold_h100+Sens!K2409*tk_hold_gb200+Sens!K2410*tk_hold_gb300+Sens!K2411*tk_hold_vr200)/Sens!K2400</f>
        <v>11.8078187977246</v>
      </c>
    </row>
    <row r="2413" customFormat="false" ht="17.15" hidden="false" customHeight="false" outlineLevel="0" collapsed="false">
      <c r="A2413" s="0" t="s">
        <v>828</v>
      </c>
      <c r="B2413" s="0" t="s">
        <v>185</v>
      </c>
      <c r="C2413" s="14" t="n">
        <f aca="false">k_B</f>
        <v>1.17213932619116</v>
      </c>
      <c r="D2413" s="14" t="n">
        <f aca="false">k_B</f>
        <v>1.17213932619116</v>
      </c>
      <c r="E2413" s="14" t="n">
        <f aca="false">k_B</f>
        <v>1.17213932619116</v>
      </c>
      <c r="F2413" s="14" t="n">
        <f aca="false">(k_B+((ls_A*k_long+(1-ls_A)*k_spot)-k_B)*MIN(1,(Sens!F2398-base_fy)/k_ramp))</f>
        <v>1.25022828131298</v>
      </c>
      <c r="G2413" s="14" t="n">
        <f aca="false">(k_B+((ls_A*k_long+(1-ls_A)*k_spot)-k_B)*MIN(1,(Sens!G2398-base_fy)/k_ramp))</f>
        <v>1.3283172364348</v>
      </c>
      <c r="H2413" s="14" t="n">
        <f aca="false">(k_B+((ls_A*k_long+(1-ls_A)*k_spot)-k_B)*MIN(1,(Sens!H2398-base_fy)/k_ramp))</f>
        <v>1.40640619155662</v>
      </c>
      <c r="I2413" s="14" t="n">
        <f aca="false">(k_B+((ls_A*k_long+(1-ls_A)*k_spot)-k_B)*MIN(1,(Sens!I2398-base_fy)/k_ramp))</f>
        <v>1.40640619155662</v>
      </c>
      <c r="J2413" s="14" t="n">
        <f aca="false">(k_B+((ls_A*k_long+(1-ls_A)*k_spot)-k_B)*MIN(1,(Sens!J2398-base_fy)/k_ramp))</f>
        <v>1.40640619155662</v>
      </c>
      <c r="K2413" s="14" t="n">
        <f aca="false">(k_B+((ls_A*k_long+(1-ls_A)*k_spot)-k_B)*MIN(1,(Sens!K2398-base_fy)/k_ramp))</f>
        <v>1.40640619155662</v>
      </c>
      <c r="L2413" s="1" t="s">
        <v>829</v>
      </c>
    </row>
    <row r="2414" customFormat="false" ht="17.15" hidden="false" customHeight="false" outlineLevel="0" collapsed="false">
      <c r="A2414" s="1" t="s">
        <v>830</v>
      </c>
      <c r="B2414" s="0" t="s">
        <v>346</v>
      </c>
      <c r="C2414" s="14" t="n">
        <f aca="false">Sens!C2412*Sens!C2413*chip_f</f>
        <v>11.3973387156315</v>
      </c>
      <c r="D2414" s="14" t="n">
        <f aca="false">Sens!D2412*Sens!D2413*chip_f</f>
        <v>11.3973387156315</v>
      </c>
      <c r="E2414" s="14" t="n">
        <f aca="false">Sens!E2412*Sens!E2413*chip_f</f>
        <v>11.3973387156315</v>
      </c>
      <c r="F2414" s="14" t="n">
        <f aca="false">Sens!F2412*Sens!F2413*chip_f</f>
        <v>13.0123225874029</v>
      </c>
      <c r="G2414" s="14" t="n">
        <f aca="false">Sens!G2412*Sens!G2413*chip_f</f>
        <v>14.3973822777458</v>
      </c>
      <c r="H2414" s="14" t="n">
        <f aca="false">Sens!H2412*Sens!H2413*chip_f</f>
        <v>15.6548505449659</v>
      </c>
      <c r="I2414" s="14" t="n">
        <f aca="false">Sens!I2412*Sens!I2413*chip_f</f>
        <v>15.9759702319207</v>
      </c>
      <c r="J2414" s="14" t="n">
        <f aca="false">Sens!J2412*Sens!J2413*chip_f</f>
        <v>16.2377777170545</v>
      </c>
      <c r="K2414" s="14" t="n">
        <f aca="false">Sens!K2412*Sens!K2413*chip_f</f>
        <v>16.6065894658985</v>
      </c>
      <c r="L2414" s="1" t="s">
        <v>831</v>
      </c>
    </row>
    <row r="2415" customFormat="false" ht="17.15" hidden="false" customHeight="false" outlineLevel="0" collapsed="false">
      <c r="A2415" s="0" t="s">
        <v>832</v>
      </c>
      <c r="B2415" s="0" t="s">
        <v>98</v>
      </c>
      <c r="D2415" s="6" t="n">
        <f aca="false">(Sens!C2400+Sens!D2400)/2*Sens!D2414/1000</f>
        <v>12.9359794422418</v>
      </c>
      <c r="E2415" s="6" t="n">
        <f aca="false">(Sens!D2400+Sens!E2400)/2*Sens!E2414/1000</f>
        <v>27.8095064661409</v>
      </c>
      <c r="F2415" s="6" t="n">
        <f aca="false">(Sens!E2400+Sens!F2400)/2*Sens!F2414/1000</f>
        <v>58.7324192305018</v>
      </c>
      <c r="G2415" s="6" t="n">
        <f aca="false">(Sens!F2400+Sens!G2400)/2*Sens!G2414/1000</f>
        <v>101.369089141153</v>
      </c>
      <c r="H2415" s="6" t="n">
        <f aca="false">(Sens!G2400+Sens!H2400)/2*Sens!H2414/1000</f>
        <v>149.785610014234</v>
      </c>
      <c r="I2415" s="6" t="n">
        <f aca="false">(Sens!H2400+Sens!I2400)/2*Sens!I2414/1000</f>
        <v>187.368703083263</v>
      </c>
      <c r="J2415" s="6" t="n">
        <f aca="false">(Sens!I2400+Sens!J2400)/2*Sens!J2414/1000</f>
        <v>213.886657444854</v>
      </c>
      <c r="K2415" s="6" t="n">
        <f aca="false">(Sens!J2400+Sens!K2400)/2*Sens!K2414/1000</f>
        <v>231.253475259589</v>
      </c>
      <c r="L2415" s="11" t="s">
        <v>833</v>
      </c>
    </row>
    <row r="2416" customFormat="false" ht="17.15" hidden="false" customHeight="false" outlineLevel="0" collapsed="false">
      <c r="A2416" s="1" t="s">
        <v>834</v>
      </c>
      <c r="B2416" s="0" t="s">
        <v>346</v>
      </c>
      <c r="C2416" s="14" t="n">
        <f aca="false">(Sens!C2408*tk_opex_h100+Sens!C2409*tk_opex_gb200+Sens!C2410*tk_opex_gb300+Sens!C2411*tk_opex_vr200)/Sens!C2400</f>
        <v>1.88636041306092</v>
      </c>
      <c r="D2416" s="14" t="n">
        <f aca="false">(Sens!D2408*tk_opex_h100+Sens!D2409*tk_opex_gb200+Sens!D2410*tk_opex_gb300+Sens!D2411*tk_opex_vr200)/Sens!D2400</f>
        <v>1.88636041306092</v>
      </c>
      <c r="E2416" s="14" t="n">
        <f aca="false">(Sens!E2408*tk_opex_h100+Sens!E2409*tk_opex_gb200+Sens!E2410*tk_opex_gb300+Sens!E2411*tk_opex_vr200)/Sens!E2400</f>
        <v>1.88636041306092</v>
      </c>
      <c r="F2416" s="14" t="n">
        <f aca="false">(Sens!F2408*tk_opex_h100+Sens!F2409*tk_opex_gb200+Sens!F2410*tk_opex_gb300+Sens!F2411*tk_opex_vr200)/Sens!F2400</f>
        <v>1.9430236476499</v>
      </c>
      <c r="G2416" s="14" t="n">
        <f aca="false">(Sens!G2408*tk_opex_h100+Sens!G2409*tk_opex_gb200+Sens!G2410*tk_opex_gb300+Sens!G2411*tk_opex_vr200)/Sens!G2400</f>
        <v>1.9786941852423</v>
      </c>
      <c r="H2416" s="14" t="n">
        <f aca="false">(Sens!H2408*tk_opex_h100+Sens!H2409*tk_opex_gb200+Sens!H2410*tk_opex_gb300+Sens!H2411*tk_opex_vr200)/Sens!H2400</f>
        <v>2.00289275976156</v>
      </c>
      <c r="I2416" s="14" t="n">
        <f aca="false">(Sens!I2408*tk_opex_h100+Sens!I2409*tk_opex_gb200+Sens!I2410*tk_opex_gb300+Sens!I2411*tk_opex_vr200)/Sens!I2400</f>
        <v>2.02179589661219</v>
      </c>
      <c r="J2416" s="14" t="n">
        <f aca="false">(Sens!J2408*tk_opex_h100+Sens!J2409*tk_opex_gb200+Sens!J2410*tk_opex_gb300+Sens!J2411*tk_opex_vr200)/Sens!J2400</f>
        <v>2.03720754193029</v>
      </c>
      <c r="K2416" s="14" t="n">
        <f aca="false">(Sens!K2408*tk_opex_h100+Sens!K2409*tk_opex_gb200+Sens!K2410*tk_opex_gb300+Sens!K2411*tk_opex_vr200)/Sens!K2400</f>
        <v>2.0589181353437</v>
      </c>
    </row>
    <row r="2417" customFormat="false" ht="17.15" hidden="false" customHeight="false" outlineLevel="0" collapsed="false">
      <c r="A2417" s="0" t="s">
        <v>835</v>
      </c>
      <c r="B2417" s="0" t="s">
        <v>98</v>
      </c>
      <c r="D2417" s="6" t="n">
        <f aca="false">(Sens!C2403+Sens!D2403)/2*Sens!D2416/1000</f>
        <v>2.16302660697652</v>
      </c>
      <c r="E2417" s="6" t="n">
        <f aca="false">(Sens!D2403+Sens!E2403)/2*Sens!E2416/1000</f>
        <v>4.9422642822196</v>
      </c>
      <c r="F2417" s="6" t="n">
        <f aca="false">(Sens!E2403+Sens!F2403)/2*Sens!F2416/1000</f>
        <v>10.001649458823</v>
      </c>
      <c r="G2417" s="6" t="n">
        <f aca="false">(Sens!F2403+Sens!G2403)/2*Sens!G2416/1000</f>
        <v>16.5809296205477</v>
      </c>
      <c r="H2417" s="6" t="n">
        <f aca="false">(Sens!G2403+Sens!H2403)/2*Sens!H2416/1000</f>
        <v>23.5326546653585</v>
      </c>
      <c r="I2417" s="6" t="n">
        <f aca="false">(Sens!H2403+Sens!I2403)/2*Sens!I2416/1000</f>
        <v>29.5779520285075</v>
      </c>
      <c r="J2417" s="6" t="n">
        <f aca="false">(Sens!I2403+Sens!J2403)/2*Sens!J2416/1000</f>
        <v>33.7257349751853</v>
      </c>
      <c r="K2417" s="6" t="n">
        <f aca="false">(Sens!J2403+Sens!K2403)/2*Sens!K2416/1000</f>
        <v>36.1529676064563</v>
      </c>
    </row>
    <row r="2418" customFormat="false" ht="17.15" hidden="false" customHeight="false" outlineLevel="0" collapsed="false">
      <c r="A2418" s="0" t="s">
        <v>836</v>
      </c>
      <c r="B2418" s="0" t="s">
        <v>98</v>
      </c>
      <c r="D2418" s="6" t="n">
        <f aca="false">(Sens!C2401+Sens!D2401)/2*rent_mw/1000</f>
        <v>2.44475</v>
      </c>
      <c r="E2418" s="6" t="n">
        <f aca="false">(Sens!D2401+Sens!E2401)/2*rent_mw/1000</f>
        <v>4.22275</v>
      </c>
      <c r="F2418" s="6" t="n">
        <f aca="false">(Sens!E2401+Sens!F2401)/2*rent_mw/1000</f>
        <v>5.80517</v>
      </c>
      <c r="G2418" s="6" t="n">
        <f aca="false">(Sens!F2401+Sens!G2401)/2*rent_mw/1000</f>
        <v>6.72084</v>
      </c>
      <c r="H2418" s="6" t="n">
        <f aca="false">(Sens!G2401+Sens!H2401)/2*rent_mw/1000</f>
        <v>6.72084</v>
      </c>
      <c r="I2418" s="6" t="n">
        <f aca="false">(Sens!H2401+Sens!I2401)/2*rent_mw/1000</f>
        <v>6.72084</v>
      </c>
      <c r="J2418" s="6" t="n">
        <f aca="false">(Sens!I2401+Sens!J2401)/2*rent_mw/1000</f>
        <v>6.72084</v>
      </c>
      <c r="K2418" s="6" t="n">
        <f aca="false">(Sens!J2401+Sens!K2401)/2*rent_mw/1000</f>
        <v>6.72084</v>
      </c>
    </row>
    <row r="2419" customFormat="false" ht="17.15" hidden="false" customHeight="false" outlineLevel="0" collapsed="false">
      <c r="A2419" s="0" t="s">
        <v>837</v>
      </c>
      <c r="B2419" s="0" t="s">
        <v>98</v>
      </c>
      <c r="D2419" s="6" t="n">
        <f aca="false">(Sens!C2403+Sens!D2403)/2*(1-self_build)*fac_rent/1000</f>
        <v>0.682593900504861</v>
      </c>
      <c r="E2419" s="6" t="n">
        <f aca="false">(Sens!D2403+Sens!E2403)/2*(1-self_build)*fac_rent/1000</f>
        <v>1.55964769126983</v>
      </c>
      <c r="F2419" s="6" t="n">
        <f aca="false">(Sens!E2403+Sens!F2403)/2*(1-self_build)*fac_rent/1000</f>
        <v>3.06421164219659</v>
      </c>
      <c r="G2419" s="6" t="n">
        <f aca="false">(Sens!F2403+Sens!G2403)/2*(1-self_build)*fac_rent/1000</f>
        <v>4.9883327277825</v>
      </c>
      <c r="H2419" s="6" t="n">
        <f aca="false">(Sens!G2403+Sens!H2403)/2*(1-self_build)*fac_rent/1000</f>
        <v>6.99420633866143</v>
      </c>
      <c r="I2419" s="6" t="n">
        <f aca="false">(Sens!H2403+Sens!I2403)/2*(1-self_build)*fac_rent/1000</f>
        <v>8.70875363508791</v>
      </c>
      <c r="J2419" s="6" t="n">
        <f aca="false">(Sens!I2403+Sens!J2403)/2*(1-self_build)*fac_rent/1000</f>
        <v>9.85488051242925</v>
      </c>
      <c r="K2419" s="6" t="n">
        <f aca="false">(Sens!J2403+Sens!K2403)/2*(1-self_build)*fac_rent/1000</f>
        <v>10.4527385671859</v>
      </c>
      <c r="L2419" s="11" t="s">
        <v>838</v>
      </c>
    </row>
    <row r="2420" customFormat="false" ht="17.15" hidden="false" customHeight="false" outlineLevel="0" collapsed="false">
      <c r="A2420" s="1" t="s">
        <v>839</v>
      </c>
      <c r="B2420" s="0" t="s">
        <v>129</v>
      </c>
      <c r="D2420" s="7" t="n">
        <f aca="false">(Sens!C2402+Sens!D2402)/(Sens!C2403+Sens!D2403)</f>
        <v>0.75</v>
      </c>
      <c r="E2420" s="7" t="n">
        <f aca="false">(Sens!D2402+Sens!E2402)/(Sens!D2403+Sens!E2403)</f>
        <v>0.75</v>
      </c>
      <c r="F2420" s="7" t="n">
        <f aca="false">(Sens!E2402+Sens!F2402)/(Sens!E2403+Sens!F2403)</f>
        <v>0.75</v>
      </c>
      <c r="G2420" s="7" t="n">
        <f aca="false">(Sens!F2402+Sens!G2402)/(Sens!F2403+Sens!G2403)</f>
        <v>0.75</v>
      </c>
      <c r="H2420" s="7" t="n">
        <f aca="false">(Sens!G2402+Sens!H2402)/(Sens!G2403+Sens!H2403)</f>
        <v>0.75</v>
      </c>
      <c r="I2420" s="7" t="n">
        <f aca="false">(Sens!H2402+Sens!I2402)/(Sens!H2403+Sens!I2403)</f>
        <v>0.75</v>
      </c>
      <c r="J2420" s="7" t="n">
        <f aca="false">(Sens!I2402+Sens!J2402)/(Sens!I2403+Sens!J2403)</f>
        <v>0.75</v>
      </c>
      <c r="K2420" s="7" t="n">
        <f aca="false">(Sens!J2402+Sens!K2402)/(Sens!J2403+Sens!K2403)</f>
        <v>0.75</v>
      </c>
    </row>
    <row r="2421" customFormat="false" ht="17.15" hidden="false" customHeight="false" outlineLevel="0" collapsed="false">
      <c r="A2421" s="0" t="s">
        <v>840</v>
      </c>
      <c r="B2421" s="0" t="s">
        <v>98</v>
      </c>
      <c r="D2421" s="6" t="n">
        <f aca="false">Sens!D2415-Sens!D2420*(Sens!D2417+Sens!D2419)-Sens!D2418</f>
        <v>8.35701406163072</v>
      </c>
      <c r="E2421" s="6" t="n">
        <f aca="false">Sens!E2415-Sens!E2420*(Sens!E2417+Sens!E2419)-Sens!E2418</f>
        <v>18.7103224860238</v>
      </c>
      <c r="F2421" s="6" t="n">
        <f aca="false">Sens!F2415-Sens!F2420*(Sens!F2417+Sens!F2419)-Sens!F2418</f>
        <v>43.1278534047371</v>
      </c>
      <c r="G2421" s="6" t="n">
        <f aca="false">Sens!G2415-Sens!G2420*(Sens!G2417+Sens!G2419)-Sens!G2418</f>
        <v>78.4713023799053</v>
      </c>
      <c r="H2421" s="6" t="n">
        <f aca="false">Sens!H2415-Sens!H2420*(Sens!H2417+Sens!H2419)-Sens!H2418</f>
        <v>120.169624261219</v>
      </c>
      <c r="I2421" s="6" t="n">
        <f aca="false">Sens!I2415-Sens!I2420*(Sens!I2417+Sens!I2419)-Sens!I2418</f>
        <v>151.932833835566</v>
      </c>
      <c r="J2421" s="6" t="n">
        <f aca="false">Sens!J2415-Sens!J2420*(Sens!J2417+Sens!J2419)-Sens!J2418</f>
        <v>174.480355829143</v>
      </c>
      <c r="K2421" s="6" t="n">
        <f aca="false">Sens!K2415-Sens!K2420*(Sens!K2417+Sens!K2419)-Sens!K2418</f>
        <v>189.578355629358</v>
      </c>
    </row>
    <row r="2422" customFormat="false" ht="17.15" hidden="false" customHeight="false" outlineLevel="0" collapsed="false">
      <c r="A2422" s="1" t="s">
        <v>841</v>
      </c>
      <c r="B2422" s="0" t="s">
        <v>98</v>
      </c>
      <c r="D2422" s="6" t="n">
        <f aca="false">(1-Sens!D2420)*(Sens!D2417+Sens!D2419)</f>
        <v>0.711405126870345</v>
      </c>
      <c r="E2422" s="6" t="n">
        <f aca="false">(1-Sens!E2420)*(Sens!E2417+Sens!E2419)</f>
        <v>1.62547799337236</v>
      </c>
      <c r="F2422" s="6" t="n">
        <f aca="false">(1-Sens!F2420)*(Sens!F2417+Sens!F2419)</f>
        <v>3.26646527525489</v>
      </c>
      <c r="G2422" s="6" t="n">
        <f aca="false">(1-Sens!G2420)*(Sens!G2417+Sens!G2419)</f>
        <v>5.39231558708256</v>
      </c>
      <c r="H2422" s="6" t="n">
        <f aca="false">(1-Sens!H2420)*(Sens!H2417+Sens!H2419)</f>
        <v>7.63171525100499</v>
      </c>
      <c r="I2422" s="6" t="n">
        <f aca="false">(1-Sens!I2420)*(Sens!I2417+Sens!I2419)</f>
        <v>9.57167641589886</v>
      </c>
      <c r="J2422" s="6" t="n">
        <f aca="false">(1-Sens!J2420)*(Sens!J2417+Sens!J2419)</f>
        <v>10.8951538719036</v>
      </c>
      <c r="K2422" s="6" t="n">
        <f aca="false">(1-Sens!K2420)*(Sens!K2417+Sens!K2419)</f>
        <v>11.6514265434106</v>
      </c>
    </row>
    <row r="2423" customFormat="false" ht="17.15" hidden="false" customHeight="false" outlineLevel="0" collapsed="false">
      <c r="A2423" s="1" t="s">
        <v>842</v>
      </c>
      <c r="B2423" s="0" t="s">
        <v>357</v>
      </c>
      <c r="C2423" s="8" t="n">
        <f aca="false">cxit_open</f>
        <v>27.5918995</v>
      </c>
      <c r="D2423" s="8" t="n">
        <f aca="false">cxit_open</f>
        <v>27.5918995</v>
      </c>
      <c r="E2423" s="8" t="n">
        <f aca="false">cxit_open</f>
        <v>27.5918995</v>
      </c>
      <c r="F2423" s="8" t="n">
        <f aca="false">(a_g3_27*tk_cxit_gb300+(1-a_g3_27)*tk_cxit_vr200)</f>
        <v>33.8419624</v>
      </c>
      <c r="G2423" s="8" t="n">
        <f aca="false">(a_g3_28*tk_cxit_gb300+(1-a_g3_28)*tk_cxit_vr200)</f>
        <v>35.9816136</v>
      </c>
      <c r="H2423" s="8" t="n">
        <f aca="false">(a_g3_29*tk_cxit_gb300+(1-a_g3_29)*tk_cxit_vr200)</f>
        <v>37.0514392</v>
      </c>
      <c r="I2423" s="8" t="n">
        <f aca="false">(a_g3_29*tk_cxit_gb300+(1-a_g3_29)*tk_cxit_vr200)</f>
        <v>37.0514392</v>
      </c>
      <c r="J2423" s="8" t="n">
        <f aca="false">(a_g3_29*tk_cxit_gb300+(1-a_g3_29)*tk_cxit_vr200)</f>
        <v>37.0514392</v>
      </c>
      <c r="K2423" s="8" t="n">
        <f aca="false">(a_g3_29*tk_cxit_gb300+(1-a_g3_29)*tk_cxit_vr200)</f>
        <v>37.0514392</v>
      </c>
      <c r="L2423" s="11" t="s">
        <v>843</v>
      </c>
    </row>
    <row r="2424" customFormat="false" ht="17.15" hidden="false" customHeight="false" outlineLevel="0" collapsed="false">
      <c r="A2424" s="0" t="s">
        <v>844</v>
      </c>
      <c r="B2424" s="0" t="s">
        <v>399</v>
      </c>
      <c r="F2424" s="29" t="n">
        <f aca="false">Sens!C2405*IF(Sens!F2398-Sens!C2398=life_it,1,0)+Sens!D2405*IF(Sens!F2398-Sens!D2398=life_it,1,0)+Sens!E2405*IF(Sens!F2398-Sens!E2398=life_it,1,0)</f>
        <v>0</v>
      </c>
      <c r="G2424" s="29" t="n">
        <f aca="false">Sens!C2405*IF(Sens!G2398-Sens!C2398=life_it,1,0)+Sens!D2405*IF(Sens!G2398-Sens!D2398=life_it,1,0)+Sens!E2405*IF(Sens!G2398-Sens!E2398=life_it,1,0)+Sens!F2405*IF(Sens!G2398-Sens!F2398=life_it,1,0)</f>
        <v>0</v>
      </c>
      <c r="H2424" s="29" t="n">
        <f aca="false">Sens!C2405*IF(Sens!H2398-Sens!C2398=life_it,1,0)+Sens!D2405*IF(Sens!H2398-Sens!D2398=life_it,1,0)+Sens!E2405*IF(Sens!H2398-Sens!E2398=life_it,1,0)+Sens!F2405*IF(Sens!H2398-Sens!F2398=life_it,1,0)+Sens!G2405*IF(Sens!H2398-Sens!G2398=life_it,1,0)</f>
        <v>0</v>
      </c>
      <c r="I2424" s="29" t="n">
        <f aca="false">Sens!C2405*IF(Sens!I2398-Sens!C2398=life_it,1,0)+Sens!D2405*IF(Sens!I2398-Sens!D2398=life_it,1,0)+Sens!E2405*IF(Sens!I2398-Sens!E2398=life_it,1,0)+Sens!F2405*IF(Sens!I2398-Sens!F2398=life_it,1,0)+Sens!G2405*IF(Sens!I2398-Sens!G2398=life_it,1,0)+Sens!H2405*IF(Sens!I2398-Sens!H2398=life_it,1,0)</f>
        <v>653.333333333333</v>
      </c>
      <c r="J2424" s="29" t="n">
        <f aca="false">Sens!C2405*IF(Sens!J2398-Sens!C2398=life_it,1,0)+Sens!D2405*IF(Sens!J2398-Sens!D2398=life_it,1,0)+Sens!E2405*IF(Sens!J2398-Sens!E2398=life_it,1,0)+Sens!F2405*IF(Sens!J2398-Sens!F2398=life_it,1,0)+Sens!G2405*IF(Sens!J2398-Sens!G2398=life_it,1,0)+Sens!H2405*IF(Sens!J2398-Sens!H2398=life_it,1,0)+Sens!I2405*IF(Sens!J2398-Sens!I2398=life_it,1,0)</f>
        <v>986.666666666667</v>
      </c>
      <c r="K2424" s="29" t="n">
        <f aca="false">Sens!C2405*IF(Sens!K2398-Sens!C2398=life_it,1,0)+Sens!D2405*IF(Sens!K2398-Sens!D2398=life_it,1,0)+Sens!E2405*IF(Sens!K2398-Sens!E2398=life_it,1,0)+Sens!F2405*IF(Sens!K2398-Sens!F2398=life_it,1,0)+Sens!G2405*IF(Sens!K2398-Sens!G2398=life_it,1,0)+Sens!H2405*IF(Sens!K2398-Sens!H2398=life_it,1,0)+Sens!I2405*IF(Sens!K2398-Sens!I2398=life_it,1,0)+Sens!J2405*IF(Sens!K2398-Sens!J2398=life_it,1,0)</f>
        <v>1960</v>
      </c>
      <c r="L2424" s="1" t="s">
        <v>845</v>
      </c>
    </row>
    <row r="2425" customFormat="false" ht="17.15" hidden="false" customHeight="false" outlineLevel="0" collapsed="false">
      <c r="A2425" s="0" t="s">
        <v>846</v>
      </c>
      <c r="B2425" s="0" t="s">
        <v>98</v>
      </c>
      <c r="C2425" s="6" t="n">
        <f aca="false">Sens!C2405*Sens!C2423/1000</f>
        <v>18.0267076733333</v>
      </c>
      <c r="D2425" s="6" t="n">
        <f aca="false">Sens!D2405*Sens!D2423/1000</f>
        <v>27.2240075066667</v>
      </c>
      <c r="E2425" s="6" t="n">
        <f aca="false">Sens!E2405*Sens!E2423/1000</f>
        <v>54.08012302</v>
      </c>
      <c r="F2425" s="6" t="n">
        <f aca="false">(Sens!F2405+Sens!F2424)*Sens!F2423/1000</f>
        <v>104.738617497173</v>
      </c>
      <c r="G2425" s="6" t="n">
        <f aca="false">(Sens!G2405+Sens!G2424)*Sens!G2423/1000</f>
        <v>121.24364518656</v>
      </c>
      <c r="H2425" s="6" t="n">
        <f aca="false">(Sens!H2405+Sens!H2424)*Sens!H2423/1000</f>
        <v>124.84852952832</v>
      </c>
      <c r="I2425" s="6" t="n">
        <f aca="false">(Sens!I2405+Sens!I2424)*Sens!I2423/1000</f>
        <v>112.790311547396</v>
      </c>
      <c r="J2425" s="6" t="n">
        <f aca="false">(Sens!J2405+Sens!J2424)*Sens!J2423/1000</f>
        <v>90.6473004478738</v>
      </c>
      <c r="K2425" s="6" t="n">
        <f aca="false">(Sens!K2405+Sens!K2424)*Sens!K2423/1000</f>
        <v>92.9540731367669</v>
      </c>
    </row>
    <row r="2426" customFormat="false" ht="17.15" hidden="false" customHeight="false" outlineLevel="0" collapsed="false">
      <c r="A2426" s="0" t="s">
        <v>847</v>
      </c>
      <c r="B2426" s="0" t="s">
        <v>98</v>
      </c>
      <c r="C2426" s="6" t="n">
        <f aca="false">Sens!C2405*self_build*tk_cxfac/1000</f>
        <v>4.96664</v>
      </c>
      <c r="D2426" s="6" t="n">
        <f aca="false">Sens!D2405*self_build*tk_cxfac/1000</f>
        <v>7.50064</v>
      </c>
      <c r="E2426" s="6" t="n">
        <f aca="false">Sens!E2405*self_build*tk_cxfac/1000</f>
        <v>14.89992</v>
      </c>
      <c r="F2426" s="6" t="n">
        <f aca="false">Sens!F2405*self_build*tk_cxfac/1000</f>
        <v>23.5276832</v>
      </c>
      <c r="G2426" s="6" t="n">
        <f aca="false">Sens!G2405*self_build*tk_cxfac/1000</f>
        <v>25.6156992</v>
      </c>
      <c r="H2426" s="6" t="n">
        <f aca="false">Sens!H2405*self_build*tk_cxfac/1000</f>
        <v>25.6156992</v>
      </c>
      <c r="I2426" s="6" t="n">
        <f aca="false">Sens!I2405*self_build*tk_cxfac/1000</f>
        <v>18.175023776</v>
      </c>
      <c r="J2426" s="6" t="n">
        <f aca="false">Sens!J2405*self_build*tk_cxfac/1000</f>
        <v>11.09784882752</v>
      </c>
      <c r="K2426" s="6" t="n">
        <f aca="false">Sens!K2405*self_build*tk_cxfac/1000</f>
        <v>4.1718591061056</v>
      </c>
    </row>
    <row r="2427" customFormat="false" ht="17.15" hidden="false" customHeight="false" outlineLevel="0" collapsed="false">
      <c r="A2427" s="0" t="s">
        <v>848</v>
      </c>
      <c r="B2427" s="0" t="s">
        <v>98</v>
      </c>
      <c r="F2427" s="6" t="n">
        <f aca="false">MAX(0,capex_floor27-Sens!F2425-Sens!F2426-Sens!F2521)</f>
        <v>40.2043520732642</v>
      </c>
    </row>
    <row r="2428" customFormat="false" ht="17.15" hidden="false" customHeight="false" outlineLevel="0" collapsed="false">
      <c r="A2428" s="0" t="s">
        <v>849</v>
      </c>
      <c r="B2428" s="0" t="s">
        <v>98</v>
      </c>
      <c r="C2428" s="6" t="n">
        <f aca="false">Sens!C2425</f>
        <v>18.0267076733333</v>
      </c>
      <c r="D2428" s="6" t="n">
        <f aca="false">Sens!D2425</f>
        <v>27.2240075066667</v>
      </c>
      <c r="E2428" s="6" t="n">
        <f aca="false">Sens!E2425</f>
        <v>54.08012302</v>
      </c>
      <c r="F2428" s="6" t="n">
        <f aca="false">Sens!F2425</f>
        <v>104.738617497173</v>
      </c>
      <c r="G2428" s="6" t="n">
        <f aca="false">Sens!G2425</f>
        <v>121.24364518656</v>
      </c>
      <c r="H2428" s="6" t="n">
        <f aca="false">Sens!H2425</f>
        <v>124.84852952832</v>
      </c>
      <c r="I2428" s="6" t="n">
        <f aca="false">Sens!I2425</f>
        <v>112.790311547396</v>
      </c>
      <c r="J2428" s="6" t="n">
        <f aca="false">Sens!J2425</f>
        <v>90.6473004478738</v>
      </c>
      <c r="K2428" s="6" t="n">
        <f aca="false">Sens!K2425</f>
        <v>92.9540731367669</v>
      </c>
    </row>
    <row r="2429" customFormat="false" ht="17.15" hidden="false" customHeight="false" outlineLevel="0" collapsed="false">
      <c r="A2429" s="0" t="s">
        <v>850</v>
      </c>
      <c r="B2429" s="0" t="s">
        <v>98</v>
      </c>
      <c r="C2429" s="6" t="n">
        <f aca="false">Sens!C2428+Sens!C2426</f>
        <v>22.9933476733333</v>
      </c>
      <c r="D2429" s="6" t="n">
        <f aca="false">Sens!D2428+Sens!D2426</f>
        <v>34.7246475066667</v>
      </c>
      <c r="E2429" s="6" t="n">
        <f aca="false">Sens!E2428+Sens!E2426</f>
        <v>68.98004302</v>
      </c>
      <c r="F2429" s="6" t="n">
        <f aca="false">Sens!F2428+Sens!F2426</f>
        <v>128.266300697173</v>
      </c>
      <c r="G2429" s="6" t="n">
        <f aca="false">Sens!G2428+Sens!G2426</f>
        <v>146.85934438656</v>
      </c>
      <c r="H2429" s="6" t="n">
        <f aca="false">Sens!H2428+Sens!H2426</f>
        <v>150.46422872832</v>
      </c>
      <c r="I2429" s="6" t="n">
        <f aca="false">Sens!I2428+Sens!I2426</f>
        <v>130.965335323396</v>
      </c>
      <c r="J2429" s="6" t="n">
        <f aca="false">Sens!J2428+Sens!J2426</f>
        <v>101.745149275394</v>
      </c>
      <c r="K2429" s="6" t="n">
        <f aca="false">Sens!K2428+Sens!K2426</f>
        <v>97.1259322428725</v>
      </c>
      <c r="L2429" s="11" t="s">
        <v>851</v>
      </c>
    </row>
    <row r="2430" customFormat="false" ht="17.15" hidden="false" customHeight="false" outlineLevel="0" collapsed="false">
      <c r="A2430" s="0" t="s">
        <v>852</v>
      </c>
      <c r="B2430" s="0" t="s">
        <v>98</v>
      </c>
      <c r="E2430" s="6" t="n">
        <f aca="false">(Sens!C2428*IF(2&lt;life_it,1,IF(2=life_it,0.5,0))+Sens!D2428*IF(1&lt;life_it,1,IF(1=life_it,0.5,0))+Sens!E2428*0.5)/life_it</f>
        <v>12.0484627816667</v>
      </c>
      <c r="F2430" s="6" t="n">
        <f aca="false">(Sens!C2428*IF(3&lt;life_it,1,IF(3=life_it,0.5,0))+Sens!D2428*IF(2&lt;life_it,1,IF(2=life_it,0.5,0))+Sens!E2428*IF(1&lt;life_it,1,IF(1=life_it,0.5,0))+Sens!F2428*0.5)/life_it</f>
        <v>25.2833578247644</v>
      </c>
      <c r="G2430" s="6" t="n">
        <f aca="false">(Sens!C2428*IF(4&lt;life_it,1,IF(4=life_it,0.5,0))+Sens!D2428*IF(3&lt;life_it,1,IF(3=life_it,0.5,0))+Sens!E2428*IF(2&lt;life_it,1,IF(2=life_it,0.5,0))+Sens!F2428*IF(1&lt;life_it,1,IF(1=life_it,0.5,0))+Sens!G2428*0.5)/life_it</f>
        <v>44.1152130484089</v>
      </c>
      <c r="H2430" s="6" t="n">
        <f aca="false">(Sens!C2428*IF(5&lt;life_it,1,IF(5=life_it,0.5,0))+Sens!D2428*IF(4&lt;life_it,1,IF(4=life_it,0.5,0))+Sens!E2428*IF(3&lt;life_it,1,IF(3=life_it,0.5,0))+Sens!F2428*IF(2&lt;life_it,1,IF(2=life_it,0.5,0))+Sens!G2428*IF(1&lt;life_it,1,IF(1=life_it,0.5,0))+Sens!H2428*0.5)/life_it</f>
        <v>64.6228942746489</v>
      </c>
      <c r="I2430" s="6" t="n">
        <f aca="false">(Sens!C2428*IF(6&lt;life_it,1,IF(6=life_it,0.5,0))+Sens!D2428*IF(5&lt;life_it,1,IF(5=life_it,0.5,0))+Sens!E2428*IF(4&lt;life_it,1,IF(4=life_it,0.5,0))+Sens!F2428*IF(3&lt;life_it,1,IF(3=life_it,0.5,0))+Sens!G2428*IF(2&lt;life_it,1,IF(2=life_it,0.5,0))+Sens!H2428*IF(1&lt;life_it,1,IF(1=life_it,0.5,0))+Sens!I2428*0.5)/life_it</f>
        <v>82.9239053915141</v>
      </c>
      <c r="J2430" s="6" t="n">
        <f aca="false">(Sens!C2428*IF(7&lt;life_it,1,IF(7=life_it,0.5,0))+Sens!D2428*IF(6&lt;life_it,1,IF(6=life_it,0.5,0))+Sens!E2428*IF(5&lt;life_it,1,IF(5=life_it,0.5,0))+Sens!F2428*IF(4&lt;life_it,1,IF(4=life_it,0.5,0))+Sens!G2428*IF(3&lt;life_it,1,IF(3=life_it,0.5,0))+Sens!H2428*IF(2&lt;life_it,1,IF(2=life_it,0.5,0))+Sens!I2428*IF(1&lt;life_it,1,IF(1=life_it,0.5,0))+Sens!J2428*0.5)/life_it</f>
        <v>96.1061467927866</v>
      </c>
      <c r="K2430" s="6" t="n">
        <f aca="false">(Sens!C2428*IF(8&lt;life_it,1,IF(8=life_it,0.5,0))+Sens!D2428*IF(7&lt;life_it,1,IF(7=life_it,0.5,0))+Sens!E2428*IF(6&lt;life_it,1,IF(6=life_it,0.5,0))+Sens!F2428*IF(5&lt;life_it,1,IF(5=life_it,0.5,0))+Sens!G2428*IF(4&lt;life_it,1,IF(4=life_it,0.5,0))+Sens!H2428*IF(3&lt;life_it,1,IF(3=life_it,0.5,0))+Sens!I2428*IF(2&lt;life_it,1,IF(2=life_it,0.5,0))+Sens!J2428*IF(1&lt;life_it,1,IF(1=life_it,0.5,0))+Sens!K2428*0.5)/life_it</f>
        <v>104.630917047618</v>
      </c>
    </row>
    <row r="2431" customFormat="false" ht="17.15" hidden="false" customHeight="false" outlineLevel="0" collapsed="false">
      <c r="A2431" s="0" t="s">
        <v>853</v>
      </c>
      <c r="B2431" s="0" t="s">
        <v>98</v>
      </c>
      <c r="E2431" s="6" t="n">
        <f aca="false">(Sens!C2426*IF(2&lt;life_fac,1,IF(2=life_fac,0.5,0))+Sens!D2426*IF(1&lt;life_fac,1,IF(1=life_fac,0.5,0))+Sens!E2426*0.5)/life_fac</f>
        <v>0.995862</v>
      </c>
      <c r="F2431" s="6" t="n">
        <f aca="false">(Sens!C2426*IF(3&lt;life_fac,1,IF(3=life_fac,0.5,0))+Sens!D2426*IF(2&lt;life_fac,1,IF(2=life_fac,0.5,0))+Sens!E2426*IF(1&lt;life_fac,1,IF(1=life_fac,0.5,0))+Sens!F2426*0.5)/life_fac</f>
        <v>1.95655208</v>
      </c>
      <c r="G2431" s="6" t="n">
        <f aca="false">(Sens!C2426*IF(4&lt;life_fac,1,IF(4=life_fac,0.5,0))+Sens!D2426*IF(3&lt;life_fac,1,IF(3=life_fac,0.5,0))+Sens!E2426*IF(2&lt;life_fac,1,IF(2=life_fac,0.5,0))+Sens!F2426*IF(1&lt;life_fac,1,IF(1=life_fac,0.5,0))+Sens!G2426*0.5)/life_fac</f>
        <v>3.18513664</v>
      </c>
      <c r="H2431" s="6" t="n">
        <f aca="false">(Sens!C2426*IF(5&lt;life_fac,1,IF(5=life_fac,0.5,0))+Sens!D2426*IF(4&lt;life_fac,1,IF(4=life_fac,0.5,0))+Sens!E2426*IF(3&lt;life_fac,1,IF(3=life_fac,0.5,0))+Sens!F2426*IF(2&lt;life_fac,1,IF(2=life_fac,0.5,0))+Sens!G2426*IF(1&lt;life_fac,1,IF(1=life_fac,0.5,0))+Sens!H2426*0.5)/life_fac</f>
        <v>4.4659216</v>
      </c>
      <c r="I2431" s="6" t="n">
        <f aca="false">(Sens!C2426*IF(6&lt;life_fac,1,IF(6=life_fac,0.5,0))+Sens!D2426*IF(5&lt;life_fac,1,IF(5=life_fac,0.5,0))+Sens!E2426*IF(4&lt;life_fac,1,IF(4=life_fac,0.5,0))+Sens!F2426*IF(3&lt;life_fac,1,IF(3=life_fac,0.5,0))+Sens!G2426*IF(2&lt;life_fac,1,IF(2=life_fac,0.5,0))+Sens!H2426*IF(1&lt;life_fac,1,IF(1=life_fac,0.5,0))+Sens!I2426*0.5)/life_fac</f>
        <v>5.5606896744</v>
      </c>
      <c r="J2431" s="6" t="n">
        <f aca="false">(Sens!C2426*IF(7&lt;life_fac,1,IF(7=life_fac,0.5,0))+Sens!D2426*IF(6&lt;life_fac,1,IF(6=life_fac,0.5,0))+Sens!E2426*IF(5&lt;life_fac,1,IF(5=life_fac,0.5,0))+Sens!F2426*IF(4&lt;life_fac,1,IF(4=life_fac,0.5,0))+Sens!G2426*IF(3&lt;life_fac,1,IF(3=life_fac,0.5,0))+Sens!H2426*IF(2&lt;life_fac,1,IF(2=life_fac,0.5,0))+Sens!I2426*IF(1&lt;life_fac,1,IF(1=life_fac,0.5,0))+Sens!J2426*0.5)/life_fac</f>
        <v>6.292511489488</v>
      </c>
      <c r="K2431" s="6" t="n">
        <f aca="false">(Sens!C2426*IF(8&lt;life_fac,1,IF(8=life_fac,0.5,0))+Sens!D2426*IF(7&lt;life_fac,1,IF(7=life_fac,0.5,0))+Sens!E2426*IF(6&lt;life_fac,1,IF(6=life_fac,0.5,0))+Sens!F2426*IF(5&lt;life_fac,1,IF(5=life_fac,0.5,0))+Sens!G2426*IF(4&lt;life_fac,1,IF(4=life_fac,0.5,0))+Sens!H2426*IF(3&lt;life_fac,1,IF(3=life_fac,0.5,0))+Sens!I2426*IF(2&lt;life_fac,1,IF(2=life_fac,0.5,0))+Sens!J2426*IF(1&lt;life_fac,1,IF(1=life_fac,0.5,0))+Sens!K2426*0.5)/life_fac</f>
        <v>6.67425418782864</v>
      </c>
    </row>
    <row r="2432" customFormat="false" ht="17.15" hidden="false" customHeight="false" outlineLevel="0" collapsed="false">
      <c r="A2432" s="0" t="s">
        <v>854</v>
      </c>
      <c r="B2432" s="0" t="s">
        <v>98</v>
      </c>
      <c r="E2432" s="6" t="n">
        <f aca="false">Sens!E2430+Sens!E2431</f>
        <v>13.0443247816667</v>
      </c>
      <c r="F2432" s="6" t="n">
        <f aca="false">Sens!F2430+Sens!F2431</f>
        <v>27.2399099047645</v>
      </c>
      <c r="G2432" s="6" t="n">
        <f aca="false">Sens!G2430+Sens!G2431</f>
        <v>47.3003496884089</v>
      </c>
      <c r="H2432" s="6" t="n">
        <f aca="false">Sens!H2430+Sens!H2431</f>
        <v>69.0888158746489</v>
      </c>
      <c r="I2432" s="6" t="n">
        <f aca="false">Sens!I2430+Sens!I2431</f>
        <v>88.4845950659141</v>
      </c>
      <c r="J2432" s="6" t="n">
        <f aca="false">Sens!J2430+Sens!J2431</f>
        <v>102.398658282275</v>
      </c>
      <c r="K2432" s="6" t="n">
        <f aca="false">Sens!K2430+Sens!K2431</f>
        <v>111.305171235446</v>
      </c>
    </row>
    <row r="2433" customFormat="false" ht="17.15" hidden="false" customHeight="false" outlineLevel="0" collapsed="false">
      <c r="A2433" s="0" t="s">
        <v>855</v>
      </c>
      <c r="B2433" s="0" t="s">
        <v>98</v>
      </c>
      <c r="E2433" s="6" t="n">
        <f aca="false">Sens!E2421-Sens!E2420*Sens!E2432</f>
        <v>8.92707889977379</v>
      </c>
      <c r="F2433" s="6" t="n">
        <f aca="false">Sens!F2421-Sens!F2420*Sens!F2432</f>
        <v>22.6979209761638</v>
      </c>
      <c r="G2433" s="6" t="n">
        <f aca="false">Sens!G2421-Sens!G2420*Sens!G2432</f>
        <v>42.9960401135986</v>
      </c>
      <c r="H2433" s="6" t="n">
        <f aca="false">Sens!H2421-Sens!H2420*Sens!H2432</f>
        <v>68.3530123552322</v>
      </c>
      <c r="I2433" s="6" t="n">
        <f aca="false">Sens!I2421-Sens!I2420*Sens!I2432</f>
        <v>85.5693875361303</v>
      </c>
      <c r="J2433" s="6" t="n">
        <f aca="false">Sens!J2421-Sens!J2420*Sens!J2432</f>
        <v>97.6813621174372</v>
      </c>
      <c r="K2433" s="6" t="n">
        <f aca="false">Sens!K2421-Sens!K2420*Sens!K2432</f>
        <v>106.099477202773</v>
      </c>
    </row>
    <row r="2434" customFormat="false" ht="17.15" hidden="false" customHeight="false" outlineLevel="0" collapsed="false">
      <c r="A2434" s="3" t="s">
        <v>1323</v>
      </c>
    </row>
    <row r="2435" customFormat="false" ht="15" hidden="false" customHeight="false" outlineLevel="0" collapsed="false">
      <c r="A2435" s="4" t="s">
        <v>43</v>
      </c>
      <c r="B2435" s="4" t="s">
        <v>65</v>
      </c>
      <c r="C2435" s="20" t="s">
        <v>799</v>
      </c>
      <c r="D2435" s="20" t="s">
        <v>800</v>
      </c>
      <c r="E2435" s="20" t="s">
        <v>801</v>
      </c>
      <c r="F2435" s="20" t="s">
        <v>802</v>
      </c>
      <c r="G2435" s="20" t="s">
        <v>803</v>
      </c>
      <c r="H2435" s="20" t="s">
        <v>804</v>
      </c>
      <c r="I2435" s="20" t="s">
        <v>805</v>
      </c>
      <c r="J2435" s="20" t="s">
        <v>806</v>
      </c>
      <c r="K2435" s="20" t="s">
        <v>807</v>
      </c>
      <c r="L2435" s="4" t="s">
        <v>47</v>
      </c>
    </row>
    <row r="2436" customFormat="false" ht="17.15" hidden="false" customHeight="false" outlineLevel="0" collapsed="false">
      <c r="A2436" s="0" t="s">
        <v>874</v>
      </c>
      <c r="B2436" s="0" t="s">
        <v>98</v>
      </c>
      <c r="D2436" s="6" t="n">
        <f aca="false">Sens!D2415</f>
        <v>12.9359794422418</v>
      </c>
      <c r="E2436" s="6" t="n">
        <f aca="false">Sens!E2415</f>
        <v>27.8095064661409</v>
      </c>
      <c r="F2436" s="6" t="n">
        <f aca="false">Sens!F2415</f>
        <v>58.7324192305018</v>
      </c>
      <c r="G2436" s="6" t="n">
        <f aca="false">Sens!G2415</f>
        <v>101.369089141153</v>
      </c>
      <c r="H2436" s="6" t="n">
        <f aca="false">Sens!H2415</f>
        <v>149.785610014234</v>
      </c>
      <c r="I2436" s="6" t="n">
        <f aca="false">Sens!I2415</f>
        <v>187.368703083263</v>
      </c>
      <c r="J2436" s="6" t="n">
        <f aca="false">Sens!J2415</f>
        <v>213.886657444854</v>
      </c>
      <c r="K2436" s="6" t="n">
        <f aca="false">Sens!K2415</f>
        <v>231.253475259589</v>
      </c>
    </row>
    <row r="2437" customFormat="false" ht="17.15" hidden="false" customHeight="false" outlineLevel="0" collapsed="false">
      <c r="A2437" s="0" t="s">
        <v>875</v>
      </c>
      <c r="B2437" s="0" t="s">
        <v>98</v>
      </c>
      <c r="D2437" s="6" t="n">
        <f aca="false">Q!L6-Sens!D2436</f>
        <v>59.6740205577583</v>
      </c>
      <c r="E2437" s="6" t="n">
        <f aca="false">Q!M6-Sens!E2436</f>
        <v>74.1284935338591</v>
      </c>
      <c r="F2437" s="6" t="n">
        <f aca="false">Sens!E2437*(1+Sens!F2438)</f>
        <v>90.0799497373663</v>
      </c>
      <c r="G2437" s="6" t="n">
        <f aca="false">Sens!F2437*(1+Sens!G2438)</f>
        <v>107.02842520331</v>
      </c>
      <c r="H2437" s="6" t="n">
        <f aca="false">Sens!G2437*(1+Sens!H2438)</f>
        <v>124.271982585636</v>
      </c>
      <c r="I2437" s="6" t="n">
        <f aca="false">Sens!H2437*(1+Sens!I2438)</f>
        <v>140.933702381855</v>
      </c>
      <c r="J2437" s="6" t="n">
        <f aca="false">Sens!I2437*(1+Sens!J2438)</f>
        <v>156.018867314332</v>
      </c>
      <c r="K2437" s="6" t="n">
        <f aca="false">Sens!J2437*(1+Sens!K2438)</f>
        <v>168.500376699478</v>
      </c>
    </row>
    <row r="2438" customFormat="false" ht="15" hidden="false" customHeight="false" outlineLevel="0" collapsed="false">
      <c r="A2438" s="1" t="s">
        <v>876</v>
      </c>
      <c r="B2438" s="0" t="s">
        <v>129</v>
      </c>
      <c r="E2438" s="7" t="n">
        <f aca="false">Sens!E2437/Sens!D2437-1</f>
        <v>0.242223883039864</v>
      </c>
      <c r="F2438" s="7" t="n">
        <f aca="false">Sens!$E$2438+(glt_azo-Sens!$E$2438)*MIN(1,(Sens!F2398-base_fy)/n_conv)</f>
        <v>0.215186569199887</v>
      </c>
      <c r="G2438" s="7" t="n">
        <f aca="false">Sens!$E$2438+(glt_azo-Sens!$E$2438)*MIN(1,(Sens!G2398-base_fy)/n_conv)</f>
        <v>0.18814925535991</v>
      </c>
      <c r="H2438" s="7" t="n">
        <f aca="false">Sens!$E$2438+(glt_azo-Sens!$E$2438)*MIN(1,(Sens!H2398-base_fy)/n_conv)</f>
        <v>0.161111941519932</v>
      </c>
      <c r="I2438" s="7" t="n">
        <f aca="false">Sens!$E$2438+(glt_azo-Sens!$E$2438)*MIN(1,(Sens!I2398-base_fy)/n_conv)</f>
        <v>0.134074627679955</v>
      </c>
      <c r="J2438" s="7" t="n">
        <f aca="false">Sens!$E$2438+(glt_azo-Sens!$E$2438)*MIN(1,(Sens!J2398-base_fy)/n_conv)</f>
        <v>0.107037313839977</v>
      </c>
      <c r="K2438" s="7" t="n">
        <f aca="false">Sens!$E$2438+(glt_azo-Sens!$E$2438)*MIN(1,(Sens!K2398-base_fy)/n_conv)</f>
        <v>0.08</v>
      </c>
    </row>
    <row r="2439" customFormat="false" ht="15" hidden="false" customHeight="false" outlineLevel="0" collapsed="false">
      <c r="A2439" s="0" t="s">
        <v>877</v>
      </c>
      <c r="B2439" s="0" t="s">
        <v>98</v>
      </c>
      <c r="D2439" s="6" t="n">
        <f aca="false">Sens!D2436+Sens!D2437</f>
        <v>72.61</v>
      </c>
      <c r="E2439" s="6" t="n">
        <f aca="false">Sens!E2436+Sens!E2437</f>
        <v>101.938</v>
      </c>
      <c r="F2439" s="6" t="n">
        <f aca="false">Sens!F2436+Sens!F2437</f>
        <v>148.812368967868</v>
      </c>
      <c r="G2439" s="6" t="n">
        <f aca="false">Sens!G2436+Sens!G2437</f>
        <v>208.397514344463</v>
      </c>
      <c r="H2439" s="6" t="n">
        <f aca="false">Sens!H2436+Sens!H2437</f>
        <v>274.05759259987</v>
      </c>
      <c r="I2439" s="6" t="n">
        <f aca="false">Sens!I2436+Sens!I2437</f>
        <v>328.302405465117</v>
      </c>
      <c r="J2439" s="6" t="n">
        <f aca="false">Sens!J2436+Sens!J2437</f>
        <v>369.905524759186</v>
      </c>
      <c r="K2439" s="6" t="n">
        <f aca="false">Sens!K2436+Sens!K2437</f>
        <v>399.753851959067</v>
      </c>
    </row>
    <row r="2440" customFormat="false" ht="17.15" hidden="false" customHeight="false" outlineLevel="0" collapsed="false">
      <c r="A2440" s="0" t="s">
        <v>878</v>
      </c>
      <c r="B2440" s="1" t="s">
        <v>528</v>
      </c>
      <c r="C2440" s="29" t="n">
        <f aca="false">cop_s24</f>
        <v>1</v>
      </c>
      <c r="D2440" s="29" t="n">
        <f aca="false">cop_s25</f>
        <v>5</v>
      </c>
      <c r="E2440" s="29" t="n">
        <f aca="false">cop_s26</f>
        <v>30</v>
      </c>
      <c r="F2440" s="29" t="n">
        <f aca="false">Sens!E2440+cop_add_A</f>
        <v>60</v>
      </c>
      <c r="G2440" s="29" t="n">
        <f aca="false">Sens!F2440+cop_add_A</f>
        <v>90</v>
      </c>
      <c r="H2440" s="29" t="n">
        <f aca="false">Sens!G2440+cop_add_A</f>
        <v>120</v>
      </c>
      <c r="I2440" s="29" t="n">
        <f aca="false">Sens!H2440+cop_add_A*cop_tail</f>
        <v>135</v>
      </c>
      <c r="J2440" s="29" t="n">
        <f aca="false">Sens!I2440+cop_add_A*cop_tail</f>
        <v>150</v>
      </c>
      <c r="K2440" s="29" t="n">
        <f aca="false">Sens!J2440+cop_add_A*cop_tail</f>
        <v>165</v>
      </c>
      <c r="L2440" s="11" t="s">
        <v>879</v>
      </c>
    </row>
    <row r="2441" customFormat="false" ht="17.15" hidden="false" customHeight="false" outlineLevel="0" collapsed="false">
      <c r="A2441" s="0" t="s">
        <v>880</v>
      </c>
      <c r="B2441" s="0" t="s">
        <v>98</v>
      </c>
      <c r="D2441" s="6" t="n">
        <f aca="false">(Sens!C2440+Sens!D2440)/2*cop_px*12/1000</f>
        <v>0.9</v>
      </c>
      <c r="E2441" s="6" t="n">
        <f aca="false">(Sens!D2440+Sens!E2440)/2*cop_px*12/1000</f>
        <v>5.25</v>
      </c>
      <c r="F2441" s="6" t="n">
        <f aca="false">(Sens!E2440+Sens!F2440)/2*cop_px*12/1000</f>
        <v>13.5</v>
      </c>
      <c r="G2441" s="6" t="n">
        <f aca="false">(Sens!F2440+Sens!G2440)/2*cop_px*12/1000</f>
        <v>22.5</v>
      </c>
      <c r="H2441" s="6" t="n">
        <f aca="false">(Sens!G2440+Sens!H2440)/2*cop_px*12/1000</f>
        <v>31.5</v>
      </c>
      <c r="I2441" s="6" t="n">
        <f aca="false">(Sens!H2440+Sens!I2440)/2*cop_px*12/1000</f>
        <v>38.25</v>
      </c>
      <c r="J2441" s="6" t="n">
        <f aca="false">(Sens!I2440+Sens!J2440)/2*cop_px*12/1000</f>
        <v>42.75</v>
      </c>
      <c r="K2441" s="6" t="n">
        <f aca="false">(Sens!J2440+Sens!K2440)/2*cop_px*12/1000</f>
        <v>47.25</v>
      </c>
      <c r="L2441" s="1" t="s">
        <v>881</v>
      </c>
    </row>
    <row r="2442" customFormat="false" ht="17.15" hidden="false" customHeight="false" outlineLevel="0" collapsed="false">
      <c r="A2442" s="0" t="s">
        <v>882</v>
      </c>
      <c r="B2442" s="0" t="s">
        <v>98</v>
      </c>
      <c r="D2442" s="6" t="n">
        <f aca="false">Q!L7-Sens!D2441</f>
        <v>83.705</v>
      </c>
      <c r="E2442" s="6" t="n">
        <f aca="false">Q!M7-Sens!E2441</f>
        <v>95.049</v>
      </c>
      <c r="F2442" s="6" t="n">
        <f aca="false">Sens!E2442*(1+Sens!F2443)</f>
        <v>106.89238776686</v>
      </c>
      <c r="G2442" s="6" t="n">
        <f aca="false">Sens!F2442*(1+Sens!G2443)</f>
        <v>119.044168448684</v>
      </c>
      <c r="H2442" s="6" t="n">
        <f aca="false">Sens!G2442*(1+Sens!H2443)</f>
        <v>131.277359388781</v>
      </c>
      <c r="I2442" s="6" t="n">
        <f aca="false">Sens!H2442*(1+Sens!I2443)</f>
        <v>143.334028071957</v>
      </c>
      <c r="J2442" s="6" t="n">
        <f aca="false">Sens!I2442*(1+Sens!J2443)</f>
        <v>154.932702785465</v>
      </c>
      <c r="K2442" s="6" t="n">
        <f aca="false">Sens!J2442*(1+Sens!K2443)</f>
        <v>165.777991980448</v>
      </c>
    </row>
    <row r="2443" customFormat="false" ht="15" hidden="false" customHeight="false" outlineLevel="0" collapsed="false">
      <c r="A2443" s="1" t="s">
        <v>876</v>
      </c>
      <c r="B2443" s="0" t="s">
        <v>129</v>
      </c>
      <c r="E2443" s="7" t="n">
        <f aca="false">Sens!E2442/Sens!D2442-1</f>
        <v>0.135523564900544</v>
      </c>
      <c r="F2443" s="7" t="n">
        <f aca="false">Sens!$E$2443+(glt_m365b-Sens!$E$2443)*MIN(1,(Sens!F2398-base_fy)/n_conv)</f>
        <v>0.124602970750453</v>
      </c>
      <c r="G2443" s="7" t="n">
        <f aca="false">Sens!$E$2443+(glt_m365b-Sens!$E$2443)*MIN(1,(Sens!G2398-base_fy)/n_conv)</f>
        <v>0.113682376600363</v>
      </c>
      <c r="H2443" s="7" t="n">
        <f aca="false">Sens!$E$2443+(glt_m365b-Sens!$E$2443)*MIN(1,(Sens!H2398-base_fy)/n_conv)</f>
        <v>0.102761782450272</v>
      </c>
      <c r="I2443" s="7" t="n">
        <f aca="false">Sens!$E$2443+(glt_m365b-Sens!$E$2443)*MIN(1,(Sens!I2398-base_fy)/n_conv)</f>
        <v>0.0918411883001813</v>
      </c>
      <c r="J2443" s="7" t="n">
        <f aca="false">Sens!$E$2443+(glt_m365b-Sens!$E$2443)*MIN(1,(Sens!J2398-base_fy)/n_conv)</f>
        <v>0.0809205941500906</v>
      </c>
      <c r="K2443" s="7" t="n">
        <f aca="false">Sens!$E$2443+(glt_m365b-Sens!$E$2443)*MIN(1,(Sens!K2398-base_fy)/n_conv)</f>
        <v>0.07</v>
      </c>
    </row>
    <row r="2444" customFormat="false" ht="15" hidden="false" customHeight="false" outlineLevel="0" collapsed="false">
      <c r="A2444" s="0" t="s">
        <v>883</v>
      </c>
      <c r="B2444" s="0" t="s">
        <v>98</v>
      </c>
      <c r="D2444" s="6" t="n">
        <f aca="false">Sens!D2442+Sens!D2441</f>
        <v>84.605</v>
      </c>
      <c r="E2444" s="6" t="n">
        <f aca="false">Sens!E2442+Sens!E2441</f>
        <v>100.299</v>
      </c>
      <c r="F2444" s="6" t="n">
        <f aca="false">Sens!F2442+Sens!F2441</f>
        <v>120.39238776686</v>
      </c>
      <c r="G2444" s="6" t="n">
        <f aca="false">Sens!G2442+Sens!G2441</f>
        <v>141.544168448684</v>
      </c>
      <c r="H2444" s="6" t="n">
        <f aca="false">Sens!H2442+Sens!H2441</f>
        <v>162.777359388781</v>
      </c>
      <c r="I2444" s="6" t="n">
        <f aca="false">Sens!I2442+Sens!I2441</f>
        <v>181.584028071957</v>
      </c>
      <c r="J2444" s="6" t="n">
        <f aca="false">Sens!J2442+Sens!J2441</f>
        <v>197.682702785465</v>
      </c>
      <c r="K2444" s="6" t="n">
        <f aca="false">Sens!K2442+Sens!K2441</f>
        <v>213.027991980448</v>
      </c>
    </row>
    <row r="2445" customFormat="false" ht="15" hidden="false" customHeight="false" outlineLevel="0" collapsed="false">
      <c r="A2445" s="0" t="s">
        <v>884</v>
      </c>
      <c r="B2445" s="0" t="s">
        <v>98</v>
      </c>
      <c r="D2445" s="6" t="n">
        <f aca="false">Q!L8</f>
        <v>35.391</v>
      </c>
      <c r="E2445" s="6" t="n">
        <f aca="false">Q!M8</f>
        <v>37.285</v>
      </c>
      <c r="F2445" s="6" t="n">
        <f aca="false">Sens!E2445*(1+Sens!F2446)</f>
        <v>39.0720834331704</v>
      </c>
      <c r="G2445" s="6" t="n">
        <f aca="false">Sens!F2445*(1+Sens!G2446)</f>
        <v>40.726562953769</v>
      </c>
      <c r="H2445" s="6" t="n">
        <f aca="false">Sens!G2445*(1+Sens!H2446)</f>
        <v>42.2235987259198</v>
      </c>
      <c r="I2445" s="6" t="n">
        <f aca="false">Sens!H2445*(1+Sens!I2446)</f>
        <v>43.5397988077414</v>
      </c>
      <c r="J2445" s="6" t="n">
        <f aca="false">Sens!I2445*(1+Sens!J2446)</f>
        <v>44.653811225693</v>
      </c>
      <c r="K2445" s="6" t="n">
        <f aca="false">Sens!J2445*(1+Sens!K2446)</f>
        <v>45.5468874502068</v>
      </c>
    </row>
    <row r="2446" customFormat="false" ht="15" hidden="false" customHeight="false" outlineLevel="0" collapsed="false">
      <c r="A2446" s="1" t="s">
        <v>876</v>
      </c>
      <c r="B2446" s="0" t="s">
        <v>129</v>
      </c>
      <c r="E2446" s="7" t="n">
        <f aca="false">Sens!E2445/Sens!D2445-1</f>
        <v>0.0535164307309768</v>
      </c>
      <c r="F2446" s="7" t="n">
        <f aca="false">Sens!$E$2446+(glt_lic-Sens!$E$2446)*MIN(1,(Sens!F2398-base_fy)/n_conv)</f>
        <v>0.0479303589424807</v>
      </c>
      <c r="G2446" s="7" t="n">
        <f aca="false">Sens!$E$2446+(glt_lic-Sens!$E$2446)*MIN(1,(Sens!G2398-base_fy)/n_conv)</f>
        <v>0.0423442871539845</v>
      </c>
      <c r="H2446" s="7" t="n">
        <f aca="false">Sens!$E$2446+(glt_lic-Sens!$E$2446)*MIN(1,(Sens!H2398-base_fy)/n_conv)</f>
        <v>0.0367582153654884</v>
      </c>
      <c r="I2446" s="7" t="n">
        <f aca="false">Sens!$E$2446+(glt_lic-Sens!$E$2446)*MIN(1,(Sens!I2398-base_fy)/n_conv)</f>
        <v>0.0311721435769923</v>
      </c>
      <c r="J2446" s="7" t="n">
        <f aca="false">Sens!$E$2446+(glt_lic-Sens!$E$2446)*MIN(1,(Sens!J2398-base_fy)/n_conv)</f>
        <v>0.0255860717884961</v>
      </c>
      <c r="K2446" s="7" t="n">
        <f aca="false">Sens!$E$2446+(glt_lic-Sens!$E$2446)*MIN(1,(Sens!K2398-base_fy)/n_conv)</f>
        <v>0.02</v>
      </c>
    </row>
    <row r="2447" customFormat="false" ht="15" hidden="false" customHeight="false" outlineLevel="0" collapsed="false">
      <c r="A2447" s="0" t="s">
        <v>885</v>
      </c>
      <c r="B2447" s="0" t="s">
        <v>98</v>
      </c>
      <c r="D2447" s="6" t="n">
        <f aca="false">Q!L9</f>
        <v>18.417</v>
      </c>
      <c r="E2447" s="6" t="n">
        <f aca="false">Q!M9</f>
        <v>20.345</v>
      </c>
      <c r="F2447" s="6" t="n">
        <f aca="false">Sens!E2447*(1+Sens!F2448)</f>
        <v>22.3572203267814</v>
      </c>
      <c r="G2447" s="6" t="n">
        <f aca="false">Sens!F2447*(1+Sens!G2448)</f>
        <v>24.4392124437232</v>
      </c>
      <c r="H2447" s="6" t="n">
        <f aca="false">Sens!G2447*(1+Sens!H2448)</f>
        <v>26.5738052080665</v>
      </c>
      <c r="I2447" s="6" t="n">
        <f aca="false">Sens!H2447*(1+Sens!I2448)</f>
        <v>28.7412169166967</v>
      </c>
      <c r="J2447" s="6" t="n">
        <f aca="false">Sens!I2447*(1+Sens!J2448)</f>
        <v>30.9192545395413</v>
      </c>
      <c r="K2447" s="6" t="n">
        <f aca="false">Sens!J2447*(1+Sens!K2448)</f>
        <v>33.0836023573092</v>
      </c>
    </row>
    <row r="2448" customFormat="false" ht="15" hidden="false" customHeight="false" outlineLevel="0" collapsed="false">
      <c r="A2448" s="1" t="s">
        <v>876</v>
      </c>
      <c r="B2448" s="0" t="s">
        <v>129</v>
      </c>
      <c r="E2448" s="7" t="n">
        <f aca="false">Sens!E2447/Sens!D2447-1</f>
        <v>0.104685888038225</v>
      </c>
      <c r="F2448" s="7" t="n">
        <f aca="false">Sens!$E$2448+(glt_ind-Sens!$E$2448)*MIN(1,(Sens!F2398-base_fy)/n_conv)</f>
        <v>0.0989049066985211</v>
      </c>
      <c r="G2448" s="7" t="n">
        <f aca="false">Sens!$E$2448+(glt_ind-Sens!$E$2448)*MIN(1,(Sens!G2398-base_fy)/n_conv)</f>
        <v>0.0931239253588169</v>
      </c>
      <c r="H2448" s="7" t="n">
        <f aca="false">Sens!$E$2448+(glt_ind-Sens!$E$2448)*MIN(1,(Sens!H2398-base_fy)/n_conv)</f>
        <v>0.0873429440191127</v>
      </c>
      <c r="I2448" s="7" t="n">
        <f aca="false">Sens!$E$2448+(glt_ind-Sens!$E$2448)*MIN(1,(Sens!I2398-base_fy)/n_conv)</f>
        <v>0.0815619626794085</v>
      </c>
      <c r="J2448" s="7" t="n">
        <f aca="false">Sens!$E$2448+(glt_ind-Sens!$E$2448)*MIN(1,(Sens!J2398-base_fy)/n_conv)</f>
        <v>0.0757809813397042</v>
      </c>
      <c r="K2448" s="7" t="n">
        <f aca="false">Sens!$E$2448+(glt_ind-Sens!$E$2448)*MIN(1,(Sens!K2398-base_fy)/n_conv)</f>
        <v>0.07</v>
      </c>
    </row>
    <row r="2449" customFormat="false" ht="15" hidden="false" customHeight="false" outlineLevel="0" collapsed="false">
      <c r="A2449" s="0" t="s">
        <v>886</v>
      </c>
      <c r="B2449" s="0" t="s">
        <v>98</v>
      </c>
      <c r="D2449" s="6" t="n">
        <f aca="false">Q!L10</f>
        <v>7.76</v>
      </c>
      <c r="E2449" s="6" t="n">
        <f aca="false">Q!M10</f>
        <v>8.26</v>
      </c>
      <c r="F2449" s="6" t="n">
        <f aca="false">Sens!E2449*(1+Sens!F2450)</f>
        <v>8.79988041237113</v>
      </c>
      <c r="G2449" s="6" t="n">
        <f aca="false">Sens!F2449*(1+Sens!G2450)</f>
        <v>9.38321269125306</v>
      </c>
      <c r="H2449" s="6" t="n">
        <f aca="false">Sens!G2449*(1+Sens!H2450)</f>
        <v>10.0139193587476</v>
      </c>
      <c r="I2449" s="6" t="n">
        <f aca="false">Sens!H2449*(1+Sens!I2450)</f>
        <v>10.6963111830911</v>
      </c>
      <c r="J2449" s="6" t="n">
        <f aca="false">Sens!I2449*(1+Sens!J2450)</f>
        <v>11.4351285534696</v>
      </c>
      <c r="K2449" s="6" t="n">
        <f aca="false">Sens!J2449*(1+Sens!K2450)</f>
        <v>12.2355875522124</v>
      </c>
    </row>
    <row r="2450" customFormat="false" ht="15" hidden="false" customHeight="false" outlineLevel="0" collapsed="false">
      <c r="A2450" s="1" t="s">
        <v>876</v>
      </c>
      <c r="B2450" s="0" t="s">
        <v>129</v>
      </c>
      <c r="E2450" s="7" t="n">
        <f aca="false">Sens!E2449/Sens!D2449-1</f>
        <v>0.0644329896907216</v>
      </c>
      <c r="F2450" s="7" t="n">
        <f aca="false">Sens!$E$2450+(glt_fro-Sens!$E$2450)*MIN(1,(Sens!F2398-base_fy)/n_conv)</f>
        <v>0.065360824742268</v>
      </c>
      <c r="G2450" s="7" t="n">
        <f aca="false">Sens!$E$2450+(glt_fro-Sens!$E$2450)*MIN(1,(Sens!G2398-base_fy)/n_conv)</f>
        <v>0.0662886597938144</v>
      </c>
      <c r="H2450" s="7" t="n">
        <f aca="false">Sens!$E$2450+(glt_fro-Sens!$E$2450)*MIN(1,(Sens!H2398-base_fy)/n_conv)</f>
        <v>0.0672164948453608</v>
      </c>
      <c r="I2450" s="7" t="n">
        <f aca="false">Sens!$E$2450+(glt_fro-Sens!$E$2450)*MIN(1,(Sens!I2398-base_fy)/n_conv)</f>
        <v>0.0681443298969072</v>
      </c>
      <c r="J2450" s="7" t="n">
        <f aca="false">Sens!$E$2450+(glt_fro-Sens!$E$2450)*MIN(1,(Sens!J2398-base_fy)/n_conv)</f>
        <v>0.0690721649484536</v>
      </c>
      <c r="K2450" s="7" t="n">
        <f aca="false">Sens!$E$2450+(glt_fro-Sens!$E$2450)*MIN(1,(Sens!K2398-base_fy)/n_conv)</f>
        <v>0.07</v>
      </c>
    </row>
    <row r="2451" customFormat="false" ht="15" hidden="false" customHeight="false" outlineLevel="0" collapsed="false">
      <c r="A2451" s="0" t="s">
        <v>715</v>
      </c>
      <c r="B2451" s="0" t="s">
        <v>98</v>
      </c>
      <c r="D2451" s="6" t="n">
        <f aca="false">Sens!D2439+Sens!D2444+Sens!D2445+Sens!D2447+Sens!D2449</f>
        <v>218.783</v>
      </c>
      <c r="E2451" s="6" t="n">
        <f aca="false">Sens!E2439+Sens!E2444+Sens!E2445+Sens!E2447+Sens!E2449</f>
        <v>268.127</v>
      </c>
      <c r="F2451" s="6" t="n">
        <f aca="false">Sens!F2439+Sens!F2444+Sens!F2445+Sens!F2447+Sens!F2449</f>
        <v>339.433940907051</v>
      </c>
      <c r="G2451" s="6" t="n">
        <f aca="false">Sens!G2439+Sens!G2444+Sens!G2445+Sens!G2447+Sens!G2449</f>
        <v>424.490670881892</v>
      </c>
      <c r="H2451" s="6" t="n">
        <f aca="false">Sens!H2439+Sens!H2444+Sens!H2445+Sens!H2447+Sens!H2449</f>
        <v>515.646275281385</v>
      </c>
      <c r="I2451" s="6" t="n">
        <f aca="false">Sens!I2439+Sens!I2444+Sens!I2445+Sens!I2447+Sens!I2449</f>
        <v>592.863760444604</v>
      </c>
      <c r="J2451" s="6" t="n">
        <f aca="false">Sens!J2439+Sens!J2444+Sens!J2445+Sens!J2447+Sens!J2449</f>
        <v>654.596421863355</v>
      </c>
      <c r="K2451" s="6" t="n">
        <f aca="false">Sens!K2439+Sens!K2444+Sens!K2445+Sens!K2447+Sens!K2449</f>
        <v>703.647921299244</v>
      </c>
    </row>
    <row r="2452" customFormat="false" ht="15" hidden="false" customHeight="false" outlineLevel="0" collapsed="false">
      <c r="A2452" s="0" t="s">
        <v>887</v>
      </c>
      <c r="B2452" s="0" t="s">
        <v>98</v>
      </c>
      <c r="D2452" s="6" t="n">
        <f aca="false">Q!L13</f>
        <v>22.171</v>
      </c>
      <c r="E2452" s="6" t="n">
        <f aca="false">Q!M13</f>
        <v>24.835</v>
      </c>
      <c r="F2452" s="6" t="n">
        <f aca="false">Sens!E2452*(1+Sens!F2453)</f>
        <v>27.6114901218559</v>
      </c>
      <c r="G2452" s="6" t="n">
        <f aca="false">Sens!F2452*(1+Sens!G2453)</f>
        <v>30.4675667338515</v>
      </c>
      <c r="H2452" s="6" t="n">
        <f aca="false">Sens!G2452*(1+Sens!H2453)</f>
        <v>33.3643766955789</v>
      </c>
      <c r="I2452" s="6" t="n">
        <f aca="false">Sens!H2452*(1+Sens!I2453)</f>
        <v>36.2577016533691</v>
      </c>
      <c r="J2452" s="6" t="n">
        <f aca="false">Sens!I2452*(1+Sens!J2453)</f>
        <v>39.0988367952171</v>
      </c>
      <c r="K2452" s="6" t="n">
        <f aca="false">Sens!J2452*(1+Sens!K2453)</f>
        <v>41.8357553708823</v>
      </c>
    </row>
    <row r="2453" customFormat="false" ht="15" hidden="false" customHeight="false" outlineLevel="0" collapsed="false">
      <c r="A2453" s="1" t="s">
        <v>876</v>
      </c>
      <c r="B2453" s="0" t="s">
        <v>129</v>
      </c>
      <c r="E2453" s="7" t="n">
        <f aca="false">Sens!E2452/Sens!D2452-1</f>
        <v>0.120156961796942</v>
      </c>
      <c r="F2453" s="7" t="n">
        <f aca="false">Sens!$E$2453+(glt_srch-Sens!$E$2453)*MIN(1,(Sens!F2398-base_fy)/n_conv)</f>
        <v>0.111797468164118</v>
      </c>
      <c r="G2453" s="7" t="n">
        <f aca="false">Sens!$E$2453+(glt_srch-Sens!$E$2453)*MIN(1,(Sens!G2398-base_fy)/n_conv)</f>
        <v>0.103437974531295</v>
      </c>
      <c r="H2453" s="7" t="n">
        <f aca="false">Sens!$E$2453+(glt_srch-Sens!$E$2453)*MIN(1,(Sens!H2398-base_fy)/n_conv)</f>
        <v>0.095078480898471</v>
      </c>
      <c r="I2453" s="7" t="n">
        <f aca="false">Sens!$E$2453+(glt_srch-Sens!$E$2453)*MIN(1,(Sens!I2398-base_fy)/n_conv)</f>
        <v>0.0867189872656474</v>
      </c>
      <c r="J2453" s="7" t="n">
        <f aca="false">Sens!$E$2453+(glt_srch-Sens!$E$2453)*MIN(1,(Sens!J2398-base_fy)/n_conv)</f>
        <v>0.0783594936328237</v>
      </c>
      <c r="K2453" s="7" t="n">
        <f aca="false">Sens!$E$2453+(glt_srch-Sens!$E$2453)*MIN(1,(Sens!K2398-base_fy)/n_conv)</f>
        <v>0.07</v>
      </c>
    </row>
    <row r="2454" customFormat="false" ht="15" hidden="false" customHeight="false" outlineLevel="0" collapsed="false">
      <c r="A2454" s="0" t="s">
        <v>888</v>
      </c>
      <c r="B2454" s="0" t="s">
        <v>98</v>
      </c>
      <c r="D2454" s="6" t="n">
        <f aca="false">Q!L14</f>
        <v>23.455</v>
      </c>
      <c r="E2454" s="6" t="n">
        <f aca="false">Q!M14</f>
        <v>21.79</v>
      </c>
      <c r="F2454" s="6" t="n">
        <f aca="false">Sens!E2454*(1+Sens!F2455)</f>
        <v>20.5736277908051</v>
      </c>
      <c r="G2454" s="6" t="n">
        <f aca="false">Sens!F2454*(1+Sens!G2455)</f>
        <v>19.7371452817919</v>
      </c>
      <c r="H2454" s="6" t="n">
        <f aca="false">Sens!G2454*(1+Sens!H2455)</f>
        <v>19.2339764043138</v>
      </c>
      <c r="I2454" s="6" t="n">
        <f aca="false">Sens!H2454*(1+Sens!I2455)</f>
        <v>19.0353086852681</v>
      </c>
      <c r="J2454" s="6" t="n">
        <f aca="false">Sens!I2454*(1+Sens!J2455)</f>
        <v>19.1273539319129</v>
      </c>
      <c r="K2454" s="6" t="n">
        <f aca="false">Sens!J2454*(1+Sens!K2455)</f>
        <v>19.5099010105511</v>
      </c>
    </row>
    <row r="2455" customFormat="false" ht="15" hidden="false" customHeight="false" outlineLevel="0" collapsed="false">
      <c r="A2455" s="1" t="s">
        <v>876</v>
      </c>
      <c r="B2455" s="0" t="s">
        <v>129</v>
      </c>
      <c r="E2455" s="7" t="n">
        <f aca="false">Sens!E2454/Sens!D2454-1</f>
        <v>-0.0709869963760392</v>
      </c>
      <c r="F2455" s="7" t="n">
        <f aca="false">Sens!$E$2455+(glt_xbox-Sens!$E$2455)*MIN(1,(Sens!F2398-base_fy)/n_conv)</f>
        <v>-0.0558224969800327</v>
      </c>
      <c r="G2455" s="7" t="n">
        <f aca="false">Sens!$E$2455+(glt_xbox-Sens!$E$2455)*MIN(1,(Sens!G2398-base_fy)/n_conv)</f>
        <v>-0.0406579975840262</v>
      </c>
      <c r="H2455" s="7" t="n">
        <f aca="false">Sens!$E$2455+(glt_xbox-Sens!$E$2455)*MIN(1,(Sens!H2398-base_fy)/n_conv)</f>
        <v>-0.0254934981880196</v>
      </c>
      <c r="I2455" s="7" t="n">
        <f aca="false">Sens!$E$2455+(glt_xbox-Sens!$E$2455)*MIN(1,(Sens!I2398-base_fy)/n_conv)</f>
        <v>-0.0103289987920131</v>
      </c>
      <c r="J2455" s="7" t="n">
        <f aca="false">Sens!$E$2455+(glt_xbox-Sens!$E$2455)*MIN(1,(Sens!J2398-base_fy)/n_conv)</f>
        <v>0.00483550060399347</v>
      </c>
      <c r="K2455" s="7" t="n">
        <f aca="false">Sens!$E$2455+(glt_xbox-Sens!$E$2455)*MIN(1,(Sens!K2398-base_fy)/n_conv)</f>
        <v>0.02</v>
      </c>
    </row>
    <row r="2456" customFormat="false" ht="15" hidden="false" customHeight="false" outlineLevel="0" collapsed="false">
      <c r="A2456" s="0" t="s">
        <v>889</v>
      </c>
      <c r="B2456" s="0" t="s">
        <v>98</v>
      </c>
      <c r="D2456" s="6" t="n">
        <f aca="false">Q!L15</f>
        <v>17.315</v>
      </c>
      <c r="E2456" s="6" t="n">
        <f aca="false">Q!M15</f>
        <v>17.087</v>
      </c>
      <c r="F2456" s="6" t="n">
        <f aca="false">Sens!E2456*(1+Sens!F2457)</f>
        <v>16.9564585436519</v>
      </c>
      <c r="G2456" s="6" t="n">
        <f aca="false">Sens!F2456*(1+Sens!G2457)</f>
        <v>16.9206490624268</v>
      </c>
      <c r="H2456" s="6" t="n">
        <f aca="false">Sens!G2456*(1+Sens!H2457)</f>
        <v>16.9784519149849</v>
      </c>
      <c r="I2456" s="6" t="n">
        <f aca="false">Sens!H2456*(1+Sens!I2457)</f>
        <v>17.1303084701817</v>
      </c>
      <c r="J2456" s="6" t="n">
        <f aca="false">Sens!I2456*(1+Sens!J2457)</f>
        <v>17.3782189407267</v>
      </c>
      <c r="K2456" s="6" t="n">
        <f aca="false">Sens!J2456*(1+Sens!K2457)</f>
        <v>17.7257833195413</v>
      </c>
    </row>
    <row r="2457" customFormat="false" ht="15" hidden="false" customHeight="false" outlineLevel="0" collapsed="false">
      <c r="A2457" s="1" t="s">
        <v>876</v>
      </c>
      <c r="B2457" s="0" t="s">
        <v>129</v>
      </c>
      <c r="E2457" s="7" t="n">
        <f aca="false">Sens!E2456/Sens!D2456-1</f>
        <v>-0.0131677736066995</v>
      </c>
      <c r="F2457" s="7" t="n">
        <f aca="false">Sens!$E$2457+(glt_win-Sens!$E$2457)*MIN(1,(Sens!F2398-base_fy)/n_conv)</f>
        <v>-0.00763981133891627</v>
      </c>
      <c r="G2457" s="7" t="n">
        <f aca="false">Sens!$E$2457+(glt_win-Sens!$E$2457)*MIN(1,(Sens!G2398-base_fy)/n_conv)</f>
        <v>-0.00211184907113301</v>
      </c>
      <c r="H2457" s="7" t="n">
        <f aca="false">Sens!$E$2457+(glt_win-Sens!$E$2457)*MIN(1,(Sens!H2398-base_fy)/n_conv)</f>
        <v>0.00341611319665024</v>
      </c>
      <c r="I2457" s="7" t="n">
        <f aca="false">Sens!$E$2457+(glt_win-Sens!$E$2457)*MIN(1,(Sens!I2398-base_fy)/n_conv)</f>
        <v>0.00894407546443349</v>
      </c>
      <c r="J2457" s="7" t="n">
        <f aca="false">Sens!$E$2457+(glt_win-Sens!$E$2457)*MIN(1,(Sens!J2398-base_fy)/n_conv)</f>
        <v>0.0144720377322168</v>
      </c>
      <c r="K2457" s="7" t="n">
        <f aca="false">Sens!$E$2457+(glt_win-Sens!$E$2457)*MIN(1,(Sens!K2398-base_fy)/n_conv)</f>
        <v>0.02</v>
      </c>
    </row>
    <row r="2458" customFormat="false" ht="15" hidden="false" customHeight="false" outlineLevel="0" collapsed="false">
      <c r="A2458" s="0" t="s">
        <v>729</v>
      </c>
      <c r="B2458" s="0" t="s">
        <v>98</v>
      </c>
      <c r="D2458" s="6" t="n">
        <f aca="false">Sens!D2452+Sens!D2454+Sens!D2456</f>
        <v>62.941</v>
      </c>
      <c r="E2458" s="6" t="n">
        <f aca="false">Sens!E2452+Sens!E2454+Sens!E2456</f>
        <v>63.712</v>
      </c>
      <c r="F2458" s="6" t="n">
        <f aca="false">Sens!F2452+Sens!F2454+Sens!F2456</f>
        <v>65.1415764563129</v>
      </c>
      <c r="G2458" s="6" t="n">
        <f aca="false">Sens!G2452+Sens!G2454+Sens!G2456</f>
        <v>67.1253610780702</v>
      </c>
      <c r="H2458" s="6" t="n">
        <f aca="false">Sens!H2452+Sens!H2454+Sens!H2456</f>
        <v>69.5768050148776</v>
      </c>
      <c r="I2458" s="6" t="n">
        <f aca="false">Sens!I2452+Sens!I2454+Sens!I2456</f>
        <v>72.4233188088189</v>
      </c>
      <c r="J2458" s="6" t="n">
        <f aca="false">Sens!J2452+Sens!J2454+Sens!J2456</f>
        <v>75.6044096678567</v>
      </c>
      <c r="K2458" s="6" t="n">
        <f aca="false">Sens!K2452+Sens!K2454+Sens!K2456</f>
        <v>79.0714397009747</v>
      </c>
    </row>
    <row r="2459" customFormat="false" ht="15" hidden="false" customHeight="false" outlineLevel="0" collapsed="false">
      <c r="A2459" s="1" t="s">
        <v>890</v>
      </c>
      <c r="B2459" s="0" t="s">
        <v>98</v>
      </c>
      <c r="D2459" s="6" t="n">
        <f aca="false">Sens!D2451+Sens!D2458</f>
        <v>281.724</v>
      </c>
      <c r="E2459" s="6" t="n">
        <f aca="false">Sens!E2451+Sens!E2458</f>
        <v>331.839</v>
      </c>
      <c r="F2459" s="6" t="n">
        <f aca="false">Sens!F2451+Sens!F2458</f>
        <v>404.575517363364</v>
      </c>
      <c r="G2459" s="6" t="n">
        <f aca="false">Sens!G2451+Sens!G2458</f>
        <v>491.616031959962</v>
      </c>
      <c r="H2459" s="6" t="n">
        <f aca="false">Sens!H2451+Sens!H2458</f>
        <v>585.223080296262</v>
      </c>
      <c r="I2459" s="6" t="n">
        <f aca="false">Sens!I2451+Sens!I2458</f>
        <v>665.287079253422</v>
      </c>
      <c r="J2459" s="6" t="n">
        <f aca="false">Sens!J2451+Sens!J2458</f>
        <v>730.200831531211</v>
      </c>
      <c r="K2459" s="6" t="n">
        <f aca="false">Sens!K2451+Sens!K2458</f>
        <v>782.719361000218</v>
      </c>
    </row>
    <row r="2460" customFormat="false" ht="15" hidden="false" customHeight="false" outlineLevel="0" collapsed="false">
      <c r="A2460" s="23" t="s">
        <v>891</v>
      </c>
      <c r="B2460" s="30" t="s">
        <v>98</v>
      </c>
      <c r="C2460" s="30"/>
      <c r="D2460" s="24" t="n">
        <f aca="false">(Sens!D2439+Sens!D2444+Sens!D2445+Sens!D2447+Sens!D2449-Sens!D2451)+(Sens!D2452+Sens!D2454+Sens!D2456-Sens!D2458)+(Sens!D2451-Q!L5)+(Sens!D2458-Q!L12)+(Sens!D2439-Q!L6)+(Sens!D2444-Q!L7)</f>
        <v>0</v>
      </c>
      <c r="E2460" s="24" t="n">
        <f aca="false">(Sens!E2439+Sens!E2444+Sens!E2445+Sens!E2447+Sens!E2449-Sens!E2451)+(Sens!E2452+Sens!E2454+Sens!E2456-Sens!E2458)+(Sens!E2451-Q!M5)+(Sens!E2458-Q!M12)+(Sens!E2439-Q!M6)+(Sens!E2444-Q!M7)</f>
        <v>0</v>
      </c>
      <c r="F2460" s="24" t="n">
        <f aca="false">(Sens!F2439+Sens!F2444+Sens!F2445+Sens!F2447+Sens!F2449-Sens!F2451)+(Sens!F2452+Sens!F2454+Sens!F2456-Sens!F2458)</f>
        <v>0</v>
      </c>
      <c r="G2460" s="24" t="n">
        <f aca="false">(Sens!G2439+Sens!G2444+Sens!G2445+Sens!G2447+Sens!G2449-Sens!G2451)+(Sens!G2452+Sens!G2454+Sens!G2456-Sens!G2458)</f>
        <v>0</v>
      </c>
      <c r="H2460" s="24" t="n">
        <f aca="false">(Sens!H2439+Sens!H2444+Sens!H2445+Sens!H2447+Sens!H2449-Sens!H2451)+(Sens!H2452+Sens!H2454+Sens!H2456-Sens!H2458)</f>
        <v>0</v>
      </c>
      <c r="I2460" s="24" t="n">
        <f aca="false">(Sens!I2439+Sens!I2444+Sens!I2445+Sens!I2447+Sens!I2449-Sens!I2451)+(Sens!I2452+Sens!I2454+Sens!I2456-Sens!I2458)</f>
        <v>0</v>
      </c>
      <c r="J2460" s="24" t="n">
        <f aca="false">(Sens!J2439+Sens!J2444+Sens!J2445+Sens!J2447+Sens!J2449-Sens!J2451)+(Sens!J2452+Sens!J2454+Sens!J2456-Sens!J2458)</f>
        <v>0</v>
      </c>
      <c r="K2460" s="24" t="n">
        <f aca="false">(Sens!K2439+Sens!K2444+Sens!K2445+Sens!K2447+Sens!K2449-Sens!K2451)+(Sens!K2452+Sens!K2454+Sens!K2456-Sens!K2458)</f>
        <v>0</v>
      </c>
    </row>
    <row r="2461" customFormat="false" ht="17.15" hidden="false" customHeight="false" outlineLevel="0" collapsed="false">
      <c r="A2461" s="3" t="s">
        <v>1324</v>
      </c>
    </row>
    <row r="2462" customFormat="false" ht="15" hidden="false" customHeight="false" outlineLevel="0" collapsed="false">
      <c r="A2462" s="4" t="s">
        <v>43</v>
      </c>
      <c r="B2462" s="4" t="s">
        <v>65</v>
      </c>
      <c r="C2462" s="20" t="s">
        <v>799</v>
      </c>
      <c r="D2462" s="20" t="s">
        <v>800</v>
      </c>
      <c r="E2462" s="20" t="s">
        <v>801</v>
      </c>
      <c r="F2462" s="20" t="s">
        <v>802</v>
      </c>
      <c r="G2462" s="20" t="s">
        <v>803</v>
      </c>
      <c r="H2462" s="20" t="s">
        <v>804</v>
      </c>
      <c r="I2462" s="20" t="s">
        <v>805</v>
      </c>
      <c r="J2462" s="20" t="s">
        <v>806</v>
      </c>
      <c r="K2462" s="20" t="s">
        <v>807</v>
      </c>
      <c r="L2462" s="4" t="s">
        <v>47</v>
      </c>
    </row>
    <row r="2463" customFormat="false" ht="15" hidden="false" customHeight="false" outlineLevel="0" collapsed="false">
      <c r="A2463" s="0" t="s">
        <v>877</v>
      </c>
      <c r="B2463" s="0" t="s">
        <v>98</v>
      </c>
      <c r="D2463" s="6" t="n">
        <f aca="false">Sens!D2439</f>
        <v>72.61</v>
      </c>
      <c r="E2463" s="6" t="n">
        <f aca="false">Sens!E2439</f>
        <v>101.938</v>
      </c>
      <c r="F2463" s="6" t="n">
        <f aca="false">Sens!F2439</f>
        <v>148.812368967868</v>
      </c>
      <c r="G2463" s="6" t="n">
        <f aca="false">Sens!G2439</f>
        <v>208.397514344463</v>
      </c>
      <c r="H2463" s="6" t="n">
        <f aca="false">Sens!H2439</f>
        <v>274.05759259987</v>
      </c>
      <c r="I2463" s="6" t="n">
        <f aca="false">Sens!I2439</f>
        <v>328.302405465117</v>
      </c>
      <c r="J2463" s="6" t="n">
        <f aca="false">Sens!J2439</f>
        <v>369.905524759186</v>
      </c>
      <c r="K2463" s="6" t="n">
        <f aca="false">Sens!K2439</f>
        <v>399.753851959067</v>
      </c>
    </row>
    <row r="2464" customFormat="false" ht="17.15" hidden="false" customHeight="false" outlineLevel="0" collapsed="false">
      <c r="A2464" s="0" t="s">
        <v>874</v>
      </c>
      <c r="B2464" s="0" t="s">
        <v>98</v>
      </c>
      <c r="D2464" s="6" t="n">
        <f aca="false">Sens!D2436</f>
        <v>12.9359794422418</v>
      </c>
      <c r="E2464" s="6" t="n">
        <f aca="false">Sens!E2436</f>
        <v>27.8095064661409</v>
      </c>
      <c r="F2464" s="6" t="n">
        <f aca="false">Sens!F2436</f>
        <v>58.7324192305018</v>
      </c>
      <c r="G2464" s="6" t="n">
        <f aca="false">Sens!G2436</f>
        <v>101.369089141153</v>
      </c>
      <c r="H2464" s="6" t="n">
        <f aca="false">Sens!H2436</f>
        <v>149.785610014234</v>
      </c>
      <c r="I2464" s="6" t="n">
        <f aca="false">Sens!I2436</f>
        <v>187.368703083263</v>
      </c>
      <c r="J2464" s="6" t="n">
        <f aca="false">Sens!J2436</f>
        <v>213.886657444854</v>
      </c>
      <c r="K2464" s="6" t="n">
        <f aca="false">Sens!K2436</f>
        <v>231.253475259589</v>
      </c>
    </row>
    <row r="2465" customFormat="false" ht="17.15" hidden="false" customHeight="false" outlineLevel="0" collapsed="false">
      <c r="A2465" s="0" t="s">
        <v>902</v>
      </c>
      <c r="B2465" s="0" t="s">
        <v>98</v>
      </c>
      <c r="D2465" s="6" t="n">
        <f aca="false">Sens!D2437</f>
        <v>59.6740205577583</v>
      </c>
      <c r="E2465" s="6" t="n">
        <f aca="false">Sens!E2437</f>
        <v>74.1284935338591</v>
      </c>
      <c r="F2465" s="6" t="n">
        <f aca="false">Sens!F2437</f>
        <v>90.0799497373663</v>
      </c>
      <c r="G2465" s="6" t="n">
        <f aca="false">Sens!G2437</f>
        <v>107.02842520331</v>
      </c>
      <c r="H2465" s="6" t="n">
        <f aca="false">Sens!H2437</f>
        <v>124.271982585636</v>
      </c>
      <c r="I2465" s="6" t="n">
        <f aca="false">Sens!I2437</f>
        <v>140.933702381855</v>
      </c>
      <c r="J2465" s="6" t="n">
        <f aca="false">Sens!J2437</f>
        <v>156.018867314332</v>
      </c>
      <c r="K2465" s="6" t="n">
        <f aca="false">Sens!K2437</f>
        <v>168.500376699478</v>
      </c>
    </row>
    <row r="2466" customFormat="false" ht="15" hidden="false" customHeight="false" outlineLevel="0" collapsed="false">
      <c r="A2466" s="0" t="s">
        <v>883</v>
      </c>
      <c r="B2466" s="0" t="s">
        <v>98</v>
      </c>
      <c r="D2466" s="6" t="n">
        <f aca="false">Sens!D2444</f>
        <v>84.605</v>
      </c>
      <c r="E2466" s="6" t="n">
        <f aca="false">Sens!E2444</f>
        <v>100.299</v>
      </c>
      <c r="F2466" s="6" t="n">
        <f aca="false">Sens!F2444</f>
        <v>120.39238776686</v>
      </c>
      <c r="G2466" s="6" t="n">
        <f aca="false">Sens!G2444</f>
        <v>141.544168448684</v>
      </c>
      <c r="H2466" s="6" t="n">
        <f aca="false">Sens!H2444</f>
        <v>162.777359388781</v>
      </c>
      <c r="I2466" s="6" t="n">
        <f aca="false">Sens!I2444</f>
        <v>181.584028071957</v>
      </c>
      <c r="J2466" s="6" t="n">
        <f aca="false">Sens!J2444</f>
        <v>197.682702785465</v>
      </c>
      <c r="K2466" s="6" t="n">
        <f aca="false">Sens!K2444</f>
        <v>213.027991980448</v>
      </c>
    </row>
    <row r="2467" customFormat="false" ht="17.15" hidden="false" customHeight="false" outlineLevel="0" collapsed="false">
      <c r="A2467" s="0" t="s">
        <v>903</v>
      </c>
      <c r="B2467" s="0" t="s">
        <v>98</v>
      </c>
      <c r="D2467" s="6" t="n">
        <f aca="false">Sens!D2442</f>
        <v>83.705</v>
      </c>
      <c r="E2467" s="6" t="n">
        <f aca="false">Sens!E2442</f>
        <v>95.049</v>
      </c>
      <c r="F2467" s="6" t="n">
        <f aca="false">Sens!F2442</f>
        <v>106.89238776686</v>
      </c>
      <c r="G2467" s="6" t="n">
        <f aca="false">Sens!G2442</f>
        <v>119.044168448684</v>
      </c>
      <c r="H2467" s="6" t="n">
        <f aca="false">Sens!H2442</f>
        <v>131.277359388781</v>
      </c>
      <c r="I2467" s="6" t="n">
        <f aca="false">Sens!I2442</f>
        <v>143.334028071957</v>
      </c>
      <c r="J2467" s="6" t="n">
        <f aca="false">Sens!J2442</f>
        <v>154.932702785465</v>
      </c>
      <c r="K2467" s="6" t="n">
        <f aca="false">Sens!K2442</f>
        <v>165.777991980448</v>
      </c>
    </row>
    <row r="2468" customFormat="false" ht="17.15" hidden="false" customHeight="false" outlineLevel="0" collapsed="false">
      <c r="A2468" s="0" t="s">
        <v>904</v>
      </c>
      <c r="B2468" s="0" t="s">
        <v>98</v>
      </c>
      <c r="D2468" s="6" t="n">
        <f aca="false">Sens!D2441</f>
        <v>0.9</v>
      </c>
      <c r="E2468" s="6" t="n">
        <f aca="false">Sens!E2441</f>
        <v>5.25</v>
      </c>
      <c r="F2468" s="6" t="n">
        <f aca="false">Sens!F2441</f>
        <v>13.5</v>
      </c>
      <c r="G2468" s="6" t="n">
        <f aca="false">Sens!G2441</f>
        <v>22.5</v>
      </c>
      <c r="H2468" s="6" t="n">
        <f aca="false">Sens!H2441</f>
        <v>31.5</v>
      </c>
      <c r="I2468" s="6" t="n">
        <f aca="false">Sens!I2441</f>
        <v>38.25</v>
      </c>
      <c r="J2468" s="6" t="n">
        <f aca="false">Sens!J2441</f>
        <v>42.75</v>
      </c>
      <c r="K2468" s="6" t="n">
        <f aca="false">Sens!K2441</f>
        <v>47.25</v>
      </c>
    </row>
    <row r="2469" customFormat="false" ht="15" hidden="false" customHeight="false" outlineLevel="0" collapsed="false">
      <c r="A2469" s="0" t="s">
        <v>884</v>
      </c>
      <c r="B2469" s="0" t="s">
        <v>98</v>
      </c>
      <c r="D2469" s="6" t="n">
        <f aca="false">Sens!D2445</f>
        <v>35.391</v>
      </c>
      <c r="E2469" s="6" t="n">
        <f aca="false">Sens!E2445</f>
        <v>37.285</v>
      </c>
      <c r="F2469" s="6" t="n">
        <f aca="false">Sens!F2445</f>
        <v>39.0720834331704</v>
      </c>
      <c r="G2469" s="6" t="n">
        <f aca="false">Sens!G2445</f>
        <v>40.726562953769</v>
      </c>
      <c r="H2469" s="6" t="n">
        <f aca="false">Sens!H2445</f>
        <v>42.2235987259198</v>
      </c>
      <c r="I2469" s="6" t="n">
        <f aca="false">Sens!I2445</f>
        <v>43.5397988077414</v>
      </c>
      <c r="J2469" s="6" t="n">
        <f aca="false">Sens!J2445</f>
        <v>44.653811225693</v>
      </c>
      <c r="K2469" s="6" t="n">
        <f aca="false">Sens!K2445</f>
        <v>45.5468874502068</v>
      </c>
    </row>
    <row r="2470" customFormat="false" ht="15" hidden="false" customHeight="false" outlineLevel="0" collapsed="false">
      <c r="A2470" s="0" t="s">
        <v>885</v>
      </c>
      <c r="B2470" s="0" t="s">
        <v>98</v>
      </c>
      <c r="D2470" s="6" t="n">
        <f aca="false">Sens!D2447</f>
        <v>18.417</v>
      </c>
      <c r="E2470" s="6" t="n">
        <f aca="false">Sens!E2447</f>
        <v>20.345</v>
      </c>
      <c r="F2470" s="6" t="n">
        <f aca="false">Sens!F2447</f>
        <v>22.3572203267814</v>
      </c>
      <c r="G2470" s="6" t="n">
        <f aca="false">Sens!G2447</f>
        <v>24.4392124437232</v>
      </c>
      <c r="H2470" s="6" t="n">
        <f aca="false">Sens!H2447</f>
        <v>26.5738052080665</v>
      </c>
      <c r="I2470" s="6" t="n">
        <f aca="false">Sens!I2447</f>
        <v>28.7412169166967</v>
      </c>
      <c r="J2470" s="6" t="n">
        <f aca="false">Sens!J2447</f>
        <v>30.9192545395413</v>
      </c>
      <c r="K2470" s="6" t="n">
        <f aca="false">Sens!K2447</f>
        <v>33.0836023573092</v>
      </c>
    </row>
    <row r="2471" customFormat="false" ht="15" hidden="false" customHeight="false" outlineLevel="0" collapsed="false">
      <c r="A2471" s="0" t="s">
        <v>886</v>
      </c>
      <c r="B2471" s="0" t="s">
        <v>98</v>
      </c>
      <c r="D2471" s="6" t="n">
        <f aca="false">Sens!D2449</f>
        <v>7.76</v>
      </c>
      <c r="E2471" s="6" t="n">
        <f aca="false">Sens!E2449</f>
        <v>8.26</v>
      </c>
      <c r="F2471" s="6" t="n">
        <f aca="false">Sens!F2449</f>
        <v>8.79988041237113</v>
      </c>
      <c r="G2471" s="6" t="n">
        <f aca="false">Sens!G2449</f>
        <v>9.38321269125306</v>
      </c>
      <c r="H2471" s="6" t="n">
        <f aca="false">Sens!H2449</f>
        <v>10.0139193587476</v>
      </c>
      <c r="I2471" s="6" t="n">
        <f aca="false">Sens!I2449</f>
        <v>10.6963111830911</v>
      </c>
      <c r="J2471" s="6" t="n">
        <f aca="false">Sens!J2449</f>
        <v>11.4351285534696</v>
      </c>
      <c r="K2471" s="6" t="n">
        <f aca="false">Sens!K2449</f>
        <v>12.2355875522124</v>
      </c>
    </row>
    <row r="2472" customFormat="false" ht="15" hidden="false" customHeight="false" outlineLevel="0" collapsed="false">
      <c r="A2472" s="0" t="s">
        <v>715</v>
      </c>
      <c r="B2472" s="0" t="s">
        <v>98</v>
      </c>
      <c r="D2472" s="6" t="n">
        <f aca="false">Sens!D2451</f>
        <v>218.783</v>
      </c>
      <c r="E2472" s="6" t="n">
        <f aca="false">Sens!E2451</f>
        <v>268.127</v>
      </c>
      <c r="F2472" s="6" t="n">
        <f aca="false">Sens!F2451</f>
        <v>339.433940907051</v>
      </c>
      <c r="G2472" s="6" t="n">
        <f aca="false">Sens!G2451</f>
        <v>424.490670881892</v>
      </c>
      <c r="H2472" s="6" t="n">
        <f aca="false">Sens!H2451</f>
        <v>515.646275281385</v>
      </c>
      <c r="I2472" s="6" t="n">
        <f aca="false">Sens!I2451</f>
        <v>592.863760444604</v>
      </c>
      <c r="J2472" s="6" t="n">
        <f aca="false">Sens!J2451</f>
        <v>654.596421863355</v>
      </c>
      <c r="K2472" s="6" t="n">
        <f aca="false">Sens!K2451</f>
        <v>703.647921299244</v>
      </c>
    </row>
    <row r="2473" customFormat="false" ht="15" hidden="false" customHeight="false" outlineLevel="0" collapsed="false">
      <c r="A2473" s="0" t="s">
        <v>887</v>
      </c>
      <c r="B2473" s="0" t="s">
        <v>98</v>
      </c>
      <c r="D2473" s="6" t="n">
        <f aca="false">Sens!D2452</f>
        <v>22.171</v>
      </c>
      <c r="E2473" s="6" t="n">
        <f aca="false">Sens!E2452</f>
        <v>24.835</v>
      </c>
      <c r="F2473" s="6" t="n">
        <f aca="false">Sens!F2452</f>
        <v>27.6114901218559</v>
      </c>
      <c r="G2473" s="6" t="n">
        <f aca="false">Sens!G2452</f>
        <v>30.4675667338515</v>
      </c>
      <c r="H2473" s="6" t="n">
        <f aca="false">Sens!H2452</f>
        <v>33.3643766955789</v>
      </c>
      <c r="I2473" s="6" t="n">
        <f aca="false">Sens!I2452</f>
        <v>36.2577016533691</v>
      </c>
      <c r="J2473" s="6" t="n">
        <f aca="false">Sens!J2452</f>
        <v>39.0988367952171</v>
      </c>
      <c r="K2473" s="6" t="n">
        <f aca="false">Sens!K2452</f>
        <v>41.8357553708823</v>
      </c>
    </row>
    <row r="2474" customFormat="false" ht="15" hidden="false" customHeight="false" outlineLevel="0" collapsed="false">
      <c r="A2474" s="0" t="s">
        <v>888</v>
      </c>
      <c r="B2474" s="0" t="s">
        <v>98</v>
      </c>
      <c r="D2474" s="6" t="n">
        <f aca="false">Sens!D2454</f>
        <v>23.455</v>
      </c>
      <c r="E2474" s="6" t="n">
        <f aca="false">Sens!E2454</f>
        <v>21.79</v>
      </c>
      <c r="F2474" s="6" t="n">
        <f aca="false">Sens!F2454</f>
        <v>20.5736277908051</v>
      </c>
      <c r="G2474" s="6" t="n">
        <f aca="false">Sens!G2454</f>
        <v>19.7371452817919</v>
      </c>
      <c r="H2474" s="6" t="n">
        <f aca="false">Sens!H2454</f>
        <v>19.2339764043138</v>
      </c>
      <c r="I2474" s="6" t="n">
        <f aca="false">Sens!I2454</f>
        <v>19.0353086852681</v>
      </c>
      <c r="J2474" s="6" t="n">
        <f aca="false">Sens!J2454</f>
        <v>19.1273539319129</v>
      </c>
      <c r="K2474" s="6" t="n">
        <f aca="false">Sens!K2454</f>
        <v>19.5099010105511</v>
      </c>
    </row>
    <row r="2475" customFormat="false" ht="15" hidden="false" customHeight="false" outlineLevel="0" collapsed="false">
      <c r="A2475" s="0" t="s">
        <v>889</v>
      </c>
      <c r="B2475" s="0" t="s">
        <v>98</v>
      </c>
      <c r="D2475" s="6" t="n">
        <f aca="false">Sens!D2456</f>
        <v>17.315</v>
      </c>
      <c r="E2475" s="6" t="n">
        <f aca="false">Sens!E2456</f>
        <v>17.087</v>
      </c>
      <c r="F2475" s="6" t="n">
        <f aca="false">Sens!F2456</f>
        <v>16.9564585436519</v>
      </c>
      <c r="G2475" s="6" t="n">
        <f aca="false">Sens!G2456</f>
        <v>16.9206490624268</v>
      </c>
      <c r="H2475" s="6" t="n">
        <f aca="false">Sens!H2456</f>
        <v>16.9784519149849</v>
      </c>
      <c r="I2475" s="6" t="n">
        <f aca="false">Sens!I2456</f>
        <v>17.1303084701817</v>
      </c>
      <c r="J2475" s="6" t="n">
        <f aca="false">Sens!J2456</f>
        <v>17.3782189407267</v>
      </c>
      <c r="K2475" s="6" t="n">
        <f aca="false">Sens!K2456</f>
        <v>17.7257833195413</v>
      </c>
    </row>
    <row r="2476" customFormat="false" ht="15" hidden="false" customHeight="false" outlineLevel="0" collapsed="false">
      <c r="A2476" s="0" t="s">
        <v>729</v>
      </c>
      <c r="B2476" s="0" t="s">
        <v>98</v>
      </c>
      <c r="D2476" s="6" t="n">
        <f aca="false">Sens!D2458</f>
        <v>62.941</v>
      </c>
      <c r="E2476" s="6" t="n">
        <f aca="false">Sens!E2458</f>
        <v>63.712</v>
      </c>
      <c r="F2476" s="6" t="n">
        <f aca="false">Sens!F2458</f>
        <v>65.1415764563129</v>
      </c>
      <c r="G2476" s="6" t="n">
        <f aca="false">Sens!G2458</f>
        <v>67.1253610780702</v>
      </c>
      <c r="H2476" s="6" t="n">
        <f aca="false">Sens!H2458</f>
        <v>69.5768050148776</v>
      </c>
      <c r="I2476" s="6" t="n">
        <f aca="false">Sens!I2458</f>
        <v>72.4233188088189</v>
      </c>
      <c r="J2476" s="6" t="n">
        <f aca="false">Sens!J2458</f>
        <v>75.6044096678567</v>
      </c>
      <c r="K2476" s="6" t="n">
        <f aca="false">Sens!K2458</f>
        <v>79.0714397009747</v>
      </c>
    </row>
    <row r="2477" customFormat="false" ht="15" hidden="false" customHeight="false" outlineLevel="0" collapsed="false">
      <c r="A2477" s="1" t="s">
        <v>905</v>
      </c>
      <c r="B2477" s="0" t="s">
        <v>98</v>
      </c>
      <c r="D2477" s="6" t="n">
        <f aca="false">Sens!D2459</f>
        <v>281.724</v>
      </c>
      <c r="E2477" s="6" t="n">
        <f aca="false">Sens!E2459</f>
        <v>331.839</v>
      </c>
      <c r="F2477" s="6" t="n">
        <f aca="false">Sens!F2459</f>
        <v>404.575517363364</v>
      </c>
      <c r="G2477" s="6" t="n">
        <f aca="false">Sens!G2459</f>
        <v>491.616031959962</v>
      </c>
      <c r="H2477" s="6" t="n">
        <f aca="false">Sens!H2459</f>
        <v>585.223080296262</v>
      </c>
      <c r="I2477" s="6" t="n">
        <f aca="false">Sens!I2459</f>
        <v>665.287079253422</v>
      </c>
      <c r="J2477" s="6" t="n">
        <f aca="false">Sens!J2459</f>
        <v>730.200831531211</v>
      </c>
      <c r="K2477" s="6" t="n">
        <f aca="false">Sens!K2459</f>
        <v>782.719361000218</v>
      </c>
    </row>
    <row r="2478" customFormat="false" ht="15" hidden="false" customHeight="false" outlineLevel="0" collapsed="false">
      <c r="A2478" s="1" t="s">
        <v>906</v>
      </c>
      <c r="B2478" s="0" t="s">
        <v>129</v>
      </c>
      <c r="E2478" s="7" t="n">
        <f aca="false">Sens!E2477/Sens!D2477-1</f>
        <v>0.177886867998467</v>
      </c>
      <c r="F2478" s="7" t="n">
        <f aca="false">Sens!F2477/Sens!E2477-1</f>
        <v>0.219192190680914</v>
      </c>
      <c r="G2478" s="7" t="n">
        <f aca="false">Sens!G2477/Sens!F2477-1</f>
        <v>0.215140340581766</v>
      </c>
      <c r="H2478" s="7" t="n">
        <f aca="false">Sens!H2477/Sens!G2477-1</f>
        <v>0.19040682616291</v>
      </c>
      <c r="I2478" s="7" t="n">
        <f aca="false">Sens!I2477/Sens!H2477-1</f>
        <v>0.13680936663781</v>
      </c>
      <c r="J2478" s="7" t="n">
        <f aca="false">Sens!J2477/Sens!I2477-1</f>
        <v>0.0975725431953893</v>
      </c>
      <c r="K2478" s="7" t="n">
        <f aca="false">Sens!K2477/Sens!J2477-1</f>
        <v>0.0719234040844312</v>
      </c>
    </row>
    <row r="2479" customFormat="false" ht="17.15" hidden="false" customHeight="false" outlineLevel="0" collapsed="false">
      <c r="A2479" s="23" t="s">
        <v>907</v>
      </c>
      <c r="B2479" s="30" t="s">
        <v>98</v>
      </c>
      <c r="C2479" s="30"/>
      <c r="D2479" s="24" t="n">
        <f aca="false">(Sens!D2472+Sens!D2476-Sens!D2477)+(Sens!D2464+Sens!D2465-Sens!D2463)+(Sens!D2467+Sens!D2468-Sens!D2466)+(Sens!D2477-Q!L18)</f>
        <v>0</v>
      </c>
      <c r="E2479" s="24" t="n">
        <f aca="false">(Sens!E2472+Sens!E2476-Sens!E2477)+(Sens!E2464+Sens!E2465-Sens!E2463)+(Sens!E2467+Sens!E2468-Sens!E2466)+(Sens!E2477-Q!M18)</f>
        <v>0</v>
      </c>
      <c r="F2479" s="24" t="n">
        <f aca="false">(Sens!F2472+Sens!F2476-Sens!F2477)+(Sens!F2464+Sens!F2465-Sens!F2463)+(Sens!F2467+Sens!F2468-Sens!F2466)</f>
        <v>0</v>
      </c>
      <c r="G2479" s="24" t="n">
        <f aca="false">(Sens!G2472+Sens!G2476-Sens!G2477)+(Sens!G2464+Sens!G2465-Sens!G2463)+(Sens!G2467+Sens!G2468-Sens!G2466)</f>
        <v>0</v>
      </c>
      <c r="H2479" s="24" t="n">
        <f aca="false">(Sens!H2472+Sens!H2476-Sens!H2477)+(Sens!H2464+Sens!H2465-Sens!H2463)+(Sens!H2467+Sens!H2468-Sens!H2466)</f>
        <v>0</v>
      </c>
      <c r="I2479" s="24" t="n">
        <f aca="false">(Sens!I2472+Sens!I2476-Sens!I2477)+(Sens!I2464+Sens!I2465-Sens!I2463)+(Sens!I2467+Sens!I2468-Sens!I2466)</f>
        <v>0</v>
      </c>
      <c r="J2479" s="24" t="n">
        <f aca="false">(Sens!J2472+Sens!J2476-Sens!J2477)+(Sens!J2464+Sens!J2465-Sens!J2463)+(Sens!J2467+Sens!J2468-Sens!J2466)</f>
        <v>0</v>
      </c>
      <c r="K2479" s="24" t="n">
        <f aca="false">(Sens!K2472+Sens!K2476-Sens!K2477)+(Sens!K2464+Sens!K2465-Sens!K2463)+(Sens!K2467+Sens!K2468-Sens!K2466)</f>
        <v>0</v>
      </c>
    </row>
    <row r="2480" customFormat="false" ht="17.15" hidden="false" customHeight="false" outlineLevel="0" collapsed="false">
      <c r="A2480" s="0" t="s">
        <v>908</v>
      </c>
      <c r="B2480" s="0" t="s">
        <v>129</v>
      </c>
      <c r="E2480" s="7" t="n">
        <f aca="false">(Q!M21+Sens!E2417+Sens!E2418+Sens!E2419+Sens!E2432-Sens!E2415)/(Q!M5-Sens!E2415)</f>
        <v>0.550623586919075</v>
      </c>
      <c r="F2480" s="7" t="n">
        <f aca="false">Sens!$E$2480+dm_seg</f>
        <v>0.550623586919075</v>
      </c>
      <c r="G2480" s="7" t="n">
        <f aca="false">Sens!$E$2480+dm_seg</f>
        <v>0.550623586919075</v>
      </c>
      <c r="H2480" s="7" t="n">
        <f aca="false">Sens!$E$2480+dm_seg</f>
        <v>0.550623586919075</v>
      </c>
      <c r="I2480" s="7" t="n">
        <f aca="false">Sens!$E$2480+dm_seg</f>
        <v>0.550623586919075</v>
      </c>
      <c r="J2480" s="7" t="n">
        <f aca="false">Sens!$E$2480+dm_seg</f>
        <v>0.550623586919075</v>
      </c>
      <c r="K2480" s="7" t="n">
        <f aca="false">Sens!$E$2480+dm_seg</f>
        <v>0.550623586919075</v>
      </c>
      <c r="L2480" s="11" t="s">
        <v>909</v>
      </c>
    </row>
    <row r="2481" customFormat="false" ht="17.15" hidden="false" customHeight="false" outlineLevel="0" collapsed="false">
      <c r="A2481" s="0" t="s">
        <v>743</v>
      </c>
      <c r="B2481" s="0" t="s">
        <v>98</v>
      </c>
      <c r="D2481" s="6" t="n">
        <f aca="false">Q!L21</f>
        <v>110.814</v>
      </c>
      <c r="E2481" s="6" t="n">
        <f aca="false">Q!M21</f>
        <v>136.365</v>
      </c>
      <c r="F2481" s="6" t="n">
        <f aca="false">Sens!F2480*(Sens!F2451-Sens!F2415)+Sens!F2415-(Sens!F2417+Sens!F2418+Sens!F2419)-Sens!F2432-Sens!F2515</f>
        <v>163.161921736575</v>
      </c>
      <c r="G2481" s="6" t="n">
        <f aca="false">Sens!G2480*(Sens!G2451-Sens!G2415)+Sens!G2415-(Sens!G2417+Sens!G2418+Sens!G2419)-Sens!G2432-Sens!G2515</f>
        <v>200.078609766871</v>
      </c>
      <c r="H2481" s="6" t="n">
        <f aca="false">Sens!H2480*(Sens!H2451-Sens!H2415)+Sens!H2415-(Sens!H2417+Sens!H2418+Sens!H2419)-Sens!H2432-Sens!H2515</f>
        <v>241.644052439628</v>
      </c>
      <c r="I2481" s="6" t="n">
        <f aca="false">Sens!I2480*(Sens!I2451-Sens!I2415)+Sens!I2415-(Sens!I2417+Sens!I2418+Sens!I2419)-Sens!I2432-Sens!I2515</f>
        <v>274.22080804987</v>
      </c>
      <c r="J2481" s="6" t="n">
        <f aca="false">Sens!J2480*(Sens!J2451-Sens!J2415)+Sens!J2415-(Sens!J2417+Sens!J2418+Sens!J2419)-Sens!J2432-Sens!J2515</f>
        <v>301.213927409814</v>
      </c>
      <c r="K2481" s="6" t="n">
        <f aca="false">Sens!K2480*(Sens!K2451-Sens!K2415)+Sens!K2415-(Sens!K2417+Sens!K2418+Sens!K2419)-Sens!K2432-Sens!K2515</f>
        <v>324.359255383931</v>
      </c>
      <c r="L2481" s="1" t="s">
        <v>910</v>
      </c>
    </row>
    <row r="2482" customFormat="false" ht="17.15" hidden="false" customHeight="false" outlineLevel="0" collapsed="false">
      <c r="A2482" s="0" t="s">
        <v>911</v>
      </c>
      <c r="B2482" s="0" t="s">
        <v>129</v>
      </c>
      <c r="E2482" s="7" t="n">
        <f aca="false">Q!M22/Q!M12</f>
        <v>0.296207935710698</v>
      </c>
      <c r="F2482" s="7" t="n">
        <f aca="false">Sens!$E$2482+dm_seg</f>
        <v>0.296207935710698</v>
      </c>
      <c r="G2482" s="7" t="n">
        <f aca="false">Sens!$E$2482+dm_seg</f>
        <v>0.296207935710698</v>
      </c>
      <c r="H2482" s="7" t="n">
        <f aca="false">Sens!$E$2482+dm_seg</f>
        <v>0.296207935710698</v>
      </c>
      <c r="I2482" s="7" t="n">
        <f aca="false">Sens!$E$2482+dm_seg</f>
        <v>0.296207935710698</v>
      </c>
      <c r="J2482" s="7" t="n">
        <f aca="false">Sens!$E$2482+dm_seg</f>
        <v>0.296207935710698</v>
      </c>
      <c r="K2482" s="7" t="n">
        <f aca="false">Sens!$E$2482+dm_seg</f>
        <v>0.296207935710698</v>
      </c>
      <c r="L2482" s="11" t="s">
        <v>912</v>
      </c>
    </row>
    <row r="2483" customFormat="false" ht="17.15" hidden="false" customHeight="false" outlineLevel="0" collapsed="false">
      <c r="A2483" s="0" t="s">
        <v>745</v>
      </c>
      <c r="B2483" s="0" t="s">
        <v>98</v>
      </c>
      <c r="D2483" s="6" t="n">
        <f aca="false">Q!L22</f>
        <v>17.714</v>
      </c>
      <c r="E2483" s="6" t="n">
        <f aca="false">Q!M22</f>
        <v>18.872</v>
      </c>
      <c r="F2483" s="6" t="n">
        <f aca="false">Sens!F2458*Sens!F2482</f>
        <v>19.2954518910651</v>
      </c>
      <c r="G2483" s="6" t="n">
        <f aca="false">Sens!G2458*Sens!G2482</f>
        <v>19.8830646387704</v>
      </c>
      <c r="H2483" s="6" t="n">
        <f aca="false">Sens!H2458*Sens!H2482</f>
        <v>20.6092017868026</v>
      </c>
      <c r="I2483" s="6" t="n">
        <f aca="false">Sens!I2458*Sens!I2482</f>
        <v>21.452361761678</v>
      </c>
      <c r="J2483" s="6" t="n">
        <f aca="false">Sens!J2458*Sens!J2482</f>
        <v>22.3946261183418</v>
      </c>
      <c r="K2483" s="6" t="n">
        <f aca="false">Sens!K2458*Sens!K2482</f>
        <v>23.4215879274986</v>
      </c>
    </row>
    <row r="2484" customFormat="false" ht="15" hidden="false" customHeight="false" outlineLevel="0" collapsed="false">
      <c r="A2484" s="1" t="s">
        <v>913</v>
      </c>
      <c r="B2484" s="0" t="s">
        <v>98</v>
      </c>
      <c r="D2484" s="6" t="n">
        <f aca="false">Sens!D2481+Sens!D2483</f>
        <v>128.528</v>
      </c>
      <c r="E2484" s="6" t="n">
        <f aca="false">Sens!E2481+Sens!E2483</f>
        <v>155.237</v>
      </c>
      <c r="F2484" s="6" t="n">
        <f aca="false">Sens!F2481+Sens!F2483</f>
        <v>182.45737362764</v>
      </c>
      <c r="G2484" s="6" t="n">
        <f aca="false">Sens!G2481+Sens!G2483</f>
        <v>219.961674405641</v>
      </c>
      <c r="H2484" s="6" t="n">
        <f aca="false">Sens!H2481+Sens!H2483</f>
        <v>262.253254226431</v>
      </c>
      <c r="I2484" s="6" t="n">
        <f aca="false">Sens!I2481+Sens!I2483</f>
        <v>295.673169811548</v>
      </c>
      <c r="J2484" s="6" t="n">
        <f aca="false">Sens!J2481+Sens!J2483</f>
        <v>323.608553528155</v>
      </c>
      <c r="K2484" s="6" t="n">
        <f aca="false">Sens!K2481+Sens!K2483</f>
        <v>347.780843311429</v>
      </c>
    </row>
    <row r="2485" customFormat="false" ht="15" hidden="false" customHeight="false" outlineLevel="0" collapsed="false">
      <c r="A2485" s="23" t="s">
        <v>914</v>
      </c>
      <c r="B2485" s="30" t="s">
        <v>98</v>
      </c>
      <c r="C2485" s="30"/>
      <c r="D2485" s="24" t="n">
        <f aca="false">Sens!D2484-Q!L23</f>
        <v>0</v>
      </c>
      <c r="E2485" s="24" t="n">
        <f aca="false">Sens!E2484-Q!M23</f>
        <v>0</v>
      </c>
      <c r="F2485" s="30"/>
      <c r="G2485" s="30"/>
      <c r="H2485" s="30"/>
      <c r="I2485" s="30"/>
      <c r="J2485" s="30"/>
      <c r="K2485" s="30"/>
    </row>
    <row r="2486" customFormat="false" ht="15" hidden="false" customHeight="false" outlineLevel="0" collapsed="false">
      <c r="A2486" s="1" t="s">
        <v>915</v>
      </c>
      <c r="B2486" s="0" t="s">
        <v>129</v>
      </c>
      <c r="D2486" s="7" t="n">
        <f aca="false">Sens!D2484/Sens!D2477</f>
        <v>0.456219562408598</v>
      </c>
      <c r="E2486" s="7" t="n">
        <f aca="false">Sens!E2484/Sens!E2477</f>
        <v>0.467808184089272</v>
      </c>
      <c r="F2486" s="7" t="n">
        <f aca="false">Sens!F2484/Sens!F2477</f>
        <v>0.450984713105536</v>
      </c>
      <c r="G2486" s="7" t="n">
        <f aca="false">Sens!G2484/Sens!G2477</f>
        <v>0.447425755276336</v>
      </c>
      <c r="H2486" s="7" t="n">
        <f aca="false">Sens!H2484/Sens!H2477</f>
        <v>0.448125275738729</v>
      </c>
      <c r="I2486" s="7" t="n">
        <f aca="false">Sens!I2484/Sens!I2477</f>
        <v>0.444429448627424</v>
      </c>
      <c r="J2486" s="7" t="n">
        <f aca="false">Sens!J2484/Sens!J2477</f>
        <v>0.443177465094852</v>
      </c>
      <c r="K2486" s="7" t="n">
        <f aca="false">Sens!K2484/Sens!K2477</f>
        <v>0.444323803191745</v>
      </c>
    </row>
    <row r="2487" customFormat="false" ht="17.15" hidden="false" customHeight="false" outlineLevel="0" collapsed="false">
      <c r="A2487" s="1" t="s">
        <v>916</v>
      </c>
      <c r="B2487" s="0" t="s">
        <v>98</v>
      </c>
      <c r="F2487" s="6" t="n">
        <f aca="false">Sens!F2502</f>
        <v>2.03379670410951</v>
      </c>
      <c r="G2487" s="6" t="n">
        <f aca="false">Sens!G2502</f>
        <v>6.10891141784666</v>
      </c>
      <c r="H2487" s="6" t="n">
        <f aca="false">Sens!H2502</f>
        <v>10.9510156068447</v>
      </c>
      <c r="I2487" s="6" t="n">
        <f aca="false">Sens!I2502</f>
        <v>15.9348099957863</v>
      </c>
      <c r="J2487" s="6" t="n">
        <f aca="false">Sens!J2502</f>
        <v>19.5732018514707</v>
      </c>
      <c r="K2487" s="6" t="n">
        <f aca="false">Sens!K2502</f>
        <v>20.9736686076832</v>
      </c>
      <c r="L2487" s="1" t="s">
        <v>917</v>
      </c>
    </row>
    <row r="2488" customFormat="false" ht="17.15" hidden="false" customHeight="false" outlineLevel="0" collapsed="false">
      <c r="A2488" s="1" t="s">
        <v>918</v>
      </c>
      <c r="B2488" s="0" t="s">
        <v>98</v>
      </c>
      <c r="D2488" s="6" t="n">
        <f aca="false">Sens!D2484</f>
        <v>128.528</v>
      </c>
      <c r="E2488" s="6" t="n">
        <f aca="false">Sens!E2484</f>
        <v>155.237</v>
      </c>
      <c r="F2488" s="6" t="n">
        <f aca="false">Sens!F2484+Sens!F2487</f>
        <v>184.49117033175</v>
      </c>
      <c r="G2488" s="6" t="n">
        <f aca="false">Sens!G2484+Sens!G2487</f>
        <v>226.070585823488</v>
      </c>
      <c r="H2488" s="6" t="n">
        <f aca="false">Sens!H2484+Sens!H2487</f>
        <v>273.204269833276</v>
      </c>
      <c r="I2488" s="6" t="n">
        <f aca="false">Sens!I2484+Sens!I2487</f>
        <v>311.607979807334</v>
      </c>
      <c r="J2488" s="6" t="n">
        <f aca="false">Sens!J2484+Sens!J2487</f>
        <v>343.181755379626</v>
      </c>
      <c r="K2488" s="6" t="n">
        <f aca="false">Sens!K2484+Sens!K2487</f>
        <v>368.754511919112</v>
      </c>
    </row>
    <row r="2489" customFormat="false" ht="17.15" hidden="false" customHeight="false" outlineLevel="0" collapsed="false">
      <c r="A2489" s="1" t="s">
        <v>919</v>
      </c>
      <c r="B2489" s="0" t="s">
        <v>98</v>
      </c>
      <c r="E2489" s="6" t="n">
        <f aca="false">Sens!E2432</f>
        <v>13.0443247816667</v>
      </c>
      <c r="F2489" s="6" t="n">
        <f aca="false">Sens!F2432</f>
        <v>27.2399099047645</v>
      </c>
      <c r="G2489" s="6" t="n">
        <f aca="false">Sens!G2432</f>
        <v>47.3003496884089</v>
      </c>
      <c r="H2489" s="6" t="n">
        <f aca="false">Sens!H2432</f>
        <v>69.0888158746489</v>
      </c>
      <c r="I2489" s="6" t="n">
        <f aca="false">Sens!I2432</f>
        <v>88.4845950659141</v>
      </c>
      <c r="J2489" s="6" t="n">
        <f aca="false">Sens!J2432</f>
        <v>102.398658282275</v>
      </c>
      <c r="K2489" s="6" t="n">
        <f aca="false">Sens!K2432</f>
        <v>111.305171235446</v>
      </c>
    </row>
    <row r="2490" customFormat="false" ht="17.15" hidden="false" customHeight="false" outlineLevel="0" collapsed="false">
      <c r="A2490" s="1" t="s">
        <v>920</v>
      </c>
      <c r="B2490" s="0" t="s">
        <v>98</v>
      </c>
      <c r="E2490" s="6" t="n">
        <f aca="false">Sens!E2514</f>
        <v>25.4896752183333</v>
      </c>
      <c r="F2490" s="6" t="n">
        <f aca="false">Sens!F2514</f>
        <v>30.5340776267827</v>
      </c>
      <c r="G2490" s="6" t="n">
        <f aca="false">Sens!G2514</f>
        <v>31.6409592211433</v>
      </c>
      <c r="H2490" s="6" t="n">
        <f aca="false">Sens!H2514</f>
        <v>33.233014663438</v>
      </c>
      <c r="I2490" s="6" t="n">
        <f aca="false">Sens!I2514</f>
        <v>35.2270532282586</v>
      </c>
      <c r="J2490" s="6" t="n">
        <f aca="false">Sens!J2514</f>
        <v>37.5249392304701</v>
      </c>
      <c r="K2490" s="6" t="n">
        <f aca="false">Sens!K2514</f>
        <v>40.0368155816225</v>
      </c>
    </row>
    <row r="2491" customFormat="false" ht="17.15" hidden="false" customHeight="false" outlineLevel="0" collapsed="false">
      <c r="A2491" s="1" t="s">
        <v>921</v>
      </c>
      <c r="B2491" s="0" t="s">
        <v>98</v>
      </c>
      <c r="D2491" s="6" t="n">
        <f aca="false">Q!L27</f>
        <v>-4.901</v>
      </c>
      <c r="E2491" s="6" t="n">
        <f aca="false">Q!M27</f>
        <v>10.697</v>
      </c>
      <c r="F2491" s="6" t="n">
        <f aca="false">oie_f</f>
        <v>-0.4</v>
      </c>
      <c r="G2491" s="6" t="n">
        <f aca="false">oie_f</f>
        <v>-0.4</v>
      </c>
      <c r="H2491" s="6" t="n">
        <f aca="false">oie_f</f>
        <v>-0.4</v>
      </c>
      <c r="I2491" s="6" t="n">
        <f aca="false">oie_f</f>
        <v>-0.4</v>
      </c>
      <c r="J2491" s="6" t="n">
        <f aca="false">oie_f</f>
        <v>-0.4</v>
      </c>
      <c r="K2491" s="6" t="n">
        <f aca="false">oie_f</f>
        <v>-0.4</v>
      </c>
      <c r="L2491" s="11" t="s">
        <v>922</v>
      </c>
    </row>
    <row r="2492" customFormat="false" ht="15" hidden="false" customHeight="false" outlineLevel="0" collapsed="false">
      <c r="A2492" s="1" t="s">
        <v>923</v>
      </c>
      <c r="B2492" s="0" t="s">
        <v>98</v>
      </c>
      <c r="D2492" s="6" t="n">
        <f aca="false">Sens!D2484+Sens!D2491</f>
        <v>123.627</v>
      </c>
      <c r="E2492" s="6" t="n">
        <f aca="false">Sens!E2484+Sens!E2491</f>
        <v>165.934</v>
      </c>
      <c r="F2492" s="6" t="n">
        <f aca="false">Sens!F2484+Sens!F2491</f>
        <v>182.05737362764</v>
      </c>
      <c r="G2492" s="6" t="n">
        <f aca="false">Sens!G2484+Sens!G2491</f>
        <v>219.561674405641</v>
      </c>
      <c r="H2492" s="6" t="n">
        <f aca="false">Sens!H2484+Sens!H2491</f>
        <v>261.853254226431</v>
      </c>
      <c r="I2492" s="6" t="n">
        <f aca="false">Sens!I2484+Sens!I2491</f>
        <v>295.273169811548</v>
      </c>
      <c r="J2492" s="6" t="n">
        <f aca="false">Sens!J2484+Sens!J2491</f>
        <v>323.208553528155</v>
      </c>
      <c r="K2492" s="6" t="n">
        <f aca="false">Sens!K2484+Sens!K2491</f>
        <v>347.380843311429</v>
      </c>
    </row>
    <row r="2493" customFormat="false" ht="15" hidden="false" customHeight="false" outlineLevel="0" collapsed="false">
      <c r="A2493" s="1" t="s">
        <v>924</v>
      </c>
      <c r="B2493" s="0" t="s">
        <v>98</v>
      </c>
      <c r="D2493" s="6" t="n">
        <f aca="false">Q!L29</f>
        <v>21.795</v>
      </c>
      <c r="E2493" s="6" t="n">
        <f aca="false">Q!M29</f>
        <v>32.185</v>
      </c>
      <c r="F2493" s="6" t="n">
        <f aca="false">Sens!F2492*tax_f</f>
        <v>36.4114747255281</v>
      </c>
      <c r="G2493" s="6" t="n">
        <f aca="false">Sens!G2492*tax_f</f>
        <v>43.9123348811283</v>
      </c>
      <c r="H2493" s="6" t="n">
        <f aca="false">Sens!H2492*tax_f</f>
        <v>52.3706508452862</v>
      </c>
      <c r="I2493" s="6" t="n">
        <f aca="false">Sens!I2492*tax_f</f>
        <v>59.0546339623096</v>
      </c>
      <c r="J2493" s="6" t="n">
        <f aca="false">Sens!J2492*tax_f</f>
        <v>64.6417107056311</v>
      </c>
      <c r="K2493" s="6" t="n">
        <f aca="false">Sens!K2492*tax_f</f>
        <v>69.4761686622858</v>
      </c>
    </row>
    <row r="2494" customFormat="false" ht="15" hidden="false" customHeight="false" outlineLevel="0" collapsed="false">
      <c r="A2494" s="1" t="s">
        <v>925</v>
      </c>
      <c r="B2494" s="0" t="s">
        <v>98</v>
      </c>
      <c r="D2494" s="6" t="n">
        <f aca="false">Sens!D2492-Sens!D2493</f>
        <v>101.832</v>
      </c>
      <c r="E2494" s="6" t="n">
        <f aca="false">Sens!E2492-Sens!E2493</f>
        <v>133.749</v>
      </c>
      <c r="F2494" s="6" t="n">
        <f aca="false">Sens!F2492-Sens!F2493</f>
        <v>145.645898902112</v>
      </c>
      <c r="G2494" s="6" t="n">
        <f aca="false">Sens!G2492-Sens!G2493</f>
        <v>175.649339524513</v>
      </c>
      <c r="H2494" s="6" t="n">
        <f aca="false">Sens!H2492-Sens!H2493</f>
        <v>209.482603381145</v>
      </c>
      <c r="I2494" s="6" t="n">
        <f aca="false">Sens!I2492-Sens!I2493</f>
        <v>236.218535849238</v>
      </c>
      <c r="J2494" s="6" t="n">
        <f aca="false">Sens!J2492-Sens!J2493</f>
        <v>258.566842822524</v>
      </c>
      <c r="K2494" s="6" t="n">
        <f aca="false">Sens!K2492-Sens!K2493</f>
        <v>277.904674649143</v>
      </c>
    </row>
    <row r="2495" customFormat="false" ht="17.15" hidden="false" customHeight="false" outlineLevel="0" collapsed="false">
      <c r="A2495" s="1" t="s">
        <v>926</v>
      </c>
      <c r="B2495" s="1" t="s">
        <v>81</v>
      </c>
      <c r="D2495" s="14" t="n">
        <f aca="false">Q!L31</f>
        <v>7.465</v>
      </c>
      <c r="E2495" s="14" t="n">
        <f aca="false">Q!M31</f>
        <v>7.453</v>
      </c>
      <c r="F2495" s="14" t="n">
        <f aca="false">Sens!F2538</f>
        <v>7.4735</v>
      </c>
      <c r="G2495" s="14" t="n">
        <f aca="false">Sens!G2538</f>
        <v>7.49987171271795</v>
      </c>
      <c r="H2495" s="14" t="n">
        <f aca="false">Sens!H2538</f>
        <v>7.50899501128585</v>
      </c>
      <c r="I2495" s="14" t="n">
        <f aca="false">Sens!I2538</f>
        <v>7.52077584329316</v>
      </c>
      <c r="J2495" s="14" t="n">
        <f aca="false">Sens!J2538</f>
        <v>7.53501735441104</v>
      </c>
      <c r="K2495" s="14" t="n">
        <f aca="false">Sens!K2538</f>
        <v>7.55153727211278</v>
      </c>
    </row>
    <row r="2496" customFormat="false" ht="17.15" hidden="false" customHeight="false" outlineLevel="0" collapsed="false">
      <c r="A2496" s="0" t="s">
        <v>927</v>
      </c>
      <c r="B2496" s="0" t="s">
        <v>75</v>
      </c>
      <c r="D2496" s="8" t="n">
        <f aca="false">Sens!D2494/Sens!D2495</f>
        <v>13.641259209645</v>
      </c>
      <c r="E2496" s="8" t="n">
        <f aca="false">Sens!E2494/Sens!E2495</f>
        <v>17.9456594659869</v>
      </c>
      <c r="F2496" s="8" t="n">
        <f aca="false">Sens!F2494/Sens!F2495</f>
        <v>19.488311888956</v>
      </c>
      <c r="G2496" s="8" t="n">
        <f aca="false">Sens!G2494/Sens!G2495</f>
        <v>23.4203125403672</v>
      </c>
      <c r="H2496" s="8" t="n">
        <f aca="false">Sens!H2494/Sens!H2495</f>
        <v>27.8975552742141</v>
      </c>
      <c r="I2496" s="8" t="n">
        <f aca="false">Sens!I2494/Sens!I2495</f>
        <v>31.4087988754368</v>
      </c>
      <c r="J2496" s="8" t="n">
        <f aca="false">Sens!J2494/Sens!J2495</f>
        <v>34.315361287278</v>
      </c>
      <c r="K2496" s="8" t="n">
        <f aca="false">Sens!K2494/Sens!K2495</f>
        <v>36.8010730312387</v>
      </c>
      <c r="L2496" s="1" t="s">
        <v>928</v>
      </c>
    </row>
    <row r="2497" customFormat="false" ht="17.15" hidden="false" customHeight="false" outlineLevel="0" collapsed="false">
      <c r="A2497" s="1" t="s">
        <v>929</v>
      </c>
      <c r="B2497" s="0" t="s">
        <v>98</v>
      </c>
      <c r="D2497" s="6" t="n">
        <f aca="false">Sens!D2494</f>
        <v>101.832</v>
      </c>
      <c r="E2497" s="6" t="n">
        <f aca="false">Sens!E2494</f>
        <v>133.749</v>
      </c>
      <c r="F2497" s="6" t="n">
        <f aca="false">Sens!F2494+Sens!F2487*(1-tax_f)</f>
        <v>147.2729362654</v>
      </c>
      <c r="G2497" s="6" t="n">
        <f aca="false">Sens!G2494+Sens!G2487*(1-tax_f)</f>
        <v>180.53646865879</v>
      </c>
      <c r="H2497" s="6" t="n">
        <f aca="false">Sens!H2494+Sens!H2487*(1-tax_f)</f>
        <v>218.243415866621</v>
      </c>
      <c r="I2497" s="6" t="n">
        <f aca="false">Sens!I2494+Sens!I2487*(1-tax_f)</f>
        <v>248.966383845867</v>
      </c>
      <c r="J2497" s="6" t="n">
        <f aca="false">Sens!J2494+Sens!J2487*(1-tax_f)</f>
        <v>274.225404303701</v>
      </c>
      <c r="K2497" s="6" t="n">
        <f aca="false">Sens!K2494+Sens!K2487*(1-tax_f)</f>
        <v>294.68360953529</v>
      </c>
    </row>
    <row r="2498" customFormat="false" ht="17.15" hidden="false" customHeight="false" outlineLevel="0" collapsed="false">
      <c r="A2498" s="0" t="s">
        <v>930</v>
      </c>
      <c r="B2498" s="0" t="s">
        <v>75</v>
      </c>
      <c r="D2498" s="8" t="n">
        <f aca="false">Sens!D2497/Sens!D2495</f>
        <v>13.641259209645</v>
      </c>
      <c r="E2498" s="8" t="n">
        <f aca="false">Sens!E2497/Sens!E2495</f>
        <v>17.9456594659869</v>
      </c>
      <c r="F2498" s="8" t="n">
        <f aca="false">Sens!F2497/Sens!F2495</f>
        <v>19.7060194373988</v>
      </c>
      <c r="G2498" s="8" t="n">
        <f aca="false">Sens!G2497/Sens!G2495</f>
        <v>24.071940904355</v>
      </c>
      <c r="H2498" s="8" t="n">
        <f aca="false">Sens!H2497/Sens!H2495</f>
        <v>29.0642643307934</v>
      </c>
      <c r="I2498" s="8" t="n">
        <f aca="false">Sens!I2497/Sens!I2495</f>
        <v>33.1038165521034</v>
      </c>
      <c r="J2498" s="8" t="n">
        <f aca="false">Sens!J2497/Sens!J2495</f>
        <v>36.3934668502346</v>
      </c>
      <c r="K2498" s="8" t="n">
        <f aca="false">Sens!K2497/Sens!K2495</f>
        <v>39.022996102202</v>
      </c>
      <c r="L2498" s="1" t="s">
        <v>931</v>
      </c>
    </row>
    <row r="2499" customFormat="false" ht="17.15" hidden="false" customHeight="false" outlineLevel="0" collapsed="false">
      <c r="A2499" s="0" t="s">
        <v>932</v>
      </c>
      <c r="B2499" s="0" t="s">
        <v>129</v>
      </c>
      <c r="E2499" s="7" t="n">
        <f aca="false">Sens!E2498/Sens!D2498-1</f>
        <v>0.315542736208578</v>
      </c>
      <c r="F2499" s="7" t="n">
        <f aca="false">Sens!F2498/Sens!E2498-1</f>
        <v>0.0980939137259589</v>
      </c>
      <c r="G2499" s="7" t="n">
        <f aca="false">Sens!G2498/Sens!F2498-1</f>
        <v>0.221552682459575</v>
      </c>
      <c r="H2499" s="7" t="n">
        <f aca="false">Sens!H2498/Sens!G2498-1</f>
        <v>0.207391811332302</v>
      </c>
      <c r="I2499" s="7" t="n">
        <f aca="false">Sens!I2498/Sens!H2498-1</f>
        <v>0.138986907610462</v>
      </c>
      <c r="J2499" s="7" t="n">
        <f aca="false">Sens!J2498/Sens!I2498-1</f>
        <v>0.0993737472219718</v>
      </c>
      <c r="K2499" s="7" t="n">
        <f aca="false">Sens!K2498/Sens!J2498-1</f>
        <v>0.0722527826982875</v>
      </c>
    </row>
    <row r="2500" customFormat="false" ht="17.15" hidden="false" customHeight="false" outlineLevel="0" collapsed="false">
      <c r="A2500" s="0" t="s">
        <v>856</v>
      </c>
      <c r="B2500" s="0" t="s">
        <v>98</v>
      </c>
      <c r="E2500" s="6" t="n">
        <f aca="false">Sens!E2441</f>
        <v>5.25</v>
      </c>
      <c r="F2500" s="6" t="n">
        <f aca="false">Sens!F2441</f>
        <v>13.5</v>
      </c>
      <c r="G2500" s="6" t="n">
        <f aca="false">Sens!G2441</f>
        <v>22.5</v>
      </c>
      <c r="H2500" s="6" t="n">
        <f aca="false">Sens!H2441</f>
        <v>31.5</v>
      </c>
      <c r="I2500" s="6" t="n">
        <f aca="false">Sens!I2441</f>
        <v>38.25</v>
      </c>
      <c r="J2500" s="6" t="n">
        <f aca="false">Sens!J2441</f>
        <v>42.75</v>
      </c>
      <c r="K2500" s="6" t="n">
        <f aca="false">Sens!K2441</f>
        <v>47.25</v>
      </c>
    </row>
    <row r="2501" customFormat="false" ht="17.15" hidden="false" customHeight="false" outlineLevel="0" collapsed="false">
      <c r="A2501" s="1" t="s">
        <v>857</v>
      </c>
      <c r="B2501" s="0" t="s">
        <v>98</v>
      </c>
      <c r="F2501" s="6" t="n">
        <f aca="false">MAX(0,((Sens!E2404+Sens!F2404)/2-(shadow_base*(Sens!$D$2404+Sens!$E$2404)/2+(1-shadow_base)*Sens!$E$2404))*Sens!F2412/1000-(Sens!F2500-Sens!$E$2500)*Sens!F2480)</f>
        <v>2.03379670410951</v>
      </c>
      <c r="G2501" s="6" t="n">
        <f aca="false">MAX(0,((Sens!F2404+Sens!G2404)/2-(shadow_base*(Sens!$D$2404+Sens!$E$2404)/2+(1-shadow_base)*Sens!$E$2404))*Sens!G2412/1000-(Sens!G2500-Sens!$E$2500)*Sens!G2480)</f>
        <v>6.10891141784666</v>
      </c>
      <c r="H2501" s="6" t="n">
        <f aca="false">MAX(0,((Sens!G2404+Sens!H2404)/2-(shadow_base*(Sens!$D$2404+Sens!$E$2404)/2+(1-shadow_base)*Sens!$E$2404))*Sens!H2412/1000-(Sens!H2500-Sens!$E$2500)*Sens!H2480)</f>
        <v>10.9510156068447</v>
      </c>
      <c r="I2501" s="6" t="n">
        <f aca="false">MAX(0,((Sens!H2404+Sens!I2404)/2-(shadow_base*(Sens!$D$2404+Sens!$E$2404)/2+(1-shadow_base)*Sens!$E$2404))*Sens!I2412/1000-(Sens!I2500-Sens!$E$2500)*Sens!I2480)</f>
        <v>15.9348099957863</v>
      </c>
      <c r="J2501" s="6" t="n">
        <f aca="false">MAX(0,((Sens!I2404+Sens!J2404)/2-(shadow_base*(Sens!$D$2404+Sens!$E$2404)/2+(1-shadow_base)*Sens!$E$2404))*Sens!J2412/1000-(Sens!J2500-Sens!$E$2500)*Sens!J2480)</f>
        <v>19.5732018514707</v>
      </c>
      <c r="K2501" s="6" t="n">
        <f aca="false">MAX(0,((Sens!J2404+Sens!K2404)/2-(shadow_base*(Sens!$D$2404+Sens!$E$2404)/2+(1-shadow_base)*Sens!$E$2404))*Sens!K2412/1000-(Sens!K2500-Sens!$E$2500)*Sens!K2480)</f>
        <v>20.9736686076832</v>
      </c>
      <c r="L2501" s="1" t="s">
        <v>858</v>
      </c>
    </row>
    <row r="2502" customFormat="false" ht="17.15" hidden="false" customHeight="false" outlineLevel="0" collapsed="false">
      <c r="A2502" s="1" t="s">
        <v>859</v>
      </c>
      <c r="B2502" s="0" t="s">
        <v>98</v>
      </c>
      <c r="F2502" s="6" t="n">
        <f aca="false">IF(internal_ai_reading=2,1,0)*Sens!F2501</f>
        <v>2.03379670410951</v>
      </c>
      <c r="G2502" s="6" t="n">
        <f aca="false">IF(internal_ai_reading=2,1,0)*Sens!G2501</f>
        <v>6.10891141784666</v>
      </c>
      <c r="H2502" s="6" t="n">
        <f aca="false">IF(internal_ai_reading=2,1,0)*Sens!H2501</f>
        <v>10.9510156068447</v>
      </c>
      <c r="I2502" s="6" t="n">
        <f aca="false">IF(internal_ai_reading=2,1,0)*Sens!I2501</f>
        <v>15.9348099957863</v>
      </c>
      <c r="J2502" s="6" t="n">
        <f aca="false">IF(internal_ai_reading=2,1,0)*Sens!J2501</f>
        <v>19.5732018514707</v>
      </c>
      <c r="K2502" s="6" t="n">
        <f aca="false">IF(internal_ai_reading=2,1,0)*Sens!K2501</f>
        <v>20.9736686076832</v>
      </c>
    </row>
    <row r="2503" customFormat="false" ht="17.15" hidden="false" customHeight="false" outlineLevel="0" collapsed="false">
      <c r="A2503" s="0" t="s">
        <v>860</v>
      </c>
      <c r="B2503" s="0" t="s">
        <v>98</v>
      </c>
      <c r="F2503" s="6" t="n">
        <f aca="false">Sens!F2421+Sens!F2500*Sens!F2480+Sens!F2502-Sens!F2422-Sens!F2432</f>
        <v>22.0886933522348</v>
      </c>
      <c r="G2503" s="6" t="n">
        <f aca="false">Sens!G2421+Sens!G2500*Sens!G2480+Sens!G2502-Sens!G2422-Sens!G2432</f>
        <v>44.2765792279397</v>
      </c>
      <c r="H2503" s="6" t="n">
        <f aca="false">Sens!H2421+Sens!H2500*Sens!H2480+Sens!H2502-Sens!H2422-Sens!H2432</f>
        <v>71.7447517303606</v>
      </c>
      <c r="I2503" s="6" t="n">
        <f aca="false">Sens!I2421+Sens!I2500*Sens!I2480+Sens!I2502-Sens!I2422-Sens!I2432</f>
        <v>90.8727245491939</v>
      </c>
      <c r="J2503" s="6" t="n">
        <f aca="false">Sens!J2421+Sens!J2500*Sens!J2480+Sens!J2502-Sens!J2422-Sens!J2432</f>
        <v>104.298903867226</v>
      </c>
      <c r="K2503" s="6" t="n">
        <f aca="false">Sens!K2421+Sens!K2500*Sens!K2480+Sens!K2502-Sens!K2422-Sens!K2432</f>
        <v>113.61239094011</v>
      </c>
    </row>
    <row r="2504" customFormat="false" ht="17.15" hidden="false" customHeight="false" outlineLevel="0" collapsed="false">
      <c r="A2504" s="0" t="s">
        <v>861</v>
      </c>
      <c r="B2504" s="0" t="s">
        <v>98</v>
      </c>
      <c r="E2504" s="6" t="n">
        <f aca="false">Sens!E2403*(cxit_open+self_build*tk_cxfac)/1000*ai_net_open</f>
        <v>101.35843056</v>
      </c>
      <c r="F2504" s="6" t="n">
        <f aca="false">Sens!E2504+Sens!F2429-Sens!F2432</f>
        <v>202.384821352409</v>
      </c>
      <c r="G2504" s="6" t="n">
        <f aca="false">Sens!F2504+Sens!G2429-Sens!G2432</f>
        <v>301.94381605056</v>
      </c>
      <c r="H2504" s="6" t="n">
        <f aca="false">Sens!G2504+Sens!H2429-Sens!H2432</f>
        <v>383.319228904231</v>
      </c>
      <c r="I2504" s="6" t="n">
        <f aca="false">Sens!H2504+Sens!I2429-Sens!I2432</f>
        <v>425.799969161713</v>
      </c>
      <c r="J2504" s="6" t="n">
        <f aca="false">Sens!I2504+Sens!J2429-Sens!J2432</f>
        <v>425.146460154832</v>
      </c>
      <c r="K2504" s="6" t="n">
        <f aca="false">Sens!J2504+Sens!K2429-Sens!K2432</f>
        <v>410.967221162258</v>
      </c>
      <c r="L2504" s="1" t="s">
        <v>862</v>
      </c>
    </row>
    <row r="2505" customFormat="false" ht="17.15" hidden="false" customHeight="false" outlineLevel="0" collapsed="false">
      <c r="A2505" s="0" t="s">
        <v>863</v>
      </c>
      <c r="B2505" s="0" t="s">
        <v>129</v>
      </c>
      <c r="F2505" s="7" t="n">
        <f aca="false">Sens!F2503*(1-tax_f)/((Sens!E2504+Sens!F2504)/2)</f>
        <v>0.116354549907062</v>
      </c>
      <c r="G2505" s="7" t="n">
        <f aca="false">Sens!G2503*(1-tax_f)/((Sens!F2504+Sens!G2504)/2)</f>
        <v>0.140468975011028</v>
      </c>
      <c r="H2505" s="7" t="n">
        <f aca="false">Sens!H2503*(1-tax_f)/((Sens!G2504+Sens!H2504)/2)</f>
        <v>0.167514655304592</v>
      </c>
      <c r="I2505" s="7" t="n">
        <f aca="false">Sens!I2503*(1-tax_f)/((Sens!H2504+Sens!I2504)/2)</f>
        <v>0.17969708248952</v>
      </c>
      <c r="J2505" s="7" t="n">
        <f aca="false">Sens!J2503*(1-tax_f)/((Sens!I2504+Sens!J2504)/2)</f>
        <v>0.196108991633696</v>
      </c>
      <c r="K2505" s="7" t="n">
        <f aca="false">Sens!K2503*(1-tax_f)/((Sens!J2504+Sens!K2504)/2)</f>
        <v>0.217410418662002</v>
      </c>
    </row>
    <row r="2506" customFormat="false" ht="17.15" hidden="false" customHeight="false" outlineLevel="0" collapsed="false">
      <c r="A2506" s="1" t="s">
        <v>864</v>
      </c>
      <c r="B2506" s="0" t="s">
        <v>129</v>
      </c>
      <c r="F2506" s="7" t="n">
        <f aca="false">(Sens!F2503-Sens!F2502)*(1-tax_f)/((Sens!E2504+Sens!F2504)/2)</f>
        <v>0.105641308687423</v>
      </c>
      <c r="G2506" s="7" t="n">
        <f aca="false">(Sens!G2503-Sens!G2502)*(1-tax_f)/((Sens!F2504+Sens!G2504)/2)</f>
        <v>0.121088242798622</v>
      </c>
      <c r="H2506" s="7" t="n">
        <f aca="false">(Sens!H2503-Sens!H2502)*(1-tax_f)/((Sens!G2504+Sens!H2504)/2)</f>
        <v>0.141945459504595</v>
      </c>
      <c r="I2506" s="7" t="n">
        <f aca="false">(Sens!I2503-Sens!I2502)*(1-tax_f)/((Sens!H2504+Sens!I2504)/2)</f>
        <v>0.148186649843501</v>
      </c>
      <c r="J2506" s="7" t="n">
        <f aca="false">(Sens!J2503-Sens!J2502)*(1-tax_f)/((Sens!I2504+Sens!J2504)/2)</f>
        <v>0.159306295384643</v>
      </c>
      <c r="K2506" s="7" t="n">
        <f aca="false">(Sens!K2503-Sens!K2502)*(1-tax_f)/((Sens!J2504+Sens!K2504)/2)</f>
        <v>0.177274883839236</v>
      </c>
    </row>
    <row r="2507" customFormat="false" ht="17.15" hidden="false" customHeight="false" outlineLevel="0" collapsed="false">
      <c r="A2507" s="1" t="s">
        <v>865</v>
      </c>
      <c r="B2507" s="0" t="s">
        <v>129</v>
      </c>
      <c r="F2507" s="7" t="n">
        <f aca="false">(Sens!F2503-Sens!F2502+Sens!F2501)*(1-tax_f)/((Sens!E2504+Sens!F2504)/2)</f>
        <v>0.116354549907062</v>
      </c>
      <c r="G2507" s="7" t="n">
        <f aca="false">(Sens!G2503-Sens!G2502+Sens!G2501)*(1-tax_f)/((Sens!F2504+Sens!G2504)/2)</f>
        <v>0.140468975011028</v>
      </c>
      <c r="H2507" s="7" t="n">
        <f aca="false">(Sens!H2503-Sens!H2502+Sens!H2501)*(1-tax_f)/((Sens!G2504+Sens!H2504)/2)</f>
        <v>0.167514655304592</v>
      </c>
      <c r="I2507" s="7" t="n">
        <f aca="false">(Sens!I2503-Sens!I2502+Sens!I2501)*(1-tax_f)/((Sens!H2504+Sens!I2504)/2)</f>
        <v>0.17969708248952</v>
      </c>
      <c r="J2507" s="7" t="n">
        <f aca="false">(Sens!J2503-Sens!J2502+Sens!J2501)*(1-tax_f)/((Sens!I2504+Sens!J2504)/2)</f>
        <v>0.196108991633696</v>
      </c>
      <c r="K2507" s="7" t="n">
        <f aca="false">(Sens!K2503-Sens!K2502+Sens!K2501)*(1-tax_f)/((Sens!J2504+Sens!K2504)/2)</f>
        <v>0.217410418662002</v>
      </c>
    </row>
    <row r="2508" customFormat="false" ht="17.15" hidden="false" customHeight="false" outlineLevel="0" collapsed="false">
      <c r="A2508" s="1" t="s">
        <v>866</v>
      </c>
      <c r="B2508" s="0" t="s">
        <v>129</v>
      </c>
      <c r="F2508" s="7" t="n">
        <f aca="false">Sens!F2433*(1-tax_f)/(Sens!F2420*(Sens!E2504+Sens!F2504)/2)</f>
        <v>0.159418295257403</v>
      </c>
      <c r="G2508" s="7" t="n">
        <f aca="false">Sens!G2433*(1-tax_f)/(Sens!G2420*(Sens!F2504+Sens!G2504)/2)</f>
        <v>0.181875227327983</v>
      </c>
      <c r="H2508" s="7" t="n">
        <f aca="false">Sens!H2433*(1-tax_f)/(Sens!H2420*(Sens!G2504+Sens!H2504)/2)</f>
        <v>0.21279384721641</v>
      </c>
      <c r="I2508" s="7" t="n">
        <f aca="false">Sens!I2433*(1-tax_f)/(Sens!I2420*(Sens!H2504+Sens!I2504)/2)</f>
        <v>0.225613268329429</v>
      </c>
      <c r="J2508" s="7" t="n">
        <f aca="false">Sens!J2433*(1-tax_f)/(Sens!J2420*(Sens!I2504+Sens!J2504)/2)</f>
        <v>0.24488839563955</v>
      </c>
      <c r="K2508" s="7" t="n">
        <f aca="false">Sens!K2433*(1-tax_f)/(Sens!K2420*(Sens!J2504+Sens!K2504)/2)</f>
        <v>0.270711455180788</v>
      </c>
    </row>
    <row r="2509" customFormat="false" ht="17.15" hidden="false" customHeight="false" outlineLevel="0" collapsed="false">
      <c r="A2509" s="0" t="s">
        <v>867</v>
      </c>
      <c r="B2509" s="0" t="s">
        <v>209</v>
      </c>
      <c r="F2509" s="7" t="n">
        <f aca="false">Sens!F2505-wacc</f>
        <v>0.0134201298141862</v>
      </c>
      <c r="G2509" s="7" t="n">
        <f aca="false">Sens!G2505-wacc</f>
        <v>0.0375345549181524</v>
      </c>
      <c r="H2509" s="7" t="n">
        <f aca="false">Sens!H2505-wacc</f>
        <v>0.0645802352117162</v>
      </c>
      <c r="I2509" s="7" t="n">
        <f aca="false">Sens!I2505-wacc</f>
        <v>0.0767626623966442</v>
      </c>
      <c r="J2509" s="7" t="n">
        <f aca="false">Sens!J2505-wacc</f>
        <v>0.09317457154082</v>
      </c>
      <c r="K2509" s="7" t="n">
        <f aca="false">Sens!K2505-wacc</f>
        <v>0.114475998569126</v>
      </c>
    </row>
    <row r="2510" customFormat="false" ht="17.15" hidden="false" customHeight="false" outlineLevel="0" collapsed="false">
      <c r="A2510" s="0" t="s">
        <v>868</v>
      </c>
      <c r="B2510" s="0" t="s">
        <v>98</v>
      </c>
      <c r="F2510" s="6" t="n">
        <f aca="false">Sens!F2503*(1-tax_f)-wacc*(Sens!E2504+Sens!F2504)/2</f>
        <v>2.0381369354238</v>
      </c>
      <c r="G2510" s="6" t="n">
        <f aca="false">Sens!G2503*(1-tax_f)-wacc*(Sens!F2504+Sens!G2504)/2</f>
        <v>9.46487546869934</v>
      </c>
      <c r="H2510" s="6" t="n">
        <f aca="false">Sens!H2503*(1-tax_f)-wacc*(Sens!G2504+Sens!H2504)/2</f>
        <v>22.1272243125386</v>
      </c>
      <c r="I2510" s="6" t="n">
        <f aca="false">Sens!I2503*(1-tax_f)-wacc*(Sens!H2504+Sens!I2504)/2</f>
        <v>31.0550719198898</v>
      </c>
      <c r="J2510" s="6" t="n">
        <f aca="false">Sens!J2503*(1-tax_f)-wacc*(Sens!I2504+Sens!J2504)/2</f>
        <v>39.6432844778799</v>
      </c>
      <c r="K2510" s="6" t="n">
        <f aca="false">Sens!K2503*(1-tax_f)-wacc*(Sens!J2504+Sens!K2504)/2</f>
        <v>47.8574742930409</v>
      </c>
    </row>
    <row r="2511" customFormat="false" ht="17.15" hidden="false" customHeight="false" outlineLevel="0" collapsed="false">
      <c r="A2511" s="3" t="s">
        <v>1325</v>
      </c>
    </row>
    <row r="2512" customFormat="false" ht="15" hidden="false" customHeight="false" outlineLevel="0" collapsed="false">
      <c r="A2512" s="4" t="s">
        <v>43</v>
      </c>
      <c r="B2512" s="4" t="s">
        <v>65</v>
      </c>
      <c r="C2512" s="20" t="s">
        <v>799</v>
      </c>
      <c r="D2512" s="20" t="s">
        <v>800</v>
      </c>
      <c r="E2512" s="20" t="s">
        <v>801</v>
      </c>
      <c r="F2512" s="20" t="s">
        <v>802</v>
      </c>
      <c r="G2512" s="20" t="s">
        <v>803</v>
      </c>
      <c r="H2512" s="20" t="s">
        <v>804</v>
      </c>
      <c r="I2512" s="20" t="s">
        <v>805</v>
      </c>
      <c r="J2512" s="20" t="s">
        <v>806</v>
      </c>
      <c r="K2512" s="20" t="s">
        <v>807</v>
      </c>
      <c r="L2512" s="4" t="s">
        <v>47</v>
      </c>
    </row>
    <row r="2513" customFormat="false" ht="15" hidden="false" customHeight="false" outlineLevel="0" collapsed="false">
      <c r="A2513" s="1" t="s">
        <v>925</v>
      </c>
      <c r="B2513" s="0" t="s">
        <v>98</v>
      </c>
      <c r="F2513" s="6" t="n">
        <f aca="false">Sens!F2494</f>
        <v>145.645898902112</v>
      </c>
      <c r="G2513" s="6" t="n">
        <f aca="false">Sens!G2494</f>
        <v>175.649339524513</v>
      </c>
      <c r="H2513" s="6" t="n">
        <f aca="false">Sens!H2494</f>
        <v>209.482603381145</v>
      </c>
      <c r="I2513" s="6" t="n">
        <f aca="false">Sens!I2494</f>
        <v>236.218535849238</v>
      </c>
      <c r="J2513" s="6" t="n">
        <f aca="false">Sens!J2494</f>
        <v>258.566842822524</v>
      </c>
      <c r="K2513" s="6" t="n">
        <f aca="false">Sens!K2494</f>
        <v>277.904674649143</v>
      </c>
    </row>
    <row r="2514" customFormat="false" ht="17.15" hidden="false" customHeight="false" outlineLevel="0" collapsed="false">
      <c r="A2514" s="1" t="s">
        <v>947</v>
      </c>
      <c r="B2514" s="0" t="s">
        <v>98</v>
      </c>
      <c r="E2514" s="6" t="n">
        <f aca="false">Q!M38-Sens!E2432</f>
        <v>25.4896752183333</v>
      </c>
      <c r="F2514" s="6" t="n">
        <f aca="false">Sens!E2514*(1-1/life_nonai)+(Sens!F2521+Sens!F2522)/life_nonai</f>
        <v>30.5340776267827</v>
      </c>
      <c r="G2514" s="6" t="n">
        <f aca="false">Sens!F2514*(1-1/life_nonai)+(Sens!G2521)/life_nonai</f>
        <v>31.6409592211433</v>
      </c>
      <c r="H2514" s="6" t="n">
        <f aca="false">Sens!G2514*(1-1/life_nonai)+(Sens!H2521)/life_nonai</f>
        <v>33.233014663438</v>
      </c>
      <c r="I2514" s="6" t="n">
        <f aca="false">Sens!H2514*(1-1/life_nonai)+(Sens!I2521)/life_nonai</f>
        <v>35.2270532282586</v>
      </c>
      <c r="J2514" s="6" t="n">
        <f aca="false">Sens!I2514*(1-1/life_nonai)+(Sens!J2521)/life_nonai</f>
        <v>37.5249392304701</v>
      </c>
      <c r="K2514" s="6" t="n">
        <f aca="false">Sens!J2514*(1-1/life_nonai)+(Sens!K2521)/life_nonai</f>
        <v>40.0368155816225</v>
      </c>
      <c r="L2514" s="11" t="s">
        <v>948</v>
      </c>
    </row>
    <row r="2515" customFormat="false" ht="17.15" hidden="false" customHeight="false" outlineLevel="0" collapsed="false">
      <c r="A2515" s="1" t="s">
        <v>949</v>
      </c>
      <c r="B2515" s="0" t="s">
        <v>98</v>
      </c>
      <c r="F2515" s="6" t="n">
        <f aca="false">Sens!$F$2522/life_nonai*(1-1/life_nonai)^(Sens!F2398-2027)</f>
        <v>4.02043520732642</v>
      </c>
      <c r="G2515" s="6" t="n">
        <f aca="false">Sens!$F$2522/life_nonai*(1-1/life_nonai)^(Sens!G2398-2027)</f>
        <v>3.61839168659378</v>
      </c>
      <c r="H2515" s="6" t="n">
        <f aca="false">Sens!$F$2522/life_nonai*(1-1/life_nonai)^(Sens!H2398-2027)</f>
        <v>3.2565525179344</v>
      </c>
      <c r="I2515" s="6" t="n">
        <f aca="false">Sens!$F$2522/life_nonai*(1-1/life_nonai)^(Sens!I2398-2027)</f>
        <v>2.93089726614096</v>
      </c>
      <c r="J2515" s="6" t="n">
        <f aca="false">Sens!$F$2522/life_nonai*(1-1/life_nonai)^(Sens!J2398-2027)</f>
        <v>2.63780753952686</v>
      </c>
      <c r="K2515" s="6" t="n">
        <f aca="false">Sens!$F$2522/life_nonai*(1-1/life_nonai)^(Sens!K2398-2027)</f>
        <v>2.37402678557418</v>
      </c>
      <c r="L2515" s="1" t="s">
        <v>950</v>
      </c>
    </row>
    <row r="2516" customFormat="false" ht="17.15" hidden="false" customHeight="false" outlineLevel="0" collapsed="false">
      <c r="A2516" s="1" t="s">
        <v>951</v>
      </c>
      <c r="B2516" s="0" t="s">
        <v>98</v>
      </c>
      <c r="E2516" s="6" t="n">
        <f aca="false">Sens!E2432+Sens!E2514</f>
        <v>38.534</v>
      </c>
      <c r="F2516" s="6" t="n">
        <f aca="false">Sens!F2432+Sens!F2514</f>
        <v>57.7739875315471</v>
      </c>
      <c r="G2516" s="6" t="n">
        <f aca="false">Sens!G2432+Sens!G2514</f>
        <v>78.9413089095522</v>
      </c>
      <c r="H2516" s="6" t="n">
        <f aca="false">Sens!H2432+Sens!H2514</f>
        <v>102.321830538087</v>
      </c>
      <c r="I2516" s="6" t="n">
        <f aca="false">Sens!I2432+Sens!I2514</f>
        <v>123.711648294173</v>
      </c>
      <c r="J2516" s="6" t="n">
        <f aca="false">Sens!J2432+Sens!J2514</f>
        <v>139.923597512745</v>
      </c>
      <c r="K2516" s="6" t="n">
        <f aca="false">Sens!K2432+Sens!K2514</f>
        <v>151.341986817069</v>
      </c>
    </row>
    <row r="2517" customFormat="false" ht="17.15" hidden="false" customHeight="false" outlineLevel="0" collapsed="false">
      <c r="A2517" s="1" t="s">
        <v>952</v>
      </c>
      <c r="B2517" s="0" t="s">
        <v>98</v>
      </c>
      <c r="F2517" s="6" t="n">
        <f aca="false">Sens!F2459*sbc_r</f>
        <v>15.1240791253967</v>
      </c>
      <c r="G2517" s="6" t="n">
        <f aca="false">Sens!G2459*sbc_r</f>
        <v>18.3778786594202</v>
      </c>
      <c r="H2517" s="6" t="n">
        <f aca="false">Sens!H2459*sbc_r</f>
        <v>21.8771522065674</v>
      </c>
      <c r="I2517" s="6" t="n">
        <f aca="false">Sens!I2459*sbc_r</f>
        <v>24.8701515437869</v>
      </c>
      <c r="J2517" s="6" t="n">
        <f aca="false">Sens!J2459*sbc_r</f>
        <v>27.2967954795689</v>
      </c>
      <c r="K2517" s="6" t="n">
        <f aca="false">Sens!K2459*sbc_r</f>
        <v>29.260073931056</v>
      </c>
    </row>
    <row r="2518" customFormat="false" ht="17.15" hidden="false" customHeight="false" outlineLevel="0" collapsed="false">
      <c r="A2518" s="1" t="s">
        <v>953</v>
      </c>
      <c r="B2518" s="0" t="s">
        <v>98</v>
      </c>
      <c r="F2518" s="6" t="n">
        <f aca="false">wc27</f>
        <v>-4.895</v>
      </c>
      <c r="G2518" s="6" t="n">
        <f aca="false">wc_f</f>
        <v>0</v>
      </c>
      <c r="H2518" s="6" t="n">
        <f aca="false">wc_f</f>
        <v>0</v>
      </c>
      <c r="I2518" s="6" t="n">
        <f aca="false">wc_f</f>
        <v>0</v>
      </c>
      <c r="J2518" s="6" t="n">
        <f aca="false">wc_f</f>
        <v>0</v>
      </c>
      <c r="K2518" s="6" t="n">
        <f aca="false">wc_f</f>
        <v>0</v>
      </c>
      <c r="L2518" s="11" t="s">
        <v>954</v>
      </c>
    </row>
    <row r="2519" customFormat="false" ht="15" hidden="false" customHeight="false" outlineLevel="0" collapsed="false">
      <c r="A2519" s="1" t="s">
        <v>767</v>
      </c>
      <c r="B2519" s="0" t="s">
        <v>98</v>
      </c>
      <c r="E2519" s="6" t="n">
        <f aca="false">Q!M35</f>
        <v>182.935</v>
      </c>
      <c r="F2519" s="6" t="n">
        <f aca="false">Sens!F2513+Sens!F2516+Sens!F2517+Sens!F2518</f>
        <v>213.648965559056</v>
      </c>
      <c r="G2519" s="6" t="n">
        <f aca="false">Sens!G2513+Sens!G2516+Sens!G2517+Sens!G2518</f>
        <v>272.968527093486</v>
      </c>
      <c r="H2519" s="6" t="n">
        <f aca="false">Sens!H2513+Sens!H2516+Sens!H2517+Sens!H2518</f>
        <v>333.681586125799</v>
      </c>
      <c r="I2519" s="6" t="n">
        <f aca="false">Sens!I2513+Sens!I2516+Sens!I2517+Sens!I2518</f>
        <v>384.800335687198</v>
      </c>
      <c r="J2519" s="6" t="n">
        <f aca="false">Sens!J2513+Sens!J2516+Sens!J2517+Sens!J2518</f>
        <v>425.787235814838</v>
      </c>
      <c r="K2519" s="6" t="n">
        <f aca="false">Sens!K2513+Sens!K2516+Sens!K2517+Sens!K2518</f>
        <v>458.506735397268</v>
      </c>
    </row>
    <row r="2520" customFormat="false" ht="17.15" hidden="false" customHeight="false" outlineLevel="0" collapsed="false">
      <c r="A2520" s="0" t="s">
        <v>955</v>
      </c>
      <c r="B2520" s="0" t="s">
        <v>98</v>
      </c>
      <c r="F2520" s="6" t="n">
        <f aca="false">Sens!F2429</f>
        <v>128.266300697173</v>
      </c>
      <c r="G2520" s="6" t="n">
        <f aca="false">Sens!G2429</f>
        <v>146.85934438656</v>
      </c>
      <c r="H2520" s="6" t="n">
        <f aca="false">Sens!H2429</f>
        <v>150.46422872832</v>
      </c>
      <c r="I2520" s="6" t="n">
        <f aca="false">Sens!I2429</f>
        <v>130.965335323396</v>
      </c>
      <c r="J2520" s="6" t="n">
        <f aca="false">Sens!J2429</f>
        <v>101.745149275394</v>
      </c>
      <c r="K2520" s="6" t="n">
        <f aca="false">Sens!K2429</f>
        <v>97.1259322428725</v>
      </c>
    </row>
    <row r="2521" customFormat="false" ht="17.15" hidden="false" customHeight="false" outlineLevel="0" collapsed="false">
      <c r="A2521" s="1" t="s">
        <v>956</v>
      </c>
      <c r="B2521" s="0" t="s">
        <v>98</v>
      </c>
      <c r="E2521" s="6" t="n">
        <f aca="false">Sens!E2437*cx_azo+Sens!E2444*cx_m365+Sens!E2445*cx_lic+(Sens!E2447+Sens!E2449)*cx_ind+Sens!E2452*cx_srch+(Sens!E2454+Sens!E2456)*cx_dev</f>
        <v>30.1846587067718</v>
      </c>
      <c r="F2521" s="6" t="n">
        <f aca="false">Sens!F2437*cx_azo+Sens!F2444*cx_m365+Sens!F2445*cx_lic+(Sens!F2447+Sens!F2449)*cx_ind+Sens!F2452*cx_srch+(Sens!F2454+Sens!F2456)*cx_dev</f>
        <v>35.7293472295625</v>
      </c>
      <c r="G2521" s="6" t="n">
        <f aca="false">Sens!G2437*cx_azo+Sens!G2444*cx_m365+Sens!G2445*cx_lic+(Sens!G2447+Sens!G2449)*cx_ind+Sens!G2452*cx_srch+(Sens!G2454+Sens!G2456)*cx_dev</f>
        <v>41.6028935703892</v>
      </c>
      <c r="H2521" s="6" t="n">
        <f aca="false">Sens!H2437*cx_azo+Sens!H2444*cx_m365+Sens!H2445*cx_lic+(Sens!H2447+Sens!H2449)*cx_ind+Sens!H2452*cx_srch+(Sens!H2454+Sens!H2456)*cx_dev</f>
        <v>47.5615136440897</v>
      </c>
      <c r="I2521" s="6" t="n">
        <f aca="false">Sens!I2437*cx_azo+Sens!I2444*cx_m365+Sens!I2445*cx_lic+(Sens!I2447+Sens!I2449)*cx_ind+Sens!I2452*cx_srch+(Sens!I2454+Sens!I2456)*cx_dev</f>
        <v>53.1734003116439</v>
      </c>
      <c r="J2521" s="6" t="n">
        <f aca="false">Sens!J2437*cx_azo+Sens!J2444*cx_m365+Sens!J2445*cx_lic+(Sens!J2447+Sens!J2449)*cx_ind+Sens!J2452*cx_srch+(Sens!J2454+Sens!J2456)*cx_dev</f>
        <v>58.2059132503738</v>
      </c>
      <c r="K2521" s="6" t="n">
        <f aca="false">Sens!K2437*cx_azo+Sens!K2444*cx_m365+Sens!K2445*cx_lic+(Sens!K2447+Sens!K2449)*cx_ind+Sens!K2452*cx_srch+(Sens!K2454+Sens!K2456)*cx_dev</f>
        <v>62.643702741994</v>
      </c>
    </row>
    <row r="2522" customFormat="false" ht="17.15" hidden="false" customHeight="false" outlineLevel="0" collapsed="false">
      <c r="A2522" s="0" t="s">
        <v>957</v>
      </c>
      <c r="B2522" s="0" t="s">
        <v>98</v>
      </c>
      <c r="F2522" s="6" t="n">
        <f aca="false">Sens!F2427</f>
        <v>40.2043520732642</v>
      </c>
      <c r="L2522" s="1" t="s">
        <v>958</v>
      </c>
    </row>
    <row r="2523" customFormat="false" ht="17.15" hidden="false" customHeight="false" outlineLevel="0" collapsed="false">
      <c r="A2523" s="1" t="s">
        <v>959</v>
      </c>
      <c r="B2523" s="0" t="s">
        <v>98</v>
      </c>
      <c r="E2523" s="6" t="n">
        <f aca="false">Q!M42</f>
        <v>145.3</v>
      </c>
      <c r="F2523" s="6" t="n">
        <f aca="false">Sens!F2520+Sens!F2521+Sens!F2522</f>
        <v>204.2</v>
      </c>
      <c r="G2523" s="6" t="n">
        <f aca="false">Sens!G2520+Sens!G2521</f>
        <v>188.462237956949</v>
      </c>
      <c r="H2523" s="6" t="n">
        <f aca="false">Sens!H2520+Sens!H2521</f>
        <v>198.02574237241</v>
      </c>
      <c r="I2523" s="6" t="n">
        <f aca="false">Sens!I2520+Sens!I2521</f>
        <v>184.13873563504</v>
      </c>
      <c r="J2523" s="6" t="n">
        <f aca="false">Sens!J2520+Sens!J2521</f>
        <v>159.951062525768</v>
      </c>
      <c r="K2523" s="6" t="n">
        <f aca="false">Sens!K2520+Sens!K2521</f>
        <v>159.769634984866</v>
      </c>
      <c r="L2523" s="1" t="s">
        <v>960</v>
      </c>
    </row>
    <row r="2524" customFormat="false" ht="15" hidden="false" customHeight="false" outlineLevel="0" collapsed="false">
      <c r="A2524" s="1" t="s">
        <v>961</v>
      </c>
      <c r="B2524" s="0" t="s">
        <v>98</v>
      </c>
      <c r="E2524" s="6" t="n">
        <f aca="false">fl_liab</f>
        <v>66.594</v>
      </c>
      <c r="F2524" s="6" t="n">
        <f aca="false">Sens!E2524-Sens!F2525</f>
        <v>62.46973</v>
      </c>
      <c r="G2524" s="6" t="n">
        <f aca="false">Sens!F2524-Sens!G2525</f>
        <v>57.98686785</v>
      </c>
      <c r="H2524" s="6" t="n">
        <f aca="false">Sens!G2524-Sens!H2525</f>
        <v>53.92827690325</v>
      </c>
      <c r="I2524" s="6" t="n">
        <f aca="false">Sens!H2524-Sens!I2525</f>
        <v>49.7850493638962</v>
      </c>
      <c r="J2524" s="6" t="n">
        <f aca="false">Sens!I2524-Sens!J2525</f>
        <v>45.4823765852716</v>
      </c>
      <c r="K2524" s="6" t="n">
        <f aca="false">Sens!J2524-Sens!K2525</f>
        <v>40.9860835316088</v>
      </c>
    </row>
    <row r="2525" customFormat="false" ht="15" hidden="false" customHeight="false" outlineLevel="0" collapsed="false">
      <c r="A2525" s="1" t="s">
        <v>962</v>
      </c>
      <c r="B2525" s="0" t="s">
        <v>98</v>
      </c>
      <c r="F2525" s="6" t="n">
        <f aca="false">fl_pay_27-Sens!E2524*fl_rate</f>
        <v>4.12427</v>
      </c>
      <c r="G2525" s="6" t="n">
        <f aca="false">fl_pay_28-Sens!F2524*fl_rate</f>
        <v>4.48286215</v>
      </c>
      <c r="H2525" s="6" t="n">
        <f aca="false">fl_pay_29-Sens!G2524*fl_rate</f>
        <v>4.05859094675</v>
      </c>
      <c r="I2525" s="6" t="n">
        <f aca="false">fl_pay_30-Sens!H2524*fl_rate</f>
        <v>4.14322753935375</v>
      </c>
      <c r="J2525" s="6" t="n">
        <f aca="false">fl_pay_31-Sens!I2524*fl_rate</f>
        <v>4.30267277862467</v>
      </c>
      <c r="K2525" s="6" t="n">
        <f aca="false">fl_pay_32-Sens!J2524*fl_rate</f>
        <v>4.49629305366278</v>
      </c>
    </row>
    <row r="2526" customFormat="false" ht="17.15" hidden="false" customHeight="false" outlineLevel="0" collapsed="false">
      <c r="A2526" s="1" t="s">
        <v>963</v>
      </c>
      <c r="B2526" s="0" t="s">
        <v>98</v>
      </c>
      <c r="E2526" s="6" t="n">
        <f aca="false">Q!M35-Q!M36-Q!M43</f>
        <v>63.886</v>
      </c>
      <c r="F2526" s="6" t="n">
        <f aca="false">Sens!F2519-Sens!F2523-Sens!F2525</f>
        <v>5.32469555905618</v>
      </c>
      <c r="G2526" s="6" t="n">
        <f aca="false">Sens!G2519-Sens!G2523-Sens!G2525</f>
        <v>80.0234269865363</v>
      </c>
      <c r="H2526" s="6" t="n">
        <f aca="false">Sens!H2519-Sens!H2523-Sens!H2525</f>
        <v>131.597252806639</v>
      </c>
      <c r="I2526" s="6" t="n">
        <f aca="false">Sens!I2519-Sens!I2523-Sens!I2525</f>
        <v>196.518372512804</v>
      </c>
      <c r="J2526" s="6" t="n">
        <f aca="false">Sens!J2519-Sens!J2523-Sens!J2525</f>
        <v>261.533500510446</v>
      </c>
      <c r="K2526" s="6" t="n">
        <f aca="false">Sens!K2519-Sens!K2523-Sens!K2525</f>
        <v>294.240807358739</v>
      </c>
      <c r="L2526" s="11" t="s">
        <v>964</v>
      </c>
    </row>
    <row r="2527" customFormat="false" ht="15" hidden="false" customHeight="false" outlineLevel="0" collapsed="false">
      <c r="A2527" s="1" t="s">
        <v>965</v>
      </c>
      <c r="B2527" s="0" t="s">
        <v>75</v>
      </c>
      <c r="F2527" s="8" t="n">
        <f aca="false">dps_27</f>
        <v>3.85</v>
      </c>
      <c r="G2527" s="8" t="n">
        <f aca="false">Sens!F2527*(1+dps_g)</f>
        <v>4.158</v>
      </c>
      <c r="H2527" s="8" t="n">
        <f aca="false">Sens!G2527*(1+dps_g)</f>
        <v>4.49064</v>
      </c>
      <c r="I2527" s="8" t="n">
        <f aca="false">Sens!H2527*(1+dps_g)</f>
        <v>4.8498912</v>
      </c>
      <c r="J2527" s="8" t="n">
        <f aca="false">Sens!I2527*(1+dps_g)</f>
        <v>5.237882496</v>
      </c>
      <c r="K2527" s="8" t="n">
        <f aca="false">Sens!J2527*(1+dps_g)</f>
        <v>5.65691309568</v>
      </c>
    </row>
    <row r="2528" customFormat="false" ht="17.15" hidden="false" customHeight="false" outlineLevel="0" collapsed="false">
      <c r="A2528" s="1" t="s">
        <v>966</v>
      </c>
      <c r="B2528" s="0" t="s">
        <v>98</v>
      </c>
      <c r="E2528" s="6" t="n">
        <f aca="false">Q!M41</f>
        <v>26.445</v>
      </c>
      <c r="F2528" s="6" t="n">
        <f aca="false">Sens!F2527*Sens!E2537</f>
        <v>28.59395</v>
      </c>
      <c r="G2528" s="6" t="n">
        <f aca="false">Sens!G2527*Sens!F2537</f>
        <v>31.068576</v>
      </c>
      <c r="H2528" s="6" t="n">
        <f aca="false">Sens!H2527*Sens!G2537</f>
        <v>33.5888350159995</v>
      </c>
      <c r="I2528" s="6" t="n">
        <f aca="false">Sens!I2527*Sens!H2537</f>
        <v>36.3268810572789</v>
      </c>
      <c r="J2528" s="6" t="n">
        <f aca="false">Sens!J2527*Sens!I2537</f>
        <v>39.3014303901806</v>
      </c>
      <c r="K2528" s="6" t="n">
        <f aca="false">Sens!K2527*Sens!J2537</f>
        <v>42.5328000467001</v>
      </c>
      <c r="L2528" s="1" t="s">
        <v>967</v>
      </c>
    </row>
    <row r="2529" customFormat="false" ht="15" hidden="false" customHeight="false" outlineLevel="0" collapsed="false">
      <c r="A2529" s="1" t="s">
        <v>968</v>
      </c>
      <c r="B2529" s="0" t="s">
        <v>98</v>
      </c>
      <c r="E2529" s="6" t="n">
        <f aca="false">Sens!E2526-Sens!E2528</f>
        <v>37.441</v>
      </c>
      <c r="F2529" s="6" t="n">
        <f aca="false">Sens!F2526-Sens!F2528</f>
        <v>-23.2692544409438</v>
      </c>
      <c r="G2529" s="6" t="n">
        <f aca="false">Sens!G2526-Sens!G2528</f>
        <v>48.9548509865363</v>
      </c>
      <c r="H2529" s="6" t="n">
        <f aca="false">Sens!H2526-Sens!H2528</f>
        <v>98.00841779064</v>
      </c>
      <c r="I2529" s="6" t="n">
        <f aca="false">Sens!I2526-Sens!I2528</f>
        <v>160.191491455525</v>
      </c>
      <c r="J2529" s="6" t="n">
        <f aca="false">Sens!J2526-Sens!J2528</f>
        <v>222.232070120265</v>
      </c>
      <c r="K2529" s="6" t="n">
        <f aca="false">Sens!K2526-Sens!K2528</f>
        <v>251.708007312039</v>
      </c>
    </row>
    <row r="2530" customFormat="false" ht="15" hidden="false" customHeight="false" outlineLevel="0" collapsed="false">
      <c r="A2530" s="1" t="s">
        <v>969</v>
      </c>
      <c r="B2530" s="0" t="s">
        <v>98</v>
      </c>
      <c r="F2530" s="6" t="n">
        <f aca="false">debt_mat_27</f>
        <v>9.25</v>
      </c>
      <c r="G2530" s="6" t="n">
        <f aca="false">debt_mat_28</f>
        <v>0</v>
      </c>
      <c r="H2530" s="6" t="n">
        <f aca="false">debt_mat_29</f>
        <v>2.001</v>
      </c>
      <c r="I2530" s="6" t="n">
        <f aca="false">debt_mat_30</f>
        <v>0</v>
      </c>
      <c r="J2530" s="6" t="n">
        <f aca="false">debt_mat_31</f>
        <v>0.5</v>
      </c>
      <c r="K2530" s="6" t="n">
        <f aca="false">debt_mat_32</f>
        <v>0</v>
      </c>
    </row>
    <row r="2531" customFormat="false" ht="15" hidden="false" customHeight="false" outlineLevel="0" collapsed="false">
      <c r="A2531" s="1" t="s">
        <v>970</v>
      </c>
      <c r="B2531" s="0" t="s">
        <v>98</v>
      </c>
      <c r="E2531" s="6" t="n">
        <f aca="false">Q!M40</f>
        <v>22.271</v>
      </c>
      <c r="F2531" s="6" t="n">
        <f aca="false">MAX(0,MIN(bb_target,Sens!E2533+Sens!F2529-Sens!F2530-min_cash))</f>
        <v>0</v>
      </c>
      <c r="G2531" s="6" t="n">
        <f aca="false">MAX(0,MIN(bb_target,Sens!F2533+Sens!G2529-Sens!G2530-min_cash))</f>
        <v>22.271</v>
      </c>
      <c r="H2531" s="6" t="n">
        <f aca="false">MAX(0,MIN(bb_target,Sens!G2533+Sens!H2529-Sens!H2530-min_cash))</f>
        <v>22.271</v>
      </c>
      <c r="I2531" s="6" t="n">
        <f aca="false">MAX(0,MIN(bb_target,Sens!H2533+Sens!I2529-Sens!I2530-min_cash))</f>
        <v>22.271</v>
      </c>
      <c r="J2531" s="6" t="n">
        <f aca="false">MAX(0,MIN(bb_target,Sens!I2533+Sens!J2529-Sens!J2530-min_cash))</f>
        <v>22.271</v>
      </c>
      <c r="K2531" s="6" t="n">
        <f aca="false">MAX(0,MIN(bb_target,Sens!J2533+Sens!K2529-Sens!K2530-min_cash))</f>
        <v>22.271</v>
      </c>
    </row>
    <row r="2532" customFormat="false" ht="15" hidden="false" customHeight="false" outlineLevel="0" collapsed="false">
      <c r="A2532" s="1" t="s">
        <v>971</v>
      </c>
      <c r="B2532" s="0" t="s">
        <v>98</v>
      </c>
      <c r="F2532" s="6" t="n">
        <f aca="false">MAX(0,min_cash-(Sens!E2533+Sens!F2529-Sens!F2530-Sens!F2531))</f>
        <v>5.67625444094382</v>
      </c>
      <c r="G2532" s="6" t="n">
        <f aca="false">MAX(0,min_cash-(Sens!F2533+Sens!G2529-Sens!G2530-Sens!G2531))</f>
        <v>0</v>
      </c>
      <c r="H2532" s="6" t="n">
        <f aca="false">MAX(0,min_cash-(Sens!G2533+Sens!H2529-Sens!H2530-Sens!H2531))</f>
        <v>0</v>
      </c>
      <c r="I2532" s="6" t="n">
        <f aca="false">MAX(0,min_cash-(Sens!H2533+Sens!I2529-Sens!I2530-Sens!I2531))</f>
        <v>0</v>
      </c>
      <c r="J2532" s="6" t="n">
        <f aca="false">MAX(0,min_cash-(Sens!I2533+Sens!J2529-Sens!J2530-Sens!J2531))</f>
        <v>0</v>
      </c>
      <c r="K2532" s="6" t="n">
        <f aca="false">MAX(0,min_cash-(Sens!J2533+Sens!K2529-Sens!K2530-Sens!K2531))</f>
        <v>0</v>
      </c>
    </row>
    <row r="2533" customFormat="false" ht="15" hidden="false" customHeight="false" outlineLevel="0" collapsed="false">
      <c r="A2533" s="1" t="s">
        <v>972</v>
      </c>
      <c r="B2533" s="0" t="s">
        <v>98</v>
      </c>
      <c r="E2533" s="6" t="n">
        <f aca="false">cash_open</f>
        <v>76.843</v>
      </c>
      <c r="F2533" s="6" t="n">
        <f aca="false">Sens!E2533+Sens!F2529-Sens!F2530-Sens!F2531+Sens!F2532</f>
        <v>50</v>
      </c>
      <c r="G2533" s="6" t="n">
        <f aca="false">Sens!F2533+Sens!G2529-Sens!G2530-Sens!G2531+Sens!G2532</f>
        <v>76.6838509865363</v>
      </c>
      <c r="H2533" s="6" t="n">
        <f aca="false">Sens!G2533+Sens!H2529-Sens!H2530-Sens!H2531+Sens!H2532</f>
        <v>150.420268777176</v>
      </c>
      <c r="I2533" s="6" t="n">
        <f aca="false">Sens!H2533+Sens!I2529-Sens!I2530-Sens!I2531+Sens!I2532</f>
        <v>288.340760232701</v>
      </c>
      <c r="J2533" s="6" t="n">
        <f aca="false">Sens!I2533+Sens!J2529-Sens!J2530-Sens!J2531+Sens!J2532</f>
        <v>487.801830352966</v>
      </c>
      <c r="K2533" s="6" t="n">
        <f aca="false">Sens!J2533+Sens!K2529-Sens!K2530-Sens!K2531+Sens!K2532</f>
        <v>717.238837665005</v>
      </c>
    </row>
    <row r="2534" customFormat="false" ht="15" hidden="false" customHeight="false" outlineLevel="0" collapsed="false">
      <c r="A2534" s="1" t="s">
        <v>973</v>
      </c>
      <c r="B2534" s="0" t="s">
        <v>98</v>
      </c>
      <c r="E2534" s="6" t="n">
        <f aca="false">debt_face</f>
        <v>46.136</v>
      </c>
      <c r="F2534" s="6" t="n">
        <f aca="false">Sens!E2534-Sens!F2530+Sens!F2532</f>
        <v>42.5622544409438</v>
      </c>
      <c r="G2534" s="6" t="n">
        <f aca="false">Sens!F2534-Sens!G2530+Sens!G2532</f>
        <v>42.5622544409438</v>
      </c>
      <c r="H2534" s="6" t="n">
        <f aca="false">Sens!G2534-Sens!H2530+Sens!H2532</f>
        <v>40.5612544409438</v>
      </c>
      <c r="I2534" s="6" t="n">
        <f aca="false">Sens!H2534-Sens!I2530+Sens!I2532</f>
        <v>40.5612544409438</v>
      </c>
      <c r="J2534" s="6" t="n">
        <f aca="false">Sens!I2534-Sens!J2530+Sens!J2532</f>
        <v>40.0612544409438</v>
      </c>
      <c r="K2534" s="6" t="n">
        <f aca="false">Sens!J2534-Sens!K2530+Sens!K2532</f>
        <v>40.0612544409438</v>
      </c>
    </row>
    <row r="2535" customFormat="false" ht="15" hidden="false" customHeight="false" outlineLevel="0" collapsed="false">
      <c r="A2535" s="1" t="s">
        <v>974</v>
      </c>
      <c r="B2535" s="0" t="s">
        <v>98</v>
      </c>
      <c r="E2535" s="6" t="n">
        <f aca="false">Sens!E2533-Sens!E2534</f>
        <v>30.707</v>
      </c>
      <c r="F2535" s="6" t="n">
        <f aca="false">Sens!F2533-Sens!F2534</f>
        <v>7.43774555905618</v>
      </c>
      <c r="G2535" s="6" t="n">
        <f aca="false">Sens!G2533-Sens!G2534</f>
        <v>34.1215965455925</v>
      </c>
      <c r="H2535" s="6" t="n">
        <f aca="false">Sens!H2533-Sens!H2534</f>
        <v>109.859014336232</v>
      </c>
      <c r="I2535" s="6" t="n">
        <f aca="false">Sens!I2533-Sens!I2534</f>
        <v>247.779505791757</v>
      </c>
      <c r="J2535" s="6" t="n">
        <f aca="false">Sens!J2533-Sens!J2534</f>
        <v>447.740575912022</v>
      </c>
      <c r="K2535" s="6" t="n">
        <f aca="false">Sens!K2533-Sens!K2534</f>
        <v>677.177583224062</v>
      </c>
    </row>
    <row r="2536" customFormat="false" ht="15" hidden="false" customHeight="false" outlineLevel="0" collapsed="false">
      <c r="A2536" s="1" t="s">
        <v>975</v>
      </c>
      <c r="B2536" s="0" t="s">
        <v>75</v>
      </c>
      <c r="F2536" s="29" t="n">
        <f aca="false">px*(1+bb_g)^(Sens!F2398-base_fy-mid_yr)</f>
        <v>553.494156066711</v>
      </c>
      <c r="G2536" s="29" t="n">
        <f aca="false">px*(1+bb_g)^(Sens!G2398-base_fy-mid_yr)</f>
        <v>597.773688552047</v>
      </c>
      <c r="H2536" s="29" t="n">
        <f aca="false">px*(1+bb_g)^(Sens!H2398-base_fy-mid_yr)</f>
        <v>645.595583636211</v>
      </c>
      <c r="I2536" s="29" t="n">
        <f aca="false">px*(1+bb_g)^(Sens!I2398-base_fy-mid_yr)</f>
        <v>697.243230327108</v>
      </c>
      <c r="J2536" s="29" t="n">
        <f aca="false">px*(1+bb_g)^(Sens!J2398-base_fy-mid_yr)</f>
        <v>753.022688753277</v>
      </c>
      <c r="K2536" s="29" t="n">
        <f aca="false">px*(1+bb_g)^(Sens!K2398-base_fy-mid_yr)</f>
        <v>813.264503853539</v>
      </c>
    </row>
    <row r="2537" customFormat="false" ht="15" hidden="false" customHeight="false" outlineLevel="0" collapsed="false">
      <c r="A2537" s="1" t="s">
        <v>976</v>
      </c>
      <c r="B2537" s="1" t="s">
        <v>81</v>
      </c>
      <c r="E2537" s="14" t="n">
        <f aca="false">sh_out26</f>
        <v>7.427</v>
      </c>
      <c r="F2537" s="14" t="n">
        <f aca="false">Sens!E2537+sh_iss-Sens!F2531/Sens!F2536</f>
        <v>7.472</v>
      </c>
      <c r="G2537" s="14" t="n">
        <f aca="false">Sens!F2537+sh_iss-Sens!G2531/Sens!G2536</f>
        <v>7.47974342543589</v>
      </c>
      <c r="H2537" s="14" t="n">
        <f aca="false">Sens!G2537+sh_iss-Sens!H2531/Sens!H2536</f>
        <v>7.4902465971358</v>
      </c>
      <c r="I2537" s="14" t="n">
        <f aca="false">Sens!H2537+sh_iss-Sens!I2531/Sens!I2536</f>
        <v>7.50330508945052</v>
      </c>
      <c r="J2537" s="14" t="n">
        <f aca="false">Sens!I2537+sh_iss-Sens!J2531/Sens!J2536</f>
        <v>7.51872961937156</v>
      </c>
      <c r="K2537" s="14" t="n">
        <f aca="false">Sens!J2537+sh_iss-Sens!K2531/Sens!K2536</f>
        <v>7.53634492485401</v>
      </c>
    </row>
    <row r="2538" customFormat="false" ht="15" hidden="false" customHeight="false" outlineLevel="0" collapsed="false">
      <c r="A2538" s="1" t="s">
        <v>977</v>
      </c>
      <c r="B2538" s="1" t="s">
        <v>81</v>
      </c>
      <c r="E2538" s="14" t="n">
        <f aca="false">sh_dil26</f>
        <v>7.453</v>
      </c>
      <c r="F2538" s="14" t="n">
        <f aca="false">(Sens!E2537+Sens!F2537)/2+dil_gap</f>
        <v>7.4735</v>
      </c>
      <c r="G2538" s="14" t="n">
        <f aca="false">(Sens!F2537+Sens!G2537)/2+dil_gap</f>
        <v>7.49987171271795</v>
      </c>
      <c r="H2538" s="14" t="n">
        <f aca="false">(Sens!G2537+Sens!H2537)/2+dil_gap</f>
        <v>7.50899501128585</v>
      </c>
      <c r="I2538" s="14" t="n">
        <f aca="false">(Sens!H2537+Sens!I2537)/2+dil_gap</f>
        <v>7.52077584329316</v>
      </c>
      <c r="J2538" s="14" t="n">
        <f aca="false">(Sens!I2537+Sens!J2537)/2+dil_gap</f>
        <v>7.53501735441104</v>
      </c>
      <c r="K2538" s="14" t="n">
        <f aca="false">(Sens!J2537+Sens!K2537)/2+dil_gap</f>
        <v>7.55153727211278</v>
      </c>
    </row>
    <row r="2539" customFormat="false" ht="17.15" hidden="false" customHeight="false" outlineLevel="0" collapsed="false">
      <c r="A2539" s="1" t="s">
        <v>978</v>
      </c>
      <c r="B2539" s="0" t="s">
        <v>98</v>
      </c>
      <c r="C2539" s="6" t="n">
        <f aca="false">SUM(Sens!F2529:J2529)</f>
        <v>506.117575912022</v>
      </c>
    </row>
    <row r="2540" customFormat="false" ht="15" hidden="false" customHeight="false" outlineLevel="0" collapsed="false">
      <c r="A2540" s="23" t="s">
        <v>945</v>
      </c>
      <c r="B2540" s="30" t="s">
        <v>98</v>
      </c>
      <c r="C2540" s="24" t="n">
        <f aca="false">Sens!$C$2539-(Sens!F2529+Sens!G2529+Sens!H2529+Sens!I2529+Sens!J2529)</f>
        <v>0</v>
      </c>
      <c r="D2540" s="30"/>
      <c r="E2540" s="30"/>
      <c r="F2540" s="30"/>
      <c r="G2540" s="30"/>
      <c r="H2540" s="30"/>
      <c r="I2540" s="30"/>
      <c r="J2540" s="30"/>
      <c r="K2540" s="30"/>
    </row>
    <row r="2541" customFormat="false" ht="17.15" hidden="false" customHeight="false" outlineLevel="0" collapsed="false">
      <c r="A2541" s="1" t="s">
        <v>939</v>
      </c>
      <c r="B2541" s="1" t="s">
        <v>979</v>
      </c>
      <c r="C2541" s="32" t="str">
        <f aca="false">IF(SUM(Sens!F2532:J2532)&gt;0.05,"需要舉債 "&amp;TEXT(SUM(Sens!F2532:J2532),"0.0")&amp;" 十億美元","不需舉債")&amp;"；"&amp;IF(SUM(Sens!F2531:J2531)&lt;COUNT(Sens!F2531:J2531)*bb_target-0.05,"回購較每年 "&amp;TEXT(bb_target,"0.0")&amp;" 的目標少 "&amp;TEXT(COUNT(Sens!F2531:J2531)*bb_target-SUM(Sens!F2531:J2531),"0.0")&amp;" 十億美元（"&amp;TEXT(COUNTIF(Sens!F2531:J2531,"&lt;"&amp;(bb_target-0.05)),"0")&amp;" 年減少）","回購不減")</f>
        <v>需要舉債 5.7 十億美元；回購較每年 22.3 的目標少 22.3 十億美元（1 年減少）</v>
      </c>
    </row>
    <row r="2542" customFormat="false" ht="17.15" hidden="false" customHeight="false" outlineLevel="0" collapsed="false">
      <c r="A2542" s="3" t="s">
        <v>1326</v>
      </c>
    </row>
    <row r="2543" customFormat="false" ht="15" hidden="false" customHeight="false" outlineLevel="0" collapsed="false">
      <c r="A2543" s="4" t="s">
        <v>43</v>
      </c>
      <c r="B2543" s="4" t="s">
        <v>65</v>
      </c>
      <c r="C2543" s="20" t="s">
        <v>799</v>
      </c>
      <c r="D2543" s="20" t="s">
        <v>800</v>
      </c>
      <c r="E2543" s="20" t="s">
        <v>801</v>
      </c>
      <c r="F2543" s="20" t="s">
        <v>802</v>
      </c>
      <c r="G2543" s="20" t="s">
        <v>803</v>
      </c>
      <c r="H2543" s="20" t="s">
        <v>804</v>
      </c>
      <c r="I2543" s="20" t="s">
        <v>805</v>
      </c>
      <c r="J2543" s="20" t="s">
        <v>806</v>
      </c>
      <c r="K2543" s="20" t="s">
        <v>807</v>
      </c>
      <c r="L2543" s="4" t="s">
        <v>47</v>
      </c>
    </row>
    <row r="2544" customFormat="false" ht="15" hidden="false" customHeight="false" outlineLevel="0" collapsed="false">
      <c r="A2544" s="1" t="s">
        <v>1057</v>
      </c>
      <c r="B2544" s="1" t="s">
        <v>235</v>
      </c>
      <c r="F2544" s="36" t="n">
        <f aca="false">Sens!F2398-base_fy-mid_yr</f>
        <v>0.5</v>
      </c>
      <c r="G2544" s="36" t="n">
        <f aca="false">Sens!G2398-base_fy-mid_yr</f>
        <v>1.5</v>
      </c>
      <c r="H2544" s="36" t="n">
        <f aca="false">Sens!H2398-base_fy-mid_yr</f>
        <v>2.5</v>
      </c>
      <c r="I2544" s="36" t="n">
        <f aca="false">Sens!I2398-base_fy-mid_yr</f>
        <v>3.5</v>
      </c>
      <c r="J2544" s="36" t="n">
        <f aca="false">Sens!J2398-base_fy-mid_yr</f>
        <v>4.5</v>
      </c>
      <c r="K2544" s="36" t="n">
        <f aca="false">Sens!K2398-base_fy-mid_yr</f>
        <v>5.5</v>
      </c>
    </row>
    <row r="2545" customFormat="false" ht="15" hidden="false" customHeight="false" outlineLevel="0" collapsed="false">
      <c r="A2545" s="1" t="s">
        <v>1058</v>
      </c>
      <c r="B2545" s="0" t="s">
        <v>185</v>
      </c>
      <c r="F2545" s="14" t="n">
        <f aca="false">1/(1+wacc)^Sens!F2544</f>
        <v>0.952193373608246</v>
      </c>
      <c r="G2545" s="14" t="n">
        <f aca="false">1/(1+wacc)^Sens!G2544</f>
        <v>0.863327280626589</v>
      </c>
      <c r="H2545" s="14" t="n">
        <f aca="false">1/(1+wacc)^Sens!H2544</f>
        <v>0.782754862754115</v>
      </c>
      <c r="I2545" s="14" t="n">
        <f aca="false">1/(1+wacc)^Sens!I2544</f>
        <v>0.709702089711011</v>
      </c>
      <c r="J2545" s="14" t="n">
        <f aca="false">1/(1+wacc)^Sens!J2544</f>
        <v>0.643467169744551</v>
      </c>
      <c r="K2545" s="14" t="n">
        <f aca="false">1/(1+wacc)^Sens!K2544</f>
        <v>0.583413807767797</v>
      </c>
    </row>
    <row r="2546" customFormat="false" ht="17.15" hidden="false" customHeight="false" outlineLevel="0" collapsed="false">
      <c r="A2546" s="1" t="s">
        <v>1059</v>
      </c>
      <c r="B2546" s="0" t="s">
        <v>98</v>
      </c>
      <c r="F2546" s="6" t="n">
        <f aca="false">Sens!F2519-Sens!F2517-Sens!F2523+Sens!F2502*(1-tax_f)</f>
        <v>-4.04807620305294</v>
      </c>
      <c r="G2546" s="6" t="n">
        <f aca="false">Sens!G2519-Sens!G2517-Sens!G2523+Sens!G2502*(1-tax_f)</f>
        <v>71.0155396113935</v>
      </c>
      <c r="H2546" s="6" t="n">
        <f aca="false">Sens!H2519-Sens!H2517-Sens!H2523+Sens!H2502*(1-tax_f)</f>
        <v>122.539504032298</v>
      </c>
      <c r="I2546" s="6" t="n">
        <f aca="false">Sens!I2519-Sens!I2517-Sens!I2523+Sens!I2502*(1-tax_f)</f>
        <v>188.539296505</v>
      </c>
      <c r="J2546" s="6" t="n">
        <f aca="false">Sens!J2519-Sens!J2517-Sens!J2523+Sens!J2502*(1-tax_f)</f>
        <v>254.197939290678</v>
      </c>
      <c r="K2546" s="6" t="n">
        <f aca="false">Sens!K2519-Sens!K2517-Sens!K2523+Sens!K2502*(1-tax_f)</f>
        <v>286.255961367492</v>
      </c>
      <c r="L2546" s="1" t="s">
        <v>1060</v>
      </c>
    </row>
    <row r="2547" customFormat="false" ht="15" hidden="false" customHeight="false" outlineLevel="0" collapsed="false">
      <c r="A2547" s="1" t="s">
        <v>1061</v>
      </c>
      <c r="B2547" s="0" t="s">
        <v>98</v>
      </c>
      <c r="F2547" s="6" t="n">
        <f aca="false">Sens!F2546*Sens!F2545</f>
        <v>-3.85455133640824</v>
      </c>
      <c r="G2547" s="6" t="n">
        <f aca="false">Sens!G2546*Sens!G2545</f>
        <v>61.3096526949341</v>
      </c>
      <c r="H2547" s="6" t="n">
        <f aca="false">Sens!H2546*Sens!H2545</f>
        <v>95.9183926607586</v>
      </c>
      <c r="I2547" s="6" t="n">
        <f aca="false">Sens!I2546*Sens!I2545</f>
        <v>133.806732722242</v>
      </c>
      <c r="J2547" s="6" t="n">
        <f aca="false">Sens!J2546*Sens!J2545</f>
        <v>163.56802855027</v>
      </c>
      <c r="K2547" s="6" t="n">
        <f aca="false">Sens!K2546*Sens!K2545</f>
        <v>167.00568041764</v>
      </c>
    </row>
    <row r="2548" customFormat="false" ht="17.15" hidden="false" customHeight="false" outlineLevel="0" collapsed="false">
      <c r="A2548" s="1" t="s">
        <v>1062</v>
      </c>
      <c r="B2548" s="0" t="s">
        <v>98</v>
      </c>
      <c r="C2548" s="6" t="n">
        <f aca="false">SUM(Sens!F2547:K2547)</f>
        <v>617.753935709436</v>
      </c>
    </row>
    <row r="2549" customFormat="false" ht="17.15" hidden="false" customHeight="false" outlineLevel="0" collapsed="false">
      <c r="A2549" s="1" t="s">
        <v>1063</v>
      </c>
      <c r="B2549" s="0" t="s">
        <v>98</v>
      </c>
      <c r="C2549" s="6" t="n">
        <f aca="false">Sens!K2488*(1+g_tv)*(1-tax_f)</f>
        <v>303.853717821349</v>
      </c>
    </row>
    <row r="2550" customFormat="false" ht="17.15" hidden="false" customHeight="false" outlineLevel="0" collapsed="false">
      <c r="A2550" s="1" t="s">
        <v>1064</v>
      </c>
      <c r="B2550" s="0" t="s">
        <v>98</v>
      </c>
      <c r="C2550" s="6" t="n">
        <f aca="false">Sens!$C$2549*(1-g_tv/(wacc+ronic_prem))</f>
        <v>215.296250587205</v>
      </c>
    </row>
    <row r="2551" customFormat="false" ht="17.15" hidden="false" customHeight="false" outlineLevel="0" collapsed="false">
      <c r="A2551" s="1" t="s">
        <v>1065</v>
      </c>
      <c r="B2551" s="0" t="s">
        <v>98</v>
      </c>
      <c r="C2551" s="6" t="n">
        <f aca="false">Sens!$C$2550/(wacc-g_tv)</f>
        <v>2951.91557447147</v>
      </c>
    </row>
    <row r="2552" customFormat="false" ht="15" hidden="false" customHeight="false" outlineLevel="0" collapsed="false">
      <c r="A2552" s="1" t="s">
        <v>1066</v>
      </c>
      <c r="B2552" s="0" t="s">
        <v>98</v>
      </c>
      <c r="C2552" s="6" t="n">
        <f aca="false">Sens!$C$2551/(1+wacc)^(Sens!K2544+mid_yr)</f>
        <v>1639.85629261363</v>
      </c>
    </row>
    <row r="2553" customFormat="false" ht="17.15" hidden="false" customHeight="false" outlineLevel="0" collapsed="false">
      <c r="A2553" s="0" t="s">
        <v>986</v>
      </c>
      <c r="B2553" s="0" t="s">
        <v>98</v>
      </c>
      <c r="C2553" s="6" t="n">
        <f aca="false">Sens!$C$2548+Sens!$C$2552</f>
        <v>2257.61022832306</v>
      </c>
    </row>
    <row r="2554" customFormat="false" ht="15" hidden="false" customHeight="false" outlineLevel="0" collapsed="false">
      <c r="A2554" s="1" t="s">
        <v>987</v>
      </c>
      <c r="B2554" s="0" t="s">
        <v>129</v>
      </c>
      <c r="C2554" s="7" t="n">
        <f aca="false">Sens!$C$2552/Sens!$C$2553</f>
        <v>0.726368206540108</v>
      </c>
    </row>
    <row r="2555" customFormat="false" ht="17.15" hidden="false" customHeight="false" outlineLevel="0" collapsed="false">
      <c r="A2555" s="1" t="s">
        <v>1067</v>
      </c>
      <c r="B2555" s="0" t="s">
        <v>98</v>
      </c>
      <c r="C2555" s="6" t="n">
        <f aca="false">Sens!$C$2553+Sens!E2535-Sens!E2524+oai_v</f>
        <v>2392.12322832306</v>
      </c>
    </row>
    <row r="2556" customFormat="false" ht="17.15" hidden="false" customHeight="false" outlineLevel="0" collapsed="false">
      <c r="A2556" s="0" t="s">
        <v>994</v>
      </c>
      <c r="B2556" s="0" t="s">
        <v>75</v>
      </c>
      <c r="C2556" s="5" t="n">
        <f aca="false">Sens!$C$2555/sh_dil26</f>
        <v>320.961120129218</v>
      </c>
    </row>
    <row r="2557" customFormat="false" ht="15" hidden="false" customHeight="false" outlineLevel="0" collapsed="false">
      <c r="A2557" s="1" t="s">
        <v>1068</v>
      </c>
      <c r="B2557" s="0" t="s">
        <v>75</v>
      </c>
      <c r="C2557" s="8" t="n">
        <f aca="false">dps_27+Sens!G2527*roll_div_q/q_per_yr</f>
        <v>4.8895</v>
      </c>
    </row>
    <row r="2558" customFormat="false" ht="17.15" hidden="false" customHeight="false" outlineLevel="0" collapsed="false">
      <c r="A2558" s="0" t="s">
        <v>1069</v>
      </c>
      <c r="B2558" s="0" t="s">
        <v>75</v>
      </c>
      <c r="C2558" s="5" t="n">
        <f aca="false">Sens!$C$2556*(1+wacc)^t_roll-Sens!$C$2557</f>
        <v>360.599644230724</v>
      </c>
    </row>
    <row r="2559" customFormat="false" ht="17.15" hidden="false" customHeight="false" outlineLevel="0" collapsed="false">
      <c r="A2559" s="1" t="s">
        <v>1070</v>
      </c>
      <c r="B2559" s="0" t="s">
        <v>129</v>
      </c>
      <c r="F2559" s="7" t="n">
        <f aca="false">Sens!F2514/(Sens!F2459-Sens!F2415)</f>
        <v>0.0882888159157435</v>
      </c>
      <c r="G2559" s="7" t="n">
        <f aca="false">Sens!G2514/(Sens!G2459-Sens!G2415)</f>
        <v>0.0810793263173215</v>
      </c>
      <c r="H2559" s="7" t="n">
        <f aca="false">Sens!H2514/(Sens!H2459-Sens!H2415)</f>
        <v>0.0763209804657217</v>
      </c>
      <c r="I2559" s="7" t="n">
        <f aca="false">Sens!I2514/(Sens!I2459-Sens!I2415)</f>
        <v>0.0737093507693795</v>
      </c>
      <c r="J2559" s="7" t="n">
        <f aca="false">Sens!J2514/(Sens!J2459-Sens!J2415)</f>
        <v>0.0726784990880258</v>
      </c>
      <c r="K2559" s="7" t="n">
        <f aca="false">Sens!K2514/(Sens!K2459-Sens!K2415)</f>
        <v>0.0726007113347588</v>
      </c>
    </row>
    <row r="2560" customFormat="false" ht="17.15" hidden="false" customHeight="false" outlineLevel="0" collapsed="false">
      <c r="A2560" s="0" t="s">
        <v>1071</v>
      </c>
      <c r="B2560" s="0" t="s">
        <v>98</v>
      </c>
      <c r="F2560" s="6" t="n">
        <f aca="false">Sens!F2444*(al_m365+Sens!F2559+sbc_r)</f>
        <v>87.3653128268498</v>
      </c>
      <c r="G2560" s="6" t="n">
        <f aca="false">Sens!G2444*(al_m365+Sens!G2559+sbc_r)</f>
        <v>101.694093959922</v>
      </c>
      <c r="H2560" s="6" t="n">
        <f aca="false">Sens!H2444*(al_m365+Sens!H2559+sbc_r)</f>
        <v>116.174781957399</v>
      </c>
      <c r="I2560" s="6" t="n">
        <f aca="false">Sens!I2444*(al_m365+Sens!I2559+sbc_r)</f>
        <v>129.122938232339</v>
      </c>
      <c r="J2560" s="6" t="n">
        <f aca="false">Sens!J2444*(al_m365+Sens!J2559+sbc_r)</f>
        <v>140.366794469399</v>
      </c>
      <c r="K2560" s="6" t="n">
        <f aca="false">Sens!K2444*(al_m365+Sens!K2559+sbc_r)</f>
        <v>151.246316199349</v>
      </c>
      <c r="L2560" s="11" t="s">
        <v>1072</v>
      </c>
    </row>
    <row r="2561" customFormat="false" ht="17.15" hidden="false" customHeight="false" outlineLevel="0" collapsed="false">
      <c r="A2561" s="0" t="s">
        <v>1073</v>
      </c>
      <c r="B2561" s="0" t="s">
        <v>98</v>
      </c>
      <c r="F2561" s="6" t="n">
        <f aca="false">Sens!F2445*(al_lic+Sens!F2559+sbc_r)</f>
        <v>34.2143060809147</v>
      </c>
      <c r="G2561" s="6" t="n">
        <f aca="false">Sens!G2445*(al_lic+Sens!G2559+sbc_r)</f>
        <v>35.3694687503846</v>
      </c>
      <c r="H2561" s="6" t="n">
        <f aca="false">Sens!H2445*(al_lic+Sens!H2559+sbc_r)</f>
        <v>36.468672814237</v>
      </c>
      <c r="I2561" s="6" t="n">
        <f aca="false">Sens!I2445*(al_lic+Sens!I2559+sbc_r)</f>
        <v>37.4917696877257</v>
      </c>
      <c r="J2561" s="6" t="n">
        <f aca="false">Sens!J2445*(al_lic+Sens!J2559+sbc_r)</f>
        <v>38.4050053420528</v>
      </c>
      <c r="K2561" s="6" t="n">
        <f aca="false">Sens!K2445*(al_lic+Sens!K2559+sbc_r)</f>
        <v>39.1695624588508</v>
      </c>
    </row>
    <row r="2562" customFormat="false" ht="17.15" hidden="false" customHeight="false" outlineLevel="0" collapsed="false">
      <c r="A2562" s="0" t="s">
        <v>1074</v>
      </c>
      <c r="B2562" s="0" t="s">
        <v>98</v>
      </c>
      <c r="F2562" s="6" t="n">
        <f aca="false">Sens!F2447*(al_ind+Sens!F2559+sbc_r)</f>
        <v>9.51682932242795</v>
      </c>
      <c r="G2562" s="6" t="n">
        <f aca="false">Sens!G2447*(al_ind+Sens!G2559+sbc_r)</f>
        <v>10.2268795779957</v>
      </c>
      <c r="H2562" s="6" t="n">
        <f aca="false">Sens!H2447*(al_ind+Sens!H2559+sbc_r)</f>
        <v>10.9936779926937</v>
      </c>
      <c r="I2562" s="6" t="n">
        <f aca="false">Sens!I2447*(al_ind+Sens!I2559+sbc_r)</f>
        <v>11.8152825312346</v>
      </c>
      <c r="J2562" s="6" t="n">
        <f aca="false">Sens!J2447*(al_ind+Sens!J2559+sbc_r)</f>
        <v>12.6787830707291</v>
      </c>
      <c r="K2562" s="6" t="n">
        <f aca="false">Sens!K2447*(al_ind+Sens!K2559+sbc_r)</f>
        <v>13.5637243865828</v>
      </c>
    </row>
    <row r="2563" customFormat="false" ht="17.15" hidden="false" customHeight="false" outlineLevel="0" collapsed="false">
      <c r="A2563" s="0" t="s">
        <v>1075</v>
      </c>
      <c r="B2563" s="0" t="s">
        <v>98</v>
      </c>
      <c r="F2563" s="6" t="n">
        <f aca="false">Sens!F2449*(al_fro+Sens!F2559+sbc_r)</f>
        <v>3.7458574330009</v>
      </c>
      <c r="G2563" s="6" t="n">
        <f aca="false">Sens!G2449*(al_fro+Sens!G2559+sbc_r)</f>
        <v>3.92651712771586</v>
      </c>
      <c r="H2563" s="6" t="n">
        <f aca="false">Sens!H2449*(al_fro+Sens!H2559+sbc_r)</f>
        <v>4.14279415435224</v>
      </c>
      <c r="I2563" s="6" t="n">
        <f aca="false">Sens!I2449*(al_fro+Sens!I2559+sbc_r)</f>
        <v>4.39716728197432</v>
      </c>
      <c r="J2563" s="6" t="n">
        <f aca="false">Sens!J2449*(al_fro+Sens!J2559+sbc_r)</f>
        <v>4.68910122428496</v>
      </c>
      <c r="K2563" s="6" t="n">
        <f aca="false">Sens!K2449*(al_fro+Sens!K2559+sbc_r)</f>
        <v>5.01638653111931</v>
      </c>
    </row>
    <row r="2564" customFormat="false" ht="17.15" hidden="false" customHeight="false" outlineLevel="0" collapsed="false">
      <c r="A2564" s="0" t="s">
        <v>1076</v>
      </c>
      <c r="B2564" s="0" t="s">
        <v>98</v>
      </c>
      <c r="F2564" s="6" t="n">
        <f aca="false">Sens!F2452*(al_srch+Sens!F2559+sbc_r)</f>
        <v>11.753421712843</v>
      </c>
      <c r="G2564" s="6" t="n">
        <f aca="false">Sens!G2452*(al_srch+Sens!G2559+sbc_r)</f>
        <v>12.7495162431747</v>
      </c>
      <c r="H2564" s="6" t="n">
        <f aca="false">Sens!H2452*(al_srch+Sens!H2559+sbc_r)</f>
        <v>13.8029616363255</v>
      </c>
      <c r="I2564" s="6" t="n">
        <f aca="false">Sens!I2452*(al_srch+Sens!I2559+sbc_r)</f>
        <v>14.9052488003352</v>
      </c>
      <c r="J2564" s="6" t="n">
        <f aca="false">Sens!J2452*(al_srch+Sens!J2559+sbc_r)</f>
        <v>16.0329114471514</v>
      </c>
      <c r="K2564" s="6" t="n">
        <f aca="false">Sens!K2452*(al_srch+Sens!K2559+sbc_r)</f>
        <v>17.1519609390355</v>
      </c>
    </row>
    <row r="2565" customFormat="false" ht="17.15" hidden="false" customHeight="false" outlineLevel="0" collapsed="false">
      <c r="A2565" s="0" t="s">
        <v>1077</v>
      </c>
      <c r="B2565" s="0" t="s">
        <v>98</v>
      </c>
      <c r="F2565" s="6" t="n">
        <f aca="false">Sens!F2421-Sens!F2422+Sens!F2502</f>
        <v>41.8951848335917</v>
      </c>
      <c r="G2565" s="6" t="n">
        <f aca="false">Sens!G2421-Sens!G2422+Sens!G2502</f>
        <v>79.1878982106694</v>
      </c>
      <c r="H2565" s="6" t="n">
        <f aca="false">Sens!H2421-Sens!H2422+Sens!H2502</f>
        <v>123.488924617059</v>
      </c>
      <c r="I2565" s="6" t="n">
        <f aca="false">Sens!I2421-Sens!I2422+Sens!I2502</f>
        <v>158.295967415453</v>
      </c>
      <c r="J2565" s="6" t="n">
        <f aca="false">Sens!J2421-Sens!J2422+Sens!J2502</f>
        <v>183.15840380871</v>
      </c>
      <c r="K2565" s="6" t="n">
        <f aca="false">Sens!K2421-Sens!K2422+Sens!K2502</f>
        <v>198.90059769363</v>
      </c>
    </row>
    <row r="2566" customFormat="false" ht="17.15" hidden="false" customHeight="false" outlineLevel="0" collapsed="false">
      <c r="A2566" s="0" t="s">
        <v>1078</v>
      </c>
      <c r="B2566" s="0" t="s">
        <v>98</v>
      </c>
      <c r="F2566" s="6" t="n">
        <f aca="false">Sens!F2481+Sens!F2502+Sens!F2432+Sens!F2559*(Sens!F2451-Sens!F2415)+sbc_r*Sens!F2451</f>
        <v>229.907351852657</v>
      </c>
      <c r="G2566" s="6" t="n">
        <f aca="false">Sens!G2481+Sens!G2502+Sens!G2432+Sens!G2559*(Sens!G2451-Sens!G2415)+sbc_r*Sens!G2451</f>
        <v>295.554910106421</v>
      </c>
      <c r="H2566" s="6" t="n">
        <f aca="false">Sens!H2481+Sens!H2502+Sens!H2432+Sens!H2559*(Sens!H2451-Sens!H2415)+sbc_r*Sens!H2451</f>
        <v>368.882919908348</v>
      </c>
      <c r="I2566" s="6" t="n">
        <f aca="false">Sens!I2481+Sens!I2502+Sens!I2432+Sens!I2559*(Sens!I2451-Sens!I2415)+sbc_r*Sens!I2451</f>
        <v>430.691771120199</v>
      </c>
      <c r="J2566" s="6" t="n">
        <f aca="false">Sens!J2481+Sens!J2502+Sens!J2432+Sens!J2559*(Sens!J2451-Sens!J2415)+sbc_r*Sens!J2451</f>
        <v>479.68641887801</v>
      </c>
      <c r="K2566" s="6" t="n">
        <f aca="false">Sens!K2481+Sens!K2502+Sens!K2432+Sens!K2559*(Sens!K2451-Sens!K2415)+sbc_r*Sens!K2451</f>
        <v>517.238447065852</v>
      </c>
    </row>
    <row r="2567" customFormat="false" ht="17.15" hidden="false" customHeight="false" outlineLevel="0" collapsed="false">
      <c r="A2567" s="0" t="s">
        <v>1079</v>
      </c>
      <c r="B2567" s="0" t="s">
        <v>98</v>
      </c>
      <c r="F2567" s="6" t="n">
        <f aca="false">Sens!F2566-Sens!F2560-Sens!F2561-Sens!F2562-Sens!F2563-Sens!F2565</f>
        <v>53.1698613558719</v>
      </c>
      <c r="G2567" s="6" t="n">
        <f aca="false">Sens!G2566-Sens!G2560-Sens!G2561-Sens!G2562-Sens!G2563-Sens!G2565</f>
        <v>65.1500524797331</v>
      </c>
      <c r="H2567" s="6" t="n">
        <f aca="false">Sens!H2566-Sens!H2560-Sens!H2561-Sens!H2562-Sens!H2563-Sens!H2565</f>
        <v>77.6140683726074</v>
      </c>
      <c r="I2567" s="6" t="n">
        <f aca="false">Sens!I2566-Sens!I2560-Sens!I2561-Sens!I2562-Sens!I2563-Sens!I2565</f>
        <v>89.5686459714718</v>
      </c>
      <c r="J2567" s="6" t="n">
        <f aca="false">Sens!J2566-Sens!J2560-Sens!J2561-Sens!J2562-Sens!J2563-Sens!J2565</f>
        <v>100.388330962834</v>
      </c>
      <c r="K2567" s="6" t="n">
        <f aca="false">Sens!K2566-Sens!K2560-Sens!K2561-Sens!K2562-Sens!K2563-Sens!K2565</f>
        <v>109.341859796319</v>
      </c>
    </row>
    <row r="2568" customFormat="false" ht="17.15" hidden="false" customHeight="false" outlineLevel="0" collapsed="false">
      <c r="A2568" s="0" t="s">
        <v>1080</v>
      </c>
      <c r="B2568" s="0" t="s">
        <v>98</v>
      </c>
      <c r="F2568" s="6" t="n">
        <f aca="false">Sens!F2483+Sens!F2559*Sens!F2458+sbc_r*Sens!F2458</f>
        <v>27.4818851360368</v>
      </c>
      <c r="G2568" s="6" t="n">
        <f aca="false">Sens!G2483+Sens!G2559*Sens!G2458+sbc_r*Sens!G2458</f>
        <v>27.8348632860398</v>
      </c>
      <c r="H2568" s="6" t="n">
        <f aca="false">Sens!H2483+Sens!H2559*Sens!H2458+sbc_r*Sens!H2458</f>
        <v>28.5203326695824</v>
      </c>
      <c r="I2568" s="6" t="n">
        <f aca="false">Sens!I2483+Sens!I2559*Sens!I2458+sbc_r*Sens!I2458</f>
        <v>29.4980085250944</v>
      </c>
      <c r="J2568" s="6" t="n">
        <f aca="false">Sens!J2483+Sens!J2559*Sens!J2458+sbc_r*Sens!J2458</f>
        <v>30.7157294939293</v>
      </c>
      <c r="K2568" s="6" t="n">
        <f aca="false">Sens!K2483+Sens!K2559*Sens!K2458+sbc_r*Sens!K2458</f>
        <v>32.1181256013853</v>
      </c>
    </row>
    <row r="2569" customFormat="false" ht="17.15" hidden="false" customHeight="false" outlineLevel="0" collapsed="false">
      <c r="A2569" s="0" t="s">
        <v>1081</v>
      </c>
      <c r="B2569" s="0" t="s">
        <v>98</v>
      </c>
      <c r="F2569" s="6" t="n">
        <f aca="false">(Sens!F2568-Sens!F2564)*Sens!F2454/(Sens!F2454+Sens!F2456)</f>
        <v>8.62219045558087</v>
      </c>
      <c r="G2569" s="6" t="n">
        <f aca="false">(Sens!G2568-Sens!G2564)*Sens!G2454/(Sens!G2454+Sens!G2456)</f>
        <v>8.1221931525794</v>
      </c>
      <c r="H2569" s="6" t="n">
        <f aca="false">(Sens!H2568-Sens!H2564)*Sens!H2454/(Sens!H2454+Sens!H2456)</f>
        <v>7.81702802947175</v>
      </c>
      <c r="I2569" s="6" t="n">
        <f aca="false">(Sens!I2568-Sens!I2564)*Sens!I2454/(Sens!I2454+Sens!I2456)</f>
        <v>7.68071189651689</v>
      </c>
      <c r="J2569" s="6" t="n">
        <f aca="false">(Sens!J2568-Sens!J2564)*Sens!J2454/(Sens!J2454+Sens!J2456)</f>
        <v>7.69316669754514</v>
      </c>
      <c r="K2569" s="6" t="n">
        <f aca="false">(Sens!K2568-Sens!K2564)*Sens!K2454/(Sens!K2454+Sens!K2456)</f>
        <v>7.84162816725998</v>
      </c>
    </row>
    <row r="2570" customFormat="false" ht="17.15" hidden="false" customHeight="false" outlineLevel="0" collapsed="false">
      <c r="A2570" s="0" t="s">
        <v>1082</v>
      </c>
      <c r="B2570" s="0" t="s">
        <v>98</v>
      </c>
      <c r="F2570" s="6" t="n">
        <f aca="false">Sens!F2568-Sens!F2564-Sens!F2569</f>
        <v>7.10627296761294</v>
      </c>
      <c r="G2570" s="6" t="n">
        <f aca="false">Sens!G2568-Sens!G2564-Sens!G2569</f>
        <v>6.96315389028564</v>
      </c>
      <c r="H2570" s="6" t="n">
        <f aca="false">Sens!H2568-Sens!H2564-Sens!H2569</f>
        <v>6.90034300378511</v>
      </c>
      <c r="I2570" s="6" t="n">
        <f aca="false">Sens!I2568-Sens!I2564-Sens!I2569</f>
        <v>6.91204782824229</v>
      </c>
      <c r="J2570" s="6" t="n">
        <f aca="false">Sens!J2568-Sens!J2564-Sens!J2569</f>
        <v>6.98965134923273</v>
      </c>
      <c r="K2570" s="6" t="n">
        <f aca="false">Sens!K2568-Sens!K2564-Sens!K2569</f>
        <v>7.12453649508984</v>
      </c>
    </row>
    <row r="2571" customFormat="false" ht="17.15" hidden="false" customHeight="false" outlineLevel="0" collapsed="false">
      <c r="A2571" s="0" t="s">
        <v>1083</v>
      </c>
      <c r="B2571" s="0" t="s">
        <v>98</v>
      </c>
      <c r="F2571" s="6" t="n">
        <f aca="false">Sens!F2565-tax_f*(Sens!F2565-Sens!F2432)-Sens!F2429</f>
        <v>-89.3021708493471</v>
      </c>
      <c r="G2571" s="6" t="n">
        <f aca="false">Sens!G2565-tax_f*(Sens!G2565-Sens!G2432)-Sens!G2429</f>
        <v>-74.0489558803427</v>
      </c>
      <c r="H2571" s="6" t="n">
        <f aca="false">Sens!H2565-tax_f*(Sens!H2565-Sens!H2432)-Sens!H2429</f>
        <v>-37.8553258597433</v>
      </c>
      <c r="I2571" s="6" t="n">
        <f aca="false">Sens!I2565-tax_f*(Sens!I2565-Sens!I2432)-Sens!I2429</f>
        <v>13.3683576221492</v>
      </c>
      <c r="J2571" s="6" t="n">
        <f aca="false">Sens!J2565-tax_f*(Sens!J2565-Sens!J2432)-Sens!J2429</f>
        <v>65.2613054280293</v>
      </c>
      <c r="K2571" s="6" t="n">
        <f aca="false">Sens!K2565-tax_f*(Sens!K2565-Sens!K2432)-Sens!K2429</f>
        <v>84.255580159121</v>
      </c>
    </row>
    <row r="2572" customFormat="false" ht="17.15" hidden="false" customHeight="false" outlineLevel="0" collapsed="false">
      <c r="A2572" s="0" t="s">
        <v>1084</v>
      </c>
      <c r="B2572" s="0" t="s">
        <v>98</v>
      </c>
      <c r="G2572" s="6" t="n">
        <f aca="false">Sens!G2571/(1+wacc)^(Sens!G2544-(Sens!F2544+mid_yr))</f>
        <v>-70.5089251118717</v>
      </c>
      <c r="H2572" s="6" t="n">
        <f aca="false">Sens!H2571/(1+wacc)^(Sens!H2544-(Sens!F2544+mid_yr))</f>
        <v>-32.6815355317256</v>
      </c>
      <c r="I2572" s="6" t="n">
        <f aca="false">Sens!I2571/(1+wacc)^(Sens!I2544-(Sens!F2544+mid_yr))</f>
        <v>10.4641469357734</v>
      </c>
      <c r="J2572" s="6" t="n">
        <f aca="false">Sens!J2571/(1+wacc)^(Sens!J2544-(Sens!F2544+mid_yr))</f>
        <v>46.3160848395409</v>
      </c>
      <c r="K2572" s="6" t="n">
        <f aca="false">Sens!K2571/(1+wacc)^(Sens!K2544-(Sens!F2544+mid_yr))</f>
        <v>54.2156997001747</v>
      </c>
      <c r="L2572" s="1" t="s">
        <v>1085</v>
      </c>
    </row>
    <row r="2573" customFormat="false" ht="17.15" hidden="false" customHeight="false" outlineLevel="0" collapsed="false">
      <c r="A2573" s="0" t="s">
        <v>1086</v>
      </c>
      <c r="B2573" s="0" t="s">
        <v>98</v>
      </c>
      <c r="C2573" s="6" t="n">
        <f aca="false">(Sens!K2565-Sens!K2432)*(1-tax_f)*(1+g_tv)*(1-g_tv/(wacc+ronic_prem))/(wacc-g_tv)/(1+wacc)^(Sens!K2544+mid_yr-(Sens!F2544+mid_yr))</f>
        <v>429.634916640764</v>
      </c>
    </row>
    <row r="2574" customFormat="false" ht="17.15" hidden="false" customHeight="false" outlineLevel="0" collapsed="false">
      <c r="A2574" s="1" t="s">
        <v>1087</v>
      </c>
      <c r="B2574" s="0" t="s">
        <v>98</v>
      </c>
      <c r="C2574" s="6" t="n">
        <f aca="false">(SUM(Sens!G2572:K2572)+Sens!$C$2573)*(1+wacc)^(t_roll-(Sens!F2544+mid_yr))</f>
        <v>451.638797436611</v>
      </c>
      <c r="L2574" s="11" t="s">
        <v>1088</v>
      </c>
    </row>
    <row r="2575" customFormat="false" ht="17.15" hidden="false" customHeight="false" outlineLevel="0" collapsed="false">
      <c r="A2575" s="1" t="s">
        <v>1089</v>
      </c>
      <c r="B2575" s="0" t="s">
        <v>98</v>
      </c>
      <c r="C2575" s="6" t="n">
        <f aca="false">(w_ntm28*Sens!G2421+(1-w_ntm28)*Sens!H2421)*m_ai</f>
        <v>551.711134531404</v>
      </c>
    </row>
    <row r="2576" customFormat="false" ht="17.15" hidden="false" customHeight="false" outlineLevel="0" collapsed="false">
      <c r="A2576" s="1" t="s">
        <v>1090</v>
      </c>
      <c r="B2576" s="0" t="s">
        <v>98</v>
      </c>
      <c r="C2576" s="6" t="n">
        <f aca="false">(w_ntm28*Sens!G2567+(1-w_ntm28)*Sens!H2567)*m_cloud</f>
        <v>956.060899399949</v>
      </c>
    </row>
    <row r="2577" customFormat="false" ht="17.15" hidden="false" customHeight="false" outlineLevel="0" collapsed="false">
      <c r="A2577" s="1" t="s">
        <v>1091</v>
      </c>
      <c r="B2577" s="0" t="s">
        <v>98</v>
      </c>
      <c r="C2577" s="6" t="n">
        <f aca="false">(w_ntm28*Sens!G2560+(1-w_ntm28)*Sens!H2560)*m_sw</f>
        <v>1148.85563609314</v>
      </c>
    </row>
    <row r="2578" customFormat="false" ht="17.15" hidden="false" customHeight="false" outlineLevel="0" collapsed="false">
      <c r="A2578" s="1" t="s">
        <v>1092</v>
      </c>
      <c r="B2578" s="0" t="s">
        <v>98</v>
      </c>
      <c r="C2578" s="6" t="n">
        <f aca="false">(w_ntm28*Sens!G2561+(1-w_ntm28)*Sens!H2561)*m_sw</f>
        <v>385.828141021889</v>
      </c>
    </row>
    <row r="2579" customFormat="false" ht="17.15" hidden="false" customHeight="false" outlineLevel="0" collapsed="false">
      <c r="A2579" s="1" t="s">
        <v>1093</v>
      </c>
      <c r="B2579" s="0" t="s">
        <v>98</v>
      </c>
      <c r="C2579" s="6" t="n">
        <f aca="false">(w_ntm28*Sens!G2562+(1-w_ntm28)*Sens!H2562)*m_sw</f>
        <v>113.127581359316</v>
      </c>
    </row>
    <row r="2580" customFormat="false" ht="17.15" hidden="false" customHeight="false" outlineLevel="0" collapsed="false">
      <c r="A2580" s="1" t="s">
        <v>1094</v>
      </c>
      <c r="B2580" s="0" t="s">
        <v>98</v>
      </c>
      <c r="C2580" s="6" t="n">
        <f aca="false">(w_ntm28*Sens!G2563+(1-w_ntm28)*Sens!H2563)*m_sw</f>
        <v>43.1615176991817</v>
      </c>
    </row>
    <row r="2581" customFormat="false" ht="17.15" hidden="false" customHeight="false" outlineLevel="0" collapsed="false">
      <c r="A2581" s="1" t="s">
        <v>1095</v>
      </c>
      <c r="B2581" s="0" t="s">
        <v>98</v>
      </c>
      <c r="C2581" s="6" t="n">
        <f aca="false">(w_ntm28*Sens!G2564+(1-w_ntm28)*Sens!H2564)*m_ads</f>
        <v>119.250648396498</v>
      </c>
    </row>
    <row r="2582" customFormat="false" ht="17.15" hidden="false" customHeight="false" outlineLevel="0" collapsed="false">
      <c r="A2582" s="1" t="s">
        <v>1096</v>
      </c>
      <c r="B2582" s="0" t="s">
        <v>98</v>
      </c>
      <c r="C2582" s="6" t="n">
        <f aca="false">(w_ntm28*Sens!G2569+(1-w_ntm28)*Sens!H2569)*m_game</f>
        <v>101.337272696332</v>
      </c>
    </row>
    <row r="2583" customFormat="false" ht="17.15" hidden="false" customHeight="false" outlineLevel="0" collapsed="false">
      <c r="A2583" s="1" t="s">
        <v>1097</v>
      </c>
      <c r="B2583" s="0" t="s">
        <v>98</v>
      </c>
      <c r="C2583" s="6" t="n">
        <f aca="false">(w_ntm28*Sens!G2570+(1-w_ntm28)*Sens!H2570)*m_pc</f>
        <v>100.46300918623</v>
      </c>
    </row>
    <row r="2584" customFormat="false" ht="17.15" hidden="false" customHeight="false" outlineLevel="0" collapsed="false">
      <c r="A2584" s="1" t="s">
        <v>1098</v>
      </c>
      <c r="B2584" s="0" t="s">
        <v>98</v>
      </c>
      <c r="C2584" s="6" t="n">
        <f aca="false">Sens!$C$2574+Sens!$C$2576+Sens!$C$2577+Sens!$C$2578+Sens!$C$2579+Sens!$C$2580+Sens!$C$2581+Sens!$C$2582+Sens!$C$2583</f>
        <v>3419.72350328915</v>
      </c>
    </row>
    <row r="2585" customFormat="false" ht="17.15" hidden="false" customHeight="false" outlineLevel="0" collapsed="false">
      <c r="A2585" s="1" t="s">
        <v>1099</v>
      </c>
      <c r="B2585" s="0" t="s">
        <v>98</v>
      </c>
      <c r="C2585" s="6" t="n">
        <f aca="false">(Sens!G2546-Sens!G2571)*t_stub</f>
        <v>47.2949999000455</v>
      </c>
      <c r="L2585" s="1" t="s">
        <v>1100</v>
      </c>
    </row>
    <row r="2586" customFormat="false" ht="17.15" hidden="false" customHeight="false" outlineLevel="0" collapsed="false">
      <c r="A2586" s="1" t="s">
        <v>1014</v>
      </c>
      <c r="B2586" s="0" t="s">
        <v>98</v>
      </c>
      <c r="C2586" s="6" t="n">
        <f aca="false">Sens!F2535+oai_v-Sens!F2524+Sens!$C$2585</f>
        <v>162.663015459102</v>
      </c>
      <c r="L2586" s="1" t="s">
        <v>1101</v>
      </c>
    </row>
    <row r="2587" customFormat="false" ht="17.15" hidden="false" customHeight="false" outlineLevel="0" collapsed="false">
      <c r="A2587" s="1" t="s">
        <v>1102</v>
      </c>
      <c r="B2587" s="0" t="s">
        <v>75</v>
      </c>
      <c r="C2587" s="5" t="n">
        <f aca="false">(Sens!$C$2584+Sens!$C$2586)/(Sens!F2537+dil_gap)-Sens!G2527*roll_div_q/q_per_yr</f>
        <v>476.866919256704</v>
      </c>
      <c r="L2587" s="1" t="s">
        <v>1103</v>
      </c>
    </row>
    <row r="2588" customFormat="false" ht="17.15" hidden="false" customHeight="false" outlineLevel="0" collapsed="false">
      <c r="A2588" s="1" t="s">
        <v>1104</v>
      </c>
      <c r="B2588" s="0" t="s">
        <v>75</v>
      </c>
      <c r="C2588" s="5" t="n">
        <f aca="false">w_dcf*Sens!$C$2558+(1-w_dcf)*Sens!$C$2587</f>
        <v>418.733281743714</v>
      </c>
    </row>
    <row r="2589" customFormat="false" ht="17.15" hidden="false" customHeight="false" outlineLevel="0" collapsed="false">
      <c r="A2589" s="3" t="s">
        <v>1327</v>
      </c>
    </row>
    <row r="2590" customFormat="false" ht="15" hidden="false" customHeight="false" outlineLevel="0" collapsed="false">
      <c r="A2590" s="4" t="s">
        <v>43</v>
      </c>
      <c r="B2590" s="4" t="s">
        <v>65</v>
      </c>
      <c r="C2590" s="20" t="s">
        <v>799</v>
      </c>
      <c r="D2590" s="20" t="s">
        <v>800</v>
      </c>
      <c r="E2590" s="20" t="s">
        <v>801</v>
      </c>
      <c r="F2590" s="20" t="s">
        <v>802</v>
      </c>
      <c r="G2590" s="20" t="s">
        <v>803</v>
      </c>
      <c r="H2590" s="20" t="s">
        <v>804</v>
      </c>
      <c r="I2590" s="20" t="s">
        <v>805</v>
      </c>
      <c r="J2590" s="20" t="s">
        <v>806</v>
      </c>
      <c r="K2590" s="20" t="s">
        <v>807</v>
      </c>
      <c r="L2590" s="4" t="s">
        <v>47</v>
      </c>
    </row>
    <row r="2591" customFormat="false" ht="17.15" hidden="false" customHeight="false" outlineLevel="0" collapsed="false">
      <c r="A2591" s="1" t="s">
        <v>808</v>
      </c>
      <c r="B2591" s="1" t="s">
        <v>235</v>
      </c>
      <c r="C2591" s="28" t="n">
        <v>2024</v>
      </c>
      <c r="D2591" s="28" t="n">
        <v>2025</v>
      </c>
      <c r="E2591" s="28" t="n">
        <v>2026</v>
      </c>
      <c r="F2591" s="28" t="n">
        <v>2027</v>
      </c>
      <c r="G2591" s="28" t="n">
        <v>2028</v>
      </c>
      <c r="H2591" s="28" t="n">
        <v>2029</v>
      </c>
      <c r="I2591" s="28" t="n">
        <v>2030</v>
      </c>
      <c r="J2591" s="28" t="n">
        <v>2031</v>
      </c>
      <c r="K2591" s="28" t="n">
        <v>2032</v>
      </c>
    </row>
    <row r="2592" customFormat="false" ht="17.15" hidden="false" customHeight="false" outlineLevel="0" collapsed="false">
      <c r="A2592" s="1" t="s">
        <v>809</v>
      </c>
      <c r="B2592" s="0" t="s">
        <v>399</v>
      </c>
      <c r="F2592" s="29" t="n">
        <f aca="false">pace</f>
        <v>2527.2</v>
      </c>
      <c r="G2592" s="29" t="n">
        <f aca="false">pace</f>
        <v>2527.2</v>
      </c>
      <c r="H2592" s="29" t="n">
        <f aca="false">pace</f>
        <v>2527.2</v>
      </c>
      <c r="I2592" s="29" t="n">
        <f aca="false">pace+(g_tv*Sens!H2593-pace)*MIN(1,(Sens!I2591-pace_y0)/(pace_y1-pace_y0))</f>
        <v>1793.116</v>
      </c>
      <c r="J2592" s="29" t="n">
        <f aca="false">pace+(g_tv*Sens!I2593-pace)*MIN(1,(Sens!J2591-pace_y0)/(pace_y1-pace_y0))</f>
        <v>1094.89432</v>
      </c>
      <c r="K2592" s="29" t="n">
        <f aca="false">pace+(g_tv*Sens!J2593-pace)*MIN(1,(Sens!K2591-pace_y0)/(pace_y1-pace_y0))</f>
        <v>411.5883096</v>
      </c>
      <c r="L2592" s="11" t="s">
        <v>810</v>
      </c>
    </row>
    <row r="2593" customFormat="false" ht="17.15" hidden="false" customHeight="false" outlineLevel="0" collapsed="false">
      <c r="A2593" s="1" t="s">
        <v>811</v>
      </c>
      <c r="B2593" s="0" t="s">
        <v>399</v>
      </c>
      <c r="C2593" s="29" t="n">
        <f aca="false">mw_ext_24</f>
        <v>640</v>
      </c>
      <c r="D2593" s="29" t="n">
        <f aca="false">mw_ext_25</f>
        <v>1630</v>
      </c>
      <c r="E2593" s="29" t="n">
        <f aca="false">mw_ext_26</f>
        <v>3250</v>
      </c>
      <c r="F2593" s="29" t="n">
        <f aca="false">Sens!E2593+Sens!F2592</f>
        <v>5777.2</v>
      </c>
      <c r="G2593" s="29" t="n">
        <f aca="false">Sens!F2593+Sens!G2592</f>
        <v>8304.4</v>
      </c>
      <c r="H2593" s="29" t="n">
        <f aca="false">Sens!G2593+Sens!H2592</f>
        <v>10831.6</v>
      </c>
      <c r="I2593" s="29" t="n">
        <f aca="false">Sens!H2593+Sens!I2592</f>
        <v>12624.716</v>
      </c>
      <c r="J2593" s="29" t="n">
        <f aca="false">Sens!I2593+Sens!J2592</f>
        <v>13719.61032</v>
      </c>
      <c r="K2593" s="29" t="n">
        <f aca="false">Sens!J2593+Sens!K2592</f>
        <v>14131.1986296</v>
      </c>
      <c r="L2593" s="1" t="s">
        <v>812</v>
      </c>
    </row>
    <row r="2594" customFormat="false" ht="17.15" hidden="false" customHeight="false" outlineLevel="0" collapsed="false">
      <c r="A2594" s="1" t="s">
        <v>813</v>
      </c>
      <c r="B2594" s="0" t="s">
        <v>399</v>
      </c>
      <c r="C2594" s="29" t="n">
        <f aca="false">rent_ext_24</f>
        <v>150</v>
      </c>
      <c r="D2594" s="29" t="n">
        <f aca="false">rent_ext_25</f>
        <v>400</v>
      </c>
      <c r="E2594" s="29" t="n">
        <f aca="false">rent_ext_26</f>
        <v>550</v>
      </c>
      <c r="F2594" s="29" t="n">
        <f aca="false">rent_ext_f</f>
        <v>756</v>
      </c>
      <c r="G2594" s="29" t="n">
        <f aca="false">rent_ext_f</f>
        <v>756</v>
      </c>
      <c r="H2594" s="29" t="n">
        <f aca="false">rent_ext_f</f>
        <v>756</v>
      </c>
      <c r="I2594" s="29" t="n">
        <f aca="false">rent_ext_f</f>
        <v>756</v>
      </c>
      <c r="J2594" s="29" t="n">
        <f aca="false">rent_ext_f</f>
        <v>756</v>
      </c>
      <c r="K2594" s="29" t="n">
        <f aca="false">rent_ext_f</f>
        <v>756</v>
      </c>
      <c r="L2594" s="1" t="s">
        <v>814</v>
      </c>
    </row>
    <row r="2595" customFormat="false" ht="17.15" hidden="false" customHeight="false" outlineLevel="0" collapsed="false">
      <c r="A2595" s="1" t="s">
        <v>815</v>
      </c>
      <c r="B2595" s="0" t="s">
        <v>399</v>
      </c>
      <c r="C2595" s="29" t="n">
        <f aca="false">Sens!C2593-Sens!C2594</f>
        <v>490</v>
      </c>
      <c r="D2595" s="29" t="n">
        <f aca="false">Sens!D2593-Sens!D2594</f>
        <v>1230</v>
      </c>
      <c r="E2595" s="29" t="n">
        <f aca="false">Sens!E2593-Sens!E2594</f>
        <v>2700</v>
      </c>
      <c r="F2595" s="29" t="n">
        <f aca="false">Sens!F2593-Sens!F2594</f>
        <v>5021.2</v>
      </c>
      <c r="G2595" s="29" t="n">
        <f aca="false">Sens!G2593-Sens!G2594</f>
        <v>7548.4</v>
      </c>
      <c r="H2595" s="29" t="n">
        <f aca="false">Sens!H2593-Sens!H2594</f>
        <v>10075.6</v>
      </c>
      <c r="I2595" s="29" t="n">
        <f aca="false">Sens!I2593-Sens!I2594</f>
        <v>11868.716</v>
      </c>
      <c r="J2595" s="29" t="n">
        <f aca="false">Sens!J2593-Sens!J2594</f>
        <v>12963.61032</v>
      </c>
      <c r="K2595" s="29" t="n">
        <f aca="false">Sens!K2593-Sens!K2594</f>
        <v>13375.1986296</v>
      </c>
    </row>
    <row r="2596" customFormat="false" ht="17.15" hidden="false" customHeight="false" outlineLevel="0" collapsed="false">
      <c r="A2596" s="1" t="s">
        <v>816</v>
      </c>
      <c r="B2596" s="0" t="s">
        <v>399</v>
      </c>
      <c r="C2596" s="29" t="n">
        <f aca="false">Sens!C2595/ext_sh_hi</f>
        <v>653.333333333333</v>
      </c>
      <c r="D2596" s="29" t="n">
        <f aca="false">Sens!D2595/ext_sh_hi</f>
        <v>1640</v>
      </c>
      <c r="E2596" s="29" t="n">
        <f aca="false">Sens!E2595/ext_sh_hi</f>
        <v>3600</v>
      </c>
      <c r="F2596" s="29" t="n">
        <f aca="false">Sens!F2595/ext_sh_hi</f>
        <v>6694.93333333333</v>
      </c>
      <c r="G2596" s="29" t="n">
        <f aca="false">Sens!G2595/ext_sh_hi</f>
        <v>10064.5333333333</v>
      </c>
      <c r="H2596" s="29" t="n">
        <f aca="false">Sens!H2595/ext_sh_hi</f>
        <v>13434.1333333333</v>
      </c>
      <c r="I2596" s="29" t="n">
        <f aca="false">Sens!I2595/ext_sh_hi</f>
        <v>15824.9546666667</v>
      </c>
      <c r="J2596" s="29" t="n">
        <f aca="false">Sens!J2595/ext_sh_hi</f>
        <v>17284.81376</v>
      </c>
      <c r="K2596" s="29" t="n">
        <f aca="false">Sens!K2595/ext_sh_hi</f>
        <v>17833.5981728</v>
      </c>
      <c r="L2596" s="1" t="s">
        <v>817</v>
      </c>
    </row>
    <row r="2597" customFormat="false" ht="17.15" hidden="false" customHeight="false" outlineLevel="0" collapsed="false">
      <c r="A2597" s="1" t="s">
        <v>818</v>
      </c>
      <c r="B2597" s="0" t="s">
        <v>399</v>
      </c>
      <c r="C2597" s="29" t="n">
        <f aca="false">Sens!C2596-Sens!C2595</f>
        <v>163.333333333333</v>
      </c>
      <c r="D2597" s="29" t="n">
        <f aca="false">Sens!D2596-Sens!D2595</f>
        <v>410</v>
      </c>
      <c r="E2597" s="29" t="n">
        <f aca="false">Sens!E2596-Sens!E2595</f>
        <v>900</v>
      </c>
      <c r="F2597" s="29" t="n">
        <f aca="false">Sens!F2596-Sens!F2595</f>
        <v>1673.73333333333</v>
      </c>
      <c r="G2597" s="29" t="n">
        <f aca="false">Sens!G2596-Sens!G2595</f>
        <v>2516.13333333333</v>
      </c>
      <c r="H2597" s="29" t="n">
        <f aca="false">Sens!H2596-Sens!H2595</f>
        <v>3358.53333333333</v>
      </c>
      <c r="I2597" s="29" t="n">
        <f aca="false">Sens!I2596-Sens!I2595</f>
        <v>3956.23866666667</v>
      </c>
      <c r="J2597" s="29" t="n">
        <f aca="false">Sens!J2596-Sens!J2595</f>
        <v>4321.20344</v>
      </c>
      <c r="K2597" s="29" t="n">
        <f aca="false">Sens!K2596-Sens!K2595</f>
        <v>4458.3995432</v>
      </c>
    </row>
    <row r="2598" customFormat="false" ht="17.15" hidden="false" customHeight="false" outlineLevel="0" collapsed="false">
      <c r="A2598" s="1" t="s">
        <v>819</v>
      </c>
      <c r="B2598" s="0" t="s">
        <v>399</v>
      </c>
      <c r="C2598" s="29" t="n">
        <f aca="false">Sens!C2596</f>
        <v>653.333333333333</v>
      </c>
      <c r="D2598" s="29" t="n">
        <f aca="false">Sens!D2596-Sens!C2596</f>
        <v>986.666666666667</v>
      </c>
      <c r="E2598" s="29" t="n">
        <f aca="false">Sens!E2596-Sens!D2596</f>
        <v>1960</v>
      </c>
      <c r="F2598" s="29" t="n">
        <f aca="false">Sens!F2596-Sens!E2596</f>
        <v>3094.93333333333</v>
      </c>
      <c r="G2598" s="29" t="n">
        <f aca="false">Sens!G2596-Sens!F2596</f>
        <v>3369.6</v>
      </c>
      <c r="H2598" s="29" t="n">
        <f aca="false">Sens!H2596-Sens!G2596</f>
        <v>3369.6</v>
      </c>
      <c r="I2598" s="29" t="n">
        <f aca="false">Sens!I2596-Sens!H2596</f>
        <v>2390.82133333333</v>
      </c>
      <c r="J2598" s="29" t="n">
        <f aca="false">Sens!J2596-Sens!I2596</f>
        <v>1459.85909333333</v>
      </c>
      <c r="K2598" s="29" t="n">
        <f aca="false">Sens!K2596-Sens!J2596</f>
        <v>548.7844128</v>
      </c>
    </row>
    <row r="2599" customFormat="false" ht="17.15" hidden="false" customHeight="false" outlineLevel="0" collapsed="false">
      <c r="A2599" s="1" t="s">
        <v>820</v>
      </c>
      <c r="B2599" s="0" t="s">
        <v>399</v>
      </c>
      <c r="D2599" s="29" t="n">
        <f aca="false">Sens!D2593-Sens!C2593</f>
        <v>990</v>
      </c>
      <c r="E2599" s="29" t="n">
        <f aca="false">Sens!E2593-Sens!D2593</f>
        <v>1620</v>
      </c>
      <c r="F2599" s="29" t="n">
        <f aca="false">Sens!F2593-Sens!E2593</f>
        <v>2527.2</v>
      </c>
      <c r="G2599" s="29" t="n">
        <f aca="false">Sens!G2593-Sens!F2593</f>
        <v>2527.2</v>
      </c>
      <c r="H2599" s="29" t="n">
        <f aca="false">Sens!H2593-Sens!G2593</f>
        <v>2527.2</v>
      </c>
      <c r="I2599" s="29" t="n">
        <f aca="false">Sens!I2593-Sens!H2593</f>
        <v>1793.116</v>
      </c>
      <c r="J2599" s="29" t="n">
        <f aca="false">Sens!J2593-Sens!I2593</f>
        <v>1094.89432</v>
      </c>
      <c r="K2599" s="29" t="n">
        <f aca="false">Sens!K2593-Sens!J2593</f>
        <v>411.5883096</v>
      </c>
    </row>
    <row r="2600" customFormat="false" ht="17.15" hidden="false" customHeight="false" outlineLevel="0" collapsed="false">
      <c r="A2600" s="1" t="s">
        <v>821</v>
      </c>
      <c r="B2600" s="0" t="s">
        <v>399</v>
      </c>
      <c r="F2600" s="29" t="n">
        <f aca="false">Sens!F2617*ext_sh_hi</f>
        <v>0</v>
      </c>
      <c r="G2600" s="29" t="n">
        <f aca="false">Sens!G2617*ext_sh_hi</f>
        <v>0</v>
      </c>
      <c r="H2600" s="29" t="n">
        <f aca="false">Sens!H2617*ext_sh_hi</f>
        <v>0</v>
      </c>
      <c r="I2600" s="29" t="n">
        <f aca="false">Sens!I2617*ext_sh_hi</f>
        <v>490</v>
      </c>
      <c r="J2600" s="29" t="n">
        <f aca="false">Sens!J2617*ext_sh_hi</f>
        <v>740</v>
      </c>
      <c r="K2600" s="29" t="n">
        <f aca="false">Sens!K2617*ext_sh_hi</f>
        <v>1470</v>
      </c>
      <c r="L2600" s="1" t="s">
        <v>822</v>
      </c>
    </row>
    <row r="2601" customFormat="false" ht="17.15" hidden="false" customHeight="false" outlineLevel="0" collapsed="false">
      <c r="A2601" s="1" t="s">
        <v>823</v>
      </c>
      <c r="B2601" s="0" t="s">
        <v>399</v>
      </c>
      <c r="C2601" s="29" t="n">
        <f aca="false">mix_h*Sens!C2593</f>
        <v>128</v>
      </c>
      <c r="D2601" s="29" t="n">
        <f aca="false">mix_h*Sens!D2593</f>
        <v>326</v>
      </c>
      <c r="E2601" s="29" t="n">
        <f aca="false">mix_h*Sens!E2593</f>
        <v>650</v>
      </c>
      <c r="F2601" s="29" t="n">
        <f aca="false">Sens!E2601-Sens!F2600*mix_h</f>
        <v>650</v>
      </c>
      <c r="G2601" s="29" t="n">
        <f aca="false">Sens!F2601-Sens!G2600*mix_h</f>
        <v>650</v>
      </c>
      <c r="H2601" s="29" t="n">
        <f aca="false">Sens!G2601-Sens!H2600*mix_h</f>
        <v>650</v>
      </c>
      <c r="I2601" s="29" t="n">
        <f aca="false">Sens!H2601-Sens!I2600*mix_h</f>
        <v>552</v>
      </c>
      <c r="J2601" s="29" t="n">
        <f aca="false">Sens!I2601-Sens!J2600*mix_h</f>
        <v>404</v>
      </c>
      <c r="K2601" s="29" t="n">
        <f aca="false">Sens!J2601-Sens!K2600*mix_h</f>
        <v>110</v>
      </c>
    </row>
    <row r="2602" customFormat="false" ht="17.15" hidden="false" customHeight="false" outlineLevel="0" collapsed="false">
      <c r="A2602" s="1" t="s">
        <v>824</v>
      </c>
      <c r="B2602" s="0" t="s">
        <v>399</v>
      </c>
      <c r="C2602" s="29" t="n">
        <f aca="false">mix_g2*Sens!C2593</f>
        <v>288</v>
      </c>
      <c r="D2602" s="29" t="n">
        <f aca="false">mix_g2*Sens!D2593</f>
        <v>733.5</v>
      </c>
      <c r="E2602" s="29" t="n">
        <f aca="false">mix_g2*Sens!E2593</f>
        <v>1462.5</v>
      </c>
      <c r="F2602" s="29" t="n">
        <f aca="false">Sens!E2602-Sens!F2600*mix_g2</f>
        <v>1462.5</v>
      </c>
      <c r="G2602" s="29" t="n">
        <f aca="false">Sens!F2602-Sens!G2600*mix_g2</f>
        <v>1462.5</v>
      </c>
      <c r="H2602" s="29" t="n">
        <f aca="false">Sens!G2602-Sens!H2600*mix_g2</f>
        <v>1462.5</v>
      </c>
      <c r="I2602" s="29" t="n">
        <f aca="false">Sens!H2602-Sens!I2600*mix_g2</f>
        <v>1242</v>
      </c>
      <c r="J2602" s="29" t="n">
        <f aca="false">Sens!I2602-Sens!J2600*mix_g2</f>
        <v>909</v>
      </c>
      <c r="K2602" s="29" t="n">
        <f aca="false">Sens!J2602-Sens!K2600*mix_g2</f>
        <v>247.5</v>
      </c>
    </row>
    <row r="2603" customFormat="false" ht="17.15" hidden="false" customHeight="false" outlineLevel="0" collapsed="false">
      <c r="A2603" s="1" t="s">
        <v>825</v>
      </c>
      <c r="B2603" s="0" t="s">
        <v>399</v>
      </c>
      <c r="C2603" s="29" t="n">
        <f aca="false">mix_g3*Sens!C2593</f>
        <v>224</v>
      </c>
      <c r="D2603" s="29" t="n">
        <f aca="false">mix_g3*Sens!D2593</f>
        <v>570.5</v>
      </c>
      <c r="E2603" s="29" t="n">
        <f aca="false">mix_g3*Sens!E2593</f>
        <v>1137.5</v>
      </c>
      <c r="F2603" s="29" t="n">
        <f aca="false">Sens!E2603+(Sens!F2599+Sens!F2600)*a_g3_27-Sens!F2600*mix_g3</f>
        <v>2906.54</v>
      </c>
      <c r="G2603" s="29" t="n">
        <f aca="false">Sens!F2603+(Sens!G2599+Sens!G2600)*a_g3_28-Sens!G2600*mix_g3</f>
        <v>3664.7</v>
      </c>
      <c r="H2603" s="29" t="n">
        <f aca="false">Sens!G2603+(Sens!H2599+Sens!H2600)*a_g3_29-Sens!H2600*mix_g3</f>
        <v>3917.42</v>
      </c>
      <c r="I2603" s="29" t="n">
        <f aca="false">Sens!H2603+(Sens!I2599+Sens!I2600)*a_g3_29-Sens!I2600*mix_g3</f>
        <v>3974.2316</v>
      </c>
      <c r="J2603" s="29" t="n">
        <f aca="false">Sens!I2603+(Sens!J2599+Sens!J2600)*a_g3_29-Sens!J2600*mix_g3</f>
        <v>3898.721032</v>
      </c>
      <c r="K2603" s="29" t="n">
        <f aca="false">Sens!J2603+(Sens!K2599+Sens!K2600)*a_g3_29-Sens!K2600*mix_g3</f>
        <v>3572.37986296</v>
      </c>
    </row>
    <row r="2604" customFormat="false" ht="17.15" hidden="false" customHeight="false" outlineLevel="0" collapsed="false">
      <c r="A2604" s="1" t="s">
        <v>826</v>
      </c>
      <c r="B2604" s="0" t="s">
        <v>399</v>
      </c>
      <c r="C2604" s="29" t="n">
        <v>0</v>
      </c>
      <c r="D2604" s="29" t="n">
        <v>0</v>
      </c>
      <c r="E2604" s="29" t="n">
        <v>0</v>
      </c>
      <c r="F2604" s="29" t="n">
        <f aca="false">Sens!E2604+(Sens!F2599+Sens!F2600)*(1-a_g3_27)</f>
        <v>758.16</v>
      </c>
      <c r="G2604" s="29" t="n">
        <f aca="false">Sens!F2604+(Sens!G2599+Sens!G2600)*(1-a_g3_28)</f>
        <v>2527.2</v>
      </c>
      <c r="H2604" s="29" t="n">
        <f aca="false">Sens!G2604+(Sens!H2599+Sens!H2600)*(1-a_g3_29)</f>
        <v>4801.68</v>
      </c>
      <c r="I2604" s="29" t="n">
        <f aca="false">Sens!H2604+(Sens!I2599+Sens!I2600)*(1-a_g3_29)</f>
        <v>6856.4844</v>
      </c>
      <c r="J2604" s="29" t="n">
        <f aca="false">Sens!I2604+(Sens!J2599+Sens!J2600)*(1-a_g3_29)</f>
        <v>8507.889288</v>
      </c>
      <c r="K2604" s="29" t="n">
        <f aca="false">Sens!J2604+(Sens!K2599+Sens!K2600)*(1-a_g3_29)</f>
        <v>10201.31876664</v>
      </c>
    </row>
    <row r="2605" customFormat="false" ht="17.15" hidden="false" customHeight="false" outlineLevel="0" collapsed="false">
      <c r="A2605" s="1" t="s">
        <v>827</v>
      </c>
      <c r="B2605" s="0" t="s">
        <v>346</v>
      </c>
      <c r="C2605" s="14" t="n">
        <f aca="false">(Sens!C2601*tk_hold_h100+Sens!C2602*tk_hold_gb200+Sens!C2603*tk_hold_gb300+Sens!C2604*tk_hold_vr200)/Sens!C2593</f>
        <v>9.7235358126469</v>
      </c>
      <c r="D2605" s="14" t="n">
        <f aca="false">(Sens!D2601*tk_hold_h100+Sens!D2602*tk_hold_gb200+Sens!D2603*tk_hold_gb300+Sens!D2604*tk_hold_vr200)/Sens!D2593</f>
        <v>9.7235358126469</v>
      </c>
      <c r="E2605" s="14" t="n">
        <f aca="false">(Sens!E2601*tk_hold_h100+Sens!E2602*tk_hold_gb200+Sens!E2603*tk_hold_gb300+Sens!E2604*tk_hold_vr200)/Sens!E2593</f>
        <v>9.7235358126469</v>
      </c>
      <c r="F2605" s="14" t="n">
        <f aca="false">(Sens!F2601*tk_hold_h100+Sens!F2602*tk_hold_gb200+Sens!F2603*tk_hold_gb300+Sens!F2604*tk_hold_vr200)/Sens!F2593</f>
        <v>10.4079573161931</v>
      </c>
      <c r="G2605" s="14" t="n">
        <f aca="false">(Sens!G2601*tk_hold_h100+Sens!G2602*tk_hold_gb200+Sens!G2603*tk_hold_gb300+Sens!G2604*tk_hold_vr200)/Sens!G2593</f>
        <v>10.8388131109316</v>
      </c>
      <c r="H2605" s="14" t="n">
        <f aca="false">(Sens!H2601*tk_hold_h100+Sens!H2602*tk_hold_gb200+Sens!H2603*tk_hold_gb300+Sens!H2604*tk_hold_vr200)/Sens!H2593</f>
        <v>11.1311018388216</v>
      </c>
      <c r="I2605" s="14" t="n">
        <f aca="false">(Sens!I2601*tk_hold_h100+Sens!I2602*tk_hold_gb200+Sens!I2603*tk_hold_gb300+Sens!I2604*tk_hold_vr200)/Sens!I2593</f>
        <v>11.3594282560989</v>
      </c>
      <c r="J2605" s="14" t="n">
        <f aca="false">(Sens!J2601*tk_hold_h100+Sens!J2602*tk_hold_gb200+Sens!J2603*tk_hold_gb300+Sens!J2604*tk_hold_vr200)/Sens!J2593</f>
        <v>11.5455817917599</v>
      </c>
      <c r="K2605" s="14" t="n">
        <f aca="false">(Sens!K2601*tk_hold_h100+Sens!K2602*tk_hold_gb200+Sens!K2603*tk_hold_gb300+Sens!K2604*tk_hold_vr200)/Sens!K2593</f>
        <v>11.8078187977246</v>
      </c>
    </row>
    <row r="2606" customFormat="false" ht="17.15" hidden="false" customHeight="false" outlineLevel="0" collapsed="false">
      <c r="A2606" s="0" t="s">
        <v>828</v>
      </c>
      <c r="B2606" s="0" t="s">
        <v>185</v>
      </c>
      <c r="C2606" s="14" t="n">
        <f aca="false">k_B</f>
        <v>1.17213932619116</v>
      </c>
      <c r="D2606" s="14" t="n">
        <f aca="false">k_B</f>
        <v>1.17213932619116</v>
      </c>
      <c r="E2606" s="14" t="n">
        <f aca="false">k_B</f>
        <v>1.17213932619116</v>
      </c>
      <c r="F2606" s="14" t="n">
        <f aca="false">(k_B+((ls_B*k_long+(1-ls_B)*k_spot)-k_B)*MIN(1,(Sens!F2591-base_fy)/k_ramp))</f>
        <v>1.17213932619116</v>
      </c>
      <c r="G2606" s="14" t="n">
        <f aca="false">(k_B+((ls_B*k_long+(1-ls_B)*k_spot)-k_B)*MIN(1,(Sens!G2591-base_fy)/k_ramp))</f>
        <v>1.17213932619116</v>
      </c>
      <c r="H2606" s="14" t="n">
        <f aca="false">(k_B+((ls_B*k_long+(1-ls_B)*k_spot)-k_B)*MIN(1,(Sens!H2591-base_fy)/k_ramp))</f>
        <v>1.17213932619116</v>
      </c>
      <c r="I2606" s="14" t="n">
        <f aca="false">(k_B+((ls_B*k_long+(1-ls_B)*k_spot)-k_B)*MIN(1,(Sens!I2591-base_fy)/k_ramp))</f>
        <v>1.17213932619116</v>
      </c>
      <c r="J2606" s="14" t="n">
        <f aca="false">(k_B+((ls_B*k_long+(1-ls_B)*k_spot)-k_B)*MIN(1,(Sens!J2591-base_fy)/k_ramp))</f>
        <v>1.17213932619116</v>
      </c>
      <c r="K2606" s="14" t="n">
        <f aca="false">(k_B+((ls_B*k_long+(1-ls_B)*k_spot)-k_B)*MIN(1,(Sens!K2591-base_fy)/k_ramp))</f>
        <v>1.17213932619116</v>
      </c>
      <c r="L2606" s="1" t="s">
        <v>829</v>
      </c>
    </row>
    <row r="2607" customFormat="false" ht="17.15" hidden="false" customHeight="false" outlineLevel="0" collapsed="false">
      <c r="A2607" s="1" t="s">
        <v>830</v>
      </c>
      <c r="B2607" s="0" t="s">
        <v>346</v>
      </c>
      <c r="C2607" s="14" t="n">
        <f aca="false">Sens!C2605*Sens!C2606*chip_f</f>
        <v>11.3973387156315</v>
      </c>
      <c r="D2607" s="14" t="n">
        <f aca="false">Sens!D2605*Sens!D2606*chip_f</f>
        <v>11.3973387156315</v>
      </c>
      <c r="E2607" s="14" t="n">
        <f aca="false">Sens!E2605*Sens!E2606*chip_f</f>
        <v>11.3973387156315</v>
      </c>
      <c r="F2607" s="14" t="n">
        <f aca="false">Sens!F2605*Sens!F2606*chip_f</f>
        <v>12.1995760756289</v>
      </c>
      <c r="G2607" s="14" t="n">
        <f aca="false">Sens!G2605*Sens!G2606*chip_f</f>
        <v>12.7045990965592</v>
      </c>
      <c r="H2607" s="14" t="n">
        <f aca="false">Sens!H2605*Sens!H2606*chip_f</f>
        <v>13.0472022091214</v>
      </c>
      <c r="I2607" s="14" t="n">
        <f aca="false">Sens!I2605*Sens!I2606*chip_f</f>
        <v>13.3148325820205</v>
      </c>
      <c r="J2607" s="14" t="n">
        <f aca="false">Sens!J2605*Sens!J2606*chip_f</f>
        <v>13.5330304618783</v>
      </c>
      <c r="K2607" s="14" t="n">
        <f aca="false">Sens!K2605*Sens!K2606*chip_f</f>
        <v>13.8404087693522</v>
      </c>
      <c r="L2607" s="1" t="s">
        <v>831</v>
      </c>
    </row>
    <row r="2608" customFormat="false" ht="17.15" hidden="false" customHeight="false" outlineLevel="0" collapsed="false">
      <c r="A2608" s="0" t="s">
        <v>832</v>
      </c>
      <c r="B2608" s="0" t="s">
        <v>98</v>
      </c>
      <c r="D2608" s="6" t="n">
        <f aca="false">(Sens!C2593+Sens!D2593)/2*Sens!D2607/1000</f>
        <v>12.9359794422418</v>
      </c>
      <c r="E2608" s="6" t="n">
        <f aca="false">(Sens!D2593+Sens!E2593)/2*Sens!E2607/1000</f>
        <v>27.8095064661409</v>
      </c>
      <c r="F2608" s="6" t="n">
        <f aca="false">(Sens!E2593+Sens!F2593)/2*Sens!F2607/1000</f>
        <v>55.0640065749585</v>
      </c>
      <c r="G2608" s="6" t="n">
        <f aca="false">(Sens!F2593+Sens!G2593)/2*Sens!G2607/1000</f>
        <v>89.4505413190538</v>
      </c>
      <c r="H2608" s="6" t="n">
        <f aca="false">(Sens!G2593+Sens!H2593)/2*Sens!H2607/1000</f>
        <v>124.835630736874</v>
      </c>
      <c r="I2608" s="6" t="n">
        <f aca="false">(Sens!H2593+Sens!I2593)/2*Sens!I2607/1000</f>
        <v>156.158460265485</v>
      </c>
      <c r="J2608" s="6" t="n">
        <f aca="false">(Sens!I2593+Sens!J2593)/2*Sens!J2607/1000</f>
        <v>178.259285293112</v>
      </c>
      <c r="K2608" s="6" t="n">
        <f aca="false">(Sens!J2593+Sens!K2593)/2*Sens!K2607/1000</f>
        <v>192.733290209798</v>
      </c>
      <c r="L2608" s="11" t="s">
        <v>833</v>
      </c>
    </row>
    <row r="2609" customFormat="false" ht="17.15" hidden="false" customHeight="false" outlineLevel="0" collapsed="false">
      <c r="A2609" s="1" t="s">
        <v>834</v>
      </c>
      <c r="B2609" s="0" t="s">
        <v>346</v>
      </c>
      <c r="C2609" s="14" t="n">
        <f aca="false">(Sens!C2601*tk_opex_h100+Sens!C2602*tk_opex_gb200+Sens!C2603*tk_opex_gb300+Sens!C2604*tk_opex_vr200)/Sens!C2593</f>
        <v>1.88636041306092</v>
      </c>
      <c r="D2609" s="14" t="n">
        <f aca="false">(Sens!D2601*tk_opex_h100+Sens!D2602*tk_opex_gb200+Sens!D2603*tk_opex_gb300+Sens!D2604*tk_opex_vr200)/Sens!D2593</f>
        <v>1.88636041306092</v>
      </c>
      <c r="E2609" s="14" t="n">
        <f aca="false">(Sens!E2601*tk_opex_h100+Sens!E2602*tk_opex_gb200+Sens!E2603*tk_opex_gb300+Sens!E2604*tk_opex_vr200)/Sens!E2593</f>
        <v>1.88636041306092</v>
      </c>
      <c r="F2609" s="14" t="n">
        <f aca="false">(Sens!F2601*tk_opex_h100+Sens!F2602*tk_opex_gb200+Sens!F2603*tk_opex_gb300+Sens!F2604*tk_opex_vr200)/Sens!F2593</f>
        <v>1.9430236476499</v>
      </c>
      <c r="G2609" s="14" t="n">
        <f aca="false">(Sens!G2601*tk_opex_h100+Sens!G2602*tk_opex_gb200+Sens!G2603*tk_opex_gb300+Sens!G2604*tk_opex_vr200)/Sens!G2593</f>
        <v>1.9786941852423</v>
      </c>
      <c r="H2609" s="14" t="n">
        <f aca="false">(Sens!H2601*tk_opex_h100+Sens!H2602*tk_opex_gb200+Sens!H2603*tk_opex_gb300+Sens!H2604*tk_opex_vr200)/Sens!H2593</f>
        <v>2.00289275976156</v>
      </c>
      <c r="I2609" s="14" t="n">
        <f aca="false">(Sens!I2601*tk_opex_h100+Sens!I2602*tk_opex_gb200+Sens!I2603*tk_opex_gb300+Sens!I2604*tk_opex_vr200)/Sens!I2593</f>
        <v>2.02179589661219</v>
      </c>
      <c r="J2609" s="14" t="n">
        <f aca="false">(Sens!J2601*tk_opex_h100+Sens!J2602*tk_opex_gb200+Sens!J2603*tk_opex_gb300+Sens!J2604*tk_opex_vr200)/Sens!J2593</f>
        <v>2.03720754193029</v>
      </c>
      <c r="K2609" s="14" t="n">
        <f aca="false">(Sens!K2601*tk_opex_h100+Sens!K2602*tk_opex_gb200+Sens!K2603*tk_opex_gb300+Sens!K2604*tk_opex_vr200)/Sens!K2593</f>
        <v>2.0589181353437</v>
      </c>
    </row>
    <row r="2610" customFormat="false" ht="17.15" hidden="false" customHeight="false" outlineLevel="0" collapsed="false">
      <c r="A2610" s="0" t="s">
        <v>835</v>
      </c>
      <c r="B2610" s="0" t="s">
        <v>98</v>
      </c>
      <c r="D2610" s="6" t="n">
        <f aca="false">(Sens!C2596+Sens!D2596)/2*Sens!D2609/1000</f>
        <v>2.16302660697652</v>
      </c>
      <c r="E2610" s="6" t="n">
        <f aca="false">(Sens!D2596+Sens!E2596)/2*Sens!E2609/1000</f>
        <v>4.9422642822196</v>
      </c>
      <c r="F2610" s="6" t="n">
        <f aca="false">(Sens!E2596+Sens!F2596)/2*Sens!F2609/1000</f>
        <v>10.001649458823</v>
      </c>
      <c r="G2610" s="6" t="n">
        <f aca="false">(Sens!F2596+Sens!G2596)/2*Sens!G2609/1000</f>
        <v>16.5809296205477</v>
      </c>
      <c r="H2610" s="6" t="n">
        <f aca="false">(Sens!G2596+Sens!H2596)/2*Sens!H2609/1000</f>
        <v>23.5326546653585</v>
      </c>
      <c r="I2610" s="6" t="n">
        <f aca="false">(Sens!H2596+Sens!I2596)/2*Sens!I2609/1000</f>
        <v>29.5779520285075</v>
      </c>
      <c r="J2610" s="6" t="n">
        <f aca="false">(Sens!I2596+Sens!J2596)/2*Sens!J2609/1000</f>
        <v>33.7257349751853</v>
      </c>
      <c r="K2610" s="6" t="n">
        <f aca="false">(Sens!J2596+Sens!K2596)/2*Sens!K2609/1000</f>
        <v>36.1529676064563</v>
      </c>
    </row>
    <row r="2611" customFormat="false" ht="17.15" hidden="false" customHeight="false" outlineLevel="0" collapsed="false">
      <c r="A2611" s="0" t="s">
        <v>836</v>
      </c>
      <c r="B2611" s="0" t="s">
        <v>98</v>
      </c>
      <c r="D2611" s="6" t="n">
        <f aca="false">(Sens!C2594+Sens!D2594)/2*rent_mw/1000</f>
        <v>2.44475</v>
      </c>
      <c r="E2611" s="6" t="n">
        <f aca="false">(Sens!D2594+Sens!E2594)/2*rent_mw/1000</f>
        <v>4.22275</v>
      </c>
      <c r="F2611" s="6" t="n">
        <f aca="false">(Sens!E2594+Sens!F2594)/2*rent_mw/1000</f>
        <v>5.80517</v>
      </c>
      <c r="G2611" s="6" t="n">
        <f aca="false">(Sens!F2594+Sens!G2594)/2*rent_mw/1000</f>
        <v>6.72084</v>
      </c>
      <c r="H2611" s="6" t="n">
        <f aca="false">(Sens!G2594+Sens!H2594)/2*rent_mw/1000</f>
        <v>6.72084</v>
      </c>
      <c r="I2611" s="6" t="n">
        <f aca="false">(Sens!H2594+Sens!I2594)/2*rent_mw/1000</f>
        <v>6.72084</v>
      </c>
      <c r="J2611" s="6" t="n">
        <f aca="false">(Sens!I2594+Sens!J2594)/2*rent_mw/1000</f>
        <v>6.72084</v>
      </c>
      <c r="K2611" s="6" t="n">
        <f aca="false">(Sens!J2594+Sens!K2594)/2*rent_mw/1000</f>
        <v>6.72084</v>
      </c>
    </row>
    <row r="2612" customFormat="false" ht="17.15" hidden="false" customHeight="false" outlineLevel="0" collapsed="false">
      <c r="A2612" s="0" t="s">
        <v>837</v>
      </c>
      <c r="B2612" s="0" t="s">
        <v>98</v>
      </c>
      <c r="D2612" s="6" t="n">
        <f aca="false">(Sens!C2596+Sens!D2596)/2*(1-self_build)*fac_rent/1000</f>
        <v>0.682593900504861</v>
      </c>
      <c r="E2612" s="6" t="n">
        <f aca="false">(Sens!D2596+Sens!E2596)/2*(1-self_build)*fac_rent/1000</f>
        <v>1.55964769126983</v>
      </c>
      <c r="F2612" s="6" t="n">
        <f aca="false">(Sens!E2596+Sens!F2596)/2*(1-self_build)*fac_rent/1000</f>
        <v>3.06421164219659</v>
      </c>
      <c r="G2612" s="6" t="n">
        <f aca="false">(Sens!F2596+Sens!G2596)/2*(1-self_build)*fac_rent/1000</f>
        <v>4.9883327277825</v>
      </c>
      <c r="H2612" s="6" t="n">
        <f aca="false">(Sens!G2596+Sens!H2596)/2*(1-self_build)*fac_rent/1000</f>
        <v>6.99420633866143</v>
      </c>
      <c r="I2612" s="6" t="n">
        <f aca="false">(Sens!H2596+Sens!I2596)/2*(1-self_build)*fac_rent/1000</f>
        <v>8.70875363508791</v>
      </c>
      <c r="J2612" s="6" t="n">
        <f aca="false">(Sens!I2596+Sens!J2596)/2*(1-self_build)*fac_rent/1000</f>
        <v>9.85488051242925</v>
      </c>
      <c r="K2612" s="6" t="n">
        <f aca="false">(Sens!J2596+Sens!K2596)/2*(1-self_build)*fac_rent/1000</f>
        <v>10.4527385671859</v>
      </c>
      <c r="L2612" s="11" t="s">
        <v>838</v>
      </c>
    </row>
    <row r="2613" customFormat="false" ht="17.15" hidden="false" customHeight="false" outlineLevel="0" collapsed="false">
      <c r="A2613" s="1" t="s">
        <v>839</v>
      </c>
      <c r="B2613" s="0" t="s">
        <v>129</v>
      </c>
      <c r="D2613" s="7" t="n">
        <f aca="false">(Sens!C2595+Sens!D2595)/(Sens!C2596+Sens!D2596)</f>
        <v>0.75</v>
      </c>
      <c r="E2613" s="7" t="n">
        <f aca="false">(Sens!D2595+Sens!E2595)/(Sens!D2596+Sens!E2596)</f>
        <v>0.75</v>
      </c>
      <c r="F2613" s="7" t="n">
        <f aca="false">(Sens!E2595+Sens!F2595)/(Sens!E2596+Sens!F2596)</f>
        <v>0.75</v>
      </c>
      <c r="G2613" s="7" t="n">
        <f aca="false">(Sens!F2595+Sens!G2595)/(Sens!F2596+Sens!G2596)</f>
        <v>0.75</v>
      </c>
      <c r="H2613" s="7" t="n">
        <f aca="false">(Sens!G2595+Sens!H2595)/(Sens!G2596+Sens!H2596)</f>
        <v>0.75</v>
      </c>
      <c r="I2613" s="7" t="n">
        <f aca="false">(Sens!H2595+Sens!I2595)/(Sens!H2596+Sens!I2596)</f>
        <v>0.75</v>
      </c>
      <c r="J2613" s="7" t="n">
        <f aca="false">(Sens!I2595+Sens!J2595)/(Sens!I2596+Sens!J2596)</f>
        <v>0.75</v>
      </c>
      <c r="K2613" s="7" t="n">
        <f aca="false">(Sens!J2595+Sens!K2595)/(Sens!J2596+Sens!K2596)</f>
        <v>0.75</v>
      </c>
    </row>
    <row r="2614" customFormat="false" ht="17.15" hidden="false" customHeight="false" outlineLevel="0" collapsed="false">
      <c r="A2614" s="0" t="s">
        <v>840</v>
      </c>
      <c r="B2614" s="0" t="s">
        <v>98</v>
      </c>
      <c r="D2614" s="6" t="n">
        <f aca="false">Sens!D2608-Sens!D2613*(Sens!D2610+Sens!D2612)-Sens!D2611</f>
        <v>8.35701406163072</v>
      </c>
      <c r="E2614" s="6" t="n">
        <f aca="false">Sens!E2608-Sens!E2613*(Sens!E2610+Sens!E2612)-Sens!E2611</f>
        <v>18.7103224860238</v>
      </c>
      <c r="F2614" s="6" t="n">
        <f aca="false">Sens!F2608-Sens!F2613*(Sens!F2610+Sens!F2612)-Sens!F2611</f>
        <v>39.4594407491938</v>
      </c>
      <c r="G2614" s="6" t="n">
        <f aca="false">Sens!G2608-Sens!G2613*(Sens!G2610+Sens!G2612)-Sens!G2611</f>
        <v>66.5527545578061</v>
      </c>
      <c r="H2614" s="6" t="n">
        <f aca="false">Sens!H2608-Sens!H2613*(Sens!H2610+Sens!H2612)-Sens!H2611</f>
        <v>95.219644983859</v>
      </c>
      <c r="I2614" s="6" t="n">
        <f aca="false">Sens!I2608-Sens!I2613*(Sens!I2610+Sens!I2612)-Sens!I2611</f>
        <v>120.722591017788</v>
      </c>
      <c r="J2614" s="6" t="n">
        <f aca="false">Sens!J2608-Sens!J2613*(Sens!J2610+Sens!J2612)-Sens!J2611</f>
        <v>138.852983677401</v>
      </c>
      <c r="K2614" s="6" t="n">
        <f aca="false">Sens!K2608-Sens!K2613*(Sens!K2610+Sens!K2612)-Sens!K2611</f>
        <v>151.058170579566</v>
      </c>
    </row>
    <row r="2615" customFormat="false" ht="17.15" hidden="false" customHeight="false" outlineLevel="0" collapsed="false">
      <c r="A2615" s="1" t="s">
        <v>841</v>
      </c>
      <c r="B2615" s="0" t="s">
        <v>98</v>
      </c>
      <c r="D2615" s="6" t="n">
        <f aca="false">(1-Sens!D2613)*(Sens!D2610+Sens!D2612)</f>
        <v>0.711405126870345</v>
      </c>
      <c r="E2615" s="6" t="n">
        <f aca="false">(1-Sens!E2613)*(Sens!E2610+Sens!E2612)</f>
        <v>1.62547799337236</v>
      </c>
      <c r="F2615" s="6" t="n">
        <f aca="false">(1-Sens!F2613)*(Sens!F2610+Sens!F2612)</f>
        <v>3.26646527525489</v>
      </c>
      <c r="G2615" s="6" t="n">
        <f aca="false">(1-Sens!G2613)*(Sens!G2610+Sens!G2612)</f>
        <v>5.39231558708256</v>
      </c>
      <c r="H2615" s="6" t="n">
        <f aca="false">(1-Sens!H2613)*(Sens!H2610+Sens!H2612)</f>
        <v>7.63171525100499</v>
      </c>
      <c r="I2615" s="6" t="n">
        <f aca="false">(1-Sens!I2613)*(Sens!I2610+Sens!I2612)</f>
        <v>9.57167641589886</v>
      </c>
      <c r="J2615" s="6" t="n">
        <f aca="false">(1-Sens!J2613)*(Sens!J2610+Sens!J2612)</f>
        <v>10.8951538719036</v>
      </c>
      <c r="K2615" s="6" t="n">
        <f aca="false">(1-Sens!K2613)*(Sens!K2610+Sens!K2612)</f>
        <v>11.6514265434106</v>
      </c>
    </row>
    <row r="2616" customFormat="false" ht="17.15" hidden="false" customHeight="false" outlineLevel="0" collapsed="false">
      <c r="A2616" s="1" t="s">
        <v>842</v>
      </c>
      <c r="B2616" s="0" t="s">
        <v>357</v>
      </c>
      <c r="C2616" s="8" t="n">
        <f aca="false">cxit_open</f>
        <v>27.5918995</v>
      </c>
      <c r="D2616" s="8" t="n">
        <f aca="false">cxit_open</f>
        <v>27.5918995</v>
      </c>
      <c r="E2616" s="8" t="n">
        <f aca="false">cxit_open</f>
        <v>27.5918995</v>
      </c>
      <c r="F2616" s="8" t="n">
        <f aca="false">(a_g3_27*tk_cxit_gb300+(1-a_g3_27)*tk_cxit_vr200)</f>
        <v>33.8419624</v>
      </c>
      <c r="G2616" s="8" t="n">
        <f aca="false">(a_g3_28*tk_cxit_gb300+(1-a_g3_28)*tk_cxit_vr200)</f>
        <v>35.9816136</v>
      </c>
      <c r="H2616" s="8" t="n">
        <f aca="false">(a_g3_29*tk_cxit_gb300+(1-a_g3_29)*tk_cxit_vr200)</f>
        <v>37.0514392</v>
      </c>
      <c r="I2616" s="8" t="n">
        <f aca="false">(a_g3_29*tk_cxit_gb300+(1-a_g3_29)*tk_cxit_vr200)</f>
        <v>37.0514392</v>
      </c>
      <c r="J2616" s="8" t="n">
        <f aca="false">(a_g3_29*tk_cxit_gb300+(1-a_g3_29)*tk_cxit_vr200)</f>
        <v>37.0514392</v>
      </c>
      <c r="K2616" s="8" t="n">
        <f aca="false">(a_g3_29*tk_cxit_gb300+(1-a_g3_29)*tk_cxit_vr200)</f>
        <v>37.0514392</v>
      </c>
      <c r="L2616" s="11" t="s">
        <v>843</v>
      </c>
    </row>
    <row r="2617" customFormat="false" ht="17.15" hidden="false" customHeight="false" outlineLevel="0" collapsed="false">
      <c r="A2617" s="0" t="s">
        <v>844</v>
      </c>
      <c r="B2617" s="0" t="s">
        <v>399</v>
      </c>
      <c r="F2617" s="29" t="n">
        <f aca="false">Sens!C2598*IF(Sens!F2591-Sens!C2591=life_it,1,0)+Sens!D2598*IF(Sens!F2591-Sens!D2591=life_it,1,0)+Sens!E2598*IF(Sens!F2591-Sens!E2591=life_it,1,0)</f>
        <v>0</v>
      </c>
      <c r="G2617" s="29" t="n">
        <f aca="false">Sens!C2598*IF(Sens!G2591-Sens!C2591=life_it,1,0)+Sens!D2598*IF(Sens!G2591-Sens!D2591=life_it,1,0)+Sens!E2598*IF(Sens!G2591-Sens!E2591=life_it,1,0)+Sens!F2598*IF(Sens!G2591-Sens!F2591=life_it,1,0)</f>
        <v>0</v>
      </c>
      <c r="H2617" s="29" t="n">
        <f aca="false">Sens!C2598*IF(Sens!H2591-Sens!C2591=life_it,1,0)+Sens!D2598*IF(Sens!H2591-Sens!D2591=life_it,1,0)+Sens!E2598*IF(Sens!H2591-Sens!E2591=life_it,1,0)+Sens!F2598*IF(Sens!H2591-Sens!F2591=life_it,1,0)+Sens!G2598*IF(Sens!H2591-Sens!G2591=life_it,1,0)</f>
        <v>0</v>
      </c>
      <c r="I2617" s="29" t="n">
        <f aca="false">Sens!C2598*IF(Sens!I2591-Sens!C2591=life_it,1,0)+Sens!D2598*IF(Sens!I2591-Sens!D2591=life_it,1,0)+Sens!E2598*IF(Sens!I2591-Sens!E2591=life_it,1,0)+Sens!F2598*IF(Sens!I2591-Sens!F2591=life_it,1,0)+Sens!G2598*IF(Sens!I2591-Sens!G2591=life_it,1,0)+Sens!H2598*IF(Sens!I2591-Sens!H2591=life_it,1,0)</f>
        <v>653.333333333333</v>
      </c>
      <c r="J2617" s="29" t="n">
        <f aca="false">Sens!C2598*IF(Sens!J2591-Sens!C2591=life_it,1,0)+Sens!D2598*IF(Sens!J2591-Sens!D2591=life_it,1,0)+Sens!E2598*IF(Sens!J2591-Sens!E2591=life_it,1,0)+Sens!F2598*IF(Sens!J2591-Sens!F2591=life_it,1,0)+Sens!G2598*IF(Sens!J2591-Sens!G2591=life_it,1,0)+Sens!H2598*IF(Sens!J2591-Sens!H2591=life_it,1,0)+Sens!I2598*IF(Sens!J2591-Sens!I2591=life_it,1,0)</f>
        <v>986.666666666667</v>
      </c>
      <c r="K2617" s="29" t="n">
        <f aca="false">Sens!C2598*IF(Sens!K2591-Sens!C2591=life_it,1,0)+Sens!D2598*IF(Sens!K2591-Sens!D2591=life_it,1,0)+Sens!E2598*IF(Sens!K2591-Sens!E2591=life_it,1,0)+Sens!F2598*IF(Sens!K2591-Sens!F2591=life_it,1,0)+Sens!G2598*IF(Sens!K2591-Sens!G2591=life_it,1,0)+Sens!H2598*IF(Sens!K2591-Sens!H2591=life_it,1,0)+Sens!I2598*IF(Sens!K2591-Sens!I2591=life_it,1,0)+Sens!J2598*IF(Sens!K2591-Sens!J2591=life_it,1,0)</f>
        <v>1960</v>
      </c>
      <c r="L2617" s="1" t="s">
        <v>845</v>
      </c>
    </row>
    <row r="2618" customFormat="false" ht="17.15" hidden="false" customHeight="false" outlineLevel="0" collapsed="false">
      <c r="A2618" s="0" t="s">
        <v>846</v>
      </c>
      <c r="B2618" s="0" t="s">
        <v>98</v>
      </c>
      <c r="C2618" s="6" t="n">
        <f aca="false">Sens!C2598*Sens!C2616/1000</f>
        <v>18.0267076733333</v>
      </c>
      <c r="D2618" s="6" t="n">
        <f aca="false">Sens!D2598*Sens!D2616/1000</f>
        <v>27.2240075066667</v>
      </c>
      <c r="E2618" s="6" t="n">
        <f aca="false">Sens!E2598*Sens!E2616/1000</f>
        <v>54.08012302</v>
      </c>
      <c r="F2618" s="6" t="n">
        <f aca="false">(Sens!F2598+Sens!F2617)*Sens!F2616/1000</f>
        <v>104.738617497173</v>
      </c>
      <c r="G2618" s="6" t="n">
        <f aca="false">(Sens!G2598+Sens!G2617)*Sens!G2616/1000</f>
        <v>121.24364518656</v>
      </c>
      <c r="H2618" s="6" t="n">
        <f aca="false">(Sens!H2598+Sens!H2617)*Sens!H2616/1000</f>
        <v>124.84852952832</v>
      </c>
      <c r="I2618" s="6" t="n">
        <f aca="false">(Sens!I2598+Sens!I2617)*Sens!I2616/1000</f>
        <v>112.790311547396</v>
      </c>
      <c r="J2618" s="6" t="n">
        <f aca="false">(Sens!J2598+Sens!J2617)*Sens!J2616/1000</f>
        <v>90.6473004478738</v>
      </c>
      <c r="K2618" s="6" t="n">
        <f aca="false">(Sens!K2598+Sens!K2617)*Sens!K2616/1000</f>
        <v>92.9540731367669</v>
      </c>
    </row>
    <row r="2619" customFormat="false" ht="17.15" hidden="false" customHeight="false" outlineLevel="0" collapsed="false">
      <c r="A2619" s="0" t="s">
        <v>847</v>
      </c>
      <c r="B2619" s="0" t="s">
        <v>98</v>
      </c>
      <c r="C2619" s="6" t="n">
        <f aca="false">Sens!C2598*self_build*tk_cxfac/1000</f>
        <v>4.96664</v>
      </c>
      <c r="D2619" s="6" t="n">
        <f aca="false">Sens!D2598*self_build*tk_cxfac/1000</f>
        <v>7.50064</v>
      </c>
      <c r="E2619" s="6" t="n">
        <f aca="false">Sens!E2598*self_build*tk_cxfac/1000</f>
        <v>14.89992</v>
      </c>
      <c r="F2619" s="6" t="n">
        <f aca="false">Sens!F2598*self_build*tk_cxfac/1000</f>
        <v>23.5276832</v>
      </c>
      <c r="G2619" s="6" t="n">
        <f aca="false">Sens!G2598*self_build*tk_cxfac/1000</f>
        <v>25.6156992</v>
      </c>
      <c r="H2619" s="6" t="n">
        <f aca="false">Sens!H2598*self_build*tk_cxfac/1000</f>
        <v>25.6156992</v>
      </c>
      <c r="I2619" s="6" t="n">
        <f aca="false">Sens!I2598*self_build*tk_cxfac/1000</f>
        <v>18.175023776</v>
      </c>
      <c r="J2619" s="6" t="n">
        <f aca="false">Sens!J2598*self_build*tk_cxfac/1000</f>
        <v>11.09784882752</v>
      </c>
      <c r="K2619" s="6" t="n">
        <f aca="false">Sens!K2598*self_build*tk_cxfac/1000</f>
        <v>4.1718591061056</v>
      </c>
    </row>
    <row r="2620" customFormat="false" ht="17.15" hidden="false" customHeight="false" outlineLevel="0" collapsed="false">
      <c r="A2620" s="0" t="s">
        <v>848</v>
      </c>
      <c r="B2620" s="0" t="s">
        <v>98</v>
      </c>
      <c r="F2620" s="6" t="n">
        <f aca="false">MAX(0,capex_floor27-Sens!F2618-Sens!F2619-Sens!F2714)</f>
        <v>40.3543520732642</v>
      </c>
    </row>
    <row r="2621" customFormat="false" ht="17.15" hidden="false" customHeight="false" outlineLevel="0" collapsed="false">
      <c r="A2621" s="0" t="s">
        <v>849</v>
      </c>
      <c r="B2621" s="0" t="s">
        <v>98</v>
      </c>
      <c r="C2621" s="6" t="n">
        <f aca="false">Sens!C2618</f>
        <v>18.0267076733333</v>
      </c>
      <c r="D2621" s="6" t="n">
        <f aca="false">Sens!D2618</f>
        <v>27.2240075066667</v>
      </c>
      <c r="E2621" s="6" t="n">
        <f aca="false">Sens!E2618</f>
        <v>54.08012302</v>
      </c>
      <c r="F2621" s="6" t="n">
        <f aca="false">Sens!F2618</f>
        <v>104.738617497173</v>
      </c>
      <c r="G2621" s="6" t="n">
        <f aca="false">Sens!G2618</f>
        <v>121.24364518656</v>
      </c>
      <c r="H2621" s="6" t="n">
        <f aca="false">Sens!H2618</f>
        <v>124.84852952832</v>
      </c>
      <c r="I2621" s="6" t="n">
        <f aca="false">Sens!I2618</f>
        <v>112.790311547396</v>
      </c>
      <c r="J2621" s="6" t="n">
        <f aca="false">Sens!J2618</f>
        <v>90.6473004478738</v>
      </c>
      <c r="K2621" s="6" t="n">
        <f aca="false">Sens!K2618</f>
        <v>92.9540731367669</v>
      </c>
    </row>
    <row r="2622" customFormat="false" ht="17.15" hidden="false" customHeight="false" outlineLevel="0" collapsed="false">
      <c r="A2622" s="0" t="s">
        <v>850</v>
      </c>
      <c r="B2622" s="0" t="s">
        <v>98</v>
      </c>
      <c r="C2622" s="6" t="n">
        <f aca="false">Sens!C2621+Sens!C2619</f>
        <v>22.9933476733333</v>
      </c>
      <c r="D2622" s="6" t="n">
        <f aca="false">Sens!D2621+Sens!D2619</f>
        <v>34.7246475066667</v>
      </c>
      <c r="E2622" s="6" t="n">
        <f aca="false">Sens!E2621+Sens!E2619</f>
        <v>68.98004302</v>
      </c>
      <c r="F2622" s="6" t="n">
        <f aca="false">Sens!F2621+Sens!F2619</f>
        <v>128.266300697173</v>
      </c>
      <c r="G2622" s="6" t="n">
        <f aca="false">Sens!G2621+Sens!G2619</f>
        <v>146.85934438656</v>
      </c>
      <c r="H2622" s="6" t="n">
        <f aca="false">Sens!H2621+Sens!H2619</f>
        <v>150.46422872832</v>
      </c>
      <c r="I2622" s="6" t="n">
        <f aca="false">Sens!I2621+Sens!I2619</f>
        <v>130.965335323396</v>
      </c>
      <c r="J2622" s="6" t="n">
        <f aca="false">Sens!J2621+Sens!J2619</f>
        <v>101.745149275394</v>
      </c>
      <c r="K2622" s="6" t="n">
        <f aca="false">Sens!K2621+Sens!K2619</f>
        <v>97.1259322428725</v>
      </c>
      <c r="L2622" s="11" t="s">
        <v>851</v>
      </c>
    </row>
    <row r="2623" customFormat="false" ht="17.15" hidden="false" customHeight="false" outlineLevel="0" collapsed="false">
      <c r="A2623" s="0" t="s">
        <v>852</v>
      </c>
      <c r="B2623" s="0" t="s">
        <v>98</v>
      </c>
      <c r="E2623" s="6" t="n">
        <f aca="false">(Sens!C2621*IF(2&lt;life_it,1,IF(2=life_it,0.5,0))+Sens!D2621*IF(1&lt;life_it,1,IF(1=life_it,0.5,0))+Sens!E2621*0.5)/life_it</f>
        <v>12.0484627816667</v>
      </c>
      <c r="F2623" s="6" t="n">
        <f aca="false">(Sens!C2621*IF(3&lt;life_it,1,IF(3=life_it,0.5,0))+Sens!D2621*IF(2&lt;life_it,1,IF(2=life_it,0.5,0))+Sens!E2621*IF(1&lt;life_it,1,IF(1=life_it,0.5,0))+Sens!F2621*0.5)/life_it</f>
        <v>25.2833578247644</v>
      </c>
      <c r="G2623" s="6" t="n">
        <f aca="false">(Sens!C2621*IF(4&lt;life_it,1,IF(4=life_it,0.5,0))+Sens!D2621*IF(3&lt;life_it,1,IF(3=life_it,0.5,0))+Sens!E2621*IF(2&lt;life_it,1,IF(2=life_it,0.5,0))+Sens!F2621*IF(1&lt;life_it,1,IF(1=life_it,0.5,0))+Sens!G2621*0.5)/life_it</f>
        <v>44.1152130484089</v>
      </c>
      <c r="H2623" s="6" t="n">
        <f aca="false">(Sens!C2621*IF(5&lt;life_it,1,IF(5=life_it,0.5,0))+Sens!D2621*IF(4&lt;life_it,1,IF(4=life_it,0.5,0))+Sens!E2621*IF(3&lt;life_it,1,IF(3=life_it,0.5,0))+Sens!F2621*IF(2&lt;life_it,1,IF(2=life_it,0.5,0))+Sens!G2621*IF(1&lt;life_it,1,IF(1=life_it,0.5,0))+Sens!H2621*0.5)/life_it</f>
        <v>64.6228942746489</v>
      </c>
      <c r="I2623" s="6" t="n">
        <f aca="false">(Sens!C2621*IF(6&lt;life_it,1,IF(6=life_it,0.5,0))+Sens!D2621*IF(5&lt;life_it,1,IF(5=life_it,0.5,0))+Sens!E2621*IF(4&lt;life_it,1,IF(4=life_it,0.5,0))+Sens!F2621*IF(3&lt;life_it,1,IF(3=life_it,0.5,0))+Sens!G2621*IF(2&lt;life_it,1,IF(2=life_it,0.5,0))+Sens!H2621*IF(1&lt;life_it,1,IF(1=life_it,0.5,0))+Sens!I2621*0.5)/life_it</f>
        <v>82.9239053915141</v>
      </c>
      <c r="J2623" s="6" t="n">
        <f aca="false">(Sens!C2621*IF(7&lt;life_it,1,IF(7=life_it,0.5,0))+Sens!D2621*IF(6&lt;life_it,1,IF(6=life_it,0.5,0))+Sens!E2621*IF(5&lt;life_it,1,IF(5=life_it,0.5,0))+Sens!F2621*IF(4&lt;life_it,1,IF(4=life_it,0.5,0))+Sens!G2621*IF(3&lt;life_it,1,IF(3=life_it,0.5,0))+Sens!H2621*IF(2&lt;life_it,1,IF(2=life_it,0.5,0))+Sens!I2621*IF(1&lt;life_it,1,IF(1=life_it,0.5,0))+Sens!J2621*0.5)/life_it</f>
        <v>96.1061467927866</v>
      </c>
      <c r="K2623" s="6" t="n">
        <f aca="false">(Sens!C2621*IF(8&lt;life_it,1,IF(8=life_it,0.5,0))+Sens!D2621*IF(7&lt;life_it,1,IF(7=life_it,0.5,0))+Sens!E2621*IF(6&lt;life_it,1,IF(6=life_it,0.5,0))+Sens!F2621*IF(5&lt;life_it,1,IF(5=life_it,0.5,0))+Sens!G2621*IF(4&lt;life_it,1,IF(4=life_it,0.5,0))+Sens!H2621*IF(3&lt;life_it,1,IF(3=life_it,0.5,0))+Sens!I2621*IF(2&lt;life_it,1,IF(2=life_it,0.5,0))+Sens!J2621*IF(1&lt;life_it,1,IF(1=life_it,0.5,0))+Sens!K2621*0.5)/life_it</f>
        <v>104.630917047618</v>
      </c>
    </row>
    <row r="2624" customFormat="false" ht="17.15" hidden="false" customHeight="false" outlineLevel="0" collapsed="false">
      <c r="A2624" s="0" t="s">
        <v>853</v>
      </c>
      <c r="B2624" s="0" t="s">
        <v>98</v>
      </c>
      <c r="E2624" s="6" t="n">
        <f aca="false">(Sens!C2619*IF(2&lt;life_fac,1,IF(2=life_fac,0.5,0))+Sens!D2619*IF(1&lt;life_fac,1,IF(1=life_fac,0.5,0))+Sens!E2619*0.5)/life_fac</f>
        <v>0.995862</v>
      </c>
      <c r="F2624" s="6" t="n">
        <f aca="false">(Sens!C2619*IF(3&lt;life_fac,1,IF(3=life_fac,0.5,0))+Sens!D2619*IF(2&lt;life_fac,1,IF(2=life_fac,0.5,0))+Sens!E2619*IF(1&lt;life_fac,1,IF(1=life_fac,0.5,0))+Sens!F2619*0.5)/life_fac</f>
        <v>1.95655208</v>
      </c>
      <c r="G2624" s="6" t="n">
        <f aca="false">(Sens!C2619*IF(4&lt;life_fac,1,IF(4=life_fac,0.5,0))+Sens!D2619*IF(3&lt;life_fac,1,IF(3=life_fac,0.5,0))+Sens!E2619*IF(2&lt;life_fac,1,IF(2=life_fac,0.5,0))+Sens!F2619*IF(1&lt;life_fac,1,IF(1=life_fac,0.5,0))+Sens!G2619*0.5)/life_fac</f>
        <v>3.18513664</v>
      </c>
      <c r="H2624" s="6" t="n">
        <f aca="false">(Sens!C2619*IF(5&lt;life_fac,1,IF(5=life_fac,0.5,0))+Sens!D2619*IF(4&lt;life_fac,1,IF(4=life_fac,0.5,0))+Sens!E2619*IF(3&lt;life_fac,1,IF(3=life_fac,0.5,0))+Sens!F2619*IF(2&lt;life_fac,1,IF(2=life_fac,0.5,0))+Sens!G2619*IF(1&lt;life_fac,1,IF(1=life_fac,0.5,0))+Sens!H2619*0.5)/life_fac</f>
        <v>4.4659216</v>
      </c>
      <c r="I2624" s="6" t="n">
        <f aca="false">(Sens!C2619*IF(6&lt;life_fac,1,IF(6=life_fac,0.5,0))+Sens!D2619*IF(5&lt;life_fac,1,IF(5=life_fac,0.5,0))+Sens!E2619*IF(4&lt;life_fac,1,IF(4=life_fac,0.5,0))+Sens!F2619*IF(3&lt;life_fac,1,IF(3=life_fac,0.5,0))+Sens!G2619*IF(2&lt;life_fac,1,IF(2=life_fac,0.5,0))+Sens!H2619*IF(1&lt;life_fac,1,IF(1=life_fac,0.5,0))+Sens!I2619*0.5)/life_fac</f>
        <v>5.5606896744</v>
      </c>
      <c r="J2624" s="6" t="n">
        <f aca="false">(Sens!C2619*IF(7&lt;life_fac,1,IF(7=life_fac,0.5,0))+Sens!D2619*IF(6&lt;life_fac,1,IF(6=life_fac,0.5,0))+Sens!E2619*IF(5&lt;life_fac,1,IF(5=life_fac,0.5,0))+Sens!F2619*IF(4&lt;life_fac,1,IF(4=life_fac,0.5,0))+Sens!G2619*IF(3&lt;life_fac,1,IF(3=life_fac,0.5,0))+Sens!H2619*IF(2&lt;life_fac,1,IF(2=life_fac,0.5,0))+Sens!I2619*IF(1&lt;life_fac,1,IF(1=life_fac,0.5,0))+Sens!J2619*0.5)/life_fac</f>
        <v>6.292511489488</v>
      </c>
      <c r="K2624" s="6" t="n">
        <f aca="false">(Sens!C2619*IF(8&lt;life_fac,1,IF(8=life_fac,0.5,0))+Sens!D2619*IF(7&lt;life_fac,1,IF(7=life_fac,0.5,0))+Sens!E2619*IF(6&lt;life_fac,1,IF(6=life_fac,0.5,0))+Sens!F2619*IF(5&lt;life_fac,1,IF(5=life_fac,0.5,0))+Sens!G2619*IF(4&lt;life_fac,1,IF(4=life_fac,0.5,0))+Sens!H2619*IF(3&lt;life_fac,1,IF(3=life_fac,0.5,0))+Sens!I2619*IF(2&lt;life_fac,1,IF(2=life_fac,0.5,0))+Sens!J2619*IF(1&lt;life_fac,1,IF(1=life_fac,0.5,0))+Sens!K2619*0.5)/life_fac</f>
        <v>6.67425418782864</v>
      </c>
    </row>
    <row r="2625" customFormat="false" ht="17.15" hidden="false" customHeight="false" outlineLevel="0" collapsed="false">
      <c r="A2625" s="0" t="s">
        <v>854</v>
      </c>
      <c r="B2625" s="0" t="s">
        <v>98</v>
      </c>
      <c r="E2625" s="6" t="n">
        <f aca="false">Sens!E2623+Sens!E2624</f>
        <v>13.0443247816667</v>
      </c>
      <c r="F2625" s="6" t="n">
        <f aca="false">Sens!F2623+Sens!F2624</f>
        <v>27.2399099047645</v>
      </c>
      <c r="G2625" s="6" t="n">
        <f aca="false">Sens!G2623+Sens!G2624</f>
        <v>47.3003496884089</v>
      </c>
      <c r="H2625" s="6" t="n">
        <f aca="false">Sens!H2623+Sens!H2624</f>
        <v>69.0888158746489</v>
      </c>
      <c r="I2625" s="6" t="n">
        <f aca="false">Sens!I2623+Sens!I2624</f>
        <v>88.4845950659141</v>
      </c>
      <c r="J2625" s="6" t="n">
        <f aca="false">Sens!J2623+Sens!J2624</f>
        <v>102.398658282275</v>
      </c>
      <c r="K2625" s="6" t="n">
        <f aca="false">Sens!K2623+Sens!K2624</f>
        <v>111.305171235446</v>
      </c>
    </row>
    <row r="2626" customFormat="false" ht="17.15" hidden="false" customHeight="false" outlineLevel="0" collapsed="false">
      <c r="A2626" s="0" t="s">
        <v>855</v>
      </c>
      <c r="B2626" s="0" t="s">
        <v>98</v>
      </c>
      <c r="E2626" s="6" t="n">
        <f aca="false">Sens!E2614-Sens!E2613*Sens!E2625</f>
        <v>8.92707889977379</v>
      </c>
      <c r="F2626" s="6" t="n">
        <f aca="false">Sens!F2614-Sens!F2613*Sens!F2625</f>
        <v>19.0295083206205</v>
      </c>
      <c r="G2626" s="6" t="n">
        <f aca="false">Sens!G2614-Sens!G2613*Sens!G2625</f>
        <v>31.0774922914995</v>
      </c>
      <c r="H2626" s="6" t="n">
        <f aca="false">Sens!H2614-Sens!H2613*Sens!H2625</f>
        <v>43.4030330778723</v>
      </c>
      <c r="I2626" s="6" t="n">
        <f aca="false">Sens!I2614-Sens!I2613*Sens!I2625</f>
        <v>54.3591447183526</v>
      </c>
      <c r="J2626" s="6" t="n">
        <f aca="false">Sens!J2614-Sens!J2613*Sens!J2625</f>
        <v>62.0539899656947</v>
      </c>
      <c r="K2626" s="6" t="n">
        <f aca="false">Sens!K2614-Sens!K2613*Sens!K2625</f>
        <v>67.5792921529811</v>
      </c>
    </row>
    <row r="2627" customFormat="false" ht="17.15" hidden="false" customHeight="false" outlineLevel="0" collapsed="false">
      <c r="A2627" s="3" t="s">
        <v>1328</v>
      </c>
    </row>
    <row r="2628" customFormat="false" ht="15" hidden="false" customHeight="false" outlineLevel="0" collapsed="false">
      <c r="A2628" s="4" t="s">
        <v>43</v>
      </c>
      <c r="B2628" s="4" t="s">
        <v>65</v>
      </c>
      <c r="C2628" s="20" t="s">
        <v>799</v>
      </c>
      <c r="D2628" s="20" t="s">
        <v>800</v>
      </c>
      <c r="E2628" s="20" t="s">
        <v>801</v>
      </c>
      <c r="F2628" s="20" t="s">
        <v>802</v>
      </c>
      <c r="G2628" s="20" t="s">
        <v>803</v>
      </c>
      <c r="H2628" s="20" t="s">
        <v>804</v>
      </c>
      <c r="I2628" s="20" t="s">
        <v>805</v>
      </c>
      <c r="J2628" s="20" t="s">
        <v>806</v>
      </c>
      <c r="K2628" s="20" t="s">
        <v>807</v>
      </c>
      <c r="L2628" s="4" t="s">
        <v>47</v>
      </c>
    </row>
    <row r="2629" customFormat="false" ht="17.15" hidden="false" customHeight="false" outlineLevel="0" collapsed="false">
      <c r="A2629" s="0" t="s">
        <v>874</v>
      </c>
      <c r="B2629" s="0" t="s">
        <v>98</v>
      </c>
      <c r="D2629" s="6" t="n">
        <f aca="false">Sens!D2608</f>
        <v>12.9359794422418</v>
      </c>
      <c r="E2629" s="6" t="n">
        <f aca="false">Sens!E2608</f>
        <v>27.8095064661409</v>
      </c>
      <c r="F2629" s="6" t="n">
        <f aca="false">Sens!F2608</f>
        <v>55.0640065749585</v>
      </c>
      <c r="G2629" s="6" t="n">
        <f aca="false">Sens!G2608</f>
        <v>89.4505413190538</v>
      </c>
      <c r="H2629" s="6" t="n">
        <f aca="false">Sens!H2608</f>
        <v>124.835630736874</v>
      </c>
      <c r="I2629" s="6" t="n">
        <f aca="false">Sens!I2608</f>
        <v>156.158460265485</v>
      </c>
      <c r="J2629" s="6" t="n">
        <f aca="false">Sens!J2608</f>
        <v>178.259285293112</v>
      </c>
      <c r="K2629" s="6" t="n">
        <f aca="false">Sens!K2608</f>
        <v>192.733290209798</v>
      </c>
    </row>
    <row r="2630" customFormat="false" ht="17.15" hidden="false" customHeight="false" outlineLevel="0" collapsed="false">
      <c r="A2630" s="0" t="s">
        <v>875</v>
      </c>
      <c r="B2630" s="0" t="s">
        <v>98</v>
      </c>
      <c r="D2630" s="6" t="n">
        <f aca="false">Q!L6-Sens!D2629</f>
        <v>59.6740205577583</v>
      </c>
      <c r="E2630" s="6" t="n">
        <f aca="false">Q!M6-Sens!E2629</f>
        <v>74.1284935338591</v>
      </c>
      <c r="F2630" s="6" t="n">
        <f aca="false">Sens!E2630*(1+Sens!F2631)</f>
        <v>90.0799497373663</v>
      </c>
      <c r="G2630" s="6" t="n">
        <f aca="false">Sens!F2630*(1+Sens!G2631)</f>
        <v>107.02842520331</v>
      </c>
      <c r="H2630" s="6" t="n">
        <f aca="false">Sens!G2630*(1+Sens!H2631)</f>
        <v>124.271982585636</v>
      </c>
      <c r="I2630" s="6" t="n">
        <f aca="false">Sens!H2630*(1+Sens!I2631)</f>
        <v>140.933702381855</v>
      </c>
      <c r="J2630" s="6" t="n">
        <f aca="false">Sens!I2630*(1+Sens!J2631)</f>
        <v>156.018867314332</v>
      </c>
      <c r="K2630" s="6" t="n">
        <f aca="false">Sens!J2630*(1+Sens!K2631)</f>
        <v>168.500376699478</v>
      </c>
    </row>
    <row r="2631" customFormat="false" ht="15" hidden="false" customHeight="false" outlineLevel="0" collapsed="false">
      <c r="A2631" s="1" t="s">
        <v>876</v>
      </c>
      <c r="B2631" s="0" t="s">
        <v>129</v>
      </c>
      <c r="E2631" s="7" t="n">
        <f aca="false">Sens!E2630/Sens!D2630-1</f>
        <v>0.242223883039864</v>
      </c>
      <c r="F2631" s="7" t="n">
        <f aca="false">Sens!$E$2631+(glt_azo-Sens!$E$2631)*MIN(1,(Sens!F2591-base_fy)/n_conv)</f>
        <v>0.215186569199887</v>
      </c>
      <c r="G2631" s="7" t="n">
        <f aca="false">Sens!$E$2631+(glt_azo-Sens!$E$2631)*MIN(1,(Sens!G2591-base_fy)/n_conv)</f>
        <v>0.18814925535991</v>
      </c>
      <c r="H2631" s="7" t="n">
        <f aca="false">Sens!$E$2631+(glt_azo-Sens!$E$2631)*MIN(1,(Sens!H2591-base_fy)/n_conv)</f>
        <v>0.161111941519932</v>
      </c>
      <c r="I2631" s="7" t="n">
        <f aca="false">Sens!$E$2631+(glt_azo-Sens!$E$2631)*MIN(1,(Sens!I2591-base_fy)/n_conv)</f>
        <v>0.134074627679955</v>
      </c>
      <c r="J2631" s="7" t="n">
        <f aca="false">Sens!$E$2631+(glt_azo-Sens!$E$2631)*MIN(1,(Sens!J2591-base_fy)/n_conv)</f>
        <v>0.107037313839977</v>
      </c>
      <c r="K2631" s="7" t="n">
        <f aca="false">Sens!$E$2631+(glt_azo-Sens!$E$2631)*MIN(1,(Sens!K2591-base_fy)/n_conv)</f>
        <v>0.08</v>
      </c>
    </row>
    <row r="2632" customFormat="false" ht="15" hidden="false" customHeight="false" outlineLevel="0" collapsed="false">
      <c r="A2632" s="0" t="s">
        <v>877</v>
      </c>
      <c r="B2632" s="0" t="s">
        <v>98</v>
      </c>
      <c r="D2632" s="6" t="n">
        <f aca="false">Sens!D2629+Sens!D2630</f>
        <v>72.61</v>
      </c>
      <c r="E2632" s="6" t="n">
        <f aca="false">Sens!E2629+Sens!E2630</f>
        <v>101.938</v>
      </c>
      <c r="F2632" s="6" t="n">
        <f aca="false">Sens!F2629+Sens!F2630</f>
        <v>145.143956312325</v>
      </c>
      <c r="G2632" s="6" t="n">
        <f aca="false">Sens!G2629+Sens!G2630</f>
        <v>196.478966522364</v>
      </c>
      <c r="H2632" s="6" t="n">
        <f aca="false">Sens!H2629+Sens!H2630</f>
        <v>249.10761332251</v>
      </c>
      <c r="I2632" s="6" t="n">
        <f aca="false">Sens!I2629+Sens!I2630</f>
        <v>297.09216264734</v>
      </c>
      <c r="J2632" s="6" t="n">
        <f aca="false">Sens!J2629+Sens!J2630</f>
        <v>334.278152607443</v>
      </c>
      <c r="K2632" s="6" t="n">
        <f aca="false">Sens!K2629+Sens!K2630</f>
        <v>361.233666909276</v>
      </c>
    </row>
    <row r="2633" customFormat="false" ht="17.15" hidden="false" customHeight="false" outlineLevel="0" collapsed="false">
      <c r="A2633" s="0" t="s">
        <v>878</v>
      </c>
      <c r="B2633" s="1" t="s">
        <v>528</v>
      </c>
      <c r="C2633" s="29" t="n">
        <f aca="false">cop_s24</f>
        <v>1</v>
      </c>
      <c r="D2633" s="29" t="n">
        <f aca="false">cop_s25</f>
        <v>5</v>
      </c>
      <c r="E2633" s="29" t="n">
        <f aca="false">cop_s26</f>
        <v>30</v>
      </c>
      <c r="F2633" s="29" t="n">
        <f aca="false">Sens!E2633+cop_add_B</f>
        <v>50</v>
      </c>
      <c r="G2633" s="29" t="n">
        <f aca="false">Sens!F2633+cop_add_B</f>
        <v>70</v>
      </c>
      <c r="H2633" s="29" t="n">
        <f aca="false">Sens!G2633+cop_add_B</f>
        <v>90</v>
      </c>
      <c r="I2633" s="29" t="n">
        <f aca="false">Sens!H2633+cop_add_B*cop_tail</f>
        <v>100</v>
      </c>
      <c r="J2633" s="29" t="n">
        <f aca="false">Sens!I2633+cop_add_B*cop_tail</f>
        <v>110</v>
      </c>
      <c r="K2633" s="29" t="n">
        <f aca="false">Sens!J2633+cop_add_B*cop_tail</f>
        <v>120</v>
      </c>
      <c r="L2633" s="11" t="s">
        <v>879</v>
      </c>
    </row>
    <row r="2634" customFormat="false" ht="17.15" hidden="false" customHeight="false" outlineLevel="0" collapsed="false">
      <c r="A2634" s="0" t="s">
        <v>880</v>
      </c>
      <c r="B2634" s="0" t="s">
        <v>98</v>
      </c>
      <c r="D2634" s="6" t="n">
        <f aca="false">(Sens!C2633+Sens!D2633)/2*cop_px*12/1000</f>
        <v>0.9</v>
      </c>
      <c r="E2634" s="6" t="n">
        <f aca="false">(Sens!D2633+Sens!E2633)/2*cop_px*12/1000</f>
        <v>5.25</v>
      </c>
      <c r="F2634" s="6" t="n">
        <f aca="false">(Sens!E2633+Sens!F2633)/2*cop_px*12/1000</f>
        <v>12</v>
      </c>
      <c r="G2634" s="6" t="n">
        <f aca="false">(Sens!F2633+Sens!G2633)/2*cop_px*12/1000</f>
        <v>18</v>
      </c>
      <c r="H2634" s="6" t="n">
        <f aca="false">(Sens!G2633+Sens!H2633)/2*cop_px*12/1000</f>
        <v>24</v>
      </c>
      <c r="I2634" s="6" t="n">
        <f aca="false">(Sens!H2633+Sens!I2633)/2*cop_px*12/1000</f>
        <v>28.5</v>
      </c>
      <c r="J2634" s="6" t="n">
        <f aca="false">(Sens!I2633+Sens!J2633)/2*cop_px*12/1000</f>
        <v>31.5</v>
      </c>
      <c r="K2634" s="6" t="n">
        <f aca="false">(Sens!J2633+Sens!K2633)/2*cop_px*12/1000</f>
        <v>34.5</v>
      </c>
      <c r="L2634" s="1" t="s">
        <v>881</v>
      </c>
    </row>
    <row r="2635" customFormat="false" ht="17.15" hidden="false" customHeight="false" outlineLevel="0" collapsed="false">
      <c r="A2635" s="0" t="s">
        <v>882</v>
      </c>
      <c r="B2635" s="0" t="s">
        <v>98</v>
      </c>
      <c r="D2635" s="6" t="n">
        <f aca="false">Q!L7-Sens!D2634</f>
        <v>83.705</v>
      </c>
      <c r="E2635" s="6" t="n">
        <f aca="false">Q!M7-Sens!E2634</f>
        <v>95.049</v>
      </c>
      <c r="F2635" s="6" t="n">
        <f aca="false">Sens!E2635*(1+Sens!F2636)</f>
        <v>106.89238776686</v>
      </c>
      <c r="G2635" s="6" t="n">
        <f aca="false">Sens!F2635*(1+Sens!G2636)</f>
        <v>119.044168448684</v>
      </c>
      <c r="H2635" s="6" t="n">
        <f aca="false">Sens!G2635*(1+Sens!H2636)</f>
        <v>131.277359388781</v>
      </c>
      <c r="I2635" s="6" t="n">
        <f aca="false">Sens!H2635*(1+Sens!I2636)</f>
        <v>143.334028071957</v>
      </c>
      <c r="J2635" s="6" t="n">
        <f aca="false">Sens!I2635*(1+Sens!J2636)</f>
        <v>154.932702785465</v>
      </c>
      <c r="K2635" s="6" t="n">
        <f aca="false">Sens!J2635*(1+Sens!K2636)</f>
        <v>165.777991980448</v>
      </c>
    </row>
    <row r="2636" customFormat="false" ht="15" hidden="false" customHeight="false" outlineLevel="0" collapsed="false">
      <c r="A2636" s="1" t="s">
        <v>876</v>
      </c>
      <c r="B2636" s="0" t="s">
        <v>129</v>
      </c>
      <c r="E2636" s="7" t="n">
        <f aca="false">Sens!E2635/Sens!D2635-1</f>
        <v>0.135523564900544</v>
      </c>
      <c r="F2636" s="7" t="n">
        <f aca="false">Sens!$E$2636+(glt_m365b-Sens!$E$2636)*MIN(1,(Sens!F2591-base_fy)/n_conv)</f>
        <v>0.124602970750453</v>
      </c>
      <c r="G2636" s="7" t="n">
        <f aca="false">Sens!$E$2636+(glt_m365b-Sens!$E$2636)*MIN(1,(Sens!G2591-base_fy)/n_conv)</f>
        <v>0.113682376600363</v>
      </c>
      <c r="H2636" s="7" t="n">
        <f aca="false">Sens!$E$2636+(glt_m365b-Sens!$E$2636)*MIN(1,(Sens!H2591-base_fy)/n_conv)</f>
        <v>0.102761782450272</v>
      </c>
      <c r="I2636" s="7" t="n">
        <f aca="false">Sens!$E$2636+(glt_m365b-Sens!$E$2636)*MIN(1,(Sens!I2591-base_fy)/n_conv)</f>
        <v>0.0918411883001813</v>
      </c>
      <c r="J2636" s="7" t="n">
        <f aca="false">Sens!$E$2636+(glt_m365b-Sens!$E$2636)*MIN(1,(Sens!J2591-base_fy)/n_conv)</f>
        <v>0.0809205941500906</v>
      </c>
      <c r="K2636" s="7" t="n">
        <f aca="false">Sens!$E$2636+(glt_m365b-Sens!$E$2636)*MIN(1,(Sens!K2591-base_fy)/n_conv)</f>
        <v>0.07</v>
      </c>
    </row>
    <row r="2637" customFormat="false" ht="15" hidden="false" customHeight="false" outlineLevel="0" collapsed="false">
      <c r="A2637" s="0" t="s">
        <v>883</v>
      </c>
      <c r="B2637" s="0" t="s">
        <v>98</v>
      </c>
      <c r="D2637" s="6" t="n">
        <f aca="false">Sens!D2635+Sens!D2634</f>
        <v>84.605</v>
      </c>
      <c r="E2637" s="6" t="n">
        <f aca="false">Sens!E2635+Sens!E2634</f>
        <v>100.299</v>
      </c>
      <c r="F2637" s="6" t="n">
        <f aca="false">Sens!F2635+Sens!F2634</f>
        <v>118.89238776686</v>
      </c>
      <c r="G2637" s="6" t="n">
        <f aca="false">Sens!G2635+Sens!G2634</f>
        <v>137.044168448684</v>
      </c>
      <c r="H2637" s="6" t="n">
        <f aca="false">Sens!H2635+Sens!H2634</f>
        <v>155.277359388781</v>
      </c>
      <c r="I2637" s="6" t="n">
        <f aca="false">Sens!I2635+Sens!I2634</f>
        <v>171.834028071957</v>
      </c>
      <c r="J2637" s="6" t="n">
        <f aca="false">Sens!J2635+Sens!J2634</f>
        <v>186.432702785465</v>
      </c>
      <c r="K2637" s="6" t="n">
        <f aca="false">Sens!K2635+Sens!K2634</f>
        <v>200.277991980448</v>
      </c>
    </row>
    <row r="2638" customFormat="false" ht="15" hidden="false" customHeight="false" outlineLevel="0" collapsed="false">
      <c r="A2638" s="0" t="s">
        <v>884</v>
      </c>
      <c r="B2638" s="0" t="s">
        <v>98</v>
      </c>
      <c r="D2638" s="6" t="n">
        <f aca="false">Q!L8</f>
        <v>35.391</v>
      </c>
      <c r="E2638" s="6" t="n">
        <f aca="false">Q!M8</f>
        <v>37.285</v>
      </c>
      <c r="F2638" s="6" t="n">
        <f aca="false">Sens!E2638*(1+Sens!F2639)</f>
        <v>39.0720834331704</v>
      </c>
      <c r="G2638" s="6" t="n">
        <f aca="false">Sens!F2638*(1+Sens!G2639)</f>
        <v>40.726562953769</v>
      </c>
      <c r="H2638" s="6" t="n">
        <f aca="false">Sens!G2638*(1+Sens!H2639)</f>
        <v>42.2235987259198</v>
      </c>
      <c r="I2638" s="6" t="n">
        <f aca="false">Sens!H2638*(1+Sens!I2639)</f>
        <v>43.5397988077414</v>
      </c>
      <c r="J2638" s="6" t="n">
        <f aca="false">Sens!I2638*(1+Sens!J2639)</f>
        <v>44.653811225693</v>
      </c>
      <c r="K2638" s="6" t="n">
        <f aca="false">Sens!J2638*(1+Sens!K2639)</f>
        <v>45.5468874502068</v>
      </c>
    </row>
    <row r="2639" customFormat="false" ht="15" hidden="false" customHeight="false" outlineLevel="0" collapsed="false">
      <c r="A2639" s="1" t="s">
        <v>876</v>
      </c>
      <c r="B2639" s="0" t="s">
        <v>129</v>
      </c>
      <c r="E2639" s="7" t="n">
        <f aca="false">Sens!E2638/Sens!D2638-1</f>
        <v>0.0535164307309768</v>
      </c>
      <c r="F2639" s="7" t="n">
        <f aca="false">Sens!$E$2639+(glt_lic-Sens!$E$2639)*MIN(1,(Sens!F2591-base_fy)/n_conv)</f>
        <v>0.0479303589424807</v>
      </c>
      <c r="G2639" s="7" t="n">
        <f aca="false">Sens!$E$2639+(glt_lic-Sens!$E$2639)*MIN(1,(Sens!G2591-base_fy)/n_conv)</f>
        <v>0.0423442871539845</v>
      </c>
      <c r="H2639" s="7" t="n">
        <f aca="false">Sens!$E$2639+(glt_lic-Sens!$E$2639)*MIN(1,(Sens!H2591-base_fy)/n_conv)</f>
        <v>0.0367582153654884</v>
      </c>
      <c r="I2639" s="7" t="n">
        <f aca="false">Sens!$E$2639+(glt_lic-Sens!$E$2639)*MIN(1,(Sens!I2591-base_fy)/n_conv)</f>
        <v>0.0311721435769923</v>
      </c>
      <c r="J2639" s="7" t="n">
        <f aca="false">Sens!$E$2639+(glt_lic-Sens!$E$2639)*MIN(1,(Sens!J2591-base_fy)/n_conv)</f>
        <v>0.0255860717884961</v>
      </c>
      <c r="K2639" s="7" t="n">
        <f aca="false">Sens!$E$2639+(glt_lic-Sens!$E$2639)*MIN(1,(Sens!K2591-base_fy)/n_conv)</f>
        <v>0.02</v>
      </c>
    </row>
    <row r="2640" customFormat="false" ht="15" hidden="false" customHeight="false" outlineLevel="0" collapsed="false">
      <c r="A2640" s="0" t="s">
        <v>885</v>
      </c>
      <c r="B2640" s="0" t="s">
        <v>98</v>
      </c>
      <c r="D2640" s="6" t="n">
        <f aca="false">Q!L9</f>
        <v>18.417</v>
      </c>
      <c r="E2640" s="6" t="n">
        <f aca="false">Q!M9</f>
        <v>20.345</v>
      </c>
      <c r="F2640" s="6" t="n">
        <f aca="false">Sens!E2640*(1+Sens!F2641)</f>
        <v>22.3572203267814</v>
      </c>
      <c r="G2640" s="6" t="n">
        <f aca="false">Sens!F2640*(1+Sens!G2641)</f>
        <v>24.4392124437232</v>
      </c>
      <c r="H2640" s="6" t="n">
        <f aca="false">Sens!G2640*(1+Sens!H2641)</f>
        <v>26.5738052080665</v>
      </c>
      <c r="I2640" s="6" t="n">
        <f aca="false">Sens!H2640*(1+Sens!I2641)</f>
        <v>28.7412169166967</v>
      </c>
      <c r="J2640" s="6" t="n">
        <f aca="false">Sens!I2640*(1+Sens!J2641)</f>
        <v>30.9192545395413</v>
      </c>
      <c r="K2640" s="6" t="n">
        <f aca="false">Sens!J2640*(1+Sens!K2641)</f>
        <v>33.0836023573092</v>
      </c>
    </row>
    <row r="2641" customFormat="false" ht="15" hidden="false" customHeight="false" outlineLevel="0" collapsed="false">
      <c r="A2641" s="1" t="s">
        <v>876</v>
      </c>
      <c r="B2641" s="0" t="s">
        <v>129</v>
      </c>
      <c r="E2641" s="7" t="n">
        <f aca="false">Sens!E2640/Sens!D2640-1</f>
        <v>0.104685888038225</v>
      </c>
      <c r="F2641" s="7" t="n">
        <f aca="false">Sens!$E$2641+(glt_ind-Sens!$E$2641)*MIN(1,(Sens!F2591-base_fy)/n_conv)</f>
        <v>0.0989049066985211</v>
      </c>
      <c r="G2641" s="7" t="n">
        <f aca="false">Sens!$E$2641+(glt_ind-Sens!$E$2641)*MIN(1,(Sens!G2591-base_fy)/n_conv)</f>
        <v>0.0931239253588169</v>
      </c>
      <c r="H2641" s="7" t="n">
        <f aca="false">Sens!$E$2641+(glt_ind-Sens!$E$2641)*MIN(1,(Sens!H2591-base_fy)/n_conv)</f>
        <v>0.0873429440191127</v>
      </c>
      <c r="I2641" s="7" t="n">
        <f aca="false">Sens!$E$2641+(glt_ind-Sens!$E$2641)*MIN(1,(Sens!I2591-base_fy)/n_conv)</f>
        <v>0.0815619626794085</v>
      </c>
      <c r="J2641" s="7" t="n">
        <f aca="false">Sens!$E$2641+(glt_ind-Sens!$E$2641)*MIN(1,(Sens!J2591-base_fy)/n_conv)</f>
        <v>0.0757809813397042</v>
      </c>
      <c r="K2641" s="7" t="n">
        <f aca="false">Sens!$E$2641+(glt_ind-Sens!$E$2641)*MIN(1,(Sens!K2591-base_fy)/n_conv)</f>
        <v>0.07</v>
      </c>
    </row>
    <row r="2642" customFormat="false" ht="15" hidden="false" customHeight="false" outlineLevel="0" collapsed="false">
      <c r="A2642" s="0" t="s">
        <v>886</v>
      </c>
      <c r="B2642" s="0" t="s">
        <v>98</v>
      </c>
      <c r="D2642" s="6" t="n">
        <f aca="false">Q!L10</f>
        <v>7.76</v>
      </c>
      <c r="E2642" s="6" t="n">
        <f aca="false">Q!M10</f>
        <v>8.26</v>
      </c>
      <c r="F2642" s="6" t="n">
        <f aca="false">Sens!E2642*(1+Sens!F2643)</f>
        <v>8.79988041237113</v>
      </c>
      <c r="G2642" s="6" t="n">
        <f aca="false">Sens!F2642*(1+Sens!G2643)</f>
        <v>9.38321269125306</v>
      </c>
      <c r="H2642" s="6" t="n">
        <f aca="false">Sens!G2642*(1+Sens!H2643)</f>
        <v>10.0139193587476</v>
      </c>
      <c r="I2642" s="6" t="n">
        <f aca="false">Sens!H2642*(1+Sens!I2643)</f>
        <v>10.6963111830911</v>
      </c>
      <c r="J2642" s="6" t="n">
        <f aca="false">Sens!I2642*(1+Sens!J2643)</f>
        <v>11.4351285534696</v>
      </c>
      <c r="K2642" s="6" t="n">
        <f aca="false">Sens!J2642*(1+Sens!K2643)</f>
        <v>12.2355875522124</v>
      </c>
    </row>
    <row r="2643" customFormat="false" ht="15" hidden="false" customHeight="false" outlineLevel="0" collapsed="false">
      <c r="A2643" s="1" t="s">
        <v>876</v>
      </c>
      <c r="B2643" s="0" t="s">
        <v>129</v>
      </c>
      <c r="E2643" s="7" t="n">
        <f aca="false">Sens!E2642/Sens!D2642-1</f>
        <v>0.0644329896907216</v>
      </c>
      <c r="F2643" s="7" t="n">
        <f aca="false">Sens!$E$2643+(glt_fro-Sens!$E$2643)*MIN(1,(Sens!F2591-base_fy)/n_conv)</f>
        <v>0.065360824742268</v>
      </c>
      <c r="G2643" s="7" t="n">
        <f aca="false">Sens!$E$2643+(glt_fro-Sens!$E$2643)*MIN(1,(Sens!G2591-base_fy)/n_conv)</f>
        <v>0.0662886597938144</v>
      </c>
      <c r="H2643" s="7" t="n">
        <f aca="false">Sens!$E$2643+(glt_fro-Sens!$E$2643)*MIN(1,(Sens!H2591-base_fy)/n_conv)</f>
        <v>0.0672164948453608</v>
      </c>
      <c r="I2643" s="7" t="n">
        <f aca="false">Sens!$E$2643+(glt_fro-Sens!$E$2643)*MIN(1,(Sens!I2591-base_fy)/n_conv)</f>
        <v>0.0681443298969072</v>
      </c>
      <c r="J2643" s="7" t="n">
        <f aca="false">Sens!$E$2643+(glt_fro-Sens!$E$2643)*MIN(1,(Sens!J2591-base_fy)/n_conv)</f>
        <v>0.0690721649484536</v>
      </c>
      <c r="K2643" s="7" t="n">
        <f aca="false">Sens!$E$2643+(glt_fro-Sens!$E$2643)*MIN(1,(Sens!K2591-base_fy)/n_conv)</f>
        <v>0.07</v>
      </c>
    </row>
    <row r="2644" customFormat="false" ht="15" hidden="false" customHeight="false" outlineLevel="0" collapsed="false">
      <c r="A2644" s="0" t="s">
        <v>715</v>
      </c>
      <c r="B2644" s="0" t="s">
        <v>98</v>
      </c>
      <c r="D2644" s="6" t="n">
        <f aca="false">Sens!D2632+Sens!D2637+Sens!D2638+Sens!D2640+Sens!D2642</f>
        <v>218.783</v>
      </c>
      <c r="E2644" s="6" t="n">
        <f aca="false">Sens!E2632+Sens!E2637+Sens!E2638+Sens!E2640+Sens!E2642</f>
        <v>268.127</v>
      </c>
      <c r="F2644" s="6" t="n">
        <f aca="false">Sens!F2632+Sens!F2637+Sens!F2638+Sens!F2640+Sens!F2642</f>
        <v>334.265528251508</v>
      </c>
      <c r="G2644" s="6" t="n">
        <f aca="false">Sens!G2632+Sens!G2637+Sens!G2638+Sens!G2640+Sens!G2642</f>
        <v>408.072123059793</v>
      </c>
      <c r="H2644" s="6" t="n">
        <f aca="false">Sens!H2632+Sens!H2637+Sens!H2638+Sens!H2640+Sens!H2642</f>
        <v>483.196296004025</v>
      </c>
      <c r="I2644" s="6" t="n">
        <f aca="false">Sens!I2632+Sens!I2637+Sens!I2638+Sens!I2640+Sens!I2642</f>
        <v>551.903517626826</v>
      </c>
      <c r="J2644" s="6" t="n">
        <f aca="false">Sens!J2632+Sens!J2637+Sens!J2638+Sens!J2640+Sens!J2642</f>
        <v>607.719049711612</v>
      </c>
      <c r="K2644" s="6" t="n">
        <f aca="false">Sens!K2632+Sens!K2637+Sens!K2638+Sens!K2640+Sens!K2642</f>
        <v>652.377736249452</v>
      </c>
    </row>
    <row r="2645" customFormat="false" ht="15" hidden="false" customHeight="false" outlineLevel="0" collapsed="false">
      <c r="A2645" s="0" t="s">
        <v>887</v>
      </c>
      <c r="B2645" s="0" t="s">
        <v>98</v>
      </c>
      <c r="D2645" s="6" t="n">
        <f aca="false">Q!L13</f>
        <v>22.171</v>
      </c>
      <c r="E2645" s="6" t="n">
        <f aca="false">Q!M13</f>
        <v>24.835</v>
      </c>
      <c r="F2645" s="6" t="n">
        <f aca="false">Sens!E2645*(1+Sens!F2646)</f>
        <v>27.6114901218559</v>
      </c>
      <c r="G2645" s="6" t="n">
        <f aca="false">Sens!F2645*(1+Sens!G2646)</f>
        <v>30.4675667338515</v>
      </c>
      <c r="H2645" s="6" t="n">
        <f aca="false">Sens!G2645*(1+Sens!H2646)</f>
        <v>33.3643766955789</v>
      </c>
      <c r="I2645" s="6" t="n">
        <f aca="false">Sens!H2645*(1+Sens!I2646)</f>
        <v>36.2577016533691</v>
      </c>
      <c r="J2645" s="6" t="n">
        <f aca="false">Sens!I2645*(1+Sens!J2646)</f>
        <v>39.0988367952171</v>
      </c>
      <c r="K2645" s="6" t="n">
        <f aca="false">Sens!J2645*(1+Sens!K2646)</f>
        <v>41.8357553708823</v>
      </c>
    </row>
    <row r="2646" customFormat="false" ht="15" hidden="false" customHeight="false" outlineLevel="0" collapsed="false">
      <c r="A2646" s="1" t="s">
        <v>876</v>
      </c>
      <c r="B2646" s="0" t="s">
        <v>129</v>
      </c>
      <c r="E2646" s="7" t="n">
        <f aca="false">Sens!E2645/Sens!D2645-1</f>
        <v>0.120156961796942</v>
      </c>
      <c r="F2646" s="7" t="n">
        <f aca="false">Sens!$E$2646+(glt_srch-Sens!$E$2646)*MIN(1,(Sens!F2591-base_fy)/n_conv)</f>
        <v>0.111797468164118</v>
      </c>
      <c r="G2646" s="7" t="n">
        <f aca="false">Sens!$E$2646+(glt_srch-Sens!$E$2646)*MIN(1,(Sens!G2591-base_fy)/n_conv)</f>
        <v>0.103437974531295</v>
      </c>
      <c r="H2646" s="7" t="n">
        <f aca="false">Sens!$E$2646+(glt_srch-Sens!$E$2646)*MIN(1,(Sens!H2591-base_fy)/n_conv)</f>
        <v>0.095078480898471</v>
      </c>
      <c r="I2646" s="7" t="n">
        <f aca="false">Sens!$E$2646+(glt_srch-Sens!$E$2646)*MIN(1,(Sens!I2591-base_fy)/n_conv)</f>
        <v>0.0867189872656474</v>
      </c>
      <c r="J2646" s="7" t="n">
        <f aca="false">Sens!$E$2646+(glt_srch-Sens!$E$2646)*MIN(1,(Sens!J2591-base_fy)/n_conv)</f>
        <v>0.0783594936328237</v>
      </c>
      <c r="K2646" s="7" t="n">
        <f aca="false">Sens!$E$2646+(glt_srch-Sens!$E$2646)*MIN(1,(Sens!K2591-base_fy)/n_conv)</f>
        <v>0.07</v>
      </c>
    </row>
    <row r="2647" customFormat="false" ht="15" hidden="false" customHeight="false" outlineLevel="0" collapsed="false">
      <c r="A2647" s="0" t="s">
        <v>888</v>
      </c>
      <c r="B2647" s="0" t="s">
        <v>98</v>
      </c>
      <c r="D2647" s="6" t="n">
        <f aca="false">Q!L14</f>
        <v>23.455</v>
      </c>
      <c r="E2647" s="6" t="n">
        <f aca="false">Q!M14</f>
        <v>21.79</v>
      </c>
      <c r="F2647" s="6" t="n">
        <f aca="false">Sens!E2647*(1+Sens!F2648)</f>
        <v>20.5736277908051</v>
      </c>
      <c r="G2647" s="6" t="n">
        <f aca="false">Sens!F2647*(1+Sens!G2648)</f>
        <v>19.7371452817919</v>
      </c>
      <c r="H2647" s="6" t="n">
        <f aca="false">Sens!G2647*(1+Sens!H2648)</f>
        <v>19.2339764043138</v>
      </c>
      <c r="I2647" s="6" t="n">
        <f aca="false">Sens!H2647*(1+Sens!I2648)</f>
        <v>19.0353086852681</v>
      </c>
      <c r="J2647" s="6" t="n">
        <f aca="false">Sens!I2647*(1+Sens!J2648)</f>
        <v>19.1273539319129</v>
      </c>
      <c r="K2647" s="6" t="n">
        <f aca="false">Sens!J2647*(1+Sens!K2648)</f>
        <v>19.5099010105511</v>
      </c>
    </row>
    <row r="2648" customFormat="false" ht="15" hidden="false" customHeight="false" outlineLevel="0" collapsed="false">
      <c r="A2648" s="1" t="s">
        <v>876</v>
      </c>
      <c r="B2648" s="0" t="s">
        <v>129</v>
      </c>
      <c r="E2648" s="7" t="n">
        <f aca="false">Sens!E2647/Sens!D2647-1</f>
        <v>-0.0709869963760392</v>
      </c>
      <c r="F2648" s="7" t="n">
        <f aca="false">Sens!$E$2648+(glt_xbox-Sens!$E$2648)*MIN(1,(Sens!F2591-base_fy)/n_conv)</f>
        <v>-0.0558224969800327</v>
      </c>
      <c r="G2648" s="7" t="n">
        <f aca="false">Sens!$E$2648+(glt_xbox-Sens!$E$2648)*MIN(1,(Sens!G2591-base_fy)/n_conv)</f>
        <v>-0.0406579975840262</v>
      </c>
      <c r="H2648" s="7" t="n">
        <f aca="false">Sens!$E$2648+(glt_xbox-Sens!$E$2648)*MIN(1,(Sens!H2591-base_fy)/n_conv)</f>
        <v>-0.0254934981880196</v>
      </c>
      <c r="I2648" s="7" t="n">
        <f aca="false">Sens!$E$2648+(glt_xbox-Sens!$E$2648)*MIN(1,(Sens!I2591-base_fy)/n_conv)</f>
        <v>-0.0103289987920131</v>
      </c>
      <c r="J2648" s="7" t="n">
        <f aca="false">Sens!$E$2648+(glt_xbox-Sens!$E$2648)*MIN(1,(Sens!J2591-base_fy)/n_conv)</f>
        <v>0.00483550060399347</v>
      </c>
      <c r="K2648" s="7" t="n">
        <f aca="false">Sens!$E$2648+(glt_xbox-Sens!$E$2648)*MIN(1,(Sens!K2591-base_fy)/n_conv)</f>
        <v>0.02</v>
      </c>
    </row>
    <row r="2649" customFormat="false" ht="15" hidden="false" customHeight="false" outlineLevel="0" collapsed="false">
      <c r="A2649" s="0" t="s">
        <v>889</v>
      </c>
      <c r="B2649" s="0" t="s">
        <v>98</v>
      </c>
      <c r="D2649" s="6" t="n">
        <f aca="false">Q!L15</f>
        <v>17.315</v>
      </c>
      <c r="E2649" s="6" t="n">
        <f aca="false">Q!M15</f>
        <v>17.087</v>
      </c>
      <c r="F2649" s="6" t="n">
        <f aca="false">Sens!E2649*(1+Sens!F2650)</f>
        <v>16.9564585436519</v>
      </c>
      <c r="G2649" s="6" t="n">
        <f aca="false">Sens!F2649*(1+Sens!G2650)</f>
        <v>16.9206490624268</v>
      </c>
      <c r="H2649" s="6" t="n">
        <f aca="false">Sens!G2649*(1+Sens!H2650)</f>
        <v>16.9784519149849</v>
      </c>
      <c r="I2649" s="6" t="n">
        <f aca="false">Sens!H2649*(1+Sens!I2650)</f>
        <v>17.1303084701817</v>
      </c>
      <c r="J2649" s="6" t="n">
        <f aca="false">Sens!I2649*(1+Sens!J2650)</f>
        <v>17.3782189407267</v>
      </c>
      <c r="K2649" s="6" t="n">
        <f aca="false">Sens!J2649*(1+Sens!K2650)</f>
        <v>17.7257833195413</v>
      </c>
    </row>
    <row r="2650" customFormat="false" ht="15" hidden="false" customHeight="false" outlineLevel="0" collapsed="false">
      <c r="A2650" s="1" t="s">
        <v>876</v>
      </c>
      <c r="B2650" s="0" t="s">
        <v>129</v>
      </c>
      <c r="E2650" s="7" t="n">
        <f aca="false">Sens!E2649/Sens!D2649-1</f>
        <v>-0.0131677736066995</v>
      </c>
      <c r="F2650" s="7" t="n">
        <f aca="false">Sens!$E$2650+(glt_win-Sens!$E$2650)*MIN(1,(Sens!F2591-base_fy)/n_conv)</f>
        <v>-0.00763981133891627</v>
      </c>
      <c r="G2650" s="7" t="n">
        <f aca="false">Sens!$E$2650+(glt_win-Sens!$E$2650)*MIN(1,(Sens!G2591-base_fy)/n_conv)</f>
        <v>-0.00211184907113301</v>
      </c>
      <c r="H2650" s="7" t="n">
        <f aca="false">Sens!$E$2650+(glt_win-Sens!$E$2650)*MIN(1,(Sens!H2591-base_fy)/n_conv)</f>
        <v>0.00341611319665024</v>
      </c>
      <c r="I2650" s="7" t="n">
        <f aca="false">Sens!$E$2650+(glt_win-Sens!$E$2650)*MIN(1,(Sens!I2591-base_fy)/n_conv)</f>
        <v>0.00894407546443349</v>
      </c>
      <c r="J2650" s="7" t="n">
        <f aca="false">Sens!$E$2650+(glt_win-Sens!$E$2650)*MIN(1,(Sens!J2591-base_fy)/n_conv)</f>
        <v>0.0144720377322168</v>
      </c>
      <c r="K2650" s="7" t="n">
        <f aca="false">Sens!$E$2650+(glt_win-Sens!$E$2650)*MIN(1,(Sens!K2591-base_fy)/n_conv)</f>
        <v>0.02</v>
      </c>
    </row>
    <row r="2651" customFormat="false" ht="15" hidden="false" customHeight="false" outlineLevel="0" collapsed="false">
      <c r="A2651" s="0" t="s">
        <v>729</v>
      </c>
      <c r="B2651" s="0" t="s">
        <v>98</v>
      </c>
      <c r="D2651" s="6" t="n">
        <f aca="false">Sens!D2645+Sens!D2647+Sens!D2649</f>
        <v>62.941</v>
      </c>
      <c r="E2651" s="6" t="n">
        <f aca="false">Sens!E2645+Sens!E2647+Sens!E2649</f>
        <v>63.712</v>
      </c>
      <c r="F2651" s="6" t="n">
        <f aca="false">Sens!F2645+Sens!F2647+Sens!F2649</f>
        <v>65.1415764563129</v>
      </c>
      <c r="G2651" s="6" t="n">
        <f aca="false">Sens!G2645+Sens!G2647+Sens!G2649</f>
        <v>67.1253610780702</v>
      </c>
      <c r="H2651" s="6" t="n">
        <f aca="false">Sens!H2645+Sens!H2647+Sens!H2649</f>
        <v>69.5768050148776</v>
      </c>
      <c r="I2651" s="6" t="n">
        <f aca="false">Sens!I2645+Sens!I2647+Sens!I2649</f>
        <v>72.4233188088189</v>
      </c>
      <c r="J2651" s="6" t="n">
        <f aca="false">Sens!J2645+Sens!J2647+Sens!J2649</f>
        <v>75.6044096678567</v>
      </c>
      <c r="K2651" s="6" t="n">
        <f aca="false">Sens!K2645+Sens!K2647+Sens!K2649</f>
        <v>79.0714397009747</v>
      </c>
    </row>
    <row r="2652" customFormat="false" ht="15" hidden="false" customHeight="false" outlineLevel="0" collapsed="false">
      <c r="A2652" s="1" t="s">
        <v>890</v>
      </c>
      <c r="B2652" s="0" t="s">
        <v>98</v>
      </c>
      <c r="D2652" s="6" t="n">
        <f aca="false">Sens!D2644+Sens!D2651</f>
        <v>281.724</v>
      </c>
      <c r="E2652" s="6" t="n">
        <f aca="false">Sens!E2644+Sens!E2651</f>
        <v>331.839</v>
      </c>
      <c r="F2652" s="6" t="n">
        <f aca="false">Sens!F2644+Sens!F2651</f>
        <v>399.407104707821</v>
      </c>
      <c r="G2652" s="6" t="n">
        <f aca="false">Sens!G2644+Sens!G2651</f>
        <v>475.197484137863</v>
      </c>
      <c r="H2652" s="6" t="n">
        <f aca="false">Sens!H2644+Sens!H2651</f>
        <v>552.773101018903</v>
      </c>
      <c r="I2652" s="6" t="n">
        <f aca="false">Sens!I2644+Sens!I2651</f>
        <v>624.326836435645</v>
      </c>
      <c r="J2652" s="6" t="n">
        <f aca="false">Sens!J2644+Sens!J2651</f>
        <v>683.323459379469</v>
      </c>
      <c r="K2652" s="6" t="n">
        <f aca="false">Sens!K2644+Sens!K2651</f>
        <v>731.449175950427</v>
      </c>
    </row>
    <row r="2653" customFormat="false" ht="15" hidden="false" customHeight="false" outlineLevel="0" collapsed="false">
      <c r="A2653" s="23" t="s">
        <v>891</v>
      </c>
      <c r="B2653" s="30" t="s">
        <v>98</v>
      </c>
      <c r="C2653" s="30"/>
      <c r="D2653" s="24" t="n">
        <f aca="false">(Sens!D2632+Sens!D2637+Sens!D2638+Sens!D2640+Sens!D2642-Sens!D2644)+(Sens!D2645+Sens!D2647+Sens!D2649-Sens!D2651)+(Sens!D2644-Q!L5)+(Sens!D2651-Q!L12)+(Sens!D2632-Q!L6)+(Sens!D2637-Q!L7)</f>
        <v>0</v>
      </c>
      <c r="E2653" s="24" t="n">
        <f aca="false">(Sens!E2632+Sens!E2637+Sens!E2638+Sens!E2640+Sens!E2642-Sens!E2644)+(Sens!E2645+Sens!E2647+Sens!E2649-Sens!E2651)+(Sens!E2644-Q!M5)+(Sens!E2651-Q!M12)+(Sens!E2632-Q!M6)+(Sens!E2637-Q!M7)</f>
        <v>0</v>
      </c>
      <c r="F2653" s="24" t="n">
        <f aca="false">(Sens!F2632+Sens!F2637+Sens!F2638+Sens!F2640+Sens!F2642-Sens!F2644)+(Sens!F2645+Sens!F2647+Sens!F2649-Sens!F2651)</f>
        <v>0</v>
      </c>
      <c r="G2653" s="24" t="n">
        <f aca="false">(Sens!G2632+Sens!G2637+Sens!G2638+Sens!G2640+Sens!G2642-Sens!G2644)+(Sens!G2645+Sens!G2647+Sens!G2649-Sens!G2651)</f>
        <v>0</v>
      </c>
      <c r="H2653" s="24" t="n">
        <f aca="false">(Sens!H2632+Sens!H2637+Sens!H2638+Sens!H2640+Sens!H2642-Sens!H2644)+(Sens!H2645+Sens!H2647+Sens!H2649-Sens!H2651)</f>
        <v>0</v>
      </c>
      <c r="I2653" s="24" t="n">
        <f aca="false">(Sens!I2632+Sens!I2637+Sens!I2638+Sens!I2640+Sens!I2642-Sens!I2644)+(Sens!I2645+Sens!I2647+Sens!I2649-Sens!I2651)</f>
        <v>0</v>
      </c>
      <c r="J2653" s="24" t="n">
        <f aca="false">(Sens!J2632+Sens!J2637+Sens!J2638+Sens!J2640+Sens!J2642-Sens!J2644)+(Sens!J2645+Sens!J2647+Sens!J2649-Sens!J2651)</f>
        <v>0</v>
      </c>
      <c r="K2653" s="24" t="n">
        <f aca="false">(Sens!K2632+Sens!K2637+Sens!K2638+Sens!K2640+Sens!K2642-Sens!K2644)+(Sens!K2645+Sens!K2647+Sens!K2649-Sens!K2651)</f>
        <v>0</v>
      </c>
    </row>
    <row r="2654" customFormat="false" ht="17.15" hidden="false" customHeight="false" outlineLevel="0" collapsed="false">
      <c r="A2654" s="3" t="s">
        <v>1329</v>
      </c>
    </row>
    <row r="2655" customFormat="false" ht="15" hidden="false" customHeight="false" outlineLevel="0" collapsed="false">
      <c r="A2655" s="4" t="s">
        <v>43</v>
      </c>
      <c r="B2655" s="4" t="s">
        <v>65</v>
      </c>
      <c r="C2655" s="20" t="s">
        <v>799</v>
      </c>
      <c r="D2655" s="20" t="s">
        <v>800</v>
      </c>
      <c r="E2655" s="20" t="s">
        <v>801</v>
      </c>
      <c r="F2655" s="20" t="s">
        <v>802</v>
      </c>
      <c r="G2655" s="20" t="s">
        <v>803</v>
      </c>
      <c r="H2655" s="20" t="s">
        <v>804</v>
      </c>
      <c r="I2655" s="20" t="s">
        <v>805</v>
      </c>
      <c r="J2655" s="20" t="s">
        <v>806</v>
      </c>
      <c r="K2655" s="20" t="s">
        <v>807</v>
      </c>
      <c r="L2655" s="4" t="s">
        <v>47</v>
      </c>
    </row>
    <row r="2656" customFormat="false" ht="15" hidden="false" customHeight="false" outlineLevel="0" collapsed="false">
      <c r="A2656" s="0" t="s">
        <v>877</v>
      </c>
      <c r="B2656" s="0" t="s">
        <v>98</v>
      </c>
      <c r="D2656" s="6" t="n">
        <f aca="false">Sens!D2632</f>
        <v>72.61</v>
      </c>
      <c r="E2656" s="6" t="n">
        <f aca="false">Sens!E2632</f>
        <v>101.938</v>
      </c>
      <c r="F2656" s="6" t="n">
        <f aca="false">Sens!F2632</f>
        <v>145.143956312325</v>
      </c>
      <c r="G2656" s="6" t="n">
        <f aca="false">Sens!G2632</f>
        <v>196.478966522364</v>
      </c>
      <c r="H2656" s="6" t="n">
        <f aca="false">Sens!H2632</f>
        <v>249.10761332251</v>
      </c>
      <c r="I2656" s="6" t="n">
        <f aca="false">Sens!I2632</f>
        <v>297.09216264734</v>
      </c>
      <c r="J2656" s="6" t="n">
        <f aca="false">Sens!J2632</f>
        <v>334.278152607443</v>
      </c>
      <c r="K2656" s="6" t="n">
        <f aca="false">Sens!K2632</f>
        <v>361.233666909276</v>
      </c>
    </row>
    <row r="2657" customFormat="false" ht="17.15" hidden="false" customHeight="false" outlineLevel="0" collapsed="false">
      <c r="A2657" s="0" t="s">
        <v>874</v>
      </c>
      <c r="B2657" s="0" t="s">
        <v>98</v>
      </c>
      <c r="D2657" s="6" t="n">
        <f aca="false">Sens!D2629</f>
        <v>12.9359794422418</v>
      </c>
      <c r="E2657" s="6" t="n">
        <f aca="false">Sens!E2629</f>
        <v>27.8095064661409</v>
      </c>
      <c r="F2657" s="6" t="n">
        <f aca="false">Sens!F2629</f>
        <v>55.0640065749585</v>
      </c>
      <c r="G2657" s="6" t="n">
        <f aca="false">Sens!G2629</f>
        <v>89.4505413190538</v>
      </c>
      <c r="H2657" s="6" t="n">
        <f aca="false">Sens!H2629</f>
        <v>124.835630736874</v>
      </c>
      <c r="I2657" s="6" t="n">
        <f aca="false">Sens!I2629</f>
        <v>156.158460265485</v>
      </c>
      <c r="J2657" s="6" t="n">
        <f aca="false">Sens!J2629</f>
        <v>178.259285293112</v>
      </c>
      <c r="K2657" s="6" t="n">
        <f aca="false">Sens!K2629</f>
        <v>192.733290209798</v>
      </c>
    </row>
    <row r="2658" customFormat="false" ht="17.15" hidden="false" customHeight="false" outlineLevel="0" collapsed="false">
      <c r="A2658" s="0" t="s">
        <v>902</v>
      </c>
      <c r="B2658" s="0" t="s">
        <v>98</v>
      </c>
      <c r="D2658" s="6" t="n">
        <f aca="false">Sens!D2630</f>
        <v>59.6740205577583</v>
      </c>
      <c r="E2658" s="6" t="n">
        <f aca="false">Sens!E2630</f>
        <v>74.1284935338591</v>
      </c>
      <c r="F2658" s="6" t="n">
        <f aca="false">Sens!F2630</f>
        <v>90.0799497373663</v>
      </c>
      <c r="G2658" s="6" t="n">
        <f aca="false">Sens!G2630</f>
        <v>107.02842520331</v>
      </c>
      <c r="H2658" s="6" t="n">
        <f aca="false">Sens!H2630</f>
        <v>124.271982585636</v>
      </c>
      <c r="I2658" s="6" t="n">
        <f aca="false">Sens!I2630</f>
        <v>140.933702381855</v>
      </c>
      <c r="J2658" s="6" t="n">
        <f aca="false">Sens!J2630</f>
        <v>156.018867314332</v>
      </c>
      <c r="K2658" s="6" t="n">
        <f aca="false">Sens!K2630</f>
        <v>168.500376699478</v>
      </c>
    </row>
    <row r="2659" customFormat="false" ht="15" hidden="false" customHeight="false" outlineLevel="0" collapsed="false">
      <c r="A2659" s="0" t="s">
        <v>883</v>
      </c>
      <c r="B2659" s="0" t="s">
        <v>98</v>
      </c>
      <c r="D2659" s="6" t="n">
        <f aca="false">Sens!D2637</f>
        <v>84.605</v>
      </c>
      <c r="E2659" s="6" t="n">
        <f aca="false">Sens!E2637</f>
        <v>100.299</v>
      </c>
      <c r="F2659" s="6" t="n">
        <f aca="false">Sens!F2637</f>
        <v>118.89238776686</v>
      </c>
      <c r="G2659" s="6" t="n">
        <f aca="false">Sens!G2637</f>
        <v>137.044168448684</v>
      </c>
      <c r="H2659" s="6" t="n">
        <f aca="false">Sens!H2637</f>
        <v>155.277359388781</v>
      </c>
      <c r="I2659" s="6" t="n">
        <f aca="false">Sens!I2637</f>
        <v>171.834028071957</v>
      </c>
      <c r="J2659" s="6" t="n">
        <f aca="false">Sens!J2637</f>
        <v>186.432702785465</v>
      </c>
      <c r="K2659" s="6" t="n">
        <f aca="false">Sens!K2637</f>
        <v>200.277991980448</v>
      </c>
    </row>
    <row r="2660" customFormat="false" ht="17.15" hidden="false" customHeight="false" outlineLevel="0" collapsed="false">
      <c r="A2660" s="0" t="s">
        <v>903</v>
      </c>
      <c r="B2660" s="0" t="s">
        <v>98</v>
      </c>
      <c r="D2660" s="6" t="n">
        <f aca="false">Sens!D2635</f>
        <v>83.705</v>
      </c>
      <c r="E2660" s="6" t="n">
        <f aca="false">Sens!E2635</f>
        <v>95.049</v>
      </c>
      <c r="F2660" s="6" t="n">
        <f aca="false">Sens!F2635</f>
        <v>106.89238776686</v>
      </c>
      <c r="G2660" s="6" t="n">
        <f aca="false">Sens!G2635</f>
        <v>119.044168448684</v>
      </c>
      <c r="H2660" s="6" t="n">
        <f aca="false">Sens!H2635</f>
        <v>131.277359388781</v>
      </c>
      <c r="I2660" s="6" t="n">
        <f aca="false">Sens!I2635</f>
        <v>143.334028071957</v>
      </c>
      <c r="J2660" s="6" t="n">
        <f aca="false">Sens!J2635</f>
        <v>154.932702785465</v>
      </c>
      <c r="K2660" s="6" t="n">
        <f aca="false">Sens!K2635</f>
        <v>165.777991980448</v>
      </c>
    </row>
    <row r="2661" customFormat="false" ht="17.15" hidden="false" customHeight="false" outlineLevel="0" collapsed="false">
      <c r="A2661" s="0" t="s">
        <v>904</v>
      </c>
      <c r="B2661" s="0" t="s">
        <v>98</v>
      </c>
      <c r="D2661" s="6" t="n">
        <f aca="false">Sens!D2634</f>
        <v>0.9</v>
      </c>
      <c r="E2661" s="6" t="n">
        <f aca="false">Sens!E2634</f>
        <v>5.25</v>
      </c>
      <c r="F2661" s="6" t="n">
        <f aca="false">Sens!F2634</f>
        <v>12</v>
      </c>
      <c r="G2661" s="6" t="n">
        <f aca="false">Sens!G2634</f>
        <v>18</v>
      </c>
      <c r="H2661" s="6" t="n">
        <f aca="false">Sens!H2634</f>
        <v>24</v>
      </c>
      <c r="I2661" s="6" t="n">
        <f aca="false">Sens!I2634</f>
        <v>28.5</v>
      </c>
      <c r="J2661" s="6" t="n">
        <f aca="false">Sens!J2634</f>
        <v>31.5</v>
      </c>
      <c r="K2661" s="6" t="n">
        <f aca="false">Sens!K2634</f>
        <v>34.5</v>
      </c>
    </row>
    <row r="2662" customFormat="false" ht="15" hidden="false" customHeight="false" outlineLevel="0" collapsed="false">
      <c r="A2662" s="0" t="s">
        <v>884</v>
      </c>
      <c r="B2662" s="0" t="s">
        <v>98</v>
      </c>
      <c r="D2662" s="6" t="n">
        <f aca="false">Sens!D2638</f>
        <v>35.391</v>
      </c>
      <c r="E2662" s="6" t="n">
        <f aca="false">Sens!E2638</f>
        <v>37.285</v>
      </c>
      <c r="F2662" s="6" t="n">
        <f aca="false">Sens!F2638</f>
        <v>39.0720834331704</v>
      </c>
      <c r="G2662" s="6" t="n">
        <f aca="false">Sens!G2638</f>
        <v>40.726562953769</v>
      </c>
      <c r="H2662" s="6" t="n">
        <f aca="false">Sens!H2638</f>
        <v>42.2235987259198</v>
      </c>
      <c r="I2662" s="6" t="n">
        <f aca="false">Sens!I2638</f>
        <v>43.5397988077414</v>
      </c>
      <c r="J2662" s="6" t="n">
        <f aca="false">Sens!J2638</f>
        <v>44.653811225693</v>
      </c>
      <c r="K2662" s="6" t="n">
        <f aca="false">Sens!K2638</f>
        <v>45.5468874502068</v>
      </c>
    </row>
    <row r="2663" customFormat="false" ht="15" hidden="false" customHeight="false" outlineLevel="0" collapsed="false">
      <c r="A2663" s="0" t="s">
        <v>885</v>
      </c>
      <c r="B2663" s="0" t="s">
        <v>98</v>
      </c>
      <c r="D2663" s="6" t="n">
        <f aca="false">Sens!D2640</f>
        <v>18.417</v>
      </c>
      <c r="E2663" s="6" t="n">
        <f aca="false">Sens!E2640</f>
        <v>20.345</v>
      </c>
      <c r="F2663" s="6" t="n">
        <f aca="false">Sens!F2640</f>
        <v>22.3572203267814</v>
      </c>
      <c r="G2663" s="6" t="n">
        <f aca="false">Sens!G2640</f>
        <v>24.4392124437232</v>
      </c>
      <c r="H2663" s="6" t="n">
        <f aca="false">Sens!H2640</f>
        <v>26.5738052080665</v>
      </c>
      <c r="I2663" s="6" t="n">
        <f aca="false">Sens!I2640</f>
        <v>28.7412169166967</v>
      </c>
      <c r="J2663" s="6" t="n">
        <f aca="false">Sens!J2640</f>
        <v>30.9192545395413</v>
      </c>
      <c r="K2663" s="6" t="n">
        <f aca="false">Sens!K2640</f>
        <v>33.0836023573092</v>
      </c>
    </row>
    <row r="2664" customFormat="false" ht="15" hidden="false" customHeight="false" outlineLevel="0" collapsed="false">
      <c r="A2664" s="0" t="s">
        <v>886</v>
      </c>
      <c r="B2664" s="0" t="s">
        <v>98</v>
      </c>
      <c r="D2664" s="6" t="n">
        <f aca="false">Sens!D2642</f>
        <v>7.76</v>
      </c>
      <c r="E2664" s="6" t="n">
        <f aca="false">Sens!E2642</f>
        <v>8.26</v>
      </c>
      <c r="F2664" s="6" t="n">
        <f aca="false">Sens!F2642</f>
        <v>8.79988041237113</v>
      </c>
      <c r="G2664" s="6" t="n">
        <f aca="false">Sens!G2642</f>
        <v>9.38321269125306</v>
      </c>
      <c r="H2664" s="6" t="n">
        <f aca="false">Sens!H2642</f>
        <v>10.0139193587476</v>
      </c>
      <c r="I2664" s="6" t="n">
        <f aca="false">Sens!I2642</f>
        <v>10.6963111830911</v>
      </c>
      <c r="J2664" s="6" t="n">
        <f aca="false">Sens!J2642</f>
        <v>11.4351285534696</v>
      </c>
      <c r="K2664" s="6" t="n">
        <f aca="false">Sens!K2642</f>
        <v>12.2355875522124</v>
      </c>
    </row>
    <row r="2665" customFormat="false" ht="15" hidden="false" customHeight="false" outlineLevel="0" collapsed="false">
      <c r="A2665" s="0" t="s">
        <v>715</v>
      </c>
      <c r="B2665" s="0" t="s">
        <v>98</v>
      </c>
      <c r="D2665" s="6" t="n">
        <f aca="false">Sens!D2644</f>
        <v>218.783</v>
      </c>
      <c r="E2665" s="6" t="n">
        <f aca="false">Sens!E2644</f>
        <v>268.127</v>
      </c>
      <c r="F2665" s="6" t="n">
        <f aca="false">Sens!F2644</f>
        <v>334.265528251508</v>
      </c>
      <c r="G2665" s="6" t="n">
        <f aca="false">Sens!G2644</f>
        <v>408.072123059793</v>
      </c>
      <c r="H2665" s="6" t="n">
        <f aca="false">Sens!H2644</f>
        <v>483.196296004025</v>
      </c>
      <c r="I2665" s="6" t="n">
        <f aca="false">Sens!I2644</f>
        <v>551.903517626826</v>
      </c>
      <c r="J2665" s="6" t="n">
        <f aca="false">Sens!J2644</f>
        <v>607.719049711612</v>
      </c>
      <c r="K2665" s="6" t="n">
        <f aca="false">Sens!K2644</f>
        <v>652.377736249452</v>
      </c>
    </row>
    <row r="2666" customFormat="false" ht="15" hidden="false" customHeight="false" outlineLevel="0" collapsed="false">
      <c r="A2666" s="0" t="s">
        <v>887</v>
      </c>
      <c r="B2666" s="0" t="s">
        <v>98</v>
      </c>
      <c r="D2666" s="6" t="n">
        <f aca="false">Sens!D2645</f>
        <v>22.171</v>
      </c>
      <c r="E2666" s="6" t="n">
        <f aca="false">Sens!E2645</f>
        <v>24.835</v>
      </c>
      <c r="F2666" s="6" t="n">
        <f aca="false">Sens!F2645</f>
        <v>27.6114901218559</v>
      </c>
      <c r="G2666" s="6" t="n">
        <f aca="false">Sens!G2645</f>
        <v>30.4675667338515</v>
      </c>
      <c r="H2666" s="6" t="n">
        <f aca="false">Sens!H2645</f>
        <v>33.3643766955789</v>
      </c>
      <c r="I2666" s="6" t="n">
        <f aca="false">Sens!I2645</f>
        <v>36.2577016533691</v>
      </c>
      <c r="J2666" s="6" t="n">
        <f aca="false">Sens!J2645</f>
        <v>39.0988367952171</v>
      </c>
      <c r="K2666" s="6" t="n">
        <f aca="false">Sens!K2645</f>
        <v>41.8357553708823</v>
      </c>
    </row>
    <row r="2667" customFormat="false" ht="15" hidden="false" customHeight="false" outlineLevel="0" collapsed="false">
      <c r="A2667" s="0" t="s">
        <v>888</v>
      </c>
      <c r="B2667" s="0" t="s">
        <v>98</v>
      </c>
      <c r="D2667" s="6" t="n">
        <f aca="false">Sens!D2647</f>
        <v>23.455</v>
      </c>
      <c r="E2667" s="6" t="n">
        <f aca="false">Sens!E2647</f>
        <v>21.79</v>
      </c>
      <c r="F2667" s="6" t="n">
        <f aca="false">Sens!F2647</f>
        <v>20.5736277908051</v>
      </c>
      <c r="G2667" s="6" t="n">
        <f aca="false">Sens!G2647</f>
        <v>19.7371452817919</v>
      </c>
      <c r="H2667" s="6" t="n">
        <f aca="false">Sens!H2647</f>
        <v>19.2339764043138</v>
      </c>
      <c r="I2667" s="6" t="n">
        <f aca="false">Sens!I2647</f>
        <v>19.0353086852681</v>
      </c>
      <c r="J2667" s="6" t="n">
        <f aca="false">Sens!J2647</f>
        <v>19.1273539319129</v>
      </c>
      <c r="K2667" s="6" t="n">
        <f aca="false">Sens!K2647</f>
        <v>19.5099010105511</v>
      </c>
    </row>
    <row r="2668" customFormat="false" ht="15" hidden="false" customHeight="false" outlineLevel="0" collapsed="false">
      <c r="A2668" s="0" t="s">
        <v>889</v>
      </c>
      <c r="B2668" s="0" t="s">
        <v>98</v>
      </c>
      <c r="D2668" s="6" t="n">
        <f aca="false">Sens!D2649</f>
        <v>17.315</v>
      </c>
      <c r="E2668" s="6" t="n">
        <f aca="false">Sens!E2649</f>
        <v>17.087</v>
      </c>
      <c r="F2668" s="6" t="n">
        <f aca="false">Sens!F2649</f>
        <v>16.9564585436519</v>
      </c>
      <c r="G2668" s="6" t="n">
        <f aca="false">Sens!G2649</f>
        <v>16.9206490624268</v>
      </c>
      <c r="H2668" s="6" t="n">
        <f aca="false">Sens!H2649</f>
        <v>16.9784519149849</v>
      </c>
      <c r="I2668" s="6" t="n">
        <f aca="false">Sens!I2649</f>
        <v>17.1303084701817</v>
      </c>
      <c r="J2668" s="6" t="n">
        <f aca="false">Sens!J2649</f>
        <v>17.3782189407267</v>
      </c>
      <c r="K2668" s="6" t="n">
        <f aca="false">Sens!K2649</f>
        <v>17.7257833195413</v>
      </c>
    </row>
    <row r="2669" customFormat="false" ht="15" hidden="false" customHeight="false" outlineLevel="0" collapsed="false">
      <c r="A2669" s="0" t="s">
        <v>729</v>
      </c>
      <c r="B2669" s="0" t="s">
        <v>98</v>
      </c>
      <c r="D2669" s="6" t="n">
        <f aca="false">Sens!D2651</f>
        <v>62.941</v>
      </c>
      <c r="E2669" s="6" t="n">
        <f aca="false">Sens!E2651</f>
        <v>63.712</v>
      </c>
      <c r="F2669" s="6" t="n">
        <f aca="false">Sens!F2651</f>
        <v>65.1415764563129</v>
      </c>
      <c r="G2669" s="6" t="n">
        <f aca="false">Sens!G2651</f>
        <v>67.1253610780702</v>
      </c>
      <c r="H2669" s="6" t="n">
        <f aca="false">Sens!H2651</f>
        <v>69.5768050148776</v>
      </c>
      <c r="I2669" s="6" t="n">
        <f aca="false">Sens!I2651</f>
        <v>72.4233188088189</v>
      </c>
      <c r="J2669" s="6" t="n">
        <f aca="false">Sens!J2651</f>
        <v>75.6044096678567</v>
      </c>
      <c r="K2669" s="6" t="n">
        <f aca="false">Sens!K2651</f>
        <v>79.0714397009747</v>
      </c>
    </row>
    <row r="2670" customFormat="false" ht="15" hidden="false" customHeight="false" outlineLevel="0" collapsed="false">
      <c r="A2670" s="1" t="s">
        <v>905</v>
      </c>
      <c r="B2670" s="0" t="s">
        <v>98</v>
      </c>
      <c r="D2670" s="6" t="n">
        <f aca="false">Sens!D2652</f>
        <v>281.724</v>
      </c>
      <c r="E2670" s="6" t="n">
        <f aca="false">Sens!E2652</f>
        <v>331.839</v>
      </c>
      <c r="F2670" s="6" t="n">
        <f aca="false">Sens!F2652</f>
        <v>399.407104707821</v>
      </c>
      <c r="G2670" s="6" t="n">
        <f aca="false">Sens!G2652</f>
        <v>475.197484137863</v>
      </c>
      <c r="H2670" s="6" t="n">
        <f aca="false">Sens!H2652</f>
        <v>552.773101018903</v>
      </c>
      <c r="I2670" s="6" t="n">
        <f aca="false">Sens!I2652</f>
        <v>624.326836435645</v>
      </c>
      <c r="J2670" s="6" t="n">
        <f aca="false">Sens!J2652</f>
        <v>683.323459379469</v>
      </c>
      <c r="K2670" s="6" t="n">
        <f aca="false">Sens!K2652</f>
        <v>731.449175950427</v>
      </c>
    </row>
    <row r="2671" customFormat="false" ht="15" hidden="false" customHeight="false" outlineLevel="0" collapsed="false">
      <c r="A2671" s="1" t="s">
        <v>906</v>
      </c>
      <c r="B2671" s="0" t="s">
        <v>129</v>
      </c>
      <c r="E2671" s="7" t="n">
        <f aca="false">Sens!E2670/Sens!D2670-1</f>
        <v>0.177886867998467</v>
      </c>
      <c r="F2671" s="7" t="n">
        <f aca="false">Sens!F2670/Sens!E2670-1</f>
        <v>0.203617129715978</v>
      </c>
      <c r="G2671" s="7" t="n">
        <f aca="false">Sens!G2670/Sens!F2670-1</f>
        <v>0.189757213972159</v>
      </c>
      <c r="H2671" s="7" t="n">
        <f aca="false">Sens!H2670/Sens!G2670-1</f>
        <v>0.163249216316418</v>
      </c>
      <c r="I2671" s="7" t="n">
        <f aca="false">Sens!I2670/Sens!H2670-1</f>
        <v>0.129445038633121</v>
      </c>
      <c r="J2671" s="7" t="n">
        <f aca="false">Sens!J2670/Sens!I2670-1</f>
        <v>0.0944963751368479</v>
      </c>
      <c r="K2671" s="7" t="n">
        <f aca="false">Sens!K2670/Sens!J2670-1</f>
        <v>0.0704288955843271</v>
      </c>
    </row>
    <row r="2672" customFormat="false" ht="17.15" hidden="false" customHeight="false" outlineLevel="0" collapsed="false">
      <c r="A2672" s="23" t="s">
        <v>907</v>
      </c>
      <c r="B2672" s="30" t="s">
        <v>98</v>
      </c>
      <c r="C2672" s="30"/>
      <c r="D2672" s="24" t="n">
        <f aca="false">(Sens!D2665+Sens!D2669-Sens!D2670)+(Sens!D2657+Sens!D2658-Sens!D2656)+(Sens!D2660+Sens!D2661-Sens!D2659)+(Sens!D2670-Q!L18)</f>
        <v>0</v>
      </c>
      <c r="E2672" s="24" t="n">
        <f aca="false">(Sens!E2665+Sens!E2669-Sens!E2670)+(Sens!E2657+Sens!E2658-Sens!E2656)+(Sens!E2660+Sens!E2661-Sens!E2659)+(Sens!E2670-Q!M18)</f>
        <v>0</v>
      </c>
      <c r="F2672" s="24" t="n">
        <f aca="false">(Sens!F2665+Sens!F2669-Sens!F2670)+(Sens!F2657+Sens!F2658-Sens!F2656)+(Sens!F2660+Sens!F2661-Sens!F2659)</f>
        <v>0</v>
      </c>
      <c r="G2672" s="24" t="n">
        <f aca="false">(Sens!G2665+Sens!G2669-Sens!G2670)+(Sens!G2657+Sens!G2658-Sens!G2656)+(Sens!G2660+Sens!G2661-Sens!G2659)</f>
        <v>0</v>
      </c>
      <c r="H2672" s="24" t="n">
        <f aca="false">(Sens!H2665+Sens!H2669-Sens!H2670)+(Sens!H2657+Sens!H2658-Sens!H2656)+(Sens!H2660+Sens!H2661-Sens!H2659)</f>
        <v>0</v>
      </c>
      <c r="I2672" s="24" t="n">
        <f aca="false">(Sens!I2665+Sens!I2669-Sens!I2670)+(Sens!I2657+Sens!I2658-Sens!I2656)+(Sens!I2660+Sens!I2661-Sens!I2659)</f>
        <v>0</v>
      </c>
      <c r="J2672" s="24" t="n">
        <f aca="false">(Sens!J2665+Sens!J2669-Sens!J2670)+(Sens!J2657+Sens!J2658-Sens!J2656)+(Sens!J2660+Sens!J2661-Sens!J2659)</f>
        <v>0</v>
      </c>
      <c r="K2672" s="24" t="n">
        <f aca="false">(Sens!K2665+Sens!K2669-Sens!K2670)+(Sens!K2657+Sens!K2658-Sens!K2656)+(Sens!K2660+Sens!K2661-Sens!K2659)</f>
        <v>0</v>
      </c>
    </row>
    <row r="2673" customFormat="false" ht="17.15" hidden="false" customHeight="false" outlineLevel="0" collapsed="false">
      <c r="A2673" s="0" t="s">
        <v>908</v>
      </c>
      <c r="B2673" s="0" t="s">
        <v>129</v>
      </c>
      <c r="E2673" s="7" t="n">
        <f aca="false">(Q!M21+Sens!E2610+Sens!E2611+Sens!E2612+Sens!E2625-Sens!E2608)/(Q!M5-Sens!E2608)</f>
        <v>0.550623586919075</v>
      </c>
      <c r="F2673" s="7" t="n">
        <f aca="false">Sens!$E$2673+dm_seg</f>
        <v>0.550623586919075</v>
      </c>
      <c r="G2673" s="7" t="n">
        <f aca="false">Sens!$E$2673+dm_seg</f>
        <v>0.550623586919075</v>
      </c>
      <c r="H2673" s="7" t="n">
        <f aca="false">Sens!$E$2673+dm_seg</f>
        <v>0.550623586919075</v>
      </c>
      <c r="I2673" s="7" t="n">
        <f aca="false">Sens!$E$2673+dm_seg</f>
        <v>0.550623586919075</v>
      </c>
      <c r="J2673" s="7" t="n">
        <f aca="false">Sens!$E$2673+dm_seg</f>
        <v>0.550623586919075</v>
      </c>
      <c r="K2673" s="7" t="n">
        <f aca="false">Sens!$E$2673+dm_seg</f>
        <v>0.550623586919075</v>
      </c>
      <c r="L2673" s="11" t="s">
        <v>909</v>
      </c>
    </row>
    <row r="2674" customFormat="false" ht="17.15" hidden="false" customHeight="false" outlineLevel="0" collapsed="false">
      <c r="A2674" s="0" t="s">
        <v>743</v>
      </c>
      <c r="B2674" s="0" t="s">
        <v>98</v>
      </c>
      <c r="D2674" s="6" t="n">
        <f aca="false">Q!L21</f>
        <v>110.814</v>
      </c>
      <c r="E2674" s="6" t="n">
        <f aca="false">Q!M21</f>
        <v>136.365</v>
      </c>
      <c r="F2674" s="6" t="n">
        <f aca="false">Sens!F2673*(Sens!F2644-Sens!F2608)+Sens!F2608-(Sens!F2610+Sens!F2611+Sens!F2612)-Sens!F2625-Sens!F2708</f>
        <v>158.652573700654</v>
      </c>
      <c r="G2674" s="6" t="n">
        <f aca="false">Sens!G2673*(Sens!G2644-Sens!G2608)+Sens!G2608-(Sens!G2610+Sens!G2611+Sens!G2612)-Sens!G2625-Sens!G2708</f>
        <v>185.668755803636</v>
      </c>
      <c r="H2674" s="6" t="n">
        <f aca="false">Sens!H2673*(Sens!H2644-Sens!H2608)+Sens!H2608-(Sens!H2610+Sens!H2611+Sens!H2612)-Sens!H2625-Sens!H2708</f>
        <v>212.552246260375</v>
      </c>
      <c r="I2674" s="6" t="n">
        <f aca="false">Sens!I2673*(Sens!I2644-Sens!I2608)+Sens!I2608-(Sens!I2610+Sens!I2611+Sens!I2612)-Sens!I2625-Sens!I2708</f>
        <v>237.631050259631</v>
      </c>
      <c r="J2674" s="6" t="n">
        <f aca="false">Sens!J2673*(Sens!J2644-Sens!J2608)+Sens!J2608-(Sens!J2610+Sens!J2611+Sens!J2612)-Sens!J2625-Sens!J2708</f>
        <v>259.382198405231</v>
      </c>
      <c r="K2674" s="6" t="n">
        <f aca="false">Sens!K2673*(Sens!K2644-Sens!K2608)+Sens!K2608-(Sens!K2610+Sens!K2611+Sens!K2612)-Sens!K2625-Sens!K2708</f>
        <v>278.809762250921</v>
      </c>
      <c r="L2674" s="1" t="s">
        <v>910</v>
      </c>
    </row>
    <row r="2675" customFormat="false" ht="17.15" hidden="false" customHeight="false" outlineLevel="0" collapsed="false">
      <c r="A2675" s="0" t="s">
        <v>911</v>
      </c>
      <c r="B2675" s="0" t="s">
        <v>129</v>
      </c>
      <c r="E2675" s="7" t="n">
        <f aca="false">Q!M22/Q!M12</f>
        <v>0.296207935710698</v>
      </c>
      <c r="F2675" s="7" t="n">
        <f aca="false">Sens!$E$2675+dm_seg</f>
        <v>0.296207935710698</v>
      </c>
      <c r="G2675" s="7" t="n">
        <f aca="false">Sens!$E$2675+dm_seg</f>
        <v>0.296207935710698</v>
      </c>
      <c r="H2675" s="7" t="n">
        <f aca="false">Sens!$E$2675+dm_seg</f>
        <v>0.296207935710698</v>
      </c>
      <c r="I2675" s="7" t="n">
        <f aca="false">Sens!$E$2675+dm_seg</f>
        <v>0.296207935710698</v>
      </c>
      <c r="J2675" s="7" t="n">
        <f aca="false">Sens!$E$2675+dm_seg</f>
        <v>0.296207935710698</v>
      </c>
      <c r="K2675" s="7" t="n">
        <f aca="false">Sens!$E$2675+dm_seg</f>
        <v>0.296207935710698</v>
      </c>
      <c r="L2675" s="11" t="s">
        <v>912</v>
      </c>
    </row>
    <row r="2676" customFormat="false" ht="17.15" hidden="false" customHeight="false" outlineLevel="0" collapsed="false">
      <c r="A2676" s="0" t="s">
        <v>745</v>
      </c>
      <c r="B2676" s="0" t="s">
        <v>98</v>
      </c>
      <c r="D2676" s="6" t="n">
        <f aca="false">Q!L22</f>
        <v>17.714</v>
      </c>
      <c r="E2676" s="6" t="n">
        <f aca="false">Q!M22</f>
        <v>18.872</v>
      </c>
      <c r="F2676" s="6" t="n">
        <f aca="false">Sens!F2651*Sens!F2675</f>
        <v>19.2954518910651</v>
      </c>
      <c r="G2676" s="6" t="n">
        <f aca="false">Sens!G2651*Sens!G2675</f>
        <v>19.8830646387704</v>
      </c>
      <c r="H2676" s="6" t="n">
        <f aca="false">Sens!H2651*Sens!H2675</f>
        <v>20.6092017868026</v>
      </c>
      <c r="I2676" s="6" t="n">
        <f aca="false">Sens!I2651*Sens!I2675</f>
        <v>21.452361761678</v>
      </c>
      <c r="J2676" s="6" t="n">
        <f aca="false">Sens!J2651*Sens!J2675</f>
        <v>22.3946261183418</v>
      </c>
      <c r="K2676" s="6" t="n">
        <f aca="false">Sens!K2651*Sens!K2675</f>
        <v>23.4215879274986</v>
      </c>
    </row>
    <row r="2677" customFormat="false" ht="15" hidden="false" customHeight="false" outlineLevel="0" collapsed="false">
      <c r="A2677" s="1" t="s">
        <v>913</v>
      </c>
      <c r="B2677" s="0" t="s">
        <v>98</v>
      </c>
      <c r="D2677" s="6" t="n">
        <f aca="false">Sens!D2674+Sens!D2676</f>
        <v>128.528</v>
      </c>
      <c r="E2677" s="6" t="n">
        <f aca="false">Sens!E2674+Sens!E2676</f>
        <v>155.237</v>
      </c>
      <c r="F2677" s="6" t="n">
        <f aca="false">Sens!F2674+Sens!F2676</f>
        <v>177.948025591719</v>
      </c>
      <c r="G2677" s="6" t="n">
        <f aca="false">Sens!G2674+Sens!G2676</f>
        <v>205.551820442406</v>
      </c>
      <c r="H2677" s="6" t="n">
        <f aca="false">Sens!H2674+Sens!H2676</f>
        <v>233.161448047178</v>
      </c>
      <c r="I2677" s="6" t="n">
        <f aca="false">Sens!I2674+Sens!I2676</f>
        <v>259.083412021309</v>
      </c>
      <c r="J2677" s="6" t="n">
        <f aca="false">Sens!J2674+Sens!J2676</f>
        <v>281.776824523573</v>
      </c>
      <c r="K2677" s="6" t="n">
        <f aca="false">Sens!K2674+Sens!K2676</f>
        <v>302.231350178419</v>
      </c>
    </row>
    <row r="2678" customFormat="false" ht="15" hidden="false" customHeight="false" outlineLevel="0" collapsed="false">
      <c r="A2678" s="23" t="s">
        <v>914</v>
      </c>
      <c r="B2678" s="30" t="s">
        <v>98</v>
      </c>
      <c r="C2678" s="30"/>
      <c r="D2678" s="24" t="n">
        <f aca="false">Sens!D2677-Q!L23</f>
        <v>0</v>
      </c>
      <c r="E2678" s="24" t="n">
        <f aca="false">Sens!E2677-Q!M23</f>
        <v>0</v>
      </c>
      <c r="F2678" s="30"/>
      <c r="G2678" s="30"/>
      <c r="H2678" s="30"/>
      <c r="I2678" s="30"/>
      <c r="J2678" s="30"/>
      <c r="K2678" s="30"/>
    </row>
    <row r="2679" customFormat="false" ht="15" hidden="false" customHeight="false" outlineLevel="0" collapsed="false">
      <c r="A2679" s="1" t="s">
        <v>915</v>
      </c>
      <c r="B2679" s="0" t="s">
        <v>129</v>
      </c>
      <c r="D2679" s="7" t="n">
        <f aca="false">Sens!D2677/Sens!D2670</f>
        <v>0.456219562408598</v>
      </c>
      <c r="E2679" s="7" t="n">
        <f aca="false">Sens!E2677/Sens!E2670</f>
        <v>0.467808184089272</v>
      </c>
      <c r="F2679" s="7" t="n">
        <f aca="false">Sens!F2677/Sens!F2670</f>
        <v>0.445530446239542</v>
      </c>
      <c r="G2679" s="7" t="n">
        <f aca="false">Sens!G2677/Sens!G2670</f>
        <v>0.432560834818671</v>
      </c>
      <c r="H2679" s="7" t="n">
        <f aca="false">Sens!H2677/Sens!H2670</f>
        <v>0.42180317315984</v>
      </c>
      <c r="I2679" s="7" t="n">
        <f aca="false">Sens!I2677/Sens!I2670</f>
        <v>0.414980418750613</v>
      </c>
      <c r="J2679" s="7" t="n">
        <f aca="false">Sens!J2677/Sens!J2670</f>
        <v>0.412362287077714</v>
      </c>
      <c r="K2679" s="7" t="n">
        <f aca="false">Sens!K2677/Sens!K2670</f>
        <v>0.413195284259781</v>
      </c>
    </row>
    <row r="2680" customFormat="false" ht="17.15" hidden="false" customHeight="false" outlineLevel="0" collapsed="false">
      <c r="A2680" s="1" t="s">
        <v>916</v>
      </c>
      <c r="B2680" s="0" t="s">
        <v>98</v>
      </c>
      <c r="F2680" s="6" t="n">
        <f aca="false">Sens!F2695</f>
        <v>2.85973208448812</v>
      </c>
      <c r="G2680" s="6" t="n">
        <f aca="false">Sens!G2695</f>
        <v>8.5867175589825</v>
      </c>
      <c r="H2680" s="6" t="n">
        <f aca="false">Sens!H2695</f>
        <v>15.0806925087378</v>
      </c>
      <c r="I2680" s="6" t="n">
        <f aca="false">Sens!I2695</f>
        <v>21.3033899682473</v>
      </c>
      <c r="J2680" s="6" t="n">
        <f aca="false">Sens!J2695</f>
        <v>25.7677172043103</v>
      </c>
      <c r="K2680" s="6" t="n">
        <f aca="false">Sens!K2695</f>
        <v>27.9941193409014</v>
      </c>
      <c r="L2680" s="1" t="s">
        <v>917</v>
      </c>
    </row>
    <row r="2681" customFormat="false" ht="17.15" hidden="false" customHeight="false" outlineLevel="0" collapsed="false">
      <c r="A2681" s="1" t="s">
        <v>918</v>
      </c>
      <c r="B2681" s="0" t="s">
        <v>98</v>
      </c>
      <c r="D2681" s="6" t="n">
        <f aca="false">Sens!D2677</f>
        <v>128.528</v>
      </c>
      <c r="E2681" s="6" t="n">
        <f aca="false">Sens!E2677</f>
        <v>155.237</v>
      </c>
      <c r="F2681" s="6" t="n">
        <f aca="false">Sens!F2677+Sens!F2680</f>
        <v>180.807757676207</v>
      </c>
      <c r="G2681" s="6" t="n">
        <f aca="false">Sens!G2677+Sens!G2680</f>
        <v>214.138538001389</v>
      </c>
      <c r="H2681" s="6" t="n">
        <f aca="false">Sens!H2677+Sens!H2680</f>
        <v>248.242140555916</v>
      </c>
      <c r="I2681" s="6" t="n">
        <f aca="false">Sens!I2677+Sens!I2680</f>
        <v>280.386801989556</v>
      </c>
      <c r="J2681" s="6" t="n">
        <f aca="false">Sens!J2677+Sens!J2680</f>
        <v>307.544541727883</v>
      </c>
      <c r="K2681" s="6" t="n">
        <f aca="false">Sens!K2677+Sens!K2680</f>
        <v>330.225469519321</v>
      </c>
    </row>
    <row r="2682" customFormat="false" ht="17.15" hidden="false" customHeight="false" outlineLevel="0" collapsed="false">
      <c r="A2682" s="1" t="s">
        <v>919</v>
      </c>
      <c r="B2682" s="0" t="s">
        <v>98</v>
      </c>
      <c r="E2682" s="6" t="n">
        <f aca="false">Sens!E2625</f>
        <v>13.0443247816667</v>
      </c>
      <c r="F2682" s="6" t="n">
        <f aca="false">Sens!F2625</f>
        <v>27.2399099047645</v>
      </c>
      <c r="G2682" s="6" t="n">
        <f aca="false">Sens!G2625</f>
        <v>47.3003496884089</v>
      </c>
      <c r="H2682" s="6" t="n">
        <f aca="false">Sens!H2625</f>
        <v>69.0888158746489</v>
      </c>
      <c r="I2682" s="6" t="n">
        <f aca="false">Sens!I2625</f>
        <v>88.4845950659141</v>
      </c>
      <c r="J2682" s="6" t="n">
        <f aca="false">Sens!J2625</f>
        <v>102.398658282275</v>
      </c>
      <c r="K2682" s="6" t="n">
        <f aca="false">Sens!K2625</f>
        <v>111.305171235446</v>
      </c>
    </row>
    <row r="2683" customFormat="false" ht="17.15" hidden="false" customHeight="false" outlineLevel="0" collapsed="false">
      <c r="A2683" s="1" t="s">
        <v>920</v>
      </c>
      <c r="B2683" s="0" t="s">
        <v>98</v>
      </c>
      <c r="E2683" s="6" t="n">
        <f aca="false">Sens!E2707</f>
        <v>25.4896752183333</v>
      </c>
      <c r="F2683" s="6" t="n">
        <f aca="false">Sens!F2707</f>
        <v>30.5340776267827</v>
      </c>
      <c r="G2683" s="6" t="n">
        <f aca="false">Sens!G2707</f>
        <v>31.5959592211433</v>
      </c>
      <c r="H2683" s="6" t="n">
        <f aca="false">Sens!H2707</f>
        <v>33.117514663438</v>
      </c>
      <c r="I2683" s="6" t="n">
        <f aca="false">Sens!I2707</f>
        <v>35.0256032282586</v>
      </c>
      <c r="J2683" s="6" t="n">
        <f aca="false">Sens!J2707</f>
        <v>37.2311342304701</v>
      </c>
      <c r="K2683" s="6" t="n">
        <f aca="false">Sens!K2707</f>
        <v>39.6448910816225</v>
      </c>
    </row>
    <row r="2684" customFormat="false" ht="17.15" hidden="false" customHeight="false" outlineLevel="0" collapsed="false">
      <c r="A2684" s="1" t="s">
        <v>921</v>
      </c>
      <c r="B2684" s="0" t="s">
        <v>98</v>
      </c>
      <c r="D2684" s="6" t="n">
        <f aca="false">Q!L27</f>
        <v>-4.901</v>
      </c>
      <c r="E2684" s="6" t="n">
        <f aca="false">Q!M27</f>
        <v>10.697</v>
      </c>
      <c r="F2684" s="6" t="n">
        <f aca="false">oie_f</f>
        <v>-0.4</v>
      </c>
      <c r="G2684" s="6" t="n">
        <f aca="false">oie_f</f>
        <v>-0.4</v>
      </c>
      <c r="H2684" s="6" t="n">
        <f aca="false">oie_f</f>
        <v>-0.4</v>
      </c>
      <c r="I2684" s="6" t="n">
        <f aca="false">oie_f</f>
        <v>-0.4</v>
      </c>
      <c r="J2684" s="6" t="n">
        <f aca="false">oie_f</f>
        <v>-0.4</v>
      </c>
      <c r="K2684" s="6" t="n">
        <f aca="false">oie_f</f>
        <v>-0.4</v>
      </c>
      <c r="L2684" s="11" t="s">
        <v>922</v>
      </c>
    </row>
    <row r="2685" customFormat="false" ht="15" hidden="false" customHeight="false" outlineLevel="0" collapsed="false">
      <c r="A2685" s="1" t="s">
        <v>923</v>
      </c>
      <c r="B2685" s="0" t="s">
        <v>98</v>
      </c>
      <c r="D2685" s="6" t="n">
        <f aca="false">Sens!D2677+Sens!D2684</f>
        <v>123.627</v>
      </c>
      <c r="E2685" s="6" t="n">
        <f aca="false">Sens!E2677+Sens!E2684</f>
        <v>165.934</v>
      </c>
      <c r="F2685" s="6" t="n">
        <f aca="false">Sens!F2677+Sens!F2684</f>
        <v>177.548025591719</v>
      </c>
      <c r="G2685" s="6" t="n">
        <f aca="false">Sens!G2677+Sens!G2684</f>
        <v>205.151820442406</v>
      </c>
      <c r="H2685" s="6" t="n">
        <f aca="false">Sens!H2677+Sens!H2684</f>
        <v>232.761448047178</v>
      </c>
      <c r="I2685" s="6" t="n">
        <f aca="false">Sens!I2677+Sens!I2684</f>
        <v>258.683412021309</v>
      </c>
      <c r="J2685" s="6" t="n">
        <f aca="false">Sens!J2677+Sens!J2684</f>
        <v>281.376824523573</v>
      </c>
      <c r="K2685" s="6" t="n">
        <f aca="false">Sens!K2677+Sens!K2684</f>
        <v>301.831350178419</v>
      </c>
    </row>
    <row r="2686" customFormat="false" ht="15" hidden="false" customHeight="false" outlineLevel="0" collapsed="false">
      <c r="A2686" s="1" t="s">
        <v>924</v>
      </c>
      <c r="B2686" s="0" t="s">
        <v>98</v>
      </c>
      <c r="D2686" s="6" t="n">
        <f aca="false">Q!L29</f>
        <v>21.795</v>
      </c>
      <c r="E2686" s="6" t="n">
        <f aca="false">Q!M29</f>
        <v>32.185</v>
      </c>
      <c r="F2686" s="6" t="n">
        <f aca="false">Sens!F2685*tax_f</f>
        <v>35.5096051183437</v>
      </c>
      <c r="G2686" s="6" t="n">
        <f aca="false">Sens!G2685*tax_f</f>
        <v>41.0303640884813</v>
      </c>
      <c r="H2686" s="6" t="n">
        <f aca="false">Sens!H2685*tax_f</f>
        <v>46.5522896094356</v>
      </c>
      <c r="I2686" s="6" t="n">
        <f aca="false">Sens!I2685*tax_f</f>
        <v>51.7366824042618</v>
      </c>
      <c r="J2686" s="6" t="n">
        <f aca="false">Sens!J2685*tax_f</f>
        <v>56.2753649047146</v>
      </c>
      <c r="K2686" s="6" t="n">
        <f aca="false">Sens!K2685*tax_f</f>
        <v>60.3662700356839</v>
      </c>
    </row>
    <row r="2687" customFormat="false" ht="15" hidden="false" customHeight="false" outlineLevel="0" collapsed="false">
      <c r="A2687" s="1" t="s">
        <v>925</v>
      </c>
      <c r="B2687" s="0" t="s">
        <v>98</v>
      </c>
      <c r="D2687" s="6" t="n">
        <f aca="false">Sens!D2685-Sens!D2686</f>
        <v>101.832</v>
      </c>
      <c r="E2687" s="6" t="n">
        <f aca="false">Sens!E2685-Sens!E2686</f>
        <v>133.749</v>
      </c>
      <c r="F2687" s="6" t="n">
        <f aca="false">Sens!F2685-Sens!F2686</f>
        <v>142.038420473375</v>
      </c>
      <c r="G2687" s="6" t="n">
        <f aca="false">Sens!G2685-Sens!G2686</f>
        <v>164.121456353925</v>
      </c>
      <c r="H2687" s="6" t="n">
        <f aca="false">Sens!H2685-Sens!H2686</f>
        <v>186.209158437742</v>
      </c>
      <c r="I2687" s="6" t="n">
        <f aca="false">Sens!I2685-Sens!I2686</f>
        <v>206.946729617047</v>
      </c>
      <c r="J2687" s="6" t="n">
        <f aca="false">Sens!J2685-Sens!J2686</f>
        <v>225.101459618859</v>
      </c>
      <c r="K2687" s="6" t="n">
        <f aca="false">Sens!K2685-Sens!K2686</f>
        <v>241.465080142735</v>
      </c>
    </row>
    <row r="2688" customFormat="false" ht="17.15" hidden="false" customHeight="false" outlineLevel="0" collapsed="false">
      <c r="A2688" s="1" t="s">
        <v>926</v>
      </c>
      <c r="B2688" s="1" t="s">
        <v>81</v>
      </c>
      <c r="D2688" s="14" t="n">
        <f aca="false">Q!L31</f>
        <v>7.465</v>
      </c>
      <c r="E2688" s="14" t="n">
        <f aca="false">Q!M31</f>
        <v>7.453</v>
      </c>
      <c r="F2688" s="14" t="n">
        <f aca="false">Sens!F2731</f>
        <v>7.4735</v>
      </c>
      <c r="G2688" s="14" t="n">
        <f aca="false">Sens!G2731</f>
        <v>7.49987171271795</v>
      </c>
      <c r="H2688" s="14" t="n">
        <f aca="false">Sens!H2731</f>
        <v>7.50899501128585</v>
      </c>
      <c r="I2688" s="14" t="n">
        <f aca="false">Sens!I2731</f>
        <v>7.52077584329316</v>
      </c>
      <c r="J2688" s="14" t="n">
        <f aca="false">Sens!J2731</f>
        <v>7.53501735441104</v>
      </c>
      <c r="K2688" s="14" t="n">
        <f aca="false">Sens!K2731</f>
        <v>7.55153727211278</v>
      </c>
    </row>
    <row r="2689" customFormat="false" ht="17.15" hidden="false" customHeight="false" outlineLevel="0" collapsed="false">
      <c r="A2689" s="0" t="s">
        <v>927</v>
      </c>
      <c r="B2689" s="0" t="s">
        <v>75</v>
      </c>
      <c r="D2689" s="8" t="n">
        <f aca="false">Sens!D2687/Sens!D2688</f>
        <v>13.641259209645</v>
      </c>
      <c r="E2689" s="8" t="n">
        <f aca="false">Sens!E2687/Sens!E2688</f>
        <v>17.9456594659869</v>
      </c>
      <c r="F2689" s="8" t="n">
        <f aca="false">Sens!F2687/Sens!F2688</f>
        <v>19.0056092156787</v>
      </c>
      <c r="G2689" s="8" t="n">
        <f aca="false">Sens!G2687/Sens!G2688</f>
        <v>21.8832351592915</v>
      </c>
      <c r="H2689" s="8" t="n">
        <f aca="false">Sens!H2687/Sens!H2688</f>
        <v>24.7981465106681</v>
      </c>
      <c r="I2689" s="8" t="n">
        <f aca="false">Sens!I2687/Sens!I2688</f>
        <v>27.516673004102</v>
      </c>
      <c r="J2689" s="8" t="n">
        <f aca="false">Sens!J2687/Sens!J2688</f>
        <v>29.874046605491</v>
      </c>
      <c r="K2689" s="8" t="n">
        <f aca="false">Sens!K2687/Sens!K2688</f>
        <v>31.9756191940476</v>
      </c>
      <c r="L2689" s="1" t="s">
        <v>928</v>
      </c>
    </row>
    <row r="2690" customFormat="false" ht="17.15" hidden="false" customHeight="false" outlineLevel="0" collapsed="false">
      <c r="A2690" s="1" t="s">
        <v>929</v>
      </c>
      <c r="B2690" s="0" t="s">
        <v>98</v>
      </c>
      <c r="D2690" s="6" t="n">
        <f aca="false">Sens!D2687</f>
        <v>101.832</v>
      </c>
      <c r="E2690" s="6" t="n">
        <f aca="false">Sens!E2687</f>
        <v>133.749</v>
      </c>
      <c r="F2690" s="6" t="n">
        <f aca="false">Sens!F2687+Sens!F2680*(1-tax_f)</f>
        <v>144.326206140965</v>
      </c>
      <c r="G2690" s="6" t="n">
        <f aca="false">Sens!G2687+Sens!G2680*(1-tax_f)</f>
        <v>170.990830401111</v>
      </c>
      <c r="H2690" s="6" t="n">
        <f aca="false">Sens!H2687+Sens!H2680*(1-tax_f)</f>
        <v>198.273712444733</v>
      </c>
      <c r="I2690" s="6" t="n">
        <f aca="false">Sens!I2687+Sens!I2680*(1-tax_f)</f>
        <v>223.989441591645</v>
      </c>
      <c r="J2690" s="6" t="n">
        <f aca="false">Sens!J2687+Sens!J2680*(1-tax_f)</f>
        <v>245.715633382307</v>
      </c>
      <c r="K2690" s="6" t="n">
        <f aca="false">Sens!K2687+Sens!K2680*(1-tax_f)</f>
        <v>263.860375615457</v>
      </c>
    </row>
    <row r="2691" customFormat="false" ht="17.15" hidden="false" customHeight="false" outlineLevel="0" collapsed="false">
      <c r="A2691" s="0" t="s">
        <v>930</v>
      </c>
      <c r="B2691" s="0" t="s">
        <v>75</v>
      </c>
      <c r="D2691" s="8" t="n">
        <f aca="false">Sens!D2690/Sens!D2688</f>
        <v>13.641259209645</v>
      </c>
      <c r="E2691" s="8" t="n">
        <f aca="false">Sens!E2690/Sens!E2688</f>
        <v>17.9456594659869</v>
      </c>
      <c r="F2691" s="8" t="n">
        <f aca="false">Sens!F2690/Sens!F2688</f>
        <v>19.3117289276732</v>
      </c>
      <c r="G2691" s="8" t="n">
        <f aca="false">Sens!G2690/Sens!G2688</f>
        <v>22.7991673659101</v>
      </c>
      <c r="H2691" s="8" t="n">
        <f aca="false">Sens!H2690/Sens!H2688</f>
        <v>26.4048267639986</v>
      </c>
      <c r="I2691" s="8" t="n">
        <f aca="false">Sens!I2690/Sens!I2688</f>
        <v>29.7827572924399</v>
      </c>
      <c r="J2691" s="8" t="n">
        <f aca="false">Sens!J2690/Sens!J2688</f>
        <v>32.6098297887083</v>
      </c>
      <c r="K2691" s="8" t="n">
        <f aca="false">Sens!K2690/Sens!K2688</f>
        <v>34.9412796504192</v>
      </c>
      <c r="L2691" s="1" t="s">
        <v>931</v>
      </c>
    </row>
    <row r="2692" customFormat="false" ht="17.15" hidden="false" customHeight="false" outlineLevel="0" collapsed="false">
      <c r="A2692" s="0" t="s">
        <v>932</v>
      </c>
      <c r="B2692" s="0" t="s">
        <v>129</v>
      </c>
      <c r="E2692" s="7" t="n">
        <f aca="false">Sens!E2691/Sens!D2691-1</f>
        <v>0.315542736208578</v>
      </c>
      <c r="F2692" s="7" t="n">
        <f aca="false">Sens!F2691/Sens!E2691-1</f>
        <v>0.0761225556673175</v>
      </c>
      <c r="G2692" s="7" t="n">
        <f aca="false">Sens!G2691/Sens!F2691-1</f>
        <v>0.180586546719777</v>
      </c>
      <c r="H2692" s="7" t="n">
        <f aca="false">Sens!H2691/Sens!G2691-1</f>
        <v>0.158148731496213</v>
      </c>
      <c r="I2692" s="7" t="n">
        <f aca="false">Sens!I2691/Sens!H2691-1</f>
        <v>0.127928524531995</v>
      </c>
      <c r="J2692" s="7" t="n">
        <f aca="false">Sens!J2691/Sens!I2691-1</f>
        <v>0.0949231284568128</v>
      </c>
      <c r="K2692" s="7" t="n">
        <f aca="false">Sens!K2691/Sens!J2691-1</f>
        <v>0.0714953091389108</v>
      </c>
    </row>
    <row r="2693" customFormat="false" ht="17.15" hidden="false" customHeight="false" outlineLevel="0" collapsed="false">
      <c r="A2693" s="0" t="s">
        <v>856</v>
      </c>
      <c r="B2693" s="0" t="s">
        <v>98</v>
      </c>
      <c r="E2693" s="6" t="n">
        <f aca="false">Sens!E2634</f>
        <v>5.25</v>
      </c>
      <c r="F2693" s="6" t="n">
        <f aca="false">Sens!F2634</f>
        <v>12</v>
      </c>
      <c r="G2693" s="6" t="n">
        <f aca="false">Sens!G2634</f>
        <v>18</v>
      </c>
      <c r="H2693" s="6" t="n">
        <f aca="false">Sens!H2634</f>
        <v>24</v>
      </c>
      <c r="I2693" s="6" t="n">
        <f aca="false">Sens!I2634</f>
        <v>28.5</v>
      </c>
      <c r="J2693" s="6" t="n">
        <f aca="false">Sens!J2634</f>
        <v>31.5</v>
      </c>
      <c r="K2693" s="6" t="n">
        <f aca="false">Sens!K2634</f>
        <v>34.5</v>
      </c>
    </row>
    <row r="2694" customFormat="false" ht="17.15" hidden="false" customHeight="false" outlineLevel="0" collapsed="false">
      <c r="A2694" s="1" t="s">
        <v>857</v>
      </c>
      <c r="B2694" s="0" t="s">
        <v>98</v>
      </c>
      <c r="F2694" s="6" t="n">
        <f aca="false">MAX(0,((Sens!E2597+Sens!F2597)/2-(shadow_base*(Sens!$D$2597+Sens!$E$2597)/2+(1-shadow_base)*Sens!$E$2597))*Sens!F2605/1000-(Sens!F2693-Sens!$E$2693)*Sens!F2673)</f>
        <v>2.85973208448812</v>
      </c>
      <c r="G2694" s="6" t="n">
        <f aca="false">MAX(0,((Sens!F2597+Sens!G2597)/2-(shadow_base*(Sens!$D$2597+Sens!$E$2597)/2+(1-shadow_base)*Sens!$E$2597))*Sens!G2605/1000-(Sens!G2693-Sens!$E$2693)*Sens!G2673)</f>
        <v>8.5867175589825</v>
      </c>
      <c r="H2694" s="6" t="n">
        <f aca="false">MAX(0,((Sens!G2597+Sens!H2597)/2-(shadow_base*(Sens!$D$2597+Sens!$E$2597)/2+(1-shadow_base)*Sens!$E$2597))*Sens!H2605/1000-(Sens!H2693-Sens!$E$2693)*Sens!H2673)</f>
        <v>15.0806925087378</v>
      </c>
      <c r="I2694" s="6" t="n">
        <f aca="false">MAX(0,((Sens!H2597+Sens!I2597)/2-(shadow_base*(Sens!$D$2597+Sens!$E$2597)/2+(1-shadow_base)*Sens!$E$2597))*Sens!I2605/1000-(Sens!I2693-Sens!$E$2693)*Sens!I2673)</f>
        <v>21.3033899682473</v>
      </c>
      <c r="J2694" s="6" t="n">
        <f aca="false">MAX(0,((Sens!I2597+Sens!J2597)/2-(shadow_base*(Sens!$D$2597+Sens!$E$2597)/2+(1-shadow_base)*Sens!$E$2597))*Sens!J2605/1000-(Sens!J2693-Sens!$E$2693)*Sens!J2673)</f>
        <v>25.7677172043103</v>
      </c>
      <c r="K2694" s="6" t="n">
        <f aca="false">MAX(0,((Sens!J2597+Sens!K2597)/2-(shadow_base*(Sens!$D$2597+Sens!$E$2597)/2+(1-shadow_base)*Sens!$E$2597))*Sens!K2605/1000-(Sens!K2693-Sens!$E$2693)*Sens!K2673)</f>
        <v>27.9941193409014</v>
      </c>
      <c r="L2694" s="1" t="s">
        <v>858</v>
      </c>
    </row>
    <row r="2695" customFormat="false" ht="17.15" hidden="false" customHeight="false" outlineLevel="0" collapsed="false">
      <c r="A2695" s="1" t="s">
        <v>859</v>
      </c>
      <c r="B2695" s="0" t="s">
        <v>98</v>
      </c>
      <c r="F2695" s="6" t="n">
        <f aca="false">IF(internal_ai_reading=2,1,0)*Sens!F2694</f>
        <v>2.85973208448812</v>
      </c>
      <c r="G2695" s="6" t="n">
        <f aca="false">IF(internal_ai_reading=2,1,0)*Sens!G2694</f>
        <v>8.5867175589825</v>
      </c>
      <c r="H2695" s="6" t="n">
        <f aca="false">IF(internal_ai_reading=2,1,0)*Sens!H2694</f>
        <v>15.0806925087378</v>
      </c>
      <c r="I2695" s="6" t="n">
        <f aca="false">IF(internal_ai_reading=2,1,0)*Sens!I2694</f>
        <v>21.3033899682473</v>
      </c>
      <c r="J2695" s="6" t="n">
        <f aca="false">IF(internal_ai_reading=2,1,0)*Sens!J2694</f>
        <v>25.7677172043103</v>
      </c>
      <c r="K2695" s="6" t="n">
        <f aca="false">IF(internal_ai_reading=2,1,0)*Sens!K2694</f>
        <v>27.9941193409014</v>
      </c>
    </row>
    <row r="2696" customFormat="false" ht="17.15" hidden="false" customHeight="false" outlineLevel="0" collapsed="false">
      <c r="A2696" s="0" t="s">
        <v>860</v>
      </c>
      <c r="B2696" s="0" t="s">
        <v>98</v>
      </c>
      <c r="F2696" s="6" t="n">
        <f aca="false">Sens!F2614+Sens!F2693*Sens!F2673+Sens!F2695-Sens!F2615-Sens!F2625</f>
        <v>18.4202806966915</v>
      </c>
      <c r="G2696" s="6" t="n">
        <f aca="false">Sens!G2614+Sens!G2693*Sens!G2673+Sens!G2695-Sens!G2615-Sens!G2625</f>
        <v>32.3580314058405</v>
      </c>
      <c r="H2696" s="6" t="n">
        <f aca="false">Sens!H2614+Sens!H2693*Sens!H2673+Sens!H2695-Sens!H2615-Sens!H2625</f>
        <v>46.7947724530007</v>
      </c>
      <c r="I2696" s="6" t="n">
        <f aca="false">Sens!I2614+Sens!I2693*Sens!I2673+Sens!I2695-Sens!I2615-Sens!I2625</f>
        <v>59.6624817314161</v>
      </c>
      <c r="J2696" s="6" t="n">
        <f aca="false">Sens!J2614+Sens!J2693*Sens!J2673+Sens!J2695-Sens!J2615-Sens!J2625</f>
        <v>68.6715317154835</v>
      </c>
      <c r="K2696" s="6" t="n">
        <f aca="false">Sens!K2614+Sens!K2693*Sens!K2673+Sens!K2695-Sens!K2615-Sens!K2625</f>
        <v>75.0922058903184</v>
      </c>
    </row>
    <row r="2697" customFormat="false" ht="17.15" hidden="false" customHeight="false" outlineLevel="0" collapsed="false">
      <c r="A2697" s="0" t="s">
        <v>861</v>
      </c>
      <c r="B2697" s="0" t="s">
        <v>98</v>
      </c>
      <c r="E2697" s="6" t="n">
        <f aca="false">Sens!E2596*(cxit_open+self_build*tk_cxfac)/1000*ai_net_open</f>
        <v>101.35843056</v>
      </c>
      <c r="F2697" s="6" t="n">
        <f aca="false">Sens!E2697+Sens!F2622-Sens!F2625</f>
        <v>202.384821352409</v>
      </c>
      <c r="G2697" s="6" t="n">
        <f aca="false">Sens!F2697+Sens!G2622-Sens!G2625</f>
        <v>301.94381605056</v>
      </c>
      <c r="H2697" s="6" t="n">
        <f aca="false">Sens!G2697+Sens!H2622-Sens!H2625</f>
        <v>383.319228904231</v>
      </c>
      <c r="I2697" s="6" t="n">
        <f aca="false">Sens!H2697+Sens!I2622-Sens!I2625</f>
        <v>425.799969161713</v>
      </c>
      <c r="J2697" s="6" t="n">
        <f aca="false">Sens!I2697+Sens!J2622-Sens!J2625</f>
        <v>425.146460154832</v>
      </c>
      <c r="K2697" s="6" t="n">
        <f aca="false">Sens!J2697+Sens!K2622-Sens!K2625</f>
        <v>410.967221162258</v>
      </c>
      <c r="L2697" s="1" t="s">
        <v>862</v>
      </c>
    </row>
    <row r="2698" customFormat="false" ht="17.15" hidden="false" customHeight="false" outlineLevel="0" collapsed="false">
      <c r="A2698" s="0" t="s">
        <v>863</v>
      </c>
      <c r="B2698" s="0" t="s">
        <v>129</v>
      </c>
      <c r="F2698" s="7" t="n">
        <f aca="false">Sens!F2696*(1-tax_f)/((Sens!E2697+Sens!F2697)/2)</f>
        <v>0.0970307946897385</v>
      </c>
      <c r="G2698" s="7" t="n">
        <f aca="false">Sens!G2696*(1-tax_f)/((Sens!F2697+Sens!G2697)/2)</f>
        <v>0.102656970890942</v>
      </c>
      <c r="H2698" s="7" t="n">
        <f aca="false">Sens!H2696*(1-tax_f)/((Sens!G2697+Sens!H2697)/2)</f>
        <v>0.109259701768597</v>
      </c>
      <c r="I2698" s="7" t="n">
        <f aca="false">Sens!I2696*(1-tax_f)/((Sens!H2697+Sens!I2697)/2)</f>
        <v>0.117980108491364</v>
      </c>
      <c r="J2698" s="7" t="n">
        <f aca="false">Sens!J2696*(1-tax_f)/((Sens!I2697+Sens!J2697)/2)</f>
        <v>0.129120291195089</v>
      </c>
      <c r="K2698" s="7" t="n">
        <f aca="false">Sens!K2696*(1-tax_f)/((Sens!J2697+Sens!K2697)/2)</f>
        <v>0.143697600110127</v>
      </c>
    </row>
    <row r="2699" customFormat="false" ht="17.15" hidden="false" customHeight="false" outlineLevel="0" collapsed="false">
      <c r="A2699" s="1" t="s">
        <v>864</v>
      </c>
      <c r="B2699" s="0" t="s">
        <v>129</v>
      </c>
      <c r="F2699" s="7" t="n">
        <f aca="false">(Sens!F2696-Sens!F2695)*(1-tax_f)/((Sens!E2697+Sens!F2697)/2)</f>
        <v>0.0819668506963409</v>
      </c>
      <c r="G2699" s="7" t="n">
        <f aca="false">(Sens!G2696-Sens!G2695)*(1-tax_f)/((Sens!F2697+Sens!G2697)/2)</f>
        <v>0.0754153132188344</v>
      </c>
      <c r="H2699" s="7" t="n">
        <f aca="false">(Sens!H2696-Sens!H2695)*(1-tax_f)/((Sens!G2697+Sens!H2697)/2)</f>
        <v>0.0740482480186397</v>
      </c>
      <c r="I2699" s="7" t="n">
        <f aca="false">(Sens!I2696-Sens!I2695)*(1-tax_f)/((Sens!H2697+Sens!I2697)/2)</f>
        <v>0.0758535293288988</v>
      </c>
      <c r="J2699" s="7" t="n">
        <f aca="false">(Sens!J2696-Sens!J2695)*(1-tax_f)/((Sens!I2697+Sens!J2697)/2)</f>
        <v>0.0806702993900705</v>
      </c>
      <c r="K2699" s="7" t="n">
        <f aca="false">(Sens!K2696-Sens!K2695)*(1-tax_f)/((Sens!J2697+Sens!K2697)/2)</f>
        <v>0.0901276227897157</v>
      </c>
    </row>
    <row r="2700" customFormat="false" ht="17.15" hidden="false" customHeight="false" outlineLevel="0" collapsed="false">
      <c r="A2700" s="1" t="s">
        <v>865</v>
      </c>
      <c r="B2700" s="0" t="s">
        <v>129</v>
      </c>
      <c r="F2700" s="7" t="n">
        <f aca="false">(Sens!F2696-Sens!F2695+Sens!F2694)*(1-tax_f)/((Sens!E2697+Sens!F2697)/2)</f>
        <v>0.0970307946897385</v>
      </c>
      <c r="G2700" s="7" t="n">
        <f aca="false">(Sens!G2696-Sens!G2695+Sens!G2694)*(1-tax_f)/((Sens!F2697+Sens!G2697)/2)</f>
        <v>0.102656970890942</v>
      </c>
      <c r="H2700" s="7" t="n">
        <f aca="false">(Sens!H2696-Sens!H2695+Sens!H2694)*(1-tax_f)/((Sens!G2697+Sens!H2697)/2)</f>
        <v>0.109259701768597</v>
      </c>
      <c r="I2700" s="7" t="n">
        <f aca="false">(Sens!I2696-Sens!I2695+Sens!I2694)*(1-tax_f)/((Sens!H2697+Sens!I2697)/2)</f>
        <v>0.117980108491364</v>
      </c>
      <c r="J2700" s="7" t="n">
        <f aca="false">(Sens!J2696-Sens!J2695+Sens!J2694)*(1-tax_f)/((Sens!I2697+Sens!J2697)/2)</f>
        <v>0.129120291195089</v>
      </c>
      <c r="K2700" s="7" t="n">
        <f aca="false">(Sens!K2696-Sens!K2695+Sens!K2694)*(1-tax_f)/((Sens!J2697+Sens!K2697)/2)</f>
        <v>0.143697600110127</v>
      </c>
    </row>
    <row r="2701" customFormat="false" ht="17.15" hidden="false" customHeight="false" outlineLevel="0" collapsed="false">
      <c r="A2701" s="1" t="s">
        <v>866</v>
      </c>
      <c r="B2701" s="0" t="s">
        <v>129</v>
      </c>
      <c r="F2701" s="7" t="n">
        <f aca="false">Sens!F2626*(1-tax_f)/(Sens!F2613*(Sens!E2697+Sens!F2697)/2)</f>
        <v>0.133653288300971</v>
      </c>
      <c r="G2701" s="7" t="n">
        <f aca="false">Sens!G2626*(1-tax_f)/(Sens!G2613*(Sens!F2697+Sens!G2697)/2)</f>
        <v>0.131459221834535</v>
      </c>
      <c r="H2701" s="7" t="n">
        <f aca="false">Sens!H2626*(1-tax_f)/(Sens!H2613*(Sens!G2697+Sens!H2697)/2)</f>
        <v>0.135120575835084</v>
      </c>
      <c r="I2701" s="7" t="n">
        <f aca="false">Sens!I2626*(1-tax_f)/(Sens!I2613*(Sens!H2697+Sens!I2697)/2)</f>
        <v>0.143323969665222</v>
      </c>
      <c r="J2701" s="7" t="n">
        <f aca="false">Sens!J2626*(1-tax_f)/(Sens!J2613*(Sens!I2697+Sens!J2697)/2)</f>
        <v>0.155570128388075</v>
      </c>
      <c r="K2701" s="7" t="n">
        <f aca="false">Sens!K2626*(1-tax_f)/(Sens!K2613*(Sens!J2697+Sens!K2697)/2)</f>
        <v>0.172427697111622</v>
      </c>
    </row>
    <row r="2702" customFormat="false" ht="17.15" hidden="false" customHeight="false" outlineLevel="0" collapsed="false">
      <c r="A2702" s="0" t="s">
        <v>867</v>
      </c>
      <c r="B2702" s="0" t="s">
        <v>209</v>
      </c>
      <c r="F2702" s="7" t="n">
        <f aca="false">Sens!F2698-wacc</f>
        <v>-0.00590362540313724</v>
      </c>
      <c r="G2702" s="7" t="n">
        <f aca="false">Sens!G2698-wacc</f>
        <v>-0.00027744920193408</v>
      </c>
      <c r="H2702" s="7" t="n">
        <f aca="false">Sens!H2698-wacc</f>
        <v>0.00632528167572113</v>
      </c>
      <c r="I2702" s="7" t="n">
        <f aca="false">Sens!I2698-wacc</f>
        <v>0.0150456883984886</v>
      </c>
      <c r="J2702" s="7" t="n">
        <f aca="false">Sens!J2698-wacc</f>
        <v>0.0261858711022134</v>
      </c>
      <c r="K2702" s="7" t="n">
        <f aca="false">Sens!K2698-wacc</f>
        <v>0.0407631800172513</v>
      </c>
    </row>
    <row r="2703" customFormat="false" ht="17.15" hidden="false" customHeight="false" outlineLevel="0" collapsed="false">
      <c r="A2703" s="0" t="s">
        <v>868</v>
      </c>
      <c r="B2703" s="0" t="s">
        <v>98</v>
      </c>
      <c r="F2703" s="6" t="n">
        <f aca="false">Sens!F2696*(1-tax_f)-wacc*(Sens!E2697+Sens!F2697)/2</f>
        <v>-0.896593189010806</v>
      </c>
      <c r="G2703" s="6" t="n">
        <f aca="false">Sens!G2696*(1-tax_f)-wacc*(Sens!F2697+Sens!G2697)/2</f>
        <v>-0.069962788979975</v>
      </c>
      <c r="H2703" s="6" t="n">
        <f aca="false">Sens!H2696*(1-tax_f)-wacc*(Sens!G2697+Sens!H2697)/2</f>
        <v>2.1672408906507</v>
      </c>
      <c r="I2703" s="6" t="n">
        <f aca="false">Sens!I2696*(1-tax_f)-wacc*(Sens!H2697+Sens!I2697)/2</f>
        <v>6.0868776656676</v>
      </c>
      <c r="J2703" s="6" t="n">
        <f aca="false">Sens!J2696*(1-tax_f)-wacc*(Sens!I2697+Sens!J2697)/2</f>
        <v>11.1413867564859</v>
      </c>
      <c r="K2703" s="6" t="n">
        <f aca="false">Sens!K2696*(1-tax_f)-wacc*(Sens!J2697+Sens!K2697)/2</f>
        <v>17.0413262532076</v>
      </c>
    </row>
    <row r="2704" customFormat="false" ht="17.15" hidden="false" customHeight="false" outlineLevel="0" collapsed="false">
      <c r="A2704" s="3" t="s">
        <v>1330</v>
      </c>
    </row>
    <row r="2705" customFormat="false" ht="15" hidden="false" customHeight="false" outlineLevel="0" collapsed="false">
      <c r="A2705" s="4" t="s">
        <v>43</v>
      </c>
      <c r="B2705" s="4" t="s">
        <v>65</v>
      </c>
      <c r="C2705" s="20" t="s">
        <v>799</v>
      </c>
      <c r="D2705" s="20" t="s">
        <v>800</v>
      </c>
      <c r="E2705" s="20" t="s">
        <v>801</v>
      </c>
      <c r="F2705" s="20" t="s">
        <v>802</v>
      </c>
      <c r="G2705" s="20" t="s">
        <v>803</v>
      </c>
      <c r="H2705" s="20" t="s">
        <v>804</v>
      </c>
      <c r="I2705" s="20" t="s">
        <v>805</v>
      </c>
      <c r="J2705" s="20" t="s">
        <v>806</v>
      </c>
      <c r="K2705" s="20" t="s">
        <v>807</v>
      </c>
      <c r="L2705" s="4" t="s">
        <v>47</v>
      </c>
    </row>
    <row r="2706" customFormat="false" ht="15" hidden="false" customHeight="false" outlineLevel="0" collapsed="false">
      <c r="A2706" s="1" t="s">
        <v>925</v>
      </c>
      <c r="B2706" s="0" t="s">
        <v>98</v>
      </c>
      <c r="F2706" s="6" t="n">
        <f aca="false">Sens!F2687</f>
        <v>142.038420473375</v>
      </c>
      <c r="G2706" s="6" t="n">
        <f aca="false">Sens!G2687</f>
        <v>164.121456353925</v>
      </c>
      <c r="H2706" s="6" t="n">
        <f aca="false">Sens!H2687</f>
        <v>186.209158437742</v>
      </c>
      <c r="I2706" s="6" t="n">
        <f aca="false">Sens!I2687</f>
        <v>206.946729617047</v>
      </c>
      <c r="J2706" s="6" t="n">
        <f aca="false">Sens!J2687</f>
        <v>225.101459618859</v>
      </c>
      <c r="K2706" s="6" t="n">
        <f aca="false">Sens!K2687</f>
        <v>241.465080142735</v>
      </c>
    </row>
    <row r="2707" customFormat="false" ht="17.15" hidden="false" customHeight="false" outlineLevel="0" collapsed="false">
      <c r="A2707" s="1" t="s">
        <v>947</v>
      </c>
      <c r="B2707" s="0" t="s">
        <v>98</v>
      </c>
      <c r="E2707" s="6" t="n">
        <f aca="false">Q!M38-Sens!E2625</f>
        <v>25.4896752183333</v>
      </c>
      <c r="F2707" s="6" t="n">
        <f aca="false">Sens!E2707*(1-1/life_nonai)+(Sens!F2714+Sens!F2715)/life_nonai</f>
        <v>30.5340776267827</v>
      </c>
      <c r="G2707" s="6" t="n">
        <f aca="false">Sens!F2707*(1-1/life_nonai)+(Sens!G2714)/life_nonai</f>
        <v>31.5959592211433</v>
      </c>
      <c r="H2707" s="6" t="n">
        <f aca="false">Sens!G2707*(1-1/life_nonai)+(Sens!H2714)/life_nonai</f>
        <v>33.117514663438</v>
      </c>
      <c r="I2707" s="6" t="n">
        <f aca="false">Sens!H2707*(1-1/life_nonai)+(Sens!I2714)/life_nonai</f>
        <v>35.0256032282586</v>
      </c>
      <c r="J2707" s="6" t="n">
        <f aca="false">Sens!I2707*(1-1/life_nonai)+(Sens!J2714)/life_nonai</f>
        <v>37.2311342304701</v>
      </c>
      <c r="K2707" s="6" t="n">
        <f aca="false">Sens!J2707*(1-1/life_nonai)+(Sens!K2714)/life_nonai</f>
        <v>39.6448910816225</v>
      </c>
      <c r="L2707" s="11" t="s">
        <v>948</v>
      </c>
    </row>
    <row r="2708" customFormat="false" ht="17.15" hidden="false" customHeight="false" outlineLevel="0" collapsed="false">
      <c r="A2708" s="1" t="s">
        <v>949</v>
      </c>
      <c r="B2708" s="0" t="s">
        <v>98</v>
      </c>
      <c r="F2708" s="6" t="n">
        <f aca="false">Sens!$F$2715/life_nonai*(1-1/life_nonai)^(Sens!F2591-2027)</f>
        <v>4.03543520732642</v>
      </c>
      <c r="G2708" s="6" t="n">
        <f aca="false">Sens!$F$2715/life_nonai*(1-1/life_nonai)^(Sens!G2591-2027)</f>
        <v>3.63189168659378</v>
      </c>
      <c r="H2708" s="6" t="n">
        <f aca="false">Sens!$F$2715/life_nonai*(1-1/life_nonai)^(Sens!H2591-2027)</f>
        <v>3.2687025179344</v>
      </c>
      <c r="I2708" s="6" t="n">
        <f aca="false">Sens!$F$2715/life_nonai*(1-1/life_nonai)^(Sens!I2591-2027)</f>
        <v>2.94183226614096</v>
      </c>
      <c r="J2708" s="6" t="n">
        <f aca="false">Sens!$F$2715/life_nonai*(1-1/life_nonai)^(Sens!J2591-2027)</f>
        <v>2.64764903952686</v>
      </c>
      <c r="K2708" s="6" t="n">
        <f aca="false">Sens!$F$2715/life_nonai*(1-1/life_nonai)^(Sens!K2591-2027)</f>
        <v>2.38288413557418</v>
      </c>
      <c r="L2708" s="1" t="s">
        <v>950</v>
      </c>
    </row>
    <row r="2709" customFormat="false" ht="17.15" hidden="false" customHeight="false" outlineLevel="0" collapsed="false">
      <c r="A2709" s="1" t="s">
        <v>951</v>
      </c>
      <c r="B2709" s="0" t="s">
        <v>98</v>
      </c>
      <c r="E2709" s="6" t="n">
        <f aca="false">Sens!E2625+Sens!E2707</f>
        <v>38.534</v>
      </c>
      <c r="F2709" s="6" t="n">
        <f aca="false">Sens!F2625+Sens!F2707</f>
        <v>57.7739875315471</v>
      </c>
      <c r="G2709" s="6" t="n">
        <f aca="false">Sens!G2625+Sens!G2707</f>
        <v>78.8963089095522</v>
      </c>
      <c r="H2709" s="6" t="n">
        <f aca="false">Sens!H2625+Sens!H2707</f>
        <v>102.206330538087</v>
      </c>
      <c r="I2709" s="6" t="n">
        <f aca="false">Sens!I2625+Sens!I2707</f>
        <v>123.510198294173</v>
      </c>
      <c r="J2709" s="6" t="n">
        <f aca="false">Sens!J2625+Sens!J2707</f>
        <v>139.629792512745</v>
      </c>
      <c r="K2709" s="6" t="n">
        <f aca="false">Sens!K2625+Sens!K2707</f>
        <v>150.950062317069</v>
      </c>
    </row>
    <row r="2710" customFormat="false" ht="17.15" hidden="false" customHeight="false" outlineLevel="0" collapsed="false">
      <c r="A2710" s="1" t="s">
        <v>952</v>
      </c>
      <c r="B2710" s="0" t="s">
        <v>98</v>
      </c>
      <c r="F2710" s="6" t="n">
        <f aca="false">Sens!F2652*sbc_r</f>
        <v>14.9308704941267</v>
      </c>
      <c r="G2710" s="6" t="n">
        <f aca="false">Sens!G2652*sbc_r</f>
        <v>17.7641108812713</v>
      </c>
      <c r="H2710" s="6" t="n">
        <f aca="false">Sens!H2652*sbc_r</f>
        <v>20.6640880611968</v>
      </c>
      <c r="I2710" s="6" t="n">
        <f aca="false">Sens!I2652*sbc_r</f>
        <v>23.3389517385966</v>
      </c>
      <c r="J2710" s="6" t="n">
        <f aca="false">Sens!J2652*sbc_r</f>
        <v>25.5443980773879</v>
      </c>
      <c r="K2710" s="6" t="n">
        <f aca="false">Sens!K2652*sbc_r</f>
        <v>27.3434618223447</v>
      </c>
    </row>
    <row r="2711" customFormat="false" ht="17.15" hidden="false" customHeight="false" outlineLevel="0" collapsed="false">
      <c r="A2711" s="1" t="s">
        <v>953</v>
      </c>
      <c r="B2711" s="0" t="s">
        <v>98</v>
      </c>
      <c r="F2711" s="6" t="n">
        <f aca="false">wc27</f>
        <v>-4.895</v>
      </c>
      <c r="G2711" s="6" t="n">
        <f aca="false">wc_f</f>
        <v>0</v>
      </c>
      <c r="H2711" s="6" t="n">
        <f aca="false">wc_f</f>
        <v>0</v>
      </c>
      <c r="I2711" s="6" t="n">
        <f aca="false">wc_f</f>
        <v>0</v>
      </c>
      <c r="J2711" s="6" t="n">
        <f aca="false">wc_f</f>
        <v>0</v>
      </c>
      <c r="K2711" s="6" t="n">
        <f aca="false">wc_f</f>
        <v>0</v>
      </c>
      <c r="L2711" s="11" t="s">
        <v>954</v>
      </c>
    </row>
    <row r="2712" customFormat="false" ht="15" hidden="false" customHeight="false" outlineLevel="0" collapsed="false">
      <c r="A2712" s="1" t="s">
        <v>767</v>
      </c>
      <c r="B2712" s="0" t="s">
        <v>98</v>
      </c>
      <c r="E2712" s="6" t="n">
        <f aca="false">Q!M35</f>
        <v>182.935</v>
      </c>
      <c r="F2712" s="6" t="n">
        <f aca="false">Sens!F2706+Sens!F2709+Sens!F2710+Sens!F2711</f>
        <v>209.848278499049</v>
      </c>
      <c r="G2712" s="6" t="n">
        <f aca="false">Sens!G2706+Sens!G2709+Sens!G2710+Sens!G2711</f>
        <v>260.781876144749</v>
      </c>
      <c r="H2712" s="6" t="n">
        <f aca="false">Sens!H2706+Sens!H2709+Sens!H2710+Sens!H2711</f>
        <v>309.079577037026</v>
      </c>
      <c r="I2712" s="6" t="n">
        <f aca="false">Sens!I2706+Sens!I2709+Sens!I2710+Sens!I2711</f>
        <v>353.795879649817</v>
      </c>
      <c r="J2712" s="6" t="n">
        <f aca="false">Sens!J2706+Sens!J2709+Sens!J2710+Sens!J2711</f>
        <v>390.275650208991</v>
      </c>
      <c r="K2712" s="6" t="n">
        <f aca="false">Sens!K2706+Sens!K2709+Sens!K2710+Sens!K2711</f>
        <v>419.758604282149</v>
      </c>
    </row>
    <row r="2713" customFormat="false" ht="17.15" hidden="false" customHeight="false" outlineLevel="0" collapsed="false">
      <c r="A2713" s="0" t="s">
        <v>955</v>
      </c>
      <c r="B2713" s="0" t="s">
        <v>98</v>
      </c>
      <c r="F2713" s="6" t="n">
        <f aca="false">Sens!F2622</f>
        <v>128.266300697173</v>
      </c>
      <c r="G2713" s="6" t="n">
        <f aca="false">Sens!G2622</f>
        <v>146.85934438656</v>
      </c>
      <c r="H2713" s="6" t="n">
        <f aca="false">Sens!H2622</f>
        <v>150.46422872832</v>
      </c>
      <c r="I2713" s="6" t="n">
        <f aca="false">Sens!I2622</f>
        <v>130.965335323396</v>
      </c>
      <c r="J2713" s="6" t="n">
        <f aca="false">Sens!J2622</f>
        <v>101.745149275394</v>
      </c>
      <c r="K2713" s="6" t="n">
        <f aca="false">Sens!K2622</f>
        <v>97.1259322428725</v>
      </c>
    </row>
    <row r="2714" customFormat="false" ht="17.15" hidden="false" customHeight="false" outlineLevel="0" collapsed="false">
      <c r="A2714" s="1" t="s">
        <v>956</v>
      </c>
      <c r="B2714" s="0" t="s">
        <v>98</v>
      </c>
      <c r="E2714" s="6" t="n">
        <f aca="false">Sens!E2630*cx_azo+Sens!E2637*cx_m365+Sens!E2638*cx_lic+(Sens!E2640+Sens!E2642)*cx_ind+Sens!E2645*cx_srch+(Sens!E2647+Sens!E2649)*cx_dev</f>
        <v>30.1846587067718</v>
      </c>
      <c r="F2714" s="6" t="n">
        <f aca="false">Sens!F2630*cx_azo+Sens!F2637*cx_m365+Sens!F2638*cx_lic+(Sens!F2640+Sens!F2642)*cx_ind+Sens!F2645*cx_srch+(Sens!F2647+Sens!F2649)*cx_dev</f>
        <v>35.5793472295625</v>
      </c>
      <c r="G2714" s="6" t="n">
        <f aca="false">Sens!G2630*cx_azo+Sens!G2637*cx_m365+Sens!G2638*cx_lic+(Sens!G2640+Sens!G2642)*cx_ind+Sens!G2645*cx_srch+(Sens!G2647+Sens!G2649)*cx_dev</f>
        <v>41.1528935703892</v>
      </c>
      <c r="H2714" s="6" t="n">
        <f aca="false">Sens!H2630*cx_azo+Sens!H2637*cx_m365+Sens!H2638*cx_lic+(Sens!H2640+Sens!H2642)*cx_ind+Sens!H2645*cx_srch+(Sens!H2647+Sens!H2649)*cx_dev</f>
        <v>46.8115136440897</v>
      </c>
      <c r="I2714" s="6" t="n">
        <f aca="false">Sens!I2630*cx_azo+Sens!I2637*cx_m365+Sens!I2638*cx_lic+(Sens!I2640+Sens!I2642)*cx_ind+Sens!I2645*cx_srch+(Sens!I2647+Sens!I2649)*cx_dev</f>
        <v>52.1984003116439</v>
      </c>
      <c r="J2714" s="6" t="n">
        <f aca="false">Sens!J2630*cx_azo+Sens!J2637*cx_m365+Sens!J2638*cx_lic+(Sens!J2640+Sens!J2642)*cx_ind+Sens!J2645*cx_srch+(Sens!J2647+Sens!J2649)*cx_dev</f>
        <v>57.0809132503738</v>
      </c>
      <c r="K2714" s="6" t="n">
        <f aca="false">Sens!K2630*cx_azo+Sens!K2637*cx_m365+Sens!K2638*cx_lic+(Sens!K2640+Sens!K2642)*cx_ind+Sens!K2645*cx_srch+(Sens!K2647+Sens!K2649)*cx_dev</f>
        <v>61.368702741994</v>
      </c>
    </row>
    <row r="2715" customFormat="false" ht="17.15" hidden="false" customHeight="false" outlineLevel="0" collapsed="false">
      <c r="A2715" s="0" t="s">
        <v>957</v>
      </c>
      <c r="B2715" s="0" t="s">
        <v>98</v>
      </c>
      <c r="F2715" s="6" t="n">
        <f aca="false">Sens!F2620</f>
        <v>40.3543520732642</v>
      </c>
      <c r="L2715" s="1" t="s">
        <v>958</v>
      </c>
    </row>
    <row r="2716" customFormat="false" ht="17.15" hidden="false" customHeight="false" outlineLevel="0" collapsed="false">
      <c r="A2716" s="1" t="s">
        <v>959</v>
      </c>
      <c r="B2716" s="0" t="s">
        <v>98</v>
      </c>
      <c r="E2716" s="6" t="n">
        <f aca="false">Q!M42</f>
        <v>145.3</v>
      </c>
      <c r="F2716" s="6" t="n">
        <f aca="false">Sens!F2713+Sens!F2714+Sens!F2715</f>
        <v>204.2</v>
      </c>
      <c r="G2716" s="6" t="n">
        <f aca="false">Sens!G2713+Sens!G2714</f>
        <v>188.012237956949</v>
      </c>
      <c r="H2716" s="6" t="n">
        <f aca="false">Sens!H2713+Sens!H2714</f>
        <v>197.27574237241</v>
      </c>
      <c r="I2716" s="6" t="n">
        <f aca="false">Sens!I2713+Sens!I2714</f>
        <v>183.16373563504</v>
      </c>
      <c r="J2716" s="6" t="n">
        <f aca="false">Sens!J2713+Sens!J2714</f>
        <v>158.826062525768</v>
      </c>
      <c r="K2716" s="6" t="n">
        <f aca="false">Sens!K2713+Sens!K2714</f>
        <v>158.494634984866</v>
      </c>
      <c r="L2716" s="1" t="s">
        <v>960</v>
      </c>
    </row>
    <row r="2717" customFormat="false" ht="15" hidden="false" customHeight="false" outlineLevel="0" collapsed="false">
      <c r="A2717" s="1" t="s">
        <v>961</v>
      </c>
      <c r="B2717" s="0" t="s">
        <v>98</v>
      </c>
      <c r="E2717" s="6" t="n">
        <f aca="false">fl_liab</f>
        <v>66.594</v>
      </c>
      <c r="F2717" s="6" t="n">
        <f aca="false">Sens!E2717-Sens!F2718</f>
        <v>62.46973</v>
      </c>
      <c r="G2717" s="6" t="n">
        <f aca="false">Sens!F2717-Sens!G2718</f>
        <v>57.98686785</v>
      </c>
      <c r="H2717" s="6" t="n">
        <f aca="false">Sens!G2717-Sens!H2718</f>
        <v>53.92827690325</v>
      </c>
      <c r="I2717" s="6" t="n">
        <f aca="false">Sens!H2717-Sens!I2718</f>
        <v>49.7850493638962</v>
      </c>
      <c r="J2717" s="6" t="n">
        <f aca="false">Sens!I2717-Sens!J2718</f>
        <v>45.4823765852716</v>
      </c>
      <c r="K2717" s="6" t="n">
        <f aca="false">Sens!J2717-Sens!K2718</f>
        <v>40.9860835316088</v>
      </c>
    </row>
    <row r="2718" customFormat="false" ht="15" hidden="false" customHeight="false" outlineLevel="0" collapsed="false">
      <c r="A2718" s="1" t="s">
        <v>962</v>
      </c>
      <c r="B2718" s="0" t="s">
        <v>98</v>
      </c>
      <c r="F2718" s="6" t="n">
        <f aca="false">fl_pay_27-Sens!E2717*fl_rate</f>
        <v>4.12427</v>
      </c>
      <c r="G2718" s="6" t="n">
        <f aca="false">fl_pay_28-Sens!F2717*fl_rate</f>
        <v>4.48286215</v>
      </c>
      <c r="H2718" s="6" t="n">
        <f aca="false">fl_pay_29-Sens!G2717*fl_rate</f>
        <v>4.05859094675</v>
      </c>
      <c r="I2718" s="6" t="n">
        <f aca="false">fl_pay_30-Sens!H2717*fl_rate</f>
        <v>4.14322753935375</v>
      </c>
      <c r="J2718" s="6" t="n">
        <f aca="false">fl_pay_31-Sens!I2717*fl_rate</f>
        <v>4.30267277862467</v>
      </c>
      <c r="K2718" s="6" t="n">
        <f aca="false">fl_pay_32-Sens!J2717*fl_rate</f>
        <v>4.49629305366278</v>
      </c>
    </row>
    <row r="2719" customFormat="false" ht="17.15" hidden="false" customHeight="false" outlineLevel="0" collapsed="false">
      <c r="A2719" s="1" t="s">
        <v>963</v>
      </c>
      <c r="B2719" s="0" t="s">
        <v>98</v>
      </c>
      <c r="E2719" s="6" t="n">
        <f aca="false">Q!M35-Q!M36-Q!M43</f>
        <v>63.886</v>
      </c>
      <c r="F2719" s="6" t="n">
        <f aca="false">Sens!F2712-Sens!F2716-Sens!F2718</f>
        <v>1.52400849904867</v>
      </c>
      <c r="G2719" s="6" t="n">
        <f aca="false">Sens!G2712-Sens!G2716-Sens!G2718</f>
        <v>68.2867760377994</v>
      </c>
      <c r="H2719" s="6" t="n">
        <f aca="false">Sens!H2712-Sens!H2716-Sens!H2718</f>
        <v>107.745243717866</v>
      </c>
      <c r="I2719" s="6" t="n">
        <f aca="false">Sens!I2712-Sens!I2716-Sens!I2718</f>
        <v>166.488916475423</v>
      </c>
      <c r="J2719" s="6" t="n">
        <f aca="false">Sens!J2712-Sens!J2716-Sens!J2718</f>
        <v>227.146914904599</v>
      </c>
      <c r="K2719" s="6" t="n">
        <f aca="false">Sens!K2712-Sens!K2716-Sens!K2718</f>
        <v>256.76767624362</v>
      </c>
      <c r="L2719" s="11" t="s">
        <v>964</v>
      </c>
    </row>
    <row r="2720" customFormat="false" ht="15" hidden="false" customHeight="false" outlineLevel="0" collapsed="false">
      <c r="A2720" s="1" t="s">
        <v>965</v>
      </c>
      <c r="B2720" s="0" t="s">
        <v>75</v>
      </c>
      <c r="F2720" s="8" t="n">
        <f aca="false">dps_27</f>
        <v>3.85</v>
      </c>
      <c r="G2720" s="8" t="n">
        <f aca="false">Sens!F2720*(1+dps_g)</f>
        <v>4.158</v>
      </c>
      <c r="H2720" s="8" t="n">
        <f aca="false">Sens!G2720*(1+dps_g)</f>
        <v>4.49064</v>
      </c>
      <c r="I2720" s="8" t="n">
        <f aca="false">Sens!H2720*(1+dps_g)</f>
        <v>4.8498912</v>
      </c>
      <c r="J2720" s="8" t="n">
        <f aca="false">Sens!I2720*(1+dps_g)</f>
        <v>5.237882496</v>
      </c>
      <c r="K2720" s="8" t="n">
        <f aca="false">Sens!J2720*(1+dps_g)</f>
        <v>5.65691309568</v>
      </c>
    </row>
    <row r="2721" customFormat="false" ht="17.15" hidden="false" customHeight="false" outlineLevel="0" collapsed="false">
      <c r="A2721" s="1" t="s">
        <v>966</v>
      </c>
      <c r="B2721" s="0" t="s">
        <v>98</v>
      </c>
      <c r="E2721" s="6" t="n">
        <f aca="false">Q!M41</f>
        <v>26.445</v>
      </c>
      <c r="F2721" s="6" t="n">
        <f aca="false">Sens!F2720*Sens!E2730</f>
        <v>28.59395</v>
      </c>
      <c r="G2721" s="6" t="n">
        <f aca="false">Sens!G2720*Sens!F2730</f>
        <v>31.068576</v>
      </c>
      <c r="H2721" s="6" t="n">
        <f aca="false">Sens!H2720*Sens!G2730</f>
        <v>33.5888350159995</v>
      </c>
      <c r="I2721" s="6" t="n">
        <f aca="false">Sens!I2720*Sens!H2730</f>
        <v>36.3268810572789</v>
      </c>
      <c r="J2721" s="6" t="n">
        <f aca="false">Sens!J2720*Sens!I2730</f>
        <v>39.3014303901806</v>
      </c>
      <c r="K2721" s="6" t="n">
        <f aca="false">Sens!K2720*Sens!J2730</f>
        <v>42.5328000467001</v>
      </c>
      <c r="L2721" s="1" t="s">
        <v>967</v>
      </c>
    </row>
    <row r="2722" customFormat="false" ht="15" hidden="false" customHeight="false" outlineLevel="0" collapsed="false">
      <c r="A2722" s="1" t="s">
        <v>968</v>
      </c>
      <c r="B2722" s="0" t="s">
        <v>98</v>
      </c>
      <c r="E2722" s="6" t="n">
        <f aca="false">Sens!E2719-Sens!E2721</f>
        <v>37.441</v>
      </c>
      <c r="F2722" s="6" t="n">
        <f aca="false">Sens!F2719-Sens!F2721</f>
        <v>-27.0699415009513</v>
      </c>
      <c r="G2722" s="6" t="n">
        <f aca="false">Sens!G2719-Sens!G2721</f>
        <v>37.2182000377994</v>
      </c>
      <c r="H2722" s="6" t="n">
        <f aca="false">Sens!H2719-Sens!H2721</f>
        <v>74.156408701867</v>
      </c>
      <c r="I2722" s="6" t="n">
        <f aca="false">Sens!I2719-Sens!I2721</f>
        <v>130.162035418144</v>
      </c>
      <c r="J2722" s="6" t="n">
        <f aca="false">Sens!J2719-Sens!J2721</f>
        <v>187.845484514418</v>
      </c>
      <c r="K2722" s="6" t="n">
        <f aca="false">Sens!K2719-Sens!K2721</f>
        <v>214.23487619692</v>
      </c>
    </row>
    <row r="2723" customFormat="false" ht="15" hidden="false" customHeight="false" outlineLevel="0" collapsed="false">
      <c r="A2723" s="1" t="s">
        <v>969</v>
      </c>
      <c r="B2723" s="0" t="s">
        <v>98</v>
      </c>
      <c r="F2723" s="6" t="n">
        <f aca="false">debt_mat_27</f>
        <v>9.25</v>
      </c>
      <c r="G2723" s="6" t="n">
        <f aca="false">debt_mat_28</f>
        <v>0</v>
      </c>
      <c r="H2723" s="6" t="n">
        <f aca="false">debt_mat_29</f>
        <v>2.001</v>
      </c>
      <c r="I2723" s="6" t="n">
        <f aca="false">debt_mat_30</f>
        <v>0</v>
      </c>
      <c r="J2723" s="6" t="n">
        <f aca="false">debt_mat_31</f>
        <v>0.5</v>
      </c>
      <c r="K2723" s="6" t="n">
        <f aca="false">debt_mat_32</f>
        <v>0</v>
      </c>
    </row>
    <row r="2724" customFormat="false" ht="15" hidden="false" customHeight="false" outlineLevel="0" collapsed="false">
      <c r="A2724" s="1" t="s">
        <v>970</v>
      </c>
      <c r="B2724" s="0" t="s">
        <v>98</v>
      </c>
      <c r="E2724" s="6" t="n">
        <f aca="false">Q!M40</f>
        <v>22.271</v>
      </c>
      <c r="F2724" s="6" t="n">
        <f aca="false">MAX(0,MIN(bb_target,Sens!E2726+Sens!F2722-Sens!F2723-min_cash))</f>
        <v>0</v>
      </c>
      <c r="G2724" s="6" t="n">
        <f aca="false">MAX(0,MIN(bb_target,Sens!F2726+Sens!G2722-Sens!G2723-min_cash))</f>
        <v>22.271</v>
      </c>
      <c r="H2724" s="6" t="n">
        <f aca="false">MAX(0,MIN(bb_target,Sens!G2726+Sens!H2722-Sens!H2723-min_cash))</f>
        <v>22.271</v>
      </c>
      <c r="I2724" s="6" t="n">
        <f aca="false">MAX(0,MIN(bb_target,Sens!H2726+Sens!I2722-Sens!I2723-min_cash))</f>
        <v>22.271</v>
      </c>
      <c r="J2724" s="6" t="n">
        <f aca="false">MAX(0,MIN(bb_target,Sens!I2726+Sens!J2722-Sens!J2723-min_cash))</f>
        <v>22.271</v>
      </c>
      <c r="K2724" s="6" t="n">
        <f aca="false">MAX(0,MIN(bb_target,Sens!J2726+Sens!K2722-Sens!K2723-min_cash))</f>
        <v>22.271</v>
      </c>
    </row>
    <row r="2725" customFormat="false" ht="15" hidden="false" customHeight="false" outlineLevel="0" collapsed="false">
      <c r="A2725" s="1" t="s">
        <v>971</v>
      </c>
      <c r="B2725" s="0" t="s">
        <v>98</v>
      </c>
      <c r="F2725" s="6" t="n">
        <f aca="false">MAX(0,min_cash-(Sens!E2726+Sens!F2722-Sens!F2723-Sens!F2724))</f>
        <v>9.47694150095133</v>
      </c>
      <c r="G2725" s="6" t="n">
        <f aca="false">MAX(0,min_cash-(Sens!F2726+Sens!G2722-Sens!G2723-Sens!G2724))</f>
        <v>0</v>
      </c>
      <c r="H2725" s="6" t="n">
        <f aca="false">MAX(0,min_cash-(Sens!G2726+Sens!H2722-Sens!H2723-Sens!H2724))</f>
        <v>0</v>
      </c>
      <c r="I2725" s="6" t="n">
        <f aca="false">MAX(0,min_cash-(Sens!H2726+Sens!I2722-Sens!I2723-Sens!I2724))</f>
        <v>0</v>
      </c>
      <c r="J2725" s="6" t="n">
        <f aca="false">MAX(0,min_cash-(Sens!I2726+Sens!J2722-Sens!J2723-Sens!J2724))</f>
        <v>0</v>
      </c>
      <c r="K2725" s="6" t="n">
        <f aca="false">MAX(0,min_cash-(Sens!J2726+Sens!K2722-Sens!K2723-Sens!K2724))</f>
        <v>0</v>
      </c>
    </row>
    <row r="2726" customFormat="false" ht="15" hidden="false" customHeight="false" outlineLevel="0" collapsed="false">
      <c r="A2726" s="1" t="s">
        <v>972</v>
      </c>
      <c r="B2726" s="0" t="s">
        <v>98</v>
      </c>
      <c r="E2726" s="6" t="n">
        <f aca="false">cash_open</f>
        <v>76.843</v>
      </c>
      <c r="F2726" s="6" t="n">
        <f aca="false">Sens!E2726+Sens!F2722-Sens!F2723-Sens!F2724+Sens!F2725</f>
        <v>50</v>
      </c>
      <c r="G2726" s="6" t="n">
        <f aca="false">Sens!F2726+Sens!G2722-Sens!G2723-Sens!G2724+Sens!G2725</f>
        <v>64.9472000377995</v>
      </c>
      <c r="H2726" s="6" t="n">
        <f aca="false">Sens!G2726+Sens!H2722-Sens!H2723-Sens!H2724+Sens!H2725</f>
        <v>114.831608739666</v>
      </c>
      <c r="I2726" s="6" t="n">
        <f aca="false">Sens!H2726+Sens!I2722-Sens!I2723-Sens!I2724+Sens!I2725</f>
        <v>222.72264415781</v>
      </c>
      <c r="J2726" s="6" t="n">
        <f aca="false">Sens!I2726+Sens!J2722-Sens!J2723-Sens!J2724+Sens!J2725</f>
        <v>387.797128672229</v>
      </c>
      <c r="K2726" s="6" t="n">
        <f aca="false">Sens!J2726+Sens!K2722-Sens!K2723-Sens!K2724+Sens!K2725</f>
        <v>579.761004869148</v>
      </c>
    </row>
    <row r="2727" customFormat="false" ht="15" hidden="false" customHeight="false" outlineLevel="0" collapsed="false">
      <c r="A2727" s="1" t="s">
        <v>973</v>
      </c>
      <c r="B2727" s="0" t="s">
        <v>98</v>
      </c>
      <c r="E2727" s="6" t="n">
        <f aca="false">debt_face</f>
        <v>46.136</v>
      </c>
      <c r="F2727" s="6" t="n">
        <f aca="false">Sens!E2727-Sens!F2723+Sens!F2725</f>
        <v>46.3629415009513</v>
      </c>
      <c r="G2727" s="6" t="n">
        <f aca="false">Sens!F2727-Sens!G2723+Sens!G2725</f>
        <v>46.3629415009513</v>
      </c>
      <c r="H2727" s="6" t="n">
        <f aca="false">Sens!G2727-Sens!H2723+Sens!H2725</f>
        <v>44.3619415009513</v>
      </c>
      <c r="I2727" s="6" t="n">
        <f aca="false">Sens!H2727-Sens!I2723+Sens!I2725</f>
        <v>44.3619415009513</v>
      </c>
      <c r="J2727" s="6" t="n">
        <f aca="false">Sens!I2727-Sens!J2723+Sens!J2725</f>
        <v>43.8619415009513</v>
      </c>
      <c r="K2727" s="6" t="n">
        <f aca="false">Sens!J2727-Sens!K2723+Sens!K2725</f>
        <v>43.8619415009513</v>
      </c>
    </row>
    <row r="2728" customFormat="false" ht="15" hidden="false" customHeight="false" outlineLevel="0" collapsed="false">
      <c r="A2728" s="1" t="s">
        <v>974</v>
      </c>
      <c r="B2728" s="0" t="s">
        <v>98</v>
      </c>
      <c r="E2728" s="6" t="n">
        <f aca="false">Sens!E2726-Sens!E2727</f>
        <v>30.707</v>
      </c>
      <c r="F2728" s="6" t="n">
        <f aca="false">Sens!F2726-Sens!F2727</f>
        <v>3.63705849904867</v>
      </c>
      <c r="G2728" s="6" t="n">
        <f aca="false">Sens!G2726-Sens!G2727</f>
        <v>18.5842585368481</v>
      </c>
      <c r="H2728" s="6" t="n">
        <f aca="false">Sens!H2726-Sens!H2727</f>
        <v>70.4696672387151</v>
      </c>
      <c r="I2728" s="6" t="n">
        <f aca="false">Sens!I2726-Sens!I2727</f>
        <v>178.360702656859</v>
      </c>
      <c r="J2728" s="6" t="n">
        <f aca="false">Sens!J2726-Sens!J2727</f>
        <v>343.935187171277</v>
      </c>
      <c r="K2728" s="6" t="n">
        <f aca="false">Sens!K2726-Sens!K2727</f>
        <v>535.899063368197</v>
      </c>
    </row>
    <row r="2729" customFormat="false" ht="15" hidden="false" customHeight="false" outlineLevel="0" collapsed="false">
      <c r="A2729" s="1" t="s">
        <v>975</v>
      </c>
      <c r="B2729" s="0" t="s">
        <v>75</v>
      </c>
      <c r="F2729" s="29" t="n">
        <f aca="false">px*(1+bb_g)^(Sens!F2591-base_fy-mid_yr)</f>
        <v>553.494156066711</v>
      </c>
      <c r="G2729" s="29" t="n">
        <f aca="false">px*(1+bb_g)^(Sens!G2591-base_fy-mid_yr)</f>
        <v>597.773688552047</v>
      </c>
      <c r="H2729" s="29" t="n">
        <f aca="false">px*(1+bb_g)^(Sens!H2591-base_fy-mid_yr)</f>
        <v>645.595583636211</v>
      </c>
      <c r="I2729" s="29" t="n">
        <f aca="false">px*(1+bb_g)^(Sens!I2591-base_fy-mid_yr)</f>
        <v>697.243230327108</v>
      </c>
      <c r="J2729" s="29" t="n">
        <f aca="false">px*(1+bb_g)^(Sens!J2591-base_fy-mid_yr)</f>
        <v>753.022688753277</v>
      </c>
      <c r="K2729" s="29" t="n">
        <f aca="false">px*(1+bb_g)^(Sens!K2591-base_fy-mid_yr)</f>
        <v>813.264503853539</v>
      </c>
    </row>
    <row r="2730" customFormat="false" ht="15" hidden="false" customHeight="false" outlineLevel="0" collapsed="false">
      <c r="A2730" s="1" t="s">
        <v>976</v>
      </c>
      <c r="B2730" s="1" t="s">
        <v>81</v>
      </c>
      <c r="E2730" s="14" t="n">
        <f aca="false">sh_out26</f>
        <v>7.427</v>
      </c>
      <c r="F2730" s="14" t="n">
        <f aca="false">Sens!E2730+sh_iss-Sens!F2724/Sens!F2729</f>
        <v>7.472</v>
      </c>
      <c r="G2730" s="14" t="n">
        <f aca="false">Sens!F2730+sh_iss-Sens!G2724/Sens!G2729</f>
        <v>7.47974342543589</v>
      </c>
      <c r="H2730" s="14" t="n">
        <f aca="false">Sens!G2730+sh_iss-Sens!H2724/Sens!H2729</f>
        <v>7.4902465971358</v>
      </c>
      <c r="I2730" s="14" t="n">
        <f aca="false">Sens!H2730+sh_iss-Sens!I2724/Sens!I2729</f>
        <v>7.50330508945052</v>
      </c>
      <c r="J2730" s="14" t="n">
        <f aca="false">Sens!I2730+sh_iss-Sens!J2724/Sens!J2729</f>
        <v>7.51872961937156</v>
      </c>
      <c r="K2730" s="14" t="n">
        <f aca="false">Sens!J2730+sh_iss-Sens!K2724/Sens!K2729</f>
        <v>7.53634492485401</v>
      </c>
    </row>
    <row r="2731" customFormat="false" ht="15" hidden="false" customHeight="false" outlineLevel="0" collapsed="false">
      <c r="A2731" s="1" t="s">
        <v>977</v>
      </c>
      <c r="B2731" s="1" t="s">
        <v>81</v>
      </c>
      <c r="E2731" s="14" t="n">
        <f aca="false">sh_dil26</f>
        <v>7.453</v>
      </c>
      <c r="F2731" s="14" t="n">
        <f aca="false">(Sens!E2730+Sens!F2730)/2+dil_gap</f>
        <v>7.4735</v>
      </c>
      <c r="G2731" s="14" t="n">
        <f aca="false">(Sens!F2730+Sens!G2730)/2+dil_gap</f>
        <v>7.49987171271795</v>
      </c>
      <c r="H2731" s="14" t="n">
        <f aca="false">(Sens!G2730+Sens!H2730)/2+dil_gap</f>
        <v>7.50899501128585</v>
      </c>
      <c r="I2731" s="14" t="n">
        <f aca="false">(Sens!H2730+Sens!I2730)/2+dil_gap</f>
        <v>7.52077584329316</v>
      </c>
      <c r="J2731" s="14" t="n">
        <f aca="false">(Sens!I2730+Sens!J2730)/2+dil_gap</f>
        <v>7.53501735441104</v>
      </c>
      <c r="K2731" s="14" t="n">
        <f aca="false">(Sens!J2730+Sens!K2730)/2+dil_gap</f>
        <v>7.55153727211278</v>
      </c>
    </row>
    <row r="2732" customFormat="false" ht="17.15" hidden="false" customHeight="false" outlineLevel="0" collapsed="false">
      <c r="A2732" s="1" t="s">
        <v>978</v>
      </c>
      <c r="B2732" s="0" t="s">
        <v>98</v>
      </c>
      <c r="C2732" s="6" t="n">
        <f aca="false">SUM(Sens!F2722:J2722)</f>
        <v>402.312187171277</v>
      </c>
    </row>
    <row r="2733" customFormat="false" ht="15" hidden="false" customHeight="false" outlineLevel="0" collapsed="false">
      <c r="A2733" s="23" t="s">
        <v>945</v>
      </c>
      <c r="B2733" s="30" t="s">
        <v>98</v>
      </c>
      <c r="C2733" s="24" t="n">
        <f aca="false">Sens!$C$2732-(Sens!F2722+Sens!G2722+Sens!H2722+Sens!I2722+Sens!J2722)</f>
        <v>0</v>
      </c>
      <c r="D2733" s="30"/>
      <c r="E2733" s="30"/>
      <c r="F2733" s="30"/>
      <c r="G2733" s="30"/>
      <c r="H2733" s="30"/>
      <c r="I2733" s="30"/>
      <c r="J2733" s="30"/>
      <c r="K2733" s="30"/>
    </row>
    <row r="2734" customFormat="false" ht="17.15" hidden="false" customHeight="false" outlineLevel="0" collapsed="false">
      <c r="A2734" s="1" t="s">
        <v>939</v>
      </c>
      <c r="B2734" s="1" t="s">
        <v>979</v>
      </c>
      <c r="C2734" s="32" t="str">
        <f aca="false">IF(SUM(Sens!F2725:J2725)&gt;0.05,"需要舉債 "&amp;TEXT(SUM(Sens!F2725:J2725),"0.0")&amp;" 十億美元","不需舉債")&amp;"；"&amp;IF(SUM(Sens!F2724:J2724)&lt;COUNT(Sens!F2724:J2724)*bb_target-0.05,"回購較每年 "&amp;TEXT(bb_target,"0.0")&amp;" 的目標少 "&amp;TEXT(COUNT(Sens!F2724:J2724)*bb_target-SUM(Sens!F2724:J2724),"0.0")&amp;" 十億美元（"&amp;TEXT(COUNTIF(Sens!F2724:J2724,"&lt;"&amp;(bb_target-0.05)),"0")&amp;" 年減少）","回購不減")</f>
        <v>需要舉債 9.5 十億美元；回購較每年 22.3 的目標少 22.3 十億美元（1 年減少）</v>
      </c>
    </row>
    <row r="2735" customFormat="false" ht="17.15" hidden="false" customHeight="false" outlineLevel="0" collapsed="false">
      <c r="A2735" s="3" t="s">
        <v>1331</v>
      </c>
    </row>
    <row r="2736" customFormat="false" ht="15" hidden="false" customHeight="false" outlineLevel="0" collapsed="false">
      <c r="A2736" s="4" t="s">
        <v>43</v>
      </c>
      <c r="B2736" s="4" t="s">
        <v>65</v>
      </c>
      <c r="C2736" s="20" t="s">
        <v>799</v>
      </c>
      <c r="D2736" s="20" t="s">
        <v>800</v>
      </c>
      <c r="E2736" s="20" t="s">
        <v>801</v>
      </c>
      <c r="F2736" s="20" t="s">
        <v>802</v>
      </c>
      <c r="G2736" s="20" t="s">
        <v>803</v>
      </c>
      <c r="H2736" s="20" t="s">
        <v>804</v>
      </c>
      <c r="I2736" s="20" t="s">
        <v>805</v>
      </c>
      <c r="J2736" s="20" t="s">
        <v>806</v>
      </c>
      <c r="K2736" s="20" t="s">
        <v>807</v>
      </c>
      <c r="L2736" s="4" t="s">
        <v>47</v>
      </c>
    </row>
    <row r="2737" customFormat="false" ht="15" hidden="false" customHeight="false" outlineLevel="0" collapsed="false">
      <c r="A2737" s="1" t="s">
        <v>1057</v>
      </c>
      <c r="B2737" s="1" t="s">
        <v>235</v>
      </c>
      <c r="F2737" s="36" t="n">
        <f aca="false">Sens!F2591-base_fy-mid_yr</f>
        <v>0.5</v>
      </c>
      <c r="G2737" s="36" t="n">
        <f aca="false">Sens!G2591-base_fy-mid_yr</f>
        <v>1.5</v>
      </c>
      <c r="H2737" s="36" t="n">
        <f aca="false">Sens!H2591-base_fy-mid_yr</f>
        <v>2.5</v>
      </c>
      <c r="I2737" s="36" t="n">
        <f aca="false">Sens!I2591-base_fy-mid_yr</f>
        <v>3.5</v>
      </c>
      <c r="J2737" s="36" t="n">
        <f aca="false">Sens!J2591-base_fy-mid_yr</f>
        <v>4.5</v>
      </c>
      <c r="K2737" s="36" t="n">
        <f aca="false">Sens!K2591-base_fy-mid_yr</f>
        <v>5.5</v>
      </c>
    </row>
    <row r="2738" customFormat="false" ht="15" hidden="false" customHeight="false" outlineLevel="0" collapsed="false">
      <c r="A2738" s="1" t="s">
        <v>1058</v>
      </c>
      <c r="B2738" s="0" t="s">
        <v>185</v>
      </c>
      <c r="F2738" s="14" t="n">
        <f aca="false">1/(1+wacc)^Sens!F2737</f>
        <v>0.952193373608246</v>
      </c>
      <c r="G2738" s="14" t="n">
        <f aca="false">1/(1+wacc)^Sens!G2737</f>
        <v>0.863327280626589</v>
      </c>
      <c r="H2738" s="14" t="n">
        <f aca="false">1/(1+wacc)^Sens!H2737</f>
        <v>0.782754862754115</v>
      </c>
      <c r="I2738" s="14" t="n">
        <f aca="false">1/(1+wacc)^Sens!I2737</f>
        <v>0.709702089711011</v>
      </c>
      <c r="J2738" s="14" t="n">
        <f aca="false">1/(1+wacc)^Sens!J2737</f>
        <v>0.643467169744551</v>
      </c>
      <c r="K2738" s="14" t="n">
        <f aca="false">1/(1+wacc)^Sens!K2737</f>
        <v>0.583413807767797</v>
      </c>
    </row>
    <row r="2739" customFormat="false" ht="17.15" hidden="false" customHeight="false" outlineLevel="0" collapsed="false">
      <c r="A2739" s="1" t="s">
        <v>1059</v>
      </c>
      <c r="B2739" s="0" t="s">
        <v>98</v>
      </c>
      <c r="F2739" s="6" t="n">
        <f aca="false">Sens!F2712-Sens!F2710-Sens!F2716+Sens!F2695*(1-tax_f)</f>
        <v>-6.99480632748754</v>
      </c>
      <c r="G2739" s="6" t="n">
        <f aca="false">Sens!G2712-Sens!G2710-Sens!G2716+Sens!G2695*(1-tax_f)</f>
        <v>61.8749013537141</v>
      </c>
      <c r="H2739" s="6" t="n">
        <f aca="false">Sens!H2712-Sens!H2710-Sens!H2716+Sens!H2695*(1-tax_f)</f>
        <v>103.20430061041</v>
      </c>
      <c r="I2739" s="6" t="n">
        <f aca="false">Sens!I2712-Sens!I2710-Sens!I2716+Sens!I2695*(1-tax_f)</f>
        <v>164.335904250778</v>
      </c>
      <c r="J2739" s="6" t="n">
        <f aca="false">Sens!J2712-Sens!J2710-Sens!J2716+Sens!J2695*(1-tax_f)</f>
        <v>226.519363369284</v>
      </c>
      <c r="K2739" s="6" t="n">
        <f aca="false">Sens!K2712-Sens!K2710-Sens!K2716+Sens!K2695*(1-tax_f)</f>
        <v>256.315802947659</v>
      </c>
      <c r="L2739" s="1" t="s">
        <v>1060</v>
      </c>
    </row>
    <row r="2740" customFormat="false" ht="15" hidden="false" customHeight="false" outlineLevel="0" collapsed="false">
      <c r="A2740" s="1" t="s">
        <v>1061</v>
      </c>
      <c r="B2740" s="0" t="s">
        <v>98</v>
      </c>
      <c r="F2740" s="6" t="n">
        <f aca="false">Sens!F2739*Sens!F2738</f>
        <v>-6.66040823470667</v>
      </c>
      <c r="G2740" s="6" t="n">
        <f aca="false">Sens!G2739*Sens!G2738</f>
        <v>53.4182903247405</v>
      </c>
      <c r="H2740" s="6" t="n">
        <f aca="false">Sens!H2739*Sens!H2738</f>
        <v>80.7836681599358</v>
      </c>
      <c r="I2740" s="6" t="n">
        <f aca="false">Sens!I2739*Sens!I2738</f>
        <v>116.629534661325</v>
      </c>
      <c r="J2740" s="6" t="n">
        <f aca="false">Sens!J2739*Sens!J2738</f>
        <v>145.757773639571</v>
      </c>
      <c r="K2740" s="6" t="n">
        <f aca="false">Sens!K2739*Sens!K2738</f>
        <v>149.538178588754</v>
      </c>
    </row>
    <row r="2741" customFormat="false" ht="17.15" hidden="false" customHeight="false" outlineLevel="0" collapsed="false">
      <c r="A2741" s="1" t="s">
        <v>1062</v>
      </c>
      <c r="B2741" s="0" t="s">
        <v>98</v>
      </c>
      <c r="C2741" s="6" t="n">
        <f aca="false">SUM(Sens!F2740:K2740)</f>
        <v>539.46703713962</v>
      </c>
    </row>
    <row r="2742" customFormat="false" ht="17.15" hidden="false" customHeight="false" outlineLevel="0" collapsed="false">
      <c r="A2742" s="1" t="s">
        <v>1063</v>
      </c>
      <c r="B2742" s="0" t="s">
        <v>98</v>
      </c>
      <c r="C2742" s="6" t="n">
        <f aca="false">Sens!K2681*(1+g_tv)*(1-tax_f)</f>
        <v>272.10578688392</v>
      </c>
    </row>
    <row r="2743" customFormat="false" ht="17.15" hidden="false" customHeight="false" outlineLevel="0" collapsed="false">
      <c r="A2743" s="1" t="s">
        <v>1064</v>
      </c>
      <c r="B2743" s="0" t="s">
        <v>98</v>
      </c>
      <c r="C2743" s="6" t="n">
        <f aca="false">Sens!$C$2742*(1-g_tv/(wacc+ronic_prem))</f>
        <v>192.801181105288</v>
      </c>
    </row>
    <row r="2744" customFormat="false" ht="17.15" hidden="false" customHeight="false" outlineLevel="0" collapsed="false">
      <c r="A2744" s="1" t="s">
        <v>1065</v>
      </c>
      <c r="B2744" s="0" t="s">
        <v>98</v>
      </c>
      <c r="C2744" s="6" t="n">
        <f aca="false">Sens!$C$2743/(wacc-g_tv)</f>
        <v>2643.48685928773</v>
      </c>
    </row>
    <row r="2745" customFormat="false" ht="15" hidden="false" customHeight="false" outlineLevel="0" collapsed="false">
      <c r="A2745" s="1" t="s">
        <v>1066</v>
      </c>
      <c r="B2745" s="0" t="s">
        <v>98</v>
      </c>
      <c r="C2745" s="6" t="n">
        <f aca="false">Sens!$C$2744/(1+wacc)^(Sens!K2737+mid_yr)</f>
        <v>1468.51712092768</v>
      </c>
    </row>
    <row r="2746" customFormat="false" ht="17.15" hidden="false" customHeight="false" outlineLevel="0" collapsed="false">
      <c r="A2746" s="0" t="s">
        <v>986</v>
      </c>
      <c r="B2746" s="0" t="s">
        <v>98</v>
      </c>
      <c r="C2746" s="6" t="n">
        <f aca="false">Sens!$C$2741+Sens!$C$2745</f>
        <v>2007.9841580673</v>
      </c>
    </row>
    <row r="2747" customFormat="false" ht="15" hidden="false" customHeight="false" outlineLevel="0" collapsed="false">
      <c r="A2747" s="1" t="s">
        <v>987</v>
      </c>
      <c r="B2747" s="0" t="s">
        <v>129</v>
      </c>
      <c r="C2747" s="7" t="n">
        <f aca="false">Sens!$C$2745/Sens!$C$2746</f>
        <v>0.731338997385886</v>
      </c>
    </row>
    <row r="2748" customFormat="false" ht="17.15" hidden="false" customHeight="false" outlineLevel="0" collapsed="false">
      <c r="A2748" s="1" t="s">
        <v>1067</v>
      </c>
      <c r="B2748" s="0" t="s">
        <v>98</v>
      </c>
      <c r="C2748" s="6" t="n">
        <f aca="false">Sens!$C$2746+Sens!E2728-Sens!E2717+oai_v</f>
        <v>2142.4971580673</v>
      </c>
    </row>
    <row r="2749" customFormat="false" ht="17.15" hidden="false" customHeight="false" outlineLevel="0" collapsed="false">
      <c r="A2749" s="0" t="s">
        <v>994</v>
      </c>
      <c r="B2749" s="0" t="s">
        <v>75</v>
      </c>
      <c r="C2749" s="5" t="n">
        <f aca="false">Sens!$C$2748/sh_dil26</f>
        <v>287.467752323534</v>
      </c>
    </row>
    <row r="2750" customFormat="false" ht="15" hidden="false" customHeight="false" outlineLevel="0" collapsed="false">
      <c r="A2750" s="1" t="s">
        <v>1068</v>
      </c>
      <c r="B2750" s="0" t="s">
        <v>75</v>
      </c>
      <c r="C2750" s="8" t="n">
        <f aca="false">dps_27+Sens!G2720*roll_div_q/q_per_yr</f>
        <v>4.8895</v>
      </c>
    </row>
    <row r="2751" customFormat="false" ht="17.15" hidden="false" customHeight="false" outlineLevel="0" collapsed="false">
      <c r="A2751" s="0" t="s">
        <v>1069</v>
      </c>
      <c r="B2751" s="0" t="s">
        <v>75</v>
      </c>
      <c r="C2751" s="5" t="n">
        <f aca="false">Sens!$C$2749*(1+wacc)^t_roll-Sens!$C$2750</f>
        <v>322.459627982725</v>
      </c>
    </row>
    <row r="2752" customFormat="false" ht="17.15" hidden="false" customHeight="false" outlineLevel="0" collapsed="false">
      <c r="A2752" s="1" t="s">
        <v>1070</v>
      </c>
      <c r="B2752" s="0" t="s">
        <v>129</v>
      </c>
      <c r="F2752" s="7" t="n">
        <f aca="false">Sens!F2707/(Sens!F2652-Sens!F2608)</f>
        <v>0.088673412629288</v>
      </c>
      <c r="G2752" s="7" t="n">
        <f aca="false">Sens!G2707/(Sens!G2652-Sens!G2608)</f>
        <v>0.0819085149198043</v>
      </c>
      <c r="H2752" s="7" t="n">
        <f aca="false">Sens!H2707/(Sens!H2652-Sens!H2608)</f>
        <v>0.0773886769990301</v>
      </c>
      <c r="I2752" s="7" t="n">
        <f aca="false">Sens!I2707/(Sens!I2652-Sens!I2608)</f>
        <v>0.0748141160553916</v>
      </c>
      <c r="J2752" s="7" t="n">
        <f aca="false">Sens!J2707/(Sens!J2652-Sens!J2608)</f>
        <v>0.073715650685024</v>
      </c>
      <c r="K2752" s="7" t="n">
        <f aca="false">Sens!K2707/(Sens!K2652-Sens!K2608)</f>
        <v>0.0735914646866567</v>
      </c>
    </row>
    <row r="2753" customFormat="false" ht="17.15" hidden="false" customHeight="false" outlineLevel="0" collapsed="false">
      <c r="A2753" s="0" t="s">
        <v>1071</v>
      </c>
      <c r="B2753" s="0" t="s">
        <v>98</v>
      </c>
      <c r="F2753" s="6" t="n">
        <f aca="false">Sens!F2637*(al_m365+Sens!F2752+sbc_r)</f>
        <v>86.3225313453764</v>
      </c>
      <c r="G2753" s="6" t="n">
        <f aca="false">Sens!G2637*(al_m365+Sens!G2752+sbc_r)</f>
        <v>98.5746508164072</v>
      </c>
      <c r="H2753" s="6" t="n">
        <f aca="false">Sens!H2637*(al_m365+Sens!H2752+sbc_r)</f>
        <v>110.987794306224</v>
      </c>
      <c r="I2753" s="6" t="n">
        <f aca="false">Sens!I2637*(al_m365+Sens!I2752+sbc_r)</f>
        <v>122.379628116705</v>
      </c>
      <c r="J2753" s="6" t="n">
        <f aca="false">Sens!J2637*(al_m365+Sens!J2752+sbc_r)</f>
        <v>132.571966236082</v>
      </c>
      <c r="K2753" s="6" t="n">
        <f aca="false">Sens!K2637*(al_m365+Sens!K2752+sbc_r)</f>
        <v>142.392455248493</v>
      </c>
      <c r="L2753" s="11" t="s">
        <v>1072</v>
      </c>
    </row>
    <row r="2754" customFormat="false" ht="17.15" hidden="false" customHeight="false" outlineLevel="0" collapsed="false">
      <c r="A2754" s="0" t="s">
        <v>1073</v>
      </c>
      <c r="B2754" s="0" t="s">
        <v>98</v>
      </c>
      <c r="F2754" s="6" t="n">
        <f aca="false">Sens!F2638*(al_lic+Sens!F2752+sbc_r)</f>
        <v>34.2293330757944</v>
      </c>
      <c r="G2754" s="6" t="n">
        <f aca="false">Sens!G2638*(al_lic+Sens!G2752+sbc_r)</f>
        <v>35.4032387522041</v>
      </c>
      <c r="H2754" s="6" t="n">
        <f aca="false">Sens!H2638*(al_lic+Sens!H2752+sbc_r)</f>
        <v>36.5137548042205</v>
      </c>
      <c r="I2754" s="6" t="n">
        <f aca="false">Sens!I2638*(al_lic+Sens!I2752+sbc_r)</f>
        <v>37.5398709460085</v>
      </c>
      <c r="J2754" s="6" t="n">
        <f aca="false">Sens!J2638*(al_lic+Sens!J2752+sbc_r)</f>
        <v>38.4513181136776</v>
      </c>
      <c r="K2754" s="6" t="n">
        <f aca="false">Sens!K2638*(al_lic+Sens!K2752+sbc_r)</f>
        <v>39.2146881902606</v>
      </c>
    </row>
    <row r="2755" customFormat="false" ht="17.15" hidden="false" customHeight="false" outlineLevel="0" collapsed="false">
      <c r="A2755" s="0" t="s">
        <v>1074</v>
      </c>
      <c r="B2755" s="0" t="s">
        <v>98</v>
      </c>
      <c r="F2755" s="6" t="n">
        <f aca="false">Sens!F2640*(al_ind+Sens!F2752+sbc_r)</f>
        <v>9.52542783588962</v>
      </c>
      <c r="G2755" s="6" t="n">
        <f aca="false">Sens!G2640*(al_ind+Sens!G2752+sbc_r)</f>
        <v>10.2471442944077</v>
      </c>
      <c r="H2755" s="6" t="n">
        <f aca="false">Sens!H2640*(al_ind+Sens!H2752+sbc_r)</f>
        <v>11.0220507523912</v>
      </c>
      <c r="I2755" s="6" t="n">
        <f aca="false">Sens!I2640*(al_ind+Sens!I2752+sbc_r)</f>
        <v>11.8470348299619</v>
      </c>
      <c r="J2755" s="6" t="n">
        <f aca="false">Sens!J2640*(al_ind+Sens!J2752+sbc_r)</f>
        <v>12.7108510249528</v>
      </c>
      <c r="K2755" s="6" t="n">
        <f aca="false">Sens!K2640*(al_ind+Sens!K2752+sbc_r)</f>
        <v>13.5965020765112</v>
      </c>
    </row>
    <row r="2756" customFormat="false" ht="17.15" hidden="false" customHeight="false" outlineLevel="0" collapsed="false">
      <c r="A2756" s="0" t="s">
        <v>1075</v>
      </c>
      <c r="B2756" s="0" t="s">
        <v>98</v>
      </c>
      <c r="F2756" s="6" t="n">
        <f aca="false">Sens!F2642*(al_fro+Sens!F2752+sbc_r)</f>
        <v>3.74924183808708</v>
      </c>
      <c r="G2756" s="6" t="n">
        <f aca="false">Sens!G2642*(al_fro+Sens!G2752+sbc_r)</f>
        <v>3.93429758073412</v>
      </c>
      <c r="H2756" s="6" t="n">
        <f aca="false">Sens!H2642*(al_fro+Sens!H2752+sbc_r)</f>
        <v>4.15348598133641</v>
      </c>
      <c r="I2756" s="6" t="n">
        <f aca="false">Sens!I2642*(al_fro+Sens!I2752+sbc_r)</f>
        <v>4.40898419525778</v>
      </c>
      <c r="J2756" s="6" t="n">
        <f aca="false">Sens!J2642*(al_fro+Sens!J2752+sbc_r)</f>
        <v>4.70096118612607</v>
      </c>
      <c r="K2756" s="6" t="n">
        <f aca="false">Sens!K2642*(al_fro+Sens!K2752+sbc_r)</f>
        <v>5.02850898049911</v>
      </c>
    </row>
    <row r="2757" customFormat="false" ht="17.15" hidden="false" customHeight="false" outlineLevel="0" collapsed="false">
      <c r="A2757" s="0" t="s">
        <v>1076</v>
      </c>
      <c r="B2757" s="0" t="s">
        <v>98</v>
      </c>
      <c r="F2757" s="6" t="n">
        <f aca="false">Sens!F2645*(al_srch+Sens!F2752+sbc_r)</f>
        <v>11.7640410011999</v>
      </c>
      <c r="G2757" s="6" t="n">
        <f aca="false">Sens!G2645*(al_srch+Sens!G2752+sbc_r)</f>
        <v>12.7747796022558</v>
      </c>
      <c r="H2757" s="6" t="n">
        <f aca="false">Sens!H2645*(al_srch+Sens!H2752+sbc_r)</f>
        <v>13.8385846656594</v>
      </c>
      <c r="I2757" s="6" t="n">
        <f aca="false">Sens!I2645*(al_srch+Sens!I2752+sbc_r)</f>
        <v>14.9453050504724</v>
      </c>
      <c r="J2757" s="6" t="n">
        <f aca="false">Sens!J2645*(al_srch+Sens!J2752+sbc_r)</f>
        <v>16.0734628681743</v>
      </c>
      <c r="K2757" s="6" t="n">
        <f aca="false">Sens!K2645*(al_srch+Sens!K2752+sbc_r)</f>
        <v>17.1934098538983</v>
      </c>
    </row>
    <row r="2758" customFormat="false" ht="17.15" hidden="false" customHeight="false" outlineLevel="0" collapsed="false">
      <c r="A2758" s="0" t="s">
        <v>1077</v>
      </c>
      <c r="B2758" s="0" t="s">
        <v>98</v>
      </c>
      <c r="F2758" s="6" t="n">
        <f aca="false">Sens!F2614-Sens!F2615+Sens!F2695</f>
        <v>39.0527075584271</v>
      </c>
      <c r="G2758" s="6" t="n">
        <f aca="false">Sens!G2614-Sens!G2615+Sens!G2695</f>
        <v>69.7471565297061</v>
      </c>
      <c r="H2758" s="6" t="n">
        <f aca="false">Sens!H2614-Sens!H2615+Sens!H2695</f>
        <v>102.668622241592</v>
      </c>
      <c r="I2758" s="6" t="n">
        <f aca="false">Sens!I2614-Sens!I2615+Sens!I2695</f>
        <v>132.454304570137</v>
      </c>
      <c r="J2758" s="6" t="n">
        <f aca="false">Sens!J2614-Sens!J2615+Sens!J2695</f>
        <v>153.725547009807</v>
      </c>
      <c r="K2758" s="6" t="n">
        <f aca="false">Sens!K2614-Sens!K2615+Sens!K2695</f>
        <v>167.400863377057</v>
      </c>
    </row>
    <row r="2759" customFormat="false" ht="17.15" hidden="false" customHeight="false" outlineLevel="0" collapsed="false">
      <c r="A2759" s="0" t="s">
        <v>1078</v>
      </c>
      <c r="B2759" s="0" t="s">
        <v>98</v>
      </c>
      <c r="F2759" s="6" t="n">
        <f aca="false">Sens!F2674+Sens!F2695+Sens!F2625+Sens!F2752*(Sens!F2644-Sens!F2608)+sbc_r*Sens!F2644</f>
        <v>226.005677329624</v>
      </c>
      <c r="G2759" s="6" t="n">
        <f aca="false">Sens!G2674+Sens!G2695+Sens!G2625+Sens!G2752*(Sens!G2644-Sens!G2608)+sbc_r*Sens!G2644</f>
        <v>282.908434921829</v>
      </c>
      <c r="H2759" s="6" t="n">
        <f aca="false">Sens!H2674+Sens!H2695+Sens!H2625+Sens!H2752*(Sens!H2644-Sens!H2608)+sbc_r*Sens!H2644</f>
        <v>342.517939572104</v>
      </c>
      <c r="I2759" s="6" t="n">
        <f aca="false">Sens!I2674+Sens!I2695+Sens!I2625+Sens!I2752*(Sens!I2644-Sens!I2608)+sbc_r*Sens!I2644</f>
        <v>397.657932728714</v>
      </c>
      <c r="J2759" s="6" t="n">
        <f aca="false">Sens!J2674+Sens!J2695+Sens!J2625+Sens!J2752*(Sens!J2644-Sens!J2608)+sbc_r*Sens!J2644</f>
        <v>441.92458958986</v>
      </c>
      <c r="K2759" s="6" t="n">
        <f aca="false">Sens!K2674+Sens!K2695+Sens!K2625+Sens!K2752*(Sens!K2644-Sens!K2608)+sbc_r*Sens!K2644</f>
        <v>476.322527763426</v>
      </c>
    </row>
    <row r="2760" customFormat="false" ht="17.15" hidden="false" customHeight="false" outlineLevel="0" collapsed="false">
      <c r="A2760" s="0" t="s">
        <v>1079</v>
      </c>
      <c r="B2760" s="0" t="s">
        <v>98</v>
      </c>
      <c r="F2760" s="6" t="n">
        <f aca="false">Sens!F2759-Sens!F2753-Sens!F2754-Sens!F2755-Sens!F2756-Sens!F2758</f>
        <v>53.1264356760489</v>
      </c>
      <c r="G2760" s="6" t="n">
        <f aca="false">Sens!G2759-Sens!G2753-Sens!G2754-Sens!G2755-Sens!G2756-Sens!G2758</f>
        <v>65.00194694837</v>
      </c>
      <c r="H2760" s="6" t="n">
        <f aca="false">Sens!H2759-Sens!H2753-Sens!H2754-Sens!H2755-Sens!H2756-Sens!H2758</f>
        <v>77.1722314863399</v>
      </c>
      <c r="I2760" s="6" t="n">
        <f aca="false">Sens!I2759-Sens!I2753-Sens!I2754-Sens!I2755-Sens!I2756-Sens!I2758</f>
        <v>89.0281100706442</v>
      </c>
      <c r="J2760" s="6" t="n">
        <f aca="false">Sens!J2759-Sens!J2753-Sens!J2754-Sens!J2755-Sens!J2756-Sens!J2758</f>
        <v>99.7639460192141</v>
      </c>
      <c r="K2760" s="6" t="n">
        <f aca="false">Sens!K2759-Sens!K2753-Sens!K2754-Sens!K2755-Sens!K2756-Sens!K2758</f>
        <v>108.689509890605</v>
      </c>
    </row>
    <row r="2761" customFormat="false" ht="17.15" hidden="false" customHeight="false" outlineLevel="0" collapsed="false">
      <c r="A2761" s="0" t="s">
        <v>1080</v>
      </c>
      <c r="B2761" s="0" t="s">
        <v>98</v>
      </c>
      <c r="F2761" s="6" t="n">
        <f aca="false">Sens!F2676+Sens!F2752*Sens!F2651+sbc_r*Sens!F2651</f>
        <v>27.506938372257</v>
      </c>
      <c r="G2761" s="6" t="n">
        <f aca="false">Sens!G2676+Sens!G2752*Sens!G2651+sbc_r*Sens!G2651</f>
        <v>27.8905228703832</v>
      </c>
      <c r="H2761" s="6" t="n">
        <f aca="false">Sens!H2676+Sens!H2752*Sens!H2651+sbc_r*Sens!H2651</f>
        <v>28.5946195830954</v>
      </c>
      <c r="I2761" s="6" t="n">
        <f aca="false">Sens!I2676+Sens!I2752*Sens!I2651+sbc_r*Sens!I2651</f>
        <v>29.5780192936121</v>
      </c>
      <c r="J2761" s="6" t="n">
        <f aca="false">Sens!J2676+Sens!J2752*Sens!J2651+sbc_r*Sens!J2651</f>
        <v>30.7941427281564</v>
      </c>
      <c r="K2761" s="6" t="n">
        <f aca="false">Sens!K2676+Sens!K2752*Sens!K2651+sbc_r*Sens!K2651</f>
        <v>32.1964658953084</v>
      </c>
    </row>
    <row r="2762" customFormat="false" ht="17.15" hidden="false" customHeight="false" outlineLevel="0" collapsed="false">
      <c r="A2762" s="0" t="s">
        <v>1081</v>
      </c>
      <c r="B2762" s="0" t="s">
        <v>98</v>
      </c>
      <c r="F2762" s="6" t="n">
        <f aca="false">(Sens!F2761-Sens!F2757)*Sens!F2647/(Sens!F2647+Sens!F2649)</f>
        <v>8.6301030052149</v>
      </c>
      <c r="G2762" s="6" t="n">
        <f aca="false">(Sens!G2761-Sens!G2757)*Sens!G2647/(Sens!G2647+Sens!G2649)</f>
        <v>8.13855896849261</v>
      </c>
      <c r="H2762" s="6" t="n">
        <f aca="false">(Sens!H2761-Sens!H2757)*Sens!H2647/(Sens!H2647+Sens!H2649)</f>
        <v>7.83756407940037</v>
      </c>
      <c r="I2762" s="6" t="n">
        <f aca="false">(Sens!I2761-Sens!I2757)*Sens!I2647/(Sens!I2647+Sens!I2649)</f>
        <v>7.70174144476089</v>
      </c>
      <c r="J2762" s="6" t="n">
        <f aca="false">(Sens!J2761-Sens!J2757)*Sens!J2647/(Sens!J2647+Sens!J2649)</f>
        <v>7.71300466322197</v>
      </c>
      <c r="K2762" s="6" t="n">
        <f aca="false">(Sens!K2761-Sens!K2757)*Sens!K2647/(Sens!K2647+Sens!K2649)</f>
        <v>7.86095766708137</v>
      </c>
    </row>
    <row r="2763" customFormat="false" ht="17.15" hidden="false" customHeight="false" outlineLevel="0" collapsed="false">
      <c r="A2763" s="0" t="s">
        <v>1082</v>
      </c>
      <c r="B2763" s="0" t="s">
        <v>98</v>
      </c>
      <c r="F2763" s="6" t="n">
        <f aca="false">Sens!F2761-Sens!F2757-Sens!F2762</f>
        <v>7.11279436584218</v>
      </c>
      <c r="G2763" s="6" t="n">
        <f aca="false">Sens!G2761-Sens!G2757-Sens!G2762</f>
        <v>6.97718429963482</v>
      </c>
      <c r="H2763" s="6" t="n">
        <f aca="false">Sens!H2761-Sens!H2757-Sens!H2762</f>
        <v>6.91847083803569</v>
      </c>
      <c r="I2763" s="6" t="n">
        <f aca="false">Sens!I2761-Sens!I2757-Sens!I2762</f>
        <v>6.93097279837883</v>
      </c>
      <c r="J2763" s="6" t="n">
        <f aca="false">Sens!J2761-Sens!J2757-Sens!J2762</f>
        <v>7.00767519676009</v>
      </c>
      <c r="K2763" s="6" t="n">
        <f aca="false">Sens!K2761-Sens!K2757-Sens!K2762</f>
        <v>7.14209837432869</v>
      </c>
    </row>
    <row r="2764" customFormat="false" ht="17.15" hidden="false" customHeight="false" outlineLevel="0" collapsed="false">
      <c r="A2764" s="0" t="s">
        <v>1083</v>
      </c>
      <c r="B2764" s="0" t="s">
        <v>98</v>
      </c>
      <c r="F2764" s="6" t="n">
        <f aca="false">Sens!F2758-tax_f*(Sens!F2758-Sens!F2625)-Sens!F2622</f>
        <v>-91.5761526694788</v>
      </c>
      <c r="G2764" s="6" t="n">
        <f aca="false">Sens!G2758-tax_f*(Sens!G2758-Sens!G2625)-Sens!G2622</f>
        <v>-81.6015492251134</v>
      </c>
      <c r="H2764" s="6" t="n">
        <f aca="false">Sens!H2758-tax_f*(Sens!H2758-Sens!H2625)-Sens!H2622</f>
        <v>-54.5115677601168</v>
      </c>
      <c r="I2764" s="6" t="n">
        <f aca="false">Sens!I2758-tax_f*(Sens!I2758-Sens!I2625)-Sens!I2622</f>
        <v>-7.30497265410416</v>
      </c>
      <c r="J2764" s="6" t="n">
        <f aca="false">Sens!J2758-tax_f*(Sens!J2758-Sens!J2625)-Sens!J2622</f>
        <v>41.715019988907</v>
      </c>
      <c r="K2764" s="6" t="n">
        <f aca="false">Sens!K2758-tax_f*(Sens!K2758-Sens!K2625)-Sens!K2622</f>
        <v>59.0557927058622</v>
      </c>
    </row>
    <row r="2765" customFormat="false" ht="17.15" hidden="false" customHeight="false" outlineLevel="0" collapsed="false">
      <c r="A2765" s="0" t="s">
        <v>1084</v>
      </c>
      <c r="B2765" s="0" t="s">
        <v>98</v>
      </c>
      <c r="G2765" s="6" t="n">
        <f aca="false">Sens!G2764/(1+wacc)^(Sens!G2737-(Sens!F2737+mid_yr))</f>
        <v>-77.70045444832</v>
      </c>
      <c r="H2765" s="6" t="n">
        <f aca="false">Sens!H2764/(1+wacc)^(Sens!H2737-(Sens!F2737+mid_yr))</f>
        <v>-47.0613235570337</v>
      </c>
      <c r="I2765" s="6" t="n">
        <f aca="false">Sens!I2764/(1+wacc)^(Sens!I2737-(Sens!F2737+mid_yr))</f>
        <v>-5.71800286728587</v>
      </c>
      <c r="J2765" s="6" t="n">
        <f aca="false">Sens!J2764/(1+wacc)^(Sens!J2737-(Sens!F2737+mid_yr))</f>
        <v>29.6052368584639</v>
      </c>
      <c r="K2765" s="6" t="n">
        <f aca="false">Sens!K2764/(1+wacc)^(Sens!K2737-(Sens!F2737+mid_yr))</f>
        <v>38.0004637894621</v>
      </c>
      <c r="L2765" s="1" t="s">
        <v>1085</v>
      </c>
    </row>
    <row r="2766" customFormat="false" ht="17.15" hidden="false" customHeight="false" outlineLevel="0" collapsed="false">
      <c r="A2766" s="0" t="s">
        <v>1086</v>
      </c>
      <c r="B2766" s="0" t="s">
        <v>98</v>
      </c>
      <c r="C2766" s="6" t="n">
        <f aca="false">(Sens!K2758-Sens!K2625)*(1-tax_f)*(1+g_tv)*(1-g_tv/(wacc+ronic_prem))/(wacc-g_tv)/(1+wacc)^(Sens!K2737+mid_yr-(Sens!F2737+mid_yr))</f>
        <v>275.136145705871</v>
      </c>
    </row>
    <row r="2767" customFormat="false" ht="17.15" hidden="false" customHeight="false" outlineLevel="0" collapsed="false">
      <c r="A2767" s="1" t="s">
        <v>1087</v>
      </c>
      <c r="B2767" s="0" t="s">
        <v>98</v>
      </c>
      <c r="C2767" s="6" t="n">
        <f aca="false">(SUM(Sens!G2765:K2765)+Sens!$C$2766)*(1+wacc)^(t_roll-(Sens!F2737+mid_yr))</f>
        <v>219.15165298109</v>
      </c>
      <c r="L2767" s="11" t="s">
        <v>1088</v>
      </c>
    </row>
    <row r="2768" customFormat="false" ht="17.15" hidden="false" customHeight="false" outlineLevel="0" collapsed="false">
      <c r="A2768" s="1" t="s">
        <v>1089</v>
      </c>
      <c r="B2768" s="0" t="s">
        <v>98</v>
      </c>
      <c r="C2768" s="6" t="n">
        <f aca="false">(w_ntm28*Sens!G2614+(1-w_ntm28)*Sens!H2614)*m_ai</f>
        <v>454.922440830797</v>
      </c>
    </row>
    <row r="2769" customFormat="false" ht="17.15" hidden="false" customHeight="false" outlineLevel="0" collapsed="false">
      <c r="A2769" s="1" t="s">
        <v>1090</v>
      </c>
      <c r="B2769" s="0" t="s">
        <v>98</v>
      </c>
      <c r="C2769" s="6" t="n">
        <f aca="false">(w_ntm28*Sens!G2760+(1-w_ntm28)*Sens!H2760)*m_cloud</f>
        <v>952.701737547405</v>
      </c>
    </row>
    <row r="2770" customFormat="false" ht="17.15" hidden="false" customHeight="false" outlineLevel="0" collapsed="false">
      <c r="A2770" s="1" t="s">
        <v>1091</v>
      </c>
      <c r="B2770" s="0" t="s">
        <v>98</v>
      </c>
      <c r="C2770" s="6" t="n">
        <f aca="false">(w_ntm28*Sens!G2753+(1-w_ntm28)*Sens!H2753)*m_sw</f>
        <v>1107.94680433342</v>
      </c>
    </row>
    <row r="2771" customFormat="false" ht="17.15" hidden="false" customHeight="false" outlineLevel="0" collapsed="false">
      <c r="A2771" s="1" t="s">
        <v>1092</v>
      </c>
      <c r="B2771" s="0" t="s">
        <v>98</v>
      </c>
      <c r="C2771" s="6" t="n">
        <f aca="false">(w_ntm28*Sens!G2754+(1-w_ntm28)*Sens!H2754)*m_sw</f>
        <v>386.232352925694</v>
      </c>
    </row>
    <row r="2772" customFormat="false" ht="17.15" hidden="false" customHeight="false" outlineLevel="0" collapsed="false">
      <c r="A2772" s="1" t="s">
        <v>1093</v>
      </c>
      <c r="B2772" s="0" t="s">
        <v>98</v>
      </c>
      <c r="C2772" s="6" t="n">
        <f aca="false">(w_ntm28*Sens!G2755+(1-w_ntm28)*Sens!H2755)*m_sw</f>
        <v>113.374749585231</v>
      </c>
    </row>
    <row r="2773" customFormat="false" ht="17.15" hidden="false" customHeight="false" outlineLevel="0" collapsed="false">
      <c r="A2773" s="1" t="s">
        <v>1094</v>
      </c>
      <c r="B2773" s="0" t="s">
        <v>98</v>
      </c>
      <c r="C2773" s="6" t="n">
        <f aca="false">(w_ntm28*Sens!G2756+(1-w_ntm28)*Sens!H2756)*m_sw</f>
        <v>43.2557116739218</v>
      </c>
    </row>
    <row r="2774" customFormat="false" ht="17.15" hidden="false" customHeight="false" outlineLevel="0" collapsed="false">
      <c r="A2774" s="1" t="s">
        <v>1095</v>
      </c>
      <c r="B2774" s="0" t="s">
        <v>98</v>
      </c>
      <c r="C2774" s="6" t="n">
        <f aca="false">(w_ntm28*Sens!G2757+(1-w_ntm28)*Sens!H2757)*m_ads</f>
        <v>119.511308387667</v>
      </c>
    </row>
    <row r="2775" customFormat="false" ht="17.15" hidden="false" customHeight="false" outlineLevel="0" collapsed="false">
      <c r="A2775" s="1" t="s">
        <v>1096</v>
      </c>
      <c r="B2775" s="0" t="s">
        <v>98</v>
      </c>
      <c r="C2775" s="6" t="n">
        <f aca="false">(w_ntm28*Sens!G2762+(1-w_ntm28)*Sens!H2762)*m_game</f>
        <v>101.561000530939</v>
      </c>
    </row>
    <row r="2776" customFormat="false" ht="17.15" hidden="false" customHeight="false" outlineLevel="0" collapsed="false">
      <c r="A2776" s="1" t="s">
        <v>1097</v>
      </c>
      <c r="B2776" s="0" t="s">
        <v>98</v>
      </c>
      <c r="C2776" s="6" t="n">
        <f aca="false">(w_ntm28*Sens!G2763+(1-w_ntm28)*Sens!H2763)*m_pc</f>
        <v>100.685196850943</v>
      </c>
    </row>
    <row r="2777" customFormat="false" ht="17.15" hidden="false" customHeight="false" outlineLevel="0" collapsed="false">
      <c r="A2777" s="1" t="s">
        <v>1098</v>
      </c>
      <c r="B2777" s="0" t="s">
        <v>98</v>
      </c>
      <c r="C2777" s="6" t="n">
        <f aca="false">Sens!$C$2767+Sens!$C$2769+Sens!$C$2770+Sens!$C$2771+Sens!$C$2772+Sens!$C$2773+Sens!$C$2774+Sens!$C$2775+Sens!$C$2776</f>
        <v>3144.42051481632</v>
      </c>
    </row>
    <row r="2778" customFormat="false" ht="17.15" hidden="false" customHeight="false" outlineLevel="0" collapsed="false">
      <c r="A2778" s="1" t="s">
        <v>1099</v>
      </c>
      <c r="B2778" s="0" t="s">
        <v>98</v>
      </c>
      <c r="C2778" s="6" t="n">
        <f aca="false">(Sens!G2739-Sens!G2764)*t_stub</f>
        <v>46.7772537503575</v>
      </c>
      <c r="L2778" s="1" t="s">
        <v>1100</v>
      </c>
    </row>
    <row r="2779" customFormat="false" ht="17.15" hidden="false" customHeight="false" outlineLevel="0" collapsed="false">
      <c r="A2779" s="1" t="s">
        <v>1014</v>
      </c>
      <c r="B2779" s="0" t="s">
        <v>98</v>
      </c>
      <c r="C2779" s="6" t="n">
        <f aca="false">Sens!F2728+oai_v-Sens!F2717+Sens!$C$2778</f>
        <v>158.344582249406</v>
      </c>
      <c r="L2779" s="1" t="s">
        <v>1101</v>
      </c>
    </row>
    <row r="2780" customFormat="false" ht="17.15" hidden="false" customHeight="false" outlineLevel="0" collapsed="false">
      <c r="A2780" s="1" t="s">
        <v>1102</v>
      </c>
      <c r="B2780" s="0" t="s">
        <v>75</v>
      </c>
      <c r="C2780" s="5" t="n">
        <f aca="false">(Sens!$C$2777+Sens!$C$2779)/(Sens!F2730+dil_gap)-Sens!G2720*roll_div_q/q_per_yr</f>
        <v>439.56416823182</v>
      </c>
      <c r="L2780" s="1" t="s">
        <v>1103</v>
      </c>
    </row>
    <row r="2781" customFormat="false" ht="17.15" hidden="false" customHeight="false" outlineLevel="0" collapsed="false">
      <c r="A2781" s="1" t="s">
        <v>1104</v>
      </c>
      <c r="B2781" s="0" t="s">
        <v>75</v>
      </c>
      <c r="C2781" s="5" t="n">
        <f aca="false">w_dcf*Sens!$C$2751+(1-w_dcf)*Sens!$C$2780</f>
        <v>381.011898107273</v>
      </c>
    </row>
    <row r="2782" customFormat="false" ht="17.15" hidden="false" customHeight="false" outlineLevel="0" collapsed="false">
      <c r="A2782" s="3" t="s">
        <v>1332</v>
      </c>
    </row>
    <row r="2783" customFormat="false" ht="15" hidden="false" customHeight="false" outlineLevel="0" collapsed="false">
      <c r="A2783" s="4" t="s">
        <v>43</v>
      </c>
      <c r="B2783" s="4" t="s">
        <v>65</v>
      </c>
      <c r="C2783" s="20" t="s">
        <v>799</v>
      </c>
      <c r="D2783" s="20" t="s">
        <v>800</v>
      </c>
      <c r="E2783" s="20" t="s">
        <v>801</v>
      </c>
      <c r="F2783" s="20" t="s">
        <v>802</v>
      </c>
      <c r="G2783" s="20" t="s">
        <v>803</v>
      </c>
      <c r="H2783" s="20" t="s">
        <v>804</v>
      </c>
      <c r="I2783" s="20" t="s">
        <v>805</v>
      </c>
      <c r="J2783" s="20" t="s">
        <v>806</v>
      </c>
      <c r="K2783" s="20" t="s">
        <v>807</v>
      </c>
      <c r="L2783" s="4" t="s">
        <v>47</v>
      </c>
    </row>
    <row r="2784" customFormat="false" ht="17.15" hidden="false" customHeight="false" outlineLevel="0" collapsed="false">
      <c r="A2784" s="1" t="s">
        <v>808</v>
      </c>
      <c r="B2784" s="1" t="s">
        <v>235</v>
      </c>
      <c r="C2784" s="28" t="n">
        <v>2024</v>
      </c>
      <c r="D2784" s="28" t="n">
        <v>2025</v>
      </c>
      <c r="E2784" s="28" t="n">
        <v>2026</v>
      </c>
      <c r="F2784" s="28" t="n">
        <v>2027</v>
      </c>
      <c r="G2784" s="28" t="n">
        <v>2028</v>
      </c>
      <c r="H2784" s="28" t="n">
        <v>2029</v>
      </c>
      <c r="I2784" s="28" t="n">
        <v>2030</v>
      </c>
      <c r="J2784" s="28" t="n">
        <v>2031</v>
      </c>
      <c r="K2784" s="28" t="n">
        <v>2032</v>
      </c>
    </row>
    <row r="2785" customFormat="false" ht="17.15" hidden="false" customHeight="false" outlineLevel="0" collapsed="false">
      <c r="A2785" s="1" t="s">
        <v>809</v>
      </c>
      <c r="B2785" s="0" t="s">
        <v>399</v>
      </c>
      <c r="F2785" s="29" t="n">
        <f aca="false">pace</f>
        <v>2527.2</v>
      </c>
      <c r="G2785" s="29" t="n">
        <f aca="false">pace</f>
        <v>2527.2</v>
      </c>
      <c r="H2785" s="29" t="n">
        <f aca="false">pace</f>
        <v>2527.2</v>
      </c>
      <c r="I2785" s="29" t="n">
        <f aca="false">pace+(g_tv*Sens!H2786-pace)*MIN(1,(Sens!I2784-pace_y0)/(pace_y1-pace_y0))</f>
        <v>1793.116</v>
      </c>
      <c r="J2785" s="29" t="n">
        <f aca="false">pace+(g_tv*Sens!I2786-pace)*MIN(1,(Sens!J2784-pace_y0)/(pace_y1-pace_y0))</f>
        <v>1094.89432</v>
      </c>
      <c r="K2785" s="29" t="n">
        <f aca="false">pace+(g_tv*Sens!J2786-pace)*MIN(1,(Sens!K2784-pace_y0)/(pace_y1-pace_y0))</f>
        <v>411.5883096</v>
      </c>
      <c r="L2785" s="11" t="s">
        <v>810</v>
      </c>
    </row>
    <row r="2786" customFormat="false" ht="17.15" hidden="false" customHeight="false" outlineLevel="0" collapsed="false">
      <c r="A2786" s="1" t="s">
        <v>811</v>
      </c>
      <c r="B2786" s="0" t="s">
        <v>399</v>
      </c>
      <c r="C2786" s="29" t="n">
        <f aca="false">mw_ext_24</f>
        <v>640</v>
      </c>
      <c r="D2786" s="29" t="n">
        <f aca="false">mw_ext_25</f>
        <v>1630</v>
      </c>
      <c r="E2786" s="29" t="n">
        <f aca="false">mw_ext_26</f>
        <v>3250</v>
      </c>
      <c r="F2786" s="29" t="n">
        <f aca="false">Sens!E2786+Sens!F2785</f>
        <v>5777.2</v>
      </c>
      <c r="G2786" s="29" t="n">
        <f aca="false">Sens!F2786+Sens!G2785</f>
        <v>8304.4</v>
      </c>
      <c r="H2786" s="29" t="n">
        <f aca="false">Sens!G2786+Sens!H2785</f>
        <v>10831.6</v>
      </c>
      <c r="I2786" s="29" t="n">
        <f aca="false">Sens!H2786+Sens!I2785</f>
        <v>12624.716</v>
      </c>
      <c r="J2786" s="29" t="n">
        <f aca="false">Sens!I2786+Sens!J2785</f>
        <v>13719.61032</v>
      </c>
      <c r="K2786" s="29" t="n">
        <f aca="false">Sens!J2786+Sens!K2785</f>
        <v>14131.1986296</v>
      </c>
      <c r="L2786" s="1" t="s">
        <v>812</v>
      </c>
    </row>
    <row r="2787" customFormat="false" ht="17.15" hidden="false" customHeight="false" outlineLevel="0" collapsed="false">
      <c r="A2787" s="1" t="s">
        <v>813</v>
      </c>
      <c r="B2787" s="0" t="s">
        <v>399</v>
      </c>
      <c r="C2787" s="29" t="n">
        <f aca="false">rent_ext_24</f>
        <v>150</v>
      </c>
      <c r="D2787" s="29" t="n">
        <f aca="false">rent_ext_25</f>
        <v>400</v>
      </c>
      <c r="E2787" s="29" t="n">
        <f aca="false">rent_ext_26</f>
        <v>550</v>
      </c>
      <c r="F2787" s="29" t="n">
        <f aca="false">rent_ext_f</f>
        <v>756</v>
      </c>
      <c r="G2787" s="29" t="n">
        <f aca="false">rent_ext_f</f>
        <v>756</v>
      </c>
      <c r="H2787" s="29" t="n">
        <f aca="false">rent_ext_f</f>
        <v>756</v>
      </c>
      <c r="I2787" s="29" t="n">
        <f aca="false">rent_ext_f</f>
        <v>756</v>
      </c>
      <c r="J2787" s="29" t="n">
        <f aca="false">rent_ext_f</f>
        <v>756</v>
      </c>
      <c r="K2787" s="29" t="n">
        <f aca="false">rent_ext_f</f>
        <v>756</v>
      </c>
      <c r="L2787" s="1" t="s">
        <v>814</v>
      </c>
    </row>
    <row r="2788" customFormat="false" ht="17.15" hidden="false" customHeight="false" outlineLevel="0" collapsed="false">
      <c r="A2788" s="1" t="s">
        <v>815</v>
      </c>
      <c r="B2788" s="0" t="s">
        <v>399</v>
      </c>
      <c r="C2788" s="29" t="n">
        <f aca="false">Sens!C2786-Sens!C2787</f>
        <v>490</v>
      </c>
      <c r="D2788" s="29" t="n">
        <f aca="false">Sens!D2786-Sens!D2787</f>
        <v>1230</v>
      </c>
      <c r="E2788" s="29" t="n">
        <f aca="false">Sens!E2786-Sens!E2787</f>
        <v>2700</v>
      </c>
      <c r="F2788" s="29" t="n">
        <f aca="false">Sens!F2786-Sens!F2787</f>
        <v>5021.2</v>
      </c>
      <c r="G2788" s="29" t="n">
        <f aca="false">Sens!G2786-Sens!G2787</f>
        <v>7548.4</v>
      </c>
      <c r="H2788" s="29" t="n">
        <f aca="false">Sens!H2786-Sens!H2787</f>
        <v>10075.6</v>
      </c>
      <c r="I2788" s="29" t="n">
        <f aca="false">Sens!I2786-Sens!I2787</f>
        <v>11868.716</v>
      </c>
      <c r="J2788" s="29" t="n">
        <f aca="false">Sens!J2786-Sens!J2787</f>
        <v>12963.61032</v>
      </c>
      <c r="K2788" s="29" t="n">
        <f aca="false">Sens!K2786-Sens!K2787</f>
        <v>13375.1986296</v>
      </c>
    </row>
    <row r="2789" customFormat="false" ht="17.15" hidden="false" customHeight="false" outlineLevel="0" collapsed="false">
      <c r="A2789" s="1" t="s">
        <v>816</v>
      </c>
      <c r="B2789" s="0" t="s">
        <v>399</v>
      </c>
      <c r="C2789" s="29" t="n">
        <f aca="false">Sens!C2788/ext_sh_hi</f>
        <v>653.333333333333</v>
      </c>
      <c r="D2789" s="29" t="n">
        <f aca="false">Sens!D2788/ext_sh_hi</f>
        <v>1640</v>
      </c>
      <c r="E2789" s="29" t="n">
        <f aca="false">Sens!E2788/ext_sh_hi</f>
        <v>3600</v>
      </c>
      <c r="F2789" s="29" t="n">
        <f aca="false">Sens!F2788/ext_sh_hi</f>
        <v>6694.93333333333</v>
      </c>
      <c r="G2789" s="29" t="n">
        <f aca="false">Sens!G2788/ext_sh_hi</f>
        <v>10064.5333333333</v>
      </c>
      <c r="H2789" s="29" t="n">
        <f aca="false">Sens!H2788/ext_sh_hi</f>
        <v>13434.1333333333</v>
      </c>
      <c r="I2789" s="29" t="n">
        <f aca="false">Sens!I2788/ext_sh_hi</f>
        <v>15824.9546666667</v>
      </c>
      <c r="J2789" s="29" t="n">
        <f aca="false">Sens!J2788/ext_sh_hi</f>
        <v>17284.81376</v>
      </c>
      <c r="K2789" s="29" t="n">
        <f aca="false">Sens!K2788/ext_sh_hi</f>
        <v>17833.5981728</v>
      </c>
      <c r="L2789" s="1" t="s">
        <v>817</v>
      </c>
    </row>
    <row r="2790" customFormat="false" ht="17.15" hidden="false" customHeight="false" outlineLevel="0" collapsed="false">
      <c r="A2790" s="1" t="s">
        <v>818</v>
      </c>
      <c r="B2790" s="0" t="s">
        <v>399</v>
      </c>
      <c r="C2790" s="29" t="n">
        <f aca="false">Sens!C2789-Sens!C2788</f>
        <v>163.333333333333</v>
      </c>
      <c r="D2790" s="29" t="n">
        <f aca="false">Sens!D2789-Sens!D2788</f>
        <v>410</v>
      </c>
      <c r="E2790" s="29" t="n">
        <f aca="false">Sens!E2789-Sens!E2788</f>
        <v>900</v>
      </c>
      <c r="F2790" s="29" t="n">
        <f aca="false">Sens!F2789-Sens!F2788</f>
        <v>1673.73333333333</v>
      </c>
      <c r="G2790" s="29" t="n">
        <f aca="false">Sens!G2789-Sens!G2788</f>
        <v>2516.13333333333</v>
      </c>
      <c r="H2790" s="29" t="n">
        <f aca="false">Sens!H2789-Sens!H2788</f>
        <v>3358.53333333333</v>
      </c>
      <c r="I2790" s="29" t="n">
        <f aca="false">Sens!I2789-Sens!I2788</f>
        <v>3956.23866666667</v>
      </c>
      <c r="J2790" s="29" t="n">
        <f aca="false">Sens!J2789-Sens!J2788</f>
        <v>4321.20344</v>
      </c>
      <c r="K2790" s="29" t="n">
        <f aca="false">Sens!K2789-Sens!K2788</f>
        <v>4458.3995432</v>
      </c>
    </row>
    <row r="2791" customFormat="false" ht="17.15" hidden="false" customHeight="false" outlineLevel="0" collapsed="false">
      <c r="A2791" s="1" t="s">
        <v>819</v>
      </c>
      <c r="B2791" s="0" t="s">
        <v>399</v>
      </c>
      <c r="C2791" s="29" t="n">
        <f aca="false">Sens!C2789</f>
        <v>653.333333333333</v>
      </c>
      <c r="D2791" s="29" t="n">
        <f aca="false">Sens!D2789-Sens!C2789</f>
        <v>986.666666666667</v>
      </c>
      <c r="E2791" s="29" t="n">
        <f aca="false">Sens!E2789-Sens!D2789</f>
        <v>1960</v>
      </c>
      <c r="F2791" s="29" t="n">
        <f aca="false">Sens!F2789-Sens!E2789</f>
        <v>3094.93333333333</v>
      </c>
      <c r="G2791" s="29" t="n">
        <f aca="false">Sens!G2789-Sens!F2789</f>
        <v>3369.6</v>
      </c>
      <c r="H2791" s="29" t="n">
        <f aca="false">Sens!H2789-Sens!G2789</f>
        <v>3369.6</v>
      </c>
      <c r="I2791" s="29" t="n">
        <f aca="false">Sens!I2789-Sens!H2789</f>
        <v>2390.82133333333</v>
      </c>
      <c r="J2791" s="29" t="n">
        <f aca="false">Sens!J2789-Sens!I2789</f>
        <v>1459.85909333333</v>
      </c>
      <c r="K2791" s="29" t="n">
        <f aca="false">Sens!K2789-Sens!J2789</f>
        <v>548.7844128</v>
      </c>
    </row>
    <row r="2792" customFormat="false" ht="17.15" hidden="false" customHeight="false" outlineLevel="0" collapsed="false">
      <c r="A2792" s="1" t="s">
        <v>820</v>
      </c>
      <c r="B2792" s="0" t="s">
        <v>399</v>
      </c>
      <c r="D2792" s="29" t="n">
        <f aca="false">Sens!D2786-Sens!C2786</f>
        <v>990</v>
      </c>
      <c r="E2792" s="29" t="n">
        <f aca="false">Sens!E2786-Sens!D2786</f>
        <v>1620</v>
      </c>
      <c r="F2792" s="29" t="n">
        <f aca="false">Sens!F2786-Sens!E2786</f>
        <v>2527.2</v>
      </c>
      <c r="G2792" s="29" t="n">
        <f aca="false">Sens!G2786-Sens!F2786</f>
        <v>2527.2</v>
      </c>
      <c r="H2792" s="29" t="n">
        <f aca="false">Sens!H2786-Sens!G2786</f>
        <v>2527.2</v>
      </c>
      <c r="I2792" s="29" t="n">
        <f aca="false">Sens!I2786-Sens!H2786</f>
        <v>1793.116</v>
      </c>
      <c r="J2792" s="29" t="n">
        <f aca="false">Sens!J2786-Sens!I2786</f>
        <v>1094.89432</v>
      </c>
      <c r="K2792" s="29" t="n">
        <f aca="false">Sens!K2786-Sens!J2786</f>
        <v>411.5883096</v>
      </c>
    </row>
    <row r="2793" customFormat="false" ht="17.15" hidden="false" customHeight="false" outlineLevel="0" collapsed="false">
      <c r="A2793" s="1" t="s">
        <v>821</v>
      </c>
      <c r="B2793" s="0" t="s">
        <v>399</v>
      </c>
      <c r="F2793" s="29" t="n">
        <f aca="false">Sens!F2810*ext_sh_hi</f>
        <v>0</v>
      </c>
      <c r="G2793" s="29" t="n">
        <f aca="false">Sens!G2810*ext_sh_hi</f>
        <v>0</v>
      </c>
      <c r="H2793" s="29" t="n">
        <f aca="false">Sens!H2810*ext_sh_hi</f>
        <v>0</v>
      </c>
      <c r="I2793" s="29" t="n">
        <f aca="false">Sens!I2810*ext_sh_hi</f>
        <v>490</v>
      </c>
      <c r="J2793" s="29" t="n">
        <f aca="false">Sens!J2810*ext_sh_hi</f>
        <v>740</v>
      </c>
      <c r="K2793" s="29" t="n">
        <f aca="false">Sens!K2810*ext_sh_hi</f>
        <v>1470</v>
      </c>
      <c r="L2793" s="1" t="s">
        <v>822</v>
      </c>
    </row>
    <row r="2794" customFormat="false" ht="17.15" hidden="false" customHeight="false" outlineLevel="0" collapsed="false">
      <c r="A2794" s="1" t="s">
        <v>823</v>
      </c>
      <c r="B2794" s="0" t="s">
        <v>399</v>
      </c>
      <c r="C2794" s="29" t="n">
        <f aca="false">mix_h*Sens!C2786</f>
        <v>128</v>
      </c>
      <c r="D2794" s="29" t="n">
        <f aca="false">mix_h*Sens!D2786</f>
        <v>326</v>
      </c>
      <c r="E2794" s="29" t="n">
        <f aca="false">mix_h*Sens!E2786</f>
        <v>650</v>
      </c>
      <c r="F2794" s="29" t="n">
        <f aca="false">Sens!E2794-Sens!F2793*mix_h</f>
        <v>650</v>
      </c>
      <c r="G2794" s="29" t="n">
        <f aca="false">Sens!F2794-Sens!G2793*mix_h</f>
        <v>650</v>
      </c>
      <c r="H2794" s="29" t="n">
        <f aca="false">Sens!G2794-Sens!H2793*mix_h</f>
        <v>650</v>
      </c>
      <c r="I2794" s="29" t="n">
        <f aca="false">Sens!H2794-Sens!I2793*mix_h</f>
        <v>552</v>
      </c>
      <c r="J2794" s="29" t="n">
        <f aca="false">Sens!I2794-Sens!J2793*mix_h</f>
        <v>404</v>
      </c>
      <c r="K2794" s="29" t="n">
        <f aca="false">Sens!J2794-Sens!K2793*mix_h</f>
        <v>110</v>
      </c>
    </row>
    <row r="2795" customFormat="false" ht="17.15" hidden="false" customHeight="false" outlineLevel="0" collapsed="false">
      <c r="A2795" s="1" t="s">
        <v>824</v>
      </c>
      <c r="B2795" s="0" t="s">
        <v>399</v>
      </c>
      <c r="C2795" s="29" t="n">
        <f aca="false">mix_g2*Sens!C2786</f>
        <v>288</v>
      </c>
      <c r="D2795" s="29" t="n">
        <f aca="false">mix_g2*Sens!D2786</f>
        <v>733.5</v>
      </c>
      <c r="E2795" s="29" t="n">
        <f aca="false">mix_g2*Sens!E2786</f>
        <v>1462.5</v>
      </c>
      <c r="F2795" s="29" t="n">
        <f aca="false">Sens!E2795-Sens!F2793*mix_g2</f>
        <v>1462.5</v>
      </c>
      <c r="G2795" s="29" t="n">
        <f aca="false">Sens!F2795-Sens!G2793*mix_g2</f>
        <v>1462.5</v>
      </c>
      <c r="H2795" s="29" t="n">
        <f aca="false">Sens!G2795-Sens!H2793*mix_g2</f>
        <v>1462.5</v>
      </c>
      <c r="I2795" s="29" t="n">
        <f aca="false">Sens!H2795-Sens!I2793*mix_g2</f>
        <v>1242</v>
      </c>
      <c r="J2795" s="29" t="n">
        <f aca="false">Sens!I2795-Sens!J2793*mix_g2</f>
        <v>909</v>
      </c>
      <c r="K2795" s="29" t="n">
        <f aca="false">Sens!J2795-Sens!K2793*mix_g2</f>
        <v>247.5</v>
      </c>
    </row>
    <row r="2796" customFormat="false" ht="17.15" hidden="false" customHeight="false" outlineLevel="0" collapsed="false">
      <c r="A2796" s="1" t="s">
        <v>825</v>
      </c>
      <c r="B2796" s="0" t="s">
        <v>399</v>
      </c>
      <c r="C2796" s="29" t="n">
        <f aca="false">mix_g3*Sens!C2786</f>
        <v>224</v>
      </c>
      <c r="D2796" s="29" t="n">
        <f aca="false">mix_g3*Sens!D2786</f>
        <v>570.5</v>
      </c>
      <c r="E2796" s="29" t="n">
        <f aca="false">mix_g3*Sens!E2786</f>
        <v>1137.5</v>
      </c>
      <c r="F2796" s="29" t="n">
        <f aca="false">Sens!E2796+(Sens!F2792+Sens!F2793)*a_g3_27-Sens!F2793*mix_g3</f>
        <v>2906.54</v>
      </c>
      <c r="G2796" s="29" t="n">
        <f aca="false">Sens!F2796+(Sens!G2792+Sens!G2793)*a_g3_28-Sens!G2793*mix_g3</f>
        <v>3664.7</v>
      </c>
      <c r="H2796" s="29" t="n">
        <f aca="false">Sens!G2796+(Sens!H2792+Sens!H2793)*a_g3_29-Sens!H2793*mix_g3</f>
        <v>3917.42</v>
      </c>
      <c r="I2796" s="29" t="n">
        <f aca="false">Sens!H2796+(Sens!I2792+Sens!I2793)*a_g3_29-Sens!I2793*mix_g3</f>
        <v>3974.2316</v>
      </c>
      <c r="J2796" s="29" t="n">
        <f aca="false">Sens!I2796+(Sens!J2792+Sens!J2793)*a_g3_29-Sens!J2793*mix_g3</f>
        <v>3898.721032</v>
      </c>
      <c r="K2796" s="29" t="n">
        <f aca="false">Sens!J2796+(Sens!K2792+Sens!K2793)*a_g3_29-Sens!K2793*mix_g3</f>
        <v>3572.37986296</v>
      </c>
    </row>
    <row r="2797" customFormat="false" ht="17.15" hidden="false" customHeight="false" outlineLevel="0" collapsed="false">
      <c r="A2797" s="1" t="s">
        <v>826</v>
      </c>
      <c r="B2797" s="0" t="s">
        <v>399</v>
      </c>
      <c r="C2797" s="29" t="n">
        <v>0</v>
      </c>
      <c r="D2797" s="29" t="n">
        <v>0</v>
      </c>
      <c r="E2797" s="29" t="n">
        <v>0</v>
      </c>
      <c r="F2797" s="29" t="n">
        <f aca="false">Sens!E2797+(Sens!F2792+Sens!F2793)*(1-a_g3_27)</f>
        <v>758.16</v>
      </c>
      <c r="G2797" s="29" t="n">
        <f aca="false">Sens!F2797+(Sens!G2792+Sens!G2793)*(1-a_g3_28)</f>
        <v>2527.2</v>
      </c>
      <c r="H2797" s="29" t="n">
        <f aca="false">Sens!G2797+(Sens!H2792+Sens!H2793)*(1-a_g3_29)</f>
        <v>4801.68</v>
      </c>
      <c r="I2797" s="29" t="n">
        <f aca="false">Sens!H2797+(Sens!I2792+Sens!I2793)*(1-a_g3_29)</f>
        <v>6856.4844</v>
      </c>
      <c r="J2797" s="29" t="n">
        <f aca="false">Sens!I2797+(Sens!J2792+Sens!J2793)*(1-a_g3_29)</f>
        <v>8507.889288</v>
      </c>
      <c r="K2797" s="29" t="n">
        <f aca="false">Sens!J2797+(Sens!K2792+Sens!K2793)*(1-a_g3_29)</f>
        <v>10201.31876664</v>
      </c>
    </row>
    <row r="2798" customFormat="false" ht="17.15" hidden="false" customHeight="false" outlineLevel="0" collapsed="false">
      <c r="A2798" s="1" t="s">
        <v>827</v>
      </c>
      <c r="B2798" s="0" t="s">
        <v>346</v>
      </c>
      <c r="C2798" s="14" t="n">
        <f aca="false">(Sens!C2794*tk_hold_h100+Sens!C2795*tk_hold_gb200+Sens!C2796*tk_hold_gb300+Sens!C2797*tk_hold_vr200)/Sens!C2786</f>
        <v>9.7235358126469</v>
      </c>
      <c r="D2798" s="14" t="n">
        <f aca="false">(Sens!D2794*tk_hold_h100+Sens!D2795*tk_hold_gb200+Sens!D2796*tk_hold_gb300+Sens!D2797*tk_hold_vr200)/Sens!D2786</f>
        <v>9.7235358126469</v>
      </c>
      <c r="E2798" s="14" t="n">
        <f aca="false">(Sens!E2794*tk_hold_h100+Sens!E2795*tk_hold_gb200+Sens!E2796*tk_hold_gb300+Sens!E2797*tk_hold_vr200)/Sens!E2786</f>
        <v>9.7235358126469</v>
      </c>
      <c r="F2798" s="14" t="n">
        <f aca="false">(Sens!F2794*tk_hold_h100+Sens!F2795*tk_hold_gb200+Sens!F2796*tk_hold_gb300+Sens!F2797*tk_hold_vr200)/Sens!F2786</f>
        <v>10.4079573161931</v>
      </c>
      <c r="G2798" s="14" t="n">
        <f aca="false">(Sens!G2794*tk_hold_h100+Sens!G2795*tk_hold_gb200+Sens!G2796*tk_hold_gb300+Sens!G2797*tk_hold_vr200)/Sens!G2786</f>
        <v>10.8388131109316</v>
      </c>
      <c r="H2798" s="14" t="n">
        <f aca="false">(Sens!H2794*tk_hold_h100+Sens!H2795*tk_hold_gb200+Sens!H2796*tk_hold_gb300+Sens!H2797*tk_hold_vr200)/Sens!H2786</f>
        <v>11.1311018388216</v>
      </c>
      <c r="I2798" s="14" t="n">
        <f aca="false">(Sens!I2794*tk_hold_h100+Sens!I2795*tk_hold_gb200+Sens!I2796*tk_hold_gb300+Sens!I2797*tk_hold_vr200)/Sens!I2786</f>
        <v>11.3594282560989</v>
      </c>
      <c r="J2798" s="14" t="n">
        <f aca="false">(Sens!J2794*tk_hold_h100+Sens!J2795*tk_hold_gb200+Sens!J2796*tk_hold_gb300+Sens!J2797*tk_hold_vr200)/Sens!J2786</f>
        <v>11.5455817917599</v>
      </c>
      <c r="K2798" s="14" t="n">
        <f aca="false">(Sens!K2794*tk_hold_h100+Sens!K2795*tk_hold_gb200+Sens!K2796*tk_hold_gb300+Sens!K2797*tk_hold_vr200)/Sens!K2786</f>
        <v>11.8078187977246</v>
      </c>
    </row>
    <row r="2799" customFormat="false" ht="17.15" hidden="false" customHeight="false" outlineLevel="0" collapsed="false">
      <c r="A2799" s="0" t="s">
        <v>828</v>
      </c>
      <c r="B2799" s="0" t="s">
        <v>185</v>
      </c>
      <c r="C2799" s="14" t="n">
        <f aca="false">k_B</f>
        <v>1.17213932619116</v>
      </c>
      <c r="D2799" s="14" t="n">
        <f aca="false">k_B</f>
        <v>1.17213932619116</v>
      </c>
      <c r="E2799" s="14" t="n">
        <f aca="false">k_B</f>
        <v>1.17213932619116</v>
      </c>
      <c r="F2799" s="14" t="n">
        <f aca="false">(k_B+((ls_C*k_long+(1-ls_C)*k_spot)-k_B)*MIN(1,(Sens!F2784-base_fy)/k_ramp))</f>
        <v>1.07843258004497</v>
      </c>
      <c r="G2799" s="14" t="n">
        <f aca="false">(k_B+((ls_C*k_long+(1-ls_C)*k_spot)-k_B)*MIN(1,(Sens!G2784-base_fy)/k_ramp))</f>
        <v>0.984725833898784</v>
      </c>
      <c r="H2799" s="14" t="n">
        <f aca="false">(k_B+((ls_C*k_long+(1-ls_C)*k_spot)-k_B)*MIN(1,(Sens!H2784-base_fy)/k_ramp))</f>
        <v>0.891019087752599</v>
      </c>
      <c r="I2799" s="14" t="n">
        <f aca="false">(k_B+((ls_C*k_long+(1-ls_C)*k_spot)-k_B)*MIN(1,(Sens!I2784-base_fy)/k_ramp))</f>
        <v>0.891019087752599</v>
      </c>
      <c r="J2799" s="14" t="n">
        <f aca="false">(k_B+((ls_C*k_long+(1-ls_C)*k_spot)-k_B)*MIN(1,(Sens!J2784-base_fy)/k_ramp))</f>
        <v>0.891019087752599</v>
      </c>
      <c r="K2799" s="14" t="n">
        <f aca="false">(k_B+((ls_C*k_long+(1-ls_C)*k_spot)-k_B)*MIN(1,(Sens!K2784-base_fy)/k_ramp))</f>
        <v>0.891019087752599</v>
      </c>
      <c r="L2799" s="1" t="s">
        <v>829</v>
      </c>
    </row>
    <row r="2800" customFormat="false" ht="17.15" hidden="false" customHeight="false" outlineLevel="0" collapsed="false">
      <c r="A2800" s="1" t="s">
        <v>830</v>
      </c>
      <c r="B2800" s="0" t="s">
        <v>346</v>
      </c>
      <c r="C2800" s="14" t="n">
        <f aca="false">Sens!C2798*Sens!C2799*chip_f</f>
        <v>11.3973387156315</v>
      </c>
      <c r="D2800" s="14" t="n">
        <f aca="false">Sens!D2798*Sens!D2799*chip_f</f>
        <v>11.3973387156315</v>
      </c>
      <c r="E2800" s="14" t="n">
        <f aca="false">Sens!E2798*Sens!E2799*chip_f</f>
        <v>11.3973387156315</v>
      </c>
      <c r="F2800" s="14" t="n">
        <f aca="false">Sens!F2798*Sens!F2799*chip_f</f>
        <v>11.2242802615</v>
      </c>
      <c r="G2800" s="14" t="n">
        <f aca="false">Sens!G2798*Sens!G2799*chip_f</f>
        <v>10.6732592791352</v>
      </c>
      <c r="H2800" s="14" t="n">
        <f aca="false">Sens!H2798*Sens!H2799*chip_f</f>
        <v>9.91802420610807</v>
      </c>
      <c r="I2800" s="14" t="n">
        <f aca="false">Sens!I2798*Sens!I2799*chip_f</f>
        <v>10.1214674021403</v>
      </c>
      <c r="J2800" s="14" t="n">
        <f aca="false">Sens!J2798*Sens!J2799*chip_f</f>
        <v>10.2873337556669</v>
      </c>
      <c r="K2800" s="14" t="n">
        <f aca="false">Sens!K2798*Sens!K2799*chip_f</f>
        <v>10.5209919334966</v>
      </c>
      <c r="L2800" s="1" t="s">
        <v>831</v>
      </c>
    </row>
    <row r="2801" customFormat="false" ht="17.15" hidden="false" customHeight="false" outlineLevel="0" collapsed="false">
      <c r="A2801" s="0" t="s">
        <v>832</v>
      </c>
      <c r="B2801" s="0" t="s">
        <v>98</v>
      </c>
      <c r="D2801" s="6" t="n">
        <f aca="false">(Sens!C2786+Sens!D2786)/2*Sens!D2800/1000</f>
        <v>12.9359794422418</v>
      </c>
      <c r="E2801" s="6" t="n">
        <f aca="false">(Sens!D2786+Sens!E2786)/2*Sens!E2800/1000</f>
        <v>27.8095064661409</v>
      </c>
      <c r="F2801" s="6" t="n">
        <f aca="false">(Sens!E2786+Sens!F2786)/2*Sens!F2800/1000</f>
        <v>50.6619113883066</v>
      </c>
      <c r="G2801" s="6" t="n">
        <f aca="false">(Sens!F2786+Sens!G2786)/2*Sens!G2800/1000</f>
        <v>75.1482839325348</v>
      </c>
      <c r="H2801" s="6" t="n">
        <f aca="false">(Sens!G2786+Sens!H2786)/2*Sens!H2800/1000</f>
        <v>94.895655604042</v>
      </c>
      <c r="I2801" s="6" t="n">
        <f aca="false">(Sens!H2786+Sens!I2786)/2*Sens!I2800/1000</f>
        <v>118.706168884151</v>
      </c>
      <c r="J2801" s="6" t="n">
        <f aca="false">(Sens!I2786+Sens!J2786)/2*Sens!J2800/1000</f>
        <v>135.50643871102</v>
      </c>
      <c r="K2801" s="6" t="n">
        <f aca="false">(Sens!J2786+Sens!K2786)/2*Sens!K2800/1000</f>
        <v>146.509068150048</v>
      </c>
      <c r="L2801" s="11" t="s">
        <v>833</v>
      </c>
    </row>
    <row r="2802" customFormat="false" ht="17.15" hidden="false" customHeight="false" outlineLevel="0" collapsed="false">
      <c r="A2802" s="1" t="s">
        <v>834</v>
      </c>
      <c r="B2802" s="0" t="s">
        <v>346</v>
      </c>
      <c r="C2802" s="14" t="n">
        <f aca="false">(Sens!C2794*tk_opex_h100+Sens!C2795*tk_opex_gb200+Sens!C2796*tk_opex_gb300+Sens!C2797*tk_opex_vr200)/Sens!C2786</f>
        <v>1.88636041306092</v>
      </c>
      <c r="D2802" s="14" t="n">
        <f aca="false">(Sens!D2794*tk_opex_h100+Sens!D2795*tk_opex_gb200+Sens!D2796*tk_opex_gb300+Sens!D2797*tk_opex_vr200)/Sens!D2786</f>
        <v>1.88636041306092</v>
      </c>
      <c r="E2802" s="14" t="n">
        <f aca="false">(Sens!E2794*tk_opex_h100+Sens!E2795*tk_opex_gb200+Sens!E2796*tk_opex_gb300+Sens!E2797*tk_opex_vr200)/Sens!E2786</f>
        <v>1.88636041306092</v>
      </c>
      <c r="F2802" s="14" t="n">
        <f aca="false">(Sens!F2794*tk_opex_h100+Sens!F2795*tk_opex_gb200+Sens!F2796*tk_opex_gb300+Sens!F2797*tk_opex_vr200)/Sens!F2786</f>
        <v>1.9430236476499</v>
      </c>
      <c r="G2802" s="14" t="n">
        <f aca="false">(Sens!G2794*tk_opex_h100+Sens!G2795*tk_opex_gb200+Sens!G2796*tk_opex_gb300+Sens!G2797*tk_opex_vr200)/Sens!G2786</f>
        <v>1.9786941852423</v>
      </c>
      <c r="H2802" s="14" t="n">
        <f aca="false">(Sens!H2794*tk_opex_h100+Sens!H2795*tk_opex_gb200+Sens!H2796*tk_opex_gb300+Sens!H2797*tk_opex_vr200)/Sens!H2786</f>
        <v>2.00289275976156</v>
      </c>
      <c r="I2802" s="14" t="n">
        <f aca="false">(Sens!I2794*tk_opex_h100+Sens!I2795*tk_opex_gb200+Sens!I2796*tk_opex_gb300+Sens!I2797*tk_opex_vr200)/Sens!I2786</f>
        <v>2.02179589661219</v>
      </c>
      <c r="J2802" s="14" t="n">
        <f aca="false">(Sens!J2794*tk_opex_h100+Sens!J2795*tk_opex_gb200+Sens!J2796*tk_opex_gb300+Sens!J2797*tk_opex_vr200)/Sens!J2786</f>
        <v>2.03720754193029</v>
      </c>
      <c r="K2802" s="14" t="n">
        <f aca="false">(Sens!K2794*tk_opex_h100+Sens!K2795*tk_opex_gb200+Sens!K2796*tk_opex_gb300+Sens!K2797*tk_opex_vr200)/Sens!K2786</f>
        <v>2.0589181353437</v>
      </c>
    </row>
    <row r="2803" customFormat="false" ht="17.15" hidden="false" customHeight="false" outlineLevel="0" collapsed="false">
      <c r="A2803" s="0" t="s">
        <v>835</v>
      </c>
      <c r="B2803" s="0" t="s">
        <v>98</v>
      </c>
      <c r="D2803" s="6" t="n">
        <f aca="false">(Sens!C2789+Sens!D2789)/2*Sens!D2802/1000</f>
        <v>2.16302660697652</v>
      </c>
      <c r="E2803" s="6" t="n">
        <f aca="false">(Sens!D2789+Sens!E2789)/2*Sens!E2802/1000</f>
        <v>4.9422642822196</v>
      </c>
      <c r="F2803" s="6" t="n">
        <f aca="false">(Sens!E2789+Sens!F2789)/2*Sens!F2802/1000</f>
        <v>10.001649458823</v>
      </c>
      <c r="G2803" s="6" t="n">
        <f aca="false">(Sens!F2789+Sens!G2789)/2*Sens!G2802/1000</f>
        <v>16.5809296205477</v>
      </c>
      <c r="H2803" s="6" t="n">
        <f aca="false">(Sens!G2789+Sens!H2789)/2*Sens!H2802/1000</f>
        <v>23.5326546653585</v>
      </c>
      <c r="I2803" s="6" t="n">
        <f aca="false">(Sens!H2789+Sens!I2789)/2*Sens!I2802/1000</f>
        <v>29.5779520285075</v>
      </c>
      <c r="J2803" s="6" t="n">
        <f aca="false">(Sens!I2789+Sens!J2789)/2*Sens!J2802/1000</f>
        <v>33.7257349751853</v>
      </c>
      <c r="K2803" s="6" t="n">
        <f aca="false">(Sens!J2789+Sens!K2789)/2*Sens!K2802/1000</f>
        <v>36.1529676064563</v>
      </c>
    </row>
    <row r="2804" customFormat="false" ht="17.15" hidden="false" customHeight="false" outlineLevel="0" collapsed="false">
      <c r="A2804" s="0" t="s">
        <v>836</v>
      </c>
      <c r="B2804" s="0" t="s">
        <v>98</v>
      </c>
      <c r="D2804" s="6" t="n">
        <f aca="false">(Sens!C2787+Sens!D2787)/2*rent_mw/1000</f>
        <v>2.44475</v>
      </c>
      <c r="E2804" s="6" t="n">
        <f aca="false">(Sens!D2787+Sens!E2787)/2*rent_mw/1000</f>
        <v>4.22275</v>
      </c>
      <c r="F2804" s="6" t="n">
        <f aca="false">(Sens!E2787+Sens!F2787)/2*rent_mw/1000</f>
        <v>5.80517</v>
      </c>
      <c r="G2804" s="6" t="n">
        <f aca="false">(Sens!F2787+Sens!G2787)/2*rent_mw/1000</f>
        <v>6.72084</v>
      </c>
      <c r="H2804" s="6" t="n">
        <f aca="false">(Sens!G2787+Sens!H2787)/2*rent_mw/1000</f>
        <v>6.72084</v>
      </c>
      <c r="I2804" s="6" t="n">
        <f aca="false">(Sens!H2787+Sens!I2787)/2*rent_mw/1000</f>
        <v>6.72084</v>
      </c>
      <c r="J2804" s="6" t="n">
        <f aca="false">(Sens!I2787+Sens!J2787)/2*rent_mw/1000</f>
        <v>6.72084</v>
      </c>
      <c r="K2804" s="6" t="n">
        <f aca="false">(Sens!J2787+Sens!K2787)/2*rent_mw/1000</f>
        <v>6.72084</v>
      </c>
    </row>
    <row r="2805" customFormat="false" ht="17.15" hidden="false" customHeight="false" outlineLevel="0" collapsed="false">
      <c r="A2805" s="0" t="s">
        <v>837</v>
      </c>
      <c r="B2805" s="0" t="s">
        <v>98</v>
      </c>
      <c r="D2805" s="6" t="n">
        <f aca="false">(Sens!C2789+Sens!D2789)/2*(1-self_build)*fac_rent/1000</f>
        <v>0.682593900504861</v>
      </c>
      <c r="E2805" s="6" t="n">
        <f aca="false">(Sens!D2789+Sens!E2789)/2*(1-self_build)*fac_rent/1000</f>
        <v>1.55964769126983</v>
      </c>
      <c r="F2805" s="6" t="n">
        <f aca="false">(Sens!E2789+Sens!F2789)/2*(1-self_build)*fac_rent/1000</f>
        <v>3.06421164219659</v>
      </c>
      <c r="G2805" s="6" t="n">
        <f aca="false">(Sens!F2789+Sens!G2789)/2*(1-self_build)*fac_rent/1000</f>
        <v>4.9883327277825</v>
      </c>
      <c r="H2805" s="6" t="n">
        <f aca="false">(Sens!G2789+Sens!H2789)/2*(1-self_build)*fac_rent/1000</f>
        <v>6.99420633866143</v>
      </c>
      <c r="I2805" s="6" t="n">
        <f aca="false">(Sens!H2789+Sens!I2789)/2*(1-self_build)*fac_rent/1000</f>
        <v>8.70875363508791</v>
      </c>
      <c r="J2805" s="6" t="n">
        <f aca="false">(Sens!I2789+Sens!J2789)/2*(1-self_build)*fac_rent/1000</f>
        <v>9.85488051242925</v>
      </c>
      <c r="K2805" s="6" t="n">
        <f aca="false">(Sens!J2789+Sens!K2789)/2*(1-self_build)*fac_rent/1000</f>
        <v>10.4527385671859</v>
      </c>
      <c r="L2805" s="11" t="s">
        <v>838</v>
      </c>
    </row>
    <row r="2806" customFormat="false" ht="17.15" hidden="false" customHeight="false" outlineLevel="0" collapsed="false">
      <c r="A2806" s="1" t="s">
        <v>839</v>
      </c>
      <c r="B2806" s="0" t="s">
        <v>129</v>
      </c>
      <c r="D2806" s="7" t="n">
        <f aca="false">(Sens!C2788+Sens!D2788)/(Sens!C2789+Sens!D2789)</f>
        <v>0.75</v>
      </c>
      <c r="E2806" s="7" t="n">
        <f aca="false">(Sens!D2788+Sens!E2788)/(Sens!D2789+Sens!E2789)</f>
        <v>0.75</v>
      </c>
      <c r="F2806" s="7" t="n">
        <f aca="false">(Sens!E2788+Sens!F2788)/(Sens!E2789+Sens!F2789)</f>
        <v>0.75</v>
      </c>
      <c r="G2806" s="7" t="n">
        <f aca="false">(Sens!F2788+Sens!G2788)/(Sens!F2789+Sens!G2789)</f>
        <v>0.75</v>
      </c>
      <c r="H2806" s="7" t="n">
        <f aca="false">(Sens!G2788+Sens!H2788)/(Sens!G2789+Sens!H2789)</f>
        <v>0.75</v>
      </c>
      <c r="I2806" s="7" t="n">
        <f aca="false">(Sens!H2788+Sens!I2788)/(Sens!H2789+Sens!I2789)</f>
        <v>0.75</v>
      </c>
      <c r="J2806" s="7" t="n">
        <f aca="false">(Sens!I2788+Sens!J2788)/(Sens!I2789+Sens!J2789)</f>
        <v>0.75</v>
      </c>
      <c r="K2806" s="7" t="n">
        <f aca="false">(Sens!J2788+Sens!K2788)/(Sens!J2789+Sens!K2789)</f>
        <v>0.75</v>
      </c>
    </row>
    <row r="2807" customFormat="false" ht="17.15" hidden="false" customHeight="false" outlineLevel="0" collapsed="false">
      <c r="A2807" s="0" t="s">
        <v>840</v>
      </c>
      <c r="B2807" s="0" t="s">
        <v>98</v>
      </c>
      <c r="D2807" s="6" t="n">
        <f aca="false">Sens!D2801-Sens!D2806*(Sens!D2803+Sens!D2805)-Sens!D2804</f>
        <v>8.35701406163072</v>
      </c>
      <c r="E2807" s="6" t="n">
        <f aca="false">Sens!E2801-Sens!E2806*(Sens!E2803+Sens!E2805)-Sens!E2804</f>
        <v>18.7103224860238</v>
      </c>
      <c r="F2807" s="6" t="n">
        <f aca="false">Sens!F2801-Sens!F2806*(Sens!F2803+Sens!F2805)-Sens!F2804</f>
        <v>35.0573455625419</v>
      </c>
      <c r="G2807" s="6" t="n">
        <f aca="false">Sens!G2801-Sens!G2806*(Sens!G2803+Sens!G2805)-Sens!G2804</f>
        <v>52.2504971712871</v>
      </c>
      <c r="H2807" s="6" t="n">
        <f aca="false">Sens!H2801-Sens!H2806*(Sens!H2803+Sens!H2805)-Sens!H2804</f>
        <v>65.2796698510271</v>
      </c>
      <c r="I2807" s="6" t="n">
        <f aca="false">Sens!I2801-Sens!I2806*(Sens!I2803+Sens!I2805)-Sens!I2804</f>
        <v>83.2702996364549</v>
      </c>
      <c r="J2807" s="6" t="n">
        <f aca="false">Sens!J2801-Sens!J2806*(Sens!J2803+Sens!J2805)-Sens!J2804</f>
        <v>96.1001370953096</v>
      </c>
      <c r="K2807" s="6" t="n">
        <f aca="false">Sens!K2801-Sens!K2806*(Sens!K2803+Sens!K2805)-Sens!K2804</f>
        <v>104.833948519816</v>
      </c>
    </row>
    <row r="2808" customFormat="false" ht="17.15" hidden="false" customHeight="false" outlineLevel="0" collapsed="false">
      <c r="A2808" s="1" t="s">
        <v>841</v>
      </c>
      <c r="B2808" s="0" t="s">
        <v>98</v>
      </c>
      <c r="D2808" s="6" t="n">
        <f aca="false">(1-Sens!D2806)*(Sens!D2803+Sens!D2805)</f>
        <v>0.711405126870345</v>
      </c>
      <c r="E2808" s="6" t="n">
        <f aca="false">(1-Sens!E2806)*(Sens!E2803+Sens!E2805)</f>
        <v>1.62547799337236</v>
      </c>
      <c r="F2808" s="6" t="n">
        <f aca="false">(1-Sens!F2806)*(Sens!F2803+Sens!F2805)</f>
        <v>3.26646527525489</v>
      </c>
      <c r="G2808" s="6" t="n">
        <f aca="false">(1-Sens!G2806)*(Sens!G2803+Sens!G2805)</f>
        <v>5.39231558708256</v>
      </c>
      <c r="H2808" s="6" t="n">
        <f aca="false">(1-Sens!H2806)*(Sens!H2803+Sens!H2805)</f>
        <v>7.63171525100499</v>
      </c>
      <c r="I2808" s="6" t="n">
        <f aca="false">(1-Sens!I2806)*(Sens!I2803+Sens!I2805)</f>
        <v>9.57167641589886</v>
      </c>
      <c r="J2808" s="6" t="n">
        <f aca="false">(1-Sens!J2806)*(Sens!J2803+Sens!J2805)</f>
        <v>10.8951538719036</v>
      </c>
      <c r="K2808" s="6" t="n">
        <f aca="false">(1-Sens!K2806)*(Sens!K2803+Sens!K2805)</f>
        <v>11.6514265434106</v>
      </c>
    </row>
    <row r="2809" customFormat="false" ht="17.15" hidden="false" customHeight="false" outlineLevel="0" collapsed="false">
      <c r="A2809" s="1" t="s">
        <v>842</v>
      </c>
      <c r="B2809" s="0" t="s">
        <v>357</v>
      </c>
      <c r="C2809" s="8" t="n">
        <f aca="false">cxit_open</f>
        <v>27.5918995</v>
      </c>
      <c r="D2809" s="8" t="n">
        <f aca="false">cxit_open</f>
        <v>27.5918995</v>
      </c>
      <c r="E2809" s="8" t="n">
        <f aca="false">cxit_open</f>
        <v>27.5918995</v>
      </c>
      <c r="F2809" s="8" t="n">
        <f aca="false">(a_g3_27*tk_cxit_gb300+(1-a_g3_27)*tk_cxit_vr200)</f>
        <v>33.8419624</v>
      </c>
      <c r="G2809" s="8" t="n">
        <f aca="false">(a_g3_28*tk_cxit_gb300+(1-a_g3_28)*tk_cxit_vr200)</f>
        <v>35.9816136</v>
      </c>
      <c r="H2809" s="8" t="n">
        <f aca="false">(a_g3_29*tk_cxit_gb300+(1-a_g3_29)*tk_cxit_vr200)</f>
        <v>37.0514392</v>
      </c>
      <c r="I2809" s="8" t="n">
        <f aca="false">(a_g3_29*tk_cxit_gb300+(1-a_g3_29)*tk_cxit_vr200)</f>
        <v>37.0514392</v>
      </c>
      <c r="J2809" s="8" t="n">
        <f aca="false">(a_g3_29*tk_cxit_gb300+(1-a_g3_29)*tk_cxit_vr200)</f>
        <v>37.0514392</v>
      </c>
      <c r="K2809" s="8" t="n">
        <f aca="false">(a_g3_29*tk_cxit_gb300+(1-a_g3_29)*tk_cxit_vr200)</f>
        <v>37.0514392</v>
      </c>
      <c r="L2809" s="11" t="s">
        <v>843</v>
      </c>
    </row>
    <row r="2810" customFormat="false" ht="17.15" hidden="false" customHeight="false" outlineLevel="0" collapsed="false">
      <c r="A2810" s="0" t="s">
        <v>844</v>
      </c>
      <c r="B2810" s="0" t="s">
        <v>399</v>
      </c>
      <c r="F2810" s="29" t="n">
        <f aca="false">Sens!C2791*IF(Sens!F2784-Sens!C2784=life_it,1,0)+Sens!D2791*IF(Sens!F2784-Sens!D2784=life_it,1,0)+Sens!E2791*IF(Sens!F2784-Sens!E2784=life_it,1,0)</f>
        <v>0</v>
      </c>
      <c r="G2810" s="29" t="n">
        <f aca="false">Sens!C2791*IF(Sens!G2784-Sens!C2784=life_it,1,0)+Sens!D2791*IF(Sens!G2784-Sens!D2784=life_it,1,0)+Sens!E2791*IF(Sens!G2784-Sens!E2784=life_it,1,0)+Sens!F2791*IF(Sens!G2784-Sens!F2784=life_it,1,0)</f>
        <v>0</v>
      </c>
      <c r="H2810" s="29" t="n">
        <f aca="false">Sens!C2791*IF(Sens!H2784-Sens!C2784=life_it,1,0)+Sens!D2791*IF(Sens!H2784-Sens!D2784=life_it,1,0)+Sens!E2791*IF(Sens!H2784-Sens!E2784=life_it,1,0)+Sens!F2791*IF(Sens!H2784-Sens!F2784=life_it,1,0)+Sens!G2791*IF(Sens!H2784-Sens!G2784=life_it,1,0)</f>
        <v>0</v>
      </c>
      <c r="I2810" s="29" t="n">
        <f aca="false">Sens!C2791*IF(Sens!I2784-Sens!C2784=life_it,1,0)+Sens!D2791*IF(Sens!I2784-Sens!D2784=life_it,1,0)+Sens!E2791*IF(Sens!I2784-Sens!E2784=life_it,1,0)+Sens!F2791*IF(Sens!I2784-Sens!F2784=life_it,1,0)+Sens!G2791*IF(Sens!I2784-Sens!G2784=life_it,1,0)+Sens!H2791*IF(Sens!I2784-Sens!H2784=life_it,1,0)</f>
        <v>653.333333333333</v>
      </c>
      <c r="J2810" s="29" t="n">
        <f aca="false">Sens!C2791*IF(Sens!J2784-Sens!C2784=life_it,1,0)+Sens!D2791*IF(Sens!J2784-Sens!D2784=life_it,1,0)+Sens!E2791*IF(Sens!J2784-Sens!E2784=life_it,1,0)+Sens!F2791*IF(Sens!J2784-Sens!F2784=life_it,1,0)+Sens!G2791*IF(Sens!J2784-Sens!G2784=life_it,1,0)+Sens!H2791*IF(Sens!J2784-Sens!H2784=life_it,1,0)+Sens!I2791*IF(Sens!J2784-Sens!I2784=life_it,1,0)</f>
        <v>986.666666666667</v>
      </c>
      <c r="K2810" s="29" t="n">
        <f aca="false">Sens!C2791*IF(Sens!K2784-Sens!C2784=life_it,1,0)+Sens!D2791*IF(Sens!K2784-Sens!D2784=life_it,1,0)+Sens!E2791*IF(Sens!K2784-Sens!E2784=life_it,1,0)+Sens!F2791*IF(Sens!K2784-Sens!F2784=life_it,1,0)+Sens!G2791*IF(Sens!K2784-Sens!G2784=life_it,1,0)+Sens!H2791*IF(Sens!K2784-Sens!H2784=life_it,1,0)+Sens!I2791*IF(Sens!K2784-Sens!I2784=life_it,1,0)+Sens!J2791*IF(Sens!K2784-Sens!J2784=life_it,1,0)</f>
        <v>1960</v>
      </c>
      <c r="L2810" s="1" t="s">
        <v>845</v>
      </c>
    </row>
    <row r="2811" customFormat="false" ht="17.15" hidden="false" customHeight="false" outlineLevel="0" collapsed="false">
      <c r="A2811" s="0" t="s">
        <v>846</v>
      </c>
      <c r="B2811" s="0" t="s">
        <v>98</v>
      </c>
      <c r="C2811" s="6" t="n">
        <f aca="false">Sens!C2791*Sens!C2809/1000</f>
        <v>18.0267076733333</v>
      </c>
      <c r="D2811" s="6" t="n">
        <f aca="false">Sens!D2791*Sens!D2809/1000</f>
        <v>27.2240075066667</v>
      </c>
      <c r="E2811" s="6" t="n">
        <f aca="false">Sens!E2791*Sens!E2809/1000</f>
        <v>54.08012302</v>
      </c>
      <c r="F2811" s="6" t="n">
        <f aca="false">(Sens!F2791+Sens!F2810)*Sens!F2809/1000</f>
        <v>104.738617497173</v>
      </c>
      <c r="G2811" s="6" t="n">
        <f aca="false">(Sens!G2791+Sens!G2810)*Sens!G2809/1000</f>
        <v>121.24364518656</v>
      </c>
      <c r="H2811" s="6" t="n">
        <f aca="false">(Sens!H2791+Sens!H2810)*Sens!H2809/1000</f>
        <v>124.84852952832</v>
      </c>
      <c r="I2811" s="6" t="n">
        <f aca="false">(Sens!I2791+Sens!I2810)*Sens!I2809/1000</f>
        <v>112.790311547396</v>
      </c>
      <c r="J2811" s="6" t="n">
        <f aca="false">(Sens!J2791+Sens!J2810)*Sens!J2809/1000</f>
        <v>90.6473004478738</v>
      </c>
      <c r="K2811" s="6" t="n">
        <f aca="false">(Sens!K2791+Sens!K2810)*Sens!K2809/1000</f>
        <v>92.9540731367669</v>
      </c>
    </row>
    <row r="2812" customFormat="false" ht="17.15" hidden="false" customHeight="false" outlineLevel="0" collapsed="false">
      <c r="A2812" s="0" t="s">
        <v>847</v>
      </c>
      <c r="B2812" s="0" t="s">
        <v>98</v>
      </c>
      <c r="C2812" s="6" t="n">
        <f aca="false">Sens!C2791*self_build*tk_cxfac/1000</f>
        <v>4.96664</v>
      </c>
      <c r="D2812" s="6" t="n">
        <f aca="false">Sens!D2791*self_build*tk_cxfac/1000</f>
        <v>7.50064</v>
      </c>
      <c r="E2812" s="6" t="n">
        <f aca="false">Sens!E2791*self_build*tk_cxfac/1000</f>
        <v>14.89992</v>
      </c>
      <c r="F2812" s="6" t="n">
        <f aca="false">Sens!F2791*self_build*tk_cxfac/1000</f>
        <v>23.5276832</v>
      </c>
      <c r="G2812" s="6" t="n">
        <f aca="false">Sens!G2791*self_build*tk_cxfac/1000</f>
        <v>25.6156992</v>
      </c>
      <c r="H2812" s="6" t="n">
        <f aca="false">Sens!H2791*self_build*tk_cxfac/1000</f>
        <v>25.6156992</v>
      </c>
      <c r="I2812" s="6" t="n">
        <f aca="false">Sens!I2791*self_build*tk_cxfac/1000</f>
        <v>18.175023776</v>
      </c>
      <c r="J2812" s="6" t="n">
        <f aca="false">Sens!J2791*self_build*tk_cxfac/1000</f>
        <v>11.09784882752</v>
      </c>
      <c r="K2812" s="6" t="n">
        <f aca="false">Sens!K2791*self_build*tk_cxfac/1000</f>
        <v>4.1718591061056</v>
      </c>
    </row>
    <row r="2813" customFormat="false" ht="17.15" hidden="false" customHeight="false" outlineLevel="0" collapsed="false">
      <c r="A2813" s="0" t="s">
        <v>848</v>
      </c>
      <c r="B2813" s="0" t="s">
        <v>98</v>
      </c>
      <c r="F2813" s="6" t="n">
        <f aca="false">MAX(0,capex_floor27-Sens!F2811-Sens!F2812-Sens!F2907)</f>
        <v>40.5043520732642</v>
      </c>
    </row>
    <row r="2814" customFormat="false" ht="17.15" hidden="false" customHeight="false" outlineLevel="0" collapsed="false">
      <c r="A2814" s="0" t="s">
        <v>849</v>
      </c>
      <c r="B2814" s="0" t="s">
        <v>98</v>
      </c>
      <c r="C2814" s="6" t="n">
        <f aca="false">Sens!C2811</f>
        <v>18.0267076733333</v>
      </c>
      <c r="D2814" s="6" t="n">
        <f aca="false">Sens!D2811</f>
        <v>27.2240075066667</v>
      </c>
      <c r="E2814" s="6" t="n">
        <f aca="false">Sens!E2811</f>
        <v>54.08012302</v>
      </c>
      <c r="F2814" s="6" t="n">
        <f aca="false">Sens!F2811</f>
        <v>104.738617497173</v>
      </c>
      <c r="G2814" s="6" t="n">
        <f aca="false">Sens!G2811</f>
        <v>121.24364518656</v>
      </c>
      <c r="H2814" s="6" t="n">
        <f aca="false">Sens!H2811</f>
        <v>124.84852952832</v>
      </c>
      <c r="I2814" s="6" t="n">
        <f aca="false">Sens!I2811</f>
        <v>112.790311547396</v>
      </c>
      <c r="J2814" s="6" t="n">
        <f aca="false">Sens!J2811</f>
        <v>90.6473004478738</v>
      </c>
      <c r="K2814" s="6" t="n">
        <f aca="false">Sens!K2811</f>
        <v>92.9540731367669</v>
      </c>
    </row>
    <row r="2815" customFormat="false" ht="17.15" hidden="false" customHeight="false" outlineLevel="0" collapsed="false">
      <c r="A2815" s="0" t="s">
        <v>850</v>
      </c>
      <c r="B2815" s="0" t="s">
        <v>98</v>
      </c>
      <c r="C2815" s="6" t="n">
        <f aca="false">Sens!C2814+Sens!C2812</f>
        <v>22.9933476733333</v>
      </c>
      <c r="D2815" s="6" t="n">
        <f aca="false">Sens!D2814+Sens!D2812</f>
        <v>34.7246475066667</v>
      </c>
      <c r="E2815" s="6" t="n">
        <f aca="false">Sens!E2814+Sens!E2812</f>
        <v>68.98004302</v>
      </c>
      <c r="F2815" s="6" t="n">
        <f aca="false">Sens!F2814+Sens!F2812</f>
        <v>128.266300697173</v>
      </c>
      <c r="G2815" s="6" t="n">
        <f aca="false">Sens!G2814+Sens!G2812</f>
        <v>146.85934438656</v>
      </c>
      <c r="H2815" s="6" t="n">
        <f aca="false">Sens!H2814+Sens!H2812</f>
        <v>150.46422872832</v>
      </c>
      <c r="I2815" s="6" t="n">
        <f aca="false">Sens!I2814+Sens!I2812</f>
        <v>130.965335323396</v>
      </c>
      <c r="J2815" s="6" t="n">
        <f aca="false">Sens!J2814+Sens!J2812</f>
        <v>101.745149275394</v>
      </c>
      <c r="K2815" s="6" t="n">
        <f aca="false">Sens!K2814+Sens!K2812</f>
        <v>97.1259322428725</v>
      </c>
      <c r="L2815" s="11" t="s">
        <v>851</v>
      </c>
    </row>
    <row r="2816" customFormat="false" ht="17.15" hidden="false" customHeight="false" outlineLevel="0" collapsed="false">
      <c r="A2816" s="0" t="s">
        <v>852</v>
      </c>
      <c r="B2816" s="0" t="s">
        <v>98</v>
      </c>
      <c r="E2816" s="6" t="n">
        <f aca="false">(Sens!C2814*IF(2&lt;life_it,1,IF(2=life_it,0.5,0))+Sens!D2814*IF(1&lt;life_it,1,IF(1=life_it,0.5,0))+Sens!E2814*0.5)/life_it</f>
        <v>12.0484627816667</v>
      </c>
      <c r="F2816" s="6" t="n">
        <f aca="false">(Sens!C2814*IF(3&lt;life_it,1,IF(3=life_it,0.5,0))+Sens!D2814*IF(2&lt;life_it,1,IF(2=life_it,0.5,0))+Sens!E2814*IF(1&lt;life_it,1,IF(1=life_it,0.5,0))+Sens!F2814*0.5)/life_it</f>
        <v>25.2833578247644</v>
      </c>
      <c r="G2816" s="6" t="n">
        <f aca="false">(Sens!C2814*IF(4&lt;life_it,1,IF(4=life_it,0.5,0))+Sens!D2814*IF(3&lt;life_it,1,IF(3=life_it,0.5,0))+Sens!E2814*IF(2&lt;life_it,1,IF(2=life_it,0.5,0))+Sens!F2814*IF(1&lt;life_it,1,IF(1=life_it,0.5,0))+Sens!G2814*0.5)/life_it</f>
        <v>44.1152130484089</v>
      </c>
      <c r="H2816" s="6" t="n">
        <f aca="false">(Sens!C2814*IF(5&lt;life_it,1,IF(5=life_it,0.5,0))+Sens!D2814*IF(4&lt;life_it,1,IF(4=life_it,0.5,0))+Sens!E2814*IF(3&lt;life_it,1,IF(3=life_it,0.5,0))+Sens!F2814*IF(2&lt;life_it,1,IF(2=life_it,0.5,0))+Sens!G2814*IF(1&lt;life_it,1,IF(1=life_it,0.5,0))+Sens!H2814*0.5)/life_it</f>
        <v>64.6228942746489</v>
      </c>
      <c r="I2816" s="6" t="n">
        <f aca="false">(Sens!C2814*IF(6&lt;life_it,1,IF(6=life_it,0.5,0))+Sens!D2814*IF(5&lt;life_it,1,IF(5=life_it,0.5,0))+Sens!E2814*IF(4&lt;life_it,1,IF(4=life_it,0.5,0))+Sens!F2814*IF(3&lt;life_it,1,IF(3=life_it,0.5,0))+Sens!G2814*IF(2&lt;life_it,1,IF(2=life_it,0.5,0))+Sens!H2814*IF(1&lt;life_it,1,IF(1=life_it,0.5,0))+Sens!I2814*0.5)/life_it</f>
        <v>82.9239053915141</v>
      </c>
      <c r="J2816" s="6" t="n">
        <f aca="false">(Sens!C2814*IF(7&lt;life_it,1,IF(7=life_it,0.5,0))+Sens!D2814*IF(6&lt;life_it,1,IF(6=life_it,0.5,0))+Sens!E2814*IF(5&lt;life_it,1,IF(5=life_it,0.5,0))+Sens!F2814*IF(4&lt;life_it,1,IF(4=life_it,0.5,0))+Sens!G2814*IF(3&lt;life_it,1,IF(3=life_it,0.5,0))+Sens!H2814*IF(2&lt;life_it,1,IF(2=life_it,0.5,0))+Sens!I2814*IF(1&lt;life_it,1,IF(1=life_it,0.5,0))+Sens!J2814*0.5)/life_it</f>
        <v>96.1061467927866</v>
      </c>
      <c r="K2816" s="6" t="n">
        <f aca="false">(Sens!C2814*IF(8&lt;life_it,1,IF(8=life_it,0.5,0))+Sens!D2814*IF(7&lt;life_it,1,IF(7=life_it,0.5,0))+Sens!E2814*IF(6&lt;life_it,1,IF(6=life_it,0.5,0))+Sens!F2814*IF(5&lt;life_it,1,IF(5=life_it,0.5,0))+Sens!G2814*IF(4&lt;life_it,1,IF(4=life_it,0.5,0))+Sens!H2814*IF(3&lt;life_it,1,IF(3=life_it,0.5,0))+Sens!I2814*IF(2&lt;life_it,1,IF(2=life_it,0.5,0))+Sens!J2814*IF(1&lt;life_it,1,IF(1=life_it,0.5,0))+Sens!K2814*0.5)/life_it</f>
        <v>104.630917047618</v>
      </c>
    </row>
    <row r="2817" customFormat="false" ht="17.15" hidden="false" customHeight="false" outlineLevel="0" collapsed="false">
      <c r="A2817" s="0" t="s">
        <v>853</v>
      </c>
      <c r="B2817" s="0" t="s">
        <v>98</v>
      </c>
      <c r="E2817" s="6" t="n">
        <f aca="false">(Sens!C2812*IF(2&lt;life_fac,1,IF(2=life_fac,0.5,0))+Sens!D2812*IF(1&lt;life_fac,1,IF(1=life_fac,0.5,0))+Sens!E2812*0.5)/life_fac</f>
        <v>0.995862</v>
      </c>
      <c r="F2817" s="6" t="n">
        <f aca="false">(Sens!C2812*IF(3&lt;life_fac,1,IF(3=life_fac,0.5,0))+Sens!D2812*IF(2&lt;life_fac,1,IF(2=life_fac,0.5,0))+Sens!E2812*IF(1&lt;life_fac,1,IF(1=life_fac,0.5,0))+Sens!F2812*0.5)/life_fac</f>
        <v>1.95655208</v>
      </c>
      <c r="G2817" s="6" t="n">
        <f aca="false">(Sens!C2812*IF(4&lt;life_fac,1,IF(4=life_fac,0.5,0))+Sens!D2812*IF(3&lt;life_fac,1,IF(3=life_fac,0.5,0))+Sens!E2812*IF(2&lt;life_fac,1,IF(2=life_fac,0.5,0))+Sens!F2812*IF(1&lt;life_fac,1,IF(1=life_fac,0.5,0))+Sens!G2812*0.5)/life_fac</f>
        <v>3.18513664</v>
      </c>
      <c r="H2817" s="6" t="n">
        <f aca="false">(Sens!C2812*IF(5&lt;life_fac,1,IF(5=life_fac,0.5,0))+Sens!D2812*IF(4&lt;life_fac,1,IF(4=life_fac,0.5,0))+Sens!E2812*IF(3&lt;life_fac,1,IF(3=life_fac,0.5,0))+Sens!F2812*IF(2&lt;life_fac,1,IF(2=life_fac,0.5,0))+Sens!G2812*IF(1&lt;life_fac,1,IF(1=life_fac,0.5,0))+Sens!H2812*0.5)/life_fac</f>
        <v>4.4659216</v>
      </c>
      <c r="I2817" s="6" t="n">
        <f aca="false">(Sens!C2812*IF(6&lt;life_fac,1,IF(6=life_fac,0.5,0))+Sens!D2812*IF(5&lt;life_fac,1,IF(5=life_fac,0.5,0))+Sens!E2812*IF(4&lt;life_fac,1,IF(4=life_fac,0.5,0))+Sens!F2812*IF(3&lt;life_fac,1,IF(3=life_fac,0.5,0))+Sens!G2812*IF(2&lt;life_fac,1,IF(2=life_fac,0.5,0))+Sens!H2812*IF(1&lt;life_fac,1,IF(1=life_fac,0.5,0))+Sens!I2812*0.5)/life_fac</f>
        <v>5.5606896744</v>
      </c>
      <c r="J2817" s="6" t="n">
        <f aca="false">(Sens!C2812*IF(7&lt;life_fac,1,IF(7=life_fac,0.5,0))+Sens!D2812*IF(6&lt;life_fac,1,IF(6=life_fac,0.5,0))+Sens!E2812*IF(5&lt;life_fac,1,IF(5=life_fac,0.5,0))+Sens!F2812*IF(4&lt;life_fac,1,IF(4=life_fac,0.5,0))+Sens!G2812*IF(3&lt;life_fac,1,IF(3=life_fac,0.5,0))+Sens!H2812*IF(2&lt;life_fac,1,IF(2=life_fac,0.5,0))+Sens!I2812*IF(1&lt;life_fac,1,IF(1=life_fac,0.5,0))+Sens!J2812*0.5)/life_fac</f>
        <v>6.292511489488</v>
      </c>
      <c r="K2817" s="6" t="n">
        <f aca="false">(Sens!C2812*IF(8&lt;life_fac,1,IF(8=life_fac,0.5,0))+Sens!D2812*IF(7&lt;life_fac,1,IF(7=life_fac,0.5,0))+Sens!E2812*IF(6&lt;life_fac,1,IF(6=life_fac,0.5,0))+Sens!F2812*IF(5&lt;life_fac,1,IF(5=life_fac,0.5,0))+Sens!G2812*IF(4&lt;life_fac,1,IF(4=life_fac,0.5,0))+Sens!H2812*IF(3&lt;life_fac,1,IF(3=life_fac,0.5,0))+Sens!I2812*IF(2&lt;life_fac,1,IF(2=life_fac,0.5,0))+Sens!J2812*IF(1&lt;life_fac,1,IF(1=life_fac,0.5,0))+Sens!K2812*0.5)/life_fac</f>
        <v>6.67425418782864</v>
      </c>
    </row>
    <row r="2818" customFormat="false" ht="17.15" hidden="false" customHeight="false" outlineLevel="0" collapsed="false">
      <c r="A2818" s="0" t="s">
        <v>854</v>
      </c>
      <c r="B2818" s="0" t="s">
        <v>98</v>
      </c>
      <c r="E2818" s="6" t="n">
        <f aca="false">Sens!E2816+Sens!E2817</f>
        <v>13.0443247816667</v>
      </c>
      <c r="F2818" s="6" t="n">
        <f aca="false">Sens!F2816+Sens!F2817</f>
        <v>27.2399099047645</v>
      </c>
      <c r="G2818" s="6" t="n">
        <f aca="false">Sens!G2816+Sens!G2817</f>
        <v>47.3003496884089</v>
      </c>
      <c r="H2818" s="6" t="n">
        <f aca="false">Sens!H2816+Sens!H2817</f>
        <v>69.0888158746489</v>
      </c>
      <c r="I2818" s="6" t="n">
        <f aca="false">Sens!I2816+Sens!I2817</f>
        <v>88.4845950659141</v>
      </c>
      <c r="J2818" s="6" t="n">
        <f aca="false">Sens!J2816+Sens!J2817</f>
        <v>102.398658282275</v>
      </c>
      <c r="K2818" s="6" t="n">
        <f aca="false">Sens!K2816+Sens!K2817</f>
        <v>111.305171235446</v>
      </c>
    </row>
    <row r="2819" customFormat="false" ht="17.15" hidden="false" customHeight="false" outlineLevel="0" collapsed="false">
      <c r="A2819" s="0" t="s">
        <v>855</v>
      </c>
      <c r="B2819" s="0" t="s">
        <v>98</v>
      </c>
      <c r="E2819" s="6" t="n">
        <f aca="false">Sens!E2807-Sens!E2806*Sens!E2818</f>
        <v>8.92707889977379</v>
      </c>
      <c r="F2819" s="6" t="n">
        <f aca="false">Sens!F2807-Sens!F2806*Sens!F2818</f>
        <v>14.6274131339686</v>
      </c>
      <c r="G2819" s="6" t="n">
        <f aca="false">Sens!G2807-Sens!G2806*Sens!G2818</f>
        <v>16.7752349049804</v>
      </c>
      <c r="H2819" s="6" t="n">
        <f aca="false">Sens!H2807-Sens!H2806*Sens!H2818</f>
        <v>13.4630579450404</v>
      </c>
      <c r="I2819" s="6" t="n">
        <f aca="false">Sens!I2807-Sens!I2806*Sens!I2818</f>
        <v>16.9068533370193</v>
      </c>
      <c r="J2819" s="6" t="n">
        <f aca="false">Sens!J2807-Sens!J2806*Sens!J2818</f>
        <v>19.3011433836036</v>
      </c>
      <c r="K2819" s="6" t="n">
        <f aca="false">Sens!K2807-Sens!K2806*Sens!K2818</f>
        <v>21.3550700932312</v>
      </c>
    </row>
    <row r="2820" customFormat="false" ht="17.15" hidden="false" customHeight="false" outlineLevel="0" collapsed="false">
      <c r="A2820" s="3" t="s">
        <v>1333</v>
      </c>
    </row>
    <row r="2821" customFormat="false" ht="15" hidden="false" customHeight="false" outlineLevel="0" collapsed="false">
      <c r="A2821" s="4" t="s">
        <v>43</v>
      </c>
      <c r="B2821" s="4" t="s">
        <v>65</v>
      </c>
      <c r="C2821" s="20" t="s">
        <v>799</v>
      </c>
      <c r="D2821" s="20" t="s">
        <v>800</v>
      </c>
      <c r="E2821" s="20" t="s">
        <v>801</v>
      </c>
      <c r="F2821" s="20" t="s">
        <v>802</v>
      </c>
      <c r="G2821" s="20" t="s">
        <v>803</v>
      </c>
      <c r="H2821" s="20" t="s">
        <v>804</v>
      </c>
      <c r="I2821" s="20" t="s">
        <v>805</v>
      </c>
      <c r="J2821" s="20" t="s">
        <v>806</v>
      </c>
      <c r="K2821" s="20" t="s">
        <v>807</v>
      </c>
      <c r="L2821" s="4" t="s">
        <v>47</v>
      </c>
    </row>
    <row r="2822" customFormat="false" ht="17.15" hidden="false" customHeight="false" outlineLevel="0" collapsed="false">
      <c r="A2822" s="0" t="s">
        <v>874</v>
      </c>
      <c r="B2822" s="0" t="s">
        <v>98</v>
      </c>
      <c r="D2822" s="6" t="n">
        <f aca="false">Sens!D2801</f>
        <v>12.9359794422418</v>
      </c>
      <c r="E2822" s="6" t="n">
        <f aca="false">Sens!E2801</f>
        <v>27.8095064661409</v>
      </c>
      <c r="F2822" s="6" t="n">
        <f aca="false">Sens!F2801</f>
        <v>50.6619113883066</v>
      </c>
      <c r="G2822" s="6" t="n">
        <f aca="false">Sens!G2801</f>
        <v>75.1482839325348</v>
      </c>
      <c r="H2822" s="6" t="n">
        <f aca="false">Sens!H2801</f>
        <v>94.895655604042</v>
      </c>
      <c r="I2822" s="6" t="n">
        <f aca="false">Sens!I2801</f>
        <v>118.706168884151</v>
      </c>
      <c r="J2822" s="6" t="n">
        <f aca="false">Sens!J2801</f>
        <v>135.50643871102</v>
      </c>
      <c r="K2822" s="6" t="n">
        <f aca="false">Sens!K2801</f>
        <v>146.509068150048</v>
      </c>
    </row>
    <row r="2823" customFormat="false" ht="17.15" hidden="false" customHeight="false" outlineLevel="0" collapsed="false">
      <c r="A2823" s="0" t="s">
        <v>875</v>
      </c>
      <c r="B2823" s="0" t="s">
        <v>98</v>
      </c>
      <c r="D2823" s="6" t="n">
        <f aca="false">Q!L6-Sens!D2822</f>
        <v>59.6740205577583</v>
      </c>
      <c r="E2823" s="6" t="n">
        <f aca="false">Q!M6-Sens!E2822</f>
        <v>74.1284935338591</v>
      </c>
      <c r="F2823" s="6" t="n">
        <f aca="false">Sens!E2823*(1+Sens!F2824)</f>
        <v>90.0799497373663</v>
      </c>
      <c r="G2823" s="6" t="n">
        <f aca="false">Sens!F2823*(1+Sens!G2824)</f>
        <v>107.02842520331</v>
      </c>
      <c r="H2823" s="6" t="n">
        <f aca="false">Sens!G2823*(1+Sens!H2824)</f>
        <v>124.271982585636</v>
      </c>
      <c r="I2823" s="6" t="n">
        <f aca="false">Sens!H2823*(1+Sens!I2824)</f>
        <v>140.933702381855</v>
      </c>
      <c r="J2823" s="6" t="n">
        <f aca="false">Sens!I2823*(1+Sens!J2824)</f>
        <v>156.018867314332</v>
      </c>
      <c r="K2823" s="6" t="n">
        <f aca="false">Sens!J2823*(1+Sens!K2824)</f>
        <v>168.500376699478</v>
      </c>
    </row>
    <row r="2824" customFormat="false" ht="15" hidden="false" customHeight="false" outlineLevel="0" collapsed="false">
      <c r="A2824" s="1" t="s">
        <v>876</v>
      </c>
      <c r="B2824" s="0" t="s">
        <v>129</v>
      </c>
      <c r="E2824" s="7" t="n">
        <f aca="false">Sens!E2823/Sens!D2823-1</f>
        <v>0.242223883039864</v>
      </c>
      <c r="F2824" s="7" t="n">
        <f aca="false">Sens!$E$2824+(glt_azo-Sens!$E$2824)*MIN(1,(Sens!F2784-base_fy)/n_conv)</f>
        <v>0.215186569199887</v>
      </c>
      <c r="G2824" s="7" t="n">
        <f aca="false">Sens!$E$2824+(glt_azo-Sens!$E$2824)*MIN(1,(Sens!G2784-base_fy)/n_conv)</f>
        <v>0.18814925535991</v>
      </c>
      <c r="H2824" s="7" t="n">
        <f aca="false">Sens!$E$2824+(glt_azo-Sens!$E$2824)*MIN(1,(Sens!H2784-base_fy)/n_conv)</f>
        <v>0.161111941519932</v>
      </c>
      <c r="I2824" s="7" t="n">
        <f aca="false">Sens!$E$2824+(glt_azo-Sens!$E$2824)*MIN(1,(Sens!I2784-base_fy)/n_conv)</f>
        <v>0.134074627679955</v>
      </c>
      <c r="J2824" s="7" t="n">
        <f aca="false">Sens!$E$2824+(glt_azo-Sens!$E$2824)*MIN(1,(Sens!J2784-base_fy)/n_conv)</f>
        <v>0.107037313839977</v>
      </c>
      <c r="K2824" s="7" t="n">
        <f aca="false">Sens!$E$2824+(glt_azo-Sens!$E$2824)*MIN(1,(Sens!K2784-base_fy)/n_conv)</f>
        <v>0.08</v>
      </c>
    </row>
    <row r="2825" customFormat="false" ht="15" hidden="false" customHeight="false" outlineLevel="0" collapsed="false">
      <c r="A2825" s="0" t="s">
        <v>877</v>
      </c>
      <c r="B2825" s="0" t="s">
        <v>98</v>
      </c>
      <c r="D2825" s="6" t="n">
        <f aca="false">Sens!D2822+Sens!D2823</f>
        <v>72.61</v>
      </c>
      <c r="E2825" s="6" t="n">
        <f aca="false">Sens!E2822+Sens!E2823</f>
        <v>101.938</v>
      </c>
      <c r="F2825" s="6" t="n">
        <f aca="false">Sens!F2822+Sens!F2823</f>
        <v>140.741861125673</v>
      </c>
      <c r="G2825" s="6" t="n">
        <f aca="false">Sens!G2822+Sens!G2823</f>
        <v>182.176709135845</v>
      </c>
      <c r="H2825" s="6" t="n">
        <f aca="false">Sens!H2822+Sens!H2823</f>
        <v>219.167638189678</v>
      </c>
      <c r="I2825" s="6" t="n">
        <f aca="false">Sens!I2822+Sens!I2823</f>
        <v>259.639871266006</v>
      </c>
      <c r="J2825" s="6" t="n">
        <f aca="false">Sens!J2822+Sens!J2823</f>
        <v>291.525306025352</v>
      </c>
      <c r="K2825" s="6" t="n">
        <f aca="false">Sens!K2822+Sens!K2823</f>
        <v>315.009444849526</v>
      </c>
    </row>
    <row r="2826" customFormat="false" ht="17.15" hidden="false" customHeight="false" outlineLevel="0" collapsed="false">
      <c r="A2826" s="0" t="s">
        <v>878</v>
      </c>
      <c r="B2826" s="1" t="s">
        <v>528</v>
      </c>
      <c r="C2826" s="29" t="n">
        <f aca="false">cop_s24</f>
        <v>1</v>
      </c>
      <c r="D2826" s="29" t="n">
        <f aca="false">cop_s25</f>
        <v>5</v>
      </c>
      <c r="E2826" s="29" t="n">
        <f aca="false">cop_s26</f>
        <v>30</v>
      </c>
      <c r="F2826" s="29" t="n">
        <f aca="false">Sens!E2826+cop_add_C</f>
        <v>40</v>
      </c>
      <c r="G2826" s="29" t="n">
        <f aca="false">Sens!F2826+cop_add_C</f>
        <v>50</v>
      </c>
      <c r="H2826" s="29" t="n">
        <f aca="false">Sens!G2826+cop_add_C</f>
        <v>60</v>
      </c>
      <c r="I2826" s="29" t="n">
        <f aca="false">Sens!H2826+cop_add_C*cop_tail</f>
        <v>65</v>
      </c>
      <c r="J2826" s="29" t="n">
        <f aca="false">Sens!I2826+cop_add_C*cop_tail</f>
        <v>70</v>
      </c>
      <c r="K2826" s="29" t="n">
        <f aca="false">Sens!J2826+cop_add_C*cop_tail</f>
        <v>75</v>
      </c>
      <c r="L2826" s="11" t="s">
        <v>879</v>
      </c>
    </row>
    <row r="2827" customFormat="false" ht="17.15" hidden="false" customHeight="false" outlineLevel="0" collapsed="false">
      <c r="A2827" s="0" t="s">
        <v>880</v>
      </c>
      <c r="B2827" s="0" t="s">
        <v>98</v>
      </c>
      <c r="D2827" s="6" t="n">
        <f aca="false">(Sens!C2826+Sens!D2826)/2*cop_px*12/1000</f>
        <v>0.9</v>
      </c>
      <c r="E2827" s="6" t="n">
        <f aca="false">(Sens!D2826+Sens!E2826)/2*cop_px*12/1000</f>
        <v>5.25</v>
      </c>
      <c r="F2827" s="6" t="n">
        <f aca="false">(Sens!E2826+Sens!F2826)/2*cop_px*12/1000</f>
        <v>10.5</v>
      </c>
      <c r="G2827" s="6" t="n">
        <f aca="false">(Sens!F2826+Sens!G2826)/2*cop_px*12/1000</f>
        <v>13.5</v>
      </c>
      <c r="H2827" s="6" t="n">
        <f aca="false">(Sens!G2826+Sens!H2826)/2*cop_px*12/1000</f>
        <v>16.5</v>
      </c>
      <c r="I2827" s="6" t="n">
        <f aca="false">(Sens!H2826+Sens!I2826)/2*cop_px*12/1000</f>
        <v>18.75</v>
      </c>
      <c r="J2827" s="6" t="n">
        <f aca="false">(Sens!I2826+Sens!J2826)/2*cop_px*12/1000</f>
        <v>20.25</v>
      </c>
      <c r="K2827" s="6" t="n">
        <f aca="false">(Sens!J2826+Sens!K2826)/2*cop_px*12/1000</f>
        <v>21.75</v>
      </c>
      <c r="L2827" s="1" t="s">
        <v>881</v>
      </c>
    </row>
    <row r="2828" customFormat="false" ht="17.15" hidden="false" customHeight="false" outlineLevel="0" collapsed="false">
      <c r="A2828" s="0" t="s">
        <v>882</v>
      </c>
      <c r="B2828" s="0" t="s">
        <v>98</v>
      </c>
      <c r="D2828" s="6" t="n">
        <f aca="false">Q!L7-Sens!D2827</f>
        <v>83.705</v>
      </c>
      <c r="E2828" s="6" t="n">
        <f aca="false">Q!M7-Sens!E2827</f>
        <v>95.049</v>
      </c>
      <c r="F2828" s="6" t="n">
        <f aca="false">Sens!E2828*(1+Sens!F2829)</f>
        <v>106.89238776686</v>
      </c>
      <c r="G2828" s="6" t="n">
        <f aca="false">Sens!F2828*(1+Sens!G2829)</f>
        <v>119.044168448684</v>
      </c>
      <c r="H2828" s="6" t="n">
        <f aca="false">Sens!G2828*(1+Sens!H2829)</f>
        <v>131.277359388781</v>
      </c>
      <c r="I2828" s="6" t="n">
        <f aca="false">Sens!H2828*(1+Sens!I2829)</f>
        <v>143.334028071957</v>
      </c>
      <c r="J2828" s="6" t="n">
        <f aca="false">Sens!I2828*(1+Sens!J2829)</f>
        <v>154.932702785465</v>
      </c>
      <c r="K2828" s="6" t="n">
        <f aca="false">Sens!J2828*(1+Sens!K2829)</f>
        <v>165.777991980448</v>
      </c>
    </row>
    <row r="2829" customFormat="false" ht="15" hidden="false" customHeight="false" outlineLevel="0" collapsed="false">
      <c r="A2829" s="1" t="s">
        <v>876</v>
      </c>
      <c r="B2829" s="0" t="s">
        <v>129</v>
      </c>
      <c r="E2829" s="7" t="n">
        <f aca="false">Sens!E2828/Sens!D2828-1</f>
        <v>0.135523564900544</v>
      </c>
      <c r="F2829" s="7" t="n">
        <f aca="false">Sens!$E$2829+(glt_m365b-Sens!$E$2829)*MIN(1,(Sens!F2784-base_fy)/n_conv)</f>
        <v>0.124602970750453</v>
      </c>
      <c r="G2829" s="7" t="n">
        <f aca="false">Sens!$E$2829+(glt_m365b-Sens!$E$2829)*MIN(1,(Sens!G2784-base_fy)/n_conv)</f>
        <v>0.113682376600363</v>
      </c>
      <c r="H2829" s="7" t="n">
        <f aca="false">Sens!$E$2829+(glt_m365b-Sens!$E$2829)*MIN(1,(Sens!H2784-base_fy)/n_conv)</f>
        <v>0.102761782450272</v>
      </c>
      <c r="I2829" s="7" t="n">
        <f aca="false">Sens!$E$2829+(glt_m365b-Sens!$E$2829)*MIN(1,(Sens!I2784-base_fy)/n_conv)</f>
        <v>0.0918411883001813</v>
      </c>
      <c r="J2829" s="7" t="n">
        <f aca="false">Sens!$E$2829+(glt_m365b-Sens!$E$2829)*MIN(1,(Sens!J2784-base_fy)/n_conv)</f>
        <v>0.0809205941500906</v>
      </c>
      <c r="K2829" s="7" t="n">
        <f aca="false">Sens!$E$2829+(glt_m365b-Sens!$E$2829)*MIN(1,(Sens!K2784-base_fy)/n_conv)</f>
        <v>0.07</v>
      </c>
    </row>
    <row r="2830" customFormat="false" ht="15" hidden="false" customHeight="false" outlineLevel="0" collapsed="false">
      <c r="A2830" s="0" t="s">
        <v>883</v>
      </c>
      <c r="B2830" s="0" t="s">
        <v>98</v>
      </c>
      <c r="D2830" s="6" t="n">
        <f aca="false">Sens!D2828+Sens!D2827</f>
        <v>84.605</v>
      </c>
      <c r="E2830" s="6" t="n">
        <f aca="false">Sens!E2828+Sens!E2827</f>
        <v>100.299</v>
      </c>
      <c r="F2830" s="6" t="n">
        <f aca="false">Sens!F2828+Sens!F2827</f>
        <v>117.39238776686</v>
      </c>
      <c r="G2830" s="6" t="n">
        <f aca="false">Sens!G2828+Sens!G2827</f>
        <v>132.544168448684</v>
      </c>
      <c r="H2830" s="6" t="n">
        <f aca="false">Sens!H2828+Sens!H2827</f>
        <v>147.777359388781</v>
      </c>
      <c r="I2830" s="6" t="n">
        <f aca="false">Sens!I2828+Sens!I2827</f>
        <v>162.084028071957</v>
      </c>
      <c r="J2830" s="6" t="n">
        <f aca="false">Sens!J2828+Sens!J2827</f>
        <v>175.182702785465</v>
      </c>
      <c r="K2830" s="6" t="n">
        <f aca="false">Sens!K2828+Sens!K2827</f>
        <v>187.527991980448</v>
      </c>
    </row>
    <row r="2831" customFormat="false" ht="15" hidden="false" customHeight="false" outlineLevel="0" collapsed="false">
      <c r="A2831" s="0" t="s">
        <v>884</v>
      </c>
      <c r="B2831" s="0" t="s">
        <v>98</v>
      </c>
      <c r="D2831" s="6" t="n">
        <f aca="false">Q!L8</f>
        <v>35.391</v>
      </c>
      <c r="E2831" s="6" t="n">
        <f aca="false">Q!M8</f>
        <v>37.285</v>
      </c>
      <c r="F2831" s="6" t="n">
        <f aca="false">Sens!E2831*(1+Sens!F2832)</f>
        <v>39.0720834331704</v>
      </c>
      <c r="G2831" s="6" t="n">
        <f aca="false">Sens!F2831*(1+Sens!G2832)</f>
        <v>40.726562953769</v>
      </c>
      <c r="H2831" s="6" t="n">
        <f aca="false">Sens!G2831*(1+Sens!H2832)</f>
        <v>42.2235987259198</v>
      </c>
      <c r="I2831" s="6" t="n">
        <f aca="false">Sens!H2831*(1+Sens!I2832)</f>
        <v>43.5397988077414</v>
      </c>
      <c r="J2831" s="6" t="n">
        <f aca="false">Sens!I2831*(1+Sens!J2832)</f>
        <v>44.653811225693</v>
      </c>
      <c r="K2831" s="6" t="n">
        <f aca="false">Sens!J2831*(1+Sens!K2832)</f>
        <v>45.5468874502068</v>
      </c>
    </row>
    <row r="2832" customFormat="false" ht="15" hidden="false" customHeight="false" outlineLevel="0" collapsed="false">
      <c r="A2832" s="1" t="s">
        <v>876</v>
      </c>
      <c r="B2832" s="0" t="s">
        <v>129</v>
      </c>
      <c r="E2832" s="7" t="n">
        <f aca="false">Sens!E2831/Sens!D2831-1</f>
        <v>0.0535164307309768</v>
      </c>
      <c r="F2832" s="7" t="n">
        <f aca="false">Sens!$E$2832+(glt_lic-Sens!$E$2832)*MIN(1,(Sens!F2784-base_fy)/n_conv)</f>
        <v>0.0479303589424807</v>
      </c>
      <c r="G2832" s="7" t="n">
        <f aca="false">Sens!$E$2832+(glt_lic-Sens!$E$2832)*MIN(1,(Sens!G2784-base_fy)/n_conv)</f>
        <v>0.0423442871539845</v>
      </c>
      <c r="H2832" s="7" t="n">
        <f aca="false">Sens!$E$2832+(glt_lic-Sens!$E$2832)*MIN(1,(Sens!H2784-base_fy)/n_conv)</f>
        <v>0.0367582153654884</v>
      </c>
      <c r="I2832" s="7" t="n">
        <f aca="false">Sens!$E$2832+(glt_lic-Sens!$E$2832)*MIN(1,(Sens!I2784-base_fy)/n_conv)</f>
        <v>0.0311721435769923</v>
      </c>
      <c r="J2832" s="7" t="n">
        <f aca="false">Sens!$E$2832+(glt_lic-Sens!$E$2832)*MIN(1,(Sens!J2784-base_fy)/n_conv)</f>
        <v>0.0255860717884961</v>
      </c>
      <c r="K2832" s="7" t="n">
        <f aca="false">Sens!$E$2832+(glt_lic-Sens!$E$2832)*MIN(1,(Sens!K2784-base_fy)/n_conv)</f>
        <v>0.02</v>
      </c>
    </row>
    <row r="2833" customFormat="false" ht="15" hidden="false" customHeight="false" outlineLevel="0" collapsed="false">
      <c r="A2833" s="0" t="s">
        <v>885</v>
      </c>
      <c r="B2833" s="0" t="s">
        <v>98</v>
      </c>
      <c r="D2833" s="6" t="n">
        <f aca="false">Q!L9</f>
        <v>18.417</v>
      </c>
      <c r="E2833" s="6" t="n">
        <f aca="false">Q!M9</f>
        <v>20.345</v>
      </c>
      <c r="F2833" s="6" t="n">
        <f aca="false">Sens!E2833*(1+Sens!F2834)</f>
        <v>22.3572203267814</v>
      </c>
      <c r="G2833" s="6" t="n">
        <f aca="false">Sens!F2833*(1+Sens!G2834)</f>
        <v>24.4392124437232</v>
      </c>
      <c r="H2833" s="6" t="n">
        <f aca="false">Sens!G2833*(1+Sens!H2834)</f>
        <v>26.5738052080665</v>
      </c>
      <c r="I2833" s="6" t="n">
        <f aca="false">Sens!H2833*(1+Sens!I2834)</f>
        <v>28.7412169166967</v>
      </c>
      <c r="J2833" s="6" t="n">
        <f aca="false">Sens!I2833*(1+Sens!J2834)</f>
        <v>30.9192545395413</v>
      </c>
      <c r="K2833" s="6" t="n">
        <f aca="false">Sens!J2833*(1+Sens!K2834)</f>
        <v>33.0836023573092</v>
      </c>
    </row>
    <row r="2834" customFormat="false" ht="15" hidden="false" customHeight="false" outlineLevel="0" collapsed="false">
      <c r="A2834" s="1" t="s">
        <v>876</v>
      </c>
      <c r="B2834" s="0" t="s">
        <v>129</v>
      </c>
      <c r="E2834" s="7" t="n">
        <f aca="false">Sens!E2833/Sens!D2833-1</f>
        <v>0.104685888038225</v>
      </c>
      <c r="F2834" s="7" t="n">
        <f aca="false">Sens!$E$2834+(glt_ind-Sens!$E$2834)*MIN(1,(Sens!F2784-base_fy)/n_conv)</f>
        <v>0.0989049066985211</v>
      </c>
      <c r="G2834" s="7" t="n">
        <f aca="false">Sens!$E$2834+(glt_ind-Sens!$E$2834)*MIN(1,(Sens!G2784-base_fy)/n_conv)</f>
        <v>0.0931239253588169</v>
      </c>
      <c r="H2834" s="7" t="n">
        <f aca="false">Sens!$E$2834+(glt_ind-Sens!$E$2834)*MIN(1,(Sens!H2784-base_fy)/n_conv)</f>
        <v>0.0873429440191127</v>
      </c>
      <c r="I2834" s="7" t="n">
        <f aca="false">Sens!$E$2834+(glt_ind-Sens!$E$2834)*MIN(1,(Sens!I2784-base_fy)/n_conv)</f>
        <v>0.0815619626794085</v>
      </c>
      <c r="J2834" s="7" t="n">
        <f aca="false">Sens!$E$2834+(glt_ind-Sens!$E$2834)*MIN(1,(Sens!J2784-base_fy)/n_conv)</f>
        <v>0.0757809813397042</v>
      </c>
      <c r="K2834" s="7" t="n">
        <f aca="false">Sens!$E$2834+(glt_ind-Sens!$E$2834)*MIN(1,(Sens!K2784-base_fy)/n_conv)</f>
        <v>0.07</v>
      </c>
    </row>
    <row r="2835" customFormat="false" ht="15" hidden="false" customHeight="false" outlineLevel="0" collapsed="false">
      <c r="A2835" s="0" t="s">
        <v>886</v>
      </c>
      <c r="B2835" s="0" t="s">
        <v>98</v>
      </c>
      <c r="D2835" s="6" t="n">
        <f aca="false">Q!L10</f>
        <v>7.76</v>
      </c>
      <c r="E2835" s="6" t="n">
        <f aca="false">Q!M10</f>
        <v>8.26</v>
      </c>
      <c r="F2835" s="6" t="n">
        <f aca="false">Sens!E2835*(1+Sens!F2836)</f>
        <v>8.79988041237113</v>
      </c>
      <c r="G2835" s="6" t="n">
        <f aca="false">Sens!F2835*(1+Sens!G2836)</f>
        <v>9.38321269125306</v>
      </c>
      <c r="H2835" s="6" t="n">
        <f aca="false">Sens!G2835*(1+Sens!H2836)</f>
        <v>10.0139193587476</v>
      </c>
      <c r="I2835" s="6" t="n">
        <f aca="false">Sens!H2835*(1+Sens!I2836)</f>
        <v>10.6963111830911</v>
      </c>
      <c r="J2835" s="6" t="n">
        <f aca="false">Sens!I2835*(1+Sens!J2836)</f>
        <v>11.4351285534696</v>
      </c>
      <c r="K2835" s="6" t="n">
        <f aca="false">Sens!J2835*(1+Sens!K2836)</f>
        <v>12.2355875522124</v>
      </c>
    </row>
    <row r="2836" customFormat="false" ht="15" hidden="false" customHeight="false" outlineLevel="0" collapsed="false">
      <c r="A2836" s="1" t="s">
        <v>876</v>
      </c>
      <c r="B2836" s="0" t="s">
        <v>129</v>
      </c>
      <c r="E2836" s="7" t="n">
        <f aca="false">Sens!E2835/Sens!D2835-1</f>
        <v>0.0644329896907216</v>
      </c>
      <c r="F2836" s="7" t="n">
        <f aca="false">Sens!$E$2836+(glt_fro-Sens!$E$2836)*MIN(1,(Sens!F2784-base_fy)/n_conv)</f>
        <v>0.065360824742268</v>
      </c>
      <c r="G2836" s="7" t="n">
        <f aca="false">Sens!$E$2836+(glt_fro-Sens!$E$2836)*MIN(1,(Sens!G2784-base_fy)/n_conv)</f>
        <v>0.0662886597938144</v>
      </c>
      <c r="H2836" s="7" t="n">
        <f aca="false">Sens!$E$2836+(glt_fro-Sens!$E$2836)*MIN(1,(Sens!H2784-base_fy)/n_conv)</f>
        <v>0.0672164948453608</v>
      </c>
      <c r="I2836" s="7" t="n">
        <f aca="false">Sens!$E$2836+(glt_fro-Sens!$E$2836)*MIN(1,(Sens!I2784-base_fy)/n_conv)</f>
        <v>0.0681443298969072</v>
      </c>
      <c r="J2836" s="7" t="n">
        <f aca="false">Sens!$E$2836+(glt_fro-Sens!$E$2836)*MIN(1,(Sens!J2784-base_fy)/n_conv)</f>
        <v>0.0690721649484536</v>
      </c>
      <c r="K2836" s="7" t="n">
        <f aca="false">Sens!$E$2836+(glt_fro-Sens!$E$2836)*MIN(1,(Sens!K2784-base_fy)/n_conv)</f>
        <v>0.07</v>
      </c>
    </row>
    <row r="2837" customFormat="false" ht="15" hidden="false" customHeight="false" outlineLevel="0" collapsed="false">
      <c r="A2837" s="0" t="s">
        <v>715</v>
      </c>
      <c r="B2837" s="0" t="s">
        <v>98</v>
      </c>
      <c r="D2837" s="6" t="n">
        <f aca="false">Sens!D2825+Sens!D2830+Sens!D2831+Sens!D2833+Sens!D2835</f>
        <v>218.783</v>
      </c>
      <c r="E2837" s="6" t="n">
        <f aca="false">Sens!E2825+Sens!E2830+Sens!E2831+Sens!E2833+Sens!E2835</f>
        <v>268.127</v>
      </c>
      <c r="F2837" s="6" t="n">
        <f aca="false">Sens!F2825+Sens!F2830+Sens!F2831+Sens!F2833+Sens!F2835</f>
        <v>328.363433064856</v>
      </c>
      <c r="G2837" s="6" t="n">
        <f aca="false">Sens!G2825+Sens!G2830+Sens!G2831+Sens!G2833+Sens!G2835</f>
        <v>389.269865673274</v>
      </c>
      <c r="H2837" s="6" t="n">
        <f aca="false">Sens!H2825+Sens!H2830+Sens!H2831+Sens!H2833+Sens!H2835</f>
        <v>445.756320871193</v>
      </c>
      <c r="I2837" s="6" t="n">
        <f aca="false">Sens!I2825+Sens!I2830+Sens!I2831+Sens!I2833+Sens!I2835</f>
        <v>504.701226245492</v>
      </c>
      <c r="J2837" s="6" t="n">
        <f aca="false">Sens!J2825+Sens!J2830+Sens!J2831+Sens!J2833+Sens!J2835</f>
        <v>553.716203129521</v>
      </c>
      <c r="K2837" s="6" t="n">
        <f aca="false">Sens!K2825+Sens!K2830+Sens!K2831+Sens!K2833+Sens!K2835</f>
        <v>593.403514189702</v>
      </c>
    </row>
    <row r="2838" customFormat="false" ht="15" hidden="false" customHeight="false" outlineLevel="0" collapsed="false">
      <c r="A2838" s="0" t="s">
        <v>887</v>
      </c>
      <c r="B2838" s="0" t="s">
        <v>98</v>
      </c>
      <c r="D2838" s="6" t="n">
        <f aca="false">Q!L13</f>
        <v>22.171</v>
      </c>
      <c r="E2838" s="6" t="n">
        <f aca="false">Q!M13</f>
        <v>24.835</v>
      </c>
      <c r="F2838" s="6" t="n">
        <f aca="false">Sens!E2838*(1+Sens!F2839)</f>
        <v>27.6114901218559</v>
      </c>
      <c r="G2838" s="6" t="n">
        <f aca="false">Sens!F2838*(1+Sens!G2839)</f>
        <v>30.4675667338515</v>
      </c>
      <c r="H2838" s="6" t="n">
        <f aca="false">Sens!G2838*(1+Sens!H2839)</f>
        <v>33.3643766955789</v>
      </c>
      <c r="I2838" s="6" t="n">
        <f aca="false">Sens!H2838*(1+Sens!I2839)</f>
        <v>36.2577016533691</v>
      </c>
      <c r="J2838" s="6" t="n">
        <f aca="false">Sens!I2838*(1+Sens!J2839)</f>
        <v>39.0988367952171</v>
      </c>
      <c r="K2838" s="6" t="n">
        <f aca="false">Sens!J2838*(1+Sens!K2839)</f>
        <v>41.8357553708823</v>
      </c>
    </row>
    <row r="2839" customFormat="false" ht="15" hidden="false" customHeight="false" outlineLevel="0" collapsed="false">
      <c r="A2839" s="1" t="s">
        <v>876</v>
      </c>
      <c r="B2839" s="0" t="s">
        <v>129</v>
      </c>
      <c r="E2839" s="7" t="n">
        <f aca="false">Sens!E2838/Sens!D2838-1</f>
        <v>0.120156961796942</v>
      </c>
      <c r="F2839" s="7" t="n">
        <f aca="false">Sens!$E$2839+(glt_srch-Sens!$E$2839)*MIN(1,(Sens!F2784-base_fy)/n_conv)</f>
        <v>0.111797468164118</v>
      </c>
      <c r="G2839" s="7" t="n">
        <f aca="false">Sens!$E$2839+(glt_srch-Sens!$E$2839)*MIN(1,(Sens!G2784-base_fy)/n_conv)</f>
        <v>0.103437974531295</v>
      </c>
      <c r="H2839" s="7" t="n">
        <f aca="false">Sens!$E$2839+(glt_srch-Sens!$E$2839)*MIN(1,(Sens!H2784-base_fy)/n_conv)</f>
        <v>0.095078480898471</v>
      </c>
      <c r="I2839" s="7" t="n">
        <f aca="false">Sens!$E$2839+(glt_srch-Sens!$E$2839)*MIN(1,(Sens!I2784-base_fy)/n_conv)</f>
        <v>0.0867189872656474</v>
      </c>
      <c r="J2839" s="7" t="n">
        <f aca="false">Sens!$E$2839+(glt_srch-Sens!$E$2839)*MIN(1,(Sens!J2784-base_fy)/n_conv)</f>
        <v>0.0783594936328237</v>
      </c>
      <c r="K2839" s="7" t="n">
        <f aca="false">Sens!$E$2839+(glt_srch-Sens!$E$2839)*MIN(1,(Sens!K2784-base_fy)/n_conv)</f>
        <v>0.07</v>
      </c>
    </row>
    <row r="2840" customFormat="false" ht="15" hidden="false" customHeight="false" outlineLevel="0" collapsed="false">
      <c r="A2840" s="0" t="s">
        <v>888</v>
      </c>
      <c r="B2840" s="0" t="s">
        <v>98</v>
      </c>
      <c r="D2840" s="6" t="n">
        <f aca="false">Q!L14</f>
        <v>23.455</v>
      </c>
      <c r="E2840" s="6" t="n">
        <f aca="false">Q!M14</f>
        <v>21.79</v>
      </c>
      <c r="F2840" s="6" t="n">
        <f aca="false">Sens!E2840*(1+Sens!F2841)</f>
        <v>20.5736277908051</v>
      </c>
      <c r="G2840" s="6" t="n">
        <f aca="false">Sens!F2840*(1+Sens!G2841)</f>
        <v>19.7371452817919</v>
      </c>
      <c r="H2840" s="6" t="n">
        <f aca="false">Sens!G2840*(1+Sens!H2841)</f>
        <v>19.2339764043138</v>
      </c>
      <c r="I2840" s="6" t="n">
        <f aca="false">Sens!H2840*(1+Sens!I2841)</f>
        <v>19.0353086852681</v>
      </c>
      <c r="J2840" s="6" t="n">
        <f aca="false">Sens!I2840*(1+Sens!J2841)</f>
        <v>19.1273539319129</v>
      </c>
      <c r="K2840" s="6" t="n">
        <f aca="false">Sens!J2840*(1+Sens!K2841)</f>
        <v>19.5099010105511</v>
      </c>
    </row>
    <row r="2841" customFormat="false" ht="15" hidden="false" customHeight="false" outlineLevel="0" collapsed="false">
      <c r="A2841" s="1" t="s">
        <v>876</v>
      </c>
      <c r="B2841" s="0" t="s">
        <v>129</v>
      </c>
      <c r="E2841" s="7" t="n">
        <f aca="false">Sens!E2840/Sens!D2840-1</f>
        <v>-0.0709869963760392</v>
      </c>
      <c r="F2841" s="7" t="n">
        <f aca="false">Sens!$E$2841+(glt_xbox-Sens!$E$2841)*MIN(1,(Sens!F2784-base_fy)/n_conv)</f>
        <v>-0.0558224969800327</v>
      </c>
      <c r="G2841" s="7" t="n">
        <f aca="false">Sens!$E$2841+(glt_xbox-Sens!$E$2841)*MIN(1,(Sens!G2784-base_fy)/n_conv)</f>
        <v>-0.0406579975840262</v>
      </c>
      <c r="H2841" s="7" t="n">
        <f aca="false">Sens!$E$2841+(glt_xbox-Sens!$E$2841)*MIN(1,(Sens!H2784-base_fy)/n_conv)</f>
        <v>-0.0254934981880196</v>
      </c>
      <c r="I2841" s="7" t="n">
        <f aca="false">Sens!$E$2841+(glt_xbox-Sens!$E$2841)*MIN(1,(Sens!I2784-base_fy)/n_conv)</f>
        <v>-0.0103289987920131</v>
      </c>
      <c r="J2841" s="7" t="n">
        <f aca="false">Sens!$E$2841+(glt_xbox-Sens!$E$2841)*MIN(1,(Sens!J2784-base_fy)/n_conv)</f>
        <v>0.00483550060399347</v>
      </c>
      <c r="K2841" s="7" t="n">
        <f aca="false">Sens!$E$2841+(glt_xbox-Sens!$E$2841)*MIN(1,(Sens!K2784-base_fy)/n_conv)</f>
        <v>0.02</v>
      </c>
    </row>
    <row r="2842" customFormat="false" ht="15" hidden="false" customHeight="false" outlineLevel="0" collapsed="false">
      <c r="A2842" s="0" t="s">
        <v>889</v>
      </c>
      <c r="B2842" s="0" t="s">
        <v>98</v>
      </c>
      <c r="D2842" s="6" t="n">
        <f aca="false">Q!L15</f>
        <v>17.315</v>
      </c>
      <c r="E2842" s="6" t="n">
        <f aca="false">Q!M15</f>
        <v>17.087</v>
      </c>
      <c r="F2842" s="6" t="n">
        <f aca="false">Sens!E2842*(1+Sens!F2843)</f>
        <v>16.9564585436519</v>
      </c>
      <c r="G2842" s="6" t="n">
        <f aca="false">Sens!F2842*(1+Sens!G2843)</f>
        <v>16.9206490624268</v>
      </c>
      <c r="H2842" s="6" t="n">
        <f aca="false">Sens!G2842*(1+Sens!H2843)</f>
        <v>16.9784519149849</v>
      </c>
      <c r="I2842" s="6" t="n">
        <f aca="false">Sens!H2842*(1+Sens!I2843)</f>
        <v>17.1303084701817</v>
      </c>
      <c r="J2842" s="6" t="n">
        <f aca="false">Sens!I2842*(1+Sens!J2843)</f>
        <v>17.3782189407267</v>
      </c>
      <c r="K2842" s="6" t="n">
        <f aca="false">Sens!J2842*(1+Sens!K2843)</f>
        <v>17.7257833195413</v>
      </c>
    </row>
    <row r="2843" customFormat="false" ht="15" hidden="false" customHeight="false" outlineLevel="0" collapsed="false">
      <c r="A2843" s="1" t="s">
        <v>876</v>
      </c>
      <c r="B2843" s="0" t="s">
        <v>129</v>
      </c>
      <c r="E2843" s="7" t="n">
        <f aca="false">Sens!E2842/Sens!D2842-1</f>
        <v>-0.0131677736066995</v>
      </c>
      <c r="F2843" s="7" t="n">
        <f aca="false">Sens!$E$2843+(glt_win-Sens!$E$2843)*MIN(1,(Sens!F2784-base_fy)/n_conv)</f>
        <v>-0.00763981133891627</v>
      </c>
      <c r="G2843" s="7" t="n">
        <f aca="false">Sens!$E$2843+(glt_win-Sens!$E$2843)*MIN(1,(Sens!G2784-base_fy)/n_conv)</f>
        <v>-0.00211184907113301</v>
      </c>
      <c r="H2843" s="7" t="n">
        <f aca="false">Sens!$E$2843+(glt_win-Sens!$E$2843)*MIN(1,(Sens!H2784-base_fy)/n_conv)</f>
        <v>0.00341611319665024</v>
      </c>
      <c r="I2843" s="7" t="n">
        <f aca="false">Sens!$E$2843+(glt_win-Sens!$E$2843)*MIN(1,(Sens!I2784-base_fy)/n_conv)</f>
        <v>0.00894407546443349</v>
      </c>
      <c r="J2843" s="7" t="n">
        <f aca="false">Sens!$E$2843+(glt_win-Sens!$E$2843)*MIN(1,(Sens!J2784-base_fy)/n_conv)</f>
        <v>0.0144720377322168</v>
      </c>
      <c r="K2843" s="7" t="n">
        <f aca="false">Sens!$E$2843+(glt_win-Sens!$E$2843)*MIN(1,(Sens!K2784-base_fy)/n_conv)</f>
        <v>0.02</v>
      </c>
    </row>
    <row r="2844" customFormat="false" ht="15" hidden="false" customHeight="false" outlineLevel="0" collapsed="false">
      <c r="A2844" s="0" t="s">
        <v>729</v>
      </c>
      <c r="B2844" s="0" t="s">
        <v>98</v>
      </c>
      <c r="D2844" s="6" t="n">
        <f aca="false">Sens!D2838+Sens!D2840+Sens!D2842</f>
        <v>62.941</v>
      </c>
      <c r="E2844" s="6" t="n">
        <f aca="false">Sens!E2838+Sens!E2840+Sens!E2842</f>
        <v>63.712</v>
      </c>
      <c r="F2844" s="6" t="n">
        <f aca="false">Sens!F2838+Sens!F2840+Sens!F2842</f>
        <v>65.1415764563129</v>
      </c>
      <c r="G2844" s="6" t="n">
        <f aca="false">Sens!G2838+Sens!G2840+Sens!G2842</f>
        <v>67.1253610780702</v>
      </c>
      <c r="H2844" s="6" t="n">
        <f aca="false">Sens!H2838+Sens!H2840+Sens!H2842</f>
        <v>69.5768050148776</v>
      </c>
      <c r="I2844" s="6" t="n">
        <f aca="false">Sens!I2838+Sens!I2840+Sens!I2842</f>
        <v>72.4233188088189</v>
      </c>
      <c r="J2844" s="6" t="n">
        <f aca="false">Sens!J2838+Sens!J2840+Sens!J2842</f>
        <v>75.6044096678567</v>
      </c>
      <c r="K2844" s="6" t="n">
        <f aca="false">Sens!K2838+Sens!K2840+Sens!K2842</f>
        <v>79.0714397009747</v>
      </c>
    </row>
    <row r="2845" customFormat="false" ht="15" hidden="false" customHeight="false" outlineLevel="0" collapsed="false">
      <c r="A2845" s="1" t="s">
        <v>890</v>
      </c>
      <c r="B2845" s="0" t="s">
        <v>98</v>
      </c>
      <c r="D2845" s="6" t="n">
        <f aca="false">Sens!D2837+Sens!D2844</f>
        <v>281.724</v>
      </c>
      <c r="E2845" s="6" t="n">
        <f aca="false">Sens!E2837+Sens!E2844</f>
        <v>331.839</v>
      </c>
      <c r="F2845" s="6" t="n">
        <f aca="false">Sens!F2837+Sens!F2844</f>
        <v>393.505009521169</v>
      </c>
      <c r="G2845" s="6" t="n">
        <f aca="false">Sens!G2837+Sens!G2844</f>
        <v>456.395226751344</v>
      </c>
      <c r="H2845" s="6" t="n">
        <f aca="false">Sens!H2837+Sens!H2844</f>
        <v>515.333125886071</v>
      </c>
      <c r="I2845" s="6" t="n">
        <f aca="false">Sens!I2837+Sens!I2844</f>
        <v>577.124545054311</v>
      </c>
      <c r="J2845" s="6" t="n">
        <f aca="false">Sens!J2837+Sens!J2844</f>
        <v>629.320612797378</v>
      </c>
      <c r="K2845" s="6" t="n">
        <f aca="false">Sens!K2837+Sens!K2844</f>
        <v>672.474953890677</v>
      </c>
    </row>
    <row r="2846" customFormat="false" ht="15" hidden="false" customHeight="false" outlineLevel="0" collapsed="false">
      <c r="A2846" s="23" t="s">
        <v>891</v>
      </c>
      <c r="B2846" s="30" t="s">
        <v>98</v>
      </c>
      <c r="C2846" s="30"/>
      <c r="D2846" s="24" t="n">
        <f aca="false">(Sens!D2825+Sens!D2830+Sens!D2831+Sens!D2833+Sens!D2835-Sens!D2837)+(Sens!D2838+Sens!D2840+Sens!D2842-Sens!D2844)+(Sens!D2837-Q!L5)+(Sens!D2844-Q!L12)+(Sens!D2825-Q!L6)+(Sens!D2830-Q!L7)</f>
        <v>0</v>
      </c>
      <c r="E2846" s="24" t="n">
        <f aca="false">(Sens!E2825+Sens!E2830+Sens!E2831+Sens!E2833+Sens!E2835-Sens!E2837)+(Sens!E2838+Sens!E2840+Sens!E2842-Sens!E2844)+(Sens!E2837-Q!M5)+(Sens!E2844-Q!M12)+(Sens!E2825-Q!M6)+(Sens!E2830-Q!M7)</f>
        <v>0</v>
      </c>
      <c r="F2846" s="24" t="n">
        <f aca="false">(Sens!F2825+Sens!F2830+Sens!F2831+Sens!F2833+Sens!F2835-Sens!F2837)+(Sens!F2838+Sens!F2840+Sens!F2842-Sens!F2844)</f>
        <v>0</v>
      </c>
      <c r="G2846" s="24" t="n">
        <f aca="false">(Sens!G2825+Sens!G2830+Sens!G2831+Sens!G2833+Sens!G2835-Sens!G2837)+(Sens!G2838+Sens!G2840+Sens!G2842-Sens!G2844)</f>
        <v>0</v>
      </c>
      <c r="H2846" s="24" t="n">
        <f aca="false">(Sens!H2825+Sens!H2830+Sens!H2831+Sens!H2833+Sens!H2835-Sens!H2837)+(Sens!H2838+Sens!H2840+Sens!H2842-Sens!H2844)</f>
        <v>0</v>
      </c>
      <c r="I2846" s="24" t="n">
        <f aca="false">(Sens!I2825+Sens!I2830+Sens!I2831+Sens!I2833+Sens!I2835-Sens!I2837)+(Sens!I2838+Sens!I2840+Sens!I2842-Sens!I2844)</f>
        <v>0</v>
      </c>
      <c r="J2846" s="24" t="n">
        <f aca="false">(Sens!J2825+Sens!J2830+Sens!J2831+Sens!J2833+Sens!J2835-Sens!J2837)+(Sens!J2838+Sens!J2840+Sens!J2842-Sens!J2844)</f>
        <v>0</v>
      </c>
      <c r="K2846" s="24" t="n">
        <f aca="false">(Sens!K2825+Sens!K2830+Sens!K2831+Sens!K2833+Sens!K2835-Sens!K2837)+(Sens!K2838+Sens!K2840+Sens!K2842-Sens!K2844)</f>
        <v>0</v>
      </c>
    </row>
    <row r="2847" customFormat="false" ht="17.15" hidden="false" customHeight="false" outlineLevel="0" collapsed="false">
      <c r="A2847" s="3" t="s">
        <v>1334</v>
      </c>
    </row>
    <row r="2848" customFormat="false" ht="15" hidden="false" customHeight="false" outlineLevel="0" collapsed="false">
      <c r="A2848" s="4" t="s">
        <v>43</v>
      </c>
      <c r="B2848" s="4" t="s">
        <v>65</v>
      </c>
      <c r="C2848" s="20" t="s">
        <v>799</v>
      </c>
      <c r="D2848" s="20" t="s">
        <v>800</v>
      </c>
      <c r="E2848" s="20" t="s">
        <v>801</v>
      </c>
      <c r="F2848" s="20" t="s">
        <v>802</v>
      </c>
      <c r="G2848" s="20" t="s">
        <v>803</v>
      </c>
      <c r="H2848" s="20" t="s">
        <v>804</v>
      </c>
      <c r="I2848" s="20" t="s">
        <v>805</v>
      </c>
      <c r="J2848" s="20" t="s">
        <v>806</v>
      </c>
      <c r="K2848" s="20" t="s">
        <v>807</v>
      </c>
      <c r="L2848" s="4" t="s">
        <v>47</v>
      </c>
    </row>
    <row r="2849" customFormat="false" ht="15" hidden="false" customHeight="false" outlineLevel="0" collapsed="false">
      <c r="A2849" s="0" t="s">
        <v>877</v>
      </c>
      <c r="B2849" s="0" t="s">
        <v>98</v>
      </c>
      <c r="D2849" s="6" t="n">
        <f aca="false">Sens!D2825</f>
        <v>72.61</v>
      </c>
      <c r="E2849" s="6" t="n">
        <f aca="false">Sens!E2825</f>
        <v>101.938</v>
      </c>
      <c r="F2849" s="6" t="n">
        <f aca="false">Sens!F2825</f>
        <v>140.741861125673</v>
      </c>
      <c r="G2849" s="6" t="n">
        <f aca="false">Sens!G2825</f>
        <v>182.176709135845</v>
      </c>
      <c r="H2849" s="6" t="n">
        <f aca="false">Sens!H2825</f>
        <v>219.167638189678</v>
      </c>
      <c r="I2849" s="6" t="n">
        <f aca="false">Sens!I2825</f>
        <v>259.639871266006</v>
      </c>
      <c r="J2849" s="6" t="n">
        <f aca="false">Sens!J2825</f>
        <v>291.525306025352</v>
      </c>
      <c r="K2849" s="6" t="n">
        <f aca="false">Sens!K2825</f>
        <v>315.009444849526</v>
      </c>
    </row>
    <row r="2850" customFormat="false" ht="17.15" hidden="false" customHeight="false" outlineLevel="0" collapsed="false">
      <c r="A2850" s="0" t="s">
        <v>874</v>
      </c>
      <c r="B2850" s="0" t="s">
        <v>98</v>
      </c>
      <c r="D2850" s="6" t="n">
        <f aca="false">Sens!D2822</f>
        <v>12.9359794422418</v>
      </c>
      <c r="E2850" s="6" t="n">
        <f aca="false">Sens!E2822</f>
        <v>27.8095064661409</v>
      </c>
      <c r="F2850" s="6" t="n">
        <f aca="false">Sens!F2822</f>
        <v>50.6619113883066</v>
      </c>
      <c r="G2850" s="6" t="n">
        <f aca="false">Sens!G2822</f>
        <v>75.1482839325348</v>
      </c>
      <c r="H2850" s="6" t="n">
        <f aca="false">Sens!H2822</f>
        <v>94.895655604042</v>
      </c>
      <c r="I2850" s="6" t="n">
        <f aca="false">Sens!I2822</f>
        <v>118.706168884151</v>
      </c>
      <c r="J2850" s="6" t="n">
        <f aca="false">Sens!J2822</f>
        <v>135.50643871102</v>
      </c>
      <c r="K2850" s="6" t="n">
        <f aca="false">Sens!K2822</f>
        <v>146.509068150048</v>
      </c>
    </row>
    <row r="2851" customFormat="false" ht="17.15" hidden="false" customHeight="false" outlineLevel="0" collapsed="false">
      <c r="A2851" s="0" t="s">
        <v>902</v>
      </c>
      <c r="B2851" s="0" t="s">
        <v>98</v>
      </c>
      <c r="D2851" s="6" t="n">
        <f aca="false">Sens!D2823</f>
        <v>59.6740205577583</v>
      </c>
      <c r="E2851" s="6" t="n">
        <f aca="false">Sens!E2823</f>
        <v>74.1284935338591</v>
      </c>
      <c r="F2851" s="6" t="n">
        <f aca="false">Sens!F2823</f>
        <v>90.0799497373663</v>
      </c>
      <c r="G2851" s="6" t="n">
        <f aca="false">Sens!G2823</f>
        <v>107.02842520331</v>
      </c>
      <c r="H2851" s="6" t="n">
        <f aca="false">Sens!H2823</f>
        <v>124.271982585636</v>
      </c>
      <c r="I2851" s="6" t="n">
        <f aca="false">Sens!I2823</f>
        <v>140.933702381855</v>
      </c>
      <c r="J2851" s="6" t="n">
        <f aca="false">Sens!J2823</f>
        <v>156.018867314332</v>
      </c>
      <c r="K2851" s="6" t="n">
        <f aca="false">Sens!K2823</f>
        <v>168.500376699478</v>
      </c>
    </row>
    <row r="2852" customFormat="false" ht="15" hidden="false" customHeight="false" outlineLevel="0" collapsed="false">
      <c r="A2852" s="0" t="s">
        <v>883</v>
      </c>
      <c r="B2852" s="0" t="s">
        <v>98</v>
      </c>
      <c r="D2852" s="6" t="n">
        <f aca="false">Sens!D2830</f>
        <v>84.605</v>
      </c>
      <c r="E2852" s="6" t="n">
        <f aca="false">Sens!E2830</f>
        <v>100.299</v>
      </c>
      <c r="F2852" s="6" t="n">
        <f aca="false">Sens!F2830</f>
        <v>117.39238776686</v>
      </c>
      <c r="G2852" s="6" t="n">
        <f aca="false">Sens!G2830</f>
        <v>132.544168448684</v>
      </c>
      <c r="H2852" s="6" t="n">
        <f aca="false">Sens!H2830</f>
        <v>147.777359388781</v>
      </c>
      <c r="I2852" s="6" t="n">
        <f aca="false">Sens!I2830</f>
        <v>162.084028071957</v>
      </c>
      <c r="J2852" s="6" t="n">
        <f aca="false">Sens!J2830</f>
        <v>175.182702785465</v>
      </c>
      <c r="K2852" s="6" t="n">
        <f aca="false">Sens!K2830</f>
        <v>187.527991980448</v>
      </c>
    </row>
    <row r="2853" customFormat="false" ht="17.15" hidden="false" customHeight="false" outlineLevel="0" collapsed="false">
      <c r="A2853" s="0" t="s">
        <v>903</v>
      </c>
      <c r="B2853" s="0" t="s">
        <v>98</v>
      </c>
      <c r="D2853" s="6" t="n">
        <f aca="false">Sens!D2828</f>
        <v>83.705</v>
      </c>
      <c r="E2853" s="6" t="n">
        <f aca="false">Sens!E2828</f>
        <v>95.049</v>
      </c>
      <c r="F2853" s="6" t="n">
        <f aca="false">Sens!F2828</f>
        <v>106.89238776686</v>
      </c>
      <c r="G2853" s="6" t="n">
        <f aca="false">Sens!G2828</f>
        <v>119.044168448684</v>
      </c>
      <c r="H2853" s="6" t="n">
        <f aca="false">Sens!H2828</f>
        <v>131.277359388781</v>
      </c>
      <c r="I2853" s="6" t="n">
        <f aca="false">Sens!I2828</f>
        <v>143.334028071957</v>
      </c>
      <c r="J2853" s="6" t="n">
        <f aca="false">Sens!J2828</f>
        <v>154.932702785465</v>
      </c>
      <c r="K2853" s="6" t="n">
        <f aca="false">Sens!K2828</f>
        <v>165.777991980448</v>
      </c>
    </row>
    <row r="2854" customFormat="false" ht="17.15" hidden="false" customHeight="false" outlineLevel="0" collapsed="false">
      <c r="A2854" s="0" t="s">
        <v>904</v>
      </c>
      <c r="B2854" s="0" t="s">
        <v>98</v>
      </c>
      <c r="D2854" s="6" t="n">
        <f aca="false">Sens!D2827</f>
        <v>0.9</v>
      </c>
      <c r="E2854" s="6" t="n">
        <f aca="false">Sens!E2827</f>
        <v>5.25</v>
      </c>
      <c r="F2854" s="6" t="n">
        <f aca="false">Sens!F2827</f>
        <v>10.5</v>
      </c>
      <c r="G2854" s="6" t="n">
        <f aca="false">Sens!G2827</f>
        <v>13.5</v>
      </c>
      <c r="H2854" s="6" t="n">
        <f aca="false">Sens!H2827</f>
        <v>16.5</v>
      </c>
      <c r="I2854" s="6" t="n">
        <f aca="false">Sens!I2827</f>
        <v>18.75</v>
      </c>
      <c r="J2854" s="6" t="n">
        <f aca="false">Sens!J2827</f>
        <v>20.25</v>
      </c>
      <c r="K2854" s="6" t="n">
        <f aca="false">Sens!K2827</f>
        <v>21.75</v>
      </c>
    </row>
    <row r="2855" customFormat="false" ht="15" hidden="false" customHeight="false" outlineLevel="0" collapsed="false">
      <c r="A2855" s="0" t="s">
        <v>884</v>
      </c>
      <c r="B2855" s="0" t="s">
        <v>98</v>
      </c>
      <c r="D2855" s="6" t="n">
        <f aca="false">Sens!D2831</f>
        <v>35.391</v>
      </c>
      <c r="E2855" s="6" t="n">
        <f aca="false">Sens!E2831</f>
        <v>37.285</v>
      </c>
      <c r="F2855" s="6" t="n">
        <f aca="false">Sens!F2831</f>
        <v>39.0720834331704</v>
      </c>
      <c r="G2855" s="6" t="n">
        <f aca="false">Sens!G2831</f>
        <v>40.726562953769</v>
      </c>
      <c r="H2855" s="6" t="n">
        <f aca="false">Sens!H2831</f>
        <v>42.2235987259198</v>
      </c>
      <c r="I2855" s="6" t="n">
        <f aca="false">Sens!I2831</f>
        <v>43.5397988077414</v>
      </c>
      <c r="J2855" s="6" t="n">
        <f aca="false">Sens!J2831</f>
        <v>44.653811225693</v>
      </c>
      <c r="K2855" s="6" t="n">
        <f aca="false">Sens!K2831</f>
        <v>45.5468874502068</v>
      </c>
    </row>
    <row r="2856" customFormat="false" ht="15" hidden="false" customHeight="false" outlineLevel="0" collapsed="false">
      <c r="A2856" s="0" t="s">
        <v>885</v>
      </c>
      <c r="B2856" s="0" t="s">
        <v>98</v>
      </c>
      <c r="D2856" s="6" t="n">
        <f aca="false">Sens!D2833</f>
        <v>18.417</v>
      </c>
      <c r="E2856" s="6" t="n">
        <f aca="false">Sens!E2833</f>
        <v>20.345</v>
      </c>
      <c r="F2856" s="6" t="n">
        <f aca="false">Sens!F2833</f>
        <v>22.3572203267814</v>
      </c>
      <c r="G2856" s="6" t="n">
        <f aca="false">Sens!G2833</f>
        <v>24.4392124437232</v>
      </c>
      <c r="H2856" s="6" t="n">
        <f aca="false">Sens!H2833</f>
        <v>26.5738052080665</v>
      </c>
      <c r="I2856" s="6" t="n">
        <f aca="false">Sens!I2833</f>
        <v>28.7412169166967</v>
      </c>
      <c r="J2856" s="6" t="n">
        <f aca="false">Sens!J2833</f>
        <v>30.9192545395413</v>
      </c>
      <c r="K2856" s="6" t="n">
        <f aca="false">Sens!K2833</f>
        <v>33.0836023573092</v>
      </c>
    </row>
    <row r="2857" customFormat="false" ht="15" hidden="false" customHeight="false" outlineLevel="0" collapsed="false">
      <c r="A2857" s="0" t="s">
        <v>886</v>
      </c>
      <c r="B2857" s="0" t="s">
        <v>98</v>
      </c>
      <c r="D2857" s="6" t="n">
        <f aca="false">Sens!D2835</f>
        <v>7.76</v>
      </c>
      <c r="E2857" s="6" t="n">
        <f aca="false">Sens!E2835</f>
        <v>8.26</v>
      </c>
      <c r="F2857" s="6" t="n">
        <f aca="false">Sens!F2835</f>
        <v>8.79988041237113</v>
      </c>
      <c r="G2857" s="6" t="n">
        <f aca="false">Sens!G2835</f>
        <v>9.38321269125306</v>
      </c>
      <c r="H2857" s="6" t="n">
        <f aca="false">Sens!H2835</f>
        <v>10.0139193587476</v>
      </c>
      <c r="I2857" s="6" t="n">
        <f aca="false">Sens!I2835</f>
        <v>10.6963111830911</v>
      </c>
      <c r="J2857" s="6" t="n">
        <f aca="false">Sens!J2835</f>
        <v>11.4351285534696</v>
      </c>
      <c r="K2857" s="6" t="n">
        <f aca="false">Sens!K2835</f>
        <v>12.2355875522124</v>
      </c>
    </row>
    <row r="2858" customFormat="false" ht="15" hidden="false" customHeight="false" outlineLevel="0" collapsed="false">
      <c r="A2858" s="0" t="s">
        <v>715</v>
      </c>
      <c r="B2858" s="0" t="s">
        <v>98</v>
      </c>
      <c r="D2858" s="6" t="n">
        <f aca="false">Sens!D2837</f>
        <v>218.783</v>
      </c>
      <c r="E2858" s="6" t="n">
        <f aca="false">Sens!E2837</f>
        <v>268.127</v>
      </c>
      <c r="F2858" s="6" t="n">
        <f aca="false">Sens!F2837</f>
        <v>328.363433064856</v>
      </c>
      <c r="G2858" s="6" t="n">
        <f aca="false">Sens!G2837</f>
        <v>389.269865673274</v>
      </c>
      <c r="H2858" s="6" t="n">
        <f aca="false">Sens!H2837</f>
        <v>445.756320871193</v>
      </c>
      <c r="I2858" s="6" t="n">
        <f aca="false">Sens!I2837</f>
        <v>504.701226245492</v>
      </c>
      <c r="J2858" s="6" t="n">
        <f aca="false">Sens!J2837</f>
        <v>553.716203129521</v>
      </c>
      <c r="K2858" s="6" t="n">
        <f aca="false">Sens!K2837</f>
        <v>593.403514189702</v>
      </c>
    </row>
    <row r="2859" customFormat="false" ht="15" hidden="false" customHeight="false" outlineLevel="0" collapsed="false">
      <c r="A2859" s="0" t="s">
        <v>887</v>
      </c>
      <c r="B2859" s="0" t="s">
        <v>98</v>
      </c>
      <c r="D2859" s="6" t="n">
        <f aca="false">Sens!D2838</f>
        <v>22.171</v>
      </c>
      <c r="E2859" s="6" t="n">
        <f aca="false">Sens!E2838</f>
        <v>24.835</v>
      </c>
      <c r="F2859" s="6" t="n">
        <f aca="false">Sens!F2838</f>
        <v>27.6114901218559</v>
      </c>
      <c r="G2859" s="6" t="n">
        <f aca="false">Sens!G2838</f>
        <v>30.4675667338515</v>
      </c>
      <c r="H2859" s="6" t="n">
        <f aca="false">Sens!H2838</f>
        <v>33.3643766955789</v>
      </c>
      <c r="I2859" s="6" t="n">
        <f aca="false">Sens!I2838</f>
        <v>36.2577016533691</v>
      </c>
      <c r="J2859" s="6" t="n">
        <f aca="false">Sens!J2838</f>
        <v>39.0988367952171</v>
      </c>
      <c r="K2859" s="6" t="n">
        <f aca="false">Sens!K2838</f>
        <v>41.8357553708823</v>
      </c>
    </row>
    <row r="2860" customFormat="false" ht="15" hidden="false" customHeight="false" outlineLevel="0" collapsed="false">
      <c r="A2860" s="0" t="s">
        <v>888</v>
      </c>
      <c r="B2860" s="0" t="s">
        <v>98</v>
      </c>
      <c r="D2860" s="6" t="n">
        <f aca="false">Sens!D2840</f>
        <v>23.455</v>
      </c>
      <c r="E2860" s="6" t="n">
        <f aca="false">Sens!E2840</f>
        <v>21.79</v>
      </c>
      <c r="F2860" s="6" t="n">
        <f aca="false">Sens!F2840</f>
        <v>20.5736277908051</v>
      </c>
      <c r="G2860" s="6" t="n">
        <f aca="false">Sens!G2840</f>
        <v>19.7371452817919</v>
      </c>
      <c r="H2860" s="6" t="n">
        <f aca="false">Sens!H2840</f>
        <v>19.2339764043138</v>
      </c>
      <c r="I2860" s="6" t="n">
        <f aca="false">Sens!I2840</f>
        <v>19.0353086852681</v>
      </c>
      <c r="J2860" s="6" t="n">
        <f aca="false">Sens!J2840</f>
        <v>19.1273539319129</v>
      </c>
      <c r="K2860" s="6" t="n">
        <f aca="false">Sens!K2840</f>
        <v>19.5099010105511</v>
      </c>
    </row>
    <row r="2861" customFormat="false" ht="15" hidden="false" customHeight="false" outlineLevel="0" collapsed="false">
      <c r="A2861" s="0" t="s">
        <v>889</v>
      </c>
      <c r="B2861" s="0" t="s">
        <v>98</v>
      </c>
      <c r="D2861" s="6" t="n">
        <f aca="false">Sens!D2842</f>
        <v>17.315</v>
      </c>
      <c r="E2861" s="6" t="n">
        <f aca="false">Sens!E2842</f>
        <v>17.087</v>
      </c>
      <c r="F2861" s="6" t="n">
        <f aca="false">Sens!F2842</f>
        <v>16.9564585436519</v>
      </c>
      <c r="G2861" s="6" t="n">
        <f aca="false">Sens!G2842</f>
        <v>16.9206490624268</v>
      </c>
      <c r="H2861" s="6" t="n">
        <f aca="false">Sens!H2842</f>
        <v>16.9784519149849</v>
      </c>
      <c r="I2861" s="6" t="n">
        <f aca="false">Sens!I2842</f>
        <v>17.1303084701817</v>
      </c>
      <c r="J2861" s="6" t="n">
        <f aca="false">Sens!J2842</f>
        <v>17.3782189407267</v>
      </c>
      <c r="K2861" s="6" t="n">
        <f aca="false">Sens!K2842</f>
        <v>17.7257833195413</v>
      </c>
    </row>
    <row r="2862" customFormat="false" ht="15" hidden="false" customHeight="false" outlineLevel="0" collapsed="false">
      <c r="A2862" s="0" t="s">
        <v>729</v>
      </c>
      <c r="B2862" s="0" t="s">
        <v>98</v>
      </c>
      <c r="D2862" s="6" t="n">
        <f aca="false">Sens!D2844</f>
        <v>62.941</v>
      </c>
      <c r="E2862" s="6" t="n">
        <f aca="false">Sens!E2844</f>
        <v>63.712</v>
      </c>
      <c r="F2862" s="6" t="n">
        <f aca="false">Sens!F2844</f>
        <v>65.1415764563129</v>
      </c>
      <c r="G2862" s="6" t="n">
        <f aca="false">Sens!G2844</f>
        <v>67.1253610780702</v>
      </c>
      <c r="H2862" s="6" t="n">
        <f aca="false">Sens!H2844</f>
        <v>69.5768050148776</v>
      </c>
      <c r="I2862" s="6" t="n">
        <f aca="false">Sens!I2844</f>
        <v>72.4233188088189</v>
      </c>
      <c r="J2862" s="6" t="n">
        <f aca="false">Sens!J2844</f>
        <v>75.6044096678567</v>
      </c>
      <c r="K2862" s="6" t="n">
        <f aca="false">Sens!K2844</f>
        <v>79.0714397009747</v>
      </c>
    </row>
    <row r="2863" customFormat="false" ht="15" hidden="false" customHeight="false" outlineLevel="0" collapsed="false">
      <c r="A2863" s="1" t="s">
        <v>905</v>
      </c>
      <c r="B2863" s="0" t="s">
        <v>98</v>
      </c>
      <c r="D2863" s="6" t="n">
        <f aca="false">Sens!D2845</f>
        <v>281.724</v>
      </c>
      <c r="E2863" s="6" t="n">
        <f aca="false">Sens!E2845</f>
        <v>331.839</v>
      </c>
      <c r="F2863" s="6" t="n">
        <f aca="false">Sens!F2845</f>
        <v>393.505009521169</v>
      </c>
      <c r="G2863" s="6" t="n">
        <f aca="false">Sens!G2845</f>
        <v>456.395226751344</v>
      </c>
      <c r="H2863" s="6" t="n">
        <f aca="false">Sens!H2845</f>
        <v>515.333125886071</v>
      </c>
      <c r="I2863" s="6" t="n">
        <f aca="false">Sens!I2845</f>
        <v>577.124545054311</v>
      </c>
      <c r="J2863" s="6" t="n">
        <f aca="false">Sens!J2845</f>
        <v>629.320612797378</v>
      </c>
      <c r="K2863" s="6" t="n">
        <f aca="false">Sens!K2845</f>
        <v>672.474953890677</v>
      </c>
    </row>
    <row r="2864" customFormat="false" ht="15" hidden="false" customHeight="false" outlineLevel="0" collapsed="false">
      <c r="A2864" s="1" t="s">
        <v>906</v>
      </c>
      <c r="B2864" s="0" t="s">
        <v>129</v>
      </c>
      <c r="E2864" s="7" t="n">
        <f aca="false">Sens!E2863/Sens!D2863-1</f>
        <v>0.177886867998467</v>
      </c>
      <c r="F2864" s="7" t="n">
        <f aca="false">Sens!F2863/Sens!E2863-1</f>
        <v>0.185831109427067</v>
      </c>
      <c r="G2864" s="7" t="n">
        <f aca="false">Sens!G2863/Sens!F2863-1</f>
        <v>0.159820626697237</v>
      </c>
      <c r="H2864" s="7" t="n">
        <f aca="false">Sens!H2863/Sens!G2863-1</f>
        <v>0.129137851756801</v>
      </c>
      <c r="I2864" s="7" t="n">
        <f aca="false">Sens!I2863/Sens!H2863-1</f>
        <v>0.119905777572508</v>
      </c>
      <c r="J2864" s="7" t="n">
        <f aca="false">Sens!J2863/Sens!I2863-1</f>
        <v>0.0904416008474471</v>
      </c>
      <c r="K2864" s="7" t="n">
        <f aca="false">Sens!K2863/Sens!J2863-1</f>
        <v>0.0685729026123501</v>
      </c>
    </row>
    <row r="2865" customFormat="false" ht="17.15" hidden="false" customHeight="false" outlineLevel="0" collapsed="false">
      <c r="A2865" s="23" t="s">
        <v>907</v>
      </c>
      <c r="B2865" s="30" t="s">
        <v>98</v>
      </c>
      <c r="C2865" s="30"/>
      <c r="D2865" s="24" t="n">
        <f aca="false">(Sens!D2858+Sens!D2862-Sens!D2863)+(Sens!D2850+Sens!D2851-Sens!D2849)+(Sens!D2853+Sens!D2854-Sens!D2852)+(Sens!D2863-Q!L18)</f>
        <v>0</v>
      </c>
      <c r="E2865" s="24" t="n">
        <f aca="false">(Sens!E2858+Sens!E2862-Sens!E2863)+(Sens!E2850+Sens!E2851-Sens!E2849)+(Sens!E2853+Sens!E2854-Sens!E2852)+(Sens!E2863-Q!M18)</f>
        <v>0</v>
      </c>
      <c r="F2865" s="24" t="n">
        <f aca="false">(Sens!F2858+Sens!F2862-Sens!F2863)+(Sens!F2850+Sens!F2851-Sens!F2849)+(Sens!F2853+Sens!F2854-Sens!F2852)</f>
        <v>0</v>
      </c>
      <c r="G2865" s="24" t="n">
        <f aca="false">(Sens!G2858+Sens!G2862-Sens!G2863)+(Sens!G2850+Sens!G2851-Sens!G2849)+(Sens!G2853+Sens!G2854-Sens!G2852)</f>
        <v>0</v>
      </c>
      <c r="H2865" s="24" t="n">
        <f aca="false">(Sens!H2858+Sens!H2862-Sens!H2863)+(Sens!H2850+Sens!H2851-Sens!H2849)+(Sens!H2853+Sens!H2854-Sens!H2852)</f>
        <v>0</v>
      </c>
      <c r="I2865" s="24" t="n">
        <f aca="false">(Sens!I2858+Sens!I2862-Sens!I2863)+(Sens!I2850+Sens!I2851-Sens!I2849)+(Sens!I2853+Sens!I2854-Sens!I2852)</f>
        <v>0</v>
      </c>
      <c r="J2865" s="24" t="n">
        <f aca="false">(Sens!J2858+Sens!J2862-Sens!J2863)+(Sens!J2850+Sens!J2851-Sens!J2849)+(Sens!J2853+Sens!J2854-Sens!J2852)</f>
        <v>0</v>
      </c>
      <c r="K2865" s="24" t="n">
        <f aca="false">(Sens!K2858+Sens!K2862-Sens!K2863)+(Sens!K2850+Sens!K2851-Sens!K2849)+(Sens!K2853+Sens!K2854-Sens!K2852)</f>
        <v>0</v>
      </c>
    </row>
    <row r="2866" customFormat="false" ht="17.15" hidden="false" customHeight="false" outlineLevel="0" collapsed="false">
      <c r="A2866" s="0" t="s">
        <v>908</v>
      </c>
      <c r="B2866" s="0" t="s">
        <v>129</v>
      </c>
      <c r="E2866" s="7" t="n">
        <f aca="false">(Q!M21+Sens!E2803+Sens!E2804+Sens!E2805+Sens!E2818-Sens!E2801)/(Q!M5-Sens!E2801)</f>
        <v>0.550623586919075</v>
      </c>
      <c r="F2866" s="7" t="n">
        <f aca="false">Sens!$E$2866+dm_seg</f>
        <v>0.550623586919075</v>
      </c>
      <c r="G2866" s="7" t="n">
        <f aca="false">Sens!$E$2866+dm_seg</f>
        <v>0.550623586919075</v>
      </c>
      <c r="H2866" s="7" t="n">
        <f aca="false">Sens!$E$2866+dm_seg</f>
        <v>0.550623586919075</v>
      </c>
      <c r="I2866" s="7" t="n">
        <f aca="false">Sens!$E$2866+dm_seg</f>
        <v>0.550623586919075</v>
      </c>
      <c r="J2866" s="7" t="n">
        <f aca="false">Sens!$E$2866+dm_seg</f>
        <v>0.550623586919075</v>
      </c>
      <c r="K2866" s="7" t="n">
        <f aca="false">Sens!$E$2866+dm_seg</f>
        <v>0.550623586919075</v>
      </c>
      <c r="L2866" s="11" t="s">
        <v>909</v>
      </c>
    </row>
    <row r="2867" customFormat="false" ht="17.15" hidden="false" customHeight="false" outlineLevel="0" collapsed="false">
      <c r="A2867" s="0" t="s">
        <v>743</v>
      </c>
      <c r="B2867" s="0" t="s">
        <v>98</v>
      </c>
      <c r="D2867" s="6" t="n">
        <f aca="false">Q!L21</f>
        <v>110.814</v>
      </c>
      <c r="E2867" s="6" t="n">
        <f aca="false">Q!M21</f>
        <v>136.365</v>
      </c>
      <c r="F2867" s="6" t="n">
        <f aca="false">Sens!F2866*(Sens!F2837-Sens!F2801)+Sens!F2801-(Sens!F2803+Sens!F2804+Sens!F2805)-Sens!F2818-Sens!F2901</f>
        <v>153.409543133623</v>
      </c>
      <c r="G2867" s="6" t="n">
        <f aca="false">Sens!G2866*(Sens!G2837-Sens!G2801)+Sens!G2801-(Sens!G2803+Sens!G2804+Sens!G2805)-Sens!G2818-Sens!G2901</f>
        <v>168.875192275981</v>
      </c>
      <c r="H2867" s="6" t="n">
        <f aca="false">Sens!H2866*(Sens!H2837-Sens!H2801)+Sens!H2801-(Sens!H2803+Sens!H2804+Sens!H2805)-Sens!H2818-Sens!H2901</f>
        <v>178.470444225651</v>
      </c>
      <c r="I2867" s="6" t="n">
        <f aca="false">Sens!I2866*(Sens!I2837-Sens!I2801)+Sens!I2801-(Sens!I2803+Sens!I2804+Sens!I2805)-Sens!I2818-Sens!I2901</f>
        <v>194.799243905837</v>
      </c>
      <c r="J2867" s="6" t="n">
        <f aca="false">Sens!J2866*(Sens!J2837-Sens!J2801)+Sens!J2801-(Sens!J2803+Sens!J2804+Sens!J2805)-Sens!J2818-Sens!J2901</f>
        <v>210.424994970301</v>
      </c>
      <c r="K2867" s="6" t="n">
        <f aca="false">Sens!K2866*(Sens!K2837-Sens!K2801)+Sens!K2801-(Sens!K2803+Sens!K2804+Sens!K2805)-Sens!K2818-Sens!K2901</f>
        <v>225.556232107952</v>
      </c>
      <c r="L2867" s="1" t="s">
        <v>910</v>
      </c>
    </row>
    <row r="2868" customFormat="false" ht="17.15" hidden="false" customHeight="false" outlineLevel="0" collapsed="false">
      <c r="A2868" s="0" t="s">
        <v>911</v>
      </c>
      <c r="B2868" s="0" t="s">
        <v>129</v>
      </c>
      <c r="E2868" s="7" t="n">
        <f aca="false">Q!M22/Q!M12</f>
        <v>0.296207935710698</v>
      </c>
      <c r="F2868" s="7" t="n">
        <f aca="false">Sens!$E$2868+dm_seg</f>
        <v>0.296207935710698</v>
      </c>
      <c r="G2868" s="7" t="n">
        <f aca="false">Sens!$E$2868+dm_seg</f>
        <v>0.296207935710698</v>
      </c>
      <c r="H2868" s="7" t="n">
        <f aca="false">Sens!$E$2868+dm_seg</f>
        <v>0.296207935710698</v>
      </c>
      <c r="I2868" s="7" t="n">
        <f aca="false">Sens!$E$2868+dm_seg</f>
        <v>0.296207935710698</v>
      </c>
      <c r="J2868" s="7" t="n">
        <f aca="false">Sens!$E$2868+dm_seg</f>
        <v>0.296207935710698</v>
      </c>
      <c r="K2868" s="7" t="n">
        <f aca="false">Sens!$E$2868+dm_seg</f>
        <v>0.296207935710698</v>
      </c>
      <c r="L2868" s="11" t="s">
        <v>912</v>
      </c>
    </row>
    <row r="2869" customFormat="false" ht="17.15" hidden="false" customHeight="false" outlineLevel="0" collapsed="false">
      <c r="A2869" s="0" t="s">
        <v>745</v>
      </c>
      <c r="B2869" s="0" t="s">
        <v>98</v>
      </c>
      <c r="D2869" s="6" t="n">
        <f aca="false">Q!L22</f>
        <v>17.714</v>
      </c>
      <c r="E2869" s="6" t="n">
        <f aca="false">Q!M22</f>
        <v>18.872</v>
      </c>
      <c r="F2869" s="6" t="n">
        <f aca="false">Sens!F2844*Sens!F2868</f>
        <v>19.2954518910651</v>
      </c>
      <c r="G2869" s="6" t="n">
        <f aca="false">Sens!G2844*Sens!G2868</f>
        <v>19.8830646387704</v>
      </c>
      <c r="H2869" s="6" t="n">
        <f aca="false">Sens!H2844*Sens!H2868</f>
        <v>20.6092017868026</v>
      </c>
      <c r="I2869" s="6" t="n">
        <f aca="false">Sens!I2844*Sens!I2868</f>
        <v>21.452361761678</v>
      </c>
      <c r="J2869" s="6" t="n">
        <f aca="false">Sens!J2844*Sens!J2868</f>
        <v>22.3946261183418</v>
      </c>
      <c r="K2869" s="6" t="n">
        <f aca="false">Sens!K2844*Sens!K2868</f>
        <v>23.4215879274986</v>
      </c>
    </row>
    <row r="2870" customFormat="false" ht="15" hidden="false" customHeight="false" outlineLevel="0" collapsed="false">
      <c r="A2870" s="1" t="s">
        <v>913</v>
      </c>
      <c r="B2870" s="0" t="s">
        <v>98</v>
      </c>
      <c r="D2870" s="6" t="n">
        <f aca="false">Sens!D2867+Sens!D2869</f>
        <v>128.528</v>
      </c>
      <c r="E2870" s="6" t="n">
        <f aca="false">Sens!E2867+Sens!E2869</f>
        <v>155.237</v>
      </c>
      <c r="F2870" s="6" t="n">
        <f aca="false">Sens!F2867+Sens!F2869</f>
        <v>172.704995024688</v>
      </c>
      <c r="G2870" s="6" t="n">
        <f aca="false">Sens!G2867+Sens!G2869</f>
        <v>188.758256914752</v>
      </c>
      <c r="H2870" s="6" t="n">
        <f aca="false">Sens!H2867+Sens!H2869</f>
        <v>199.079646012453</v>
      </c>
      <c r="I2870" s="6" t="n">
        <f aca="false">Sens!I2867+Sens!I2869</f>
        <v>216.251605667515</v>
      </c>
      <c r="J2870" s="6" t="n">
        <f aca="false">Sens!J2867+Sens!J2869</f>
        <v>232.819621088642</v>
      </c>
      <c r="K2870" s="6" t="n">
        <f aca="false">Sens!K2867+Sens!K2869</f>
        <v>248.977820035451</v>
      </c>
    </row>
    <row r="2871" customFormat="false" ht="15" hidden="false" customHeight="false" outlineLevel="0" collapsed="false">
      <c r="A2871" s="23" t="s">
        <v>914</v>
      </c>
      <c r="B2871" s="30" t="s">
        <v>98</v>
      </c>
      <c r="C2871" s="30"/>
      <c r="D2871" s="24" t="n">
        <f aca="false">Sens!D2870-Q!L23</f>
        <v>0</v>
      </c>
      <c r="E2871" s="24" t="n">
        <f aca="false">Sens!E2870-Q!M23</f>
        <v>0</v>
      </c>
      <c r="F2871" s="30"/>
      <c r="G2871" s="30"/>
      <c r="H2871" s="30"/>
      <c r="I2871" s="30"/>
      <c r="J2871" s="30"/>
      <c r="K2871" s="30"/>
    </row>
    <row r="2872" customFormat="false" ht="15" hidden="false" customHeight="false" outlineLevel="0" collapsed="false">
      <c r="A2872" s="1" t="s">
        <v>915</v>
      </c>
      <c r="B2872" s="0" t="s">
        <v>129</v>
      </c>
      <c r="D2872" s="7" t="n">
        <f aca="false">Sens!D2870/Sens!D2863</f>
        <v>0.456219562408598</v>
      </c>
      <c r="E2872" s="7" t="n">
        <f aca="false">Sens!E2870/Sens!E2863</f>
        <v>0.467808184089272</v>
      </c>
      <c r="F2872" s="7" t="n">
        <f aca="false">Sens!F2870/Sens!F2863</f>
        <v>0.4388889362167</v>
      </c>
      <c r="G2872" s="7" t="n">
        <f aca="false">Sens!G2870/Sens!G2863</f>
        <v>0.413585081198914</v>
      </c>
      <c r="H2872" s="7" t="n">
        <f aca="false">Sens!H2870/Sens!H2863</f>
        <v>0.386312534576839</v>
      </c>
      <c r="I2872" s="7" t="n">
        <f aca="false">Sens!I2870/Sens!I2863</f>
        <v>0.374705265129841</v>
      </c>
      <c r="J2872" s="7" t="n">
        <f aca="false">Sens!J2870/Sens!J2863</f>
        <v>0.369953909587899</v>
      </c>
      <c r="K2872" s="7" t="n">
        <f aca="false">Sens!K2870/Sens!K2863</f>
        <v>0.370241030680716</v>
      </c>
    </row>
    <row r="2873" customFormat="false" ht="17.15" hidden="false" customHeight="false" outlineLevel="0" collapsed="false">
      <c r="A2873" s="1" t="s">
        <v>916</v>
      </c>
      <c r="B2873" s="0" t="s">
        <v>98</v>
      </c>
      <c r="F2873" s="6" t="n">
        <f aca="false">Sens!F2888</f>
        <v>3.68566746486673</v>
      </c>
      <c r="G2873" s="6" t="n">
        <f aca="false">Sens!G2888</f>
        <v>11.0645237001183</v>
      </c>
      <c r="H2873" s="6" t="n">
        <f aca="false">Sens!H2888</f>
        <v>19.2103694106308</v>
      </c>
      <c r="I2873" s="6" t="n">
        <f aca="false">Sens!I2888</f>
        <v>26.6719699407082</v>
      </c>
      <c r="J2873" s="6" t="n">
        <f aca="false">Sens!J2888</f>
        <v>31.9622325571499</v>
      </c>
      <c r="K2873" s="6" t="n">
        <f aca="false">Sens!K2888</f>
        <v>35.0145700741196</v>
      </c>
      <c r="L2873" s="1" t="s">
        <v>917</v>
      </c>
    </row>
    <row r="2874" customFormat="false" ht="17.15" hidden="false" customHeight="false" outlineLevel="0" collapsed="false">
      <c r="A2874" s="1" t="s">
        <v>918</v>
      </c>
      <c r="B2874" s="0" t="s">
        <v>98</v>
      </c>
      <c r="D2874" s="6" t="n">
        <f aca="false">Sens!D2870</f>
        <v>128.528</v>
      </c>
      <c r="E2874" s="6" t="n">
        <f aca="false">Sens!E2870</f>
        <v>155.237</v>
      </c>
      <c r="F2874" s="6" t="n">
        <f aca="false">Sens!F2870+Sens!F2873</f>
        <v>176.390662489555</v>
      </c>
      <c r="G2874" s="6" t="n">
        <f aca="false">Sens!G2870+Sens!G2873</f>
        <v>199.82278061487</v>
      </c>
      <c r="H2874" s="6" t="n">
        <f aca="false">Sens!H2870+Sens!H2873</f>
        <v>218.290015423084</v>
      </c>
      <c r="I2874" s="6" t="n">
        <f aca="false">Sens!I2870+Sens!I2873</f>
        <v>242.923575608223</v>
      </c>
      <c r="J2874" s="6" t="n">
        <f aca="false">Sens!J2870+Sens!J2873</f>
        <v>264.781853645792</v>
      </c>
      <c r="K2874" s="6" t="n">
        <f aca="false">Sens!K2870+Sens!K2873</f>
        <v>283.992390109571</v>
      </c>
    </row>
    <row r="2875" customFormat="false" ht="17.15" hidden="false" customHeight="false" outlineLevel="0" collapsed="false">
      <c r="A2875" s="1" t="s">
        <v>919</v>
      </c>
      <c r="B2875" s="0" t="s">
        <v>98</v>
      </c>
      <c r="E2875" s="6" t="n">
        <f aca="false">Sens!E2818</f>
        <v>13.0443247816667</v>
      </c>
      <c r="F2875" s="6" t="n">
        <f aca="false">Sens!F2818</f>
        <v>27.2399099047645</v>
      </c>
      <c r="G2875" s="6" t="n">
        <f aca="false">Sens!G2818</f>
        <v>47.3003496884089</v>
      </c>
      <c r="H2875" s="6" t="n">
        <f aca="false">Sens!H2818</f>
        <v>69.0888158746489</v>
      </c>
      <c r="I2875" s="6" t="n">
        <f aca="false">Sens!I2818</f>
        <v>88.4845950659141</v>
      </c>
      <c r="J2875" s="6" t="n">
        <f aca="false">Sens!J2818</f>
        <v>102.398658282275</v>
      </c>
      <c r="K2875" s="6" t="n">
        <f aca="false">Sens!K2818</f>
        <v>111.305171235446</v>
      </c>
    </row>
    <row r="2876" customFormat="false" ht="17.15" hidden="false" customHeight="false" outlineLevel="0" collapsed="false">
      <c r="A2876" s="1" t="s">
        <v>920</v>
      </c>
      <c r="B2876" s="0" t="s">
        <v>98</v>
      </c>
      <c r="E2876" s="6" t="n">
        <f aca="false">Sens!E2900</f>
        <v>25.4896752183333</v>
      </c>
      <c r="F2876" s="6" t="n">
        <f aca="false">Sens!F2900</f>
        <v>30.5340776267827</v>
      </c>
      <c r="G2876" s="6" t="n">
        <f aca="false">Sens!G2900</f>
        <v>31.5509592211433</v>
      </c>
      <c r="H2876" s="6" t="n">
        <f aca="false">Sens!H2900</f>
        <v>33.002014663438</v>
      </c>
      <c r="I2876" s="6" t="n">
        <f aca="false">Sens!I2900</f>
        <v>34.8241532282586</v>
      </c>
      <c r="J2876" s="6" t="n">
        <f aca="false">Sens!J2900</f>
        <v>36.9373292304701</v>
      </c>
      <c r="K2876" s="6" t="n">
        <f aca="false">Sens!K2900</f>
        <v>39.2529665816225</v>
      </c>
    </row>
    <row r="2877" customFormat="false" ht="17.15" hidden="false" customHeight="false" outlineLevel="0" collapsed="false">
      <c r="A2877" s="1" t="s">
        <v>921</v>
      </c>
      <c r="B2877" s="0" t="s">
        <v>98</v>
      </c>
      <c r="D2877" s="6" t="n">
        <f aca="false">Q!L27</f>
        <v>-4.901</v>
      </c>
      <c r="E2877" s="6" t="n">
        <f aca="false">Q!M27</f>
        <v>10.697</v>
      </c>
      <c r="F2877" s="6" t="n">
        <f aca="false">oie_f</f>
        <v>-0.4</v>
      </c>
      <c r="G2877" s="6" t="n">
        <f aca="false">oie_f</f>
        <v>-0.4</v>
      </c>
      <c r="H2877" s="6" t="n">
        <f aca="false">oie_f</f>
        <v>-0.4</v>
      </c>
      <c r="I2877" s="6" t="n">
        <f aca="false">oie_f</f>
        <v>-0.4</v>
      </c>
      <c r="J2877" s="6" t="n">
        <f aca="false">oie_f</f>
        <v>-0.4</v>
      </c>
      <c r="K2877" s="6" t="n">
        <f aca="false">oie_f</f>
        <v>-0.4</v>
      </c>
      <c r="L2877" s="11" t="s">
        <v>922</v>
      </c>
    </row>
    <row r="2878" customFormat="false" ht="15" hidden="false" customHeight="false" outlineLevel="0" collapsed="false">
      <c r="A2878" s="1" t="s">
        <v>923</v>
      </c>
      <c r="B2878" s="0" t="s">
        <v>98</v>
      </c>
      <c r="D2878" s="6" t="n">
        <f aca="false">Sens!D2870+Sens!D2877</f>
        <v>123.627</v>
      </c>
      <c r="E2878" s="6" t="n">
        <f aca="false">Sens!E2870+Sens!E2877</f>
        <v>165.934</v>
      </c>
      <c r="F2878" s="6" t="n">
        <f aca="false">Sens!F2870+Sens!F2877</f>
        <v>172.304995024688</v>
      </c>
      <c r="G2878" s="6" t="n">
        <f aca="false">Sens!G2870+Sens!G2877</f>
        <v>188.358256914752</v>
      </c>
      <c r="H2878" s="6" t="n">
        <f aca="false">Sens!H2870+Sens!H2877</f>
        <v>198.679646012453</v>
      </c>
      <c r="I2878" s="6" t="n">
        <f aca="false">Sens!I2870+Sens!I2877</f>
        <v>215.851605667515</v>
      </c>
      <c r="J2878" s="6" t="n">
        <f aca="false">Sens!J2870+Sens!J2877</f>
        <v>232.419621088642</v>
      </c>
      <c r="K2878" s="6" t="n">
        <f aca="false">Sens!K2870+Sens!K2877</f>
        <v>248.577820035451</v>
      </c>
    </row>
    <row r="2879" customFormat="false" ht="15" hidden="false" customHeight="false" outlineLevel="0" collapsed="false">
      <c r="A2879" s="1" t="s">
        <v>924</v>
      </c>
      <c r="B2879" s="0" t="s">
        <v>98</v>
      </c>
      <c r="D2879" s="6" t="n">
        <f aca="false">Q!L29</f>
        <v>21.795</v>
      </c>
      <c r="E2879" s="6" t="n">
        <f aca="false">Q!M29</f>
        <v>32.185</v>
      </c>
      <c r="F2879" s="6" t="n">
        <f aca="false">Sens!F2878*tax_f</f>
        <v>34.4609990049376</v>
      </c>
      <c r="G2879" s="6" t="n">
        <f aca="false">Sens!G2878*tax_f</f>
        <v>37.6716513829503</v>
      </c>
      <c r="H2879" s="6" t="n">
        <f aca="false">Sens!H2878*tax_f</f>
        <v>39.7359292024906</v>
      </c>
      <c r="I2879" s="6" t="n">
        <f aca="false">Sens!I2878*tax_f</f>
        <v>43.1703211335029</v>
      </c>
      <c r="J2879" s="6" t="n">
        <f aca="false">Sens!J2878*tax_f</f>
        <v>46.4839242177285</v>
      </c>
      <c r="K2879" s="6" t="n">
        <f aca="false">Sens!K2878*tax_f</f>
        <v>49.7155640070902</v>
      </c>
    </row>
    <row r="2880" customFormat="false" ht="15" hidden="false" customHeight="false" outlineLevel="0" collapsed="false">
      <c r="A2880" s="1" t="s">
        <v>925</v>
      </c>
      <c r="B2880" s="0" t="s">
        <v>98</v>
      </c>
      <c r="D2880" s="6" t="n">
        <f aca="false">Sens!D2878-Sens!D2879</f>
        <v>101.832</v>
      </c>
      <c r="E2880" s="6" t="n">
        <f aca="false">Sens!E2878-Sens!E2879</f>
        <v>133.749</v>
      </c>
      <c r="F2880" s="6" t="n">
        <f aca="false">Sens!F2878-Sens!F2879</f>
        <v>137.84399601975</v>
      </c>
      <c r="G2880" s="6" t="n">
        <f aca="false">Sens!G2878-Sens!G2879</f>
        <v>150.686605531801</v>
      </c>
      <c r="H2880" s="6" t="n">
        <f aca="false">Sens!H2878-Sens!H2879</f>
        <v>158.943716809963</v>
      </c>
      <c r="I2880" s="6" t="n">
        <f aca="false">Sens!I2878-Sens!I2879</f>
        <v>172.681284534012</v>
      </c>
      <c r="J2880" s="6" t="n">
        <f aca="false">Sens!J2878-Sens!J2879</f>
        <v>185.935696870914</v>
      </c>
      <c r="K2880" s="6" t="n">
        <f aca="false">Sens!K2878-Sens!K2879</f>
        <v>198.862256028361</v>
      </c>
    </row>
    <row r="2881" customFormat="false" ht="17.15" hidden="false" customHeight="false" outlineLevel="0" collapsed="false">
      <c r="A2881" s="1" t="s">
        <v>926</v>
      </c>
      <c r="B2881" s="1" t="s">
        <v>81</v>
      </c>
      <c r="D2881" s="14" t="n">
        <f aca="false">Q!L31</f>
        <v>7.465</v>
      </c>
      <c r="E2881" s="14" t="n">
        <f aca="false">Q!M31</f>
        <v>7.453</v>
      </c>
      <c r="F2881" s="14" t="n">
        <f aca="false">Sens!F2924</f>
        <v>7.4735</v>
      </c>
      <c r="G2881" s="14" t="n">
        <f aca="false">Sens!G2924</f>
        <v>7.49987171271795</v>
      </c>
      <c r="H2881" s="14" t="n">
        <f aca="false">Sens!H2924</f>
        <v>7.50899501128585</v>
      </c>
      <c r="I2881" s="14" t="n">
        <f aca="false">Sens!I2924</f>
        <v>7.52077584329316</v>
      </c>
      <c r="J2881" s="14" t="n">
        <f aca="false">Sens!J2924</f>
        <v>7.53501735441104</v>
      </c>
      <c r="K2881" s="14" t="n">
        <f aca="false">Sens!K2924</f>
        <v>7.55153727211278</v>
      </c>
    </row>
    <row r="2882" customFormat="false" ht="17.15" hidden="false" customHeight="false" outlineLevel="0" collapsed="false">
      <c r="A2882" s="0" t="s">
        <v>927</v>
      </c>
      <c r="B2882" s="0" t="s">
        <v>75</v>
      </c>
      <c r="D2882" s="8" t="n">
        <f aca="false">Sens!D2880/Sens!D2881</f>
        <v>13.641259209645</v>
      </c>
      <c r="E2882" s="8" t="n">
        <f aca="false">Sens!E2880/Sens!E2881</f>
        <v>17.9456594659869</v>
      </c>
      <c r="F2882" s="8" t="n">
        <f aca="false">Sens!F2880/Sens!F2881</f>
        <v>18.4443695751322</v>
      </c>
      <c r="G2882" s="8" t="n">
        <f aca="false">Sens!G2880/Sens!G2881</f>
        <v>20.0918910754532</v>
      </c>
      <c r="H2882" s="8" t="n">
        <f aca="false">Sens!H2880/Sens!H2881</f>
        <v>21.167109123268</v>
      </c>
      <c r="I2882" s="8" t="n">
        <f aca="false">Sens!I2880/Sens!I2881</f>
        <v>22.9605679164078</v>
      </c>
      <c r="J2882" s="8" t="n">
        <f aca="false">Sens!J2880/Sens!J2881</f>
        <v>24.6762134876924</v>
      </c>
      <c r="K2882" s="8" t="n">
        <f aca="false">Sens!K2880/Sens!K2881</f>
        <v>26.3340097337191</v>
      </c>
      <c r="L2882" s="1" t="s">
        <v>928</v>
      </c>
    </row>
    <row r="2883" customFormat="false" ht="17.15" hidden="false" customHeight="false" outlineLevel="0" collapsed="false">
      <c r="A2883" s="1" t="s">
        <v>929</v>
      </c>
      <c r="B2883" s="0" t="s">
        <v>98</v>
      </c>
      <c r="D2883" s="6" t="n">
        <f aca="false">Sens!D2880</f>
        <v>101.832</v>
      </c>
      <c r="E2883" s="6" t="n">
        <f aca="false">Sens!E2880</f>
        <v>133.749</v>
      </c>
      <c r="F2883" s="6" t="n">
        <f aca="false">Sens!F2880+Sens!F2873*(1-tax_f)</f>
        <v>140.792529991644</v>
      </c>
      <c r="G2883" s="6" t="n">
        <f aca="false">Sens!G2880+Sens!G2873*(1-tax_f)</f>
        <v>159.538224491896</v>
      </c>
      <c r="H2883" s="6" t="n">
        <f aca="false">Sens!H2880+Sens!H2873*(1-tax_f)</f>
        <v>174.312012338467</v>
      </c>
      <c r="I2883" s="6" t="n">
        <f aca="false">Sens!I2880+Sens!I2873*(1-tax_f)</f>
        <v>194.018860486578</v>
      </c>
      <c r="J2883" s="6" t="n">
        <f aca="false">Sens!J2880+Sens!J2873*(1-tax_f)</f>
        <v>211.505482916634</v>
      </c>
      <c r="K2883" s="6" t="n">
        <f aca="false">Sens!K2880+Sens!K2873*(1-tax_f)</f>
        <v>226.873912087657</v>
      </c>
    </row>
    <row r="2884" customFormat="false" ht="17.15" hidden="false" customHeight="false" outlineLevel="0" collapsed="false">
      <c r="A2884" s="0" t="s">
        <v>930</v>
      </c>
      <c r="B2884" s="0" t="s">
        <v>75</v>
      </c>
      <c r="D2884" s="8" t="n">
        <f aca="false">Sens!D2883/Sens!D2881</f>
        <v>13.641259209645</v>
      </c>
      <c r="E2884" s="8" t="n">
        <f aca="false">Sens!E2883/Sens!E2881</f>
        <v>17.9456594659869</v>
      </c>
      <c r="F2884" s="8" t="n">
        <f aca="false">Sens!F2883/Sens!F2881</f>
        <v>18.8389014506782</v>
      </c>
      <c r="G2884" s="8" t="n">
        <f aca="false">Sens!G2883/Sens!G2881</f>
        <v>21.2721271247024</v>
      </c>
      <c r="H2884" s="8" t="n">
        <f aca="false">Sens!H2883/Sens!H2881</f>
        <v>23.2137605733497</v>
      </c>
      <c r="I2884" s="8" t="n">
        <f aca="false">Sens!I2883/Sens!I2881</f>
        <v>25.797718816417</v>
      </c>
      <c r="J2884" s="8" t="n">
        <f aca="false">Sens!J2883/Sens!J2881</f>
        <v>28.0696742911703</v>
      </c>
      <c r="K2884" s="8" t="n">
        <f aca="false">Sens!K2883/Sens!K2881</f>
        <v>30.043407575499</v>
      </c>
      <c r="L2884" s="1" t="s">
        <v>931</v>
      </c>
    </row>
    <row r="2885" customFormat="false" ht="17.15" hidden="false" customHeight="false" outlineLevel="0" collapsed="false">
      <c r="A2885" s="0" t="s">
        <v>932</v>
      </c>
      <c r="B2885" s="0" t="s">
        <v>129</v>
      </c>
      <c r="E2885" s="7" t="n">
        <f aca="false">Sens!E2884/Sens!D2884-1</f>
        <v>0.315542736208578</v>
      </c>
      <c r="F2885" s="7" t="n">
        <f aca="false">Sens!F2884/Sens!E2884-1</f>
        <v>0.0497748208353326</v>
      </c>
      <c r="G2885" s="7" t="n">
        <f aca="false">Sens!G2884/Sens!F2884-1</f>
        <v>0.129159637062414</v>
      </c>
      <c r="H2885" s="7" t="n">
        <f aca="false">Sens!H2884/Sens!G2884-1</f>
        <v>0.0912759423288969</v>
      </c>
      <c r="I2885" s="7" t="n">
        <f aca="false">Sens!I2884/Sens!H2884-1</f>
        <v>0.111311488498496</v>
      </c>
      <c r="J2885" s="7" t="n">
        <f aca="false">Sens!J2884/Sens!I2884-1</f>
        <v>0.0880680765195225</v>
      </c>
      <c r="K2885" s="7" t="n">
        <f aca="false">Sens!K2884/Sens!J2884-1</f>
        <v>0.0703155036234093</v>
      </c>
    </row>
    <row r="2886" customFormat="false" ht="17.15" hidden="false" customHeight="false" outlineLevel="0" collapsed="false">
      <c r="A2886" s="0" t="s">
        <v>856</v>
      </c>
      <c r="B2886" s="0" t="s">
        <v>98</v>
      </c>
      <c r="E2886" s="6" t="n">
        <f aca="false">Sens!E2827</f>
        <v>5.25</v>
      </c>
      <c r="F2886" s="6" t="n">
        <f aca="false">Sens!F2827</f>
        <v>10.5</v>
      </c>
      <c r="G2886" s="6" t="n">
        <f aca="false">Sens!G2827</f>
        <v>13.5</v>
      </c>
      <c r="H2886" s="6" t="n">
        <f aca="false">Sens!H2827</f>
        <v>16.5</v>
      </c>
      <c r="I2886" s="6" t="n">
        <f aca="false">Sens!I2827</f>
        <v>18.75</v>
      </c>
      <c r="J2886" s="6" t="n">
        <f aca="false">Sens!J2827</f>
        <v>20.25</v>
      </c>
      <c r="K2886" s="6" t="n">
        <f aca="false">Sens!K2827</f>
        <v>21.75</v>
      </c>
    </row>
    <row r="2887" customFormat="false" ht="17.15" hidden="false" customHeight="false" outlineLevel="0" collapsed="false">
      <c r="A2887" s="1" t="s">
        <v>857</v>
      </c>
      <c r="B2887" s="0" t="s">
        <v>98</v>
      </c>
      <c r="F2887" s="6" t="n">
        <f aca="false">MAX(0,((Sens!E2790+Sens!F2790)/2-(shadow_base*(Sens!$D$2790+Sens!$E$2790)/2+(1-shadow_base)*Sens!$E$2790))*Sens!F2798/1000-(Sens!F2886-Sens!$E$2886)*Sens!F2866)</f>
        <v>3.68566746486673</v>
      </c>
      <c r="G2887" s="6" t="n">
        <f aca="false">MAX(0,((Sens!F2790+Sens!G2790)/2-(shadow_base*(Sens!$D$2790+Sens!$E$2790)/2+(1-shadow_base)*Sens!$E$2790))*Sens!G2798/1000-(Sens!G2886-Sens!$E$2886)*Sens!G2866)</f>
        <v>11.0645237001183</v>
      </c>
      <c r="H2887" s="6" t="n">
        <f aca="false">MAX(0,((Sens!G2790+Sens!H2790)/2-(shadow_base*(Sens!$D$2790+Sens!$E$2790)/2+(1-shadow_base)*Sens!$E$2790))*Sens!H2798/1000-(Sens!H2886-Sens!$E$2886)*Sens!H2866)</f>
        <v>19.2103694106308</v>
      </c>
      <c r="I2887" s="6" t="n">
        <f aca="false">MAX(0,((Sens!H2790+Sens!I2790)/2-(shadow_base*(Sens!$D$2790+Sens!$E$2790)/2+(1-shadow_base)*Sens!$E$2790))*Sens!I2798/1000-(Sens!I2886-Sens!$E$2886)*Sens!I2866)</f>
        <v>26.6719699407082</v>
      </c>
      <c r="J2887" s="6" t="n">
        <f aca="false">MAX(0,((Sens!I2790+Sens!J2790)/2-(shadow_base*(Sens!$D$2790+Sens!$E$2790)/2+(1-shadow_base)*Sens!$E$2790))*Sens!J2798/1000-(Sens!J2886-Sens!$E$2886)*Sens!J2866)</f>
        <v>31.9622325571499</v>
      </c>
      <c r="K2887" s="6" t="n">
        <f aca="false">MAX(0,((Sens!J2790+Sens!K2790)/2-(shadow_base*(Sens!$D$2790+Sens!$E$2790)/2+(1-shadow_base)*Sens!$E$2790))*Sens!K2798/1000-(Sens!K2886-Sens!$E$2886)*Sens!K2866)</f>
        <v>35.0145700741196</v>
      </c>
      <c r="L2887" s="1" t="s">
        <v>858</v>
      </c>
    </row>
    <row r="2888" customFormat="false" ht="17.15" hidden="false" customHeight="false" outlineLevel="0" collapsed="false">
      <c r="A2888" s="1" t="s">
        <v>859</v>
      </c>
      <c r="B2888" s="0" t="s">
        <v>98</v>
      </c>
      <c r="F2888" s="6" t="n">
        <f aca="false">IF(internal_ai_reading=2,1,0)*Sens!F2887</f>
        <v>3.68566746486673</v>
      </c>
      <c r="G2888" s="6" t="n">
        <f aca="false">IF(internal_ai_reading=2,1,0)*Sens!G2887</f>
        <v>11.0645237001183</v>
      </c>
      <c r="H2888" s="6" t="n">
        <f aca="false">IF(internal_ai_reading=2,1,0)*Sens!H2887</f>
        <v>19.2103694106308</v>
      </c>
      <c r="I2888" s="6" t="n">
        <f aca="false">IF(internal_ai_reading=2,1,0)*Sens!I2887</f>
        <v>26.6719699407082</v>
      </c>
      <c r="J2888" s="6" t="n">
        <f aca="false">IF(internal_ai_reading=2,1,0)*Sens!J2887</f>
        <v>31.9622325571499</v>
      </c>
      <c r="K2888" s="6" t="n">
        <f aca="false">IF(internal_ai_reading=2,1,0)*Sens!K2887</f>
        <v>35.0145700741196</v>
      </c>
    </row>
    <row r="2889" customFormat="false" ht="17.15" hidden="false" customHeight="false" outlineLevel="0" collapsed="false">
      <c r="A2889" s="0" t="s">
        <v>860</v>
      </c>
      <c r="B2889" s="0" t="s">
        <v>98</v>
      </c>
      <c r="F2889" s="6" t="n">
        <f aca="false">Sens!F2807+Sens!F2886*Sens!F2866+Sens!F2888-Sens!F2808-Sens!F2818</f>
        <v>14.0181855100396</v>
      </c>
      <c r="G2889" s="6" t="n">
        <f aca="false">Sens!G2807+Sens!G2886*Sens!G2866+Sens!G2888-Sens!G2808-Sens!G2818</f>
        <v>18.0557740193215</v>
      </c>
      <c r="H2889" s="6" t="n">
        <f aca="false">Sens!H2807+Sens!H2886*Sens!H2866+Sens!H2888-Sens!H2808-Sens!H2818</f>
        <v>16.8547973201687</v>
      </c>
      <c r="I2889" s="6" t="n">
        <f aca="false">Sens!I2807+Sens!I2886*Sens!I2866+Sens!I2888-Sens!I2808-Sens!I2818</f>
        <v>22.2101903500828</v>
      </c>
      <c r="J2889" s="6" t="n">
        <f aca="false">Sens!J2807+Sens!J2886*Sens!J2866+Sens!J2888-Sens!J2808-Sens!J2818</f>
        <v>25.9186851333925</v>
      </c>
      <c r="K2889" s="6" t="n">
        <f aca="false">Sens!K2807+Sens!K2886*Sens!K2866+Sens!K2888-Sens!K2808-Sens!K2818</f>
        <v>28.8679838305685</v>
      </c>
    </row>
    <row r="2890" customFormat="false" ht="17.15" hidden="false" customHeight="false" outlineLevel="0" collapsed="false">
      <c r="A2890" s="0" t="s">
        <v>861</v>
      </c>
      <c r="B2890" s="0" t="s">
        <v>98</v>
      </c>
      <c r="E2890" s="6" t="n">
        <f aca="false">Sens!E2789*(cxit_open+self_build*tk_cxfac)/1000*ai_net_open</f>
        <v>101.35843056</v>
      </c>
      <c r="F2890" s="6" t="n">
        <f aca="false">Sens!E2890+Sens!F2815-Sens!F2818</f>
        <v>202.384821352409</v>
      </c>
      <c r="G2890" s="6" t="n">
        <f aca="false">Sens!F2890+Sens!G2815-Sens!G2818</f>
        <v>301.94381605056</v>
      </c>
      <c r="H2890" s="6" t="n">
        <f aca="false">Sens!G2890+Sens!H2815-Sens!H2818</f>
        <v>383.319228904231</v>
      </c>
      <c r="I2890" s="6" t="n">
        <f aca="false">Sens!H2890+Sens!I2815-Sens!I2818</f>
        <v>425.799969161713</v>
      </c>
      <c r="J2890" s="6" t="n">
        <f aca="false">Sens!I2890+Sens!J2815-Sens!J2818</f>
        <v>425.146460154832</v>
      </c>
      <c r="K2890" s="6" t="n">
        <f aca="false">Sens!J2890+Sens!K2815-Sens!K2818</f>
        <v>410.967221162258</v>
      </c>
      <c r="L2890" s="1" t="s">
        <v>862</v>
      </c>
    </row>
    <row r="2891" customFormat="false" ht="17.15" hidden="false" customHeight="false" outlineLevel="0" collapsed="false">
      <c r="A2891" s="0" t="s">
        <v>863</v>
      </c>
      <c r="B2891" s="0" t="s">
        <v>129</v>
      </c>
      <c r="F2891" s="7" t="n">
        <f aca="false">Sens!F2889*(1-tax_f)/((Sens!E2890+Sens!F2890)/2)</f>
        <v>0.0738422884289502</v>
      </c>
      <c r="G2891" s="7" t="n">
        <f aca="false">Sens!G2889*(1-tax_f)/((Sens!F2890+Sens!G2890)/2)</f>
        <v>0.0572825659468378</v>
      </c>
      <c r="H2891" s="7" t="n">
        <f aca="false">Sens!H2889*(1-tax_f)/((Sens!G2890+Sens!H2890)/2)</f>
        <v>0.0393537575254027</v>
      </c>
      <c r="I2891" s="7" t="n">
        <f aca="false">Sens!I2889*(1-tax_f)/((Sens!H2890+Sens!I2890)/2)</f>
        <v>0.0439197396935776</v>
      </c>
      <c r="J2891" s="7" t="n">
        <f aca="false">Sens!J2889*(1-tax_f)/((Sens!I2890+Sens!J2890)/2)</f>
        <v>0.048733850668761</v>
      </c>
      <c r="K2891" s="7" t="n">
        <f aca="false">Sens!K2889*(1-tax_f)/((Sens!J2890+Sens!K2890)/2)</f>
        <v>0.0552422178478775</v>
      </c>
    </row>
    <row r="2892" customFormat="false" ht="17.15" hidden="false" customHeight="false" outlineLevel="0" collapsed="false">
      <c r="A2892" s="1" t="s">
        <v>864</v>
      </c>
      <c r="B2892" s="0" t="s">
        <v>129</v>
      </c>
      <c r="F2892" s="7" t="n">
        <f aca="false">(Sens!F2889-Sens!F2888)*(1-tax_f)/((Sens!E2890+Sens!F2890)/2)</f>
        <v>0.054427641661794</v>
      </c>
      <c r="G2892" s="7" t="n">
        <f aca="false">(Sens!G2889-Sens!G2888)*(1-tax_f)/((Sens!F2890+Sens!G2890)/2)</f>
        <v>0.0221799828150295</v>
      </c>
      <c r="H2892" s="7" t="n">
        <f aca="false">(Sens!H2889-Sens!H2888)*(1-tax_f)/((Sens!G2890+Sens!H2890)/2)</f>
        <v>-0.00549995417451411</v>
      </c>
      <c r="I2892" s="7" t="n">
        <f aca="false">(Sens!I2889-Sens!I2888)*(1-tax_f)/((Sens!H2890+Sens!I2890)/2)</f>
        <v>-0.00882298598533423</v>
      </c>
      <c r="J2892" s="7" t="n">
        <f aca="false">(Sens!J2889-Sens!J2888)*(1-tax_f)/((Sens!I2890+Sens!J2890)/2)</f>
        <v>-0.0113634366922231</v>
      </c>
      <c r="K2892" s="7" t="n">
        <f aca="false">(Sens!K2889-Sens!K2888)*(1-tax_f)/((Sens!J2890+Sens!K2890)/2)</f>
        <v>-0.0117622019701793</v>
      </c>
    </row>
    <row r="2893" customFormat="false" ht="17.15" hidden="false" customHeight="false" outlineLevel="0" collapsed="false">
      <c r="A2893" s="1" t="s">
        <v>865</v>
      </c>
      <c r="B2893" s="0" t="s">
        <v>129</v>
      </c>
      <c r="F2893" s="7" t="n">
        <f aca="false">(Sens!F2889-Sens!F2888+Sens!F2887)*(1-tax_f)/((Sens!E2890+Sens!F2890)/2)</f>
        <v>0.0738422884289502</v>
      </c>
      <c r="G2893" s="7" t="n">
        <f aca="false">(Sens!G2889-Sens!G2888+Sens!G2887)*(1-tax_f)/((Sens!F2890+Sens!G2890)/2)</f>
        <v>0.0572825659468378</v>
      </c>
      <c r="H2893" s="7" t="n">
        <f aca="false">(Sens!H2889-Sens!H2888+Sens!H2887)*(1-tax_f)/((Sens!G2890+Sens!H2890)/2)</f>
        <v>0.0393537575254027</v>
      </c>
      <c r="I2893" s="7" t="n">
        <f aca="false">(Sens!I2889-Sens!I2888+Sens!I2887)*(1-tax_f)/((Sens!H2890+Sens!I2890)/2)</f>
        <v>0.0439197396935776</v>
      </c>
      <c r="J2893" s="7" t="n">
        <f aca="false">(Sens!J2889-Sens!J2888+Sens!J2887)*(1-tax_f)/((Sens!I2890+Sens!J2890)/2)</f>
        <v>0.048733850668761</v>
      </c>
      <c r="K2893" s="7" t="n">
        <f aca="false">(Sens!K2889-Sens!K2888+Sens!K2887)*(1-tax_f)/((Sens!J2890+Sens!K2890)/2)</f>
        <v>0.0552422178478775</v>
      </c>
    </row>
    <row r="2894" customFormat="false" ht="17.15" hidden="false" customHeight="false" outlineLevel="0" collapsed="false">
      <c r="A2894" s="1" t="s">
        <v>866</v>
      </c>
      <c r="B2894" s="0" t="s">
        <v>129</v>
      </c>
      <c r="F2894" s="7" t="n">
        <f aca="false">Sens!F2819*(1-tax_f)/(Sens!F2806*(Sens!E2890+Sens!F2890)/2)</f>
        <v>0.102735279953254</v>
      </c>
      <c r="G2894" s="7" t="n">
        <f aca="false">Sens!G2819*(1-tax_f)/(Sens!G2806*(Sens!F2890+Sens!G2890)/2)</f>
        <v>0.0709600152423963</v>
      </c>
      <c r="H2894" s="7" t="n">
        <f aca="false">Sens!H2819*(1-tax_f)/(Sens!H2806*(Sens!G2890+Sens!H2890)/2)</f>
        <v>0.0419126501774915</v>
      </c>
      <c r="I2894" s="7" t="n">
        <f aca="false">Sens!I2819*(1-tax_f)/(Sens!I2806*(Sens!H2890+Sens!I2890)/2)</f>
        <v>0.044576811268173</v>
      </c>
      <c r="J2894" s="7" t="n">
        <f aca="false">Sens!J2819*(1-tax_f)/(Sens!J2806*(Sens!I2890+Sens!J2890)/2)</f>
        <v>0.0483882076863038</v>
      </c>
      <c r="K2894" s="7" t="n">
        <f aca="false">Sens!K2819*(1-tax_f)/(Sens!K2806*(Sens!J2890+Sens!K2890)/2)</f>
        <v>0.0544871874286224</v>
      </c>
    </row>
    <row r="2895" customFormat="false" ht="17.15" hidden="false" customHeight="false" outlineLevel="0" collapsed="false">
      <c r="A2895" s="0" t="s">
        <v>867</v>
      </c>
      <c r="B2895" s="0" t="s">
        <v>209</v>
      </c>
      <c r="F2895" s="7" t="n">
        <f aca="false">Sens!F2891-wacc</f>
        <v>-0.0290921316639255</v>
      </c>
      <c r="G2895" s="7" t="n">
        <f aca="false">Sens!G2891-wacc</f>
        <v>-0.0456518541460379</v>
      </c>
      <c r="H2895" s="7" t="n">
        <f aca="false">Sens!H2891-wacc</f>
        <v>-0.063580662567473</v>
      </c>
      <c r="I2895" s="7" t="n">
        <f aca="false">Sens!I2891-wacc</f>
        <v>-0.0590146803992982</v>
      </c>
      <c r="J2895" s="7" t="n">
        <f aca="false">Sens!J2891-wacc</f>
        <v>-0.0542005694241147</v>
      </c>
      <c r="K2895" s="7" t="n">
        <f aca="false">Sens!K2891-wacc</f>
        <v>-0.0476922022449983</v>
      </c>
    </row>
    <row r="2896" customFormat="false" ht="17.15" hidden="false" customHeight="false" outlineLevel="0" collapsed="false">
      <c r="A2896" s="0" t="s">
        <v>868</v>
      </c>
      <c r="B2896" s="0" t="s">
        <v>98</v>
      </c>
      <c r="F2896" s="6" t="n">
        <f aca="false">Sens!F2889*(1-tax_f)-wacc*(Sens!E2890+Sens!F2890)/2</f>
        <v>-4.41826933833235</v>
      </c>
      <c r="G2896" s="6" t="n">
        <f aca="false">Sens!G2889*(1-tax_f)-wacc*(Sens!F2890+Sens!G2890)/2</f>
        <v>-11.5117686981952</v>
      </c>
      <c r="H2896" s="6" t="n">
        <f aca="false">Sens!H2889*(1-tax_f)-wacc*(Sens!G2890+Sens!H2890)/2</f>
        <v>-21.7847392156148</v>
      </c>
      <c r="I2896" s="6" t="n">
        <f aca="false">Sens!I2889*(1-tax_f)-wacc*(Sens!H2890+Sens!I2890)/2</f>
        <v>-23.8749554393991</v>
      </c>
      <c r="J2896" s="6" t="n">
        <f aca="false">Sens!J2889*(1-tax_f)-wacc*(Sens!I2890+Sens!J2890)/2</f>
        <v>-23.060890509187</v>
      </c>
      <c r="K2896" s="6" t="n">
        <f aca="false">Sens!K2889*(1-tax_f)-wacc*(Sens!J2890+Sens!K2890)/2</f>
        <v>-19.9380513945924</v>
      </c>
    </row>
    <row r="2897" customFormat="false" ht="17.15" hidden="false" customHeight="false" outlineLevel="0" collapsed="false">
      <c r="A2897" s="3" t="s">
        <v>1335</v>
      </c>
    </row>
    <row r="2898" customFormat="false" ht="15" hidden="false" customHeight="false" outlineLevel="0" collapsed="false">
      <c r="A2898" s="4" t="s">
        <v>43</v>
      </c>
      <c r="B2898" s="4" t="s">
        <v>65</v>
      </c>
      <c r="C2898" s="20" t="s">
        <v>799</v>
      </c>
      <c r="D2898" s="20" t="s">
        <v>800</v>
      </c>
      <c r="E2898" s="20" t="s">
        <v>801</v>
      </c>
      <c r="F2898" s="20" t="s">
        <v>802</v>
      </c>
      <c r="G2898" s="20" t="s">
        <v>803</v>
      </c>
      <c r="H2898" s="20" t="s">
        <v>804</v>
      </c>
      <c r="I2898" s="20" t="s">
        <v>805</v>
      </c>
      <c r="J2898" s="20" t="s">
        <v>806</v>
      </c>
      <c r="K2898" s="20" t="s">
        <v>807</v>
      </c>
      <c r="L2898" s="4" t="s">
        <v>47</v>
      </c>
    </row>
    <row r="2899" customFormat="false" ht="15" hidden="false" customHeight="false" outlineLevel="0" collapsed="false">
      <c r="A2899" s="1" t="s">
        <v>925</v>
      </c>
      <c r="B2899" s="0" t="s">
        <v>98</v>
      </c>
      <c r="F2899" s="6" t="n">
        <f aca="false">Sens!F2880</f>
        <v>137.84399601975</v>
      </c>
      <c r="G2899" s="6" t="n">
        <f aca="false">Sens!G2880</f>
        <v>150.686605531801</v>
      </c>
      <c r="H2899" s="6" t="n">
        <f aca="false">Sens!H2880</f>
        <v>158.943716809963</v>
      </c>
      <c r="I2899" s="6" t="n">
        <f aca="false">Sens!I2880</f>
        <v>172.681284534012</v>
      </c>
      <c r="J2899" s="6" t="n">
        <f aca="false">Sens!J2880</f>
        <v>185.935696870914</v>
      </c>
      <c r="K2899" s="6" t="n">
        <f aca="false">Sens!K2880</f>
        <v>198.862256028361</v>
      </c>
    </row>
    <row r="2900" customFormat="false" ht="17.15" hidden="false" customHeight="false" outlineLevel="0" collapsed="false">
      <c r="A2900" s="1" t="s">
        <v>947</v>
      </c>
      <c r="B2900" s="0" t="s">
        <v>98</v>
      </c>
      <c r="E2900" s="6" t="n">
        <f aca="false">Q!M38-Sens!E2818</f>
        <v>25.4896752183333</v>
      </c>
      <c r="F2900" s="6" t="n">
        <f aca="false">Sens!E2900*(1-1/life_nonai)+(Sens!F2907+Sens!F2908)/life_nonai</f>
        <v>30.5340776267827</v>
      </c>
      <c r="G2900" s="6" t="n">
        <f aca="false">Sens!F2900*(1-1/life_nonai)+(Sens!G2907)/life_nonai</f>
        <v>31.5509592211433</v>
      </c>
      <c r="H2900" s="6" t="n">
        <f aca="false">Sens!G2900*(1-1/life_nonai)+(Sens!H2907)/life_nonai</f>
        <v>33.002014663438</v>
      </c>
      <c r="I2900" s="6" t="n">
        <f aca="false">Sens!H2900*(1-1/life_nonai)+(Sens!I2907)/life_nonai</f>
        <v>34.8241532282586</v>
      </c>
      <c r="J2900" s="6" t="n">
        <f aca="false">Sens!I2900*(1-1/life_nonai)+(Sens!J2907)/life_nonai</f>
        <v>36.9373292304701</v>
      </c>
      <c r="K2900" s="6" t="n">
        <f aca="false">Sens!J2900*(1-1/life_nonai)+(Sens!K2907)/life_nonai</f>
        <v>39.2529665816225</v>
      </c>
      <c r="L2900" s="11" t="s">
        <v>948</v>
      </c>
    </row>
    <row r="2901" customFormat="false" ht="17.15" hidden="false" customHeight="false" outlineLevel="0" collapsed="false">
      <c r="A2901" s="1" t="s">
        <v>949</v>
      </c>
      <c r="B2901" s="0" t="s">
        <v>98</v>
      </c>
      <c r="F2901" s="6" t="n">
        <f aca="false">Sens!$F$2908/life_nonai*(1-1/life_nonai)^(Sens!F2784-2027)</f>
        <v>4.05043520732642</v>
      </c>
      <c r="G2901" s="6" t="n">
        <f aca="false">Sens!$F$2908/life_nonai*(1-1/life_nonai)^(Sens!G2784-2027)</f>
        <v>3.64539168659378</v>
      </c>
      <c r="H2901" s="6" t="n">
        <f aca="false">Sens!$F$2908/life_nonai*(1-1/life_nonai)^(Sens!H2784-2027)</f>
        <v>3.2808525179344</v>
      </c>
      <c r="I2901" s="6" t="n">
        <f aca="false">Sens!$F$2908/life_nonai*(1-1/life_nonai)^(Sens!I2784-2027)</f>
        <v>2.95276726614096</v>
      </c>
      <c r="J2901" s="6" t="n">
        <f aca="false">Sens!$F$2908/life_nonai*(1-1/life_nonai)^(Sens!J2784-2027)</f>
        <v>2.65749053952686</v>
      </c>
      <c r="K2901" s="6" t="n">
        <f aca="false">Sens!$F$2908/life_nonai*(1-1/life_nonai)^(Sens!K2784-2027)</f>
        <v>2.39174148557418</v>
      </c>
      <c r="L2901" s="1" t="s">
        <v>950</v>
      </c>
    </row>
    <row r="2902" customFormat="false" ht="17.15" hidden="false" customHeight="false" outlineLevel="0" collapsed="false">
      <c r="A2902" s="1" t="s">
        <v>951</v>
      </c>
      <c r="B2902" s="0" t="s">
        <v>98</v>
      </c>
      <c r="E2902" s="6" t="n">
        <f aca="false">Sens!E2818+Sens!E2900</f>
        <v>38.534</v>
      </c>
      <c r="F2902" s="6" t="n">
        <f aca="false">Sens!F2818+Sens!F2900</f>
        <v>57.7739875315471</v>
      </c>
      <c r="G2902" s="6" t="n">
        <f aca="false">Sens!G2818+Sens!G2900</f>
        <v>78.8513089095522</v>
      </c>
      <c r="H2902" s="6" t="n">
        <f aca="false">Sens!H2818+Sens!H2900</f>
        <v>102.090830538087</v>
      </c>
      <c r="I2902" s="6" t="n">
        <f aca="false">Sens!I2818+Sens!I2900</f>
        <v>123.308748294173</v>
      </c>
      <c r="J2902" s="6" t="n">
        <f aca="false">Sens!J2818+Sens!J2900</f>
        <v>139.335987512745</v>
      </c>
      <c r="K2902" s="6" t="n">
        <f aca="false">Sens!K2818+Sens!K2900</f>
        <v>150.558137817069</v>
      </c>
    </row>
    <row r="2903" customFormat="false" ht="17.15" hidden="false" customHeight="false" outlineLevel="0" collapsed="false">
      <c r="A2903" s="1" t="s">
        <v>952</v>
      </c>
      <c r="B2903" s="0" t="s">
        <v>98</v>
      </c>
      <c r="F2903" s="6" t="n">
        <f aca="false">Sens!F2845*sbc_r</f>
        <v>14.7102349124428</v>
      </c>
      <c r="G2903" s="6" t="n">
        <f aca="false">Sens!G2845*sbc_r</f>
        <v>17.061233875013</v>
      </c>
      <c r="H2903" s="6" t="n">
        <f aca="false">Sens!H2845*sbc_r</f>
        <v>19.2644849659525</v>
      </c>
      <c r="I2903" s="6" t="n">
        <f aca="false">Sens!I2845*sbc_r</f>
        <v>21.5744080153289</v>
      </c>
      <c r="J2903" s="6" t="n">
        <f aca="false">Sens!J2845*sbc_r</f>
        <v>23.5256320135712</v>
      </c>
      <c r="K2903" s="6" t="n">
        <f aca="false">Sens!K2845*sbc_r</f>
        <v>25.1388528865318</v>
      </c>
    </row>
    <row r="2904" customFormat="false" ht="17.15" hidden="false" customHeight="false" outlineLevel="0" collapsed="false">
      <c r="A2904" s="1" t="s">
        <v>953</v>
      </c>
      <c r="B2904" s="0" t="s">
        <v>98</v>
      </c>
      <c r="F2904" s="6" t="n">
        <f aca="false">wc27</f>
        <v>-4.895</v>
      </c>
      <c r="G2904" s="6" t="n">
        <f aca="false">wc_f</f>
        <v>0</v>
      </c>
      <c r="H2904" s="6" t="n">
        <f aca="false">wc_f</f>
        <v>0</v>
      </c>
      <c r="I2904" s="6" t="n">
        <f aca="false">wc_f</f>
        <v>0</v>
      </c>
      <c r="J2904" s="6" t="n">
        <f aca="false">wc_f</f>
        <v>0</v>
      </c>
      <c r="K2904" s="6" t="n">
        <f aca="false">wc_f</f>
        <v>0</v>
      </c>
      <c r="L2904" s="11" t="s">
        <v>954</v>
      </c>
    </row>
    <row r="2905" customFormat="false" ht="15" hidden="false" customHeight="false" outlineLevel="0" collapsed="false">
      <c r="A2905" s="1" t="s">
        <v>767</v>
      </c>
      <c r="B2905" s="0" t="s">
        <v>98</v>
      </c>
      <c r="E2905" s="6" t="n">
        <f aca="false">Q!M35</f>
        <v>182.935</v>
      </c>
      <c r="F2905" s="6" t="n">
        <f aca="false">Sens!F2899+Sens!F2902+Sens!F2903+Sens!F2904</f>
        <v>205.43321846374</v>
      </c>
      <c r="G2905" s="6" t="n">
        <f aca="false">Sens!G2899+Sens!G2902+Sens!G2903+Sens!G2904</f>
        <v>246.599148316366</v>
      </c>
      <c r="H2905" s="6" t="n">
        <f aca="false">Sens!H2899+Sens!H2902+Sens!H2903+Sens!H2904</f>
        <v>280.299032314002</v>
      </c>
      <c r="I2905" s="6" t="n">
        <f aca="false">Sens!I2899+Sens!I2902+Sens!I2903+Sens!I2904</f>
        <v>317.564440843513</v>
      </c>
      <c r="J2905" s="6" t="n">
        <f aca="false">Sens!J2899+Sens!J2902+Sens!J2903+Sens!J2904</f>
        <v>348.79731639723</v>
      </c>
      <c r="K2905" s="6" t="n">
        <f aca="false">Sens!K2899+Sens!K2902+Sens!K2903+Sens!K2904</f>
        <v>374.559246731962</v>
      </c>
    </row>
    <row r="2906" customFormat="false" ht="17.15" hidden="false" customHeight="false" outlineLevel="0" collapsed="false">
      <c r="A2906" s="0" t="s">
        <v>955</v>
      </c>
      <c r="B2906" s="0" t="s">
        <v>98</v>
      </c>
      <c r="F2906" s="6" t="n">
        <f aca="false">Sens!F2815</f>
        <v>128.266300697173</v>
      </c>
      <c r="G2906" s="6" t="n">
        <f aca="false">Sens!G2815</f>
        <v>146.85934438656</v>
      </c>
      <c r="H2906" s="6" t="n">
        <f aca="false">Sens!H2815</f>
        <v>150.46422872832</v>
      </c>
      <c r="I2906" s="6" t="n">
        <f aca="false">Sens!I2815</f>
        <v>130.965335323396</v>
      </c>
      <c r="J2906" s="6" t="n">
        <f aca="false">Sens!J2815</f>
        <v>101.745149275394</v>
      </c>
      <c r="K2906" s="6" t="n">
        <f aca="false">Sens!K2815</f>
        <v>97.1259322428725</v>
      </c>
    </row>
    <row r="2907" customFormat="false" ht="17.15" hidden="false" customHeight="false" outlineLevel="0" collapsed="false">
      <c r="A2907" s="1" t="s">
        <v>956</v>
      </c>
      <c r="B2907" s="0" t="s">
        <v>98</v>
      </c>
      <c r="E2907" s="6" t="n">
        <f aca="false">Sens!E2823*cx_azo+Sens!E2830*cx_m365+Sens!E2831*cx_lic+(Sens!E2833+Sens!E2835)*cx_ind+Sens!E2838*cx_srch+(Sens!E2840+Sens!E2842)*cx_dev</f>
        <v>30.1846587067718</v>
      </c>
      <c r="F2907" s="6" t="n">
        <f aca="false">Sens!F2823*cx_azo+Sens!F2830*cx_m365+Sens!F2831*cx_lic+(Sens!F2833+Sens!F2835)*cx_ind+Sens!F2838*cx_srch+(Sens!F2840+Sens!F2842)*cx_dev</f>
        <v>35.4293472295625</v>
      </c>
      <c r="G2907" s="6" t="n">
        <f aca="false">Sens!G2823*cx_azo+Sens!G2830*cx_m365+Sens!G2831*cx_lic+(Sens!G2833+Sens!G2835)*cx_ind+Sens!G2838*cx_srch+(Sens!G2840+Sens!G2842)*cx_dev</f>
        <v>40.7028935703892</v>
      </c>
      <c r="H2907" s="6" t="n">
        <f aca="false">Sens!H2823*cx_azo+Sens!H2830*cx_m365+Sens!H2831*cx_lic+(Sens!H2833+Sens!H2835)*cx_ind+Sens!H2838*cx_srch+(Sens!H2840+Sens!H2842)*cx_dev</f>
        <v>46.0615136440897</v>
      </c>
      <c r="I2907" s="6" t="n">
        <f aca="false">Sens!I2823*cx_azo+Sens!I2830*cx_m365+Sens!I2831*cx_lic+(Sens!I2833+Sens!I2835)*cx_ind+Sens!I2838*cx_srch+(Sens!I2840+Sens!I2842)*cx_dev</f>
        <v>51.2234003116439</v>
      </c>
      <c r="J2907" s="6" t="n">
        <f aca="false">Sens!J2823*cx_azo+Sens!J2830*cx_m365+Sens!J2831*cx_lic+(Sens!J2833+Sens!J2835)*cx_ind+Sens!J2838*cx_srch+(Sens!J2840+Sens!J2842)*cx_dev</f>
        <v>55.9559132503738</v>
      </c>
      <c r="K2907" s="6" t="n">
        <f aca="false">Sens!K2823*cx_azo+Sens!K2830*cx_m365+Sens!K2831*cx_lic+(Sens!K2833+Sens!K2835)*cx_ind+Sens!K2838*cx_srch+(Sens!K2840+Sens!K2842)*cx_dev</f>
        <v>60.093702741994</v>
      </c>
    </row>
    <row r="2908" customFormat="false" ht="17.15" hidden="false" customHeight="false" outlineLevel="0" collapsed="false">
      <c r="A2908" s="0" t="s">
        <v>957</v>
      </c>
      <c r="B2908" s="0" t="s">
        <v>98</v>
      </c>
      <c r="F2908" s="6" t="n">
        <f aca="false">Sens!F2813</f>
        <v>40.5043520732642</v>
      </c>
      <c r="L2908" s="1" t="s">
        <v>958</v>
      </c>
    </row>
    <row r="2909" customFormat="false" ht="17.15" hidden="false" customHeight="false" outlineLevel="0" collapsed="false">
      <c r="A2909" s="1" t="s">
        <v>959</v>
      </c>
      <c r="B2909" s="0" t="s">
        <v>98</v>
      </c>
      <c r="E2909" s="6" t="n">
        <f aca="false">Q!M42</f>
        <v>145.3</v>
      </c>
      <c r="F2909" s="6" t="n">
        <f aca="false">Sens!F2906+Sens!F2907+Sens!F2908</f>
        <v>204.2</v>
      </c>
      <c r="G2909" s="6" t="n">
        <f aca="false">Sens!G2906+Sens!G2907</f>
        <v>187.562237956949</v>
      </c>
      <c r="H2909" s="6" t="n">
        <f aca="false">Sens!H2906+Sens!H2907</f>
        <v>196.52574237241</v>
      </c>
      <c r="I2909" s="6" t="n">
        <f aca="false">Sens!I2906+Sens!I2907</f>
        <v>182.18873563504</v>
      </c>
      <c r="J2909" s="6" t="n">
        <f aca="false">Sens!J2906+Sens!J2907</f>
        <v>157.701062525768</v>
      </c>
      <c r="K2909" s="6" t="n">
        <f aca="false">Sens!K2906+Sens!K2907</f>
        <v>157.219634984866</v>
      </c>
      <c r="L2909" s="1" t="s">
        <v>960</v>
      </c>
    </row>
    <row r="2910" customFormat="false" ht="15" hidden="false" customHeight="false" outlineLevel="0" collapsed="false">
      <c r="A2910" s="1" t="s">
        <v>961</v>
      </c>
      <c r="B2910" s="0" t="s">
        <v>98</v>
      </c>
      <c r="E2910" s="6" t="n">
        <f aca="false">fl_liab</f>
        <v>66.594</v>
      </c>
      <c r="F2910" s="6" t="n">
        <f aca="false">Sens!E2910-Sens!F2911</f>
        <v>62.46973</v>
      </c>
      <c r="G2910" s="6" t="n">
        <f aca="false">Sens!F2910-Sens!G2911</f>
        <v>57.98686785</v>
      </c>
      <c r="H2910" s="6" t="n">
        <f aca="false">Sens!G2910-Sens!H2911</f>
        <v>53.92827690325</v>
      </c>
      <c r="I2910" s="6" t="n">
        <f aca="false">Sens!H2910-Sens!I2911</f>
        <v>49.7850493638962</v>
      </c>
      <c r="J2910" s="6" t="n">
        <f aca="false">Sens!I2910-Sens!J2911</f>
        <v>45.4823765852716</v>
      </c>
      <c r="K2910" s="6" t="n">
        <f aca="false">Sens!J2910-Sens!K2911</f>
        <v>40.9860835316088</v>
      </c>
    </row>
    <row r="2911" customFormat="false" ht="15" hidden="false" customHeight="false" outlineLevel="0" collapsed="false">
      <c r="A2911" s="1" t="s">
        <v>962</v>
      </c>
      <c r="B2911" s="0" t="s">
        <v>98</v>
      </c>
      <c r="F2911" s="6" t="n">
        <f aca="false">fl_pay_27-Sens!E2910*fl_rate</f>
        <v>4.12427</v>
      </c>
      <c r="G2911" s="6" t="n">
        <f aca="false">fl_pay_28-Sens!F2910*fl_rate</f>
        <v>4.48286215</v>
      </c>
      <c r="H2911" s="6" t="n">
        <f aca="false">fl_pay_29-Sens!G2910*fl_rate</f>
        <v>4.05859094675</v>
      </c>
      <c r="I2911" s="6" t="n">
        <f aca="false">fl_pay_30-Sens!H2910*fl_rate</f>
        <v>4.14322753935375</v>
      </c>
      <c r="J2911" s="6" t="n">
        <f aca="false">fl_pay_31-Sens!I2910*fl_rate</f>
        <v>4.30267277862467</v>
      </c>
      <c r="K2911" s="6" t="n">
        <f aca="false">fl_pay_32-Sens!J2910*fl_rate</f>
        <v>4.49629305366278</v>
      </c>
    </row>
    <row r="2912" customFormat="false" ht="17.15" hidden="false" customHeight="false" outlineLevel="0" collapsed="false">
      <c r="A2912" s="1" t="s">
        <v>963</v>
      </c>
      <c r="B2912" s="0" t="s">
        <v>98</v>
      </c>
      <c r="E2912" s="6" t="n">
        <f aca="false">Q!M35-Q!M36-Q!M43</f>
        <v>63.886</v>
      </c>
      <c r="F2912" s="6" t="n">
        <f aca="false">Sens!F2905-Sens!F2909-Sens!F2911</f>
        <v>-2.89105153625972</v>
      </c>
      <c r="G2912" s="6" t="n">
        <f aca="false">Sens!G2905-Sens!G2909-Sens!G2911</f>
        <v>54.5540482094172</v>
      </c>
      <c r="H2912" s="6" t="n">
        <f aca="false">Sens!H2905-Sens!H2909-Sens!H2911</f>
        <v>79.7146989948422</v>
      </c>
      <c r="I2912" s="6" t="n">
        <f aca="false">Sens!I2905-Sens!I2909-Sens!I2911</f>
        <v>131.232477669119</v>
      </c>
      <c r="J2912" s="6" t="n">
        <f aca="false">Sens!J2905-Sens!J2909-Sens!J2911</f>
        <v>186.793581092838</v>
      </c>
      <c r="K2912" s="6" t="n">
        <f aca="false">Sens!K2905-Sens!K2909-Sens!K2911</f>
        <v>212.843318693432</v>
      </c>
      <c r="L2912" s="11" t="s">
        <v>964</v>
      </c>
    </row>
    <row r="2913" customFormat="false" ht="15" hidden="false" customHeight="false" outlineLevel="0" collapsed="false">
      <c r="A2913" s="1" t="s">
        <v>965</v>
      </c>
      <c r="B2913" s="0" t="s">
        <v>75</v>
      </c>
      <c r="F2913" s="8" t="n">
        <f aca="false">dps_27</f>
        <v>3.85</v>
      </c>
      <c r="G2913" s="8" t="n">
        <f aca="false">Sens!F2913*(1+dps_g)</f>
        <v>4.158</v>
      </c>
      <c r="H2913" s="8" t="n">
        <f aca="false">Sens!G2913*(1+dps_g)</f>
        <v>4.49064</v>
      </c>
      <c r="I2913" s="8" t="n">
        <f aca="false">Sens!H2913*(1+dps_g)</f>
        <v>4.8498912</v>
      </c>
      <c r="J2913" s="8" t="n">
        <f aca="false">Sens!I2913*(1+dps_g)</f>
        <v>5.237882496</v>
      </c>
      <c r="K2913" s="8" t="n">
        <f aca="false">Sens!J2913*(1+dps_g)</f>
        <v>5.65691309568</v>
      </c>
    </row>
    <row r="2914" customFormat="false" ht="17.15" hidden="false" customHeight="false" outlineLevel="0" collapsed="false">
      <c r="A2914" s="1" t="s">
        <v>966</v>
      </c>
      <c r="B2914" s="0" t="s">
        <v>98</v>
      </c>
      <c r="E2914" s="6" t="n">
        <f aca="false">Q!M41</f>
        <v>26.445</v>
      </c>
      <c r="F2914" s="6" t="n">
        <f aca="false">Sens!F2913*Sens!E2923</f>
        <v>28.59395</v>
      </c>
      <c r="G2914" s="6" t="n">
        <f aca="false">Sens!G2913*Sens!F2923</f>
        <v>31.068576</v>
      </c>
      <c r="H2914" s="6" t="n">
        <f aca="false">Sens!H2913*Sens!G2923</f>
        <v>33.5888350159995</v>
      </c>
      <c r="I2914" s="6" t="n">
        <f aca="false">Sens!I2913*Sens!H2923</f>
        <v>36.3268810572789</v>
      </c>
      <c r="J2914" s="6" t="n">
        <f aca="false">Sens!J2913*Sens!I2923</f>
        <v>39.3014303901806</v>
      </c>
      <c r="K2914" s="6" t="n">
        <f aca="false">Sens!K2913*Sens!J2923</f>
        <v>42.5328000467001</v>
      </c>
      <c r="L2914" s="1" t="s">
        <v>967</v>
      </c>
    </row>
    <row r="2915" customFormat="false" ht="15" hidden="false" customHeight="false" outlineLevel="0" collapsed="false">
      <c r="A2915" s="1" t="s">
        <v>968</v>
      </c>
      <c r="B2915" s="0" t="s">
        <v>98</v>
      </c>
      <c r="E2915" s="6" t="n">
        <f aca="false">Sens!E2912-Sens!E2914</f>
        <v>37.441</v>
      </c>
      <c r="F2915" s="6" t="n">
        <f aca="false">Sens!F2912-Sens!F2914</f>
        <v>-31.4850015362597</v>
      </c>
      <c r="G2915" s="6" t="n">
        <f aca="false">Sens!G2912-Sens!G2914</f>
        <v>23.4854722094172</v>
      </c>
      <c r="H2915" s="6" t="n">
        <f aca="false">Sens!H2912-Sens!H2914</f>
        <v>46.1258639788428</v>
      </c>
      <c r="I2915" s="6" t="n">
        <f aca="false">Sens!I2912-Sens!I2914</f>
        <v>94.9055966118405</v>
      </c>
      <c r="J2915" s="6" t="n">
        <f aca="false">Sens!J2912-Sens!J2914</f>
        <v>147.492150702657</v>
      </c>
      <c r="K2915" s="6" t="n">
        <f aca="false">Sens!K2912-Sens!K2914</f>
        <v>170.310518646732</v>
      </c>
    </row>
    <row r="2916" customFormat="false" ht="15" hidden="false" customHeight="false" outlineLevel="0" collapsed="false">
      <c r="A2916" s="1" t="s">
        <v>969</v>
      </c>
      <c r="B2916" s="0" t="s">
        <v>98</v>
      </c>
      <c r="F2916" s="6" t="n">
        <f aca="false">debt_mat_27</f>
        <v>9.25</v>
      </c>
      <c r="G2916" s="6" t="n">
        <f aca="false">debt_mat_28</f>
        <v>0</v>
      </c>
      <c r="H2916" s="6" t="n">
        <f aca="false">debt_mat_29</f>
        <v>2.001</v>
      </c>
      <c r="I2916" s="6" t="n">
        <f aca="false">debt_mat_30</f>
        <v>0</v>
      </c>
      <c r="J2916" s="6" t="n">
        <f aca="false">debt_mat_31</f>
        <v>0.5</v>
      </c>
      <c r="K2916" s="6" t="n">
        <f aca="false">debt_mat_32</f>
        <v>0</v>
      </c>
    </row>
    <row r="2917" customFormat="false" ht="15" hidden="false" customHeight="false" outlineLevel="0" collapsed="false">
      <c r="A2917" s="1" t="s">
        <v>970</v>
      </c>
      <c r="B2917" s="0" t="s">
        <v>98</v>
      </c>
      <c r="E2917" s="6" t="n">
        <f aca="false">Q!M40</f>
        <v>22.271</v>
      </c>
      <c r="F2917" s="6" t="n">
        <f aca="false">MAX(0,MIN(bb_target,Sens!E2919+Sens!F2915-Sens!F2916-min_cash))</f>
        <v>0</v>
      </c>
      <c r="G2917" s="6" t="n">
        <f aca="false">MAX(0,MIN(bb_target,Sens!F2919+Sens!G2915-Sens!G2916-min_cash))</f>
        <v>22.271</v>
      </c>
      <c r="H2917" s="6" t="n">
        <f aca="false">MAX(0,MIN(bb_target,Sens!G2919+Sens!H2915-Sens!H2916-min_cash))</f>
        <v>22.271</v>
      </c>
      <c r="I2917" s="6" t="n">
        <f aca="false">MAX(0,MIN(bb_target,Sens!H2919+Sens!I2915-Sens!I2916-min_cash))</f>
        <v>22.271</v>
      </c>
      <c r="J2917" s="6" t="n">
        <f aca="false">MAX(0,MIN(bb_target,Sens!I2919+Sens!J2915-Sens!J2916-min_cash))</f>
        <v>22.271</v>
      </c>
      <c r="K2917" s="6" t="n">
        <f aca="false">MAX(0,MIN(bb_target,Sens!J2919+Sens!K2915-Sens!K2916-min_cash))</f>
        <v>22.271</v>
      </c>
    </row>
    <row r="2918" customFormat="false" ht="15" hidden="false" customHeight="false" outlineLevel="0" collapsed="false">
      <c r="A2918" s="1" t="s">
        <v>971</v>
      </c>
      <c r="B2918" s="0" t="s">
        <v>98</v>
      </c>
      <c r="F2918" s="6" t="n">
        <f aca="false">MAX(0,min_cash-(Sens!E2919+Sens!F2915-Sens!F2916-Sens!F2917))</f>
        <v>13.8920015362597</v>
      </c>
      <c r="G2918" s="6" t="n">
        <f aca="false">MAX(0,min_cash-(Sens!F2919+Sens!G2915-Sens!G2916-Sens!G2917))</f>
        <v>0</v>
      </c>
      <c r="H2918" s="6" t="n">
        <f aca="false">MAX(0,min_cash-(Sens!G2919+Sens!H2915-Sens!H2916-Sens!H2917))</f>
        <v>0</v>
      </c>
      <c r="I2918" s="6" t="n">
        <f aca="false">MAX(0,min_cash-(Sens!H2919+Sens!I2915-Sens!I2916-Sens!I2917))</f>
        <v>0</v>
      </c>
      <c r="J2918" s="6" t="n">
        <f aca="false">MAX(0,min_cash-(Sens!I2919+Sens!J2915-Sens!J2916-Sens!J2917))</f>
        <v>0</v>
      </c>
      <c r="K2918" s="6" t="n">
        <f aca="false">MAX(0,min_cash-(Sens!J2919+Sens!K2915-Sens!K2916-Sens!K2917))</f>
        <v>0</v>
      </c>
    </row>
    <row r="2919" customFormat="false" ht="15" hidden="false" customHeight="false" outlineLevel="0" collapsed="false">
      <c r="A2919" s="1" t="s">
        <v>972</v>
      </c>
      <c r="B2919" s="0" t="s">
        <v>98</v>
      </c>
      <c r="E2919" s="6" t="n">
        <f aca="false">cash_open</f>
        <v>76.843</v>
      </c>
      <c r="F2919" s="6" t="n">
        <f aca="false">Sens!E2919+Sens!F2915-Sens!F2916-Sens!F2917+Sens!F2918</f>
        <v>50</v>
      </c>
      <c r="G2919" s="6" t="n">
        <f aca="false">Sens!F2919+Sens!G2915-Sens!G2916-Sens!G2917+Sens!G2918</f>
        <v>51.2144722094172</v>
      </c>
      <c r="H2919" s="6" t="n">
        <f aca="false">Sens!G2919+Sens!H2915-Sens!H2916-Sens!H2917+Sens!H2918</f>
        <v>73.06833618826</v>
      </c>
      <c r="I2919" s="6" t="n">
        <f aca="false">Sens!H2919+Sens!I2915-Sens!I2916-Sens!I2917+Sens!I2918</f>
        <v>145.7029328001</v>
      </c>
      <c r="J2919" s="6" t="n">
        <f aca="false">Sens!I2919+Sens!J2915-Sens!J2916-Sens!J2917+Sens!J2918</f>
        <v>270.424083502758</v>
      </c>
      <c r="K2919" s="6" t="n">
        <f aca="false">Sens!J2919+Sens!K2915-Sens!K2916-Sens!K2917+Sens!K2918</f>
        <v>418.46360214949</v>
      </c>
    </row>
    <row r="2920" customFormat="false" ht="15" hidden="false" customHeight="false" outlineLevel="0" collapsed="false">
      <c r="A2920" s="1" t="s">
        <v>973</v>
      </c>
      <c r="B2920" s="0" t="s">
        <v>98</v>
      </c>
      <c r="E2920" s="6" t="n">
        <f aca="false">debt_face</f>
        <v>46.136</v>
      </c>
      <c r="F2920" s="6" t="n">
        <f aca="false">Sens!E2920-Sens!F2916+Sens!F2918</f>
        <v>50.7780015362597</v>
      </c>
      <c r="G2920" s="6" t="n">
        <f aca="false">Sens!F2920-Sens!G2916+Sens!G2918</f>
        <v>50.7780015362597</v>
      </c>
      <c r="H2920" s="6" t="n">
        <f aca="false">Sens!G2920-Sens!H2916+Sens!H2918</f>
        <v>48.7770015362597</v>
      </c>
      <c r="I2920" s="6" t="n">
        <f aca="false">Sens!H2920-Sens!I2916+Sens!I2918</f>
        <v>48.7770015362597</v>
      </c>
      <c r="J2920" s="6" t="n">
        <f aca="false">Sens!I2920-Sens!J2916+Sens!J2918</f>
        <v>48.2770015362597</v>
      </c>
      <c r="K2920" s="6" t="n">
        <f aca="false">Sens!J2920-Sens!K2916+Sens!K2918</f>
        <v>48.2770015362597</v>
      </c>
    </row>
    <row r="2921" customFormat="false" ht="15" hidden="false" customHeight="false" outlineLevel="0" collapsed="false">
      <c r="A2921" s="1" t="s">
        <v>974</v>
      </c>
      <c r="B2921" s="0" t="s">
        <v>98</v>
      </c>
      <c r="E2921" s="6" t="n">
        <f aca="false">Sens!E2919-Sens!E2920</f>
        <v>30.707</v>
      </c>
      <c r="F2921" s="6" t="n">
        <f aca="false">Sens!F2919-Sens!F2920</f>
        <v>-0.778001536259716</v>
      </c>
      <c r="G2921" s="6" t="n">
        <f aca="false">Sens!G2919-Sens!G2920</f>
        <v>0.436470673157508</v>
      </c>
      <c r="H2921" s="6" t="n">
        <f aca="false">Sens!H2919-Sens!H2920</f>
        <v>24.2913346520003</v>
      </c>
      <c r="I2921" s="6" t="n">
        <f aca="false">Sens!I2919-Sens!I2920</f>
        <v>96.9259312638408</v>
      </c>
      <c r="J2921" s="6" t="n">
        <f aca="false">Sens!J2919-Sens!J2920</f>
        <v>222.147081966498</v>
      </c>
      <c r="K2921" s="6" t="n">
        <f aca="false">Sens!K2919-Sens!K2920</f>
        <v>370.18660061323</v>
      </c>
    </row>
    <row r="2922" customFormat="false" ht="15" hidden="false" customHeight="false" outlineLevel="0" collapsed="false">
      <c r="A2922" s="1" t="s">
        <v>975</v>
      </c>
      <c r="B2922" s="0" t="s">
        <v>75</v>
      </c>
      <c r="F2922" s="29" t="n">
        <f aca="false">px*(1+bb_g)^(Sens!F2784-base_fy-mid_yr)</f>
        <v>553.494156066711</v>
      </c>
      <c r="G2922" s="29" t="n">
        <f aca="false">px*(1+bb_g)^(Sens!G2784-base_fy-mid_yr)</f>
        <v>597.773688552047</v>
      </c>
      <c r="H2922" s="29" t="n">
        <f aca="false">px*(1+bb_g)^(Sens!H2784-base_fy-mid_yr)</f>
        <v>645.595583636211</v>
      </c>
      <c r="I2922" s="29" t="n">
        <f aca="false">px*(1+bb_g)^(Sens!I2784-base_fy-mid_yr)</f>
        <v>697.243230327108</v>
      </c>
      <c r="J2922" s="29" t="n">
        <f aca="false">px*(1+bb_g)^(Sens!J2784-base_fy-mid_yr)</f>
        <v>753.022688753277</v>
      </c>
      <c r="K2922" s="29" t="n">
        <f aca="false">px*(1+bb_g)^(Sens!K2784-base_fy-mid_yr)</f>
        <v>813.264503853539</v>
      </c>
    </row>
    <row r="2923" customFormat="false" ht="15" hidden="false" customHeight="false" outlineLevel="0" collapsed="false">
      <c r="A2923" s="1" t="s">
        <v>976</v>
      </c>
      <c r="B2923" s="1" t="s">
        <v>81</v>
      </c>
      <c r="E2923" s="14" t="n">
        <f aca="false">sh_out26</f>
        <v>7.427</v>
      </c>
      <c r="F2923" s="14" t="n">
        <f aca="false">Sens!E2923+sh_iss-Sens!F2917/Sens!F2922</f>
        <v>7.472</v>
      </c>
      <c r="G2923" s="14" t="n">
        <f aca="false">Sens!F2923+sh_iss-Sens!G2917/Sens!G2922</f>
        <v>7.47974342543589</v>
      </c>
      <c r="H2923" s="14" t="n">
        <f aca="false">Sens!G2923+sh_iss-Sens!H2917/Sens!H2922</f>
        <v>7.4902465971358</v>
      </c>
      <c r="I2923" s="14" t="n">
        <f aca="false">Sens!H2923+sh_iss-Sens!I2917/Sens!I2922</f>
        <v>7.50330508945052</v>
      </c>
      <c r="J2923" s="14" t="n">
        <f aca="false">Sens!I2923+sh_iss-Sens!J2917/Sens!J2922</f>
        <v>7.51872961937156</v>
      </c>
      <c r="K2923" s="14" t="n">
        <f aca="false">Sens!J2923+sh_iss-Sens!K2917/Sens!K2922</f>
        <v>7.53634492485401</v>
      </c>
    </row>
    <row r="2924" customFormat="false" ht="15" hidden="false" customHeight="false" outlineLevel="0" collapsed="false">
      <c r="A2924" s="1" t="s">
        <v>977</v>
      </c>
      <c r="B2924" s="1" t="s">
        <v>81</v>
      </c>
      <c r="E2924" s="14" t="n">
        <f aca="false">sh_dil26</f>
        <v>7.453</v>
      </c>
      <c r="F2924" s="14" t="n">
        <f aca="false">(Sens!E2923+Sens!F2923)/2+dil_gap</f>
        <v>7.4735</v>
      </c>
      <c r="G2924" s="14" t="n">
        <f aca="false">(Sens!F2923+Sens!G2923)/2+dil_gap</f>
        <v>7.49987171271795</v>
      </c>
      <c r="H2924" s="14" t="n">
        <f aca="false">(Sens!G2923+Sens!H2923)/2+dil_gap</f>
        <v>7.50899501128585</v>
      </c>
      <c r="I2924" s="14" t="n">
        <f aca="false">(Sens!H2923+Sens!I2923)/2+dil_gap</f>
        <v>7.52077584329316</v>
      </c>
      <c r="J2924" s="14" t="n">
        <f aca="false">(Sens!I2923+Sens!J2923)/2+dil_gap</f>
        <v>7.53501735441104</v>
      </c>
      <c r="K2924" s="14" t="n">
        <f aca="false">(Sens!J2923+Sens!K2923)/2+dil_gap</f>
        <v>7.55153727211278</v>
      </c>
    </row>
    <row r="2925" customFormat="false" ht="17.15" hidden="false" customHeight="false" outlineLevel="0" collapsed="false">
      <c r="A2925" s="1" t="s">
        <v>978</v>
      </c>
      <c r="B2925" s="0" t="s">
        <v>98</v>
      </c>
      <c r="C2925" s="6" t="n">
        <f aca="false">SUM(Sens!F2915:J2915)</f>
        <v>280.524081966498</v>
      </c>
    </row>
    <row r="2926" customFormat="false" ht="15" hidden="false" customHeight="false" outlineLevel="0" collapsed="false">
      <c r="A2926" s="23" t="s">
        <v>945</v>
      </c>
      <c r="B2926" s="30" t="s">
        <v>98</v>
      </c>
      <c r="C2926" s="24" t="n">
        <f aca="false">Sens!$C$2925-(Sens!F2915+Sens!G2915+Sens!H2915+Sens!I2915+Sens!J2915)</f>
        <v>0</v>
      </c>
      <c r="D2926" s="30"/>
      <c r="E2926" s="30"/>
      <c r="F2926" s="30"/>
      <c r="G2926" s="30"/>
      <c r="H2926" s="30"/>
      <c r="I2926" s="30"/>
      <c r="J2926" s="30"/>
      <c r="K2926" s="30"/>
    </row>
    <row r="2927" customFormat="false" ht="17.15" hidden="false" customHeight="false" outlineLevel="0" collapsed="false">
      <c r="A2927" s="1" t="s">
        <v>939</v>
      </c>
      <c r="B2927" s="1" t="s">
        <v>979</v>
      </c>
      <c r="C2927" s="32" t="str">
        <f aca="false">IF(SUM(Sens!F2918:J2918)&gt;0.05,"需要舉債 "&amp;TEXT(SUM(Sens!F2918:J2918),"0.0")&amp;" 十億美元","不需舉債")&amp;"；"&amp;IF(SUM(Sens!F2917:J2917)&lt;COUNT(Sens!F2917:J2917)*bb_target-0.05,"回購較每年 "&amp;TEXT(bb_target,"0.0")&amp;" 的目標少 "&amp;TEXT(COUNT(Sens!F2917:J2917)*bb_target-SUM(Sens!F2917:J2917),"0.0")&amp;" 十億美元（"&amp;TEXT(COUNTIF(Sens!F2917:J2917,"&lt;"&amp;(bb_target-0.05)),"0")&amp;" 年減少）","回購不減")</f>
        <v>需要舉債 13.9 十億美元；回購較每年 22.3 的目標少 22.3 十億美元（1 年減少）</v>
      </c>
    </row>
    <row r="2928" customFormat="false" ht="17.15" hidden="false" customHeight="false" outlineLevel="0" collapsed="false">
      <c r="A2928" s="3" t="s">
        <v>1336</v>
      </c>
    </row>
    <row r="2929" customFormat="false" ht="15" hidden="false" customHeight="false" outlineLevel="0" collapsed="false">
      <c r="A2929" s="4" t="s">
        <v>43</v>
      </c>
      <c r="B2929" s="4" t="s">
        <v>65</v>
      </c>
      <c r="C2929" s="20" t="s">
        <v>799</v>
      </c>
      <c r="D2929" s="20" t="s">
        <v>800</v>
      </c>
      <c r="E2929" s="20" t="s">
        <v>801</v>
      </c>
      <c r="F2929" s="20" t="s">
        <v>802</v>
      </c>
      <c r="G2929" s="20" t="s">
        <v>803</v>
      </c>
      <c r="H2929" s="20" t="s">
        <v>804</v>
      </c>
      <c r="I2929" s="20" t="s">
        <v>805</v>
      </c>
      <c r="J2929" s="20" t="s">
        <v>806</v>
      </c>
      <c r="K2929" s="20" t="s">
        <v>807</v>
      </c>
      <c r="L2929" s="4" t="s">
        <v>47</v>
      </c>
    </row>
    <row r="2930" customFormat="false" ht="15" hidden="false" customHeight="false" outlineLevel="0" collapsed="false">
      <c r="A2930" s="1" t="s">
        <v>1057</v>
      </c>
      <c r="B2930" s="1" t="s">
        <v>235</v>
      </c>
      <c r="F2930" s="36" t="n">
        <f aca="false">Sens!F2784-base_fy-mid_yr</f>
        <v>0.5</v>
      </c>
      <c r="G2930" s="36" t="n">
        <f aca="false">Sens!G2784-base_fy-mid_yr</f>
        <v>1.5</v>
      </c>
      <c r="H2930" s="36" t="n">
        <f aca="false">Sens!H2784-base_fy-mid_yr</f>
        <v>2.5</v>
      </c>
      <c r="I2930" s="36" t="n">
        <f aca="false">Sens!I2784-base_fy-mid_yr</f>
        <v>3.5</v>
      </c>
      <c r="J2930" s="36" t="n">
        <f aca="false">Sens!J2784-base_fy-mid_yr</f>
        <v>4.5</v>
      </c>
      <c r="K2930" s="36" t="n">
        <f aca="false">Sens!K2784-base_fy-mid_yr</f>
        <v>5.5</v>
      </c>
    </row>
    <row r="2931" customFormat="false" ht="15" hidden="false" customHeight="false" outlineLevel="0" collapsed="false">
      <c r="A2931" s="1" t="s">
        <v>1058</v>
      </c>
      <c r="B2931" s="0" t="s">
        <v>185</v>
      </c>
      <c r="F2931" s="14" t="n">
        <f aca="false">1/(1+wacc)^Sens!F2930</f>
        <v>0.952193373608246</v>
      </c>
      <c r="G2931" s="14" t="n">
        <f aca="false">1/(1+wacc)^Sens!G2930</f>
        <v>0.863327280626589</v>
      </c>
      <c r="H2931" s="14" t="n">
        <f aca="false">1/(1+wacc)^Sens!H2930</f>
        <v>0.782754862754115</v>
      </c>
      <c r="I2931" s="14" t="n">
        <f aca="false">1/(1+wacc)^Sens!I2930</f>
        <v>0.709702089711011</v>
      </c>
      <c r="J2931" s="14" t="n">
        <f aca="false">1/(1+wacc)^Sens!J2930</f>
        <v>0.643467169744551</v>
      </c>
      <c r="K2931" s="14" t="n">
        <f aca="false">1/(1+wacc)^Sens!K2930</f>
        <v>0.583413807767797</v>
      </c>
    </row>
    <row r="2932" customFormat="false" ht="17.15" hidden="false" customHeight="false" outlineLevel="0" collapsed="false">
      <c r="A2932" s="1" t="s">
        <v>1059</v>
      </c>
      <c r="B2932" s="0" t="s">
        <v>98</v>
      </c>
      <c r="F2932" s="6" t="n">
        <f aca="false">Sens!F2905-Sens!F2903-Sens!F2909+Sens!F2888*(1-tax_f)</f>
        <v>-10.5284824768091</v>
      </c>
      <c r="G2932" s="6" t="n">
        <f aca="false">Sens!G2905-Sens!G2903-Sens!G2909+Sens!G2888*(1-tax_f)</f>
        <v>50.8272954444989</v>
      </c>
      <c r="H2932" s="6" t="n">
        <f aca="false">Sens!H2905-Sens!H2903-Sens!H2909+Sens!H2888*(1-tax_f)</f>
        <v>79.8771005041444</v>
      </c>
      <c r="I2932" s="6" t="n">
        <f aca="false">Sens!I2905-Sens!I2903-Sens!I2909+Sens!I2888*(1-tax_f)</f>
        <v>135.138873145711</v>
      </c>
      <c r="J2932" s="6" t="n">
        <f aca="false">Sens!J2905-Sens!J2903-Sens!J2909+Sens!J2888*(1-tax_f)</f>
        <v>193.140407903611</v>
      </c>
      <c r="K2932" s="6" t="n">
        <f aca="false">Sens!K2905-Sens!K2903-Sens!K2909+Sens!K2888*(1-tax_f)</f>
        <v>220.212414919859</v>
      </c>
      <c r="L2932" s="1" t="s">
        <v>1060</v>
      </c>
    </row>
    <row r="2933" customFormat="false" ht="15" hidden="false" customHeight="false" outlineLevel="0" collapsed="false">
      <c r="A2933" s="1" t="s">
        <v>1061</v>
      </c>
      <c r="B2933" s="0" t="s">
        <v>98</v>
      </c>
      <c r="F2933" s="6" t="n">
        <f aca="false">Sens!F2932*Sens!F2931</f>
        <v>-10.0251512485681</v>
      </c>
      <c r="G2933" s="6" t="n">
        <f aca="false">Sens!G2932*Sens!G2931</f>
        <v>43.8805907577035</v>
      </c>
      <c r="H2933" s="6" t="n">
        <f aca="false">Sens!H2932*Sens!H2931</f>
        <v>62.5241888423182</v>
      </c>
      <c r="I2933" s="6" t="n">
        <f aca="false">Sens!I2932*Sens!I2931</f>
        <v>95.9083406727021</v>
      </c>
      <c r="J2933" s="6" t="n">
        <f aca="false">Sens!J2932*Sens!J2931</f>
        <v>124.279511637045</v>
      </c>
      <c r="K2933" s="6" t="n">
        <f aca="false">Sens!K2932*Sens!K2931</f>
        <v>128.474963506137</v>
      </c>
    </row>
    <row r="2934" customFormat="false" ht="17.15" hidden="false" customHeight="false" outlineLevel="0" collapsed="false">
      <c r="A2934" s="1" t="s">
        <v>1062</v>
      </c>
      <c r="B2934" s="0" t="s">
        <v>98</v>
      </c>
      <c r="C2934" s="6" t="n">
        <f aca="false">SUM(Sens!F2933:K2933)</f>
        <v>445.042444167337</v>
      </c>
    </row>
    <row r="2935" customFormat="false" ht="17.15" hidden="false" customHeight="false" outlineLevel="0" collapsed="false">
      <c r="A2935" s="1" t="s">
        <v>1063</v>
      </c>
      <c r="B2935" s="0" t="s">
        <v>98</v>
      </c>
      <c r="C2935" s="6" t="n">
        <f aca="false">Sens!K2874*(1+g_tv)*(1-tax_f)</f>
        <v>234.009729450286</v>
      </c>
    </row>
    <row r="2936" customFormat="false" ht="17.15" hidden="false" customHeight="false" outlineLevel="0" collapsed="false">
      <c r="A2936" s="1" t="s">
        <v>1064</v>
      </c>
      <c r="B2936" s="0" t="s">
        <v>98</v>
      </c>
      <c r="C2936" s="6" t="n">
        <f aca="false">Sens!$C$2935*(1-g_tv/(wacc+ronic_prem))</f>
        <v>165.808131994602</v>
      </c>
    </row>
    <row r="2937" customFormat="false" ht="17.15" hidden="false" customHeight="false" outlineLevel="0" collapsed="false">
      <c r="A2937" s="1" t="s">
        <v>1065</v>
      </c>
      <c r="B2937" s="0" t="s">
        <v>98</v>
      </c>
      <c r="C2937" s="6" t="n">
        <f aca="false">Sens!$C$2936/(wacc-g_tv)</f>
        <v>2273.38658185614</v>
      </c>
    </row>
    <row r="2938" customFormat="false" ht="15" hidden="false" customHeight="false" outlineLevel="0" collapsed="false">
      <c r="A2938" s="1" t="s">
        <v>1066</v>
      </c>
      <c r="B2938" s="0" t="s">
        <v>98</v>
      </c>
      <c r="C2938" s="6" t="n">
        <f aca="false">Sens!$C$2937/(1+wacc)^(Sens!K2930+mid_yr)</f>
        <v>1262.91799265555</v>
      </c>
    </row>
    <row r="2939" customFormat="false" ht="17.15" hidden="false" customHeight="false" outlineLevel="0" collapsed="false">
      <c r="A2939" s="0" t="s">
        <v>986</v>
      </c>
      <c r="B2939" s="0" t="s">
        <v>98</v>
      </c>
      <c r="C2939" s="6" t="n">
        <f aca="false">Sens!$C$2934+Sens!$C$2938</f>
        <v>1707.96043682289</v>
      </c>
    </row>
    <row r="2940" customFormat="false" ht="15" hidden="false" customHeight="false" outlineLevel="0" collapsed="false">
      <c r="A2940" s="1" t="s">
        <v>987</v>
      </c>
      <c r="B2940" s="0" t="s">
        <v>129</v>
      </c>
      <c r="C2940" s="7" t="n">
        <f aca="false">Sens!$C$2938/Sens!$C$2939</f>
        <v>0.739430472408837</v>
      </c>
    </row>
    <row r="2941" customFormat="false" ht="17.15" hidden="false" customHeight="false" outlineLevel="0" collapsed="false">
      <c r="A2941" s="1" t="s">
        <v>1067</v>
      </c>
      <c r="B2941" s="0" t="s">
        <v>98</v>
      </c>
      <c r="C2941" s="6" t="n">
        <f aca="false">Sens!$C$2939+Sens!E2921-Sens!E2910+oai_v</f>
        <v>1842.47343682289</v>
      </c>
    </row>
    <row r="2942" customFormat="false" ht="17.15" hidden="false" customHeight="false" outlineLevel="0" collapsed="false">
      <c r="A2942" s="0" t="s">
        <v>994</v>
      </c>
      <c r="B2942" s="0" t="s">
        <v>75</v>
      </c>
      <c r="C2942" s="5" t="n">
        <f aca="false">Sens!$C$2941/sh_dil26</f>
        <v>247.21232212839</v>
      </c>
    </row>
    <row r="2943" customFormat="false" ht="15" hidden="false" customHeight="false" outlineLevel="0" collapsed="false">
      <c r="A2943" s="1" t="s">
        <v>1068</v>
      </c>
      <c r="B2943" s="0" t="s">
        <v>75</v>
      </c>
      <c r="C2943" s="8" t="n">
        <f aca="false">dps_27+Sens!G2913*roll_div_q/q_per_yr</f>
        <v>4.8895</v>
      </c>
    </row>
    <row r="2944" customFormat="false" ht="17.15" hidden="false" customHeight="false" outlineLevel="0" collapsed="false">
      <c r="A2944" s="0" t="s">
        <v>1069</v>
      </c>
      <c r="B2944" s="0" t="s">
        <v>75</v>
      </c>
      <c r="C2944" s="5" t="n">
        <f aca="false">Sens!$C$2942*(1+wacc)^t_roll-Sens!$C$2943</f>
        <v>276.619425509791</v>
      </c>
    </row>
    <row r="2945" customFormat="false" ht="17.15" hidden="false" customHeight="false" outlineLevel="0" collapsed="false">
      <c r="A2945" s="1" t="s">
        <v>1070</v>
      </c>
      <c r="B2945" s="0" t="s">
        <v>129</v>
      </c>
      <c r="F2945" s="7" t="n">
        <f aca="false">Sens!F2900/(Sens!F2845-Sens!F2801)</f>
        <v>0.0890613747019338</v>
      </c>
      <c r="G2945" s="7" t="n">
        <f aca="false">Sens!G2900/(Sens!G2845-Sens!G2801)</f>
        <v>0.0827572779675723</v>
      </c>
      <c r="H2945" s="7" t="n">
        <f aca="false">Sens!H2900/(Sens!H2845-Sens!H2801)</f>
        <v>0.0784944658745575</v>
      </c>
      <c r="I2945" s="7" t="n">
        <f aca="false">Sens!I2900/(Sens!I2845-Sens!I2801)</f>
        <v>0.075965875363016</v>
      </c>
      <c r="J2945" s="7" t="n">
        <f aca="false">Sens!J2900/(Sens!J2845-Sens!J2801)</f>
        <v>0.0748000587443862</v>
      </c>
      <c r="K2945" s="7" t="n">
        <f aca="false">Sens!K2900/(Sens!K2845-Sens!K2801)</f>
        <v>0.0746302519722342</v>
      </c>
    </row>
    <row r="2946" customFormat="false" ht="17.15" hidden="false" customHeight="false" outlineLevel="0" collapsed="false">
      <c r="A2946" s="0" t="s">
        <v>1071</v>
      </c>
      <c r="B2946" s="0" t="s">
        <v>98</v>
      </c>
      <c r="F2946" s="6" t="n">
        <f aca="false">Sens!F2830*(al_m365+Sens!F2945+sbc_r)</f>
        <v>85.2789911413029</v>
      </c>
      <c r="G2946" s="6" t="n">
        <f aca="false">Sens!G2830*(al_m365+Sens!G2945+sbc_r)</f>
        <v>95.4503394540431</v>
      </c>
      <c r="H2946" s="6" t="n">
        <f aca="false">Sens!H2830*(al_m365+Sens!H2945+sbc_r)</f>
        <v>105.790420392796</v>
      </c>
      <c r="I2946" s="6" t="n">
        <f aca="false">Sens!I2830*(al_m365+Sens!I2945+sbc_r)</f>
        <v>115.622392058311</v>
      </c>
      <c r="J2946" s="6" t="n">
        <f aca="false">Sens!J2830*(al_m365+Sens!J2945+sbc_r)</f>
        <v>124.762080606633</v>
      </c>
      <c r="K2946" s="6" t="n">
        <f aca="false">Sens!K2830*(al_m365+Sens!K2945+sbc_r)</f>
        <v>133.522337794294</v>
      </c>
      <c r="L2946" s="11" t="s">
        <v>1072</v>
      </c>
    </row>
    <row r="2947" customFormat="false" ht="17.15" hidden="false" customHeight="false" outlineLevel="0" collapsed="false">
      <c r="A2947" s="0" t="s">
        <v>1073</v>
      </c>
      <c r="B2947" s="0" t="s">
        <v>98</v>
      </c>
      <c r="F2947" s="6" t="n">
        <f aca="false">Sens!F2831*(al_lic+Sens!F2945+sbc_r)</f>
        <v>34.2444915622657</v>
      </c>
      <c r="G2947" s="6" t="n">
        <f aca="false">Sens!G2831*(al_lic+Sens!G2945+sbc_r)</f>
        <v>35.4378059539019</v>
      </c>
      <c r="H2947" s="6" t="n">
        <f aca="false">Sens!H2831*(al_lic+Sens!H2945+sbc_r)</f>
        <v>36.5604451899764</v>
      </c>
      <c r="I2947" s="6" t="n">
        <f aca="false">Sens!I2831*(al_lic+Sens!I2945+sbc_r)</f>
        <v>37.5900183145374</v>
      </c>
      <c r="J2947" s="6" t="n">
        <f aca="false">Sens!J2831*(al_lic+Sens!J2945+sbc_r)</f>
        <v>38.4997410664519</v>
      </c>
      <c r="K2947" s="6" t="n">
        <f aca="false">Sens!K2831*(al_lic+Sens!K2945+sbc_r)</f>
        <v>39.2620017178415</v>
      </c>
    </row>
    <row r="2948" customFormat="false" ht="17.15" hidden="false" customHeight="false" outlineLevel="0" collapsed="false">
      <c r="A2948" s="0" t="s">
        <v>1074</v>
      </c>
      <c r="B2948" s="0" t="s">
        <v>98</v>
      </c>
      <c r="F2948" s="6" t="n">
        <f aca="false">Sens!F2833*(al_ind+Sens!F2945+sbc_r)</f>
        <v>9.5341015894262</v>
      </c>
      <c r="G2948" s="6" t="n">
        <f aca="false">Sens!G2833*(al_ind+Sens!G2945+sbc_r)</f>
        <v>10.2678873948465</v>
      </c>
      <c r="H2948" s="6" t="n">
        <f aca="false">Sens!H2833*(al_ind+Sens!H2945+sbc_r)</f>
        <v>11.0514357705707</v>
      </c>
      <c r="I2948" s="6" t="n">
        <f aca="false">Sens!I2833*(al_ind+Sens!I2945+sbc_r)</f>
        <v>11.8801377940582</v>
      </c>
      <c r="J2948" s="6" t="n">
        <f aca="false">Sens!J2833*(al_ind+Sens!J2945+sbc_r)</f>
        <v>12.744380113765</v>
      </c>
      <c r="K2948" s="6" t="n">
        <f aca="false">Sens!K2833*(al_ind+Sens!K2945+sbc_r)</f>
        <v>13.6308689020011</v>
      </c>
    </row>
    <row r="2949" customFormat="false" ht="17.15" hidden="false" customHeight="false" outlineLevel="0" collapsed="false">
      <c r="A2949" s="0" t="s">
        <v>1075</v>
      </c>
      <c r="B2949" s="0" t="s">
        <v>98</v>
      </c>
      <c r="F2949" s="6" t="n">
        <f aca="false">Sens!F2835*(al_fro+Sens!F2945+sbc_r)</f>
        <v>3.7526558579309</v>
      </c>
      <c r="G2949" s="6" t="n">
        <f aca="false">Sens!G2835*(al_fro+Sens!G2945+sbc_r)</f>
        <v>3.9422617049358</v>
      </c>
      <c r="H2949" s="6" t="n">
        <f aca="false">Sens!H2835*(al_fro+Sens!H2945+sbc_r)</f>
        <v>4.16455926196374</v>
      </c>
      <c r="I2949" s="6" t="n">
        <f aca="false">Sens!I2835*(al_fro+Sens!I2945+sbc_r)</f>
        <v>4.42130377122016</v>
      </c>
      <c r="J2949" s="6" t="n">
        <f aca="false">Sens!J2835*(al_fro+Sens!J2945+sbc_r)</f>
        <v>4.71336153168929</v>
      </c>
      <c r="K2949" s="6" t="n">
        <f aca="false">Sens!K2835*(al_fro+Sens!K2945+sbc_r)</f>
        <v>5.04121915327992</v>
      </c>
    </row>
    <row r="2950" customFormat="false" ht="17.15" hidden="false" customHeight="false" outlineLevel="0" collapsed="false">
      <c r="A2950" s="0" t="s">
        <v>1076</v>
      </c>
      <c r="B2950" s="0" t="s">
        <v>98</v>
      </c>
      <c r="F2950" s="6" t="n">
        <f aca="false">Sens!F2838*(al_srch+Sens!F2945+sbc_r)</f>
        <v>11.7747532121365</v>
      </c>
      <c r="G2950" s="6" t="n">
        <f aca="false">Sens!G2838*(al_srch+Sens!G2945+sbc_r)</f>
        <v>12.8006393470549</v>
      </c>
      <c r="H2950" s="6" t="n">
        <f aca="false">Sens!H2838*(al_srch+Sens!H2945+sbc_r)</f>
        <v>13.8754786222483</v>
      </c>
      <c r="I2950" s="6" t="n">
        <f aca="false">Sens!I2838*(al_srch+Sens!I2945+sbc_r)</f>
        <v>14.9870651958248</v>
      </c>
      <c r="J2950" s="6" t="n">
        <f aca="false">Sens!J2838*(al_srch+Sens!J2945+sbc_r)</f>
        <v>16.1158619619067</v>
      </c>
      <c r="K2950" s="6" t="n">
        <f aca="false">Sens!K2838*(al_srch+Sens!K2945+sbc_r)</f>
        <v>17.2368683046601</v>
      </c>
    </row>
    <row r="2951" customFormat="false" ht="17.15" hidden="false" customHeight="false" outlineLevel="0" collapsed="false">
      <c r="A2951" s="0" t="s">
        <v>1077</v>
      </c>
      <c r="B2951" s="0" t="s">
        <v>98</v>
      </c>
      <c r="F2951" s="6" t="n">
        <f aca="false">Sens!F2807-Sens!F2808+Sens!F2888</f>
        <v>35.4765477521538</v>
      </c>
      <c r="G2951" s="6" t="n">
        <f aca="false">Sens!G2807-Sens!G2808+Sens!G2888</f>
        <v>57.9227052843229</v>
      </c>
      <c r="H2951" s="6" t="n">
        <f aca="false">Sens!H2807-Sens!H2808+Sens!H2888</f>
        <v>76.8583240106529</v>
      </c>
      <c r="I2951" s="6" t="n">
        <f aca="false">Sens!I2807-Sens!I2808+Sens!I2888</f>
        <v>100.370593161264</v>
      </c>
      <c r="J2951" s="6" t="n">
        <f aca="false">Sens!J2807-Sens!J2808+Sens!J2888</f>
        <v>117.167215780556</v>
      </c>
      <c r="K2951" s="6" t="n">
        <f aca="false">Sens!K2807-Sens!K2808+Sens!K2888</f>
        <v>128.197092050525</v>
      </c>
    </row>
    <row r="2952" customFormat="false" ht="17.15" hidden="false" customHeight="false" outlineLevel="0" collapsed="false">
      <c r="A2952" s="0" t="s">
        <v>1078</v>
      </c>
      <c r="B2952" s="0" t="s">
        <v>98</v>
      </c>
      <c r="F2952" s="6" t="n">
        <f aca="false">Sens!F2867+Sens!F2888+Sens!F2818+Sens!F2945*(Sens!F2837-Sens!F2801)+sbc_r*Sens!F2837</f>
        <v>221.34267410027</v>
      </c>
      <c r="G2952" s="6" t="n">
        <f aca="false">Sens!G2867+Sens!G2888+Sens!G2818+Sens!G2945*(Sens!G2837-Sens!G2801)+sbc_r*Sens!G2837</f>
        <v>267.787827003001</v>
      </c>
      <c r="H2952" s="6" t="n">
        <f aca="false">Sens!H2867+Sens!H2888+Sens!H2818+Sens!H2945*(Sens!H2837-Sens!H2801)+sbc_r*Sens!H2837</f>
        <v>310.973774087048</v>
      </c>
      <c r="I2952" s="6" t="n">
        <f aca="false">Sens!I2867+Sens!I2888+Sens!I2818+Sens!I2945*(Sens!I2837-Sens!I2801)+sbc_r*Sens!I2837</f>
        <v>358.145298392585</v>
      </c>
      <c r="J2952" s="6" t="n">
        <f aca="false">Sens!J2867+Sens!J2888+Sens!J2818+Sens!J2945*(Sens!J2837-Sens!J2801)+sbc_r*Sens!J2837</f>
        <v>396.767344412785</v>
      </c>
      <c r="K2952" s="6" t="n">
        <f aca="false">Sens!K2867+Sens!K2888+Sens!K2818+Sens!K2945*(Sens!K2837-Sens!K2801)+sbc_r*Sens!K2837</f>
        <v>427.410776511649</v>
      </c>
    </row>
    <row r="2953" customFormat="false" ht="17.15" hidden="false" customHeight="false" outlineLevel="0" collapsed="false">
      <c r="A2953" s="0" t="s">
        <v>1079</v>
      </c>
      <c r="B2953" s="0" t="s">
        <v>98</v>
      </c>
      <c r="F2953" s="6" t="n">
        <f aca="false">Sens!F2952-Sens!F2946-Sens!F2947-Sens!F2948-Sens!F2949-Sens!F2951</f>
        <v>53.0558861971908</v>
      </c>
      <c r="G2953" s="6" t="n">
        <f aca="false">Sens!G2952-Sens!G2946-Sens!G2947-Sens!G2948-Sens!G2949-Sens!G2951</f>
        <v>64.7668272109506</v>
      </c>
      <c r="H2953" s="6" t="n">
        <f aca="false">Sens!H2952-Sens!H2946-Sens!H2947-Sens!H2948-Sens!H2949-Sens!H2951</f>
        <v>76.5485894610879</v>
      </c>
      <c r="I2953" s="6" t="n">
        <f aca="false">Sens!I2952-Sens!I2946-Sens!I2947-Sens!I2948-Sens!I2949-Sens!I2951</f>
        <v>88.2608532931946</v>
      </c>
      <c r="J2953" s="6" t="n">
        <f aca="false">Sens!J2952-Sens!J2946-Sens!J2947-Sens!J2948-Sens!J2949-Sens!J2951</f>
        <v>98.8805653136895</v>
      </c>
      <c r="K2953" s="6" t="n">
        <f aca="false">Sens!K2952-Sens!K2946-Sens!K2947-Sens!K2948-Sens!K2949-Sens!K2951</f>
        <v>107.757256893708</v>
      </c>
    </row>
    <row r="2954" customFormat="false" ht="17.15" hidden="false" customHeight="false" outlineLevel="0" collapsed="false">
      <c r="A2954" s="0" t="s">
        <v>1080</v>
      </c>
      <c r="B2954" s="0" t="s">
        <v>98</v>
      </c>
      <c r="F2954" s="6" t="n">
        <f aca="false">Sens!F2869+Sens!F2945*Sens!F2844+sbc_r*Sens!F2844</f>
        <v>27.5322108332744</v>
      </c>
      <c r="G2954" s="6" t="n">
        <f aca="false">Sens!G2869+Sens!G2945*Sens!G2844+sbc_r*Sens!G2844</f>
        <v>27.9474963964344</v>
      </c>
      <c r="H2954" s="6" t="n">
        <f aca="false">Sens!H2869+Sens!H2945*Sens!H2844+sbc_r*Sens!H2844</f>
        <v>28.6715568400756</v>
      </c>
      <c r="I2954" s="6" t="n">
        <f aca="false">Sens!I2869+Sens!I2945*Sens!I2844+sbc_r*Sens!I2844</f>
        <v>29.6614335251393</v>
      </c>
      <c r="J2954" s="6" t="n">
        <f aca="false">Sens!J2869+Sens!J2945*Sens!J2844+sbc_r*Sens!J2844</f>
        <v>30.8761287593235</v>
      </c>
      <c r="K2954" s="6" t="n">
        <f aca="false">Sens!K2869+Sens!K2945*Sens!K2844+sbc_r*Sens!K2844</f>
        <v>32.2786043015221</v>
      </c>
    </row>
    <row r="2955" customFormat="false" ht="17.15" hidden="false" customHeight="false" outlineLevel="0" collapsed="false">
      <c r="A2955" s="0" t="s">
        <v>1081</v>
      </c>
      <c r="B2955" s="0" t="s">
        <v>98</v>
      </c>
      <c r="F2955" s="6" t="n">
        <f aca="false">(Sens!F2954-Sens!F2950)*Sens!F2840/(Sens!F2840+Sens!F2842)</f>
        <v>8.63808479249447</v>
      </c>
      <c r="G2955" s="6" t="n">
        <f aca="false">(Sens!G2954-Sens!G2950)*Sens!G2840/(Sens!G2840+Sens!G2842)</f>
        <v>8.15531112807622</v>
      </c>
      <c r="H2955" s="6" t="n">
        <f aca="false">(Sens!H2954-Sens!H2950)*Sens!H2840/(Sens!H2840+Sens!H2842)</f>
        <v>7.85883279654042</v>
      </c>
      <c r="I2955" s="6" t="n">
        <f aca="false">(Sens!I2954-Sens!I2950)*Sens!I2840/(Sens!I2840+Sens!I2842)</f>
        <v>7.72366553871266</v>
      </c>
      <c r="J2955" s="6" t="n">
        <f aca="false">(Sens!J2954-Sens!J2950)*Sens!J2840/(Sens!J2840+Sens!J2842)</f>
        <v>7.73374651998001</v>
      </c>
      <c r="K2955" s="6" t="n">
        <f aca="false">(Sens!K2954-Sens!K2950)*Sens!K2840/(Sens!K2840+Sens!K2842)</f>
        <v>7.88122430419401</v>
      </c>
    </row>
    <row r="2956" customFormat="false" ht="17.15" hidden="false" customHeight="false" outlineLevel="0" collapsed="false">
      <c r="A2956" s="0" t="s">
        <v>1082</v>
      </c>
      <c r="B2956" s="0" t="s">
        <v>98</v>
      </c>
      <c r="F2956" s="6" t="n">
        <f aca="false">Sens!F2954-Sens!F2950-Sens!F2955</f>
        <v>7.1193728286435</v>
      </c>
      <c r="G2956" s="6" t="n">
        <f aca="false">Sens!G2954-Sens!G2950-Sens!G2955</f>
        <v>6.99154592130326</v>
      </c>
      <c r="H2956" s="6" t="n">
        <f aca="false">Sens!H2954-Sens!H2950-Sens!H2955</f>
        <v>6.93724542128695</v>
      </c>
      <c r="I2956" s="6" t="n">
        <f aca="false">Sens!I2954-Sens!I2950-Sens!I2955</f>
        <v>6.95070279060184</v>
      </c>
      <c r="J2956" s="6" t="n">
        <f aca="false">Sens!J2954-Sens!J2950-Sens!J2955</f>
        <v>7.02652027743678</v>
      </c>
      <c r="K2956" s="6" t="n">
        <f aca="false">Sens!K2954-Sens!K2950-Sens!K2955</f>
        <v>7.16051169266793</v>
      </c>
    </row>
    <row r="2957" customFormat="false" ht="17.15" hidden="false" customHeight="false" outlineLevel="0" collapsed="false">
      <c r="A2957" s="0" t="s">
        <v>1083</v>
      </c>
      <c r="B2957" s="0" t="s">
        <v>98</v>
      </c>
      <c r="F2957" s="6" t="n">
        <f aca="false">Sens!F2951-tax_f*(Sens!F2951-Sens!F2818)-Sens!F2815</f>
        <v>-94.4370805144974</v>
      </c>
      <c r="G2957" s="6" t="n">
        <f aca="false">Sens!G2951-tax_f*(Sens!G2951-Sens!G2818)-Sens!G2815</f>
        <v>-91.0611102214199</v>
      </c>
      <c r="H2957" s="6" t="n">
        <f aca="false">Sens!H2951-tax_f*(Sens!H2951-Sens!H2818)-Sens!H2815</f>
        <v>-75.1598063448679</v>
      </c>
      <c r="I2957" s="6" t="n">
        <f aca="false">Sens!I2951-tax_f*(Sens!I2951-Sens!I2818)-Sens!I2815</f>
        <v>-32.971941781202</v>
      </c>
      <c r="J2957" s="6" t="n">
        <f aca="false">Sens!J2951-tax_f*(Sens!J2951-Sens!J2818)-Sens!J2815</f>
        <v>12.4683550055058</v>
      </c>
      <c r="K2957" s="6" t="n">
        <f aca="false">Sens!K2951-tax_f*(Sens!K2951-Sens!K2818)-Sens!K2815</f>
        <v>27.6927756446368</v>
      </c>
    </row>
    <row r="2958" customFormat="false" ht="17.15" hidden="false" customHeight="false" outlineLevel="0" collapsed="false">
      <c r="A2958" s="0" t="s">
        <v>1084</v>
      </c>
      <c r="B2958" s="0" t="s">
        <v>98</v>
      </c>
      <c r="G2958" s="6" t="n">
        <f aca="false">Sens!G2957/(1+wacc)^(Sens!G2930-(Sens!F2930+mid_yr))</f>
        <v>-86.7077857462462</v>
      </c>
      <c r="H2958" s="6" t="n">
        <f aca="false">Sens!H2957/(1+wacc)^(Sens!H2930-(Sens!F2930+mid_yr))</f>
        <v>-64.8875112241358</v>
      </c>
      <c r="I2958" s="6" t="n">
        <f aca="false">Sens!I2957/(1+wacc)^(Sens!I2930-(Sens!F2930+mid_yr))</f>
        <v>-25.8089477636815</v>
      </c>
      <c r="J2958" s="6" t="n">
        <f aca="false">Sens!J2957/(1+wacc)^(Sens!J2930-(Sens!F2930+mid_yr))</f>
        <v>8.8488176026662</v>
      </c>
      <c r="K2958" s="6" t="n">
        <f aca="false">Sens!K2957/(1+wacc)^(Sens!K2930-(Sens!F2930+mid_yr))</f>
        <v>17.8193919664253</v>
      </c>
      <c r="L2958" s="1" t="s">
        <v>1085</v>
      </c>
    </row>
    <row r="2959" customFormat="false" ht="17.15" hidden="false" customHeight="false" outlineLevel="0" collapsed="false">
      <c r="A2959" s="0" t="s">
        <v>1086</v>
      </c>
      <c r="B2959" s="0" t="s">
        <v>98</v>
      </c>
      <c r="C2959" s="6" t="n">
        <f aca="false">(Sens!K2951-Sens!K2818)*(1-tax_f)*(1+g_tv)*(1-g_tv/(wacc+ronic_prem))/(wacc-g_tv)/(1+wacc)^(Sens!K2930+mid_yr-(Sens!F2930+mid_yr))</f>
        <v>82.8508894211867</v>
      </c>
    </row>
    <row r="2960" customFormat="false" ht="17.15" hidden="false" customHeight="false" outlineLevel="0" collapsed="false">
      <c r="A2960" s="1" t="s">
        <v>1087</v>
      </c>
      <c r="B2960" s="0" t="s">
        <v>98</v>
      </c>
      <c r="C2960" s="6" t="n">
        <f aca="false">(SUM(Sens!G2958:K2958)+Sens!$C$2959)*(1+wacc)^(t_roll-(Sens!F2930+mid_yr))</f>
        <v>-70.0885571281383</v>
      </c>
      <c r="L2960" s="11" t="s">
        <v>1088</v>
      </c>
    </row>
    <row r="2961" customFormat="false" ht="17.15" hidden="false" customHeight="false" outlineLevel="0" collapsed="false">
      <c r="A2961" s="1" t="s">
        <v>1089</v>
      </c>
      <c r="B2961" s="0" t="s">
        <v>98</v>
      </c>
      <c r="C2961" s="6" t="n">
        <f aca="false">(w_ntm28*Sens!G2807+(1-w_ntm28)*Sens!H2807)*m_ai</f>
        <v>338.776008390068</v>
      </c>
    </row>
    <row r="2962" customFormat="false" ht="17.15" hidden="false" customHeight="false" outlineLevel="0" collapsed="false">
      <c r="A2962" s="1" t="s">
        <v>1090</v>
      </c>
      <c r="B2962" s="0" t="s">
        <v>98</v>
      </c>
      <c r="C2962" s="6" t="n">
        <f aca="false">(w_ntm28*Sens!G2953+(1-w_ntm28)*Sens!H2953)*m_cloud</f>
        <v>947.71652906091</v>
      </c>
    </row>
    <row r="2963" customFormat="false" ht="17.15" hidden="false" customHeight="false" outlineLevel="0" collapsed="false">
      <c r="A2963" s="1" t="s">
        <v>1091</v>
      </c>
      <c r="B2963" s="0" t="s">
        <v>98</v>
      </c>
      <c r="C2963" s="6" t="n">
        <f aca="false">(w_ntm28*Sens!G2946+(1-w_ntm28)*Sens!H2946)*m_sw</f>
        <v>1066.96612952379</v>
      </c>
    </row>
    <row r="2964" customFormat="false" ht="17.15" hidden="false" customHeight="false" outlineLevel="0" collapsed="false">
      <c r="A2964" s="1" t="s">
        <v>1092</v>
      </c>
      <c r="B2964" s="0" t="s">
        <v>98</v>
      </c>
      <c r="C2964" s="6" t="n">
        <f aca="false">(w_ntm28*Sens!G2947+(1-w_ntm28)*Sens!H2947)*m_sw</f>
        <v>386.648006884204</v>
      </c>
    </row>
    <row r="2965" customFormat="false" ht="17.15" hidden="false" customHeight="false" outlineLevel="0" collapsed="false">
      <c r="A2965" s="1" t="s">
        <v>1093</v>
      </c>
      <c r="B2965" s="0" t="s">
        <v>98</v>
      </c>
      <c r="C2965" s="6" t="n">
        <f aca="false">(w_ntm28*Sens!G2948+(1-w_ntm28)*Sens!H2948)*m_sw</f>
        <v>113.628948384953</v>
      </c>
    </row>
    <row r="2966" customFormat="false" ht="17.15" hidden="false" customHeight="false" outlineLevel="0" collapsed="false">
      <c r="A2966" s="1" t="s">
        <v>1094</v>
      </c>
      <c r="B2966" s="0" t="s">
        <v>98</v>
      </c>
      <c r="C2966" s="6" t="n">
        <f aca="false">(w_ntm28*Sens!G2949+(1-w_ntm28)*Sens!H2949)*m_sw</f>
        <v>43.3525798562557</v>
      </c>
    </row>
    <row r="2967" customFormat="false" ht="17.15" hidden="false" customHeight="false" outlineLevel="0" collapsed="false">
      <c r="A2967" s="1" t="s">
        <v>1095</v>
      </c>
      <c r="B2967" s="0" t="s">
        <v>98</v>
      </c>
      <c r="C2967" s="6" t="n">
        <f aca="false">(w_ntm28*Sens!G2950+(1-w_ntm28)*Sens!H2950)*m_ads</f>
        <v>119.779388079197</v>
      </c>
    </row>
    <row r="2968" customFormat="false" ht="17.15" hidden="false" customHeight="false" outlineLevel="0" collapsed="false">
      <c r="A2968" s="1" t="s">
        <v>1096</v>
      </c>
      <c r="B2968" s="0" t="s">
        <v>98</v>
      </c>
      <c r="C2968" s="6" t="n">
        <f aca="false">(w_ntm28*Sens!G2955+(1-w_ntm28)*Sens!H2955)*m_game</f>
        <v>101.791021967819</v>
      </c>
    </row>
    <row r="2969" customFormat="false" ht="17.15" hidden="false" customHeight="false" outlineLevel="0" collapsed="false">
      <c r="A2969" s="1" t="s">
        <v>1097</v>
      </c>
      <c r="B2969" s="0" t="s">
        <v>98</v>
      </c>
      <c r="C2969" s="6" t="n">
        <f aca="false">(w_ntm28*Sens!G2956+(1-w_ntm28)*Sens!H2956)*m_pc</f>
        <v>100.913653229867</v>
      </c>
    </row>
    <row r="2970" customFormat="false" ht="17.15" hidden="false" customHeight="false" outlineLevel="0" collapsed="false">
      <c r="A2970" s="1" t="s">
        <v>1098</v>
      </c>
      <c r="B2970" s="0" t="s">
        <v>98</v>
      </c>
      <c r="C2970" s="6" t="n">
        <f aca="false">Sens!$C$2960+Sens!$C$2962+Sens!$C$2963+Sens!$C$2964+Sens!$C$2965+Sens!$C$2966+Sens!$C$2967+Sens!$C$2968+Sens!$C$2969</f>
        <v>2810.70769985886</v>
      </c>
    </row>
    <row r="2971" customFormat="false" ht="17.15" hidden="false" customHeight="false" outlineLevel="0" collapsed="false">
      <c r="A2971" s="1" t="s">
        <v>1099</v>
      </c>
      <c r="B2971" s="0" t="s">
        <v>98</v>
      </c>
      <c r="C2971" s="6" t="n">
        <f aca="false">(Sens!G2932-Sens!G2957)*t_stub</f>
        <v>46.2595076006694</v>
      </c>
      <c r="L2971" s="1" t="s">
        <v>1100</v>
      </c>
    </row>
    <row r="2972" customFormat="false" ht="17.15" hidden="false" customHeight="false" outlineLevel="0" collapsed="false">
      <c r="A2972" s="1" t="s">
        <v>1014</v>
      </c>
      <c r="B2972" s="0" t="s">
        <v>98</v>
      </c>
      <c r="C2972" s="6" t="n">
        <f aca="false">Sens!F2921+oai_v-Sens!F2910+Sens!$C$2971</f>
        <v>153.41177606441</v>
      </c>
      <c r="L2972" s="1" t="s">
        <v>1101</v>
      </c>
    </row>
    <row r="2973" customFormat="false" ht="17.15" hidden="false" customHeight="false" outlineLevel="0" collapsed="false">
      <c r="A2973" s="1" t="s">
        <v>1102</v>
      </c>
      <c r="B2973" s="0" t="s">
        <v>75</v>
      </c>
      <c r="C2973" s="5" t="n">
        <f aca="false">(Sens!$C$2970+Sens!$C$2972)/(Sens!F2923+dil_gap)-Sens!G2913*roll_div_q/q_per_yr</f>
        <v>394.387324429465</v>
      </c>
      <c r="L2973" s="1" t="s">
        <v>1103</v>
      </c>
    </row>
    <row r="2974" customFormat="false" ht="17.15" hidden="false" customHeight="false" outlineLevel="0" collapsed="false">
      <c r="A2974" s="1" t="s">
        <v>1104</v>
      </c>
      <c r="B2974" s="0" t="s">
        <v>75</v>
      </c>
      <c r="C2974" s="5" t="n">
        <f aca="false">w_dcf*Sens!$C$2944+(1-w_dcf)*Sens!$C$2973</f>
        <v>335.503374969628</v>
      </c>
    </row>
    <row r="2975" customFormat="false" ht="17.15" hidden="false" customHeight="false" outlineLevel="0" collapsed="false">
      <c r="A2975" s="3" t="s">
        <v>1337</v>
      </c>
    </row>
    <row r="2976" customFormat="false" ht="15" hidden="false" customHeight="false" outlineLevel="0" collapsed="false">
      <c r="A2976" s="4" t="s">
        <v>43</v>
      </c>
      <c r="B2976" s="4" t="s">
        <v>65</v>
      </c>
      <c r="C2976" s="20" t="s">
        <v>799</v>
      </c>
      <c r="D2976" s="20" t="s">
        <v>800</v>
      </c>
      <c r="E2976" s="20" t="s">
        <v>801</v>
      </c>
      <c r="F2976" s="20" t="s">
        <v>802</v>
      </c>
      <c r="G2976" s="20" t="s">
        <v>803</v>
      </c>
      <c r="H2976" s="20" t="s">
        <v>804</v>
      </c>
      <c r="I2976" s="20" t="s">
        <v>805</v>
      </c>
      <c r="J2976" s="20" t="s">
        <v>806</v>
      </c>
      <c r="K2976" s="20" t="s">
        <v>807</v>
      </c>
      <c r="L2976" s="4" t="s">
        <v>47</v>
      </c>
    </row>
    <row r="2977" customFormat="false" ht="17.15" hidden="false" customHeight="false" outlineLevel="0" collapsed="false">
      <c r="A2977" s="1" t="s">
        <v>808</v>
      </c>
      <c r="B2977" s="1" t="s">
        <v>235</v>
      </c>
      <c r="C2977" s="28" t="n">
        <v>2024</v>
      </c>
      <c r="D2977" s="28" t="n">
        <v>2025</v>
      </c>
      <c r="E2977" s="28" t="n">
        <v>2026</v>
      </c>
      <c r="F2977" s="28" t="n">
        <v>2027</v>
      </c>
      <c r="G2977" s="28" t="n">
        <v>2028</v>
      </c>
      <c r="H2977" s="28" t="n">
        <v>2029</v>
      </c>
      <c r="I2977" s="28" t="n">
        <v>2030</v>
      </c>
      <c r="J2977" s="28" t="n">
        <v>2031</v>
      </c>
      <c r="K2977" s="28" t="n">
        <v>2032</v>
      </c>
    </row>
    <row r="2978" customFormat="false" ht="17.15" hidden="false" customHeight="false" outlineLevel="0" collapsed="false">
      <c r="A2978" s="1" t="s">
        <v>809</v>
      </c>
      <c r="B2978" s="0" t="s">
        <v>399</v>
      </c>
      <c r="F2978" s="29" t="n">
        <f aca="false">pace_epoch</f>
        <v>650</v>
      </c>
      <c r="G2978" s="29" t="n">
        <f aca="false">pace_epoch</f>
        <v>650</v>
      </c>
      <c r="H2978" s="29" t="n">
        <f aca="false">pace_epoch</f>
        <v>650</v>
      </c>
      <c r="I2978" s="29" t="n">
        <f aca="false">pace_epoch+(g_tv*Sens!H2979-pace_epoch)*MIN(1,(Sens!I2977-pace_y0)/(pace_y1-pace_y0))</f>
        <v>477.193333333333</v>
      </c>
      <c r="J2978" s="29" t="n">
        <f aca="false">pace_epoch+(g_tv*Sens!I2979-pace_epoch)*MIN(1,(Sens!J2977-pace_y0)/(pace_y1-pace_y0))</f>
        <v>304.386666666667</v>
      </c>
      <c r="K2978" s="29" t="n">
        <f aca="false">pace_epoch+(g_tv*Sens!J2979-pace_epoch)*MIN(1,(Sens!K2977-pace_y0)/(pace_y1-pace_y0))</f>
        <v>131.58</v>
      </c>
      <c r="L2978" s="11" t="s">
        <v>810</v>
      </c>
    </row>
    <row r="2979" customFormat="false" ht="17.15" hidden="false" customHeight="false" outlineLevel="0" collapsed="false">
      <c r="A2979" s="1" t="s">
        <v>811</v>
      </c>
      <c r="B2979" s="0" t="s">
        <v>399</v>
      </c>
      <c r="C2979" s="29" t="n">
        <f aca="false">mw_ext_24</f>
        <v>640</v>
      </c>
      <c r="D2979" s="29" t="n">
        <f aca="false">mw_ext_25</f>
        <v>1630</v>
      </c>
      <c r="E2979" s="29" t="n">
        <f aca="false">mw_ext_26</f>
        <v>3250</v>
      </c>
      <c r="F2979" s="29" t="n">
        <f aca="false">MIN(cap_epoch,Sens!E2979+Sens!F2978)</f>
        <v>3900</v>
      </c>
      <c r="G2979" s="29" t="n">
        <f aca="false">MIN(cap_epoch,Sens!F2979+Sens!G2978)</f>
        <v>4386</v>
      </c>
      <c r="H2979" s="29" t="n">
        <f aca="false">MIN(cap_epoch,Sens!G2979+Sens!H2978)</f>
        <v>4386</v>
      </c>
      <c r="I2979" s="29" t="n">
        <f aca="false">MIN(cap_epoch,Sens!H2979+Sens!I2978)</f>
        <v>4386</v>
      </c>
      <c r="J2979" s="29" t="n">
        <f aca="false">MIN(cap_epoch,Sens!I2979+Sens!J2978)</f>
        <v>4386</v>
      </c>
      <c r="K2979" s="29" t="n">
        <f aca="false">MIN(cap_epoch,Sens!J2979+Sens!K2978)</f>
        <v>4386</v>
      </c>
      <c r="L2979" s="1" t="s">
        <v>812</v>
      </c>
    </row>
    <row r="2980" customFormat="false" ht="17.15" hidden="false" customHeight="false" outlineLevel="0" collapsed="false">
      <c r="A2980" s="1" t="s">
        <v>813</v>
      </c>
      <c r="B2980" s="0" t="s">
        <v>399</v>
      </c>
      <c r="C2980" s="29" t="n">
        <f aca="false">rent_ext_24</f>
        <v>150</v>
      </c>
      <c r="D2980" s="29" t="n">
        <f aca="false">rent_ext_25</f>
        <v>400</v>
      </c>
      <c r="E2980" s="29" t="n">
        <f aca="false">rent_ext_26</f>
        <v>550</v>
      </c>
      <c r="F2980" s="29" t="n">
        <f aca="false">rent_ext_f</f>
        <v>756</v>
      </c>
      <c r="G2980" s="29" t="n">
        <f aca="false">rent_ext_f</f>
        <v>756</v>
      </c>
      <c r="H2980" s="29" t="n">
        <f aca="false">rent_ext_f</f>
        <v>756</v>
      </c>
      <c r="I2980" s="29" t="n">
        <f aca="false">rent_ext_f</f>
        <v>756</v>
      </c>
      <c r="J2980" s="29" t="n">
        <f aca="false">rent_ext_f</f>
        <v>756</v>
      </c>
      <c r="K2980" s="29" t="n">
        <f aca="false">rent_ext_f</f>
        <v>756</v>
      </c>
      <c r="L2980" s="1" t="s">
        <v>814</v>
      </c>
    </row>
    <row r="2981" customFormat="false" ht="17.15" hidden="false" customHeight="false" outlineLevel="0" collapsed="false">
      <c r="A2981" s="1" t="s">
        <v>815</v>
      </c>
      <c r="B2981" s="0" t="s">
        <v>399</v>
      </c>
      <c r="C2981" s="29" t="n">
        <f aca="false">Sens!C2979-Sens!C2980</f>
        <v>490</v>
      </c>
      <c r="D2981" s="29" t="n">
        <f aca="false">Sens!D2979-Sens!D2980</f>
        <v>1230</v>
      </c>
      <c r="E2981" s="29" t="n">
        <f aca="false">Sens!E2979-Sens!E2980</f>
        <v>2700</v>
      </c>
      <c r="F2981" s="29" t="n">
        <f aca="false">Sens!F2979-Sens!F2980</f>
        <v>3144</v>
      </c>
      <c r="G2981" s="29" t="n">
        <f aca="false">Sens!G2979-Sens!G2980</f>
        <v>3630</v>
      </c>
      <c r="H2981" s="29" t="n">
        <f aca="false">Sens!H2979-Sens!H2980</f>
        <v>3630</v>
      </c>
      <c r="I2981" s="29" t="n">
        <f aca="false">Sens!I2979-Sens!I2980</f>
        <v>3630</v>
      </c>
      <c r="J2981" s="29" t="n">
        <f aca="false">Sens!J2979-Sens!J2980</f>
        <v>3630</v>
      </c>
      <c r="K2981" s="29" t="n">
        <f aca="false">Sens!K2979-Sens!K2980</f>
        <v>3630</v>
      </c>
    </row>
    <row r="2982" customFormat="false" ht="17.15" hidden="false" customHeight="false" outlineLevel="0" collapsed="false">
      <c r="A2982" s="1" t="s">
        <v>816</v>
      </c>
      <c r="B2982" s="0" t="s">
        <v>399</v>
      </c>
      <c r="C2982" s="29" t="n">
        <f aca="false">Sens!C2981/ext_sh</f>
        <v>816.666666666667</v>
      </c>
      <c r="D2982" s="29" t="n">
        <f aca="false">Sens!D2981/ext_sh</f>
        <v>2050</v>
      </c>
      <c r="E2982" s="29" t="n">
        <f aca="false">Sens!E2981/ext_sh</f>
        <v>4500</v>
      </c>
      <c r="F2982" s="29" t="n">
        <f aca="false">Sens!F2981/ext_sh</f>
        <v>5240</v>
      </c>
      <c r="G2982" s="29" t="n">
        <f aca="false">Sens!G2981/ext_sh</f>
        <v>6050</v>
      </c>
      <c r="H2982" s="29" t="n">
        <f aca="false">Sens!H2981/ext_sh</f>
        <v>6050</v>
      </c>
      <c r="I2982" s="29" t="n">
        <f aca="false">Sens!I2981/ext_sh</f>
        <v>6050</v>
      </c>
      <c r="J2982" s="29" t="n">
        <f aca="false">Sens!J2981/ext_sh</f>
        <v>6050</v>
      </c>
      <c r="K2982" s="29" t="n">
        <f aca="false">Sens!K2981/ext_sh</f>
        <v>6050</v>
      </c>
      <c r="L2982" s="1" t="s">
        <v>817</v>
      </c>
    </row>
    <row r="2983" customFormat="false" ht="17.15" hidden="false" customHeight="false" outlineLevel="0" collapsed="false">
      <c r="A2983" s="1" t="s">
        <v>818</v>
      </c>
      <c r="B2983" s="0" t="s">
        <v>399</v>
      </c>
      <c r="C2983" s="29" t="n">
        <f aca="false">Sens!C2982-Sens!C2981</f>
        <v>326.666666666667</v>
      </c>
      <c r="D2983" s="29" t="n">
        <f aca="false">Sens!D2982-Sens!D2981</f>
        <v>820</v>
      </c>
      <c r="E2983" s="29" t="n">
        <f aca="false">Sens!E2982-Sens!E2981</f>
        <v>1800</v>
      </c>
      <c r="F2983" s="29" t="n">
        <f aca="false">Sens!F2982-Sens!F2981</f>
        <v>2096</v>
      </c>
      <c r="G2983" s="29" t="n">
        <f aca="false">Sens!G2982-Sens!G2981</f>
        <v>2420</v>
      </c>
      <c r="H2983" s="29" t="n">
        <f aca="false">Sens!H2982-Sens!H2981</f>
        <v>2420</v>
      </c>
      <c r="I2983" s="29" t="n">
        <f aca="false">Sens!I2982-Sens!I2981</f>
        <v>2420</v>
      </c>
      <c r="J2983" s="29" t="n">
        <f aca="false">Sens!J2982-Sens!J2981</f>
        <v>2420</v>
      </c>
      <c r="K2983" s="29" t="n">
        <f aca="false">Sens!K2982-Sens!K2981</f>
        <v>2420</v>
      </c>
    </row>
    <row r="2984" customFormat="false" ht="17.15" hidden="false" customHeight="false" outlineLevel="0" collapsed="false">
      <c r="A2984" s="1" t="s">
        <v>819</v>
      </c>
      <c r="B2984" s="0" t="s">
        <v>399</v>
      </c>
      <c r="C2984" s="29" t="n">
        <f aca="false">Sens!C2982</f>
        <v>816.666666666667</v>
      </c>
      <c r="D2984" s="29" t="n">
        <f aca="false">Sens!D2982-Sens!C2982</f>
        <v>1233.33333333333</v>
      </c>
      <c r="E2984" s="29" t="n">
        <f aca="false">Sens!E2982-Sens!D2982</f>
        <v>2450</v>
      </c>
      <c r="F2984" s="29" t="n">
        <f aca="false">Sens!F2982-Sens!E2982</f>
        <v>740</v>
      </c>
      <c r="G2984" s="29" t="n">
        <f aca="false">Sens!G2982-Sens!F2982</f>
        <v>810</v>
      </c>
      <c r="H2984" s="29" t="n">
        <f aca="false">Sens!H2982-Sens!G2982</f>
        <v>0</v>
      </c>
      <c r="I2984" s="29" t="n">
        <f aca="false">Sens!I2982-Sens!H2982</f>
        <v>0</v>
      </c>
      <c r="J2984" s="29" t="n">
        <f aca="false">Sens!J2982-Sens!I2982</f>
        <v>0</v>
      </c>
      <c r="K2984" s="29" t="n">
        <f aca="false">Sens!K2982-Sens!J2982</f>
        <v>0</v>
      </c>
    </row>
    <row r="2985" customFormat="false" ht="17.15" hidden="false" customHeight="false" outlineLevel="0" collapsed="false">
      <c r="A2985" s="1" t="s">
        <v>820</v>
      </c>
      <c r="B2985" s="0" t="s">
        <v>399</v>
      </c>
      <c r="D2985" s="29" t="n">
        <f aca="false">Sens!D2979-Sens!C2979</f>
        <v>990</v>
      </c>
      <c r="E2985" s="29" t="n">
        <f aca="false">Sens!E2979-Sens!D2979</f>
        <v>1620</v>
      </c>
      <c r="F2985" s="29" t="n">
        <f aca="false">Sens!F2979-Sens!E2979</f>
        <v>650</v>
      </c>
      <c r="G2985" s="29" t="n">
        <f aca="false">Sens!G2979-Sens!F2979</f>
        <v>486</v>
      </c>
      <c r="H2985" s="29" t="n">
        <f aca="false">Sens!H2979-Sens!G2979</f>
        <v>0</v>
      </c>
      <c r="I2985" s="29" t="n">
        <f aca="false">Sens!I2979-Sens!H2979</f>
        <v>0</v>
      </c>
      <c r="J2985" s="29" t="n">
        <f aca="false">Sens!J2979-Sens!I2979</f>
        <v>0</v>
      </c>
      <c r="K2985" s="29" t="n">
        <f aca="false">Sens!K2979-Sens!J2979</f>
        <v>0</v>
      </c>
    </row>
    <row r="2986" customFormat="false" ht="17.15" hidden="false" customHeight="false" outlineLevel="0" collapsed="false">
      <c r="A2986" s="1" t="s">
        <v>821</v>
      </c>
      <c r="B2986" s="0" t="s">
        <v>399</v>
      </c>
      <c r="F2986" s="29" t="n">
        <f aca="false">Sens!F3003*ext_sh</f>
        <v>0</v>
      </c>
      <c r="G2986" s="29" t="n">
        <f aca="false">Sens!G3003*ext_sh</f>
        <v>0</v>
      </c>
      <c r="H2986" s="29" t="n">
        <f aca="false">Sens!H3003*ext_sh</f>
        <v>0</v>
      </c>
      <c r="I2986" s="29" t="n">
        <f aca="false">Sens!I3003*ext_sh</f>
        <v>490</v>
      </c>
      <c r="J2986" s="29" t="n">
        <f aca="false">Sens!J3003*ext_sh</f>
        <v>740</v>
      </c>
      <c r="K2986" s="29" t="n">
        <f aca="false">Sens!K3003*ext_sh</f>
        <v>1470</v>
      </c>
      <c r="L2986" s="1" t="s">
        <v>822</v>
      </c>
    </row>
    <row r="2987" customFormat="false" ht="17.15" hidden="false" customHeight="false" outlineLevel="0" collapsed="false">
      <c r="A2987" s="1" t="s">
        <v>823</v>
      </c>
      <c r="B2987" s="0" t="s">
        <v>399</v>
      </c>
      <c r="C2987" s="29" t="n">
        <f aca="false">mix_h*Sens!C2979</f>
        <v>128</v>
      </c>
      <c r="D2987" s="29" t="n">
        <f aca="false">mix_h*Sens!D2979</f>
        <v>326</v>
      </c>
      <c r="E2987" s="29" t="n">
        <f aca="false">mix_h*Sens!E2979</f>
        <v>650</v>
      </c>
      <c r="F2987" s="29" t="n">
        <f aca="false">Sens!E2987-Sens!F2986*mix_h</f>
        <v>650</v>
      </c>
      <c r="G2987" s="29" t="n">
        <f aca="false">Sens!F2987-Sens!G2986*mix_h</f>
        <v>650</v>
      </c>
      <c r="H2987" s="29" t="n">
        <f aca="false">Sens!G2987-Sens!H2986*mix_h</f>
        <v>650</v>
      </c>
      <c r="I2987" s="29" t="n">
        <f aca="false">Sens!H2987-Sens!I2986*mix_h</f>
        <v>552</v>
      </c>
      <c r="J2987" s="29" t="n">
        <f aca="false">Sens!I2987-Sens!J2986*mix_h</f>
        <v>404</v>
      </c>
      <c r="K2987" s="29" t="n">
        <f aca="false">Sens!J2987-Sens!K2986*mix_h</f>
        <v>110</v>
      </c>
    </row>
    <row r="2988" customFormat="false" ht="17.15" hidden="false" customHeight="false" outlineLevel="0" collapsed="false">
      <c r="A2988" s="1" t="s">
        <v>824</v>
      </c>
      <c r="B2988" s="0" t="s">
        <v>399</v>
      </c>
      <c r="C2988" s="29" t="n">
        <f aca="false">mix_g2*Sens!C2979</f>
        <v>288</v>
      </c>
      <c r="D2988" s="29" t="n">
        <f aca="false">mix_g2*Sens!D2979</f>
        <v>733.5</v>
      </c>
      <c r="E2988" s="29" t="n">
        <f aca="false">mix_g2*Sens!E2979</f>
        <v>1462.5</v>
      </c>
      <c r="F2988" s="29" t="n">
        <f aca="false">Sens!E2988-Sens!F2986*mix_g2</f>
        <v>1462.5</v>
      </c>
      <c r="G2988" s="29" t="n">
        <f aca="false">Sens!F2988-Sens!G2986*mix_g2</f>
        <v>1462.5</v>
      </c>
      <c r="H2988" s="29" t="n">
        <f aca="false">Sens!G2988-Sens!H2986*mix_g2</f>
        <v>1462.5</v>
      </c>
      <c r="I2988" s="29" t="n">
        <f aca="false">Sens!H2988-Sens!I2986*mix_g2</f>
        <v>1242</v>
      </c>
      <c r="J2988" s="29" t="n">
        <f aca="false">Sens!I2988-Sens!J2986*mix_g2</f>
        <v>909</v>
      </c>
      <c r="K2988" s="29" t="n">
        <f aca="false">Sens!J2988-Sens!K2986*mix_g2</f>
        <v>247.5</v>
      </c>
    </row>
    <row r="2989" customFormat="false" ht="17.15" hidden="false" customHeight="false" outlineLevel="0" collapsed="false">
      <c r="A2989" s="1" t="s">
        <v>825</v>
      </c>
      <c r="B2989" s="0" t="s">
        <v>399</v>
      </c>
      <c r="C2989" s="29" t="n">
        <f aca="false">mix_g3*Sens!C2979</f>
        <v>224</v>
      </c>
      <c r="D2989" s="29" t="n">
        <f aca="false">mix_g3*Sens!D2979</f>
        <v>570.5</v>
      </c>
      <c r="E2989" s="29" t="n">
        <f aca="false">mix_g3*Sens!E2979</f>
        <v>1137.5</v>
      </c>
      <c r="F2989" s="29" t="n">
        <f aca="false">Sens!E2989+(Sens!F2985+Sens!F2986)*a_g3_27-Sens!F2986*mix_g3</f>
        <v>1592.5</v>
      </c>
      <c r="G2989" s="29" t="n">
        <f aca="false">Sens!F2989+(Sens!G2985+Sens!G2986)*a_g3_28-Sens!G2986*mix_g3</f>
        <v>1738.3</v>
      </c>
      <c r="H2989" s="29" t="n">
        <f aca="false">Sens!G2989+(Sens!H2985+Sens!H2986)*a_g3_29-Sens!H2986*mix_g3</f>
        <v>1738.3</v>
      </c>
      <c r="I2989" s="29" t="n">
        <f aca="false">Sens!H2989+(Sens!I2985+Sens!I2986)*a_g3_29-Sens!I2986*mix_g3</f>
        <v>1615.8</v>
      </c>
      <c r="J2989" s="29" t="n">
        <f aca="false">Sens!I2989+(Sens!J2985+Sens!J2986)*a_g3_29-Sens!J2986*mix_g3</f>
        <v>1430.8</v>
      </c>
      <c r="K2989" s="29" t="n">
        <f aca="false">Sens!J2989+(Sens!K2985+Sens!K2986)*a_g3_29-Sens!K2986*mix_g3</f>
        <v>1063.3</v>
      </c>
    </row>
    <row r="2990" customFormat="false" ht="17.15" hidden="false" customHeight="false" outlineLevel="0" collapsed="false">
      <c r="A2990" s="1" t="s">
        <v>826</v>
      </c>
      <c r="B2990" s="0" t="s">
        <v>399</v>
      </c>
      <c r="C2990" s="29" t="n">
        <v>0</v>
      </c>
      <c r="D2990" s="29" t="n">
        <v>0</v>
      </c>
      <c r="E2990" s="29" t="n">
        <v>0</v>
      </c>
      <c r="F2990" s="29" t="n">
        <f aca="false">Sens!E2990+(Sens!F2985+Sens!F2986)*(1-a_g3_27)</f>
        <v>195</v>
      </c>
      <c r="G2990" s="29" t="n">
        <f aca="false">Sens!F2990+(Sens!G2985+Sens!G2986)*(1-a_g3_28)</f>
        <v>535.2</v>
      </c>
      <c r="H2990" s="29" t="n">
        <f aca="false">Sens!G2990+(Sens!H2985+Sens!H2986)*(1-a_g3_29)</f>
        <v>535.2</v>
      </c>
      <c r="I2990" s="29" t="n">
        <f aca="false">Sens!H2990+(Sens!I2985+Sens!I2986)*(1-a_g3_29)</f>
        <v>976.2</v>
      </c>
      <c r="J2990" s="29" t="n">
        <f aca="false">Sens!I2990+(Sens!J2985+Sens!J2986)*(1-a_g3_29)</f>
        <v>1642.2</v>
      </c>
      <c r="K2990" s="29" t="n">
        <f aca="false">Sens!J2990+(Sens!K2985+Sens!K2986)*(1-a_g3_29)</f>
        <v>2965.2</v>
      </c>
    </row>
    <row r="2991" customFormat="false" ht="17.15" hidden="false" customHeight="false" outlineLevel="0" collapsed="false">
      <c r="A2991" s="1" t="s">
        <v>827</v>
      </c>
      <c r="B2991" s="0" t="s">
        <v>346</v>
      </c>
      <c r="C2991" s="14" t="n">
        <f aca="false">(Sens!C2987*tk_hold_h100+Sens!C2988*tk_hold_gb200+Sens!C2989*tk_hold_gb300+Sens!C2990*tk_hold_vr200)/Sens!C2979</f>
        <v>9.7235358126469</v>
      </c>
      <c r="D2991" s="14" t="n">
        <f aca="false">(Sens!D2987*tk_hold_h100+Sens!D2988*tk_hold_gb200+Sens!D2989*tk_hold_gb300+Sens!D2990*tk_hold_vr200)/Sens!D2979</f>
        <v>9.7235358126469</v>
      </c>
      <c r="E2991" s="14" t="n">
        <f aca="false">(Sens!E2987*tk_hold_h100+Sens!E2988*tk_hold_gb200+Sens!E2989*tk_hold_gb300+Sens!E2990*tk_hold_vr200)/Sens!E2979</f>
        <v>9.7235358126469</v>
      </c>
      <c r="F2991" s="14" t="n">
        <f aca="false">(Sens!F2987*tk_hold_h100+Sens!F2988*tk_hold_gb200+Sens!F2989*tk_hold_gb300+Sens!F2990*tk_hold_vr200)/Sens!F2979</f>
        <v>9.9843013443478</v>
      </c>
      <c r="G2991" s="14" t="n">
        <f aca="false">(Sens!G2987*tk_hold_h100+Sens!G2988*tk_hold_gb200+Sens!G2989*tk_hold_gb300+Sens!G2990*tk_hold_vr200)/Sens!G2979</f>
        <v>10.1881256732384</v>
      </c>
      <c r="H2991" s="14" t="n">
        <f aca="false">(Sens!H2987*tk_hold_h100+Sens!H2988*tk_hold_gb200+Sens!H2989*tk_hold_gb300+Sens!H2990*tk_hold_vr200)/Sens!H2979</f>
        <v>10.1881256732384</v>
      </c>
      <c r="I2991" s="14" t="n">
        <f aca="false">(Sens!I2987*tk_hold_h100+Sens!I2988*tk_hold_gb200+Sens!I2989*tk_hold_gb300+Sens!I2990*tk_hold_vr200)/Sens!I2979</f>
        <v>10.4526797781011</v>
      </c>
      <c r="J2991" s="14" t="n">
        <f aca="false">(Sens!J2987*tk_hold_h100+Sens!J2988*tk_hold_gb200+Sens!J2989*tk_hold_gb300+Sens!J2990*tk_hold_vr200)/Sens!J2979</f>
        <v>10.8522104670775</v>
      </c>
      <c r="K2991" s="14" t="n">
        <f aca="false">(Sens!K2987*tk_hold_h100+Sens!K2988*tk_hold_gb200+Sens!K2989*tk_hold_gb300+Sens!K2990*tk_hold_vr200)/Sens!K2979</f>
        <v>11.6458727816658</v>
      </c>
    </row>
    <row r="2992" customFormat="false" ht="17.15" hidden="false" customHeight="false" outlineLevel="0" collapsed="false">
      <c r="A2992" s="0" t="s">
        <v>828</v>
      </c>
      <c r="B2992" s="0" t="s">
        <v>185</v>
      </c>
      <c r="C2992" s="14" t="n">
        <f aca="false">k_B</f>
        <v>1.17213932619116</v>
      </c>
      <c r="D2992" s="14" t="n">
        <f aca="false">k_B</f>
        <v>1.17213932619116</v>
      </c>
      <c r="E2992" s="14" t="n">
        <f aca="false">k_B</f>
        <v>1.17213932619116</v>
      </c>
      <c r="F2992" s="14" t="n">
        <f aca="false">(k_B+((ls_A*k_long+(1-ls_A)*k_spot)-k_B)*MIN(1,(Sens!F2977-base_fy)/k_ramp))</f>
        <v>1.25022828131298</v>
      </c>
      <c r="G2992" s="14" t="n">
        <f aca="false">(k_B+((ls_A*k_long+(1-ls_A)*k_spot)-k_B)*MIN(1,(Sens!G2977-base_fy)/k_ramp))</f>
        <v>1.3283172364348</v>
      </c>
      <c r="H2992" s="14" t="n">
        <f aca="false">(k_B+((ls_A*k_long+(1-ls_A)*k_spot)-k_B)*MIN(1,(Sens!H2977-base_fy)/k_ramp))</f>
        <v>1.40640619155662</v>
      </c>
      <c r="I2992" s="14" t="n">
        <f aca="false">(k_B+((ls_A*k_long+(1-ls_A)*k_spot)-k_B)*MIN(1,(Sens!I2977-base_fy)/k_ramp))</f>
        <v>1.40640619155662</v>
      </c>
      <c r="J2992" s="14" t="n">
        <f aca="false">(k_B+((ls_A*k_long+(1-ls_A)*k_spot)-k_B)*MIN(1,(Sens!J2977-base_fy)/k_ramp))</f>
        <v>1.40640619155662</v>
      </c>
      <c r="K2992" s="14" t="n">
        <f aca="false">(k_B+((ls_A*k_long+(1-ls_A)*k_spot)-k_B)*MIN(1,(Sens!K2977-base_fy)/k_ramp))</f>
        <v>1.40640619155662</v>
      </c>
      <c r="L2992" s="1" t="s">
        <v>829</v>
      </c>
    </row>
    <row r="2993" customFormat="false" ht="17.15" hidden="false" customHeight="false" outlineLevel="0" collapsed="false">
      <c r="A2993" s="1" t="s">
        <v>830</v>
      </c>
      <c r="B2993" s="0" t="s">
        <v>346</v>
      </c>
      <c r="C2993" s="14" t="n">
        <f aca="false">Sens!C2991*Sens!C2992*chip_f</f>
        <v>11.3973387156315</v>
      </c>
      <c r="D2993" s="14" t="n">
        <f aca="false">Sens!D2991*Sens!D2992*chip_f</f>
        <v>11.3973387156315</v>
      </c>
      <c r="E2993" s="14" t="n">
        <f aca="false">Sens!E2991*Sens!E2992*chip_f</f>
        <v>11.3973387156315</v>
      </c>
      <c r="F2993" s="14" t="n">
        <f aca="false">Sens!F2991*Sens!F2992*chip_f</f>
        <v>12.4826559098548</v>
      </c>
      <c r="G2993" s="14" t="n">
        <f aca="false">Sens!G2991*Sens!G2992*chip_f</f>
        <v>13.5330629387264</v>
      </c>
      <c r="H2993" s="14" t="n">
        <f aca="false">Sens!H2991*Sens!H2992*chip_f</f>
        <v>14.3286430271994</v>
      </c>
      <c r="I2993" s="14" t="n">
        <f aca="false">Sens!I2991*Sens!I2992*chip_f</f>
        <v>14.7007135582801</v>
      </c>
      <c r="J2993" s="14" t="n">
        <f aca="false">Sens!J2991*Sens!J2992*chip_f</f>
        <v>15.2626159929734</v>
      </c>
      <c r="K2993" s="14" t="n">
        <f aca="false">Sens!K2991*Sens!K2992*chip_f</f>
        <v>16.3788275862154</v>
      </c>
      <c r="L2993" s="1" t="s">
        <v>831</v>
      </c>
    </row>
    <row r="2994" customFormat="false" ht="17.15" hidden="false" customHeight="false" outlineLevel="0" collapsed="false">
      <c r="A2994" s="0" t="s">
        <v>832</v>
      </c>
      <c r="B2994" s="0" t="s">
        <v>98</v>
      </c>
      <c r="D2994" s="6" t="n">
        <f aca="false">(Sens!C2979+Sens!D2979)/2*Sens!D2993/1000</f>
        <v>12.9359794422418</v>
      </c>
      <c r="E2994" s="6" t="n">
        <f aca="false">(Sens!D2979+Sens!E2979)/2*Sens!E2993/1000</f>
        <v>27.8095064661409</v>
      </c>
      <c r="F2994" s="6" t="n">
        <f aca="false">(Sens!E2979+Sens!F2979)/2*Sens!F2993/1000</f>
        <v>44.6254948777308</v>
      </c>
      <c r="G2994" s="6" t="n">
        <f aca="false">(Sens!F2979+Sens!G2979)/2*Sens!G2993/1000</f>
        <v>56.0674797551436</v>
      </c>
      <c r="H2994" s="6" t="n">
        <f aca="false">(Sens!G2979+Sens!H2979)/2*Sens!H2993/1000</f>
        <v>62.8454283172966</v>
      </c>
      <c r="I2994" s="6" t="n">
        <f aca="false">(Sens!H2979+Sens!I2979)/2*Sens!I2993/1000</f>
        <v>64.4773296666165</v>
      </c>
      <c r="J2994" s="6" t="n">
        <f aca="false">(Sens!I2979+Sens!J2979)/2*Sens!J2993/1000</f>
        <v>66.9418337451812</v>
      </c>
      <c r="K2994" s="6" t="n">
        <f aca="false">(Sens!J2979+Sens!K2979)/2*Sens!K2993/1000</f>
        <v>71.8375377931408</v>
      </c>
      <c r="L2994" s="11" t="s">
        <v>833</v>
      </c>
    </row>
    <row r="2995" customFormat="false" ht="17.15" hidden="false" customHeight="false" outlineLevel="0" collapsed="false">
      <c r="A2995" s="1" t="s">
        <v>834</v>
      </c>
      <c r="B2995" s="0" t="s">
        <v>346</v>
      </c>
      <c r="C2995" s="14" t="n">
        <f aca="false">(Sens!C2987*tk_opex_h100+Sens!C2988*tk_opex_gb200+Sens!C2989*tk_opex_gb300+Sens!C2990*tk_opex_vr200)/Sens!C2979</f>
        <v>1.88636041306092</v>
      </c>
      <c r="D2995" s="14" t="n">
        <f aca="false">(Sens!D2987*tk_opex_h100+Sens!D2988*tk_opex_gb200+Sens!D2989*tk_opex_gb300+Sens!D2990*tk_opex_vr200)/Sens!D2979</f>
        <v>1.88636041306092</v>
      </c>
      <c r="E2995" s="14" t="n">
        <f aca="false">(Sens!E2987*tk_opex_h100+Sens!E2988*tk_opex_gb200+Sens!E2989*tk_opex_gb300+Sens!E2990*tk_opex_vr200)/Sens!E2979</f>
        <v>1.88636041306092</v>
      </c>
      <c r="F2995" s="14" t="n">
        <f aca="false">(Sens!F2987*tk_opex_h100+Sens!F2988*tk_opex_gb200+Sens!F2989*tk_opex_gb300+Sens!F2990*tk_opex_vr200)/Sens!F2979</f>
        <v>1.90794918316667</v>
      </c>
      <c r="G2995" s="14" t="n">
        <f aca="false">(Sens!G2987*tk_opex_h100+Sens!G2988*tk_opex_gb200+Sens!G2989*tk_opex_gb300+Sens!G2990*tk_opex_vr200)/Sens!G2979</f>
        <v>1.92482379289624</v>
      </c>
      <c r="H2995" s="14" t="n">
        <f aca="false">(Sens!H2987*tk_opex_h100+Sens!H2988*tk_opex_gb200+Sens!H2989*tk_opex_gb300+Sens!H2990*tk_opex_vr200)/Sens!H2979</f>
        <v>1.92482379289624</v>
      </c>
      <c r="I2995" s="14" t="n">
        <f aca="false">(Sens!I2987*tk_opex_h100+Sens!I2988*tk_opex_gb200+Sens!I2989*tk_opex_gb300+Sens!I2990*tk_opex_vr200)/Sens!I2979</f>
        <v>1.946726218854</v>
      </c>
      <c r="J2995" s="14" t="n">
        <f aca="false">(Sens!J2987*tk_opex_h100+Sens!J2988*tk_opex_gb200+Sens!J2989*tk_opex_gb300+Sens!J2990*tk_opex_vr200)/Sens!J2979</f>
        <v>1.97980335193306</v>
      </c>
      <c r="K2995" s="14" t="n">
        <f aca="false">(Sens!K2987*tk_opex_h100+Sens!K2988*tk_opex_gb200+Sens!K2989*tk_opex_gb300+Sens!K2990*tk_opex_vr200)/Sens!K2979</f>
        <v>2.04551062980633</v>
      </c>
    </row>
    <row r="2996" customFormat="false" ht="17.15" hidden="false" customHeight="false" outlineLevel="0" collapsed="false">
      <c r="A2996" s="0" t="s">
        <v>835</v>
      </c>
      <c r="B2996" s="0" t="s">
        <v>98</v>
      </c>
      <c r="D2996" s="6" t="n">
        <f aca="false">(Sens!C2982+Sens!D2982)/2*Sens!D2995/1000</f>
        <v>2.70378325872065</v>
      </c>
      <c r="E2996" s="6" t="n">
        <f aca="false">(Sens!D2982+Sens!E2982)/2*Sens!E2995/1000</f>
        <v>6.17783035277451</v>
      </c>
      <c r="F2996" s="6" t="n">
        <f aca="false">(Sens!E2982+Sens!F2982)/2*Sens!F2995/1000</f>
        <v>9.29171252202166</v>
      </c>
      <c r="G2996" s="6" t="n">
        <f aca="false">(Sens!F2982+Sens!G2982)/2*Sens!G2995/1000</f>
        <v>10.8656303108993</v>
      </c>
      <c r="H2996" s="6" t="n">
        <f aca="false">(Sens!G2982+Sens!H2982)/2*Sens!H2995/1000</f>
        <v>11.6451839470223</v>
      </c>
      <c r="I2996" s="6" t="n">
        <f aca="false">(Sens!H2982+Sens!I2982)/2*Sens!I2995/1000</f>
        <v>11.7776936240667</v>
      </c>
      <c r="J2996" s="6" t="n">
        <f aca="false">(Sens!I2982+Sens!J2982)/2*Sens!J2995/1000</f>
        <v>11.977810279195</v>
      </c>
      <c r="K2996" s="6" t="n">
        <f aca="false">(Sens!J2982+Sens!K2982)/2*Sens!K2995/1000</f>
        <v>12.3753393103283</v>
      </c>
    </row>
    <row r="2997" customFormat="false" ht="17.15" hidden="false" customHeight="false" outlineLevel="0" collapsed="false">
      <c r="A2997" s="0" t="s">
        <v>836</v>
      </c>
      <c r="B2997" s="0" t="s">
        <v>98</v>
      </c>
      <c r="D2997" s="6" t="n">
        <f aca="false">(Sens!C2980+Sens!D2980)/2*rent_mw/1000</f>
        <v>2.44475</v>
      </c>
      <c r="E2997" s="6" t="n">
        <f aca="false">(Sens!D2980+Sens!E2980)/2*rent_mw/1000</f>
        <v>4.22275</v>
      </c>
      <c r="F2997" s="6" t="n">
        <f aca="false">(Sens!E2980+Sens!F2980)/2*rent_mw/1000</f>
        <v>5.80517</v>
      </c>
      <c r="G2997" s="6" t="n">
        <f aca="false">(Sens!F2980+Sens!G2980)/2*rent_mw/1000</f>
        <v>6.72084</v>
      </c>
      <c r="H2997" s="6" t="n">
        <f aca="false">(Sens!G2980+Sens!H2980)/2*rent_mw/1000</f>
        <v>6.72084</v>
      </c>
      <c r="I2997" s="6" t="n">
        <f aca="false">(Sens!H2980+Sens!I2980)/2*rent_mw/1000</f>
        <v>6.72084</v>
      </c>
      <c r="J2997" s="6" t="n">
        <f aca="false">(Sens!I2980+Sens!J2980)/2*rent_mw/1000</f>
        <v>6.72084</v>
      </c>
      <c r="K2997" s="6" t="n">
        <f aca="false">(Sens!J2980+Sens!K2980)/2*rent_mw/1000</f>
        <v>6.72084</v>
      </c>
    </row>
    <row r="2998" customFormat="false" ht="17.15" hidden="false" customHeight="false" outlineLevel="0" collapsed="false">
      <c r="A2998" s="0" t="s">
        <v>837</v>
      </c>
      <c r="B2998" s="0" t="s">
        <v>98</v>
      </c>
      <c r="D2998" s="6" t="n">
        <f aca="false">(Sens!C2982+Sens!D2982)/2*(1-self_build)*fac_rent/1000</f>
        <v>0.853242375631075</v>
      </c>
      <c r="E2998" s="6" t="n">
        <f aca="false">(Sens!D2982+Sens!E2982)/2*(1-self_build)*fac_rent/1000</f>
        <v>1.94955961408728</v>
      </c>
      <c r="F2998" s="6" t="n">
        <f aca="false">(Sens!E2982+Sens!F2982)/2*(1-self_build)*fac_rent/1000</f>
        <v>2.89903979255117</v>
      </c>
      <c r="G2998" s="6" t="n">
        <f aca="false">(Sens!F2982+Sens!G2982)/2*(1-self_build)*fac_rent/1000</f>
        <v>3.36038596077029</v>
      </c>
      <c r="H2998" s="6" t="n">
        <f aca="false">(Sens!G2982+Sens!H2982)/2*(1-self_build)*fac_rent/1000</f>
        <v>3.60147653900094</v>
      </c>
      <c r="I2998" s="6" t="n">
        <f aca="false">(Sens!H2982+Sens!I2982)/2*(1-self_build)*fac_rent/1000</f>
        <v>3.60147653900094</v>
      </c>
      <c r="J2998" s="6" t="n">
        <f aca="false">(Sens!I2982+Sens!J2982)/2*(1-self_build)*fac_rent/1000</f>
        <v>3.60147653900094</v>
      </c>
      <c r="K2998" s="6" t="n">
        <f aca="false">(Sens!J2982+Sens!K2982)/2*(1-self_build)*fac_rent/1000</f>
        <v>3.60147653900094</v>
      </c>
      <c r="L2998" s="11" t="s">
        <v>838</v>
      </c>
    </row>
    <row r="2999" customFormat="false" ht="17.15" hidden="false" customHeight="false" outlineLevel="0" collapsed="false">
      <c r="A2999" s="1" t="s">
        <v>839</v>
      </c>
      <c r="B2999" s="0" t="s">
        <v>129</v>
      </c>
      <c r="D2999" s="7" t="n">
        <f aca="false">(Sens!C2981+Sens!D2981)/(Sens!C2982+Sens!D2982)</f>
        <v>0.6</v>
      </c>
      <c r="E2999" s="7" t="n">
        <f aca="false">(Sens!D2981+Sens!E2981)/(Sens!D2982+Sens!E2982)</f>
        <v>0.6</v>
      </c>
      <c r="F2999" s="7" t="n">
        <f aca="false">(Sens!E2981+Sens!F2981)/(Sens!E2982+Sens!F2982)</f>
        <v>0.6</v>
      </c>
      <c r="G2999" s="7" t="n">
        <f aca="false">(Sens!F2981+Sens!G2981)/(Sens!F2982+Sens!G2982)</f>
        <v>0.6</v>
      </c>
      <c r="H2999" s="7" t="n">
        <f aca="false">(Sens!G2981+Sens!H2981)/(Sens!G2982+Sens!H2982)</f>
        <v>0.6</v>
      </c>
      <c r="I2999" s="7" t="n">
        <f aca="false">(Sens!H2981+Sens!I2981)/(Sens!H2982+Sens!I2982)</f>
        <v>0.6</v>
      </c>
      <c r="J2999" s="7" t="n">
        <f aca="false">(Sens!I2981+Sens!J2981)/(Sens!I2982+Sens!J2982)</f>
        <v>0.6</v>
      </c>
      <c r="K2999" s="7" t="n">
        <f aca="false">(Sens!J2981+Sens!K2981)/(Sens!J2982+Sens!K2982)</f>
        <v>0.6</v>
      </c>
    </row>
    <row r="3000" customFormat="false" ht="17.15" hidden="false" customHeight="false" outlineLevel="0" collapsed="false">
      <c r="A3000" s="0" t="s">
        <v>840</v>
      </c>
      <c r="B3000" s="0" t="s">
        <v>98</v>
      </c>
      <c r="D3000" s="6" t="n">
        <f aca="false">Sens!D2994-Sens!D2999*(Sens!D2996+Sens!D2998)-Sens!D2997</f>
        <v>8.35701406163072</v>
      </c>
      <c r="E3000" s="6" t="n">
        <f aca="false">Sens!E2994-Sens!E2999*(Sens!E2996+Sens!E2998)-Sens!E2997</f>
        <v>18.7103224860238</v>
      </c>
      <c r="F3000" s="6" t="n">
        <f aca="false">Sens!F2994-Sens!F2999*(Sens!F2996+Sens!F2998)-Sens!F2997</f>
        <v>31.5058734889871</v>
      </c>
      <c r="G3000" s="6" t="n">
        <f aca="false">Sens!G2994-Sens!G2999*(Sens!G2996+Sens!G2998)-Sens!G2997</f>
        <v>40.8110299921418</v>
      </c>
      <c r="H3000" s="6" t="n">
        <f aca="false">Sens!H2994-Sens!H2999*(Sens!H2996+Sens!H2998)-Sens!H2997</f>
        <v>46.9765920256827</v>
      </c>
      <c r="I3000" s="6" t="n">
        <f aca="false">Sens!I2994-Sens!I2999*(Sens!I2996+Sens!I2998)-Sens!I2997</f>
        <v>48.5289875687759</v>
      </c>
      <c r="J3000" s="6" t="n">
        <f aca="false">Sens!J2994-Sens!J2999*(Sens!J2996+Sens!J2998)-Sens!J2997</f>
        <v>50.8734216542636</v>
      </c>
      <c r="K3000" s="6" t="n">
        <f aca="false">Sens!K2994-Sens!K2999*(Sens!K2996+Sens!K2998)-Sens!K2997</f>
        <v>55.5306082835433</v>
      </c>
    </row>
    <row r="3001" customFormat="false" ht="17.15" hidden="false" customHeight="false" outlineLevel="0" collapsed="false">
      <c r="A3001" s="1" t="s">
        <v>841</v>
      </c>
      <c r="B3001" s="0" t="s">
        <v>98</v>
      </c>
      <c r="D3001" s="6" t="n">
        <f aca="false">(1-Sens!D2999)*(Sens!D2996+Sens!D2998)</f>
        <v>1.42281025374069</v>
      </c>
      <c r="E3001" s="6" t="n">
        <f aca="false">(1-Sens!E2999)*(Sens!E2996+Sens!E2998)</f>
        <v>3.25095598674472</v>
      </c>
      <c r="F3001" s="6" t="n">
        <f aca="false">(1-Sens!F2999)*(Sens!F2996+Sens!F2998)</f>
        <v>4.87630092582913</v>
      </c>
      <c r="G3001" s="6" t="n">
        <f aca="false">(1-Sens!G2999)*(Sens!G2996+Sens!G2998)</f>
        <v>5.69040650866783</v>
      </c>
      <c r="H3001" s="6" t="n">
        <f aca="false">(1-Sens!H2999)*(Sens!H2996+Sens!H2998)</f>
        <v>6.09866419440928</v>
      </c>
      <c r="I3001" s="6" t="n">
        <f aca="false">(1-Sens!I2999)*(Sens!I2996+Sens!I2998)</f>
        <v>6.15166806522705</v>
      </c>
      <c r="J3001" s="6" t="n">
        <f aca="false">(1-Sens!J2999)*(Sens!J2996+Sens!J2998)</f>
        <v>6.23171472727838</v>
      </c>
      <c r="K3001" s="6" t="n">
        <f aca="false">(1-Sens!K2999)*(Sens!K2996+Sens!K2998)</f>
        <v>6.39072633973169</v>
      </c>
    </row>
    <row r="3002" customFormat="false" ht="17.15" hidden="false" customHeight="false" outlineLevel="0" collapsed="false">
      <c r="A3002" s="1" t="s">
        <v>842</v>
      </c>
      <c r="B3002" s="0" t="s">
        <v>357</v>
      </c>
      <c r="C3002" s="8" t="n">
        <f aca="false">cxit_open</f>
        <v>27.5918995</v>
      </c>
      <c r="D3002" s="8" t="n">
        <f aca="false">cxit_open</f>
        <v>27.5918995</v>
      </c>
      <c r="E3002" s="8" t="n">
        <f aca="false">cxit_open</f>
        <v>27.5918995</v>
      </c>
      <c r="F3002" s="8" t="n">
        <f aca="false">(a_g3_27*tk_cxit_gb300+(1-a_g3_27)*tk_cxit_vr200)</f>
        <v>33.8419624</v>
      </c>
      <c r="G3002" s="8" t="n">
        <f aca="false">(a_g3_28*tk_cxit_gb300+(1-a_g3_28)*tk_cxit_vr200)</f>
        <v>35.9816136</v>
      </c>
      <c r="H3002" s="8" t="n">
        <f aca="false">(a_g3_29*tk_cxit_gb300+(1-a_g3_29)*tk_cxit_vr200)</f>
        <v>37.0514392</v>
      </c>
      <c r="I3002" s="8" t="n">
        <f aca="false">(a_g3_29*tk_cxit_gb300+(1-a_g3_29)*tk_cxit_vr200)</f>
        <v>37.0514392</v>
      </c>
      <c r="J3002" s="8" t="n">
        <f aca="false">(a_g3_29*tk_cxit_gb300+(1-a_g3_29)*tk_cxit_vr200)</f>
        <v>37.0514392</v>
      </c>
      <c r="K3002" s="8" t="n">
        <f aca="false">(a_g3_29*tk_cxit_gb300+(1-a_g3_29)*tk_cxit_vr200)</f>
        <v>37.0514392</v>
      </c>
      <c r="L3002" s="11" t="s">
        <v>843</v>
      </c>
    </row>
    <row r="3003" customFormat="false" ht="17.15" hidden="false" customHeight="false" outlineLevel="0" collapsed="false">
      <c r="A3003" s="0" t="s">
        <v>844</v>
      </c>
      <c r="B3003" s="0" t="s">
        <v>399</v>
      </c>
      <c r="F3003" s="29" t="n">
        <f aca="false">Sens!C2984*IF(Sens!F2977-Sens!C2977=life_it,1,0)+Sens!D2984*IF(Sens!F2977-Sens!D2977=life_it,1,0)+Sens!E2984*IF(Sens!F2977-Sens!E2977=life_it,1,0)</f>
        <v>0</v>
      </c>
      <c r="G3003" s="29" t="n">
        <f aca="false">Sens!C2984*IF(Sens!G2977-Sens!C2977=life_it,1,0)+Sens!D2984*IF(Sens!G2977-Sens!D2977=life_it,1,0)+Sens!E2984*IF(Sens!G2977-Sens!E2977=life_it,1,0)+Sens!F2984*IF(Sens!G2977-Sens!F2977=life_it,1,0)</f>
        <v>0</v>
      </c>
      <c r="H3003" s="29" t="n">
        <f aca="false">Sens!C2984*IF(Sens!H2977-Sens!C2977=life_it,1,0)+Sens!D2984*IF(Sens!H2977-Sens!D2977=life_it,1,0)+Sens!E2984*IF(Sens!H2977-Sens!E2977=life_it,1,0)+Sens!F2984*IF(Sens!H2977-Sens!F2977=life_it,1,0)+Sens!G2984*IF(Sens!H2977-Sens!G2977=life_it,1,0)</f>
        <v>0</v>
      </c>
      <c r="I3003" s="29" t="n">
        <f aca="false">Sens!C2984*IF(Sens!I2977-Sens!C2977=life_it,1,0)+Sens!D2984*IF(Sens!I2977-Sens!D2977=life_it,1,0)+Sens!E2984*IF(Sens!I2977-Sens!E2977=life_it,1,0)+Sens!F2984*IF(Sens!I2977-Sens!F2977=life_it,1,0)+Sens!G2984*IF(Sens!I2977-Sens!G2977=life_it,1,0)+Sens!H2984*IF(Sens!I2977-Sens!H2977=life_it,1,0)</f>
        <v>816.666666666667</v>
      </c>
      <c r="J3003" s="29" t="n">
        <f aca="false">Sens!C2984*IF(Sens!J2977-Sens!C2977=life_it,1,0)+Sens!D2984*IF(Sens!J2977-Sens!D2977=life_it,1,0)+Sens!E2984*IF(Sens!J2977-Sens!E2977=life_it,1,0)+Sens!F2984*IF(Sens!J2977-Sens!F2977=life_it,1,0)+Sens!G2984*IF(Sens!J2977-Sens!G2977=life_it,1,0)+Sens!H2984*IF(Sens!J2977-Sens!H2977=life_it,1,0)+Sens!I2984*IF(Sens!J2977-Sens!I2977=life_it,1,0)</f>
        <v>1233.33333333333</v>
      </c>
      <c r="K3003" s="29" t="n">
        <f aca="false">Sens!C2984*IF(Sens!K2977-Sens!C2977=life_it,1,0)+Sens!D2984*IF(Sens!K2977-Sens!D2977=life_it,1,0)+Sens!E2984*IF(Sens!K2977-Sens!E2977=life_it,1,0)+Sens!F2984*IF(Sens!K2977-Sens!F2977=life_it,1,0)+Sens!G2984*IF(Sens!K2977-Sens!G2977=life_it,1,0)+Sens!H2984*IF(Sens!K2977-Sens!H2977=life_it,1,0)+Sens!I2984*IF(Sens!K2977-Sens!I2977=life_it,1,0)+Sens!J2984*IF(Sens!K2977-Sens!J2977=life_it,1,0)</f>
        <v>2450</v>
      </c>
      <c r="L3003" s="1" t="s">
        <v>845</v>
      </c>
    </row>
    <row r="3004" customFormat="false" ht="17.15" hidden="false" customHeight="false" outlineLevel="0" collapsed="false">
      <c r="A3004" s="0" t="s">
        <v>846</v>
      </c>
      <c r="B3004" s="0" t="s">
        <v>98</v>
      </c>
      <c r="C3004" s="6" t="n">
        <f aca="false">Sens!C2984*Sens!C3002/1000</f>
        <v>22.5333845916667</v>
      </c>
      <c r="D3004" s="6" t="n">
        <f aca="false">Sens!D2984*Sens!D3002/1000</f>
        <v>34.0300093833333</v>
      </c>
      <c r="E3004" s="6" t="n">
        <f aca="false">Sens!E2984*Sens!E3002/1000</f>
        <v>67.600153775</v>
      </c>
      <c r="F3004" s="6" t="n">
        <f aca="false">(Sens!F2984+Sens!F3003)*Sens!F3002/1000</f>
        <v>25.043052176</v>
      </c>
      <c r="G3004" s="6" t="n">
        <f aca="false">(Sens!G2984+Sens!G3003)*Sens!G3002/1000</f>
        <v>29.145107016</v>
      </c>
      <c r="H3004" s="6" t="n">
        <f aca="false">(Sens!H2984+Sens!H3003)*Sens!H3002/1000</f>
        <v>0</v>
      </c>
      <c r="I3004" s="6" t="n">
        <f aca="false">(Sens!I2984+Sens!I3003)*Sens!I3002/1000</f>
        <v>30.2586753466667</v>
      </c>
      <c r="J3004" s="6" t="n">
        <f aca="false">(Sens!J2984+Sens!J3003)*Sens!J3002/1000</f>
        <v>45.6967750133333</v>
      </c>
      <c r="K3004" s="6" t="n">
        <f aca="false">(Sens!K2984+Sens!K3003)*Sens!K3002/1000</f>
        <v>90.77602604</v>
      </c>
    </row>
    <row r="3005" customFormat="false" ht="17.15" hidden="false" customHeight="false" outlineLevel="0" collapsed="false">
      <c r="A3005" s="0" t="s">
        <v>847</v>
      </c>
      <c r="B3005" s="0" t="s">
        <v>98</v>
      </c>
      <c r="C3005" s="6" t="n">
        <f aca="false">Sens!C2984*self_build*tk_cxfac/1000</f>
        <v>6.2083</v>
      </c>
      <c r="D3005" s="6" t="n">
        <f aca="false">Sens!D2984*self_build*tk_cxfac/1000</f>
        <v>9.3758</v>
      </c>
      <c r="E3005" s="6" t="n">
        <f aca="false">Sens!E2984*self_build*tk_cxfac/1000</f>
        <v>18.6249</v>
      </c>
      <c r="F3005" s="6" t="n">
        <f aca="false">Sens!F2984*self_build*tk_cxfac/1000</f>
        <v>5.62548</v>
      </c>
      <c r="G3005" s="6" t="n">
        <f aca="false">Sens!G2984*self_build*tk_cxfac/1000</f>
        <v>6.15762</v>
      </c>
      <c r="H3005" s="6" t="n">
        <f aca="false">Sens!H2984*self_build*tk_cxfac/1000</f>
        <v>0</v>
      </c>
      <c r="I3005" s="6" t="n">
        <f aca="false">Sens!I2984*self_build*tk_cxfac/1000</f>
        <v>0</v>
      </c>
      <c r="J3005" s="6" t="n">
        <f aca="false">Sens!J2984*self_build*tk_cxfac/1000</f>
        <v>0</v>
      </c>
      <c r="K3005" s="6" t="n">
        <f aca="false">Sens!K2984*self_build*tk_cxfac/1000</f>
        <v>0</v>
      </c>
    </row>
    <row r="3006" customFormat="false" ht="17.15" hidden="false" customHeight="false" outlineLevel="0" collapsed="false">
      <c r="A3006" s="0" t="s">
        <v>848</v>
      </c>
      <c r="B3006" s="0" t="s">
        <v>98</v>
      </c>
      <c r="F3006" s="6" t="n">
        <f aca="false">MAX(0,capex_floor27-Sens!F3004-Sens!F3005-Sens!F3100)</f>
        <v>137.802120594438</v>
      </c>
    </row>
    <row r="3007" customFormat="false" ht="17.15" hidden="false" customHeight="false" outlineLevel="0" collapsed="false">
      <c r="A3007" s="0" t="s">
        <v>849</v>
      </c>
      <c r="B3007" s="0" t="s">
        <v>98</v>
      </c>
      <c r="C3007" s="6" t="n">
        <f aca="false">Sens!C3004</f>
        <v>22.5333845916667</v>
      </c>
      <c r="D3007" s="6" t="n">
        <f aca="false">Sens!D3004</f>
        <v>34.0300093833333</v>
      </c>
      <c r="E3007" s="6" t="n">
        <f aca="false">Sens!E3004</f>
        <v>67.600153775</v>
      </c>
      <c r="F3007" s="6" t="n">
        <f aca="false">Sens!F3004</f>
        <v>25.043052176</v>
      </c>
      <c r="G3007" s="6" t="n">
        <f aca="false">Sens!G3004</f>
        <v>29.145107016</v>
      </c>
      <c r="H3007" s="6" t="n">
        <f aca="false">Sens!H3004</f>
        <v>0</v>
      </c>
      <c r="I3007" s="6" t="n">
        <f aca="false">Sens!I3004</f>
        <v>30.2586753466667</v>
      </c>
      <c r="J3007" s="6" t="n">
        <f aca="false">Sens!J3004</f>
        <v>45.6967750133333</v>
      </c>
      <c r="K3007" s="6" t="n">
        <f aca="false">Sens!K3004</f>
        <v>90.77602604</v>
      </c>
    </row>
    <row r="3008" customFormat="false" ht="17.15" hidden="false" customHeight="false" outlineLevel="0" collapsed="false">
      <c r="A3008" s="0" t="s">
        <v>850</v>
      </c>
      <c r="B3008" s="0" t="s">
        <v>98</v>
      </c>
      <c r="C3008" s="6" t="n">
        <f aca="false">Sens!C3007+Sens!C3005</f>
        <v>28.7416845916667</v>
      </c>
      <c r="D3008" s="6" t="n">
        <f aca="false">Sens!D3007+Sens!D3005</f>
        <v>43.4058093833333</v>
      </c>
      <c r="E3008" s="6" t="n">
        <f aca="false">Sens!E3007+Sens!E3005</f>
        <v>86.225053775</v>
      </c>
      <c r="F3008" s="6" t="n">
        <f aca="false">Sens!F3007+Sens!F3005</f>
        <v>30.668532176</v>
      </c>
      <c r="G3008" s="6" t="n">
        <f aca="false">Sens!G3007+Sens!G3005</f>
        <v>35.302727016</v>
      </c>
      <c r="H3008" s="6" t="n">
        <f aca="false">Sens!H3007+Sens!H3005</f>
        <v>0</v>
      </c>
      <c r="I3008" s="6" t="n">
        <f aca="false">Sens!I3007+Sens!I3005</f>
        <v>30.2586753466667</v>
      </c>
      <c r="J3008" s="6" t="n">
        <f aca="false">Sens!J3007+Sens!J3005</f>
        <v>45.6967750133333</v>
      </c>
      <c r="K3008" s="6" t="n">
        <f aca="false">Sens!K3007+Sens!K3005</f>
        <v>90.77602604</v>
      </c>
      <c r="L3008" s="11" t="s">
        <v>851</v>
      </c>
    </row>
    <row r="3009" customFormat="false" ht="17.15" hidden="false" customHeight="false" outlineLevel="0" collapsed="false">
      <c r="A3009" s="0" t="s">
        <v>852</v>
      </c>
      <c r="B3009" s="0" t="s">
        <v>98</v>
      </c>
      <c r="E3009" s="6" t="n">
        <f aca="false">(Sens!C3007*IF(2&lt;life_it,1,IF(2=life_it,0.5,0))+Sens!D3007*IF(1&lt;life_it,1,IF(1=life_it,0.5,0))+Sens!E3007*0.5)/life_it</f>
        <v>15.0605784770833</v>
      </c>
      <c r="F3009" s="6" t="n">
        <f aca="false">(Sens!C3007*IF(3&lt;life_it,1,IF(3=life_it,0.5,0))+Sens!D3007*IF(2&lt;life_it,1,IF(2=life_it,0.5,0))+Sens!E3007*IF(1&lt;life_it,1,IF(1=life_it,0.5,0))+Sens!F3007*0.5)/life_it</f>
        <v>22.7808456396667</v>
      </c>
      <c r="G3009" s="6" t="n">
        <f aca="false">(Sens!C3007*IF(4&lt;life_it,1,IF(4=life_it,0.5,0))+Sens!D3007*IF(3&lt;life_it,1,IF(3=life_it,0.5,0))+Sens!E3007*IF(2&lt;life_it,1,IF(2=life_it,0.5,0))+Sens!F3007*IF(1&lt;life_it,1,IF(1=life_it,0.5,0))+Sens!G3007*0.5)/life_it</f>
        <v>27.2965255723333</v>
      </c>
      <c r="H3009" s="6" t="n">
        <f aca="false">(Sens!C3007*IF(5&lt;life_it,1,IF(5=life_it,0.5,0))+Sens!D3007*IF(4&lt;life_it,1,IF(4=life_it,0.5,0))+Sens!E3007*IF(3&lt;life_it,1,IF(3=life_it,0.5,0))+Sens!F3007*IF(2&lt;life_it,1,IF(2=life_it,0.5,0))+Sens!G3007*IF(1&lt;life_it,1,IF(1=life_it,0.5,0))+Sens!H3007*0.5)/life_it</f>
        <v>29.7252844903333</v>
      </c>
      <c r="I3009" s="6" t="n">
        <f aca="false">(Sens!C3007*IF(6&lt;life_it,1,IF(6=life_it,0.5,0))+Sens!D3007*IF(5&lt;life_it,1,IF(5=life_it,0.5,0))+Sens!E3007*IF(4&lt;life_it,1,IF(4=life_it,0.5,0))+Sens!F3007*IF(3&lt;life_it,1,IF(3=life_it,0.5,0))+Sens!G3007*IF(2&lt;life_it,1,IF(2=life_it,0.5,0))+Sens!H3007*IF(1&lt;life_it,1,IF(1=life_it,0.5,0))+Sens!I3007*0.5)/life_it</f>
        <v>30.3690587199167</v>
      </c>
      <c r="J3009" s="6" t="n">
        <f aca="false">(Sens!C3007*IF(7&lt;life_it,1,IF(7=life_it,0.5,0))+Sens!D3007*IF(6&lt;life_it,1,IF(6=life_it,0.5,0))+Sens!E3007*IF(5&lt;life_it,1,IF(5=life_it,0.5,0))+Sens!F3007*IF(4&lt;life_it,1,IF(4=life_it,0.5,0))+Sens!G3007*IF(3&lt;life_it,1,IF(3=life_it,0.5,0))+Sens!H3007*IF(2&lt;life_it,1,IF(2=life_it,0.5,0))+Sens!I3007*IF(1&lt;life_it,1,IF(1=life_it,0.5,0))+Sens!J3007*0.5)/life_it</f>
        <v>31.9850634186667</v>
      </c>
      <c r="K3009" s="6" t="n">
        <f aca="false">(Sens!C3007*IF(8&lt;life_it,1,IF(8=life_it,0.5,0))+Sens!D3007*IF(7&lt;life_it,1,IF(7=life_it,0.5,0))+Sens!E3007*IF(6&lt;life_it,1,IF(6=life_it,0.5,0))+Sens!F3007*IF(5&lt;life_it,1,IF(5=life_it,0.5,0))+Sens!G3007*IF(4&lt;life_it,1,IF(4=life_it,0.5,0))+Sens!H3007*IF(3&lt;life_it,1,IF(3=life_it,0.5,0))+Sens!I3007*IF(2&lt;life_it,1,IF(2=life_it,0.5,0))+Sens!J3007*IF(1&lt;life_it,1,IF(1=life_it,0.5,0))+Sens!K3007*0.5)/life_it</f>
        <v>34.8886165765833</v>
      </c>
    </row>
    <row r="3010" customFormat="false" ht="17.15" hidden="false" customHeight="false" outlineLevel="0" collapsed="false">
      <c r="A3010" s="0" t="s">
        <v>853</v>
      </c>
      <c r="B3010" s="0" t="s">
        <v>98</v>
      </c>
      <c r="E3010" s="6" t="n">
        <f aca="false">(Sens!C3005*IF(2&lt;life_fac,1,IF(2=life_fac,0.5,0))+Sens!D3005*IF(1&lt;life_fac,1,IF(1=life_fac,0.5,0))+Sens!E3005*0.5)/life_fac</f>
        <v>1.2448275</v>
      </c>
      <c r="F3010" s="6" t="n">
        <f aca="false">(Sens!C3005*IF(3&lt;life_fac,1,IF(3=life_fac,0.5,0))+Sens!D3005*IF(2&lt;life_fac,1,IF(2=life_fac,0.5,0))+Sens!E3005*IF(1&lt;life_fac,1,IF(1=life_fac,0.5,0))+Sens!F3005*0.5)/life_fac</f>
        <v>1.851087</v>
      </c>
      <c r="G3010" s="6" t="n">
        <f aca="false">(Sens!C3005*IF(4&lt;life_fac,1,IF(4=life_fac,0.5,0))+Sens!D3005*IF(3&lt;life_fac,1,IF(3=life_fac,0.5,0))+Sens!E3005*IF(2&lt;life_fac,1,IF(2=life_fac,0.5,0))+Sens!F3005*IF(1&lt;life_fac,1,IF(1=life_fac,0.5,0))+Sens!G3005*0.5)/life_fac</f>
        <v>2.1456645</v>
      </c>
      <c r="H3010" s="6" t="n">
        <f aca="false">(Sens!C3005*IF(5&lt;life_fac,1,IF(5=life_fac,0.5,0))+Sens!D3005*IF(4&lt;life_fac,1,IF(4=life_fac,0.5,0))+Sens!E3005*IF(3&lt;life_fac,1,IF(3=life_fac,0.5,0))+Sens!F3005*IF(2&lt;life_fac,1,IF(2=life_fac,0.5,0))+Sens!G3005*IF(1&lt;life_fac,1,IF(1=life_fac,0.5,0))+Sens!H3005*0.5)/life_fac</f>
        <v>2.299605</v>
      </c>
      <c r="I3010" s="6" t="n">
        <f aca="false">(Sens!C3005*IF(6&lt;life_fac,1,IF(6=life_fac,0.5,0))+Sens!D3005*IF(5&lt;life_fac,1,IF(5=life_fac,0.5,0))+Sens!E3005*IF(4&lt;life_fac,1,IF(4=life_fac,0.5,0))+Sens!F3005*IF(3&lt;life_fac,1,IF(3=life_fac,0.5,0))+Sens!G3005*IF(2&lt;life_fac,1,IF(2=life_fac,0.5,0))+Sens!H3005*IF(1&lt;life_fac,1,IF(1=life_fac,0.5,0))+Sens!I3005*0.5)/life_fac</f>
        <v>2.299605</v>
      </c>
      <c r="J3010" s="6" t="n">
        <f aca="false">(Sens!C3005*IF(7&lt;life_fac,1,IF(7=life_fac,0.5,0))+Sens!D3005*IF(6&lt;life_fac,1,IF(6=life_fac,0.5,0))+Sens!E3005*IF(5&lt;life_fac,1,IF(5=life_fac,0.5,0))+Sens!F3005*IF(4&lt;life_fac,1,IF(4=life_fac,0.5,0))+Sens!G3005*IF(3&lt;life_fac,1,IF(3=life_fac,0.5,0))+Sens!H3005*IF(2&lt;life_fac,1,IF(2=life_fac,0.5,0))+Sens!I3005*IF(1&lt;life_fac,1,IF(1=life_fac,0.5,0))+Sens!J3005*0.5)/life_fac</f>
        <v>2.299605</v>
      </c>
      <c r="K3010" s="6" t="n">
        <f aca="false">(Sens!C3005*IF(8&lt;life_fac,1,IF(8=life_fac,0.5,0))+Sens!D3005*IF(7&lt;life_fac,1,IF(7=life_fac,0.5,0))+Sens!E3005*IF(6&lt;life_fac,1,IF(6=life_fac,0.5,0))+Sens!F3005*IF(5&lt;life_fac,1,IF(5=life_fac,0.5,0))+Sens!G3005*IF(4&lt;life_fac,1,IF(4=life_fac,0.5,0))+Sens!H3005*IF(3&lt;life_fac,1,IF(3=life_fac,0.5,0))+Sens!I3005*IF(2&lt;life_fac,1,IF(2=life_fac,0.5,0))+Sens!J3005*IF(1&lt;life_fac,1,IF(1=life_fac,0.5,0))+Sens!K3005*0.5)/life_fac</f>
        <v>2.299605</v>
      </c>
    </row>
    <row r="3011" customFormat="false" ht="17.15" hidden="false" customHeight="false" outlineLevel="0" collapsed="false">
      <c r="A3011" s="0" t="s">
        <v>854</v>
      </c>
      <c r="B3011" s="0" t="s">
        <v>98</v>
      </c>
      <c r="E3011" s="6" t="n">
        <f aca="false">Sens!E3009+Sens!E3010</f>
        <v>16.3054059770833</v>
      </c>
      <c r="F3011" s="6" t="n">
        <f aca="false">Sens!F3009+Sens!F3010</f>
        <v>24.6319326396667</v>
      </c>
      <c r="G3011" s="6" t="n">
        <f aca="false">Sens!G3009+Sens!G3010</f>
        <v>29.4421900723333</v>
      </c>
      <c r="H3011" s="6" t="n">
        <f aca="false">Sens!H3009+Sens!H3010</f>
        <v>32.0248894903333</v>
      </c>
      <c r="I3011" s="6" t="n">
        <f aca="false">Sens!I3009+Sens!I3010</f>
        <v>32.6686637199167</v>
      </c>
      <c r="J3011" s="6" t="n">
        <f aca="false">Sens!J3009+Sens!J3010</f>
        <v>34.2846684186667</v>
      </c>
      <c r="K3011" s="6" t="n">
        <f aca="false">Sens!K3009+Sens!K3010</f>
        <v>37.1882215765833</v>
      </c>
    </row>
    <row r="3012" customFormat="false" ht="17.15" hidden="false" customHeight="false" outlineLevel="0" collapsed="false">
      <c r="A3012" s="0" t="s">
        <v>855</v>
      </c>
      <c r="B3012" s="0" t="s">
        <v>98</v>
      </c>
      <c r="E3012" s="6" t="n">
        <f aca="false">Sens!E3000-Sens!E2999*Sens!E3011</f>
        <v>8.92707889977379</v>
      </c>
      <c r="F3012" s="6" t="n">
        <f aca="false">Sens!F3000-Sens!F2999*Sens!F3011</f>
        <v>16.7267139051871</v>
      </c>
      <c r="G3012" s="6" t="n">
        <f aca="false">Sens!G3000-Sens!G2999*Sens!G3011</f>
        <v>23.1457159487418</v>
      </c>
      <c r="H3012" s="6" t="n">
        <f aca="false">Sens!H3000-Sens!H2999*Sens!H3011</f>
        <v>27.7616583314827</v>
      </c>
      <c r="I3012" s="6" t="n">
        <f aca="false">Sens!I3000-Sens!I2999*Sens!I3011</f>
        <v>28.9277893368259</v>
      </c>
      <c r="J3012" s="6" t="n">
        <f aca="false">Sens!J3000-Sens!J2999*Sens!J3011</f>
        <v>30.3026206030636</v>
      </c>
      <c r="K3012" s="6" t="n">
        <f aca="false">Sens!K3000-Sens!K2999*Sens!K3011</f>
        <v>33.2176753375933</v>
      </c>
    </row>
    <row r="3013" customFormat="false" ht="17.15" hidden="false" customHeight="false" outlineLevel="0" collapsed="false">
      <c r="A3013" s="3" t="s">
        <v>1338</v>
      </c>
    </row>
    <row r="3014" customFormat="false" ht="15" hidden="false" customHeight="false" outlineLevel="0" collapsed="false">
      <c r="A3014" s="4" t="s">
        <v>43</v>
      </c>
      <c r="B3014" s="4" t="s">
        <v>65</v>
      </c>
      <c r="C3014" s="20" t="s">
        <v>799</v>
      </c>
      <c r="D3014" s="20" t="s">
        <v>800</v>
      </c>
      <c r="E3014" s="20" t="s">
        <v>801</v>
      </c>
      <c r="F3014" s="20" t="s">
        <v>802</v>
      </c>
      <c r="G3014" s="20" t="s">
        <v>803</v>
      </c>
      <c r="H3014" s="20" t="s">
        <v>804</v>
      </c>
      <c r="I3014" s="20" t="s">
        <v>805</v>
      </c>
      <c r="J3014" s="20" t="s">
        <v>806</v>
      </c>
      <c r="K3014" s="20" t="s">
        <v>807</v>
      </c>
      <c r="L3014" s="4" t="s">
        <v>47</v>
      </c>
    </row>
    <row r="3015" customFormat="false" ht="17.15" hidden="false" customHeight="false" outlineLevel="0" collapsed="false">
      <c r="A3015" s="0" t="s">
        <v>874</v>
      </c>
      <c r="B3015" s="0" t="s">
        <v>98</v>
      </c>
      <c r="D3015" s="6" t="n">
        <f aca="false">Sens!D2994</f>
        <v>12.9359794422418</v>
      </c>
      <c r="E3015" s="6" t="n">
        <f aca="false">Sens!E2994</f>
        <v>27.8095064661409</v>
      </c>
      <c r="F3015" s="6" t="n">
        <f aca="false">Sens!F2994</f>
        <v>44.6254948777308</v>
      </c>
      <c r="G3015" s="6" t="n">
        <f aca="false">Sens!G2994</f>
        <v>56.0674797551436</v>
      </c>
      <c r="H3015" s="6" t="n">
        <f aca="false">Sens!H2994</f>
        <v>62.8454283172966</v>
      </c>
      <c r="I3015" s="6" t="n">
        <f aca="false">Sens!I2994</f>
        <v>64.4773296666165</v>
      </c>
      <c r="J3015" s="6" t="n">
        <f aca="false">Sens!J2994</f>
        <v>66.9418337451812</v>
      </c>
      <c r="K3015" s="6" t="n">
        <f aca="false">Sens!K2994</f>
        <v>71.8375377931408</v>
      </c>
    </row>
    <row r="3016" customFormat="false" ht="17.15" hidden="false" customHeight="false" outlineLevel="0" collapsed="false">
      <c r="A3016" s="0" t="s">
        <v>875</v>
      </c>
      <c r="B3016" s="0" t="s">
        <v>98</v>
      </c>
      <c r="D3016" s="6" t="n">
        <f aca="false">Q!L6-Sens!D3015</f>
        <v>59.6740205577583</v>
      </c>
      <c r="E3016" s="6" t="n">
        <f aca="false">Q!M6-Sens!E3015</f>
        <v>74.1284935338591</v>
      </c>
      <c r="F3016" s="6" t="n">
        <f aca="false">Sens!E3016*(1+Sens!F3017)</f>
        <v>90.0799497373663</v>
      </c>
      <c r="G3016" s="6" t="n">
        <f aca="false">Sens!F3016*(1+Sens!G3017)</f>
        <v>107.02842520331</v>
      </c>
      <c r="H3016" s="6" t="n">
        <f aca="false">Sens!G3016*(1+Sens!H3017)</f>
        <v>124.271982585636</v>
      </c>
      <c r="I3016" s="6" t="n">
        <f aca="false">Sens!H3016*(1+Sens!I3017)</f>
        <v>140.933702381855</v>
      </c>
      <c r="J3016" s="6" t="n">
        <f aca="false">Sens!I3016*(1+Sens!J3017)</f>
        <v>156.018867314332</v>
      </c>
      <c r="K3016" s="6" t="n">
        <f aca="false">Sens!J3016*(1+Sens!K3017)</f>
        <v>168.500376699478</v>
      </c>
    </row>
    <row r="3017" customFormat="false" ht="15" hidden="false" customHeight="false" outlineLevel="0" collapsed="false">
      <c r="A3017" s="1" t="s">
        <v>876</v>
      </c>
      <c r="B3017" s="0" t="s">
        <v>129</v>
      </c>
      <c r="E3017" s="7" t="n">
        <f aca="false">Sens!E3016/Sens!D3016-1</f>
        <v>0.242223883039864</v>
      </c>
      <c r="F3017" s="7" t="n">
        <f aca="false">Sens!$E$3017+(glt_azo-Sens!$E$3017)*MIN(1,(Sens!F2977-base_fy)/n_conv)</f>
        <v>0.215186569199887</v>
      </c>
      <c r="G3017" s="7" t="n">
        <f aca="false">Sens!$E$3017+(glt_azo-Sens!$E$3017)*MIN(1,(Sens!G2977-base_fy)/n_conv)</f>
        <v>0.18814925535991</v>
      </c>
      <c r="H3017" s="7" t="n">
        <f aca="false">Sens!$E$3017+(glt_azo-Sens!$E$3017)*MIN(1,(Sens!H2977-base_fy)/n_conv)</f>
        <v>0.161111941519932</v>
      </c>
      <c r="I3017" s="7" t="n">
        <f aca="false">Sens!$E$3017+(glt_azo-Sens!$E$3017)*MIN(1,(Sens!I2977-base_fy)/n_conv)</f>
        <v>0.134074627679955</v>
      </c>
      <c r="J3017" s="7" t="n">
        <f aca="false">Sens!$E$3017+(glt_azo-Sens!$E$3017)*MIN(1,(Sens!J2977-base_fy)/n_conv)</f>
        <v>0.107037313839977</v>
      </c>
      <c r="K3017" s="7" t="n">
        <f aca="false">Sens!$E$3017+(glt_azo-Sens!$E$3017)*MIN(1,(Sens!K2977-base_fy)/n_conv)</f>
        <v>0.08</v>
      </c>
    </row>
    <row r="3018" customFormat="false" ht="15" hidden="false" customHeight="false" outlineLevel="0" collapsed="false">
      <c r="A3018" s="0" t="s">
        <v>877</v>
      </c>
      <c r="B3018" s="0" t="s">
        <v>98</v>
      </c>
      <c r="D3018" s="6" t="n">
        <f aca="false">Sens!D3015+Sens!D3016</f>
        <v>72.61</v>
      </c>
      <c r="E3018" s="6" t="n">
        <f aca="false">Sens!E3015+Sens!E3016</f>
        <v>101.938</v>
      </c>
      <c r="F3018" s="6" t="n">
        <f aca="false">Sens!F3015+Sens!F3016</f>
        <v>134.705444615097</v>
      </c>
      <c r="G3018" s="6" t="n">
        <f aca="false">Sens!G3015+Sens!G3016</f>
        <v>163.095904958453</v>
      </c>
      <c r="H3018" s="6" t="n">
        <f aca="false">Sens!H3015+Sens!H3016</f>
        <v>187.117410902933</v>
      </c>
      <c r="I3018" s="6" t="n">
        <f aca="false">Sens!I3015+Sens!I3016</f>
        <v>205.411032048471</v>
      </c>
      <c r="J3018" s="6" t="n">
        <f aca="false">Sens!J3015+Sens!J3016</f>
        <v>222.960701059513</v>
      </c>
      <c r="K3018" s="6" t="n">
        <f aca="false">Sens!K3015+Sens!K3016</f>
        <v>240.337914492619</v>
      </c>
    </row>
    <row r="3019" customFormat="false" ht="17.15" hidden="false" customHeight="false" outlineLevel="0" collapsed="false">
      <c r="A3019" s="0" t="s">
        <v>878</v>
      </c>
      <c r="B3019" s="1" t="s">
        <v>528</v>
      </c>
      <c r="C3019" s="29" t="n">
        <f aca="false">cop_s24</f>
        <v>1</v>
      </c>
      <c r="D3019" s="29" t="n">
        <f aca="false">cop_s25</f>
        <v>5</v>
      </c>
      <c r="E3019" s="29" t="n">
        <f aca="false">cop_s26</f>
        <v>30</v>
      </c>
      <c r="F3019" s="29" t="n">
        <f aca="false">Sens!E3019+cop_add_A</f>
        <v>60</v>
      </c>
      <c r="G3019" s="29" t="n">
        <f aca="false">Sens!F3019+cop_add_A</f>
        <v>90</v>
      </c>
      <c r="H3019" s="29" t="n">
        <f aca="false">Sens!G3019+cop_add_A</f>
        <v>120</v>
      </c>
      <c r="I3019" s="29" t="n">
        <f aca="false">Sens!H3019+cop_add_A*cop_tail</f>
        <v>135</v>
      </c>
      <c r="J3019" s="29" t="n">
        <f aca="false">Sens!I3019+cop_add_A*cop_tail</f>
        <v>150</v>
      </c>
      <c r="K3019" s="29" t="n">
        <f aca="false">Sens!J3019+cop_add_A*cop_tail</f>
        <v>165</v>
      </c>
      <c r="L3019" s="11" t="s">
        <v>879</v>
      </c>
    </row>
    <row r="3020" customFormat="false" ht="17.15" hidden="false" customHeight="false" outlineLevel="0" collapsed="false">
      <c r="A3020" s="0" t="s">
        <v>880</v>
      </c>
      <c r="B3020" s="0" t="s">
        <v>98</v>
      </c>
      <c r="D3020" s="6" t="n">
        <f aca="false">(Sens!C3019+Sens!D3019)/2*cop_px*12/1000</f>
        <v>0.9</v>
      </c>
      <c r="E3020" s="6" t="n">
        <f aca="false">(Sens!D3019+Sens!E3019)/2*cop_px*12/1000</f>
        <v>5.25</v>
      </c>
      <c r="F3020" s="6" t="n">
        <f aca="false">(Sens!E3019+Sens!F3019)/2*cop_px*12/1000</f>
        <v>13.5</v>
      </c>
      <c r="G3020" s="6" t="n">
        <f aca="false">(Sens!F3019+Sens!G3019)/2*cop_px*12/1000</f>
        <v>22.5</v>
      </c>
      <c r="H3020" s="6" t="n">
        <f aca="false">(Sens!G3019+Sens!H3019)/2*cop_px*12/1000</f>
        <v>31.5</v>
      </c>
      <c r="I3020" s="6" t="n">
        <f aca="false">(Sens!H3019+Sens!I3019)/2*cop_px*12/1000</f>
        <v>38.25</v>
      </c>
      <c r="J3020" s="6" t="n">
        <f aca="false">(Sens!I3019+Sens!J3019)/2*cop_px*12/1000</f>
        <v>42.75</v>
      </c>
      <c r="K3020" s="6" t="n">
        <f aca="false">(Sens!J3019+Sens!K3019)/2*cop_px*12/1000</f>
        <v>47.25</v>
      </c>
      <c r="L3020" s="1" t="s">
        <v>881</v>
      </c>
    </row>
    <row r="3021" customFormat="false" ht="17.15" hidden="false" customHeight="false" outlineLevel="0" collapsed="false">
      <c r="A3021" s="0" t="s">
        <v>882</v>
      </c>
      <c r="B3021" s="0" t="s">
        <v>98</v>
      </c>
      <c r="D3021" s="6" t="n">
        <f aca="false">Q!L7-Sens!D3020</f>
        <v>83.705</v>
      </c>
      <c r="E3021" s="6" t="n">
        <f aca="false">Q!M7-Sens!E3020</f>
        <v>95.049</v>
      </c>
      <c r="F3021" s="6" t="n">
        <f aca="false">Sens!E3021*(1+Sens!F3022)</f>
        <v>106.89238776686</v>
      </c>
      <c r="G3021" s="6" t="n">
        <f aca="false">Sens!F3021*(1+Sens!G3022)</f>
        <v>119.044168448684</v>
      </c>
      <c r="H3021" s="6" t="n">
        <f aca="false">Sens!G3021*(1+Sens!H3022)</f>
        <v>131.277359388781</v>
      </c>
      <c r="I3021" s="6" t="n">
        <f aca="false">Sens!H3021*(1+Sens!I3022)</f>
        <v>143.334028071957</v>
      </c>
      <c r="J3021" s="6" t="n">
        <f aca="false">Sens!I3021*(1+Sens!J3022)</f>
        <v>154.932702785465</v>
      </c>
      <c r="K3021" s="6" t="n">
        <f aca="false">Sens!J3021*(1+Sens!K3022)</f>
        <v>165.777991980448</v>
      </c>
    </row>
    <row r="3022" customFormat="false" ht="15" hidden="false" customHeight="false" outlineLevel="0" collapsed="false">
      <c r="A3022" s="1" t="s">
        <v>876</v>
      </c>
      <c r="B3022" s="0" t="s">
        <v>129</v>
      </c>
      <c r="E3022" s="7" t="n">
        <f aca="false">Sens!E3021/Sens!D3021-1</f>
        <v>0.135523564900544</v>
      </c>
      <c r="F3022" s="7" t="n">
        <f aca="false">Sens!$E$3022+(glt_m365b-Sens!$E$3022)*MIN(1,(Sens!F2977-base_fy)/n_conv)</f>
        <v>0.124602970750453</v>
      </c>
      <c r="G3022" s="7" t="n">
        <f aca="false">Sens!$E$3022+(glt_m365b-Sens!$E$3022)*MIN(1,(Sens!G2977-base_fy)/n_conv)</f>
        <v>0.113682376600363</v>
      </c>
      <c r="H3022" s="7" t="n">
        <f aca="false">Sens!$E$3022+(glt_m365b-Sens!$E$3022)*MIN(1,(Sens!H2977-base_fy)/n_conv)</f>
        <v>0.102761782450272</v>
      </c>
      <c r="I3022" s="7" t="n">
        <f aca="false">Sens!$E$3022+(glt_m365b-Sens!$E$3022)*MIN(1,(Sens!I2977-base_fy)/n_conv)</f>
        <v>0.0918411883001813</v>
      </c>
      <c r="J3022" s="7" t="n">
        <f aca="false">Sens!$E$3022+(glt_m365b-Sens!$E$3022)*MIN(1,(Sens!J2977-base_fy)/n_conv)</f>
        <v>0.0809205941500906</v>
      </c>
      <c r="K3022" s="7" t="n">
        <f aca="false">Sens!$E$3022+(glt_m365b-Sens!$E$3022)*MIN(1,(Sens!K2977-base_fy)/n_conv)</f>
        <v>0.07</v>
      </c>
    </row>
    <row r="3023" customFormat="false" ht="15" hidden="false" customHeight="false" outlineLevel="0" collapsed="false">
      <c r="A3023" s="0" t="s">
        <v>883</v>
      </c>
      <c r="B3023" s="0" t="s">
        <v>98</v>
      </c>
      <c r="D3023" s="6" t="n">
        <f aca="false">Sens!D3021+Sens!D3020</f>
        <v>84.605</v>
      </c>
      <c r="E3023" s="6" t="n">
        <f aca="false">Sens!E3021+Sens!E3020</f>
        <v>100.299</v>
      </c>
      <c r="F3023" s="6" t="n">
        <f aca="false">Sens!F3021+Sens!F3020</f>
        <v>120.39238776686</v>
      </c>
      <c r="G3023" s="6" t="n">
        <f aca="false">Sens!G3021+Sens!G3020</f>
        <v>141.544168448684</v>
      </c>
      <c r="H3023" s="6" t="n">
        <f aca="false">Sens!H3021+Sens!H3020</f>
        <v>162.777359388781</v>
      </c>
      <c r="I3023" s="6" t="n">
        <f aca="false">Sens!I3021+Sens!I3020</f>
        <v>181.584028071957</v>
      </c>
      <c r="J3023" s="6" t="n">
        <f aca="false">Sens!J3021+Sens!J3020</f>
        <v>197.682702785465</v>
      </c>
      <c r="K3023" s="6" t="n">
        <f aca="false">Sens!K3021+Sens!K3020</f>
        <v>213.027991980448</v>
      </c>
    </row>
    <row r="3024" customFormat="false" ht="15" hidden="false" customHeight="false" outlineLevel="0" collapsed="false">
      <c r="A3024" s="0" t="s">
        <v>884</v>
      </c>
      <c r="B3024" s="0" t="s">
        <v>98</v>
      </c>
      <c r="D3024" s="6" t="n">
        <f aca="false">Q!L8</f>
        <v>35.391</v>
      </c>
      <c r="E3024" s="6" t="n">
        <f aca="false">Q!M8</f>
        <v>37.285</v>
      </c>
      <c r="F3024" s="6" t="n">
        <f aca="false">Sens!E3024*(1+Sens!F3025)</f>
        <v>39.0720834331704</v>
      </c>
      <c r="G3024" s="6" t="n">
        <f aca="false">Sens!F3024*(1+Sens!G3025)</f>
        <v>40.726562953769</v>
      </c>
      <c r="H3024" s="6" t="n">
        <f aca="false">Sens!G3024*(1+Sens!H3025)</f>
        <v>42.2235987259198</v>
      </c>
      <c r="I3024" s="6" t="n">
        <f aca="false">Sens!H3024*(1+Sens!I3025)</f>
        <v>43.5397988077414</v>
      </c>
      <c r="J3024" s="6" t="n">
        <f aca="false">Sens!I3024*(1+Sens!J3025)</f>
        <v>44.653811225693</v>
      </c>
      <c r="K3024" s="6" t="n">
        <f aca="false">Sens!J3024*(1+Sens!K3025)</f>
        <v>45.5468874502068</v>
      </c>
    </row>
    <row r="3025" customFormat="false" ht="15" hidden="false" customHeight="false" outlineLevel="0" collapsed="false">
      <c r="A3025" s="1" t="s">
        <v>876</v>
      </c>
      <c r="B3025" s="0" t="s">
        <v>129</v>
      </c>
      <c r="E3025" s="7" t="n">
        <f aca="false">Sens!E3024/Sens!D3024-1</f>
        <v>0.0535164307309768</v>
      </c>
      <c r="F3025" s="7" t="n">
        <f aca="false">Sens!$E$3025+(glt_lic-Sens!$E$3025)*MIN(1,(Sens!F2977-base_fy)/n_conv)</f>
        <v>0.0479303589424807</v>
      </c>
      <c r="G3025" s="7" t="n">
        <f aca="false">Sens!$E$3025+(glt_lic-Sens!$E$3025)*MIN(1,(Sens!G2977-base_fy)/n_conv)</f>
        <v>0.0423442871539845</v>
      </c>
      <c r="H3025" s="7" t="n">
        <f aca="false">Sens!$E$3025+(glt_lic-Sens!$E$3025)*MIN(1,(Sens!H2977-base_fy)/n_conv)</f>
        <v>0.0367582153654884</v>
      </c>
      <c r="I3025" s="7" t="n">
        <f aca="false">Sens!$E$3025+(glt_lic-Sens!$E$3025)*MIN(1,(Sens!I2977-base_fy)/n_conv)</f>
        <v>0.0311721435769923</v>
      </c>
      <c r="J3025" s="7" t="n">
        <f aca="false">Sens!$E$3025+(glt_lic-Sens!$E$3025)*MIN(1,(Sens!J2977-base_fy)/n_conv)</f>
        <v>0.0255860717884961</v>
      </c>
      <c r="K3025" s="7" t="n">
        <f aca="false">Sens!$E$3025+(glt_lic-Sens!$E$3025)*MIN(1,(Sens!K2977-base_fy)/n_conv)</f>
        <v>0.02</v>
      </c>
    </row>
    <row r="3026" customFormat="false" ht="15" hidden="false" customHeight="false" outlineLevel="0" collapsed="false">
      <c r="A3026" s="0" t="s">
        <v>885</v>
      </c>
      <c r="B3026" s="0" t="s">
        <v>98</v>
      </c>
      <c r="D3026" s="6" t="n">
        <f aca="false">Q!L9</f>
        <v>18.417</v>
      </c>
      <c r="E3026" s="6" t="n">
        <f aca="false">Q!M9</f>
        <v>20.345</v>
      </c>
      <c r="F3026" s="6" t="n">
        <f aca="false">Sens!E3026*(1+Sens!F3027)</f>
        <v>22.3572203267814</v>
      </c>
      <c r="G3026" s="6" t="n">
        <f aca="false">Sens!F3026*(1+Sens!G3027)</f>
        <v>24.4392124437232</v>
      </c>
      <c r="H3026" s="6" t="n">
        <f aca="false">Sens!G3026*(1+Sens!H3027)</f>
        <v>26.5738052080665</v>
      </c>
      <c r="I3026" s="6" t="n">
        <f aca="false">Sens!H3026*(1+Sens!I3027)</f>
        <v>28.7412169166967</v>
      </c>
      <c r="J3026" s="6" t="n">
        <f aca="false">Sens!I3026*(1+Sens!J3027)</f>
        <v>30.9192545395413</v>
      </c>
      <c r="K3026" s="6" t="n">
        <f aca="false">Sens!J3026*(1+Sens!K3027)</f>
        <v>33.0836023573092</v>
      </c>
    </row>
    <row r="3027" customFormat="false" ht="15" hidden="false" customHeight="false" outlineLevel="0" collapsed="false">
      <c r="A3027" s="1" t="s">
        <v>876</v>
      </c>
      <c r="B3027" s="0" t="s">
        <v>129</v>
      </c>
      <c r="E3027" s="7" t="n">
        <f aca="false">Sens!E3026/Sens!D3026-1</f>
        <v>0.104685888038225</v>
      </c>
      <c r="F3027" s="7" t="n">
        <f aca="false">Sens!$E$3027+(glt_ind-Sens!$E$3027)*MIN(1,(Sens!F2977-base_fy)/n_conv)</f>
        <v>0.0989049066985211</v>
      </c>
      <c r="G3027" s="7" t="n">
        <f aca="false">Sens!$E$3027+(glt_ind-Sens!$E$3027)*MIN(1,(Sens!G2977-base_fy)/n_conv)</f>
        <v>0.0931239253588169</v>
      </c>
      <c r="H3027" s="7" t="n">
        <f aca="false">Sens!$E$3027+(glt_ind-Sens!$E$3027)*MIN(1,(Sens!H2977-base_fy)/n_conv)</f>
        <v>0.0873429440191127</v>
      </c>
      <c r="I3027" s="7" t="n">
        <f aca="false">Sens!$E$3027+(glt_ind-Sens!$E$3027)*MIN(1,(Sens!I2977-base_fy)/n_conv)</f>
        <v>0.0815619626794085</v>
      </c>
      <c r="J3027" s="7" t="n">
        <f aca="false">Sens!$E$3027+(glt_ind-Sens!$E$3027)*MIN(1,(Sens!J2977-base_fy)/n_conv)</f>
        <v>0.0757809813397042</v>
      </c>
      <c r="K3027" s="7" t="n">
        <f aca="false">Sens!$E$3027+(glt_ind-Sens!$E$3027)*MIN(1,(Sens!K2977-base_fy)/n_conv)</f>
        <v>0.07</v>
      </c>
    </row>
    <row r="3028" customFormat="false" ht="15" hidden="false" customHeight="false" outlineLevel="0" collapsed="false">
      <c r="A3028" s="0" t="s">
        <v>886</v>
      </c>
      <c r="B3028" s="0" t="s">
        <v>98</v>
      </c>
      <c r="D3028" s="6" t="n">
        <f aca="false">Q!L10</f>
        <v>7.76</v>
      </c>
      <c r="E3028" s="6" t="n">
        <f aca="false">Q!M10</f>
        <v>8.26</v>
      </c>
      <c r="F3028" s="6" t="n">
        <f aca="false">Sens!E3028*(1+Sens!F3029)</f>
        <v>8.79988041237113</v>
      </c>
      <c r="G3028" s="6" t="n">
        <f aca="false">Sens!F3028*(1+Sens!G3029)</f>
        <v>9.38321269125306</v>
      </c>
      <c r="H3028" s="6" t="n">
        <f aca="false">Sens!G3028*(1+Sens!H3029)</f>
        <v>10.0139193587476</v>
      </c>
      <c r="I3028" s="6" t="n">
        <f aca="false">Sens!H3028*(1+Sens!I3029)</f>
        <v>10.6963111830911</v>
      </c>
      <c r="J3028" s="6" t="n">
        <f aca="false">Sens!I3028*(1+Sens!J3029)</f>
        <v>11.4351285534696</v>
      </c>
      <c r="K3028" s="6" t="n">
        <f aca="false">Sens!J3028*(1+Sens!K3029)</f>
        <v>12.2355875522124</v>
      </c>
    </row>
    <row r="3029" customFormat="false" ht="15" hidden="false" customHeight="false" outlineLevel="0" collapsed="false">
      <c r="A3029" s="1" t="s">
        <v>876</v>
      </c>
      <c r="B3029" s="0" t="s">
        <v>129</v>
      </c>
      <c r="E3029" s="7" t="n">
        <f aca="false">Sens!E3028/Sens!D3028-1</f>
        <v>0.0644329896907216</v>
      </c>
      <c r="F3029" s="7" t="n">
        <f aca="false">Sens!$E$3029+(glt_fro-Sens!$E$3029)*MIN(1,(Sens!F2977-base_fy)/n_conv)</f>
        <v>0.065360824742268</v>
      </c>
      <c r="G3029" s="7" t="n">
        <f aca="false">Sens!$E$3029+(glt_fro-Sens!$E$3029)*MIN(1,(Sens!G2977-base_fy)/n_conv)</f>
        <v>0.0662886597938144</v>
      </c>
      <c r="H3029" s="7" t="n">
        <f aca="false">Sens!$E$3029+(glt_fro-Sens!$E$3029)*MIN(1,(Sens!H2977-base_fy)/n_conv)</f>
        <v>0.0672164948453608</v>
      </c>
      <c r="I3029" s="7" t="n">
        <f aca="false">Sens!$E$3029+(glt_fro-Sens!$E$3029)*MIN(1,(Sens!I2977-base_fy)/n_conv)</f>
        <v>0.0681443298969072</v>
      </c>
      <c r="J3029" s="7" t="n">
        <f aca="false">Sens!$E$3029+(glt_fro-Sens!$E$3029)*MIN(1,(Sens!J2977-base_fy)/n_conv)</f>
        <v>0.0690721649484536</v>
      </c>
      <c r="K3029" s="7" t="n">
        <f aca="false">Sens!$E$3029+(glt_fro-Sens!$E$3029)*MIN(1,(Sens!K2977-base_fy)/n_conv)</f>
        <v>0.07</v>
      </c>
    </row>
    <row r="3030" customFormat="false" ht="15" hidden="false" customHeight="false" outlineLevel="0" collapsed="false">
      <c r="A3030" s="0" t="s">
        <v>715</v>
      </c>
      <c r="B3030" s="0" t="s">
        <v>98</v>
      </c>
      <c r="D3030" s="6" t="n">
        <f aca="false">Sens!D3018+Sens!D3023+Sens!D3024+Sens!D3026+Sens!D3028</f>
        <v>218.783</v>
      </c>
      <c r="E3030" s="6" t="n">
        <f aca="false">Sens!E3018+Sens!E3023+Sens!E3024+Sens!E3026+Sens!E3028</f>
        <v>268.127</v>
      </c>
      <c r="F3030" s="6" t="n">
        <f aca="false">Sens!F3018+Sens!F3023+Sens!F3024+Sens!F3026+Sens!F3028</f>
        <v>325.32701655428</v>
      </c>
      <c r="G3030" s="6" t="n">
        <f aca="false">Sens!G3018+Sens!G3023+Sens!G3024+Sens!G3026+Sens!G3028</f>
        <v>379.189061495883</v>
      </c>
      <c r="H3030" s="6" t="n">
        <f aca="false">Sens!H3018+Sens!H3023+Sens!H3024+Sens!H3026+Sens!H3028</f>
        <v>428.706093584448</v>
      </c>
      <c r="I3030" s="6" t="n">
        <f aca="false">Sens!I3018+Sens!I3023+Sens!I3024+Sens!I3026+Sens!I3028</f>
        <v>469.972387027957</v>
      </c>
      <c r="J3030" s="6" t="n">
        <f aca="false">Sens!J3018+Sens!J3023+Sens!J3024+Sens!J3026+Sens!J3028</f>
        <v>507.651598163682</v>
      </c>
      <c r="K3030" s="6" t="n">
        <f aca="false">Sens!K3018+Sens!K3023+Sens!K3024+Sens!K3026+Sens!K3028</f>
        <v>544.231983832795</v>
      </c>
    </row>
    <row r="3031" customFormat="false" ht="15" hidden="false" customHeight="false" outlineLevel="0" collapsed="false">
      <c r="A3031" s="0" t="s">
        <v>887</v>
      </c>
      <c r="B3031" s="0" t="s">
        <v>98</v>
      </c>
      <c r="D3031" s="6" t="n">
        <f aca="false">Q!L13</f>
        <v>22.171</v>
      </c>
      <c r="E3031" s="6" t="n">
        <f aca="false">Q!M13</f>
        <v>24.835</v>
      </c>
      <c r="F3031" s="6" t="n">
        <f aca="false">Sens!E3031*(1+Sens!F3032)</f>
        <v>27.6114901218559</v>
      </c>
      <c r="G3031" s="6" t="n">
        <f aca="false">Sens!F3031*(1+Sens!G3032)</f>
        <v>30.4675667338515</v>
      </c>
      <c r="H3031" s="6" t="n">
        <f aca="false">Sens!G3031*(1+Sens!H3032)</f>
        <v>33.3643766955789</v>
      </c>
      <c r="I3031" s="6" t="n">
        <f aca="false">Sens!H3031*(1+Sens!I3032)</f>
        <v>36.2577016533691</v>
      </c>
      <c r="J3031" s="6" t="n">
        <f aca="false">Sens!I3031*(1+Sens!J3032)</f>
        <v>39.0988367952171</v>
      </c>
      <c r="K3031" s="6" t="n">
        <f aca="false">Sens!J3031*(1+Sens!K3032)</f>
        <v>41.8357553708823</v>
      </c>
    </row>
    <row r="3032" customFormat="false" ht="15" hidden="false" customHeight="false" outlineLevel="0" collapsed="false">
      <c r="A3032" s="1" t="s">
        <v>876</v>
      </c>
      <c r="B3032" s="0" t="s">
        <v>129</v>
      </c>
      <c r="E3032" s="7" t="n">
        <f aca="false">Sens!E3031/Sens!D3031-1</f>
        <v>0.120156961796942</v>
      </c>
      <c r="F3032" s="7" t="n">
        <f aca="false">Sens!$E$3032+(glt_srch-Sens!$E$3032)*MIN(1,(Sens!F2977-base_fy)/n_conv)</f>
        <v>0.111797468164118</v>
      </c>
      <c r="G3032" s="7" t="n">
        <f aca="false">Sens!$E$3032+(glt_srch-Sens!$E$3032)*MIN(1,(Sens!G2977-base_fy)/n_conv)</f>
        <v>0.103437974531295</v>
      </c>
      <c r="H3032" s="7" t="n">
        <f aca="false">Sens!$E$3032+(glt_srch-Sens!$E$3032)*MIN(1,(Sens!H2977-base_fy)/n_conv)</f>
        <v>0.095078480898471</v>
      </c>
      <c r="I3032" s="7" t="n">
        <f aca="false">Sens!$E$3032+(glt_srch-Sens!$E$3032)*MIN(1,(Sens!I2977-base_fy)/n_conv)</f>
        <v>0.0867189872656474</v>
      </c>
      <c r="J3032" s="7" t="n">
        <f aca="false">Sens!$E$3032+(glt_srch-Sens!$E$3032)*MIN(1,(Sens!J2977-base_fy)/n_conv)</f>
        <v>0.0783594936328237</v>
      </c>
      <c r="K3032" s="7" t="n">
        <f aca="false">Sens!$E$3032+(glt_srch-Sens!$E$3032)*MIN(1,(Sens!K2977-base_fy)/n_conv)</f>
        <v>0.07</v>
      </c>
    </row>
    <row r="3033" customFormat="false" ht="15" hidden="false" customHeight="false" outlineLevel="0" collapsed="false">
      <c r="A3033" s="0" t="s">
        <v>888</v>
      </c>
      <c r="B3033" s="0" t="s">
        <v>98</v>
      </c>
      <c r="D3033" s="6" t="n">
        <f aca="false">Q!L14</f>
        <v>23.455</v>
      </c>
      <c r="E3033" s="6" t="n">
        <f aca="false">Q!M14</f>
        <v>21.79</v>
      </c>
      <c r="F3033" s="6" t="n">
        <f aca="false">Sens!E3033*(1+Sens!F3034)</f>
        <v>20.5736277908051</v>
      </c>
      <c r="G3033" s="6" t="n">
        <f aca="false">Sens!F3033*(1+Sens!G3034)</f>
        <v>19.7371452817919</v>
      </c>
      <c r="H3033" s="6" t="n">
        <f aca="false">Sens!G3033*(1+Sens!H3034)</f>
        <v>19.2339764043138</v>
      </c>
      <c r="I3033" s="6" t="n">
        <f aca="false">Sens!H3033*(1+Sens!I3034)</f>
        <v>19.0353086852681</v>
      </c>
      <c r="J3033" s="6" t="n">
        <f aca="false">Sens!I3033*(1+Sens!J3034)</f>
        <v>19.1273539319129</v>
      </c>
      <c r="K3033" s="6" t="n">
        <f aca="false">Sens!J3033*(1+Sens!K3034)</f>
        <v>19.5099010105511</v>
      </c>
    </row>
    <row r="3034" customFormat="false" ht="15" hidden="false" customHeight="false" outlineLevel="0" collapsed="false">
      <c r="A3034" s="1" t="s">
        <v>876</v>
      </c>
      <c r="B3034" s="0" t="s">
        <v>129</v>
      </c>
      <c r="E3034" s="7" t="n">
        <f aca="false">Sens!E3033/Sens!D3033-1</f>
        <v>-0.0709869963760392</v>
      </c>
      <c r="F3034" s="7" t="n">
        <f aca="false">Sens!$E$3034+(glt_xbox-Sens!$E$3034)*MIN(1,(Sens!F2977-base_fy)/n_conv)</f>
        <v>-0.0558224969800327</v>
      </c>
      <c r="G3034" s="7" t="n">
        <f aca="false">Sens!$E$3034+(glt_xbox-Sens!$E$3034)*MIN(1,(Sens!G2977-base_fy)/n_conv)</f>
        <v>-0.0406579975840262</v>
      </c>
      <c r="H3034" s="7" t="n">
        <f aca="false">Sens!$E$3034+(glt_xbox-Sens!$E$3034)*MIN(1,(Sens!H2977-base_fy)/n_conv)</f>
        <v>-0.0254934981880196</v>
      </c>
      <c r="I3034" s="7" t="n">
        <f aca="false">Sens!$E$3034+(glt_xbox-Sens!$E$3034)*MIN(1,(Sens!I2977-base_fy)/n_conv)</f>
        <v>-0.0103289987920131</v>
      </c>
      <c r="J3034" s="7" t="n">
        <f aca="false">Sens!$E$3034+(glt_xbox-Sens!$E$3034)*MIN(1,(Sens!J2977-base_fy)/n_conv)</f>
        <v>0.00483550060399347</v>
      </c>
      <c r="K3034" s="7" t="n">
        <f aca="false">Sens!$E$3034+(glt_xbox-Sens!$E$3034)*MIN(1,(Sens!K2977-base_fy)/n_conv)</f>
        <v>0.02</v>
      </c>
    </row>
    <row r="3035" customFormat="false" ht="15" hidden="false" customHeight="false" outlineLevel="0" collapsed="false">
      <c r="A3035" s="0" t="s">
        <v>889</v>
      </c>
      <c r="B3035" s="0" t="s">
        <v>98</v>
      </c>
      <c r="D3035" s="6" t="n">
        <f aca="false">Q!L15</f>
        <v>17.315</v>
      </c>
      <c r="E3035" s="6" t="n">
        <f aca="false">Q!M15</f>
        <v>17.087</v>
      </c>
      <c r="F3035" s="6" t="n">
        <f aca="false">Sens!E3035*(1+Sens!F3036)</f>
        <v>16.9564585436519</v>
      </c>
      <c r="G3035" s="6" t="n">
        <f aca="false">Sens!F3035*(1+Sens!G3036)</f>
        <v>16.9206490624268</v>
      </c>
      <c r="H3035" s="6" t="n">
        <f aca="false">Sens!G3035*(1+Sens!H3036)</f>
        <v>16.9784519149849</v>
      </c>
      <c r="I3035" s="6" t="n">
        <f aca="false">Sens!H3035*(1+Sens!I3036)</f>
        <v>17.1303084701817</v>
      </c>
      <c r="J3035" s="6" t="n">
        <f aca="false">Sens!I3035*(1+Sens!J3036)</f>
        <v>17.3782189407267</v>
      </c>
      <c r="K3035" s="6" t="n">
        <f aca="false">Sens!J3035*(1+Sens!K3036)</f>
        <v>17.7257833195413</v>
      </c>
    </row>
    <row r="3036" customFormat="false" ht="15" hidden="false" customHeight="false" outlineLevel="0" collapsed="false">
      <c r="A3036" s="1" t="s">
        <v>876</v>
      </c>
      <c r="B3036" s="0" t="s">
        <v>129</v>
      </c>
      <c r="E3036" s="7" t="n">
        <f aca="false">Sens!E3035/Sens!D3035-1</f>
        <v>-0.0131677736066995</v>
      </c>
      <c r="F3036" s="7" t="n">
        <f aca="false">Sens!$E$3036+(glt_win-Sens!$E$3036)*MIN(1,(Sens!F2977-base_fy)/n_conv)</f>
        <v>-0.00763981133891627</v>
      </c>
      <c r="G3036" s="7" t="n">
        <f aca="false">Sens!$E$3036+(glt_win-Sens!$E$3036)*MIN(1,(Sens!G2977-base_fy)/n_conv)</f>
        <v>-0.00211184907113301</v>
      </c>
      <c r="H3036" s="7" t="n">
        <f aca="false">Sens!$E$3036+(glt_win-Sens!$E$3036)*MIN(1,(Sens!H2977-base_fy)/n_conv)</f>
        <v>0.00341611319665024</v>
      </c>
      <c r="I3036" s="7" t="n">
        <f aca="false">Sens!$E$3036+(glt_win-Sens!$E$3036)*MIN(1,(Sens!I2977-base_fy)/n_conv)</f>
        <v>0.00894407546443349</v>
      </c>
      <c r="J3036" s="7" t="n">
        <f aca="false">Sens!$E$3036+(glt_win-Sens!$E$3036)*MIN(1,(Sens!J2977-base_fy)/n_conv)</f>
        <v>0.0144720377322168</v>
      </c>
      <c r="K3036" s="7" t="n">
        <f aca="false">Sens!$E$3036+(glt_win-Sens!$E$3036)*MIN(1,(Sens!K2977-base_fy)/n_conv)</f>
        <v>0.02</v>
      </c>
    </row>
    <row r="3037" customFormat="false" ht="15" hidden="false" customHeight="false" outlineLevel="0" collapsed="false">
      <c r="A3037" s="0" t="s">
        <v>729</v>
      </c>
      <c r="B3037" s="0" t="s">
        <v>98</v>
      </c>
      <c r="D3037" s="6" t="n">
        <f aca="false">Sens!D3031+Sens!D3033+Sens!D3035</f>
        <v>62.941</v>
      </c>
      <c r="E3037" s="6" t="n">
        <f aca="false">Sens!E3031+Sens!E3033+Sens!E3035</f>
        <v>63.712</v>
      </c>
      <c r="F3037" s="6" t="n">
        <f aca="false">Sens!F3031+Sens!F3033+Sens!F3035</f>
        <v>65.1415764563129</v>
      </c>
      <c r="G3037" s="6" t="n">
        <f aca="false">Sens!G3031+Sens!G3033+Sens!G3035</f>
        <v>67.1253610780702</v>
      </c>
      <c r="H3037" s="6" t="n">
        <f aca="false">Sens!H3031+Sens!H3033+Sens!H3035</f>
        <v>69.5768050148776</v>
      </c>
      <c r="I3037" s="6" t="n">
        <f aca="false">Sens!I3031+Sens!I3033+Sens!I3035</f>
        <v>72.4233188088189</v>
      </c>
      <c r="J3037" s="6" t="n">
        <f aca="false">Sens!J3031+Sens!J3033+Sens!J3035</f>
        <v>75.6044096678567</v>
      </c>
      <c r="K3037" s="6" t="n">
        <f aca="false">Sens!K3031+Sens!K3033+Sens!K3035</f>
        <v>79.0714397009747</v>
      </c>
    </row>
    <row r="3038" customFormat="false" ht="15" hidden="false" customHeight="false" outlineLevel="0" collapsed="false">
      <c r="A3038" s="1" t="s">
        <v>890</v>
      </c>
      <c r="B3038" s="0" t="s">
        <v>98</v>
      </c>
      <c r="D3038" s="6" t="n">
        <f aca="false">Sens!D3030+Sens!D3037</f>
        <v>281.724</v>
      </c>
      <c r="E3038" s="6" t="n">
        <f aca="false">Sens!E3030+Sens!E3037</f>
        <v>331.839</v>
      </c>
      <c r="F3038" s="6" t="n">
        <f aca="false">Sens!F3030+Sens!F3037</f>
        <v>390.468593010593</v>
      </c>
      <c r="G3038" s="6" t="n">
        <f aca="false">Sens!G3030+Sens!G3037</f>
        <v>446.314422573953</v>
      </c>
      <c r="H3038" s="6" t="n">
        <f aca="false">Sens!H3030+Sens!H3037</f>
        <v>498.282898599325</v>
      </c>
      <c r="I3038" s="6" t="n">
        <f aca="false">Sens!I3030+Sens!I3037</f>
        <v>542.395705836776</v>
      </c>
      <c r="J3038" s="6" t="n">
        <f aca="false">Sens!J3030+Sens!J3037</f>
        <v>583.256007831539</v>
      </c>
      <c r="K3038" s="6" t="n">
        <f aca="false">Sens!K3030+Sens!K3037</f>
        <v>623.30342353377</v>
      </c>
    </row>
    <row r="3039" customFormat="false" ht="15" hidden="false" customHeight="false" outlineLevel="0" collapsed="false">
      <c r="A3039" s="23" t="s">
        <v>891</v>
      </c>
      <c r="B3039" s="30" t="s">
        <v>98</v>
      </c>
      <c r="C3039" s="30"/>
      <c r="D3039" s="24" t="n">
        <f aca="false">(Sens!D3018+Sens!D3023+Sens!D3024+Sens!D3026+Sens!D3028-Sens!D3030)+(Sens!D3031+Sens!D3033+Sens!D3035-Sens!D3037)+(Sens!D3030-Q!L5)+(Sens!D3037-Q!L12)+(Sens!D3018-Q!L6)+(Sens!D3023-Q!L7)</f>
        <v>0</v>
      </c>
      <c r="E3039" s="24" t="n">
        <f aca="false">(Sens!E3018+Sens!E3023+Sens!E3024+Sens!E3026+Sens!E3028-Sens!E3030)+(Sens!E3031+Sens!E3033+Sens!E3035-Sens!E3037)+(Sens!E3030-Q!M5)+(Sens!E3037-Q!M12)+(Sens!E3018-Q!M6)+(Sens!E3023-Q!M7)</f>
        <v>0</v>
      </c>
      <c r="F3039" s="24" t="n">
        <f aca="false">(Sens!F3018+Sens!F3023+Sens!F3024+Sens!F3026+Sens!F3028-Sens!F3030)+(Sens!F3031+Sens!F3033+Sens!F3035-Sens!F3037)</f>
        <v>0</v>
      </c>
      <c r="G3039" s="24" t="n">
        <f aca="false">(Sens!G3018+Sens!G3023+Sens!G3024+Sens!G3026+Sens!G3028-Sens!G3030)+(Sens!G3031+Sens!G3033+Sens!G3035-Sens!G3037)</f>
        <v>0</v>
      </c>
      <c r="H3039" s="24" t="n">
        <f aca="false">(Sens!H3018+Sens!H3023+Sens!H3024+Sens!H3026+Sens!H3028-Sens!H3030)+(Sens!H3031+Sens!H3033+Sens!H3035-Sens!H3037)</f>
        <v>0</v>
      </c>
      <c r="I3039" s="24" t="n">
        <f aca="false">(Sens!I3018+Sens!I3023+Sens!I3024+Sens!I3026+Sens!I3028-Sens!I3030)+(Sens!I3031+Sens!I3033+Sens!I3035-Sens!I3037)</f>
        <v>0</v>
      </c>
      <c r="J3039" s="24" t="n">
        <f aca="false">(Sens!J3018+Sens!J3023+Sens!J3024+Sens!J3026+Sens!J3028-Sens!J3030)+(Sens!J3031+Sens!J3033+Sens!J3035-Sens!J3037)</f>
        <v>0</v>
      </c>
      <c r="K3039" s="24" t="n">
        <f aca="false">(Sens!K3018+Sens!K3023+Sens!K3024+Sens!K3026+Sens!K3028-Sens!K3030)+(Sens!K3031+Sens!K3033+Sens!K3035-Sens!K3037)</f>
        <v>0</v>
      </c>
    </row>
    <row r="3040" customFormat="false" ht="17.15" hidden="false" customHeight="false" outlineLevel="0" collapsed="false">
      <c r="A3040" s="3" t="s">
        <v>1339</v>
      </c>
    </row>
    <row r="3041" customFormat="false" ht="15" hidden="false" customHeight="false" outlineLevel="0" collapsed="false">
      <c r="A3041" s="4" t="s">
        <v>43</v>
      </c>
      <c r="B3041" s="4" t="s">
        <v>65</v>
      </c>
      <c r="C3041" s="20" t="s">
        <v>799</v>
      </c>
      <c r="D3041" s="20" t="s">
        <v>800</v>
      </c>
      <c r="E3041" s="20" t="s">
        <v>801</v>
      </c>
      <c r="F3041" s="20" t="s">
        <v>802</v>
      </c>
      <c r="G3041" s="20" t="s">
        <v>803</v>
      </c>
      <c r="H3041" s="20" t="s">
        <v>804</v>
      </c>
      <c r="I3041" s="20" t="s">
        <v>805</v>
      </c>
      <c r="J3041" s="20" t="s">
        <v>806</v>
      </c>
      <c r="K3041" s="20" t="s">
        <v>807</v>
      </c>
      <c r="L3041" s="4" t="s">
        <v>47</v>
      </c>
    </row>
    <row r="3042" customFormat="false" ht="15" hidden="false" customHeight="false" outlineLevel="0" collapsed="false">
      <c r="A3042" s="0" t="s">
        <v>877</v>
      </c>
      <c r="B3042" s="0" t="s">
        <v>98</v>
      </c>
      <c r="D3042" s="6" t="n">
        <f aca="false">Sens!D3018</f>
        <v>72.61</v>
      </c>
      <c r="E3042" s="6" t="n">
        <f aca="false">Sens!E3018</f>
        <v>101.938</v>
      </c>
      <c r="F3042" s="6" t="n">
        <f aca="false">Sens!F3018</f>
        <v>134.705444615097</v>
      </c>
      <c r="G3042" s="6" t="n">
        <f aca="false">Sens!G3018</f>
        <v>163.095904958453</v>
      </c>
      <c r="H3042" s="6" t="n">
        <f aca="false">Sens!H3018</f>
        <v>187.117410902933</v>
      </c>
      <c r="I3042" s="6" t="n">
        <f aca="false">Sens!I3018</f>
        <v>205.411032048471</v>
      </c>
      <c r="J3042" s="6" t="n">
        <f aca="false">Sens!J3018</f>
        <v>222.960701059513</v>
      </c>
      <c r="K3042" s="6" t="n">
        <f aca="false">Sens!K3018</f>
        <v>240.337914492619</v>
      </c>
    </row>
    <row r="3043" customFormat="false" ht="17.15" hidden="false" customHeight="false" outlineLevel="0" collapsed="false">
      <c r="A3043" s="0" t="s">
        <v>874</v>
      </c>
      <c r="B3043" s="0" t="s">
        <v>98</v>
      </c>
      <c r="D3043" s="6" t="n">
        <f aca="false">Sens!D3015</f>
        <v>12.9359794422418</v>
      </c>
      <c r="E3043" s="6" t="n">
        <f aca="false">Sens!E3015</f>
        <v>27.8095064661409</v>
      </c>
      <c r="F3043" s="6" t="n">
        <f aca="false">Sens!F3015</f>
        <v>44.6254948777308</v>
      </c>
      <c r="G3043" s="6" t="n">
        <f aca="false">Sens!G3015</f>
        <v>56.0674797551436</v>
      </c>
      <c r="H3043" s="6" t="n">
        <f aca="false">Sens!H3015</f>
        <v>62.8454283172966</v>
      </c>
      <c r="I3043" s="6" t="n">
        <f aca="false">Sens!I3015</f>
        <v>64.4773296666165</v>
      </c>
      <c r="J3043" s="6" t="n">
        <f aca="false">Sens!J3015</f>
        <v>66.9418337451812</v>
      </c>
      <c r="K3043" s="6" t="n">
        <f aca="false">Sens!K3015</f>
        <v>71.8375377931408</v>
      </c>
    </row>
    <row r="3044" customFormat="false" ht="17.15" hidden="false" customHeight="false" outlineLevel="0" collapsed="false">
      <c r="A3044" s="0" t="s">
        <v>902</v>
      </c>
      <c r="B3044" s="0" t="s">
        <v>98</v>
      </c>
      <c r="D3044" s="6" t="n">
        <f aca="false">Sens!D3016</f>
        <v>59.6740205577583</v>
      </c>
      <c r="E3044" s="6" t="n">
        <f aca="false">Sens!E3016</f>
        <v>74.1284935338591</v>
      </c>
      <c r="F3044" s="6" t="n">
        <f aca="false">Sens!F3016</f>
        <v>90.0799497373663</v>
      </c>
      <c r="G3044" s="6" t="n">
        <f aca="false">Sens!G3016</f>
        <v>107.02842520331</v>
      </c>
      <c r="H3044" s="6" t="n">
        <f aca="false">Sens!H3016</f>
        <v>124.271982585636</v>
      </c>
      <c r="I3044" s="6" t="n">
        <f aca="false">Sens!I3016</f>
        <v>140.933702381855</v>
      </c>
      <c r="J3044" s="6" t="n">
        <f aca="false">Sens!J3016</f>
        <v>156.018867314332</v>
      </c>
      <c r="K3044" s="6" t="n">
        <f aca="false">Sens!K3016</f>
        <v>168.500376699478</v>
      </c>
    </row>
    <row r="3045" customFormat="false" ht="15" hidden="false" customHeight="false" outlineLevel="0" collapsed="false">
      <c r="A3045" s="0" t="s">
        <v>883</v>
      </c>
      <c r="B3045" s="0" t="s">
        <v>98</v>
      </c>
      <c r="D3045" s="6" t="n">
        <f aca="false">Sens!D3023</f>
        <v>84.605</v>
      </c>
      <c r="E3045" s="6" t="n">
        <f aca="false">Sens!E3023</f>
        <v>100.299</v>
      </c>
      <c r="F3045" s="6" t="n">
        <f aca="false">Sens!F3023</f>
        <v>120.39238776686</v>
      </c>
      <c r="G3045" s="6" t="n">
        <f aca="false">Sens!G3023</f>
        <v>141.544168448684</v>
      </c>
      <c r="H3045" s="6" t="n">
        <f aca="false">Sens!H3023</f>
        <v>162.777359388781</v>
      </c>
      <c r="I3045" s="6" t="n">
        <f aca="false">Sens!I3023</f>
        <v>181.584028071957</v>
      </c>
      <c r="J3045" s="6" t="n">
        <f aca="false">Sens!J3023</f>
        <v>197.682702785465</v>
      </c>
      <c r="K3045" s="6" t="n">
        <f aca="false">Sens!K3023</f>
        <v>213.027991980448</v>
      </c>
    </row>
    <row r="3046" customFormat="false" ht="17.15" hidden="false" customHeight="false" outlineLevel="0" collapsed="false">
      <c r="A3046" s="0" t="s">
        <v>903</v>
      </c>
      <c r="B3046" s="0" t="s">
        <v>98</v>
      </c>
      <c r="D3046" s="6" t="n">
        <f aca="false">Sens!D3021</f>
        <v>83.705</v>
      </c>
      <c r="E3046" s="6" t="n">
        <f aca="false">Sens!E3021</f>
        <v>95.049</v>
      </c>
      <c r="F3046" s="6" t="n">
        <f aca="false">Sens!F3021</f>
        <v>106.89238776686</v>
      </c>
      <c r="G3046" s="6" t="n">
        <f aca="false">Sens!G3021</f>
        <v>119.044168448684</v>
      </c>
      <c r="H3046" s="6" t="n">
        <f aca="false">Sens!H3021</f>
        <v>131.277359388781</v>
      </c>
      <c r="I3046" s="6" t="n">
        <f aca="false">Sens!I3021</f>
        <v>143.334028071957</v>
      </c>
      <c r="J3046" s="6" t="n">
        <f aca="false">Sens!J3021</f>
        <v>154.932702785465</v>
      </c>
      <c r="K3046" s="6" t="n">
        <f aca="false">Sens!K3021</f>
        <v>165.777991980448</v>
      </c>
    </row>
    <row r="3047" customFormat="false" ht="17.15" hidden="false" customHeight="false" outlineLevel="0" collapsed="false">
      <c r="A3047" s="0" t="s">
        <v>904</v>
      </c>
      <c r="B3047" s="0" t="s">
        <v>98</v>
      </c>
      <c r="D3047" s="6" t="n">
        <f aca="false">Sens!D3020</f>
        <v>0.9</v>
      </c>
      <c r="E3047" s="6" t="n">
        <f aca="false">Sens!E3020</f>
        <v>5.25</v>
      </c>
      <c r="F3047" s="6" t="n">
        <f aca="false">Sens!F3020</f>
        <v>13.5</v>
      </c>
      <c r="G3047" s="6" t="n">
        <f aca="false">Sens!G3020</f>
        <v>22.5</v>
      </c>
      <c r="H3047" s="6" t="n">
        <f aca="false">Sens!H3020</f>
        <v>31.5</v>
      </c>
      <c r="I3047" s="6" t="n">
        <f aca="false">Sens!I3020</f>
        <v>38.25</v>
      </c>
      <c r="J3047" s="6" t="n">
        <f aca="false">Sens!J3020</f>
        <v>42.75</v>
      </c>
      <c r="K3047" s="6" t="n">
        <f aca="false">Sens!K3020</f>
        <v>47.25</v>
      </c>
    </row>
    <row r="3048" customFormat="false" ht="15" hidden="false" customHeight="false" outlineLevel="0" collapsed="false">
      <c r="A3048" s="0" t="s">
        <v>884</v>
      </c>
      <c r="B3048" s="0" t="s">
        <v>98</v>
      </c>
      <c r="D3048" s="6" t="n">
        <f aca="false">Sens!D3024</f>
        <v>35.391</v>
      </c>
      <c r="E3048" s="6" t="n">
        <f aca="false">Sens!E3024</f>
        <v>37.285</v>
      </c>
      <c r="F3048" s="6" t="n">
        <f aca="false">Sens!F3024</f>
        <v>39.0720834331704</v>
      </c>
      <c r="G3048" s="6" t="n">
        <f aca="false">Sens!G3024</f>
        <v>40.726562953769</v>
      </c>
      <c r="H3048" s="6" t="n">
        <f aca="false">Sens!H3024</f>
        <v>42.2235987259198</v>
      </c>
      <c r="I3048" s="6" t="n">
        <f aca="false">Sens!I3024</f>
        <v>43.5397988077414</v>
      </c>
      <c r="J3048" s="6" t="n">
        <f aca="false">Sens!J3024</f>
        <v>44.653811225693</v>
      </c>
      <c r="K3048" s="6" t="n">
        <f aca="false">Sens!K3024</f>
        <v>45.5468874502068</v>
      </c>
    </row>
    <row r="3049" customFormat="false" ht="15" hidden="false" customHeight="false" outlineLevel="0" collapsed="false">
      <c r="A3049" s="0" t="s">
        <v>885</v>
      </c>
      <c r="B3049" s="0" t="s">
        <v>98</v>
      </c>
      <c r="D3049" s="6" t="n">
        <f aca="false">Sens!D3026</f>
        <v>18.417</v>
      </c>
      <c r="E3049" s="6" t="n">
        <f aca="false">Sens!E3026</f>
        <v>20.345</v>
      </c>
      <c r="F3049" s="6" t="n">
        <f aca="false">Sens!F3026</f>
        <v>22.3572203267814</v>
      </c>
      <c r="G3049" s="6" t="n">
        <f aca="false">Sens!G3026</f>
        <v>24.4392124437232</v>
      </c>
      <c r="H3049" s="6" t="n">
        <f aca="false">Sens!H3026</f>
        <v>26.5738052080665</v>
      </c>
      <c r="I3049" s="6" t="n">
        <f aca="false">Sens!I3026</f>
        <v>28.7412169166967</v>
      </c>
      <c r="J3049" s="6" t="n">
        <f aca="false">Sens!J3026</f>
        <v>30.9192545395413</v>
      </c>
      <c r="K3049" s="6" t="n">
        <f aca="false">Sens!K3026</f>
        <v>33.0836023573092</v>
      </c>
    </row>
    <row r="3050" customFormat="false" ht="15" hidden="false" customHeight="false" outlineLevel="0" collapsed="false">
      <c r="A3050" s="0" t="s">
        <v>886</v>
      </c>
      <c r="B3050" s="0" t="s">
        <v>98</v>
      </c>
      <c r="D3050" s="6" t="n">
        <f aca="false">Sens!D3028</f>
        <v>7.76</v>
      </c>
      <c r="E3050" s="6" t="n">
        <f aca="false">Sens!E3028</f>
        <v>8.26</v>
      </c>
      <c r="F3050" s="6" t="n">
        <f aca="false">Sens!F3028</f>
        <v>8.79988041237113</v>
      </c>
      <c r="G3050" s="6" t="n">
        <f aca="false">Sens!G3028</f>
        <v>9.38321269125306</v>
      </c>
      <c r="H3050" s="6" t="n">
        <f aca="false">Sens!H3028</f>
        <v>10.0139193587476</v>
      </c>
      <c r="I3050" s="6" t="n">
        <f aca="false">Sens!I3028</f>
        <v>10.6963111830911</v>
      </c>
      <c r="J3050" s="6" t="n">
        <f aca="false">Sens!J3028</f>
        <v>11.4351285534696</v>
      </c>
      <c r="K3050" s="6" t="n">
        <f aca="false">Sens!K3028</f>
        <v>12.2355875522124</v>
      </c>
    </row>
    <row r="3051" customFormat="false" ht="15" hidden="false" customHeight="false" outlineLevel="0" collapsed="false">
      <c r="A3051" s="0" t="s">
        <v>715</v>
      </c>
      <c r="B3051" s="0" t="s">
        <v>98</v>
      </c>
      <c r="D3051" s="6" t="n">
        <f aca="false">Sens!D3030</f>
        <v>218.783</v>
      </c>
      <c r="E3051" s="6" t="n">
        <f aca="false">Sens!E3030</f>
        <v>268.127</v>
      </c>
      <c r="F3051" s="6" t="n">
        <f aca="false">Sens!F3030</f>
        <v>325.32701655428</v>
      </c>
      <c r="G3051" s="6" t="n">
        <f aca="false">Sens!G3030</f>
        <v>379.189061495883</v>
      </c>
      <c r="H3051" s="6" t="n">
        <f aca="false">Sens!H3030</f>
        <v>428.706093584448</v>
      </c>
      <c r="I3051" s="6" t="n">
        <f aca="false">Sens!I3030</f>
        <v>469.972387027957</v>
      </c>
      <c r="J3051" s="6" t="n">
        <f aca="false">Sens!J3030</f>
        <v>507.651598163682</v>
      </c>
      <c r="K3051" s="6" t="n">
        <f aca="false">Sens!K3030</f>
        <v>544.231983832795</v>
      </c>
    </row>
    <row r="3052" customFormat="false" ht="15" hidden="false" customHeight="false" outlineLevel="0" collapsed="false">
      <c r="A3052" s="0" t="s">
        <v>887</v>
      </c>
      <c r="B3052" s="0" t="s">
        <v>98</v>
      </c>
      <c r="D3052" s="6" t="n">
        <f aca="false">Sens!D3031</f>
        <v>22.171</v>
      </c>
      <c r="E3052" s="6" t="n">
        <f aca="false">Sens!E3031</f>
        <v>24.835</v>
      </c>
      <c r="F3052" s="6" t="n">
        <f aca="false">Sens!F3031</f>
        <v>27.6114901218559</v>
      </c>
      <c r="G3052" s="6" t="n">
        <f aca="false">Sens!G3031</f>
        <v>30.4675667338515</v>
      </c>
      <c r="H3052" s="6" t="n">
        <f aca="false">Sens!H3031</f>
        <v>33.3643766955789</v>
      </c>
      <c r="I3052" s="6" t="n">
        <f aca="false">Sens!I3031</f>
        <v>36.2577016533691</v>
      </c>
      <c r="J3052" s="6" t="n">
        <f aca="false">Sens!J3031</f>
        <v>39.0988367952171</v>
      </c>
      <c r="K3052" s="6" t="n">
        <f aca="false">Sens!K3031</f>
        <v>41.8357553708823</v>
      </c>
    </row>
    <row r="3053" customFormat="false" ht="15" hidden="false" customHeight="false" outlineLevel="0" collapsed="false">
      <c r="A3053" s="0" t="s">
        <v>888</v>
      </c>
      <c r="B3053" s="0" t="s">
        <v>98</v>
      </c>
      <c r="D3053" s="6" t="n">
        <f aca="false">Sens!D3033</f>
        <v>23.455</v>
      </c>
      <c r="E3053" s="6" t="n">
        <f aca="false">Sens!E3033</f>
        <v>21.79</v>
      </c>
      <c r="F3053" s="6" t="n">
        <f aca="false">Sens!F3033</f>
        <v>20.5736277908051</v>
      </c>
      <c r="G3053" s="6" t="n">
        <f aca="false">Sens!G3033</f>
        <v>19.7371452817919</v>
      </c>
      <c r="H3053" s="6" t="n">
        <f aca="false">Sens!H3033</f>
        <v>19.2339764043138</v>
      </c>
      <c r="I3053" s="6" t="n">
        <f aca="false">Sens!I3033</f>
        <v>19.0353086852681</v>
      </c>
      <c r="J3053" s="6" t="n">
        <f aca="false">Sens!J3033</f>
        <v>19.1273539319129</v>
      </c>
      <c r="K3053" s="6" t="n">
        <f aca="false">Sens!K3033</f>
        <v>19.5099010105511</v>
      </c>
    </row>
    <row r="3054" customFormat="false" ht="15" hidden="false" customHeight="false" outlineLevel="0" collapsed="false">
      <c r="A3054" s="0" t="s">
        <v>889</v>
      </c>
      <c r="B3054" s="0" t="s">
        <v>98</v>
      </c>
      <c r="D3054" s="6" t="n">
        <f aca="false">Sens!D3035</f>
        <v>17.315</v>
      </c>
      <c r="E3054" s="6" t="n">
        <f aca="false">Sens!E3035</f>
        <v>17.087</v>
      </c>
      <c r="F3054" s="6" t="n">
        <f aca="false">Sens!F3035</f>
        <v>16.9564585436519</v>
      </c>
      <c r="G3054" s="6" t="n">
        <f aca="false">Sens!G3035</f>
        <v>16.9206490624268</v>
      </c>
      <c r="H3054" s="6" t="n">
        <f aca="false">Sens!H3035</f>
        <v>16.9784519149849</v>
      </c>
      <c r="I3054" s="6" t="n">
        <f aca="false">Sens!I3035</f>
        <v>17.1303084701817</v>
      </c>
      <c r="J3054" s="6" t="n">
        <f aca="false">Sens!J3035</f>
        <v>17.3782189407267</v>
      </c>
      <c r="K3054" s="6" t="n">
        <f aca="false">Sens!K3035</f>
        <v>17.7257833195413</v>
      </c>
    </row>
    <row r="3055" customFormat="false" ht="15" hidden="false" customHeight="false" outlineLevel="0" collapsed="false">
      <c r="A3055" s="0" t="s">
        <v>729</v>
      </c>
      <c r="B3055" s="0" t="s">
        <v>98</v>
      </c>
      <c r="D3055" s="6" t="n">
        <f aca="false">Sens!D3037</f>
        <v>62.941</v>
      </c>
      <c r="E3055" s="6" t="n">
        <f aca="false">Sens!E3037</f>
        <v>63.712</v>
      </c>
      <c r="F3055" s="6" t="n">
        <f aca="false">Sens!F3037</f>
        <v>65.1415764563129</v>
      </c>
      <c r="G3055" s="6" t="n">
        <f aca="false">Sens!G3037</f>
        <v>67.1253610780702</v>
      </c>
      <c r="H3055" s="6" t="n">
        <f aca="false">Sens!H3037</f>
        <v>69.5768050148776</v>
      </c>
      <c r="I3055" s="6" t="n">
        <f aca="false">Sens!I3037</f>
        <v>72.4233188088189</v>
      </c>
      <c r="J3055" s="6" t="n">
        <f aca="false">Sens!J3037</f>
        <v>75.6044096678567</v>
      </c>
      <c r="K3055" s="6" t="n">
        <f aca="false">Sens!K3037</f>
        <v>79.0714397009747</v>
      </c>
    </row>
    <row r="3056" customFormat="false" ht="15" hidden="false" customHeight="false" outlineLevel="0" collapsed="false">
      <c r="A3056" s="1" t="s">
        <v>905</v>
      </c>
      <c r="B3056" s="0" t="s">
        <v>98</v>
      </c>
      <c r="D3056" s="6" t="n">
        <f aca="false">Sens!D3038</f>
        <v>281.724</v>
      </c>
      <c r="E3056" s="6" t="n">
        <f aca="false">Sens!E3038</f>
        <v>331.839</v>
      </c>
      <c r="F3056" s="6" t="n">
        <f aca="false">Sens!F3038</f>
        <v>390.468593010593</v>
      </c>
      <c r="G3056" s="6" t="n">
        <f aca="false">Sens!G3038</f>
        <v>446.314422573953</v>
      </c>
      <c r="H3056" s="6" t="n">
        <f aca="false">Sens!H3038</f>
        <v>498.282898599325</v>
      </c>
      <c r="I3056" s="6" t="n">
        <f aca="false">Sens!I3038</f>
        <v>542.395705836776</v>
      </c>
      <c r="J3056" s="6" t="n">
        <f aca="false">Sens!J3038</f>
        <v>583.256007831539</v>
      </c>
      <c r="K3056" s="6" t="n">
        <f aca="false">Sens!K3038</f>
        <v>623.30342353377</v>
      </c>
    </row>
    <row r="3057" customFormat="false" ht="15" hidden="false" customHeight="false" outlineLevel="0" collapsed="false">
      <c r="A3057" s="1" t="s">
        <v>906</v>
      </c>
      <c r="B3057" s="0" t="s">
        <v>129</v>
      </c>
      <c r="E3057" s="7" t="n">
        <f aca="false">Sens!E3056/Sens!D3056-1</f>
        <v>0.177886867998467</v>
      </c>
      <c r="F3057" s="7" t="n">
        <f aca="false">Sens!F3056/Sens!E3056-1</f>
        <v>0.176680839234065</v>
      </c>
      <c r="G3057" s="7" t="n">
        <f aca="false">Sens!G3056/Sens!F3056-1</f>
        <v>0.143022590198042</v>
      </c>
      <c r="H3057" s="7" t="n">
        <f aca="false">Sens!H3056/Sens!G3056-1</f>
        <v>0.116439159025298</v>
      </c>
      <c r="I3057" s="7" t="n">
        <f aca="false">Sens!I3056/Sens!H3056-1</f>
        <v>0.0885296432236631</v>
      </c>
      <c r="J3057" s="7" t="n">
        <f aca="false">Sens!J3056/Sens!I3056-1</f>
        <v>0.0753330115910955</v>
      </c>
      <c r="K3057" s="7" t="n">
        <f aca="false">Sens!K3056/Sens!J3056-1</f>
        <v>0.0686618143053885</v>
      </c>
    </row>
    <row r="3058" customFormat="false" ht="17.15" hidden="false" customHeight="false" outlineLevel="0" collapsed="false">
      <c r="A3058" s="23" t="s">
        <v>907</v>
      </c>
      <c r="B3058" s="30" t="s">
        <v>98</v>
      </c>
      <c r="C3058" s="30"/>
      <c r="D3058" s="24" t="n">
        <f aca="false">(Sens!D3051+Sens!D3055-Sens!D3056)+(Sens!D3043+Sens!D3044-Sens!D3042)+(Sens!D3046+Sens!D3047-Sens!D3045)+(Sens!D3056-Q!L18)</f>
        <v>0</v>
      </c>
      <c r="E3058" s="24" t="n">
        <f aca="false">(Sens!E3051+Sens!E3055-Sens!E3056)+(Sens!E3043+Sens!E3044-Sens!E3042)+(Sens!E3046+Sens!E3047-Sens!E3045)+(Sens!E3056-Q!M18)</f>
        <v>0</v>
      </c>
      <c r="F3058" s="24" t="n">
        <f aca="false">(Sens!F3051+Sens!F3055-Sens!F3056)+(Sens!F3043+Sens!F3044-Sens!F3042)+(Sens!F3046+Sens!F3047-Sens!F3045)</f>
        <v>0</v>
      </c>
      <c r="G3058" s="24" t="n">
        <f aca="false">(Sens!G3051+Sens!G3055-Sens!G3056)+(Sens!G3043+Sens!G3044-Sens!G3042)+(Sens!G3046+Sens!G3047-Sens!G3045)</f>
        <v>0</v>
      </c>
      <c r="H3058" s="24" t="n">
        <f aca="false">(Sens!H3051+Sens!H3055-Sens!H3056)+(Sens!H3043+Sens!H3044-Sens!H3042)+(Sens!H3046+Sens!H3047-Sens!H3045)</f>
        <v>0</v>
      </c>
      <c r="I3058" s="24" t="n">
        <f aca="false">(Sens!I3051+Sens!I3055-Sens!I3056)+(Sens!I3043+Sens!I3044-Sens!I3042)+(Sens!I3046+Sens!I3047-Sens!I3045)</f>
        <v>0</v>
      </c>
      <c r="J3058" s="24" t="n">
        <f aca="false">(Sens!J3051+Sens!J3055-Sens!J3056)+(Sens!J3043+Sens!J3044-Sens!J3042)+(Sens!J3046+Sens!J3047-Sens!J3045)</f>
        <v>0</v>
      </c>
      <c r="K3058" s="24" t="n">
        <f aca="false">(Sens!K3051+Sens!K3055-Sens!K3056)+(Sens!K3043+Sens!K3044-Sens!K3042)+(Sens!K3046+Sens!K3047-Sens!K3045)</f>
        <v>0</v>
      </c>
    </row>
    <row r="3059" customFormat="false" ht="17.15" hidden="false" customHeight="false" outlineLevel="0" collapsed="false">
      <c r="A3059" s="0" t="s">
        <v>908</v>
      </c>
      <c r="B3059" s="0" t="s">
        <v>129</v>
      </c>
      <c r="E3059" s="7" t="n">
        <f aca="false">(Q!M21+Sens!E2996+Sens!E2997+Sens!E2998+Sens!E3011-Sens!E2994)/(Q!M5-Sens!E2994)</f>
        <v>0.570957350878296</v>
      </c>
      <c r="F3059" s="7" t="n">
        <f aca="false">Sens!$E$3059+dm_seg</f>
        <v>0.570957350878296</v>
      </c>
      <c r="G3059" s="7" t="n">
        <f aca="false">Sens!$E$3059+dm_seg</f>
        <v>0.570957350878296</v>
      </c>
      <c r="H3059" s="7" t="n">
        <f aca="false">Sens!$E$3059+dm_seg</f>
        <v>0.570957350878296</v>
      </c>
      <c r="I3059" s="7" t="n">
        <f aca="false">Sens!$E$3059+dm_seg</f>
        <v>0.570957350878296</v>
      </c>
      <c r="J3059" s="7" t="n">
        <f aca="false">Sens!$E$3059+dm_seg</f>
        <v>0.570957350878296</v>
      </c>
      <c r="K3059" s="7" t="n">
        <f aca="false">Sens!$E$3059+dm_seg</f>
        <v>0.570957350878296</v>
      </c>
      <c r="L3059" s="11" t="s">
        <v>909</v>
      </c>
    </row>
    <row r="3060" customFormat="false" ht="17.15" hidden="false" customHeight="false" outlineLevel="0" collapsed="false">
      <c r="A3060" s="0" t="s">
        <v>743</v>
      </c>
      <c r="B3060" s="0" t="s">
        <v>98</v>
      </c>
      <c r="D3060" s="6" t="n">
        <f aca="false">Q!L21</f>
        <v>110.814</v>
      </c>
      <c r="E3060" s="6" t="n">
        <f aca="false">Q!M21</f>
        <v>136.365</v>
      </c>
      <c r="F3060" s="6" t="n">
        <f aca="false">Sens!F3059*(Sens!F3030-Sens!F2994)+Sens!F2994-(Sens!F2996+Sens!F2997+Sens!F2998)-Sens!F3011-Sens!F3094</f>
        <v>148.486025067997</v>
      </c>
      <c r="G3060" s="6" t="n">
        <f aca="false">Sens!G3059*(Sens!G3030-Sens!G2994)+Sens!G2994-(Sens!G2996+Sens!G2997+Sens!G2998)-Sens!G3011-Sens!G3094</f>
        <v>177.764884879938</v>
      </c>
      <c r="H3060" s="6" t="n">
        <f aca="false">Sens!H3059*(Sens!H3030-Sens!H2994)+Sens!H2994-(Sens!H2996+Sens!H2997+Sens!H2998)-Sens!H3011-Sens!H3094</f>
        <v>206.581902804294</v>
      </c>
      <c r="I3060" s="6" t="n">
        <f aca="false">Sens!I3059*(Sens!I3030-Sens!I2994)+Sens!I2994-(Sens!I2996+Sens!I2997+Sens!I2998)-Sens!I3011-Sens!I3094</f>
        <v>231.183264937572</v>
      </c>
      <c r="J3060" s="6" t="n">
        <f aca="false">Sens!J3059*(Sens!J3030-Sens!J2994)+Sens!J2994-(Sens!J2996+Sens!J2997+Sens!J2998)-Sens!J3011-Sens!J3094</f>
        <v>252.942320974703</v>
      </c>
      <c r="K3060" s="6" t="n">
        <f aca="false">Sens!K3059*(Sens!K3030-Sens!K2994)+Sens!K2994-(Sens!K2996+Sens!K2997+Sens!K2998)-Sens!K3011-Sens!K3094</f>
        <v>273.531664428669</v>
      </c>
      <c r="L3060" s="1" t="s">
        <v>910</v>
      </c>
    </row>
    <row r="3061" customFormat="false" ht="17.15" hidden="false" customHeight="false" outlineLevel="0" collapsed="false">
      <c r="A3061" s="0" t="s">
        <v>911</v>
      </c>
      <c r="B3061" s="0" t="s">
        <v>129</v>
      </c>
      <c r="E3061" s="7" t="n">
        <f aca="false">Q!M22/Q!M12</f>
        <v>0.296207935710698</v>
      </c>
      <c r="F3061" s="7" t="n">
        <f aca="false">Sens!$E$3061+dm_seg</f>
        <v>0.296207935710698</v>
      </c>
      <c r="G3061" s="7" t="n">
        <f aca="false">Sens!$E$3061+dm_seg</f>
        <v>0.296207935710698</v>
      </c>
      <c r="H3061" s="7" t="n">
        <f aca="false">Sens!$E$3061+dm_seg</f>
        <v>0.296207935710698</v>
      </c>
      <c r="I3061" s="7" t="n">
        <f aca="false">Sens!$E$3061+dm_seg</f>
        <v>0.296207935710698</v>
      </c>
      <c r="J3061" s="7" t="n">
        <f aca="false">Sens!$E$3061+dm_seg</f>
        <v>0.296207935710698</v>
      </c>
      <c r="K3061" s="7" t="n">
        <f aca="false">Sens!$E$3061+dm_seg</f>
        <v>0.296207935710698</v>
      </c>
      <c r="L3061" s="11" t="s">
        <v>912</v>
      </c>
    </row>
    <row r="3062" customFormat="false" ht="17.15" hidden="false" customHeight="false" outlineLevel="0" collapsed="false">
      <c r="A3062" s="0" t="s">
        <v>745</v>
      </c>
      <c r="B3062" s="0" t="s">
        <v>98</v>
      </c>
      <c r="D3062" s="6" t="n">
        <f aca="false">Q!L22</f>
        <v>17.714</v>
      </c>
      <c r="E3062" s="6" t="n">
        <f aca="false">Q!M22</f>
        <v>18.872</v>
      </c>
      <c r="F3062" s="6" t="n">
        <f aca="false">Sens!F3037*Sens!F3061</f>
        <v>19.2954518910651</v>
      </c>
      <c r="G3062" s="6" t="n">
        <f aca="false">Sens!G3037*Sens!G3061</f>
        <v>19.8830646387704</v>
      </c>
      <c r="H3062" s="6" t="n">
        <f aca="false">Sens!H3037*Sens!H3061</f>
        <v>20.6092017868026</v>
      </c>
      <c r="I3062" s="6" t="n">
        <f aca="false">Sens!I3037*Sens!I3061</f>
        <v>21.452361761678</v>
      </c>
      <c r="J3062" s="6" t="n">
        <f aca="false">Sens!J3037*Sens!J3061</f>
        <v>22.3946261183418</v>
      </c>
      <c r="K3062" s="6" t="n">
        <f aca="false">Sens!K3037*Sens!K3061</f>
        <v>23.4215879274986</v>
      </c>
    </row>
    <row r="3063" customFormat="false" ht="15" hidden="false" customHeight="false" outlineLevel="0" collapsed="false">
      <c r="A3063" s="1" t="s">
        <v>913</v>
      </c>
      <c r="B3063" s="0" t="s">
        <v>98</v>
      </c>
      <c r="D3063" s="6" t="n">
        <f aca="false">Sens!D3060+Sens!D3062</f>
        <v>128.528</v>
      </c>
      <c r="E3063" s="6" t="n">
        <f aca="false">Sens!E3060+Sens!E3062</f>
        <v>155.237</v>
      </c>
      <c r="F3063" s="6" t="n">
        <f aca="false">Sens!F3060+Sens!F3062</f>
        <v>167.781476959062</v>
      </c>
      <c r="G3063" s="6" t="n">
        <f aca="false">Sens!G3060+Sens!G3062</f>
        <v>197.647949518709</v>
      </c>
      <c r="H3063" s="6" t="n">
        <f aca="false">Sens!H3060+Sens!H3062</f>
        <v>227.191104591097</v>
      </c>
      <c r="I3063" s="6" t="n">
        <f aca="false">Sens!I3060+Sens!I3062</f>
        <v>252.63562669925</v>
      </c>
      <c r="J3063" s="6" t="n">
        <f aca="false">Sens!J3060+Sens!J3062</f>
        <v>275.336947093044</v>
      </c>
      <c r="K3063" s="6" t="n">
        <f aca="false">Sens!K3060+Sens!K3062</f>
        <v>296.953252356167</v>
      </c>
    </row>
    <row r="3064" customFormat="false" ht="15" hidden="false" customHeight="false" outlineLevel="0" collapsed="false">
      <c r="A3064" s="23" t="s">
        <v>914</v>
      </c>
      <c r="B3064" s="30" t="s">
        <v>98</v>
      </c>
      <c r="C3064" s="30"/>
      <c r="D3064" s="24" t="n">
        <f aca="false">Sens!D3063-Q!L23</f>
        <v>0</v>
      </c>
      <c r="E3064" s="24" t="n">
        <f aca="false">Sens!E3063-Q!M23</f>
        <v>0</v>
      </c>
      <c r="F3064" s="30"/>
      <c r="G3064" s="30"/>
      <c r="H3064" s="30"/>
      <c r="I3064" s="30"/>
      <c r="J3064" s="30"/>
      <c r="K3064" s="30"/>
    </row>
    <row r="3065" customFormat="false" ht="15" hidden="false" customHeight="false" outlineLevel="0" collapsed="false">
      <c r="A3065" s="1" t="s">
        <v>915</v>
      </c>
      <c r="B3065" s="0" t="s">
        <v>129</v>
      </c>
      <c r="D3065" s="7" t="n">
        <f aca="false">Sens!D3063/Sens!D3056</f>
        <v>0.456219562408598</v>
      </c>
      <c r="E3065" s="7" t="n">
        <f aca="false">Sens!E3063/Sens!E3056</f>
        <v>0.467808184089272</v>
      </c>
      <c r="F3065" s="7" t="n">
        <f aca="false">Sens!F3063/Sens!F3056</f>
        <v>0.429692630757911</v>
      </c>
      <c r="G3065" s="7" t="n">
        <f aca="false">Sens!G3063/Sens!G3056</f>
        <v>0.442844639388635</v>
      </c>
      <c r="H3065" s="7" t="n">
        <f aca="false">Sens!H3063/Sens!H3056</f>
        <v>0.455948027174386</v>
      </c>
      <c r="I3065" s="7" t="n">
        <f aca="false">Sens!I3063/Sens!I3056</f>
        <v>0.465777335588412</v>
      </c>
      <c r="J3065" s="7" t="n">
        <f aca="false">Sens!J3063/Sens!J3056</f>
        <v>0.472068771510314</v>
      </c>
      <c r="K3065" s="7" t="n">
        <f aca="false">Sens!K3063/Sens!K3056</f>
        <v>0.47641845230468</v>
      </c>
    </row>
    <row r="3066" customFormat="false" ht="17.15" hidden="false" customHeight="false" outlineLevel="0" collapsed="false">
      <c r="A3066" s="1" t="s">
        <v>916</v>
      </c>
      <c r="B3066" s="0" t="s">
        <v>98</v>
      </c>
      <c r="F3066" s="6" t="n">
        <f aca="false">Sens!F3081</f>
        <v>1.65958611294795</v>
      </c>
      <c r="G3066" s="6" t="n">
        <f aca="false">Sens!G3081</f>
        <v>0</v>
      </c>
      <c r="H3066" s="6" t="n">
        <f aca="false">Sens!H3081</f>
        <v>0</v>
      </c>
      <c r="I3066" s="6" t="n">
        <f aca="false">Sens!I3081</f>
        <v>0</v>
      </c>
      <c r="J3066" s="6" t="n">
        <f aca="false">Sens!J3081</f>
        <v>0</v>
      </c>
      <c r="K3066" s="6" t="n">
        <f aca="false">Sens!K3081</f>
        <v>0</v>
      </c>
      <c r="L3066" s="1" t="s">
        <v>917</v>
      </c>
    </row>
    <row r="3067" customFormat="false" ht="17.15" hidden="false" customHeight="false" outlineLevel="0" collapsed="false">
      <c r="A3067" s="1" t="s">
        <v>918</v>
      </c>
      <c r="B3067" s="0" t="s">
        <v>98</v>
      </c>
      <c r="D3067" s="6" t="n">
        <f aca="false">Sens!D3063</f>
        <v>128.528</v>
      </c>
      <c r="E3067" s="6" t="n">
        <f aca="false">Sens!E3063</f>
        <v>155.237</v>
      </c>
      <c r="F3067" s="6" t="n">
        <f aca="false">Sens!F3063+Sens!F3066</f>
        <v>169.44106307201</v>
      </c>
      <c r="G3067" s="6" t="n">
        <f aca="false">Sens!G3063+Sens!G3066</f>
        <v>197.647949518709</v>
      </c>
      <c r="H3067" s="6" t="n">
        <f aca="false">Sens!H3063+Sens!H3066</f>
        <v>227.191104591097</v>
      </c>
      <c r="I3067" s="6" t="n">
        <f aca="false">Sens!I3063+Sens!I3066</f>
        <v>252.63562669925</v>
      </c>
      <c r="J3067" s="6" t="n">
        <f aca="false">Sens!J3063+Sens!J3066</f>
        <v>275.336947093044</v>
      </c>
      <c r="K3067" s="6" t="n">
        <f aca="false">Sens!K3063+Sens!K3066</f>
        <v>296.953252356167</v>
      </c>
    </row>
    <row r="3068" customFormat="false" ht="17.15" hidden="false" customHeight="false" outlineLevel="0" collapsed="false">
      <c r="A3068" s="1" t="s">
        <v>919</v>
      </c>
      <c r="B3068" s="0" t="s">
        <v>98</v>
      </c>
      <c r="E3068" s="6" t="n">
        <f aca="false">Sens!E3011</f>
        <v>16.3054059770833</v>
      </c>
      <c r="F3068" s="6" t="n">
        <f aca="false">Sens!F3011</f>
        <v>24.6319326396667</v>
      </c>
      <c r="G3068" s="6" t="n">
        <f aca="false">Sens!G3011</f>
        <v>29.4421900723333</v>
      </c>
      <c r="H3068" s="6" t="n">
        <f aca="false">Sens!H3011</f>
        <v>32.0248894903333</v>
      </c>
      <c r="I3068" s="6" t="n">
        <f aca="false">Sens!I3011</f>
        <v>32.6686637199167</v>
      </c>
      <c r="J3068" s="6" t="n">
        <f aca="false">Sens!J3011</f>
        <v>34.2846684186667</v>
      </c>
      <c r="K3068" s="6" t="n">
        <f aca="false">Sens!K3011</f>
        <v>37.1882215765833</v>
      </c>
    </row>
    <row r="3069" customFormat="false" ht="17.15" hidden="false" customHeight="false" outlineLevel="0" collapsed="false">
      <c r="A3069" s="1" t="s">
        <v>920</v>
      </c>
      <c r="B3069" s="0" t="s">
        <v>98</v>
      </c>
      <c r="E3069" s="6" t="n">
        <f aca="false">Sens!E3093</f>
        <v>22.2285940229167</v>
      </c>
      <c r="F3069" s="6" t="n">
        <f aca="false">Sens!F3093</f>
        <v>37.358881403025</v>
      </c>
      <c r="G3069" s="6" t="n">
        <f aca="false">Sens!G3093</f>
        <v>37.7832826197614</v>
      </c>
      <c r="H3069" s="6" t="n">
        <f aca="false">Sens!H3093</f>
        <v>38.7611057221943</v>
      </c>
      <c r="I3069" s="6" t="n">
        <f aca="false">Sens!I3093</f>
        <v>40.2023351811392</v>
      </c>
      <c r="J3069" s="6" t="n">
        <f aca="false">Sens!J3093</f>
        <v>42.0026929880627</v>
      </c>
      <c r="K3069" s="6" t="n">
        <f aca="false">Sens!K3093</f>
        <v>44.0667939634558</v>
      </c>
    </row>
    <row r="3070" customFormat="false" ht="17.15" hidden="false" customHeight="false" outlineLevel="0" collapsed="false">
      <c r="A3070" s="1" t="s">
        <v>921</v>
      </c>
      <c r="B3070" s="0" t="s">
        <v>98</v>
      </c>
      <c r="D3070" s="6" t="n">
        <f aca="false">Q!L27</f>
        <v>-4.901</v>
      </c>
      <c r="E3070" s="6" t="n">
        <f aca="false">Q!M27</f>
        <v>10.697</v>
      </c>
      <c r="F3070" s="6" t="n">
        <f aca="false">oie_f</f>
        <v>-0.4</v>
      </c>
      <c r="G3070" s="6" t="n">
        <f aca="false">oie_f</f>
        <v>-0.4</v>
      </c>
      <c r="H3070" s="6" t="n">
        <f aca="false">oie_f</f>
        <v>-0.4</v>
      </c>
      <c r="I3070" s="6" t="n">
        <f aca="false">oie_f</f>
        <v>-0.4</v>
      </c>
      <c r="J3070" s="6" t="n">
        <f aca="false">oie_f</f>
        <v>-0.4</v>
      </c>
      <c r="K3070" s="6" t="n">
        <f aca="false">oie_f</f>
        <v>-0.4</v>
      </c>
      <c r="L3070" s="11" t="s">
        <v>922</v>
      </c>
    </row>
    <row r="3071" customFormat="false" ht="15" hidden="false" customHeight="false" outlineLevel="0" collapsed="false">
      <c r="A3071" s="1" t="s">
        <v>923</v>
      </c>
      <c r="B3071" s="0" t="s">
        <v>98</v>
      </c>
      <c r="D3071" s="6" t="n">
        <f aca="false">Sens!D3063+Sens!D3070</f>
        <v>123.627</v>
      </c>
      <c r="E3071" s="6" t="n">
        <f aca="false">Sens!E3063+Sens!E3070</f>
        <v>165.934</v>
      </c>
      <c r="F3071" s="6" t="n">
        <f aca="false">Sens!F3063+Sens!F3070</f>
        <v>167.381476959062</v>
      </c>
      <c r="G3071" s="6" t="n">
        <f aca="false">Sens!G3063+Sens!G3070</f>
        <v>197.247949518709</v>
      </c>
      <c r="H3071" s="6" t="n">
        <f aca="false">Sens!H3063+Sens!H3070</f>
        <v>226.791104591097</v>
      </c>
      <c r="I3071" s="6" t="n">
        <f aca="false">Sens!I3063+Sens!I3070</f>
        <v>252.23562669925</v>
      </c>
      <c r="J3071" s="6" t="n">
        <f aca="false">Sens!J3063+Sens!J3070</f>
        <v>274.936947093044</v>
      </c>
      <c r="K3071" s="6" t="n">
        <f aca="false">Sens!K3063+Sens!K3070</f>
        <v>296.553252356167</v>
      </c>
    </row>
    <row r="3072" customFormat="false" ht="15" hidden="false" customHeight="false" outlineLevel="0" collapsed="false">
      <c r="A3072" s="1" t="s">
        <v>924</v>
      </c>
      <c r="B3072" s="0" t="s">
        <v>98</v>
      </c>
      <c r="D3072" s="6" t="n">
        <f aca="false">Q!L29</f>
        <v>21.795</v>
      </c>
      <c r="E3072" s="6" t="n">
        <f aca="false">Q!M29</f>
        <v>32.185</v>
      </c>
      <c r="F3072" s="6" t="n">
        <f aca="false">Sens!F3071*tax_f</f>
        <v>33.4762953918123</v>
      </c>
      <c r="G3072" s="6" t="n">
        <f aca="false">Sens!G3071*tax_f</f>
        <v>39.4495899037418</v>
      </c>
      <c r="H3072" s="6" t="n">
        <f aca="false">Sens!H3071*tax_f</f>
        <v>45.3582209182194</v>
      </c>
      <c r="I3072" s="6" t="n">
        <f aca="false">Sens!I3071*tax_f</f>
        <v>50.4471253398499</v>
      </c>
      <c r="J3072" s="6" t="n">
        <f aca="false">Sens!J3071*tax_f</f>
        <v>54.9873894186089</v>
      </c>
      <c r="K3072" s="6" t="n">
        <f aca="false">Sens!K3071*tax_f</f>
        <v>59.3106504712334</v>
      </c>
    </row>
    <row r="3073" customFormat="false" ht="15" hidden="false" customHeight="false" outlineLevel="0" collapsed="false">
      <c r="A3073" s="1" t="s">
        <v>925</v>
      </c>
      <c r="B3073" s="0" t="s">
        <v>98</v>
      </c>
      <c r="D3073" s="6" t="n">
        <f aca="false">Sens!D3071-Sens!D3072</f>
        <v>101.832</v>
      </c>
      <c r="E3073" s="6" t="n">
        <f aca="false">Sens!E3071-Sens!E3072</f>
        <v>133.749</v>
      </c>
      <c r="F3073" s="6" t="n">
        <f aca="false">Sens!F3071-Sens!F3072</f>
        <v>133.905181567249</v>
      </c>
      <c r="G3073" s="6" t="n">
        <f aca="false">Sens!G3071-Sens!G3072</f>
        <v>157.798359614967</v>
      </c>
      <c r="H3073" s="6" t="n">
        <f aca="false">Sens!H3071-Sens!H3072</f>
        <v>181.432883672877</v>
      </c>
      <c r="I3073" s="6" t="n">
        <f aca="false">Sens!I3071-Sens!I3072</f>
        <v>201.7885013594</v>
      </c>
      <c r="J3073" s="6" t="n">
        <f aca="false">Sens!J3071-Sens!J3072</f>
        <v>219.949557674435</v>
      </c>
      <c r="K3073" s="6" t="n">
        <f aca="false">Sens!K3071-Sens!K3072</f>
        <v>237.242601884934</v>
      </c>
    </row>
    <row r="3074" customFormat="false" ht="17.15" hidden="false" customHeight="false" outlineLevel="0" collapsed="false">
      <c r="A3074" s="1" t="s">
        <v>926</v>
      </c>
      <c r="B3074" s="1" t="s">
        <v>81</v>
      </c>
      <c r="D3074" s="14" t="n">
        <f aca="false">Q!L31</f>
        <v>7.465</v>
      </c>
      <c r="E3074" s="14" t="n">
        <f aca="false">Q!M31</f>
        <v>7.453</v>
      </c>
      <c r="F3074" s="14" t="n">
        <f aca="false">Sens!F3117</f>
        <v>7.4735</v>
      </c>
      <c r="G3074" s="14" t="n">
        <f aca="false">Sens!G3117</f>
        <v>7.49987171271795</v>
      </c>
      <c r="H3074" s="14" t="n">
        <f aca="false">Sens!H3117</f>
        <v>7.50899501128585</v>
      </c>
      <c r="I3074" s="14" t="n">
        <f aca="false">Sens!I3117</f>
        <v>7.52077584329316</v>
      </c>
      <c r="J3074" s="14" t="n">
        <f aca="false">Sens!J3117</f>
        <v>7.53501735441104</v>
      </c>
      <c r="K3074" s="14" t="n">
        <f aca="false">Sens!K3117</f>
        <v>7.55153727211278</v>
      </c>
    </row>
    <row r="3075" customFormat="false" ht="17.15" hidden="false" customHeight="false" outlineLevel="0" collapsed="false">
      <c r="A3075" s="0" t="s">
        <v>927</v>
      </c>
      <c r="B3075" s="0" t="s">
        <v>75</v>
      </c>
      <c r="D3075" s="8" t="n">
        <f aca="false">Sens!D3073/Sens!D3074</f>
        <v>13.641259209645</v>
      </c>
      <c r="E3075" s="8" t="n">
        <f aca="false">Sens!E3073/Sens!E3074</f>
        <v>17.9456594659869</v>
      </c>
      <c r="F3075" s="8" t="n">
        <f aca="false">Sens!F3073/Sens!F3074</f>
        <v>17.9173321157757</v>
      </c>
      <c r="G3075" s="8" t="n">
        <f aca="false">Sens!G3073/Sens!G3074</f>
        <v>21.040141172999</v>
      </c>
      <c r="H3075" s="8" t="n">
        <f aca="false">Sens!H3073/Sens!H3074</f>
        <v>24.1620727407846</v>
      </c>
      <c r="I3075" s="8" t="n">
        <f aca="false">Sens!I3073/Sens!I3074</f>
        <v>26.8308091563917</v>
      </c>
      <c r="J3075" s="8" t="n">
        <f aca="false">Sens!J3073/Sens!J3074</f>
        <v>29.1903186587455</v>
      </c>
      <c r="K3075" s="8" t="n">
        <f aca="false">Sens!K3073/Sens!K3074</f>
        <v>31.4164644013679</v>
      </c>
      <c r="L3075" s="1" t="s">
        <v>928</v>
      </c>
    </row>
    <row r="3076" customFormat="false" ht="17.15" hidden="false" customHeight="false" outlineLevel="0" collapsed="false">
      <c r="A3076" s="1" t="s">
        <v>929</v>
      </c>
      <c r="B3076" s="0" t="s">
        <v>98</v>
      </c>
      <c r="D3076" s="6" t="n">
        <f aca="false">Sens!D3073</f>
        <v>101.832</v>
      </c>
      <c r="E3076" s="6" t="n">
        <f aca="false">Sens!E3073</f>
        <v>133.749</v>
      </c>
      <c r="F3076" s="6" t="n">
        <f aca="false">Sens!F3073+Sens!F3066*(1-tax_f)</f>
        <v>135.232850457608</v>
      </c>
      <c r="G3076" s="6" t="n">
        <f aca="false">Sens!G3073+Sens!G3066*(1-tax_f)</f>
        <v>157.798359614967</v>
      </c>
      <c r="H3076" s="6" t="n">
        <f aca="false">Sens!H3073+Sens!H3066*(1-tax_f)</f>
        <v>181.432883672877</v>
      </c>
      <c r="I3076" s="6" t="n">
        <f aca="false">Sens!I3073+Sens!I3066*(1-tax_f)</f>
        <v>201.7885013594</v>
      </c>
      <c r="J3076" s="6" t="n">
        <f aca="false">Sens!J3073+Sens!J3066*(1-tax_f)</f>
        <v>219.949557674435</v>
      </c>
      <c r="K3076" s="6" t="n">
        <f aca="false">Sens!K3073+Sens!K3066*(1-tax_f)</f>
        <v>237.242601884934</v>
      </c>
    </row>
    <row r="3077" customFormat="false" ht="17.15" hidden="false" customHeight="false" outlineLevel="0" collapsed="false">
      <c r="A3077" s="0" t="s">
        <v>930</v>
      </c>
      <c r="B3077" s="0" t="s">
        <v>75</v>
      </c>
      <c r="D3077" s="8" t="n">
        <f aca="false">Sens!D3076/Sens!D3074</f>
        <v>13.641259209645</v>
      </c>
      <c r="E3077" s="8" t="n">
        <f aca="false">Sens!E3076/Sens!E3074</f>
        <v>17.9456594659869</v>
      </c>
      <c r="F3077" s="8" t="n">
        <f aca="false">Sens!F3076/Sens!F3074</f>
        <v>18.0949823319205</v>
      </c>
      <c r="G3077" s="8" t="n">
        <f aca="false">Sens!G3076/Sens!G3074</f>
        <v>21.040141172999</v>
      </c>
      <c r="H3077" s="8" t="n">
        <f aca="false">Sens!H3076/Sens!H3074</f>
        <v>24.1620727407846</v>
      </c>
      <c r="I3077" s="8" t="n">
        <f aca="false">Sens!I3076/Sens!I3074</f>
        <v>26.8308091563917</v>
      </c>
      <c r="J3077" s="8" t="n">
        <f aca="false">Sens!J3076/Sens!J3074</f>
        <v>29.1903186587455</v>
      </c>
      <c r="K3077" s="8" t="n">
        <f aca="false">Sens!K3076/Sens!K3074</f>
        <v>31.4164644013679</v>
      </c>
      <c r="L3077" s="1" t="s">
        <v>931</v>
      </c>
    </row>
    <row r="3078" customFormat="false" ht="17.15" hidden="false" customHeight="false" outlineLevel="0" collapsed="false">
      <c r="A3078" s="0" t="s">
        <v>932</v>
      </c>
      <c r="B3078" s="0" t="s">
        <v>129</v>
      </c>
      <c r="E3078" s="7" t="n">
        <f aca="false">Sens!E3077/Sens!D3077-1</f>
        <v>0.315542736208578</v>
      </c>
      <c r="F3078" s="7" t="n">
        <f aca="false">Sens!F3077/Sens!E3077-1</f>
        <v>0.00832083469635925</v>
      </c>
      <c r="G3078" s="7" t="n">
        <f aca="false">Sens!G3077/Sens!F3077-1</f>
        <v>0.162761078571658</v>
      </c>
      <c r="H3078" s="7" t="n">
        <f aca="false">Sens!H3077/Sens!G3077-1</f>
        <v>0.148379782346331</v>
      </c>
      <c r="I3078" s="7" t="n">
        <f aca="false">Sens!I3077/Sens!H3077-1</f>
        <v>0.11045146847449</v>
      </c>
      <c r="J3078" s="7" t="n">
        <f aca="false">Sens!J3077/Sens!I3077-1</f>
        <v>0.0879403035741713</v>
      </c>
      <c r="K3078" s="7" t="n">
        <f aca="false">Sens!K3077/Sens!J3077-1</f>
        <v>0.0762631531586737</v>
      </c>
    </row>
    <row r="3079" customFormat="false" ht="17.15" hidden="false" customHeight="false" outlineLevel="0" collapsed="false">
      <c r="A3079" s="0" t="s">
        <v>856</v>
      </c>
      <c r="B3079" s="0" t="s">
        <v>98</v>
      </c>
      <c r="E3079" s="6" t="n">
        <f aca="false">Sens!E3020</f>
        <v>5.25</v>
      </c>
      <c r="F3079" s="6" t="n">
        <f aca="false">Sens!F3020</f>
        <v>13.5</v>
      </c>
      <c r="G3079" s="6" t="n">
        <f aca="false">Sens!G3020</f>
        <v>22.5</v>
      </c>
      <c r="H3079" s="6" t="n">
        <f aca="false">Sens!H3020</f>
        <v>31.5</v>
      </c>
      <c r="I3079" s="6" t="n">
        <f aca="false">Sens!I3020</f>
        <v>38.25</v>
      </c>
      <c r="J3079" s="6" t="n">
        <f aca="false">Sens!J3020</f>
        <v>42.75</v>
      </c>
      <c r="K3079" s="6" t="n">
        <f aca="false">Sens!K3020</f>
        <v>47.25</v>
      </c>
    </row>
    <row r="3080" customFormat="false" ht="17.15" hidden="false" customHeight="false" outlineLevel="0" collapsed="false">
      <c r="A3080" s="1" t="s">
        <v>857</v>
      </c>
      <c r="B3080" s="0" t="s">
        <v>98</v>
      </c>
      <c r="F3080" s="6" t="n">
        <f aca="false">MAX(0,((Sens!E2983+Sens!F2983)/2-(shadow_base*(Sens!$D$2983+Sens!$E$2983)/2+(1-shadow_base)*Sens!$E$2983))*Sens!F2991/1000-(Sens!F3079-Sens!$E$3079)*Sens!F3059)</f>
        <v>1.65958611294795</v>
      </c>
      <c r="G3080" s="6" t="n">
        <f aca="false">MAX(0,((Sens!F2983+Sens!G2983)/2-(shadow_base*(Sens!$D$2983+Sens!$E$2983)/2+(1-shadow_base)*Sens!$E$2983))*Sens!G2991/1000-(Sens!G3079-Sens!$E$3079)*Sens!G3059)</f>
        <v>0</v>
      </c>
      <c r="H3080" s="6" t="n">
        <f aca="false">MAX(0,((Sens!G2983+Sens!H2983)/2-(shadow_base*(Sens!$D$2983+Sens!$E$2983)/2+(1-shadow_base)*Sens!$E$2983))*Sens!H2991/1000-(Sens!H3079-Sens!$E$3079)*Sens!H3059)</f>
        <v>0</v>
      </c>
      <c r="I3080" s="6" t="n">
        <f aca="false">MAX(0,((Sens!H2983+Sens!I2983)/2-(shadow_base*(Sens!$D$2983+Sens!$E$2983)/2+(1-shadow_base)*Sens!$E$2983))*Sens!I2991/1000-(Sens!I3079-Sens!$E$3079)*Sens!I3059)</f>
        <v>0</v>
      </c>
      <c r="J3080" s="6" t="n">
        <f aca="false">MAX(0,((Sens!I2983+Sens!J2983)/2-(shadow_base*(Sens!$D$2983+Sens!$E$2983)/2+(1-shadow_base)*Sens!$E$2983))*Sens!J2991/1000-(Sens!J3079-Sens!$E$3079)*Sens!J3059)</f>
        <v>0</v>
      </c>
      <c r="K3080" s="6" t="n">
        <f aca="false">MAX(0,((Sens!J2983+Sens!K2983)/2-(shadow_base*(Sens!$D$2983+Sens!$E$2983)/2+(1-shadow_base)*Sens!$E$2983))*Sens!K2991/1000-(Sens!K3079-Sens!$E$3079)*Sens!K3059)</f>
        <v>0</v>
      </c>
      <c r="L3080" s="1" t="s">
        <v>858</v>
      </c>
    </row>
    <row r="3081" customFormat="false" ht="17.15" hidden="false" customHeight="false" outlineLevel="0" collapsed="false">
      <c r="A3081" s="1" t="s">
        <v>859</v>
      </c>
      <c r="B3081" s="0" t="s">
        <v>98</v>
      </c>
      <c r="F3081" s="6" t="n">
        <f aca="false">IF(internal_ai_reading=2,1,0)*Sens!F3080</f>
        <v>1.65958611294795</v>
      </c>
      <c r="G3081" s="6" t="n">
        <f aca="false">IF(internal_ai_reading=2,1,0)*Sens!G3080</f>
        <v>0</v>
      </c>
      <c r="H3081" s="6" t="n">
        <f aca="false">IF(internal_ai_reading=2,1,0)*Sens!H3080</f>
        <v>0</v>
      </c>
      <c r="I3081" s="6" t="n">
        <f aca="false">IF(internal_ai_reading=2,1,0)*Sens!I3080</f>
        <v>0</v>
      </c>
      <c r="J3081" s="6" t="n">
        <f aca="false">IF(internal_ai_reading=2,1,0)*Sens!J3080</f>
        <v>0</v>
      </c>
      <c r="K3081" s="6" t="n">
        <f aca="false">IF(internal_ai_reading=2,1,0)*Sens!K3080</f>
        <v>0</v>
      </c>
    </row>
    <row r="3082" customFormat="false" ht="17.15" hidden="false" customHeight="false" outlineLevel="0" collapsed="false">
      <c r="A3082" s="0" t="s">
        <v>860</v>
      </c>
      <c r="B3082" s="0" t="s">
        <v>98</v>
      </c>
      <c r="F3082" s="6" t="n">
        <f aca="false">Sens!F3000+Sens!F3079*Sens!F3059+Sens!F3081-Sens!F3001-Sens!F3011</f>
        <v>11.3651502732963</v>
      </c>
      <c r="G3082" s="6" t="n">
        <f aca="false">Sens!G3000+Sens!G3079*Sens!G3059+Sens!G3081-Sens!G3001-Sens!G3011</f>
        <v>18.5249738059023</v>
      </c>
      <c r="H3082" s="6" t="n">
        <f aca="false">Sens!H3000+Sens!H3079*Sens!H3059+Sens!H3081-Sens!H3001-Sens!H3011</f>
        <v>26.8381948936064</v>
      </c>
      <c r="I3082" s="6" t="n">
        <f aca="false">Sens!I3000+Sens!I3079*Sens!I3059+Sens!I3081-Sens!I3001-Sens!I3011</f>
        <v>31.547774454727</v>
      </c>
      <c r="J3082" s="6" t="n">
        <f aca="false">Sens!J3000+Sens!J3079*Sens!J3059+Sens!J3081-Sens!J3001-Sens!J3011</f>
        <v>34.7654652583657</v>
      </c>
      <c r="K3082" s="6" t="n">
        <f aca="false">Sens!K3000+Sens!K3079*Sens!K3059+Sens!K3081-Sens!K3001-Sens!K3011</f>
        <v>38.9293951962278</v>
      </c>
    </row>
    <row r="3083" customFormat="false" ht="17.15" hidden="false" customHeight="false" outlineLevel="0" collapsed="false">
      <c r="A3083" s="0" t="s">
        <v>861</v>
      </c>
      <c r="B3083" s="0" t="s">
        <v>98</v>
      </c>
      <c r="E3083" s="6" t="n">
        <f aca="false">Sens!E2982*(cxit_open+self_build*tk_cxfac)/1000*ai_net_open</f>
        <v>126.6980382</v>
      </c>
      <c r="F3083" s="6" t="n">
        <f aca="false">Sens!E3083+Sens!F3008-Sens!F3011</f>
        <v>132.734637736333</v>
      </c>
      <c r="G3083" s="6" t="n">
        <f aca="false">Sens!F3083+Sens!G3008-Sens!G3011</f>
        <v>138.59517468</v>
      </c>
      <c r="H3083" s="6" t="n">
        <f aca="false">Sens!G3083+Sens!H3008-Sens!H3011</f>
        <v>106.570285189667</v>
      </c>
      <c r="I3083" s="6" t="n">
        <f aca="false">Sens!H3083+Sens!I3008-Sens!I3011</f>
        <v>104.160296816417</v>
      </c>
      <c r="J3083" s="6" t="n">
        <f aca="false">Sens!I3083+Sens!J3008-Sens!J3011</f>
        <v>115.572403411083</v>
      </c>
      <c r="K3083" s="6" t="n">
        <f aca="false">Sens!J3083+Sens!K3008-Sens!K3011</f>
        <v>169.1602078745</v>
      </c>
      <c r="L3083" s="1" t="s">
        <v>862</v>
      </c>
    </row>
    <row r="3084" customFormat="false" ht="17.15" hidden="false" customHeight="false" outlineLevel="0" collapsed="false">
      <c r="A3084" s="0" t="s">
        <v>863</v>
      </c>
      <c r="B3084" s="0" t="s">
        <v>129</v>
      </c>
      <c r="F3084" s="7" t="n">
        <f aca="false">Sens!F3082*(1-tax_f)/((Sens!E3083+Sens!F3083)/2)</f>
        <v>0.0700923288542752</v>
      </c>
      <c r="G3084" s="7" t="n">
        <f aca="false">Sens!G3082*(1-tax_f)/((Sens!F3083+Sens!G3083)/2)</f>
        <v>0.109239592308285</v>
      </c>
      <c r="H3084" s="7" t="n">
        <f aca="false">Sens!H3082*(1-tax_f)/((Sens!G3083+Sens!H3083)/2)</f>
        <v>0.175151556228999</v>
      </c>
      <c r="I3084" s="7" t="n">
        <f aca="false">Sens!I3082*(1-tax_f)/((Sens!H3083+Sens!I3083)/2)</f>
        <v>0.239530677735736</v>
      </c>
      <c r="J3084" s="7" t="n">
        <f aca="false">Sens!J3082*(1-tax_f)/((Sens!I3083+Sens!J3083)/2)</f>
        <v>0.253147321066888</v>
      </c>
      <c r="K3084" s="7" t="n">
        <f aca="false">Sens!K3082*(1-tax_f)/((Sens!J3083+Sens!K3083)/2)</f>
        <v>0.218756228985275</v>
      </c>
    </row>
    <row r="3085" customFormat="false" ht="17.15" hidden="false" customHeight="false" outlineLevel="0" collapsed="false">
      <c r="A3085" s="1" t="s">
        <v>864</v>
      </c>
      <c r="B3085" s="0" t="s">
        <v>129</v>
      </c>
      <c r="F3085" s="7" t="n">
        <f aca="false">(Sens!F3082-Sens!F3081)*(1-tax_f)/((Sens!E3083+Sens!F3083)/2)</f>
        <v>0.0598571579332137</v>
      </c>
      <c r="G3085" s="7" t="n">
        <f aca="false">(Sens!G3082-Sens!G3081)*(1-tax_f)/((Sens!F3083+Sens!G3083)/2)</f>
        <v>0.109239592308285</v>
      </c>
      <c r="H3085" s="7" t="n">
        <f aca="false">(Sens!H3082-Sens!H3081)*(1-tax_f)/((Sens!G3083+Sens!H3083)/2)</f>
        <v>0.175151556228999</v>
      </c>
      <c r="I3085" s="7" t="n">
        <f aca="false">(Sens!I3082-Sens!I3081)*(1-tax_f)/((Sens!H3083+Sens!I3083)/2)</f>
        <v>0.239530677735736</v>
      </c>
      <c r="J3085" s="7" t="n">
        <f aca="false">(Sens!J3082-Sens!J3081)*(1-tax_f)/((Sens!I3083+Sens!J3083)/2)</f>
        <v>0.253147321066888</v>
      </c>
      <c r="K3085" s="7" t="n">
        <f aca="false">(Sens!K3082-Sens!K3081)*(1-tax_f)/((Sens!J3083+Sens!K3083)/2)</f>
        <v>0.218756228985275</v>
      </c>
    </row>
    <row r="3086" customFormat="false" ht="17.15" hidden="false" customHeight="false" outlineLevel="0" collapsed="false">
      <c r="A3086" s="1" t="s">
        <v>865</v>
      </c>
      <c r="B3086" s="0" t="s">
        <v>129</v>
      </c>
      <c r="F3086" s="7" t="n">
        <f aca="false">(Sens!F3082-Sens!F3081+Sens!F3080)*(1-tax_f)/((Sens!E3083+Sens!F3083)/2)</f>
        <v>0.0700923288542752</v>
      </c>
      <c r="G3086" s="7" t="n">
        <f aca="false">(Sens!G3082-Sens!G3081+Sens!G3080)*(1-tax_f)/((Sens!F3083+Sens!G3083)/2)</f>
        <v>0.109239592308285</v>
      </c>
      <c r="H3086" s="7" t="n">
        <f aca="false">(Sens!H3082-Sens!H3081+Sens!H3080)*(1-tax_f)/((Sens!G3083+Sens!H3083)/2)</f>
        <v>0.175151556228999</v>
      </c>
      <c r="I3086" s="7" t="n">
        <f aca="false">(Sens!I3082-Sens!I3081+Sens!I3080)*(1-tax_f)/((Sens!H3083+Sens!I3083)/2)</f>
        <v>0.239530677735736</v>
      </c>
      <c r="J3086" s="7" t="n">
        <f aca="false">(Sens!J3082-Sens!J3081+Sens!J3080)*(1-tax_f)/((Sens!I3083+Sens!J3083)/2)</f>
        <v>0.253147321066888</v>
      </c>
      <c r="K3086" s="7" t="n">
        <f aca="false">(Sens!K3082-Sens!K3081+Sens!K3080)*(1-tax_f)/((Sens!J3083+Sens!K3083)/2)</f>
        <v>0.218756228985275</v>
      </c>
    </row>
    <row r="3087" customFormat="false" ht="17.15" hidden="false" customHeight="false" outlineLevel="0" collapsed="false">
      <c r="A3087" s="1" t="s">
        <v>866</v>
      </c>
      <c r="B3087" s="0" t="s">
        <v>129</v>
      </c>
      <c r="F3087" s="7" t="n">
        <f aca="false">Sens!F3012*(1-tax_f)/(Sens!F2999*(Sens!E3083+Sens!F3083)/2)</f>
        <v>0.171931196611404</v>
      </c>
      <c r="G3087" s="7" t="n">
        <f aca="false">Sens!G3012*(1-tax_f)/(Sens!G2999*(Sens!F3083+Sens!G3083)/2)</f>
        <v>0.227479275671844</v>
      </c>
      <c r="H3087" s="7" t="n">
        <f aca="false">Sens!H3012*(1-tax_f)/(Sens!H2999*(Sens!G3083+Sens!H3083)/2)</f>
        <v>0.301963779576902</v>
      </c>
      <c r="I3087" s="7" t="n">
        <f aca="false">Sens!I3012*(1-tax_f)/(Sens!I2999*(Sens!H3083+Sens!I3083)/2)</f>
        <v>0.366063486516837</v>
      </c>
      <c r="J3087" s="7" t="n">
        <f aca="false">Sens!J3012*(1-tax_f)/(Sens!J2999*(Sens!I3083+Sens!J3083)/2)</f>
        <v>0.367751309619246</v>
      </c>
      <c r="K3087" s="7" t="n">
        <f aca="false">Sens!K3012*(1-tax_f)/(Sens!K2999*(Sens!J3083+Sens!K3083)/2)</f>
        <v>0.311100534522441</v>
      </c>
    </row>
    <row r="3088" customFormat="false" ht="17.15" hidden="false" customHeight="false" outlineLevel="0" collapsed="false">
      <c r="A3088" s="0" t="s">
        <v>867</v>
      </c>
      <c r="B3088" s="0" t="s">
        <v>209</v>
      </c>
      <c r="F3088" s="7" t="n">
        <f aca="false">Sens!F3084-wacc</f>
        <v>-0.0328420912386005</v>
      </c>
      <c r="G3088" s="7" t="n">
        <f aca="false">Sens!G3084-wacc</f>
        <v>0.00630517221540933</v>
      </c>
      <c r="H3088" s="7" t="n">
        <f aca="false">Sens!H3084-wacc</f>
        <v>0.072217136136123</v>
      </c>
      <c r="I3088" s="7" t="n">
        <f aca="false">Sens!I3084-wacc</f>
        <v>0.13659625764286</v>
      </c>
      <c r="J3088" s="7" t="n">
        <f aca="false">Sens!J3084-wacc</f>
        <v>0.150212900974012</v>
      </c>
      <c r="K3088" s="7" t="n">
        <f aca="false">Sens!K3084-wacc</f>
        <v>0.1158218088924</v>
      </c>
    </row>
    <row r="3089" customFormat="false" ht="17.15" hidden="false" customHeight="false" outlineLevel="0" collapsed="false">
      <c r="A3089" s="0" t="s">
        <v>868</v>
      </c>
      <c r="B3089" s="0" t="s">
        <v>98</v>
      </c>
      <c r="F3089" s="6" t="n">
        <f aca="false">Sens!F3082*(1-tax_f)-wacc*(Sens!E3083+Sens!F3083)/2</f>
        <v>-4.26015580668767</v>
      </c>
      <c r="G3089" s="6" t="n">
        <f aca="false">Sens!G3082*(1-tax_f)-wacc*(Sens!F3083+Sens!G3083)/2</f>
        <v>0.855390597229844</v>
      </c>
      <c r="H3089" s="6" t="n">
        <f aca="false">Sens!H3082*(1-tax_f)-wacc*(Sens!G3083+Sens!H3083)/2</f>
        <v>8.85257369564146</v>
      </c>
      <c r="I3089" s="6" t="n">
        <f aca="false">Sens!I3082*(1-tax_f)-wacc*(Sens!H3083+Sens!I3083)/2</f>
        <v>14.3925044364664</v>
      </c>
      <c r="J3089" s="6" t="n">
        <f aca="false">Sens!J3082*(1-tax_f)-wacc*(Sens!I3083+Sens!J3083)/2</f>
        <v>16.5033431700129</v>
      </c>
      <c r="K3089" s="6" t="n">
        <f aca="false">Sens!K3082*(1-tax_f)-wacc*(Sens!J3083+Sens!K3083)/2</f>
        <v>16.4891230448764</v>
      </c>
    </row>
    <row r="3090" customFormat="false" ht="17.15" hidden="false" customHeight="false" outlineLevel="0" collapsed="false">
      <c r="A3090" s="3" t="s">
        <v>1340</v>
      </c>
    </row>
    <row r="3091" customFormat="false" ht="15" hidden="false" customHeight="false" outlineLevel="0" collapsed="false">
      <c r="A3091" s="4" t="s">
        <v>43</v>
      </c>
      <c r="B3091" s="4" t="s">
        <v>65</v>
      </c>
      <c r="C3091" s="20" t="s">
        <v>799</v>
      </c>
      <c r="D3091" s="20" t="s">
        <v>800</v>
      </c>
      <c r="E3091" s="20" t="s">
        <v>801</v>
      </c>
      <c r="F3091" s="20" t="s">
        <v>802</v>
      </c>
      <c r="G3091" s="20" t="s">
        <v>803</v>
      </c>
      <c r="H3091" s="20" t="s">
        <v>804</v>
      </c>
      <c r="I3091" s="20" t="s">
        <v>805</v>
      </c>
      <c r="J3091" s="20" t="s">
        <v>806</v>
      </c>
      <c r="K3091" s="20" t="s">
        <v>807</v>
      </c>
      <c r="L3091" s="4" t="s">
        <v>47</v>
      </c>
    </row>
    <row r="3092" customFormat="false" ht="15" hidden="false" customHeight="false" outlineLevel="0" collapsed="false">
      <c r="A3092" s="1" t="s">
        <v>925</v>
      </c>
      <c r="B3092" s="0" t="s">
        <v>98</v>
      </c>
      <c r="F3092" s="6" t="n">
        <f aca="false">Sens!F3073</f>
        <v>133.905181567249</v>
      </c>
      <c r="G3092" s="6" t="n">
        <f aca="false">Sens!G3073</f>
        <v>157.798359614967</v>
      </c>
      <c r="H3092" s="6" t="n">
        <f aca="false">Sens!H3073</f>
        <v>181.432883672877</v>
      </c>
      <c r="I3092" s="6" t="n">
        <f aca="false">Sens!I3073</f>
        <v>201.7885013594</v>
      </c>
      <c r="J3092" s="6" t="n">
        <f aca="false">Sens!J3073</f>
        <v>219.949557674435</v>
      </c>
      <c r="K3092" s="6" t="n">
        <f aca="false">Sens!K3073</f>
        <v>237.242601884934</v>
      </c>
    </row>
    <row r="3093" customFormat="false" ht="17.15" hidden="false" customHeight="false" outlineLevel="0" collapsed="false">
      <c r="A3093" s="1" t="s">
        <v>947</v>
      </c>
      <c r="B3093" s="0" t="s">
        <v>98</v>
      </c>
      <c r="E3093" s="6" t="n">
        <f aca="false">Q!M38-Sens!E3011</f>
        <v>22.2285940229167</v>
      </c>
      <c r="F3093" s="6" t="n">
        <f aca="false">Sens!E3093*(1-1/life_nonai)+(Sens!F3100+Sens!F3101)/life_nonai</f>
        <v>37.358881403025</v>
      </c>
      <c r="G3093" s="6" t="n">
        <f aca="false">Sens!F3093*(1-1/life_nonai)+(Sens!G3100)/life_nonai</f>
        <v>37.7832826197614</v>
      </c>
      <c r="H3093" s="6" t="n">
        <f aca="false">Sens!G3093*(1-1/life_nonai)+(Sens!H3100)/life_nonai</f>
        <v>38.7611057221943</v>
      </c>
      <c r="I3093" s="6" t="n">
        <f aca="false">Sens!H3093*(1-1/life_nonai)+(Sens!I3100)/life_nonai</f>
        <v>40.2023351811392</v>
      </c>
      <c r="J3093" s="6" t="n">
        <f aca="false">Sens!I3093*(1-1/life_nonai)+(Sens!J3100)/life_nonai</f>
        <v>42.0026929880627</v>
      </c>
      <c r="K3093" s="6" t="n">
        <f aca="false">Sens!J3093*(1-1/life_nonai)+(Sens!K3100)/life_nonai</f>
        <v>44.0667939634558</v>
      </c>
      <c r="L3093" s="11" t="s">
        <v>948</v>
      </c>
    </row>
    <row r="3094" customFormat="false" ht="17.15" hidden="false" customHeight="false" outlineLevel="0" collapsed="false">
      <c r="A3094" s="1" t="s">
        <v>949</v>
      </c>
      <c r="B3094" s="0" t="s">
        <v>98</v>
      </c>
      <c r="F3094" s="6" t="n">
        <f aca="false">Sens!$F$3101/life_nonai*(1-1/life_nonai)^(Sens!F2977-2027)</f>
        <v>13.7802120594438</v>
      </c>
      <c r="G3094" s="6" t="n">
        <f aca="false">Sens!$F$3101/life_nonai*(1-1/life_nonai)^(Sens!G2977-2027)</f>
        <v>12.4021908534994</v>
      </c>
      <c r="H3094" s="6" t="n">
        <f aca="false">Sens!$F$3101/life_nonai*(1-1/life_nonai)^(Sens!H2977-2027)</f>
        <v>11.1619717681494</v>
      </c>
      <c r="I3094" s="6" t="n">
        <f aca="false">Sens!$F$3101/life_nonai*(1-1/life_nonai)^(Sens!I2977-2027)</f>
        <v>10.0457745913345</v>
      </c>
      <c r="J3094" s="6" t="n">
        <f aca="false">Sens!$F$3101/life_nonai*(1-1/life_nonai)^(Sens!J2977-2027)</f>
        <v>9.04119713220105</v>
      </c>
      <c r="K3094" s="6" t="n">
        <f aca="false">Sens!$F$3101/life_nonai*(1-1/life_nonai)^(Sens!K2977-2027)</f>
        <v>8.13707741898094</v>
      </c>
      <c r="L3094" s="1" t="s">
        <v>950</v>
      </c>
    </row>
    <row r="3095" customFormat="false" ht="17.15" hidden="false" customHeight="false" outlineLevel="0" collapsed="false">
      <c r="A3095" s="1" t="s">
        <v>951</v>
      </c>
      <c r="B3095" s="0" t="s">
        <v>98</v>
      </c>
      <c r="E3095" s="6" t="n">
        <f aca="false">Sens!E3011+Sens!E3093</f>
        <v>38.534</v>
      </c>
      <c r="F3095" s="6" t="n">
        <f aca="false">Sens!F3011+Sens!F3093</f>
        <v>61.9908140426917</v>
      </c>
      <c r="G3095" s="6" t="n">
        <f aca="false">Sens!G3011+Sens!G3093</f>
        <v>67.2254726920948</v>
      </c>
      <c r="H3095" s="6" t="n">
        <f aca="false">Sens!H3011+Sens!H3093</f>
        <v>70.7859952125276</v>
      </c>
      <c r="I3095" s="6" t="n">
        <f aca="false">Sens!I3011+Sens!I3093</f>
        <v>72.8709989010559</v>
      </c>
      <c r="J3095" s="6" t="n">
        <f aca="false">Sens!J3011+Sens!J3093</f>
        <v>76.2873614067294</v>
      </c>
      <c r="K3095" s="6" t="n">
        <f aca="false">Sens!K3011+Sens!K3093</f>
        <v>81.2550155400391</v>
      </c>
    </row>
    <row r="3096" customFormat="false" ht="17.15" hidden="false" customHeight="false" outlineLevel="0" collapsed="false">
      <c r="A3096" s="1" t="s">
        <v>952</v>
      </c>
      <c r="B3096" s="0" t="s">
        <v>98</v>
      </c>
      <c r="F3096" s="6" t="n">
        <f aca="false">Sens!F3038*sbc_r</f>
        <v>14.5967258106986</v>
      </c>
      <c r="G3096" s="6" t="n">
        <f aca="false">Sens!G3038*sbc_r</f>
        <v>16.6843873445553</v>
      </c>
      <c r="H3096" s="6" t="n">
        <f aca="false">Sens!H3038*sbc_r</f>
        <v>18.6271033758076</v>
      </c>
      <c r="I3096" s="6" t="n">
        <f aca="false">Sens!I3038*sbc_r</f>
        <v>20.2761541919582</v>
      </c>
      <c r="J3096" s="6" t="n">
        <f aca="false">Sens!J3038*sbc_r</f>
        <v>21.8036179507238</v>
      </c>
      <c r="K3096" s="6" t="n">
        <f aca="false">Sens!K3038*sbc_r</f>
        <v>23.300693917642</v>
      </c>
    </row>
    <row r="3097" customFormat="false" ht="17.15" hidden="false" customHeight="false" outlineLevel="0" collapsed="false">
      <c r="A3097" s="1" t="s">
        <v>953</v>
      </c>
      <c r="B3097" s="0" t="s">
        <v>98</v>
      </c>
      <c r="F3097" s="6" t="n">
        <f aca="false">wc27</f>
        <v>-4.895</v>
      </c>
      <c r="G3097" s="6" t="n">
        <f aca="false">wc_f</f>
        <v>0</v>
      </c>
      <c r="H3097" s="6" t="n">
        <f aca="false">wc_f</f>
        <v>0</v>
      </c>
      <c r="I3097" s="6" t="n">
        <f aca="false">wc_f</f>
        <v>0</v>
      </c>
      <c r="J3097" s="6" t="n">
        <f aca="false">wc_f</f>
        <v>0</v>
      </c>
      <c r="K3097" s="6" t="n">
        <f aca="false">wc_f</f>
        <v>0</v>
      </c>
      <c r="L3097" s="11" t="s">
        <v>954</v>
      </c>
    </row>
    <row r="3098" customFormat="false" ht="15" hidden="false" customHeight="false" outlineLevel="0" collapsed="false">
      <c r="A3098" s="1" t="s">
        <v>767</v>
      </c>
      <c r="B3098" s="0" t="s">
        <v>98</v>
      </c>
      <c r="E3098" s="6" t="n">
        <f aca="false">Q!M35</f>
        <v>182.935</v>
      </c>
      <c r="F3098" s="6" t="n">
        <f aca="false">Sens!F3092+Sens!F3095+Sens!F3096+Sens!F3097</f>
        <v>205.59772142064</v>
      </c>
      <c r="G3098" s="6" t="n">
        <f aca="false">Sens!G3092+Sens!G3095+Sens!G3096+Sens!G3097</f>
        <v>241.708219651617</v>
      </c>
      <c r="H3098" s="6" t="n">
        <f aca="false">Sens!H3092+Sens!H3095+Sens!H3096+Sens!H3097</f>
        <v>270.845982261213</v>
      </c>
      <c r="I3098" s="6" t="n">
        <f aca="false">Sens!I3092+Sens!I3095+Sens!I3096+Sens!I3097</f>
        <v>294.935654452414</v>
      </c>
      <c r="J3098" s="6" t="n">
        <f aca="false">Sens!J3092+Sens!J3095+Sens!J3096+Sens!J3097</f>
        <v>318.040537031889</v>
      </c>
      <c r="K3098" s="6" t="n">
        <f aca="false">Sens!K3092+Sens!K3095+Sens!K3096+Sens!K3097</f>
        <v>341.798311342615</v>
      </c>
    </row>
    <row r="3099" customFormat="false" ht="17.15" hidden="false" customHeight="false" outlineLevel="0" collapsed="false">
      <c r="A3099" s="0" t="s">
        <v>955</v>
      </c>
      <c r="B3099" s="0" t="s">
        <v>98</v>
      </c>
      <c r="F3099" s="6" t="n">
        <f aca="false">Sens!F3008</f>
        <v>30.668532176</v>
      </c>
      <c r="G3099" s="6" t="n">
        <f aca="false">Sens!G3008</f>
        <v>35.302727016</v>
      </c>
      <c r="H3099" s="6" t="n">
        <f aca="false">Sens!H3008</f>
        <v>0</v>
      </c>
      <c r="I3099" s="6" t="n">
        <f aca="false">Sens!I3008</f>
        <v>30.2586753466667</v>
      </c>
      <c r="J3099" s="6" t="n">
        <f aca="false">Sens!J3008</f>
        <v>45.6967750133333</v>
      </c>
      <c r="K3099" s="6" t="n">
        <f aca="false">Sens!K3008</f>
        <v>90.77602604</v>
      </c>
    </row>
    <row r="3100" customFormat="false" ht="17.15" hidden="false" customHeight="false" outlineLevel="0" collapsed="false">
      <c r="A3100" s="1" t="s">
        <v>956</v>
      </c>
      <c r="B3100" s="0" t="s">
        <v>98</v>
      </c>
      <c r="E3100" s="6" t="n">
        <f aca="false">Sens!E3016*cx_azo+Sens!E3023*cx_m365+Sens!E3024*cx_lic+(Sens!E3026+Sens!E3028)*cx_ind+Sens!E3031*cx_srch+(Sens!E3033+Sens!E3035)*cx_dev</f>
        <v>30.1846587067718</v>
      </c>
      <c r="F3100" s="6" t="n">
        <f aca="false">Sens!F3016*cx_azo+Sens!F3023*cx_m365+Sens!F3024*cx_lic+(Sens!F3026+Sens!F3028)*cx_ind+Sens!F3031*cx_srch+(Sens!F3033+Sens!F3035)*cx_dev</f>
        <v>35.7293472295625</v>
      </c>
      <c r="G3100" s="6" t="n">
        <f aca="false">Sens!G3016*cx_azo+Sens!G3023*cx_m365+Sens!G3024*cx_lic+(Sens!G3026+Sens!G3028)*cx_ind+Sens!G3031*cx_srch+(Sens!G3033+Sens!G3035)*cx_dev</f>
        <v>41.6028935703892</v>
      </c>
      <c r="H3100" s="6" t="n">
        <f aca="false">Sens!H3016*cx_azo+Sens!H3023*cx_m365+Sens!H3024*cx_lic+(Sens!H3026+Sens!H3028)*cx_ind+Sens!H3031*cx_srch+(Sens!H3033+Sens!H3035)*cx_dev</f>
        <v>47.5615136440897</v>
      </c>
      <c r="I3100" s="6" t="n">
        <f aca="false">Sens!I3016*cx_azo+Sens!I3023*cx_m365+Sens!I3024*cx_lic+(Sens!I3026+Sens!I3028)*cx_ind+Sens!I3031*cx_srch+(Sens!I3033+Sens!I3035)*cx_dev</f>
        <v>53.1734003116439</v>
      </c>
      <c r="J3100" s="6" t="n">
        <f aca="false">Sens!J3016*cx_azo+Sens!J3023*cx_m365+Sens!J3024*cx_lic+(Sens!J3026+Sens!J3028)*cx_ind+Sens!J3031*cx_srch+(Sens!J3033+Sens!J3035)*cx_dev</f>
        <v>58.2059132503738</v>
      </c>
      <c r="K3100" s="6" t="n">
        <f aca="false">Sens!K3016*cx_azo+Sens!K3023*cx_m365+Sens!K3024*cx_lic+(Sens!K3026+Sens!K3028)*cx_ind+Sens!K3031*cx_srch+(Sens!K3033+Sens!K3035)*cx_dev</f>
        <v>62.643702741994</v>
      </c>
    </row>
    <row r="3101" customFormat="false" ht="17.15" hidden="false" customHeight="false" outlineLevel="0" collapsed="false">
      <c r="A3101" s="0" t="s">
        <v>957</v>
      </c>
      <c r="B3101" s="0" t="s">
        <v>98</v>
      </c>
      <c r="F3101" s="6" t="n">
        <f aca="false">Sens!F3006</f>
        <v>137.802120594438</v>
      </c>
      <c r="L3101" s="1" t="s">
        <v>958</v>
      </c>
    </row>
    <row r="3102" customFormat="false" ht="17.15" hidden="false" customHeight="false" outlineLevel="0" collapsed="false">
      <c r="A3102" s="1" t="s">
        <v>959</v>
      </c>
      <c r="B3102" s="0" t="s">
        <v>98</v>
      </c>
      <c r="E3102" s="6" t="n">
        <f aca="false">Q!M42</f>
        <v>145.3</v>
      </c>
      <c r="F3102" s="6" t="n">
        <f aca="false">Sens!F3099+Sens!F3100+Sens!F3101</f>
        <v>204.2</v>
      </c>
      <c r="G3102" s="6" t="n">
        <f aca="false">Sens!G3099+Sens!G3100</f>
        <v>76.9056205863892</v>
      </c>
      <c r="H3102" s="6" t="n">
        <f aca="false">Sens!H3099+Sens!H3100</f>
        <v>47.5615136440897</v>
      </c>
      <c r="I3102" s="6" t="n">
        <f aca="false">Sens!I3099+Sens!I3100</f>
        <v>83.4320756583106</v>
      </c>
      <c r="J3102" s="6" t="n">
        <f aca="false">Sens!J3099+Sens!J3100</f>
        <v>103.902688263707</v>
      </c>
      <c r="K3102" s="6" t="n">
        <f aca="false">Sens!K3099+Sens!K3100</f>
        <v>153.419728781994</v>
      </c>
      <c r="L3102" s="1" t="s">
        <v>960</v>
      </c>
    </row>
    <row r="3103" customFormat="false" ht="15" hidden="false" customHeight="false" outlineLevel="0" collapsed="false">
      <c r="A3103" s="1" t="s">
        <v>961</v>
      </c>
      <c r="B3103" s="0" t="s">
        <v>98</v>
      </c>
      <c r="E3103" s="6" t="n">
        <f aca="false">fl_liab</f>
        <v>66.594</v>
      </c>
      <c r="F3103" s="6" t="n">
        <f aca="false">Sens!E3103-Sens!F3104</f>
        <v>62.46973</v>
      </c>
      <c r="G3103" s="6" t="n">
        <f aca="false">Sens!F3103-Sens!G3104</f>
        <v>57.98686785</v>
      </c>
      <c r="H3103" s="6" t="n">
        <f aca="false">Sens!G3103-Sens!H3104</f>
        <v>53.92827690325</v>
      </c>
      <c r="I3103" s="6" t="n">
        <f aca="false">Sens!H3103-Sens!I3104</f>
        <v>49.7850493638962</v>
      </c>
      <c r="J3103" s="6" t="n">
        <f aca="false">Sens!I3103-Sens!J3104</f>
        <v>45.4823765852716</v>
      </c>
      <c r="K3103" s="6" t="n">
        <f aca="false">Sens!J3103-Sens!K3104</f>
        <v>40.9860835316088</v>
      </c>
    </row>
    <row r="3104" customFormat="false" ht="15" hidden="false" customHeight="false" outlineLevel="0" collapsed="false">
      <c r="A3104" s="1" t="s">
        <v>962</v>
      </c>
      <c r="B3104" s="0" t="s">
        <v>98</v>
      </c>
      <c r="F3104" s="6" t="n">
        <f aca="false">fl_pay_27-Sens!E3103*fl_rate</f>
        <v>4.12427</v>
      </c>
      <c r="G3104" s="6" t="n">
        <f aca="false">fl_pay_28-Sens!F3103*fl_rate</f>
        <v>4.48286215</v>
      </c>
      <c r="H3104" s="6" t="n">
        <f aca="false">fl_pay_29-Sens!G3103*fl_rate</f>
        <v>4.05859094675</v>
      </c>
      <c r="I3104" s="6" t="n">
        <f aca="false">fl_pay_30-Sens!H3103*fl_rate</f>
        <v>4.14322753935375</v>
      </c>
      <c r="J3104" s="6" t="n">
        <f aca="false">fl_pay_31-Sens!I3103*fl_rate</f>
        <v>4.30267277862467</v>
      </c>
      <c r="K3104" s="6" t="n">
        <f aca="false">fl_pay_32-Sens!J3103*fl_rate</f>
        <v>4.49629305366278</v>
      </c>
    </row>
    <row r="3105" customFormat="false" ht="17.15" hidden="false" customHeight="false" outlineLevel="0" collapsed="false">
      <c r="A3105" s="1" t="s">
        <v>963</v>
      </c>
      <c r="B3105" s="0" t="s">
        <v>98</v>
      </c>
      <c r="E3105" s="6" t="n">
        <f aca="false">Q!M35-Q!M36-Q!M43</f>
        <v>63.886</v>
      </c>
      <c r="F3105" s="6" t="n">
        <f aca="false">Sens!F3098-Sens!F3102-Sens!F3104</f>
        <v>-2.72654857936036</v>
      </c>
      <c r="G3105" s="6" t="n">
        <f aca="false">Sens!G3098-Sens!G3102-Sens!G3104</f>
        <v>160.319736915228</v>
      </c>
      <c r="H3105" s="6" t="n">
        <f aca="false">Sens!H3098-Sens!H3102-Sens!H3104</f>
        <v>219.225877670373</v>
      </c>
      <c r="I3105" s="6" t="n">
        <f aca="false">Sens!I3098-Sens!I3102-Sens!I3104</f>
        <v>207.360351254749</v>
      </c>
      <c r="J3105" s="6" t="n">
        <f aca="false">Sens!J3098-Sens!J3102-Sens!J3104</f>
        <v>209.835175989557</v>
      </c>
      <c r="K3105" s="6" t="n">
        <f aca="false">Sens!K3098-Sens!K3102-Sens!K3104</f>
        <v>183.882289506958</v>
      </c>
      <c r="L3105" s="11" t="s">
        <v>964</v>
      </c>
    </row>
    <row r="3106" customFormat="false" ht="15" hidden="false" customHeight="false" outlineLevel="0" collapsed="false">
      <c r="A3106" s="1" t="s">
        <v>965</v>
      </c>
      <c r="B3106" s="0" t="s">
        <v>75</v>
      </c>
      <c r="F3106" s="8" t="n">
        <f aca="false">dps_27</f>
        <v>3.85</v>
      </c>
      <c r="G3106" s="8" t="n">
        <f aca="false">Sens!F3106*(1+dps_g)</f>
        <v>4.158</v>
      </c>
      <c r="H3106" s="8" t="n">
        <f aca="false">Sens!G3106*(1+dps_g)</f>
        <v>4.49064</v>
      </c>
      <c r="I3106" s="8" t="n">
        <f aca="false">Sens!H3106*(1+dps_g)</f>
        <v>4.8498912</v>
      </c>
      <c r="J3106" s="8" t="n">
        <f aca="false">Sens!I3106*(1+dps_g)</f>
        <v>5.237882496</v>
      </c>
      <c r="K3106" s="8" t="n">
        <f aca="false">Sens!J3106*(1+dps_g)</f>
        <v>5.65691309568</v>
      </c>
    </row>
    <row r="3107" customFormat="false" ht="17.15" hidden="false" customHeight="false" outlineLevel="0" collapsed="false">
      <c r="A3107" s="1" t="s">
        <v>966</v>
      </c>
      <c r="B3107" s="0" t="s">
        <v>98</v>
      </c>
      <c r="E3107" s="6" t="n">
        <f aca="false">Q!M41</f>
        <v>26.445</v>
      </c>
      <c r="F3107" s="6" t="n">
        <f aca="false">Sens!F3106*Sens!E3116</f>
        <v>28.59395</v>
      </c>
      <c r="G3107" s="6" t="n">
        <f aca="false">Sens!G3106*Sens!F3116</f>
        <v>31.068576</v>
      </c>
      <c r="H3107" s="6" t="n">
        <f aca="false">Sens!H3106*Sens!G3116</f>
        <v>33.5888350159995</v>
      </c>
      <c r="I3107" s="6" t="n">
        <f aca="false">Sens!I3106*Sens!H3116</f>
        <v>36.3268810572789</v>
      </c>
      <c r="J3107" s="6" t="n">
        <f aca="false">Sens!J3106*Sens!I3116</f>
        <v>39.3014303901806</v>
      </c>
      <c r="K3107" s="6" t="n">
        <f aca="false">Sens!K3106*Sens!J3116</f>
        <v>42.5328000467001</v>
      </c>
      <c r="L3107" s="1" t="s">
        <v>967</v>
      </c>
    </row>
    <row r="3108" customFormat="false" ht="15" hidden="false" customHeight="false" outlineLevel="0" collapsed="false">
      <c r="A3108" s="1" t="s">
        <v>968</v>
      </c>
      <c r="B3108" s="0" t="s">
        <v>98</v>
      </c>
      <c r="E3108" s="6" t="n">
        <f aca="false">Sens!E3105-Sens!E3107</f>
        <v>37.441</v>
      </c>
      <c r="F3108" s="6" t="n">
        <f aca="false">Sens!F3105-Sens!F3107</f>
        <v>-31.3204985793604</v>
      </c>
      <c r="G3108" s="6" t="n">
        <f aca="false">Sens!G3105-Sens!G3107</f>
        <v>129.251160915228</v>
      </c>
      <c r="H3108" s="6" t="n">
        <f aca="false">Sens!H3105-Sens!H3107</f>
        <v>185.637042654374</v>
      </c>
      <c r="I3108" s="6" t="n">
        <f aca="false">Sens!I3105-Sens!I3107</f>
        <v>171.033470197471</v>
      </c>
      <c r="J3108" s="6" t="n">
        <f aca="false">Sens!J3105-Sens!J3107</f>
        <v>170.533745599376</v>
      </c>
      <c r="K3108" s="6" t="n">
        <f aca="false">Sens!K3105-Sens!K3107</f>
        <v>141.349489460258</v>
      </c>
    </row>
    <row r="3109" customFormat="false" ht="15" hidden="false" customHeight="false" outlineLevel="0" collapsed="false">
      <c r="A3109" s="1" t="s">
        <v>969</v>
      </c>
      <c r="B3109" s="0" t="s">
        <v>98</v>
      </c>
      <c r="F3109" s="6" t="n">
        <f aca="false">debt_mat_27</f>
        <v>9.25</v>
      </c>
      <c r="G3109" s="6" t="n">
        <f aca="false">debt_mat_28</f>
        <v>0</v>
      </c>
      <c r="H3109" s="6" t="n">
        <f aca="false">debt_mat_29</f>
        <v>2.001</v>
      </c>
      <c r="I3109" s="6" t="n">
        <f aca="false">debt_mat_30</f>
        <v>0</v>
      </c>
      <c r="J3109" s="6" t="n">
        <f aca="false">debt_mat_31</f>
        <v>0.5</v>
      </c>
      <c r="K3109" s="6" t="n">
        <f aca="false">debt_mat_32</f>
        <v>0</v>
      </c>
    </row>
    <row r="3110" customFormat="false" ht="15" hidden="false" customHeight="false" outlineLevel="0" collapsed="false">
      <c r="A3110" s="1" t="s">
        <v>970</v>
      </c>
      <c r="B3110" s="0" t="s">
        <v>98</v>
      </c>
      <c r="E3110" s="6" t="n">
        <f aca="false">Q!M40</f>
        <v>22.271</v>
      </c>
      <c r="F3110" s="6" t="n">
        <f aca="false">MAX(0,MIN(bb_target,Sens!E3112+Sens!F3108-Sens!F3109-min_cash))</f>
        <v>0</v>
      </c>
      <c r="G3110" s="6" t="n">
        <f aca="false">MAX(0,MIN(bb_target,Sens!F3112+Sens!G3108-Sens!G3109-min_cash))</f>
        <v>22.271</v>
      </c>
      <c r="H3110" s="6" t="n">
        <f aca="false">MAX(0,MIN(bb_target,Sens!G3112+Sens!H3108-Sens!H3109-min_cash))</f>
        <v>22.271</v>
      </c>
      <c r="I3110" s="6" t="n">
        <f aca="false">MAX(0,MIN(bb_target,Sens!H3112+Sens!I3108-Sens!I3109-min_cash))</f>
        <v>22.271</v>
      </c>
      <c r="J3110" s="6" t="n">
        <f aca="false">MAX(0,MIN(bb_target,Sens!I3112+Sens!J3108-Sens!J3109-min_cash))</f>
        <v>22.271</v>
      </c>
      <c r="K3110" s="6" t="n">
        <f aca="false">MAX(0,MIN(bb_target,Sens!J3112+Sens!K3108-Sens!K3109-min_cash))</f>
        <v>22.271</v>
      </c>
    </row>
    <row r="3111" customFormat="false" ht="15" hidden="false" customHeight="false" outlineLevel="0" collapsed="false">
      <c r="A3111" s="1" t="s">
        <v>971</v>
      </c>
      <c r="B3111" s="0" t="s">
        <v>98</v>
      </c>
      <c r="F3111" s="6" t="n">
        <f aca="false">MAX(0,min_cash-(Sens!E3112+Sens!F3108-Sens!F3109-Sens!F3110))</f>
        <v>13.7274985793604</v>
      </c>
      <c r="G3111" s="6" t="n">
        <f aca="false">MAX(0,min_cash-(Sens!F3112+Sens!G3108-Sens!G3109-Sens!G3110))</f>
        <v>0</v>
      </c>
      <c r="H3111" s="6" t="n">
        <f aca="false">MAX(0,min_cash-(Sens!G3112+Sens!H3108-Sens!H3109-Sens!H3110))</f>
        <v>0</v>
      </c>
      <c r="I3111" s="6" t="n">
        <f aca="false">MAX(0,min_cash-(Sens!H3112+Sens!I3108-Sens!I3109-Sens!I3110))</f>
        <v>0</v>
      </c>
      <c r="J3111" s="6" t="n">
        <f aca="false">MAX(0,min_cash-(Sens!I3112+Sens!J3108-Sens!J3109-Sens!J3110))</f>
        <v>0</v>
      </c>
      <c r="K3111" s="6" t="n">
        <f aca="false">MAX(0,min_cash-(Sens!J3112+Sens!K3108-Sens!K3109-Sens!K3110))</f>
        <v>0</v>
      </c>
    </row>
    <row r="3112" customFormat="false" ht="15" hidden="false" customHeight="false" outlineLevel="0" collapsed="false">
      <c r="A3112" s="1" t="s">
        <v>972</v>
      </c>
      <c r="B3112" s="0" t="s">
        <v>98</v>
      </c>
      <c r="E3112" s="6" t="n">
        <f aca="false">cash_open</f>
        <v>76.843</v>
      </c>
      <c r="F3112" s="6" t="n">
        <f aca="false">Sens!E3112+Sens!F3108-Sens!F3109-Sens!F3110+Sens!F3111</f>
        <v>50</v>
      </c>
      <c r="G3112" s="6" t="n">
        <f aca="false">Sens!F3112+Sens!G3108-Sens!G3109-Sens!G3110+Sens!G3111</f>
        <v>156.980160915228</v>
      </c>
      <c r="H3112" s="6" t="n">
        <f aca="false">Sens!G3112+Sens!H3108-Sens!H3109-Sens!H3110+Sens!H3111</f>
        <v>318.345203569601</v>
      </c>
      <c r="I3112" s="6" t="n">
        <f aca="false">Sens!H3112+Sens!I3108-Sens!I3109-Sens!I3110+Sens!I3111</f>
        <v>467.107673767072</v>
      </c>
      <c r="J3112" s="6" t="n">
        <f aca="false">Sens!I3112+Sens!J3108-Sens!J3109-Sens!J3110+Sens!J3111</f>
        <v>614.870419366448</v>
      </c>
      <c r="K3112" s="6" t="n">
        <f aca="false">Sens!J3112+Sens!K3108-Sens!K3109-Sens!K3110+Sens!K3111</f>
        <v>733.948908826706</v>
      </c>
    </row>
    <row r="3113" customFormat="false" ht="15" hidden="false" customHeight="false" outlineLevel="0" collapsed="false">
      <c r="A3113" s="1" t="s">
        <v>973</v>
      </c>
      <c r="B3113" s="0" t="s">
        <v>98</v>
      </c>
      <c r="E3113" s="6" t="n">
        <f aca="false">debt_face</f>
        <v>46.136</v>
      </c>
      <c r="F3113" s="6" t="n">
        <f aca="false">Sens!E3113-Sens!F3109+Sens!F3111</f>
        <v>50.6134985793604</v>
      </c>
      <c r="G3113" s="6" t="n">
        <f aca="false">Sens!F3113-Sens!G3109+Sens!G3111</f>
        <v>50.6134985793604</v>
      </c>
      <c r="H3113" s="6" t="n">
        <f aca="false">Sens!G3113-Sens!H3109+Sens!H3111</f>
        <v>48.6124985793604</v>
      </c>
      <c r="I3113" s="6" t="n">
        <f aca="false">Sens!H3113-Sens!I3109+Sens!I3111</f>
        <v>48.6124985793604</v>
      </c>
      <c r="J3113" s="6" t="n">
        <f aca="false">Sens!I3113-Sens!J3109+Sens!J3111</f>
        <v>48.1124985793604</v>
      </c>
      <c r="K3113" s="6" t="n">
        <f aca="false">Sens!J3113-Sens!K3109+Sens!K3111</f>
        <v>48.1124985793604</v>
      </c>
    </row>
    <row r="3114" customFormat="false" ht="15" hidden="false" customHeight="false" outlineLevel="0" collapsed="false">
      <c r="A3114" s="1" t="s">
        <v>974</v>
      </c>
      <c r="B3114" s="0" t="s">
        <v>98</v>
      </c>
      <c r="E3114" s="6" t="n">
        <f aca="false">Sens!E3112-Sens!E3113</f>
        <v>30.707</v>
      </c>
      <c r="F3114" s="6" t="n">
        <f aca="false">Sens!F3112-Sens!F3113</f>
        <v>-0.613498579360361</v>
      </c>
      <c r="G3114" s="6" t="n">
        <f aca="false">Sens!G3112-Sens!G3113</f>
        <v>106.366662335868</v>
      </c>
      <c r="H3114" s="6" t="n">
        <f aca="false">Sens!H3112-Sens!H3113</f>
        <v>269.732704990241</v>
      </c>
      <c r="I3114" s="6" t="n">
        <f aca="false">Sens!I3112-Sens!I3113</f>
        <v>418.495175187712</v>
      </c>
      <c r="J3114" s="6" t="n">
        <f aca="false">Sens!J3112-Sens!J3113</f>
        <v>566.757920787088</v>
      </c>
      <c r="K3114" s="6" t="n">
        <f aca="false">Sens!K3112-Sens!K3113</f>
        <v>685.836410247346</v>
      </c>
    </row>
    <row r="3115" customFormat="false" ht="15" hidden="false" customHeight="false" outlineLevel="0" collapsed="false">
      <c r="A3115" s="1" t="s">
        <v>975</v>
      </c>
      <c r="B3115" s="0" t="s">
        <v>75</v>
      </c>
      <c r="F3115" s="29" t="n">
        <f aca="false">px*(1+bb_g)^(Sens!F2977-base_fy-mid_yr)</f>
        <v>553.494156066711</v>
      </c>
      <c r="G3115" s="29" t="n">
        <f aca="false">px*(1+bb_g)^(Sens!G2977-base_fy-mid_yr)</f>
        <v>597.773688552047</v>
      </c>
      <c r="H3115" s="29" t="n">
        <f aca="false">px*(1+bb_g)^(Sens!H2977-base_fy-mid_yr)</f>
        <v>645.595583636211</v>
      </c>
      <c r="I3115" s="29" t="n">
        <f aca="false">px*(1+bb_g)^(Sens!I2977-base_fy-mid_yr)</f>
        <v>697.243230327108</v>
      </c>
      <c r="J3115" s="29" t="n">
        <f aca="false">px*(1+bb_g)^(Sens!J2977-base_fy-mid_yr)</f>
        <v>753.022688753277</v>
      </c>
      <c r="K3115" s="29" t="n">
        <f aca="false">px*(1+bb_g)^(Sens!K2977-base_fy-mid_yr)</f>
        <v>813.264503853539</v>
      </c>
    </row>
    <row r="3116" customFormat="false" ht="15" hidden="false" customHeight="false" outlineLevel="0" collapsed="false">
      <c r="A3116" s="1" t="s">
        <v>976</v>
      </c>
      <c r="B3116" s="1" t="s">
        <v>81</v>
      </c>
      <c r="E3116" s="14" t="n">
        <f aca="false">sh_out26</f>
        <v>7.427</v>
      </c>
      <c r="F3116" s="14" t="n">
        <f aca="false">Sens!E3116+sh_iss-Sens!F3110/Sens!F3115</f>
        <v>7.472</v>
      </c>
      <c r="G3116" s="14" t="n">
        <f aca="false">Sens!F3116+sh_iss-Sens!G3110/Sens!G3115</f>
        <v>7.47974342543589</v>
      </c>
      <c r="H3116" s="14" t="n">
        <f aca="false">Sens!G3116+sh_iss-Sens!H3110/Sens!H3115</f>
        <v>7.4902465971358</v>
      </c>
      <c r="I3116" s="14" t="n">
        <f aca="false">Sens!H3116+sh_iss-Sens!I3110/Sens!I3115</f>
        <v>7.50330508945052</v>
      </c>
      <c r="J3116" s="14" t="n">
        <f aca="false">Sens!I3116+sh_iss-Sens!J3110/Sens!J3115</f>
        <v>7.51872961937156</v>
      </c>
      <c r="K3116" s="14" t="n">
        <f aca="false">Sens!J3116+sh_iss-Sens!K3110/Sens!K3115</f>
        <v>7.53634492485401</v>
      </c>
    </row>
    <row r="3117" customFormat="false" ht="15" hidden="false" customHeight="false" outlineLevel="0" collapsed="false">
      <c r="A3117" s="1" t="s">
        <v>977</v>
      </c>
      <c r="B3117" s="1" t="s">
        <v>81</v>
      </c>
      <c r="E3117" s="14" t="n">
        <f aca="false">sh_dil26</f>
        <v>7.453</v>
      </c>
      <c r="F3117" s="14" t="n">
        <f aca="false">(Sens!E3116+Sens!F3116)/2+dil_gap</f>
        <v>7.4735</v>
      </c>
      <c r="G3117" s="14" t="n">
        <f aca="false">(Sens!F3116+Sens!G3116)/2+dil_gap</f>
        <v>7.49987171271795</v>
      </c>
      <c r="H3117" s="14" t="n">
        <f aca="false">(Sens!G3116+Sens!H3116)/2+dil_gap</f>
        <v>7.50899501128585</v>
      </c>
      <c r="I3117" s="14" t="n">
        <f aca="false">(Sens!H3116+Sens!I3116)/2+dil_gap</f>
        <v>7.52077584329316</v>
      </c>
      <c r="J3117" s="14" t="n">
        <f aca="false">(Sens!I3116+Sens!J3116)/2+dil_gap</f>
        <v>7.53501735441104</v>
      </c>
      <c r="K3117" s="14" t="n">
        <f aca="false">(Sens!J3116+Sens!K3116)/2+dil_gap</f>
        <v>7.55153727211278</v>
      </c>
    </row>
    <row r="3118" customFormat="false" ht="17.15" hidden="false" customHeight="false" outlineLevel="0" collapsed="false">
      <c r="A3118" s="1" t="s">
        <v>978</v>
      </c>
      <c r="B3118" s="0" t="s">
        <v>98</v>
      </c>
      <c r="C3118" s="6" t="n">
        <f aca="false">SUM(Sens!F3108:J3108)</f>
        <v>625.134920787088</v>
      </c>
    </row>
    <row r="3119" customFormat="false" ht="15" hidden="false" customHeight="false" outlineLevel="0" collapsed="false">
      <c r="A3119" s="23" t="s">
        <v>945</v>
      </c>
      <c r="B3119" s="30" t="s">
        <v>98</v>
      </c>
      <c r="C3119" s="24" t="n">
        <f aca="false">Sens!$C$3118-(Sens!F3108+Sens!G3108+Sens!H3108+Sens!I3108+Sens!J3108)</f>
        <v>0</v>
      </c>
      <c r="D3119" s="30"/>
      <c r="E3119" s="30"/>
      <c r="F3119" s="30"/>
      <c r="G3119" s="30"/>
      <c r="H3119" s="30"/>
      <c r="I3119" s="30"/>
      <c r="J3119" s="30"/>
      <c r="K3119" s="30"/>
    </row>
    <row r="3120" customFormat="false" ht="17.15" hidden="false" customHeight="false" outlineLevel="0" collapsed="false">
      <c r="A3120" s="1" t="s">
        <v>939</v>
      </c>
      <c r="B3120" s="1" t="s">
        <v>979</v>
      </c>
      <c r="C3120" s="32" t="str">
        <f aca="false">IF(SUM(Sens!F3111:J3111)&gt;0.05,"需要舉債 "&amp;TEXT(SUM(Sens!F3111:J3111),"0.0")&amp;" 十億美元","不需舉債")&amp;"；"&amp;IF(SUM(Sens!F3110:J3110)&lt;COUNT(Sens!F3110:J3110)*bb_target-0.05,"回購較每年 "&amp;TEXT(bb_target,"0.0")&amp;" 的目標少 "&amp;TEXT(COUNT(Sens!F3110:J3110)*bb_target-SUM(Sens!F3110:J3110),"0.0")&amp;" 十億美元（"&amp;TEXT(COUNTIF(Sens!F3110:J3110,"&lt;"&amp;(bb_target-0.05)),"0")&amp;" 年減少）","回購不減")</f>
        <v>需要舉債 13.7 十億美元；回購較每年 22.3 的目標少 22.3 十億美元（1 年減少）</v>
      </c>
    </row>
    <row r="3121" customFormat="false" ht="17.15" hidden="false" customHeight="false" outlineLevel="0" collapsed="false">
      <c r="A3121" s="3" t="s">
        <v>1341</v>
      </c>
    </row>
    <row r="3122" customFormat="false" ht="15" hidden="false" customHeight="false" outlineLevel="0" collapsed="false">
      <c r="A3122" s="4" t="s">
        <v>43</v>
      </c>
      <c r="B3122" s="4" t="s">
        <v>65</v>
      </c>
      <c r="C3122" s="20" t="s">
        <v>799</v>
      </c>
      <c r="D3122" s="20" t="s">
        <v>800</v>
      </c>
      <c r="E3122" s="20" t="s">
        <v>801</v>
      </c>
      <c r="F3122" s="20" t="s">
        <v>802</v>
      </c>
      <c r="G3122" s="20" t="s">
        <v>803</v>
      </c>
      <c r="H3122" s="20" t="s">
        <v>804</v>
      </c>
      <c r="I3122" s="20" t="s">
        <v>805</v>
      </c>
      <c r="J3122" s="20" t="s">
        <v>806</v>
      </c>
      <c r="K3122" s="20" t="s">
        <v>807</v>
      </c>
      <c r="L3122" s="4" t="s">
        <v>47</v>
      </c>
    </row>
    <row r="3123" customFormat="false" ht="15" hidden="false" customHeight="false" outlineLevel="0" collapsed="false">
      <c r="A3123" s="1" t="s">
        <v>1057</v>
      </c>
      <c r="B3123" s="1" t="s">
        <v>235</v>
      </c>
      <c r="F3123" s="36" t="n">
        <f aca="false">Sens!F2977-base_fy-mid_yr</f>
        <v>0.5</v>
      </c>
      <c r="G3123" s="36" t="n">
        <f aca="false">Sens!G2977-base_fy-mid_yr</f>
        <v>1.5</v>
      </c>
      <c r="H3123" s="36" t="n">
        <f aca="false">Sens!H2977-base_fy-mid_yr</f>
        <v>2.5</v>
      </c>
      <c r="I3123" s="36" t="n">
        <f aca="false">Sens!I2977-base_fy-mid_yr</f>
        <v>3.5</v>
      </c>
      <c r="J3123" s="36" t="n">
        <f aca="false">Sens!J2977-base_fy-mid_yr</f>
        <v>4.5</v>
      </c>
      <c r="K3123" s="36" t="n">
        <f aca="false">Sens!K2977-base_fy-mid_yr</f>
        <v>5.5</v>
      </c>
    </row>
    <row r="3124" customFormat="false" ht="15" hidden="false" customHeight="false" outlineLevel="0" collapsed="false">
      <c r="A3124" s="1" t="s">
        <v>1058</v>
      </c>
      <c r="B3124" s="0" t="s">
        <v>185</v>
      </c>
      <c r="F3124" s="14" t="n">
        <f aca="false">1/(1+wacc)^Sens!F3123</f>
        <v>0.952193373608246</v>
      </c>
      <c r="G3124" s="14" t="n">
        <f aca="false">1/(1+wacc)^Sens!G3123</f>
        <v>0.863327280626589</v>
      </c>
      <c r="H3124" s="14" t="n">
        <f aca="false">1/(1+wacc)^Sens!H3123</f>
        <v>0.782754862754115</v>
      </c>
      <c r="I3124" s="14" t="n">
        <f aca="false">1/(1+wacc)^Sens!I3123</f>
        <v>0.709702089711011</v>
      </c>
      <c r="J3124" s="14" t="n">
        <f aca="false">1/(1+wacc)^Sens!J3123</f>
        <v>0.643467169744551</v>
      </c>
      <c r="K3124" s="14" t="n">
        <f aca="false">1/(1+wacc)^Sens!K3123</f>
        <v>0.583413807767797</v>
      </c>
    </row>
    <row r="3125" customFormat="false" ht="17.15" hidden="false" customHeight="false" outlineLevel="0" collapsed="false">
      <c r="A3125" s="1" t="s">
        <v>1059</v>
      </c>
      <c r="B3125" s="0" t="s">
        <v>98</v>
      </c>
      <c r="F3125" s="6" t="n">
        <f aca="false">Sens!F3098-Sens!F3096-Sens!F3102+Sens!F3081*(1-tax_f)</f>
        <v>-11.8713354997006</v>
      </c>
      <c r="G3125" s="6" t="n">
        <f aca="false">Sens!G3098-Sens!G3096-Sens!G3102+Sens!G3081*(1-tax_f)</f>
        <v>148.118211720673</v>
      </c>
      <c r="H3125" s="6" t="n">
        <f aca="false">Sens!H3098-Sens!H3096-Sens!H3102+Sens!H3081*(1-tax_f)</f>
        <v>204.657365241315</v>
      </c>
      <c r="I3125" s="6" t="n">
        <f aca="false">Sens!I3098-Sens!I3096-Sens!I3102+Sens!I3081*(1-tax_f)</f>
        <v>191.227424602145</v>
      </c>
      <c r="J3125" s="6" t="n">
        <f aca="false">Sens!J3098-Sens!J3096-Sens!J3102+Sens!J3081*(1-tax_f)</f>
        <v>192.334230817458</v>
      </c>
      <c r="K3125" s="6" t="n">
        <f aca="false">Sens!K3098-Sens!K3096-Sens!K3102+Sens!K3081*(1-tax_f)</f>
        <v>165.077888642979</v>
      </c>
      <c r="L3125" s="1" t="s">
        <v>1060</v>
      </c>
    </row>
    <row r="3126" customFormat="false" ht="15" hidden="false" customHeight="false" outlineLevel="0" collapsed="false">
      <c r="A3126" s="1" t="s">
        <v>1061</v>
      </c>
      <c r="B3126" s="0" t="s">
        <v>98</v>
      </c>
      <c r="F3126" s="6" t="n">
        <f aca="false">Sens!F3125*Sens!F3124</f>
        <v>-11.3038069986952</v>
      </c>
      <c r="G3126" s="6" t="n">
        <f aca="false">Sens!G3125*Sens!G3124</f>
        <v>127.874492936082</v>
      </c>
      <c r="H3126" s="6" t="n">
        <f aca="false">Sens!H3125*Sens!H3124</f>
        <v>160.196547841085</v>
      </c>
      <c r="I3126" s="6" t="n">
        <f aca="false">Sens!I3125*Sens!I3124</f>
        <v>135.714502850197</v>
      </c>
      <c r="J3126" s="6" t="n">
        <f aca="false">Sens!J3125*Sens!J3124</f>
        <v>123.760763149105</v>
      </c>
      <c r="K3126" s="6" t="n">
        <f aca="false">Sens!K3125*Sens!K3124</f>
        <v>96.3087195914686</v>
      </c>
    </row>
    <row r="3127" customFormat="false" ht="17.15" hidden="false" customHeight="false" outlineLevel="0" collapsed="false">
      <c r="A3127" s="1" t="s">
        <v>1062</v>
      </c>
      <c r="B3127" s="0" t="s">
        <v>98</v>
      </c>
      <c r="C3127" s="6" t="n">
        <f aca="false">SUM(Sens!F3126:K3126)</f>
        <v>632.551219369241</v>
      </c>
    </row>
    <row r="3128" customFormat="false" ht="17.15" hidden="false" customHeight="false" outlineLevel="0" collapsed="false">
      <c r="A3128" s="1" t="s">
        <v>1063</v>
      </c>
      <c r="B3128" s="0" t="s">
        <v>98</v>
      </c>
      <c r="C3128" s="6" t="n">
        <f aca="false">Sens!K3067*(1+g_tv)*(1-tax_f)</f>
        <v>244.689479941482</v>
      </c>
    </row>
    <row r="3129" customFormat="false" ht="17.15" hidden="false" customHeight="false" outlineLevel="0" collapsed="false">
      <c r="A3129" s="1" t="s">
        <v>1064</v>
      </c>
      <c r="B3129" s="0" t="s">
        <v>98</v>
      </c>
      <c r="C3129" s="6" t="n">
        <f aca="false">Sens!$C$3128*(1-g_tv/(wacc+ronic_prem))</f>
        <v>173.375293767206</v>
      </c>
    </row>
    <row r="3130" customFormat="false" ht="17.15" hidden="false" customHeight="false" outlineLevel="0" collapsed="false">
      <c r="A3130" s="1" t="s">
        <v>1065</v>
      </c>
      <c r="B3130" s="0" t="s">
        <v>98</v>
      </c>
      <c r="C3130" s="6" t="n">
        <f aca="false">Sens!$C$3129/(wacc-g_tv)</f>
        <v>2377.13953914253</v>
      </c>
    </row>
    <row r="3131" customFormat="false" ht="15" hidden="false" customHeight="false" outlineLevel="0" collapsed="false">
      <c r="A3131" s="1" t="s">
        <v>1066</v>
      </c>
      <c r="B3131" s="0" t="s">
        <v>98</v>
      </c>
      <c r="C3131" s="6" t="n">
        <f aca="false">Sens!$C$3130/(1+wacc)^(Sens!K3123+mid_yr)</f>
        <v>1320.55512203512</v>
      </c>
    </row>
    <row r="3132" customFormat="false" ht="17.15" hidden="false" customHeight="false" outlineLevel="0" collapsed="false">
      <c r="A3132" s="0" t="s">
        <v>986</v>
      </c>
      <c r="B3132" s="0" t="s">
        <v>98</v>
      </c>
      <c r="C3132" s="6" t="n">
        <f aca="false">Sens!$C$3127+Sens!$C$3131</f>
        <v>1953.10634140436</v>
      </c>
    </row>
    <row r="3133" customFormat="false" ht="15" hidden="false" customHeight="false" outlineLevel="0" collapsed="false">
      <c r="A3133" s="1" t="s">
        <v>987</v>
      </c>
      <c r="B3133" s="0" t="s">
        <v>129</v>
      </c>
      <c r="C3133" s="7" t="n">
        <f aca="false">Sens!$C$3131/Sens!$C$3132</f>
        <v>0.676130681694263</v>
      </c>
    </row>
    <row r="3134" customFormat="false" ht="17.15" hidden="false" customHeight="false" outlineLevel="0" collapsed="false">
      <c r="A3134" s="1" t="s">
        <v>1067</v>
      </c>
      <c r="B3134" s="0" t="s">
        <v>98</v>
      </c>
      <c r="C3134" s="6" t="n">
        <f aca="false">Sens!$C$3132+Sens!E3114-Sens!E3103+oai_v</f>
        <v>2087.61934140436</v>
      </c>
    </row>
    <row r="3135" customFormat="false" ht="17.15" hidden="false" customHeight="false" outlineLevel="0" collapsed="false">
      <c r="A3135" s="0" t="s">
        <v>994</v>
      </c>
      <c r="B3135" s="0" t="s">
        <v>75</v>
      </c>
      <c r="C3135" s="5" t="n">
        <f aca="false">Sens!$C$3134/sh_dil26</f>
        <v>280.104567476769</v>
      </c>
    </row>
    <row r="3136" customFormat="false" ht="15" hidden="false" customHeight="false" outlineLevel="0" collapsed="false">
      <c r="A3136" s="1" t="s">
        <v>1068</v>
      </c>
      <c r="B3136" s="0" t="s">
        <v>75</v>
      </c>
      <c r="C3136" s="8" t="n">
        <f aca="false">dps_27+Sens!G3106*roll_div_q/q_per_yr</f>
        <v>4.8895</v>
      </c>
    </row>
    <row r="3137" customFormat="false" ht="17.15" hidden="false" customHeight="false" outlineLevel="0" collapsed="false">
      <c r="A3137" s="0" t="s">
        <v>1069</v>
      </c>
      <c r="B3137" s="0" t="s">
        <v>75</v>
      </c>
      <c r="C3137" s="5" t="n">
        <f aca="false">Sens!$C$3135*(1+wacc)^t_roll-Sens!$C$3136</f>
        <v>314.074923544463</v>
      </c>
    </row>
    <row r="3138" customFormat="false" ht="17.15" hidden="false" customHeight="false" outlineLevel="0" collapsed="false">
      <c r="A3138" s="1" t="s">
        <v>1070</v>
      </c>
      <c r="B3138" s="0" t="s">
        <v>129</v>
      </c>
      <c r="F3138" s="7" t="n">
        <f aca="false">Sens!F3093/(Sens!F3038-Sens!F2994)</f>
        <v>0.108022631085363</v>
      </c>
      <c r="G3138" s="7" t="n">
        <f aca="false">Sens!G3093/(Sens!G3038-Sens!G2994)</f>
        <v>0.096818907399626</v>
      </c>
      <c r="H3138" s="7" t="n">
        <f aca="false">Sens!H3093/(Sens!H3038-Sens!H2994)</f>
        <v>0.0890164681902296</v>
      </c>
      <c r="I3138" s="7" t="n">
        <f aca="false">Sens!I3093/(Sens!I3038-Sens!I2994)</f>
        <v>0.0841196680975193</v>
      </c>
      <c r="J3138" s="7" t="n">
        <f aca="false">Sens!J3093/(Sens!J3038-Sens!J2994)</f>
        <v>0.0813510360477484</v>
      </c>
      <c r="K3138" s="7" t="n">
        <f aca="false">Sens!K3093/(Sens!K3038-Sens!K2994)</f>
        <v>0.07990846778178</v>
      </c>
    </row>
    <row r="3139" customFormat="false" ht="17.15" hidden="false" customHeight="false" outlineLevel="0" collapsed="false">
      <c r="A3139" s="0" t="s">
        <v>1071</v>
      </c>
      <c r="B3139" s="0" t="s">
        <v>98</v>
      </c>
      <c r="F3139" s="6" t="n">
        <f aca="false">Sens!F3023*(al_m365+Sens!F3138+sbc_r)</f>
        <v>89.7411139548702</v>
      </c>
      <c r="G3139" s="6" t="n">
        <f aca="false">Sens!G3023*(al_m365+Sens!G3138+sbc_r)</f>
        <v>103.921939875948</v>
      </c>
      <c r="H3139" s="6" t="n">
        <f aca="false">Sens!H3023*(al_m365+Sens!H3138+sbc_r)</f>
        <v>118.241319925347</v>
      </c>
      <c r="I3139" s="6" t="n">
        <f aca="false">Sens!I3023*(al_m365+Sens!I3138+sbc_r)</f>
        <v>131.01328558629</v>
      </c>
      <c r="J3139" s="6" t="n">
        <f aca="false">Sens!J3023*(al_m365+Sens!J3138+sbc_r)</f>
        <v>142.081205015604</v>
      </c>
      <c r="K3139" s="6" t="n">
        <f aca="false">Sens!K3023*(al_m365+Sens!K3138+sbc_r)</f>
        <v>152.80307288114</v>
      </c>
      <c r="L3139" s="11" t="s">
        <v>1072</v>
      </c>
    </row>
    <row r="3140" customFormat="false" ht="17.15" hidden="false" customHeight="false" outlineLevel="0" collapsed="false">
      <c r="A3140" s="0" t="s">
        <v>1073</v>
      </c>
      <c r="B3140" s="0" t="s">
        <v>98</v>
      </c>
      <c r="F3140" s="6" t="n">
        <f aca="false">Sens!F3024*(al_lic+Sens!F3138+sbc_r)</f>
        <v>34.9853473536768</v>
      </c>
      <c r="G3140" s="6" t="n">
        <f aca="false">Sens!G3024*(al_lic+Sens!G3138+sbc_r)</f>
        <v>36.010487790199</v>
      </c>
      <c r="H3140" s="6" t="n">
        <f aca="false">Sens!H3024*(al_lic+Sens!H3138+sbc_r)</f>
        <v>37.0047219935465</v>
      </c>
      <c r="I3140" s="6" t="n">
        <f aca="false">Sens!I3024*(al_lic+Sens!I3138+sbc_r)</f>
        <v>37.9450328097177</v>
      </c>
      <c r="J3140" s="6" t="n">
        <f aca="false">Sens!J3024*(al_lic+Sens!J3138+sbc_r)</f>
        <v>38.7922671703001</v>
      </c>
      <c r="K3140" s="6" t="n">
        <f aca="false">Sens!K3024*(al_lic+Sens!K3138+sbc_r)</f>
        <v>39.5024080192568</v>
      </c>
    </row>
    <row r="3141" customFormat="false" ht="17.15" hidden="false" customHeight="false" outlineLevel="0" collapsed="false">
      <c r="A3141" s="0" t="s">
        <v>1074</v>
      </c>
      <c r="B3141" s="0" t="s">
        <v>98</v>
      </c>
      <c r="F3141" s="6" t="n">
        <f aca="false">Sens!F3026*(al_ind+Sens!F3138+sbc_r)</f>
        <v>9.95802257606311</v>
      </c>
      <c r="G3141" s="6" t="n">
        <f aca="false">Sens!G3026*(al_ind+Sens!G3138+sbc_r)</f>
        <v>10.6115425438413</v>
      </c>
      <c r="H3141" s="6" t="n">
        <f aca="false">Sens!H3026*(al_ind+Sens!H3138+sbc_r)</f>
        <v>11.3310454105062</v>
      </c>
      <c r="I3141" s="6" t="n">
        <f aca="false">Sens!I3026*(al_ind+Sens!I3138+sbc_r)</f>
        <v>12.1144877197343</v>
      </c>
      <c r="J3141" s="6" t="n">
        <f aca="false">Sens!J3026*(al_ind+Sens!J3138+sbc_r)</f>
        <v>12.9469314484904</v>
      </c>
      <c r="K3141" s="6" t="n">
        <f aca="false">Sens!K3026*(al_ind+Sens!K3138+sbc_r)</f>
        <v>13.8054912950001</v>
      </c>
    </row>
    <row r="3142" customFormat="false" ht="17.15" hidden="false" customHeight="false" outlineLevel="0" collapsed="false">
      <c r="A3142" s="0" t="s">
        <v>1075</v>
      </c>
      <c r="B3142" s="0" t="s">
        <v>98</v>
      </c>
      <c r="F3142" s="6" t="n">
        <f aca="false">Sens!F3028*(al_fro+Sens!F3138+sbc_r)</f>
        <v>3.91951264657339</v>
      </c>
      <c r="G3142" s="6" t="n">
        <f aca="false">Sens!G3028*(al_fro+Sens!G3138+sbc_r)</f>
        <v>4.07420496468235</v>
      </c>
      <c r="H3142" s="6" t="n">
        <f aca="false">Sens!H3028*(al_fro+Sens!H3138+sbc_r)</f>
        <v>4.26992574464544</v>
      </c>
      <c r="I3142" s="6" t="n">
        <f aca="false">Sens!I3028*(al_fro+Sens!I3138+sbc_r)</f>
        <v>4.50851927563083</v>
      </c>
      <c r="J3142" s="6" t="n">
        <f aca="false">Sens!J3028*(al_fro+Sens!J3138+sbc_r)</f>
        <v>4.7882727993041</v>
      </c>
      <c r="K3142" s="6" t="n">
        <f aca="false">Sens!K3028*(al_fro+Sens!K3138+sbc_r)</f>
        <v>5.10580122493709</v>
      </c>
    </row>
    <row r="3143" customFormat="false" ht="17.15" hidden="false" customHeight="false" outlineLevel="0" collapsed="false">
      <c r="A3143" s="0" t="s">
        <v>1076</v>
      </c>
      <c r="B3143" s="0" t="s">
        <v>98</v>
      </c>
      <c r="F3143" s="6" t="n">
        <f aca="false">Sens!F3031*(al_srch+Sens!F3138+sbc_r)</f>
        <v>12.2983017554655</v>
      </c>
      <c r="G3143" s="6" t="n">
        <f aca="false">Sens!G3031*(al_srch+Sens!G3138+sbc_r)</f>
        <v>13.2290629801627</v>
      </c>
      <c r="H3143" s="6" t="n">
        <f aca="false">Sens!H3031*(al_srch+Sens!H3138+sbc_r)</f>
        <v>14.2265386711001</v>
      </c>
      <c r="I3143" s="6" t="n">
        <f aca="false">Sens!I3031*(al_srch+Sens!I3138+sbc_r)</f>
        <v>15.2827029801358</v>
      </c>
      <c r="J3143" s="6" t="n">
        <f aca="false">Sens!J3031*(al_srch+Sens!J3138+sbc_r)</f>
        <v>16.3719975543401</v>
      </c>
      <c r="K3143" s="6" t="n">
        <f aca="false">Sens!K3031*(al_srch+Sens!K3138+sbc_r)</f>
        <v>17.457686450063</v>
      </c>
    </row>
    <row r="3144" customFormat="false" ht="17.15" hidden="false" customHeight="false" outlineLevel="0" collapsed="false">
      <c r="A3144" s="0" t="s">
        <v>1077</v>
      </c>
      <c r="B3144" s="0" t="s">
        <v>98</v>
      </c>
      <c r="F3144" s="6" t="n">
        <f aca="false">Sens!F3000-Sens!F3001+Sens!F3081</f>
        <v>28.289158676106</v>
      </c>
      <c r="G3144" s="6" t="n">
        <f aca="false">Sens!G3000-Sens!G3001+Sens!G3081</f>
        <v>35.120623483474</v>
      </c>
      <c r="H3144" s="6" t="n">
        <f aca="false">Sens!H3000-Sens!H3001+Sens!H3081</f>
        <v>40.8779278312734</v>
      </c>
      <c r="I3144" s="6" t="n">
        <f aca="false">Sens!I3000-Sens!I3001+Sens!I3081</f>
        <v>42.3773195035489</v>
      </c>
      <c r="J3144" s="6" t="n">
        <f aca="false">Sens!J3000-Sens!J3001+Sens!J3081</f>
        <v>44.6417069269853</v>
      </c>
      <c r="K3144" s="6" t="n">
        <f aca="false">Sens!K3000-Sens!K3001+Sens!K3081</f>
        <v>49.1398819438116</v>
      </c>
    </row>
    <row r="3145" customFormat="false" ht="17.15" hidden="false" customHeight="false" outlineLevel="0" collapsed="false">
      <c r="A3145" s="0" t="s">
        <v>1078</v>
      </c>
      <c r="B3145" s="0" t="s">
        <v>98</v>
      </c>
      <c r="F3145" s="6" t="n">
        <f aca="false">Sens!F3060+Sens!F3081+Sens!F3011+Sens!F3138*(Sens!F3030-Sens!F2994)+sbc_r*Sens!F3030</f>
        <v>217.261225959717</v>
      </c>
      <c r="G3145" s="6" t="n">
        <f aca="false">Sens!G3060+Sens!G3081+Sens!G3011+Sens!G3138*(Sens!G3030-Sens!G2994)+sbc_r*Sens!G3030</f>
        <v>252.666421205952</v>
      </c>
      <c r="H3145" s="6" t="n">
        <f aca="false">Sens!H3060+Sens!H3081+Sens!H3011+Sens!H3138*(Sens!H3030-Sens!H2994)+sbc_r*Sens!H3030</f>
        <v>287.200559035873</v>
      </c>
      <c r="I3145" s="6" t="n">
        <f aca="false">Sens!I3060+Sens!I3081+Sens!I3011+Sens!I3138*(Sens!I3030-Sens!I2994)+sbc_r*Sens!I3030</f>
        <v>315.530821536412</v>
      </c>
      <c r="J3145" s="6" t="n">
        <f aca="false">Sens!J3060+Sens!J3081+Sens!J3011+Sens!J3138*(Sens!J3030-Sens!J2994)+sbc_r*Sens!J3030</f>
        <v>342.056514919406</v>
      </c>
      <c r="K3145" s="6" t="n">
        <f aca="false">Sens!K3060+Sens!K3081+Sens!K3011+Sens!K3138*(Sens!K3030-Sens!K2994)+sbc_r*Sens!K3030</f>
        <v>368.813001389213</v>
      </c>
    </row>
    <row r="3146" customFormat="false" ht="17.15" hidden="false" customHeight="false" outlineLevel="0" collapsed="false">
      <c r="A3146" s="0" t="s">
        <v>1079</v>
      </c>
      <c r="B3146" s="0" t="s">
        <v>98</v>
      </c>
      <c r="F3146" s="6" t="n">
        <f aca="false">Sens!F3145-Sens!F3139-Sens!F3140-Sens!F3141-Sens!F3142-Sens!F3144</f>
        <v>50.3680707524271</v>
      </c>
      <c r="G3146" s="6" t="n">
        <f aca="false">Sens!G3145-Sens!G3139-Sens!G3140-Sens!G3141-Sens!G3142-Sens!G3144</f>
        <v>62.9276225478078</v>
      </c>
      <c r="H3146" s="6" t="n">
        <f aca="false">Sens!H3145-Sens!H3139-Sens!H3140-Sens!H3141-Sens!H3142-Sens!H3144</f>
        <v>75.4756181305545</v>
      </c>
      <c r="I3146" s="6" t="n">
        <f aca="false">Sens!I3145-Sens!I3139-Sens!I3140-Sens!I3141-Sens!I3142-Sens!I3144</f>
        <v>87.5721766414904</v>
      </c>
      <c r="J3146" s="6" t="n">
        <f aca="false">Sens!J3145-Sens!J3139-Sens!J3140-Sens!J3141-Sens!J3142-Sens!J3144</f>
        <v>98.8061315587222</v>
      </c>
      <c r="K3146" s="6" t="n">
        <f aca="false">Sens!K3145-Sens!K3139-Sens!K3140-Sens!K3141-Sens!K3142-Sens!K3144</f>
        <v>108.456346025067</v>
      </c>
    </row>
    <row r="3147" customFormat="false" ht="17.15" hidden="false" customHeight="false" outlineLevel="0" collapsed="false">
      <c r="A3147" s="0" t="s">
        <v>1080</v>
      </c>
      <c r="B3147" s="0" t="s">
        <v>98</v>
      </c>
      <c r="F3147" s="6" t="n">
        <f aca="false">Sens!F3062+Sens!F3138*Sens!F3037+sbc_r*Sens!F3037</f>
        <v>28.7673769656833</v>
      </c>
      <c r="G3147" s="6" t="n">
        <f aca="false">Sens!G3062+Sens!G3138*Sens!G3037+sbc_r*Sens!G3037</f>
        <v>28.891388349407</v>
      </c>
      <c r="H3147" s="6" t="n">
        <f aca="false">Sens!H3062+Sens!H3138*Sens!H3037+sbc_r*Sens!H3037</f>
        <v>29.4036441435592</v>
      </c>
      <c r="I3147" s="6" t="n">
        <f aca="false">Sens!I3062+Sens!I3138*Sens!I3037+sbc_r*Sens!I3037</f>
        <v>30.2519582558512</v>
      </c>
      <c r="J3147" s="6" t="n">
        <f aca="false">Sens!J3062+Sens!J3138*Sens!J3037+sbc_r*Sens!J3037</f>
        <v>31.3714115310918</v>
      </c>
      <c r="K3147" s="6" t="n">
        <f aca="false">Sens!K3062+Sens!K3138*Sens!K3037+sbc_r*Sens!K3037</f>
        <v>32.6959604246353</v>
      </c>
    </row>
    <row r="3148" customFormat="false" ht="17.15" hidden="false" customHeight="false" outlineLevel="0" collapsed="false">
      <c r="A3148" s="0" t="s">
        <v>1081</v>
      </c>
      <c r="B3148" s="0" t="s">
        <v>98</v>
      </c>
      <c r="F3148" s="6" t="n">
        <f aca="false">(Sens!F3147-Sens!F3143)*Sens!F3033/(Sens!F3033+Sens!F3035)</f>
        <v>9.02818662377316</v>
      </c>
      <c r="G3148" s="6" t="n">
        <f aca="false">(Sens!G3147-Sens!G3143)*Sens!G3033/(Sens!G3033+Sens!G3035)</f>
        <v>8.43284755107539</v>
      </c>
      <c r="H3148" s="6" t="n">
        <f aca="false">(Sens!H3147-Sens!H3143)*Sens!H3033/(Sens!H3033+Sens!H3035)</f>
        <v>8.06121274080619</v>
      </c>
      <c r="I3148" s="6" t="n">
        <f aca="false">(Sens!I3147-Sens!I3143)*Sens!I3033/(Sens!I3033+Sens!I3035)</f>
        <v>7.87887550036962</v>
      </c>
      <c r="J3148" s="6" t="n">
        <f aca="false">(Sens!J3147-Sens!J3143)*Sens!J3033/(Sens!J3033+Sens!J3035)</f>
        <v>7.85904938146135</v>
      </c>
      <c r="K3148" s="6" t="n">
        <f aca="false">(Sens!K3147-Sens!K3143)*Sens!K3033/(Sens!K3033+Sens!K3035)</f>
        <v>7.98420177215058</v>
      </c>
    </row>
    <row r="3149" customFormat="false" ht="17.15" hidden="false" customHeight="false" outlineLevel="0" collapsed="false">
      <c r="A3149" s="0" t="s">
        <v>1082</v>
      </c>
      <c r="B3149" s="0" t="s">
        <v>98</v>
      </c>
      <c r="F3149" s="6" t="n">
        <f aca="false">Sens!F3147-Sens!F3143-Sens!F3148</f>
        <v>7.44088858644467</v>
      </c>
      <c r="G3149" s="6" t="n">
        <f aca="false">Sens!G3147-Sens!G3143-Sens!G3148</f>
        <v>7.22947781816893</v>
      </c>
      <c r="H3149" s="6" t="n">
        <f aca="false">Sens!H3147-Sens!H3143-Sens!H3148</f>
        <v>7.11589273165295</v>
      </c>
      <c r="I3149" s="6" t="n">
        <f aca="false">Sens!I3147-Sens!I3143-Sens!I3148</f>
        <v>7.0903797753458</v>
      </c>
      <c r="J3149" s="6" t="n">
        <f aca="false">Sens!J3147-Sens!J3143-Sens!J3148</f>
        <v>7.14036459529034</v>
      </c>
      <c r="K3149" s="6" t="n">
        <f aca="false">Sens!K3147-Sens!K3143-Sens!K3148</f>
        <v>7.25407220242172</v>
      </c>
    </row>
    <row r="3150" customFormat="false" ht="17.15" hidden="false" customHeight="false" outlineLevel="0" collapsed="false">
      <c r="A3150" s="0" t="s">
        <v>1083</v>
      </c>
      <c r="B3150" s="0" t="s">
        <v>98</v>
      </c>
      <c r="F3150" s="6" t="n">
        <f aca="false">Sens!F3144-tax_f*(Sens!F3144-Sens!F3011)-Sens!F3008</f>
        <v>-3.11081870718189</v>
      </c>
      <c r="G3150" s="6" t="n">
        <f aca="false">Sens!G3144-tax_f*(Sens!G3144-Sens!G3011)-Sens!G3008</f>
        <v>-1.31779021475414</v>
      </c>
      <c r="H3150" s="6" t="n">
        <f aca="false">Sens!H3144-tax_f*(Sens!H3144-Sens!H3011)-Sens!H3008</f>
        <v>39.1073201630854</v>
      </c>
      <c r="I3150" s="6" t="n">
        <f aca="false">Sens!I3144-tax_f*(Sens!I3144-Sens!I3011)-Sens!I3008</f>
        <v>10.1769130001557</v>
      </c>
      <c r="J3150" s="6" t="n">
        <f aca="false">Sens!J3144-tax_f*(Sens!J3144-Sens!J3011)-Sens!J3008</f>
        <v>-3.12647578801178</v>
      </c>
      <c r="K3150" s="6" t="n">
        <f aca="false">Sens!K3144-tax_f*(Sens!K3144-Sens!K3011)-Sens!K3008</f>
        <v>-44.026476169634</v>
      </c>
    </row>
    <row r="3151" customFormat="false" ht="17.15" hidden="false" customHeight="false" outlineLevel="0" collapsed="false">
      <c r="A3151" s="0" t="s">
        <v>1084</v>
      </c>
      <c r="B3151" s="0" t="s">
        <v>98</v>
      </c>
      <c r="G3151" s="6" t="n">
        <f aca="false">Sens!G3150/(1+wacc)^(Sens!G3123-(Sens!F3123+mid_yr))</f>
        <v>-1.25479111029468</v>
      </c>
      <c r="H3151" s="6" t="n">
        <f aca="false">Sens!H3150/(1+wacc)^(Sens!H3123-(Sens!F3123+mid_yr))</f>
        <v>33.7624163689899</v>
      </c>
      <c r="I3151" s="6" t="n">
        <f aca="false">Sens!I3150/(1+wacc)^(Sens!I3123-(Sens!F3123+mid_yr))</f>
        <v>7.96602813869749</v>
      </c>
      <c r="J3151" s="6" t="n">
        <f aca="false">Sens!J3150/(1+wacc)^(Sens!J3123-(Sens!F3123+mid_yr))</f>
        <v>-2.21886640018284</v>
      </c>
      <c r="K3151" s="6" t="n">
        <f aca="false">Sens!K3150/(1+wacc)^(Sens!K3123-(Sens!F3123+mid_yr))</f>
        <v>-28.3295920147003</v>
      </c>
      <c r="L3151" s="1" t="s">
        <v>1085</v>
      </c>
    </row>
    <row r="3152" customFormat="false" ht="17.15" hidden="false" customHeight="false" outlineLevel="0" collapsed="false">
      <c r="A3152" s="0" t="s">
        <v>1086</v>
      </c>
      <c r="B3152" s="0" t="s">
        <v>98</v>
      </c>
      <c r="C3152" s="6" t="n">
        <f aca="false">(Sens!K3144-Sens!K3011)*(1-tax_f)*(1+g_tv)*(1-g_tv/(wacc+ronic_prem))/(wacc-g_tv)/(1+wacc)^(Sens!K3123+mid_yr-(Sens!F3123+mid_yr))</f>
        <v>58.6200765635193</v>
      </c>
    </row>
    <row r="3153" customFormat="false" ht="17.15" hidden="false" customHeight="false" outlineLevel="0" collapsed="false">
      <c r="A3153" s="1" t="s">
        <v>1087</v>
      </c>
      <c r="B3153" s="0" t="s">
        <v>98</v>
      </c>
      <c r="C3153" s="6" t="n">
        <f aca="false">(SUM(Sens!G3151:K3151)+Sens!$C$3152)*(1+wacc)^(t_roll-(Sens!F3123+mid_yr))</f>
        <v>70.770109248199</v>
      </c>
      <c r="L3153" s="11" t="s">
        <v>1088</v>
      </c>
    </row>
    <row r="3154" customFormat="false" ht="17.15" hidden="false" customHeight="false" outlineLevel="0" collapsed="false">
      <c r="A3154" s="1" t="s">
        <v>1089</v>
      </c>
      <c r="B3154" s="0" t="s">
        <v>98</v>
      </c>
      <c r="C3154" s="6" t="n">
        <f aca="false">(w_ntm28*Sens!G3000+(1-w_ntm28)*Sens!H3000)*m_ai</f>
        <v>256.825681102843</v>
      </c>
    </row>
    <row r="3155" customFormat="false" ht="17.15" hidden="false" customHeight="false" outlineLevel="0" collapsed="false">
      <c r="A3155" s="1" t="s">
        <v>1090</v>
      </c>
      <c r="B3155" s="0" t="s">
        <v>98</v>
      </c>
      <c r="C3155" s="6" t="n">
        <f aca="false">(w_ntm28*Sens!G3146+(1-w_ntm28)*Sens!H3146)*m_cloud</f>
        <v>925.72212519021</v>
      </c>
    </row>
    <row r="3156" customFormat="false" ht="17.15" hidden="false" customHeight="false" outlineLevel="0" collapsed="false">
      <c r="A3156" s="1" t="s">
        <v>1091</v>
      </c>
      <c r="B3156" s="0" t="s">
        <v>98</v>
      </c>
      <c r="C3156" s="6" t="n">
        <f aca="false">(w_ntm28*Sens!G3139+(1-w_ntm28)*Sens!H3139)*m_sw</f>
        <v>1172.35316418066</v>
      </c>
    </row>
    <row r="3157" customFormat="false" ht="17.15" hidden="false" customHeight="false" outlineLevel="0" collapsed="false">
      <c r="A3157" s="1" t="s">
        <v>1092</v>
      </c>
      <c r="B3157" s="0" t="s">
        <v>98</v>
      </c>
      <c r="C3157" s="6" t="n">
        <f aca="false">(w_ntm28*Sens!G3140+(1-w_ntm28)*Sens!H3140)*m_sw</f>
        <v>392.38464366496</v>
      </c>
    </row>
    <row r="3158" customFormat="false" ht="17.15" hidden="false" customHeight="false" outlineLevel="0" collapsed="false">
      <c r="A3158" s="1" t="s">
        <v>1093</v>
      </c>
      <c r="B3158" s="0" t="s">
        <v>98</v>
      </c>
      <c r="C3158" s="6" t="n">
        <f aca="false">(w_ntm28*Sens!G3141+(1-w_ntm28)*Sens!H3141)*m_sw</f>
        <v>117.116808660549</v>
      </c>
    </row>
    <row r="3159" customFormat="false" ht="17.15" hidden="false" customHeight="false" outlineLevel="0" collapsed="false">
      <c r="A3159" s="1" t="s">
        <v>1094</v>
      </c>
      <c r="B3159" s="0" t="s">
        <v>98</v>
      </c>
      <c r="C3159" s="6" t="n">
        <f aca="false">(w_ntm28*Sens!G3142+(1-w_ntm28)*Sens!H3142)*m_sw</f>
        <v>44.6847740623638</v>
      </c>
    </row>
    <row r="3160" customFormat="false" ht="17.15" hidden="false" customHeight="false" outlineLevel="0" collapsed="false">
      <c r="A3160" s="1" t="s">
        <v>1095</v>
      </c>
      <c r="B3160" s="0" t="s">
        <v>98</v>
      </c>
      <c r="C3160" s="6" t="n">
        <f aca="false">(w_ntm28*Sens!G3143+(1-w_ntm28)*Sens!H3143)*m_ads</f>
        <v>123.454479963649</v>
      </c>
    </row>
    <row r="3161" customFormat="false" ht="17.15" hidden="false" customHeight="false" outlineLevel="0" collapsed="false">
      <c r="A3161" s="1" t="s">
        <v>1096</v>
      </c>
      <c r="B3161" s="0" t="s">
        <v>98</v>
      </c>
      <c r="C3161" s="6" t="n">
        <f aca="false">(w_ntm28*Sens!G3148+(1-w_ntm28)*Sens!H3148)*m_game</f>
        <v>104.989433821763</v>
      </c>
    </row>
    <row r="3162" customFormat="false" ht="17.15" hidden="false" customHeight="false" outlineLevel="0" collapsed="false">
      <c r="A3162" s="1" t="s">
        <v>1097</v>
      </c>
      <c r="B3162" s="0" t="s">
        <v>98</v>
      </c>
      <c r="C3162" s="6" t="n">
        <f aca="false">(w_ntm28*Sens!G3149+(1-w_ntm28)*Sens!H3149)*m_pc</f>
        <v>104.079196106103</v>
      </c>
    </row>
    <row r="3163" customFormat="false" ht="17.15" hidden="false" customHeight="false" outlineLevel="0" collapsed="false">
      <c r="A3163" s="1" t="s">
        <v>1098</v>
      </c>
      <c r="B3163" s="0" t="s">
        <v>98</v>
      </c>
      <c r="C3163" s="6" t="n">
        <f aca="false">Sens!$C$3153+Sens!$C$3155+Sens!$C$3156+Sens!$C$3157+Sens!$C$3158+Sens!$C$3159+Sens!$C$3160+Sens!$C$3161+Sens!$C$3162</f>
        <v>3055.55473489845</v>
      </c>
    </row>
    <row r="3164" customFormat="false" ht="17.15" hidden="false" customHeight="false" outlineLevel="0" collapsed="false">
      <c r="A3164" s="1" t="s">
        <v>1099</v>
      </c>
      <c r="B3164" s="0" t="s">
        <v>98</v>
      </c>
      <c r="C3164" s="6" t="n">
        <f aca="false">(Sens!G3125-Sens!G3150)*t_stub</f>
        <v>48.7202307679885</v>
      </c>
      <c r="L3164" s="1" t="s">
        <v>1100</v>
      </c>
    </row>
    <row r="3165" customFormat="false" ht="17.15" hidden="false" customHeight="false" outlineLevel="0" collapsed="false">
      <c r="A3165" s="1" t="s">
        <v>1014</v>
      </c>
      <c r="B3165" s="0" t="s">
        <v>98</v>
      </c>
      <c r="C3165" s="6" t="n">
        <f aca="false">Sens!F3114+oai_v-Sens!F3103+Sens!$C$3164</f>
        <v>156.037002188628</v>
      </c>
      <c r="L3165" s="1" t="s">
        <v>1101</v>
      </c>
    </row>
    <row r="3166" customFormat="false" ht="17.15" hidden="false" customHeight="false" outlineLevel="0" collapsed="false">
      <c r="A3166" s="1" t="s">
        <v>1102</v>
      </c>
      <c r="B3166" s="0" t="s">
        <v>75</v>
      </c>
      <c r="C3166" s="5" t="n">
        <f aca="false">(Sens!$C$3163+Sens!$C$3165)/(Sens!F3116+dil_gap)-Sens!G3106*roll_div_q/q_per_yr</f>
        <v>427.401233336057</v>
      </c>
      <c r="L3166" s="1" t="s">
        <v>1103</v>
      </c>
    </row>
    <row r="3167" customFormat="false" ht="17.15" hidden="false" customHeight="false" outlineLevel="0" collapsed="false">
      <c r="A3167" s="1" t="s">
        <v>1104</v>
      </c>
      <c r="B3167" s="0" t="s">
        <v>75</v>
      </c>
      <c r="C3167" s="5" t="n">
        <f aca="false">w_dcf*Sens!$C$3137+(1-w_dcf)*Sens!$C$3166</f>
        <v>370.73807844026</v>
      </c>
    </row>
    <row r="3168" customFormat="false" ht="17.15" hidden="false" customHeight="false" outlineLevel="0" collapsed="false">
      <c r="A3168" s="3" t="s">
        <v>1342</v>
      </c>
    </row>
    <row r="3169" customFormat="false" ht="15" hidden="false" customHeight="false" outlineLevel="0" collapsed="false">
      <c r="A3169" s="4" t="s">
        <v>43</v>
      </c>
      <c r="B3169" s="4" t="s">
        <v>65</v>
      </c>
      <c r="C3169" s="20" t="s">
        <v>799</v>
      </c>
      <c r="D3169" s="20" t="s">
        <v>800</v>
      </c>
      <c r="E3169" s="20" t="s">
        <v>801</v>
      </c>
      <c r="F3169" s="20" t="s">
        <v>802</v>
      </c>
      <c r="G3169" s="20" t="s">
        <v>803</v>
      </c>
      <c r="H3169" s="20" t="s">
        <v>804</v>
      </c>
      <c r="I3169" s="20" t="s">
        <v>805</v>
      </c>
      <c r="J3169" s="20" t="s">
        <v>806</v>
      </c>
      <c r="K3169" s="20" t="s">
        <v>807</v>
      </c>
      <c r="L3169" s="4" t="s">
        <v>47</v>
      </c>
    </row>
    <row r="3170" customFormat="false" ht="17.15" hidden="false" customHeight="false" outlineLevel="0" collapsed="false">
      <c r="A3170" s="1" t="s">
        <v>808</v>
      </c>
      <c r="B3170" s="1" t="s">
        <v>235</v>
      </c>
      <c r="C3170" s="28" t="n">
        <v>2024</v>
      </c>
      <c r="D3170" s="28" t="n">
        <v>2025</v>
      </c>
      <c r="E3170" s="28" t="n">
        <v>2026</v>
      </c>
      <c r="F3170" s="28" t="n">
        <v>2027</v>
      </c>
      <c r="G3170" s="28" t="n">
        <v>2028</v>
      </c>
      <c r="H3170" s="28" t="n">
        <v>2029</v>
      </c>
      <c r="I3170" s="28" t="n">
        <v>2030</v>
      </c>
      <c r="J3170" s="28" t="n">
        <v>2031</v>
      </c>
      <c r="K3170" s="28" t="n">
        <v>2032</v>
      </c>
    </row>
    <row r="3171" customFormat="false" ht="17.15" hidden="false" customHeight="false" outlineLevel="0" collapsed="false">
      <c r="A3171" s="1" t="s">
        <v>809</v>
      </c>
      <c r="B3171" s="0" t="s">
        <v>399</v>
      </c>
      <c r="F3171" s="29" t="n">
        <f aca="false">pace_epoch</f>
        <v>650</v>
      </c>
      <c r="G3171" s="29" t="n">
        <f aca="false">pace_epoch</f>
        <v>650</v>
      </c>
      <c r="H3171" s="29" t="n">
        <f aca="false">pace_epoch</f>
        <v>650</v>
      </c>
      <c r="I3171" s="29" t="n">
        <f aca="false">pace_epoch+(g_tv*Sens!H3172-pace_epoch)*MIN(1,(Sens!I3170-pace_y0)/(pace_y1-pace_y0))</f>
        <v>477.193333333333</v>
      </c>
      <c r="J3171" s="29" t="n">
        <f aca="false">pace_epoch+(g_tv*Sens!I3172-pace_epoch)*MIN(1,(Sens!J3170-pace_y0)/(pace_y1-pace_y0))</f>
        <v>304.386666666667</v>
      </c>
      <c r="K3171" s="29" t="n">
        <f aca="false">pace_epoch+(g_tv*Sens!J3172-pace_epoch)*MIN(1,(Sens!K3170-pace_y0)/(pace_y1-pace_y0))</f>
        <v>131.58</v>
      </c>
      <c r="L3171" s="11" t="s">
        <v>810</v>
      </c>
    </row>
    <row r="3172" customFormat="false" ht="17.15" hidden="false" customHeight="false" outlineLevel="0" collapsed="false">
      <c r="A3172" s="1" t="s">
        <v>811</v>
      </c>
      <c r="B3172" s="0" t="s">
        <v>399</v>
      </c>
      <c r="C3172" s="29" t="n">
        <f aca="false">mw_ext_24</f>
        <v>640</v>
      </c>
      <c r="D3172" s="29" t="n">
        <f aca="false">mw_ext_25</f>
        <v>1630</v>
      </c>
      <c r="E3172" s="29" t="n">
        <f aca="false">mw_ext_26</f>
        <v>3250</v>
      </c>
      <c r="F3172" s="29" t="n">
        <f aca="false">MIN(cap_epoch,Sens!E3172+Sens!F3171)</f>
        <v>3900</v>
      </c>
      <c r="G3172" s="29" t="n">
        <f aca="false">MIN(cap_epoch,Sens!F3172+Sens!G3171)</f>
        <v>4386</v>
      </c>
      <c r="H3172" s="29" t="n">
        <f aca="false">MIN(cap_epoch,Sens!G3172+Sens!H3171)</f>
        <v>4386</v>
      </c>
      <c r="I3172" s="29" t="n">
        <f aca="false">MIN(cap_epoch,Sens!H3172+Sens!I3171)</f>
        <v>4386</v>
      </c>
      <c r="J3172" s="29" t="n">
        <f aca="false">MIN(cap_epoch,Sens!I3172+Sens!J3171)</f>
        <v>4386</v>
      </c>
      <c r="K3172" s="29" t="n">
        <f aca="false">MIN(cap_epoch,Sens!J3172+Sens!K3171)</f>
        <v>4386</v>
      </c>
      <c r="L3172" s="1" t="s">
        <v>812</v>
      </c>
    </row>
    <row r="3173" customFormat="false" ht="17.15" hidden="false" customHeight="false" outlineLevel="0" collapsed="false">
      <c r="A3173" s="1" t="s">
        <v>813</v>
      </c>
      <c r="B3173" s="0" t="s">
        <v>399</v>
      </c>
      <c r="C3173" s="29" t="n">
        <f aca="false">rent_ext_24</f>
        <v>150</v>
      </c>
      <c r="D3173" s="29" t="n">
        <f aca="false">rent_ext_25</f>
        <v>400</v>
      </c>
      <c r="E3173" s="29" t="n">
        <f aca="false">rent_ext_26</f>
        <v>550</v>
      </c>
      <c r="F3173" s="29" t="n">
        <f aca="false">rent_ext_f</f>
        <v>756</v>
      </c>
      <c r="G3173" s="29" t="n">
        <f aca="false">rent_ext_f</f>
        <v>756</v>
      </c>
      <c r="H3173" s="29" t="n">
        <f aca="false">rent_ext_f</f>
        <v>756</v>
      </c>
      <c r="I3173" s="29" t="n">
        <f aca="false">rent_ext_f</f>
        <v>756</v>
      </c>
      <c r="J3173" s="29" t="n">
        <f aca="false">rent_ext_f</f>
        <v>756</v>
      </c>
      <c r="K3173" s="29" t="n">
        <f aca="false">rent_ext_f</f>
        <v>756</v>
      </c>
      <c r="L3173" s="1" t="s">
        <v>814</v>
      </c>
    </row>
    <row r="3174" customFormat="false" ht="17.15" hidden="false" customHeight="false" outlineLevel="0" collapsed="false">
      <c r="A3174" s="1" t="s">
        <v>815</v>
      </c>
      <c r="B3174" s="0" t="s">
        <v>399</v>
      </c>
      <c r="C3174" s="29" t="n">
        <f aca="false">Sens!C3172-Sens!C3173</f>
        <v>490</v>
      </c>
      <c r="D3174" s="29" t="n">
        <f aca="false">Sens!D3172-Sens!D3173</f>
        <v>1230</v>
      </c>
      <c r="E3174" s="29" t="n">
        <f aca="false">Sens!E3172-Sens!E3173</f>
        <v>2700</v>
      </c>
      <c r="F3174" s="29" t="n">
        <f aca="false">Sens!F3172-Sens!F3173</f>
        <v>3144</v>
      </c>
      <c r="G3174" s="29" t="n">
        <f aca="false">Sens!G3172-Sens!G3173</f>
        <v>3630</v>
      </c>
      <c r="H3174" s="29" t="n">
        <f aca="false">Sens!H3172-Sens!H3173</f>
        <v>3630</v>
      </c>
      <c r="I3174" s="29" t="n">
        <f aca="false">Sens!I3172-Sens!I3173</f>
        <v>3630</v>
      </c>
      <c r="J3174" s="29" t="n">
        <f aca="false">Sens!J3172-Sens!J3173</f>
        <v>3630</v>
      </c>
      <c r="K3174" s="29" t="n">
        <f aca="false">Sens!K3172-Sens!K3173</f>
        <v>3630</v>
      </c>
    </row>
    <row r="3175" customFormat="false" ht="17.15" hidden="false" customHeight="false" outlineLevel="0" collapsed="false">
      <c r="A3175" s="1" t="s">
        <v>816</v>
      </c>
      <c r="B3175" s="0" t="s">
        <v>399</v>
      </c>
      <c r="C3175" s="29" t="n">
        <f aca="false">Sens!C3174/ext_sh</f>
        <v>816.666666666667</v>
      </c>
      <c r="D3175" s="29" t="n">
        <f aca="false">Sens!D3174/ext_sh</f>
        <v>2050</v>
      </c>
      <c r="E3175" s="29" t="n">
        <f aca="false">Sens!E3174/ext_sh</f>
        <v>4500</v>
      </c>
      <c r="F3175" s="29" t="n">
        <f aca="false">Sens!F3174/ext_sh</f>
        <v>5240</v>
      </c>
      <c r="G3175" s="29" t="n">
        <f aca="false">Sens!G3174/ext_sh</f>
        <v>6050</v>
      </c>
      <c r="H3175" s="29" t="n">
        <f aca="false">Sens!H3174/ext_sh</f>
        <v>6050</v>
      </c>
      <c r="I3175" s="29" t="n">
        <f aca="false">Sens!I3174/ext_sh</f>
        <v>6050</v>
      </c>
      <c r="J3175" s="29" t="n">
        <f aca="false">Sens!J3174/ext_sh</f>
        <v>6050</v>
      </c>
      <c r="K3175" s="29" t="n">
        <f aca="false">Sens!K3174/ext_sh</f>
        <v>6050</v>
      </c>
      <c r="L3175" s="1" t="s">
        <v>817</v>
      </c>
    </row>
    <row r="3176" customFormat="false" ht="17.15" hidden="false" customHeight="false" outlineLevel="0" collapsed="false">
      <c r="A3176" s="1" t="s">
        <v>818</v>
      </c>
      <c r="B3176" s="0" t="s">
        <v>399</v>
      </c>
      <c r="C3176" s="29" t="n">
        <f aca="false">Sens!C3175-Sens!C3174</f>
        <v>326.666666666667</v>
      </c>
      <c r="D3176" s="29" t="n">
        <f aca="false">Sens!D3175-Sens!D3174</f>
        <v>820</v>
      </c>
      <c r="E3176" s="29" t="n">
        <f aca="false">Sens!E3175-Sens!E3174</f>
        <v>1800</v>
      </c>
      <c r="F3176" s="29" t="n">
        <f aca="false">Sens!F3175-Sens!F3174</f>
        <v>2096</v>
      </c>
      <c r="G3176" s="29" t="n">
        <f aca="false">Sens!G3175-Sens!G3174</f>
        <v>2420</v>
      </c>
      <c r="H3176" s="29" t="n">
        <f aca="false">Sens!H3175-Sens!H3174</f>
        <v>2420</v>
      </c>
      <c r="I3176" s="29" t="n">
        <f aca="false">Sens!I3175-Sens!I3174</f>
        <v>2420</v>
      </c>
      <c r="J3176" s="29" t="n">
        <f aca="false">Sens!J3175-Sens!J3174</f>
        <v>2420</v>
      </c>
      <c r="K3176" s="29" t="n">
        <f aca="false">Sens!K3175-Sens!K3174</f>
        <v>2420</v>
      </c>
    </row>
    <row r="3177" customFormat="false" ht="17.15" hidden="false" customHeight="false" outlineLevel="0" collapsed="false">
      <c r="A3177" s="1" t="s">
        <v>819</v>
      </c>
      <c r="B3177" s="0" t="s">
        <v>399</v>
      </c>
      <c r="C3177" s="29" t="n">
        <f aca="false">Sens!C3175</f>
        <v>816.666666666667</v>
      </c>
      <c r="D3177" s="29" t="n">
        <f aca="false">Sens!D3175-Sens!C3175</f>
        <v>1233.33333333333</v>
      </c>
      <c r="E3177" s="29" t="n">
        <f aca="false">Sens!E3175-Sens!D3175</f>
        <v>2450</v>
      </c>
      <c r="F3177" s="29" t="n">
        <f aca="false">Sens!F3175-Sens!E3175</f>
        <v>740</v>
      </c>
      <c r="G3177" s="29" t="n">
        <f aca="false">Sens!G3175-Sens!F3175</f>
        <v>810</v>
      </c>
      <c r="H3177" s="29" t="n">
        <f aca="false">Sens!H3175-Sens!G3175</f>
        <v>0</v>
      </c>
      <c r="I3177" s="29" t="n">
        <f aca="false">Sens!I3175-Sens!H3175</f>
        <v>0</v>
      </c>
      <c r="J3177" s="29" t="n">
        <f aca="false">Sens!J3175-Sens!I3175</f>
        <v>0</v>
      </c>
      <c r="K3177" s="29" t="n">
        <f aca="false">Sens!K3175-Sens!J3175</f>
        <v>0</v>
      </c>
    </row>
    <row r="3178" customFormat="false" ht="17.15" hidden="false" customHeight="false" outlineLevel="0" collapsed="false">
      <c r="A3178" s="1" t="s">
        <v>820</v>
      </c>
      <c r="B3178" s="0" t="s">
        <v>399</v>
      </c>
      <c r="D3178" s="29" t="n">
        <f aca="false">Sens!D3172-Sens!C3172</f>
        <v>990</v>
      </c>
      <c r="E3178" s="29" t="n">
        <f aca="false">Sens!E3172-Sens!D3172</f>
        <v>1620</v>
      </c>
      <c r="F3178" s="29" t="n">
        <f aca="false">Sens!F3172-Sens!E3172</f>
        <v>650</v>
      </c>
      <c r="G3178" s="29" t="n">
        <f aca="false">Sens!G3172-Sens!F3172</f>
        <v>486</v>
      </c>
      <c r="H3178" s="29" t="n">
        <f aca="false">Sens!H3172-Sens!G3172</f>
        <v>0</v>
      </c>
      <c r="I3178" s="29" t="n">
        <f aca="false">Sens!I3172-Sens!H3172</f>
        <v>0</v>
      </c>
      <c r="J3178" s="29" t="n">
        <f aca="false">Sens!J3172-Sens!I3172</f>
        <v>0</v>
      </c>
      <c r="K3178" s="29" t="n">
        <f aca="false">Sens!K3172-Sens!J3172</f>
        <v>0</v>
      </c>
    </row>
    <row r="3179" customFormat="false" ht="17.15" hidden="false" customHeight="false" outlineLevel="0" collapsed="false">
      <c r="A3179" s="1" t="s">
        <v>821</v>
      </c>
      <c r="B3179" s="0" t="s">
        <v>399</v>
      </c>
      <c r="F3179" s="29" t="n">
        <f aca="false">Sens!F3196*ext_sh</f>
        <v>0</v>
      </c>
      <c r="G3179" s="29" t="n">
        <f aca="false">Sens!G3196*ext_sh</f>
        <v>0</v>
      </c>
      <c r="H3179" s="29" t="n">
        <f aca="false">Sens!H3196*ext_sh</f>
        <v>0</v>
      </c>
      <c r="I3179" s="29" t="n">
        <f aca="false">Sens!I3196*ext_sh</f>
        <v>490</v>
      </c>
      <c r="J3179" s="29" t="n">
        <f aca="false">Sens!J3196*ext_sh</f>
        <v>740</v>
      </c>
      <c r="K3179" s="29" t="n">
        <f aca="false">Sens!K3196*ext_sh</f>
        <v>1470</v>
      </c>
      <c r="L3179" s="1" t="s">
        <v>822</v>
      </c>
    </row>
    <row r="3180" customFormat="false" ht="17.15" hidden="false" customHeight="false" outlineLevel="0" collapsed="false">
      <c r="A3180" s="1" t="s">
        <v>823</v>
      </c>
      <c r="B3180" s="0" t="s">
        <v>399</v>
      </c>
      <c r="C3180" s="29" t="n">
        <f aca="false">mix_h*Sens!C3172</f>
        <v>128</v>
      </c>
      <c r="D3180" s="29" t="n">
        <f aca="false">mix_h*Sens!D3172</f>
        <v>326</v>
      </c>
      <c r="E3180" s="29" t="n">
        <f aca="false">mix_h*Sens!E3172</f>
        <v>650</v>
      </c>
      <c r="F3180" s="29" t="n">
        <f aca="false">Sens!E3180-Sens!F3179*mix_h</f>
        <v>650</v>
      </c>
      <c r="G3180" s="29" t="n">
        <f aca="false">Sens!F3180-Sens!G3179*mix_h</f>
        <v>650</v>
      </c>
      <c r="H3180" s="29" t="n">
        <f aca="false">Sens!G3180-Sens!H3179*mix_h</f>
        <v>650</v>
      </c>
      <c r="I3180" s="29" t="n">
        <f aca="false">Sens!H3180-Sens!I3179*mix_h</f>
        <v>552</v>
      </c>
      <c r="J3180" s="29" t="n">
        <f aca="false">Sens!I3180-Sens!J3179*mix_h</f>
        <v>404</v>
      </c>
      <c r="K3180" s="29" t="n">
        <f aca="false">Sens!J3180-Sens!K3179*mix_h</f>
        <v>110</v>
      </c>
    </row>
    <row r="3181" customFormat="false" ht="17.15" hidden="false" customHeight="false" outlineLevel="0" collapsed="false">
      <c r="A3181" s="1" t="s">
        <v>824</v>
      </c>
      <c r="B3181" s="0" t="s">
        <v>399</v>
      </c>
      <c r="C3181" s="29" t="n">
        <f aca="false">mix_g2*Sens!C3172</f>
        <v>288</v>
      </c>
      <c r="D3181" s="29" t="n">
        <f aca="false">mix_g2*Sens!D3172</f>
        <v>733.5</v>
      </c>
      <c r="E3181" s="29" t="n">
        <f aca="false">mix_g2*Sens!E3172</f>
        <v>1462.5</v>
      </c>
      <c r="F3181" s="29" t="n">
        <f aca="false">Sens!E3181-Sens!F3179*mix_g2</f>
        <v>1462.5</v>
      </c>
      <c r="G3181" s="29" t="n">
        <f aca="false">Sens!F3181-Sens!G3179*mix_g2</f>
        <v>1462.5</v>
      </c>
      <c r="H3181" s="29" t="n">
        <f aca="false">Sens!G3181-Sens!H3179*mix_g2</f>
        <v>1462.5</v>
      </c>
      <c r="I3181" s="29" t="n">
        <f aca="false">Sens!H3181-Sens!I3179*mix_g2</f>
        <v>1242</v>
      </c>
      <c r="J3181" s="29" t="n">
        <f aca="false">Sens!I3181-Sens!J3179*mix_g2</f>
        <v>909</v>
      </c>
      <c r="K3181" s="29" t="n">
        <f aca="false">Sens!J3181-Sens!K3179*mix_g2</f>
        <v>247.5</v>
      </c>
    </row>
    <row r="3182" customFormat="false" ht="17.15" hidden="false" customHeight="false" outlineLevel="0" collapsed="false">
      <c r="A3182" s="1" t="s">
        <v>825</v>
      </c>
      <c r="B3182" s="0" t="s">
        <v>399</v>
      </c>
      <c r="C3182" s="29" t="n">
        <f aca="false">mix_g3*Sens!C3172</f>
        <v>224</v>
      </c>
      <c r="D3182" s="29" t="n">
        <f aca="false">mix_g3*Sens!D3172</f>
        <v>570.5</v>
      </c>
      <c r="E3182" s="29" t="n">
        <f aca="false">mix_g3*Sens!E3172</f>
        <v>1137.5</v>
      </c>
      <c r="F3182" s="29" t="n">
        <f aca="false">Sens!E3182+(Sens!F3178+Sens!F3179)*a_g3_27-Sens!F3179*mix_g3</f>
        <v>1592.5</v>
      </c>
      <c r="G3182" s="29" t="n">
        <f aca="false">Sens!F3182+(Sens!G3178+Sens!G3179)*a_g3_28-Sens!G3179*mix_g3</f>
        <v>1738.3</v>
      </c>
      <c r="H3182" s="29" t="n">
        <f aca="false">Sens!G3182+(Sens!H3178+Sens!H3179)*a_g3_29-Sens!H3179*mix_g3</f>
        <v>1738.3</v>
      </c>
      <c r="I3182" s="29" t="n">
        <f aca="false">Sens!H3182+(Sens!I3178+Sens!I3179)*a_g3_29-Sens!I3179*mix_g3</f>
        <v>1615.8</v>
      </c>
      <c r="J3182" s="29" t="n">
        <f aca="false">Sens!I3182+(Sens!J3178+Sens!J3179)*a_g3_29-Sens!J3179*mix_g3</f>
        <v>1430.8</v>
      </c>
      <c r="K3182" s="29" t="n">
        <f aca="false">Sens!J3182+(Sens!K3178+Sens!K3179)*a_g3_29-Sens!K3179*mix_g3</f>
        <v>1063.3</v>
      </c>
    </row>
    <row r="3183" customFormat="false" ht="17.15" hidden="false" customHeight="false" outlineLevel="0" collapsed="false">
      <c r="A3183" s="1" t="s">
        <v>826</v>
      </c>
      <c r="B3183" s="0" t="s">
        <v>399</v>
      </c>
      <c r="C3183" s="29" t="n">
        <v>0</v>
      </c>
      <c r="D3183" s="29" t="n">
        <v>0</v>
      </c>
      <c r="E3183" s="29" t="n">
        <v>0</v>
      </c>
      <c r="F3183" s="29" t="n">
        <f aca="false">Sens!E3183+(Sens!F3178+Sens!F3179)*(1-a_g3_27)</f>
        <v>195</v>
      </c>
      <c r="G3183" s="29" t="n">
        <f aca="false">Sens!F3183+(Sens!G3178+Sens!G3179)*(1-a_g3_28)</f>
        <v>535.2</v>
      </c>
      <c r="H3183" s="29" t="n">
        <f aca="false">Sens!G3183+(Sens!H3178+Sens!H3179)*(1-a_g3_29)</f>
        <v>535.2</v>
      </c>
      <c r="I3183" s="29" t="n">
        <f aca="false">Sens!H3183+(Sens!I3178+Sens!I3179)*(1-a_g3_29)</f>
        <v>976.2</v>
      </c>
      <c r="J3183" s="29" t="n">
        <f aca="false">Sens!I3183+(Sens!J3178+Sens!J3179)*(1-a_g3_29)</f>
        <v>1642.2</v>
      </c>
      <c r="K3183" s="29" t="n">
        <f aca="false">Sens!J3183+(Sens!K3178+Sens!K3179)*(1-a_g3_29)</f>
        <v>2965.2</v>
      </c>
    </row>
    <row r="3184" customFormat="false" ht="17.15" hidden="false" customHeight="false" outlineLevel="0" collapsed="false">
      <c r="A3184" s="1" t="s">
        <v>827</v>
      </c>
      <c r="B3184" s="0" t="s">
        <v>346</v>
      </c>
      <c r="C3184" s="14" t="n">
        <f aca="false">(Sens!C3180*tk_hold_h100+Sens!C3181*tk_hold_gb200+Sens!C3182*tk_hold_gb300+Sens!C3183*tk_hold_vr200)/Sens!C3172</f>
        <v>9.7235358126469</v>
      </c>
      <c r="D3184" s="14" t="n">
        <f aca="false">(Sens!D3180*tk_hold_h100+Sens!D3181*tk_hold_gb200+Sens!D3182*tk_hold_gb300+Sens!D3183*tk_hold_vr200)/Sens!D3172</f>
        <v>9.7235358126469</v>
      </c>
      <c r="E3184" s="14" t="n">
        <f aca="false">(Sens!E3180*tk_hold_h100+Sens!E3181*tk_hold_gb200+Sens!E3182*tk_hold_gb300+Sens!E3183*tk_hold_vr200)/Sens!E3172</f>
        <v>9.7235358126469</v>
      </c>
      <c r="F3184" s="14" t="n">
        <f aca="false">(Sens!F3180*tk_hold_h100+Sens!F3181*tk_hold_gb200+Sens!F3182*tk_hold_gb300+Sens!F3183*tk_hold_vr200)/Sens!F3172</f>
        <v>9.9843013443478</v>
      </c>
      <c r="G3184" s="14" t="n">
        <f aca="false">(Sens!G3180*tk_hold_h100+Sens!G3181*tk_hold_gb200+Sens!G3182*tk_hold_gb300+Sens!G3183*tk_hold_vr200)/Sens!G3172</f>
        <v>10.1881256732384</v>
      </c>
      <c r="H3184" s="14" t="n">
        <f aca="false">(Sens!H3180*tk_hold_h100+Sens!H3181*tk_hold_gb200+Sens!H3182*tk_hold_gb300+Sens!H3183*tk_hold_vr200)/Sens!H3172</f>
        <v>10.1881256732384</v>
      </c>
      <c r="I3184" s="14" t="n">
        <f aca="false">(Sens!I3180*tk_hold_h100+Sens!I3181*tk_hold_gb200+Sens!I3182*tk_hold_gb300+Sens!I3183*tk_hold_vr200)/Sens!I3172</f>
        <v>10.4526797781011</v>
      </c>
      <c r="J3184" s="14" t="n">
        <f aca="false">(Sens!J3180*tk_hold_h100+Sens!J3181*tk_hold_gb200+Sens!J3182*tk_hold_gb300+Sens!J3183*tk_hold_vr200)/Sens!J3172</f>
        <v>10.8522104670775</v>
      </c>
      <c r="K3184" s="14" t="n">
        <f aca="false">(Sens!K3180*tk_hold_h100+Sens!K3181*tk_hold_gb200+Sens!K3182*tk_hold_gb300+Sens!K3183*tk_hold_vr200)/Sens!K3172</f>
        <v>11.6458727816658</v>
      </c>
    </row>
    <row r="3185" customFormat="false" ht="17.15" hidden="false" customHeight="false" outlineLevel="0" collapsed="false">
      <c r="A3185" s="0" t="s">
        <v>828</v>
      </c>
      <c r="B3185" s="0" t="s">
        <v>185</v>
      </c>
      <c r="C3185" s="14" t="n">
        <f aca="false">k_B</f>
        <v>1.17213932619116</v>
      </c>
      <c r="D3185" s="14" t="n">
        <f aca="false">k_B</f>
        <v>1.17213932619116</v>
      </c>
      <c r="E3185" s="14" t="n">
        <f aca="false">k_B</f>
        <v>1.17213932619116</v>
      </c>
      <c r="F3185" s="14" t="n">
        <f aca="false">(k_B+((ls_B*k_long+(1-ls_B)*k_spot)-k_B)*MIN(1,(Sens!F3170-base_fy)/k_ramp))</f>
        <v>1.17213932619116</v>
      </c>
      <c r="G3185" s="14" t="n">
        <f aca="false">(k_B+((ls_B*k_long+(1-ls_B)*k_spot)-k_B)*MIN(1,(Sens!G3170-base_fy)/k_ramp))</f>
        <v>1.17213932619116</v>
      </c>
      <c r="H3185" s="14" t="n">
        <f aca="false">(k_B+((ls_B*k_long+(1-ls_B)*k_spot)-k_B)*MIN(1,(Sens!H3170-base_fy)/k_ramp))</f>
        <v>1.17213932619116</v>
      </c>
      <c r="I3185" s="14" t="n">
        <f aca="false">(k_B+((ls_B*k_long+(1-ls_B)*k_spot)-k_B)*MIN(1,(Sens!I3170-base_fy)/k_ramp))</f>
        <v>1.17213932619116</v>
      </c>
      <c r="J3185" s="14" t="n">
        <f aca="false">(k_B+((ls_B*k_long+(1-ls_B)*k_spot)-k_B)*MIN(1,(Sens!J3170-base_fy)/k_ramp))</f>
        <v>1.17213932619116</v>
      </c>
      <c r="K3185" s="14" t="n">
        <f aca="false">(k_B+((ls_B*k_long+(1-ls_B)*k_spot)-k_B)*MIN(1,(Sens!K3170-base_fy)/k_ramp))</f>
        <v>1.17213932619116</v>
      </c>
      <c r="L3185" s="1" t="s">
        <v>829</v>
      </c>
    </row>
    <row r="3186" customFormat="false" ht="17.15" hidden="false" customHeight="false" outlineLevel="0" collapsed="false">
      <c r="A3186" s="1" t="s">
        <v>830</v>
      </c>
      <c r="B3186" s="0" t="s">
        <v>346</v>
      </c>
      <c r="C3186" s="14" t="n">
        <f aca="false">Sens!C3184*Sens!C3185*chip_f</f>
        <v>11.3973387156315</v>
      </c>
      <c r="D3186" s="14" t="n">
        <f aca="false">Sens!D3184*Sens!D3185*chip_f</f>
        <v>11.3973387156315</v>
      </c>
      <c r="E3186" s="14" t="n">
        <f aca="false">Sens!E3184*Sens!E3185*chip_f</f>
        <v>11.3973387156315</v>
      </c>
      <c r="F3186" s="14" t="n">
        <f aca="false">Sens!F3184*Sens!F3185*chip_f</f>
        <v>11.7029922502533</v>
      </c>
      <c r="G3186" s="14" t="n">
        <f aca="false">Sens!G3184*Sens!G3185*chip_f</f>
        <v>11.9419027617805</v>
      </c>
      <c r="H3186" s="14" t="n">
        <f aca="false">Sens!H3184*Sens!H3185*chip_f</f>
        <v>11.9419027617805</v>
      </c>
      <c r="I3186" s="14" t="n">
        <f aca="false">Sens!I3184*Sens!I3185*chip_f</f>
        <v>12.2519970319954</v>
      </c>
      <c r="J3186" s="14" t="n">
        <f aca="false">Sens!J3184*Sens!J3185*chip_f</f>
        <v>12.7203026645649</v>
      </c>
      <c r="K3186" s="14" t="n">
        <f aca="false">Sens!K3184*Sens!K3185*chip_f</f>
        <v>13.6505854752096</v>
      </c>
      <c r="L3186" s="1" t="s">
        <v>831</v>
      </c>
    </row>
    <row r="3187" customFormat="false" ht="17.15" hidden="false" customHeight="false" outlineLevel="0" collapsed="false">
      <c r="A3187" s="0" t="s">
        <v>832</v>
      </c>
      <c r="B3187" s="0" t="s">
        <v>98</v>
      </c>
      <c r="D3187" s="6" t="n">
        <f aca="false">(Sens!C3172+Sens!D3172)/2*Sens!D3186/1000</f>
        <v>12.9359794422418</v>
      </c>
      <c r="E3187" s="6" t="n">
        <f aca="false">(Sens!D3172+Sens!E3172)/2*Sens!E3186/1000</f>
        <v>27.8095064661409</v>
      </c>
      <c r="F3187" s="6" t="n">
        <f aca="false">(Sens!E3172+Sens!F3172)/2*Sens!F3186/1000</f>
        <v>41.8381972946555</v>
      </c>
      <c r="G3187" s="6" t="n">
        <f aca="false">(Sens!F3172+Sens!G3172)/2*Sens!G3186/1000</f>
        <v>49.4753031420564</v>
      </c>
      <c r="H3187" s="6" t="n">
        <f aca="false">(Sens!G3172+Sens!H3172)/2*Sens!H3186/1000</f>
        <v>52.3771855131691</v>
      </c>
      <c r="I3187" s="6" t="n">
        <f aca="false">(Sens!H3172+Sens!I3172)/2*Sens!I3186/1000</f>
        <v>53.7372589823317</v>
      </c>
      <c r="J3187" s="6" t="n">
        <f aca="false">(Sens!I3172+Sens!J3172)/2*Sens!J3186/1000</f>
        <v>55.7912474867814</v>
      </c>
      <c r="K3187" s="6" t="n">
        <f aca="false">(Sens!J3172+Sens!K3172)/2*Sens!K3186/1000</f>
        <v>59.8714678942694</v>
      </c>
      <c r="L3187" s="11" t="s">
        <v>833</v>
      </c>
    </row>
    <row r="3188" customFormat="false" ht="17.15" hidden="false" customHeight="false" outlineLevel="0" collapsed="false">
      <c r="A3188" s="1" t="s">
        <v>834</v>
      </c>
      <c r="B3188" s="0" t="s">
        <v>346</v>
      </c>
      <c r="C3188" s="14" t="n">
        <f aca="false">(Sens!C3180*tk_opex_h100+Sens!C3181*tk_opex_gb200+Sens!C3182*tk_opex_gb300+Sens!C3183*tk_opex_vr200)/Sens!C3172</f>
        <v>1.88636041306092</v>
      </c>
      <c r="D3188" s="14" t="n">
        <f aca="false">(Sens!D3180*tk_opex_h100+Sens!D3181*tk_opex_gb200+Sens!D3182*tk_opex_gb300+Sens!D3183*tk_opex_vr200)/Sens!D3172</f>
        <v>1.88636041306092</v>
      </c>
      <c r="E3188" s="14" t="n">
        <f aca="false">(Sens!E3180*tk_opex_h100+Sens!E3181*tk_opex_gb200+Sens!E3182*tk_opex_gb300+Sens!E3183*tk_opex_vr200)/Sens!E3172</f>
        <v>1.88636041306092</v>
      </c>
      <c r="F3188" s="14" t="n">
        <f aca="false">(Sens!F3180*tk_opex_h100+Sens!F3181*tk_opex_gb200+Sens!F3182*tk_opex_gb300+Sens!F3183*tk_opex_vr200)/Sens!F3172</f>
        <v>1.90794918316667</v>
      </c>
      <c r="G3188" s="14" t="n">
        <f aca="false">(Sens!G3180*tk_opex_h100+Sens!G3181*tk_opex_gb200+Sens!G3182*tk_opex_gb300+Sens!G3183*tk_opex_vr200)/Sens!G3172</f>
        <v>1.92482379289624</v>
      </c>
      <c r="H3188" s="14" t="n">
        <f aca="false">(Sens!H3180*tk_opex_h100+Sens!H3181*tk_opex_gb200+Sens!H3182*tk_opex_gb300+Sens!H3183*tk_opex_vr200)/Sens!H3172</f>
        <v>1.92482379289624</v>
      </c>
      <c r="I3188" s="14" t="n">
        <f aca="false">(Sens!I3180*tk_opex_h100+Sens!I3181*tk_opex_gb200+Sens!I3182*tk_opex_gb300+Sens!I3183*tk_opex_vr200)/Sens!I3172</f>
        <v>1.946726218854</v>
      </c>
      <c r="J3188" s="14" t="n">
        <f aca="false">(Sens!J3180*tk_opex_h100+Sens!J3181*tk_opex_gb200+Sens!J3182*tk_opex_gb300+Sens!J3183*tk_opex_vr200)/Sens!J3172</f>
        <v>1.97980335193306</v>
      </c>
      <c r="K3188" s="14" t="n">
        <f aca="false">(Sens!K3180*tk_opex_h100+Sens!K3181*tk_opex_gb200+Sens!K3182*tk_opex_gb300+Sens!K3183*tk_opex_vr200)/Sens!K3172</f>
        <v>2.04551062980633</v>
      </c>
    </row>
    <row r="3189" customFormat="false" ht="17.15" hidden="false" customHeight="false" outlineLevel="0" collapsed="false">
      <c r="A3189" s="0" t="s">
        <v>835</v>
      </c>
      <c r="B3189" s="0" t="s">
        <v>98</v>
      </c>
      <c r="D3189" s="6" t="n">
        <f aca="false">(Sens!C3175+Sens!D3175)/2*Sens!D3188/1000</f>
        <v>2.70378325872065</v>
      </c>
      <c r="E3189" s="6" t="n">
        <f aca="false">(Sens!D3175+Sens!E3175)/2*Sens!E3188/1000</f>
        <v>6.17783035277451</v>
      </c>
      <c r="F3189" s="6" t="n">
        <f aca="false">(Sens!E3175+Sens!F3175)/2*Sens!F3188/1000</f>
        <v>9.29171252202166</v>
      </c>
      <c r="G3189" s="6" t="n">
        <f aca="false">(Sens!F3175+Sens!G3175)/2*Sens!G3188/1000</f>
        <v>10.8656303108993</v>
      </c>
      <c r="H3189" s="6" t="n">
        <f aca="false">(Sens!G3175+Sens!H3175)/2*Sens!H3188/1000</f>
        <v>11.6451839470223</v>
      </c>
      <c r="I3189" s="6" t="n">
        <f aca="false">(Sens!H3175+Sens!I3175)/2*Sens!I3188/1000</f>
        <v>11.7776936240667</v>
      </c>
      <c r="J3189" s="6" t="n">
        <f aca="false">(Sens!I3175+Sens!J3175)/2*Sens!J3188/1000</f>
        <v>11.977810279195</v>
      </c>
      <c r="K3189" s="6" t="n">
        <f aca="false">(Sens!J3175+Sens!K3175)/2*Sens!K3188/1000</f>
        <v>12.3753393103283</v>
      </c>
    </row>
    <row r="3190" customFormat="false" ht="17.15" hidden="false" customHeight="false" outlineLevel="0" collapsed="false">
      <c r="A3190" s="0" t="s">
        <v>836</v>
      </c>
      <c r="B3190" s="0" t="s">
        <v>98</v>
      </c>
      <c r="D3190" s="6" t="n">
        <f aca="false">(Sens!C3173+Sens!D3173)/2*rent_mw/1000</f>
        <v>2.44475</v>
      </c>
      <c r="E3190" s="6" t="n">
        <f aca="false">(Sens!D3173+Sens!E3173)/2*rent_mw/1000</f>
        <v>4.22275</v>
      </c>
      <c r="F3190" s="6" t="n">
        <f aca="false">(Sens!E3173+Sens!F3173)/2*rent_mw/1000</f>
        <v>5.80517</v>
      </c>
      <c r="G3190" s="6" t="n">
        <f aca="false">(Sens!F3173+Sens!G3173)/2*rent_mw/1000</f>
        <v>6.72084</v>
      </c>
      <c r="H3190" s="6" t="n">
        <f aca="false">(Sens!G3173+Sens!H3173)/2*rent_mw/1000</f>
        <v>6.72084</v>
      </c>
      <c r="I3190" s="6" t="n">
        <f aca="false">(Sens!H3173+Sens!I3173)/2*rent_mw/1000</f>
        <v>6.72084</v>
      </c>
      <c r="J3190" s="6" t="n">
        <f aca="false">(Sens!I3173+Sens!J3173)/2*rent_mw/1000</f>
        <v>6.72084</v>
      </c>
      <c r="K3190" s="6" t="n">
        <f aca="false">(Sens!J3173+Sens!K3173)/2*rent_mw/1000</f>
        <v>6.72084</v>
      </c>
    </row>
    <row r="3191" customFormat="false" ht="17.15" hidden="false" customHeight="false" outlineLevel="0" collapsed="false">
      <c r="A3191" s="0" t="s">
        <v>837</v>
      </c>
      <c r="B3191" s="0" t="s">
        <v>98</v>
      </c>
      <c r="D3191" s="6" t="n">
        <f aca="false">(Sens!C3175+Sens!D3175)/2*(1-self_build)*fac_rent/1000</f>
        <v>0.853242375631075</v>
      </c>
      <c r="E3191" s="6" t="n">
        <f aca="false">(Sens!D3175+Sens!E3175)/2*(1-self_build)*fac_rent/1000</f>
        <v>1.94955961408728</v>
      </c>
      <c r="F3191" s="6" t="n">
        <f aca="false">(Sens!E3175+Sens!F3175)/2*(1-self_build)*fac_rent/1000</f>
        <v>2.89903979255117</v>
      </c>
      <c r="G3191" s="6" t="n">
        <f aca="false">(Sens!F3175+Sens!G3175)/2*(1-self_build)*fac_rent/1000</f>
        <v>3.36038596077029</v>
      </c>
      <c r="H3191" s="6" t="n">
        <f aca="false">(Sens!G3175+Sens!H3175)/2*(1-self_build)*fac_rent/1000</f>
        <v>3.60147653900094</v>
      </c>
      <c r="I3191" s="6" t="n">
        <f aca="false">(Sens!H3175+Sens!I3175)/2*(1-self_build)*fac_rent/1000</f>
        <v>3.60147653900094</v>
      </c>
      <c r="J3191" s="6" t="n">
        <f aca="false">(Sens!I3175+Sens!J3175)/2*(1-self_build)*fac_rent/1000</f>
        <v>3.60147653900094</v>
      </c>
      <c r="K3191" s="6" t="n">
        <f aca="false">(Sens!J3175+Sens!K3175)/2*(1-self_build)*fac_rent/1000</f>
        <v>3.60147653900094</v>
      </c>
      <c r="L3191" s="11" t="s">
        <v>838</v>
      </c>
    </row>
    <row r="3192" customFormat="false" ht="17.15" hidden="false" customHeight="false" outlineLevel="0" collapsed="false">
      <c r="A3192" s="1" t="s">
        <v>839</v>
      </c>
      <c r="B3192" s="0" t="s">
        <v>129</v>
      </c>
      <c r="D3192" s="7" t="n">
        <f aca="false">(Sens!C3174+Sens!D3174)/(Sens!C3175+Sens!D3175)</f>
        <v>0.6</v>
      </c>
      <c r="E3192" s="7" t="n">
        <f aca="false">(Sens!D3174+Sens!E3174)/(Sens!D3175+Sens!E3175)</f>
        <v>0.6</v>
      </c>
      <c r="F3192" s="7" t="n">
        <f aca="false">(Sens!E3174+Sens!F3174)/(Sens!E3175+Sens!F3175)</f>
        <v>0.6</v>
      </c>
      <c r="G3192" s="7" t="n">
        <f aca="false">(Sens!F3174+Sens!G3174)/(Sens!F3175+Sens!G3175)</f>
        <v>0.6</v>
      </c>
      <c r="H3192" s="7" t="n">
        <f aca="false">(Sens!G3174+Sens!H3174)/(Sens!G3175+Sens!H3175)</f>
        <v>0.6</v>
      </c>
      <c r="I3192" s="7" t="n">
        <f aca="false">(Sens!H3174+Sens!I3174)/(Sens!H3175+Sens!I3175)</f>
        <v>0.6</v>
      </c>
      <c r="J3192" s="7" t="n">
        <f aca="false">(Sens!I3174+Sens!J3174)/(Sens!I3175+Sens!J3175)</f>
        <v>0.6</v>
      </c>
      <c r="K3192" s="7" t="n">
        <f aca="false">(Sens!J3174+Sens!K3174)/(Sens!J3175+Sens!K3175)</f>
        <v>0.6</v>
      </c>
    </row>
    <row r="3193" customFormat="false" ht="17.15" hidden="false" customHeight="false" outlineLevel="0" collapsed="false">
      <c r="A3193" s="0" t="s">
        <v>840</v>
      </c>
      <c r="B3193" s="0" t="s">
        <v>98</v>
      </c>
      <c r="D3193" s="6" t="n">
        <f aca="false">Sens!D3187-Sens!D3192*(Sens!D3189+Sens!D3191)-Sens!D3190</f>
        <v>8.35701406163072</v>
      </c>
      <c r="E3193" s="6" t="n">
        <f aca="false">Sens!E3187-Sens!E3192*(Sens!E3189+Sens!E3191)-Sens!E3190</f>
        <v>18.7103224860238</v>
      </c>
      <c r="F3193" s="6" t="n">
        <f aca="false">Sens!F3187-Sens!F3192*(Sens!F3189+Sens!F3191)-Sens!F3190</f>
        <v>28.7185759059118</v>
      </c>
      <c r="G3193" s="6" t="n">
        <f aca="false">Sens!G3187-Sens!G3192*(Sens!G3189+Sens!G3191)-Sens!G3190</f>
        <v>34.2188533790547</v>
      </c>
      <c r="H3193" s="6" t="n">
        <f aca="false">Sens!H3187-Sens!H3192*(Sens!H3189+Sens!H3191)-Sens!H3190</f>
        <v>36.5083492215552</v>
      </c>
      <c r="I3193" s="6" t="n">
        <f aca="false">Sens!I3187-Sens!I3192*(Sens!I3189+Sens!I3191)-Sens!I3190</f>
        <v>37.7889168844911</v>
      </c>
      <c r="J3193" s="6" t="n">
        <f aca="false">Sens!J3187-Sens!J3192*(Sens!J3189+Sens!J3191)-Sens!J3190</f>
        <v>39.7228353958639</v>
      </c>
      <c r="K3193" s="6" t="n">
        <f aca="false">Sens!K3187-Sens!K3192*(Sens!K3189+Sens!K3191)-Sens!K3190</f>
        <v>43.5645383846719</v>
      </c>
    </row>
    <row r="3194" customFormat="false" ht="17.15" hidden="false" customHeight="false" outlineLevel="0" collapsed="false">
      <c r="A3194" s="1" t="s">
        <v>841</v>
      </c>
      <c r="B3194" s="0" t="s">
        <v>98</v>
      </c>
      <c r="D3194" s="6" t="n">
        <f aca="false">(1-Sens!D3192)*(Sens!D3189+Sens!D3191)</f>
        <v>1.42281025374069</v>
      </c>
      <c r="E3194" s="6" t="n">
        <f aca="false">(1-Sens!E3192)*(Sens!E3189+Sens!E3191)</f>
        <v>3.25095598674472</v>
      </c>
      <c r="F3194" s="6" t="n">
        <f aca="false">(1-Sens!F3192)*(Sens!F3189+Sens!F3191)</f>
        <v>4.87630092582913</v>
      </c>
      <c r="G3194" s="6" t="n">
        <f aca="false">(1-Sens!G3192)*(Sens!G3189+Sens!G3191)</f>
        <v>5.69040650866783</v>
      </c>
      <c r="H3194" s="6" t="n">
        <f aca="false">(1-Sens!H3192)*(Sens!H3189+Sens!H3191)</f>
        <v>6.09866419440928</v>
      </c>
      <c r="I3194" s="6" t="n">
        <f aca="false">(1-Sens!I3192)*(Sens!I3189+Sens!I3191)</f>
        <v>6.15166806522705</v>
      </c>
      <c r="J3194" s="6" t="n">
        <f aca="false">(1-Sens!J3192)*(Sens!J3189+Sens!J3191)</f>
        <v>6.23171472727838</v>
      </c>
      <c r="K3194" s="6" t="n">
        <f aca="false">(1-Sens!K3192)*(Sens!K3189+Sens!K3191)</f>
        <v>6.39072633973169</v>
      </c>
    </row>
    <row r="3195" customFormat="false" ht="17.15" hidden="false" customHeight="false" outlineLevel="0" collapsed="false">
      <c r="A3195" s="1" t="s">
        <v>842</v>
      </c>
      <c r="B3195" s="0" t="s">
        <v>357</v>
      </c>
      <c r="C3195" s="8" t="n">
        <f aca="false">cxit_open</f>
        <v>27.5918995</v>
      </c>
      <c r="D3195" s="8" t="n">
        <f aca="false">cxit_open</f>
        <v>27.5918995</v>
      </c>
      <c r="E3195" s="8" t="n">
        <f aca="false">cxit_open</f>
        <v>27.5918995</v>
      </c>
      <c r="F3195" s="8" t="n">
        <f aca="false">(a_g3_27*tk_cxit_gb300+(1-a_g3_27)*tk_cxit_vr200)</f>
        <v>33.8419624</v>
      </c>
      <c r="G3195" s="8" t="n">
        <f aca="false">(a_g3_28*tk_cxit_gb300+(1-a_g3_28)*tk_cxit_vr200)</f>
        <v>35.9816136</v>
      </c>
      <c r="H3195" s="8" t="n">
        <f aca="false">(a_g3_29*tk_cxit_gb300+(1-a_g3_29)*tk_cxit_vr200)</f>
        <v>37.0514392</v>
      </c>
      <c r="I3195" s="8" t="n">
        <f aca="false">(a_g3_29*tk_cxit_gb300+(1-a_g3_29)*tk_cxit_vr200)</f>
        <v>37.0514392</v>
      </c>
      <c r="J3195" s="8" t="n">
        <f aca="false">(a_g3_29*tk_cxit_gb300+(1-a_g3_29)*tk_cxit_vr200)</f>
        <v>37.0514392</v>
      </c>
      <c r="K3195" s="8" t="n">
        <f aca="false">(a_g3_29*tk_cxit_gb300+(1-a_g3_29)*tk_cxit_vr200)</f>
        <v>37.0514392</v>
      </c>
      <c r="L3195" s="11" t="s">
        <v>843</v>
      </c>
    </row>
    <row r="3196" customFormat="false" ht="17.15" hidden="false" customHeight="false" outlineLevel="0" collapsed="false">
      <c r="A3196" s="0" t="s">
        <v>844</v>
      </c>
      <c r="B3196" s="0" t="s">
        <v>399</v>
      </c>
      <c r="F3196" s="29" t="n">
        <f aca="false">Sens!C3177*IF(Sens!F3170-Sens!C3170=life_it,1,0)+Sens!D3177*IF(Sens!F3170-Sens!D3170=life_it,1,0)+Sens!E3177*IF(Sens!F3170-Sens!E3170=life_it,1,0)</f>
        <v>0</v>
      </c>
      <c r="G3196" s="29" t="n">
        <f aca="false">Sens!C3177*IF(Sens!G3170-Sens!C3170=life_it,1,0)+Sens!D3177*IF(Sens!G3170-Sens!D3170=life_it,1,0)+Sens!E3177*IF(Sens!G3170-Sens!E3170=life_it,1,0)+Sens!F3177*IF(Sens!G3170-Sens!F3170=life_it,1,0)</f>
        <v>0</v>
      </c>
      <c r="H3196" s="29" t="n">
        <f aca="false">Sens!C3177*IF(Sens!H3170-Sens!C3170=life_it,1,0)+Sens!D3177*IF(Sens!H3170-Sens!D3170=life_it,1,0)+Sens!E3177*IF(Sens!H3170-Sens!E3170=life_it,1,0)+Sens!F3177*IF(Sens!H3170-Sens!F3170=life_it,1,0)+Sens!G3177*IF(Sens!H3170-Sens!G3170=life_it,1,0)</f>
        <v>0</v>
      </c>
      <c r="I3196" s="29" t="n">
        <f aca="false">Sens!C3177*IF(Sens!I3170-Sens!C3170=life_it,1,0)+Sens!D3177*IF(Sens!I3170-Sens!D3170=life_it,1,0)+Sens!E3177*IF(Sens!I3170-Sens!E3170=life_it,1,0)+Sens!F3177*IF(Sens!I3170-Sens!F3170=life_it,1,0)+Sens!G3177*IF(Sens!I3170-Sens!G3170=life_it,1,0)+Sens!H3177*IF(Sens!I3170-Sens!H3170=life_it,1,0)</f>
        <v>816.666666666667</v>
      </c>
      <c r="J3196" s="29" t="n">
        <f aca="false">Sens!C3177*IF(Sens!J3170-Sens!C3170=life_it,1,0)+Sens!D3177*IF(Sens!J3170-Sens!D3170=life_it,1,0)+Sens!E3177*IF(Sens!J3170-Sens!E3170=life_it,1,0)+Sens!F3177*IF(Sens!J3170-Sens!F3170=life_it,1,0)+Sens!G3177*IF(Sens!J3170-Sens!G3170=life_it,1,0)+Sens!H3177*IF(Sens!J3170-Sens!H3170=life_it,1,0)+Sens!I3177*IF(Sens!J3170-Sens!I3170=life_it,1,0)</f>
        <v>1233.33333333333</v>
      </c>
      <c r="K3196" s="29" t="n">
        <f aca="false">Sens!C3177*IF(Sens!K3170-Sens!C3170=life_it,1,0)+Sens!D3177*IF(Sens!K3170-Sens!D3170=life_it,1,0)+Sens!E3177*IF(Sens!K3170-Sens!E3170=life_it,1,0)+Sens!F3177*IF(Sens!K3170-Sens!F3170=life_it,1,0)+Sens!G3177*IF(Sens!K3170-Sens!G3170=life_it,1,0)+Sens!H3177*IF(Sens!K3170-Sens!H3170=life_it,1,0)+Sens!I3177*IF(Sens!K3170-Sens!I3170=life_it,1,0)+Sens!J3177*IF(Sens!K3170-Sens!J3170=life_it,1,0)</f>
        <v>2450</v>
      </c>
      <c r="L3196" s="1" t="s">
        <v>845</v>
      </c>
    </row>
    <row r="3197" customFormat="false" ht="17.15" hidden="false" customHeight="false" outlineLevel="0" collapsed="false">
      <c r="A3197" s="0" t="s">
        <v>846</v>
      </c>
      <c r="B3197" s="0" t="s">
        <v>98</v>
      </c>
      <c r="C3197" s="6" t="n">
        <f aca="false">Sens!C3177*Sens!C3195/1000</f>
        <v>22.5333845916667</v>
      </c>
      <c r="D3197" s="6" t="n">
        <f aca="false">Sens!D3177*Sens!D3195/1000</f>
        <v>34.0300093833333</v>
      </c>
      <c r="E3197" s="6" t="n">
        <f aca="false">Sens!E3177*Sens!E3195/1000</f>
        <v>67.600153775</v>
      </c>
      <c r="F3197" s="6" t="n">
        <f aca="false">(Sens!F3177+Sens!F3196)*Sens!F3195/1000</f>
        <v>25.043052176</v>
      </c>
      <c r="G3197" s="6" t="n">
        <f aca="false">(Sens!G3177+Sens!G3196)*Sens!G3195/1000</f>
        <v>29.145107016</v>
      </c>
      <c r="H3197" s="6" t="n">
        <f aca="false">(Sens!H3177+Sens!H3196)*Sens!H3195/1000</f>
        <v>0</v>
      </c>
      <c r="I3197" s="6" t="n">
        <f aca="false">(Sens!I3177+Sens!I3196)*Sens!I3195/1000</f>
        <v>30.2586753466667</v>
      </c>
      <c r="J3197" s="6" t="n">
        <f aca="false">(Sens!J3177+Sens!J3196)*Sens!J3195/1000</f>
        <v>45.6967750133333</v>
      </c>
      <c r="K3197" s="6" t="n">
        <f aca="false">(Sens!K3177+Sens!K3196)*Sens!K3195/1000</f>
        <v>90.77602604</v>
      </c>
    </row>
    <row r="3198" customFormat="false" ht="17.15" hidden="false" customHeight="false" outlineLevel="0" collapsed="false">
      <c r="A3198" s="0" t="s">
        <v>847</v>
      </c>
      <c r="B3198" s="0" t="s">
        <v>98</v>
      </c>
      <c r="C3198" s="6" t="n">
        <f aca="false">Sens!C3177*self_build*tk_cxfac/1000</f>
        <v>6.2083</v>
      </c>
      <c r="D3198" s="6" t="n">
        <f aca="false">Sens!D3177*self_build*tk_cxfac/1000</f>
        <v>9.3758</v>
      </c>
      <c r="E3198" s="6" t="n">
        <f aca="false">Sens!E3177*self_build*tk_cxfac/1000</f>
        <v>18.6249</v>
      </c>
      <c r="F3198" s="6" t="n">
        <f aca="false">Sens!F3177*self_build*tk_cxfac/1000</f>
        <v>5.62548</v>
      </c>
      <c r="G3198" s="6" t="n">
        <f aca="false">Sens!G3177*self_build*tk_cxfac/1000</f>
        <v>6.15762</v>
      </c>
      <c r="H3198" s="6" t="n">
        <f aca="false">Sens!H3177*self_build*tk_cxfac/1000</f>
        <v>0</v>
      </c>
      <c r="I3198" s="6" t="n">
        <f aca="false">Sens!I3177*self_build*tk_cxfac/1000</f>
        <v>0</v>
      </c>
      <c r="J3198" s="6" t="n">
        <f aca="false">Sens!J3177*self_build*tk_cxfac/1000</f>
        <v>0</v>
      </c>
      <c r="K3198" s="6" t="n">
        <f aca="false">Sens!K3177*self_build*tk_cxfac/1000</f>
        <v>0</v>
      </c>
    </row>
    <row r="3199" customFormat="false" ht="17.15" hidden="false" customHeight="false" outlineLevel="0" collapsed="false">
      <c r="A3199" s="0" t="s">
        <v>848</v>
      </c>
      <c r="B3199" s="0" t="s">
        <v>98</v>
      </c>
      <c r="F3199" s="6" t="n">
        <f aca="false">MAX(0,capex_floor27-Sens!F3197-Sens!F3198-Sens!F3293)</f>
        <v>137.952120594438</v>
      </c>
    </row>
    <row r="3200" customFormat="false" ht="17.15" hidden="false" customHeight="false" outlineLevel="0" collapsed="false">
      <c r="A3200" s="0" t="s">
        <v>849</v>
      </c>
      <c r="B3200" s="0" t="s">
        <v>98</v>
      </c>
      <c r="C3200" s="6" t="n">
        <f aca="false">Sens!C3197</f>
        <v>22.5333845916667</v>
      </c>
      <c r="D3200" s="6" t="n">
        <f aca="false">Sens!D3197</f>
        <v>34.0300093833333</v>
      </c>
      <c r="E3200" s="6" t="n">
        <f aca="false">Sens!E3197</f>
        <v>67.600153775</v>
      </c>
      <c r="F3200" s="6" t="n">
        <f aca="false">Sens!F3197</f>
        <v>25.043052176</v>
      </c>
      <c r="G3200" s="6" t="n">
        <f aca="false">Sens!G3197</f>
        <v>29.145107016</v>
      </c>
      <c r="H3200" s="6" t="n">
        <f aca="false">Sens!H3197</f>
        <v>0</v>
      </c>
      <c r="I3200" s="6" t="n">
        <f aca="false">Sens!I3197</f>
        <v>30.2586753466667</v>
      </c>
      <c r="J3200" s="6" t="n">
        <f aca="false">Sens!J3197</f>
        <v>45.6967750133333</v>
      </c>
      <c r="K3200" s="6" t="n">
        <f aca="false">Sens!K3197</f>
        <v>90.77602604</v>
      </c>
    </row>
    <row r="3201" customFormat="false" ht="17.15" hidden="false" customHeight="false" outlineLevel="0" collapsed="false">
      <c r="A3201" s="0" t="s">
        <v>850</v>
      </c>
      <c r="B3201" s="0" t="s">
        <v>98</v>
      </c>
      <c r="C3201" s="6" t="n">
        <f aca="false">Sens!C3200+Sens!C3198</f>
        <v>28.7416845916667</v>
      </c>
      <c r="D3201" s="6" t="n">
        <f aca="false">Sens!D3200+Sens!D3198</f>
        <v>43.4058093833333</v>
      </c>
      <c r="E3201" s="6" t="n">
        <f aca="false">Sens!E3200+Sens!E3198</f>
        <v>86.225053775</v>
      </c>
      <c r="F3201" s="6" t="n">
        <f aca="false">Sens!F3200+Sens!F3198</f>
        <v>30.668532176</v>
      </c>
      <c r="G3201" s="6" t="n">
        <f aca="false">Sens!G3200+Sens!G3198</f>
        <v>35.302727016</v>
      </c>
      <c r="H3201" s="6" t="n">
        <f aca="false">Sens!H3200+Sens!H3198</f>
        <v>0</v>
      </c>
      <c r="I3201" s="6" t="n">
        <f aca="false">Sens!I3200+Sens!I3198</f>
        <v>30.2586753466667</v>
      </c>
      <c r="J3201" s="6" t="n">
        <f aca="false">Sens!J3200+Sens!J3198</f>
        <v>45.6967750133333</v>
      </c>
      <c r="K3201" s="6" t="n">
        <f aca="false">Sens!K3200+Sens!K3198</f>
        <v>90.77602604</v>
      </c>
      <c r="L3201" s="11" t="s">
        <v>851</v>
      </c>
    </row>
    <row r="3202" customFormat="false" ht="17.15" hidden="false" customHeight="false" outlineLevel="0" collapsed="false">
      <c r="A3202" s="0" t="s">
        <v>852</v>
      </c>
      <c r="B3202" s="0" t="s">
        <v>98</v>
      </c>
      <c r="E3202" s="6" t="n">
        <f aca="false">(Sens!C3200*IF(2&lt;life_it,1,IF(2=life_it,0.5,0))+Sens!D3200*IF(1&lt;life_it,1,IF(1=life_it,0.5,0))+Sens!E3200*0.5)/life_it</f>
        <v>15.0605784770833</v>
      </c>
      <c r="F3202" s="6" t="n">
        <f aca="false">(Sens!C3200*IF(3&lt;life_it,1,IF(3=life_it,0.5,0))+Sens!D3200*IF(2&lt;life_it,1,IF(2=life_it,0.5,0))+Sens!E3200*IF(1&lt;life_it,1,IF(1=life_it,0.5,0))+Sens!F3200*0.5)/life_it</f>
        <v>22.7808456396667</v>
      </c>
      <c r="G3202" s="6" t="n">
        <f aca="false">(Sens!C3200*IF(4&lt;life_it,1,IF(4=life_it,0.5,0))+Sens!D3200*IF(3&lt;life_it,1,IF(3=life_it,0.5,0))+Sens!E3200*IF(2&lt;life_it,1,IF(2=life_it,0.5,0))+Sens!F3200*IF(1&lt;life_it,1,IF(1=life_it,0.5,0))+Sens!G3200*0.5)/life_it</f>
        <v>27.2965255723333</v>
      </c>
      <c r="H3202" s="6" t="n">
        <f aca="false">(Sens!C3200*IF(5&lt;life_it,1,IF(5=life_it,0.5,0))+Sens!D3200*IF(4&lt;life_it,1,IF(4=life_it,0.5,0))+Sens!E3200*IF(3&lt;life_it,1,IF(3=life_it,0.5,0))+Sens!F3200*IF(2&lt;life_it,1,IF(2=life_it,0.5,0))+Sens!G3200*IF(1&lt;life_it,1,IF(1=life_it,0.5,0))+Sens!H3200*0.5)/life_it</f>
        <v>29.7252844903333</v>
      </c>
      <c r="I3202" s="6" t="n">
        <f aca="false">(Sens!C3200*IF(6&lt;life_it,1,IF(6=life_it,0.5,0))+Sens!D3200*IF(5&lt;life_it,1,IF(5=life_it,0.5,0))+Sens!E3200*IF(4&lt;life_it,1,IF(4=life_it,0.5,0))+Sens!F3200*IF(3&lt;life_it,1,IF(3=life_it,0.5,0))+Sens!G3200*IF(2&lt;life_it,1,IF(2=life_it,0.5,0))+Sens!H3200*IF(1&lt;life_it,1,IF(1=life_it,0.5,0))+Sens!I3200*0.5)/life_it</f>
        <v>30.3690587199167</v>
      </c>
      <c r="J3202" s="6" t="n">
        <f aca="false">(Sens!C3200*IF(7&lt;life_it,1,IF(7=life_it,0.5,0))+Sens!D3200*IF(6&lt;life_it,1,IF(6=life_it,0.5,0))+Sens!E3200*IF(5&lt;life_it,1,IF(5=life_it,0.5,0))+Sens!F3200*IF(4&lt;life_it,1,IF(4=life_it,0.5,0))+Sens!G3200*IF(3&lt;life_it,1,IF(3=life_it,0.5,0))+Sens!H3200*IF(2&lt;life_it,1,IF(2=life_it,0.5,0))+Sens!I3200*IF(1&lt;life_it,1,IF(1=life_it,0.5,0))+Sens!J3200*0.5)/life_it</f>
        <v>31.9850634186667</v>
      </c>
      <c r="K3202" s="6" t="n">
        <f aca="false">(Sens!C3200*IF(8&lt;life_it,1,IF(8=life_it,0.5,0))+Sens!D3200*IF(7&lt;life_it,1,IF(7=life_it,0.5,0))+Sens!E3200*IF(6&lt;life_it,1,IF(6=life_it,0.5,0))+Sens!F3200*IF(5&lt;life_it,1,IF(5=life_it,0.5,0))+Sens!G3200*IF(4&lt;life_it,1,IF(4=life_it,0.5,0))+Sens!H3200*IF(3&lt;life_it,1,IF(3=life_it,0.5,0))+Sens!I3200*IF(2&lt;life_it,1,IF(2=life_it,0.5,0))+Sens!J3200*IF(1&lt;life_it,1,IF(1=life_it,0.5,0))+Sens!K3200*0.5)/life_it</f>
        <v>34.8886165765833</v>
      </c>
    </row>
    <row r="3203" customFormat="false" ht="17.15" hidden="false" customHeight="false" outlineLevel="0" collapsed="false">
      <c r="A3203" s="0" t="s">
        <v>853</v>
      </c>
      <c r="B3203" s="0" t="s">
        <v>98</v>
      </c>
      <c r="E3203" s="6" t="n">
        <f aca="false">(Sens!C3198*IF(2&lt;life_fac,1,IF(2=life_fac,0.5,0))+Sens!D3198*IF(1&lt;life_fac,1,IF(1=life_fac,0.5,0))+Sens!E3198*0.5)/life_fac</f>
        <v>1.2448275</v>
      </c>
      <c r="F3203" s="6" t="n">
        <f aca="false">(Sens!C3198*IF(3&lt;life_fac,1,IF(3=life_fac,0.5,0))+Sens!D3198*IF(2&lt;life_fac,1,IF(2=life_fac,0.5,0))+Sens!E3198*IF(1&lt;life_fac,1,IF(1=life_fac,0.5,0))+Sens!F3198*0.5)/life_fac</f>
        <v>1.851087</v>
      </c>
      <c r="G3203" s="6" t="n">
        <f aca="false">(Sens!C3198*IF(4&lt;life_fac,1,IF(4=life_fac,0.5,0))+Sens!D3198*IF(3&lt;life_fac,1,IF(3=life_fac,0.5,0))+Sens!E3198*IF(2&lt;life_fac,1,IF(2=life_fac,0.5,0))+Sens!F3198*IF(1&lt;life_fac,1,IF(1=life_fac,0.5,0))+Sens!G3198*0.5)/life_fac</f>
        <v>2.1456645</v>
      </c>
      <c r="H3203" s="6" t="n">
        <f aca="false">(Sens!C3198*IF(5&lt;life_fac,1,IF(5=life_fac,0.5,0))+Sens!D3198*IF(4&lt;life_fac,1,IF(4=life_fac,0.5,0))+Sens!E3198*IF(3&lt;life_fac,1,IF(3=life_fac,0.5,0))+Sens!F3198*IF(2&lt;life_fac,1,IF(2=life_fac,0.5,0))+Sens!G3198*IF(1&lt;life_fac,1,IF(1=life_fac,0.5,0))+Sens!H3198*0.5)/life_fac</f>
        <v>2.299605</v>
      </c>
      <c r="I3203" s="6" t="n">
        <f aca="false">(Sens!C3198*IF(6&lt;life_fac,1,IF(6=life_fac,0.5,0))+Sens!D3198*IF(5&lt;life_fac,1,IF(5=life_fac,0.5,0))+Sens!E3198*IF(4&lt;life_fac,1,IF(4=life_fac,0.5,0))+Sens!F3198*IF(3&lt;life_fac,1,IF(3=life_fac,0.5,0))+Sens!G3198*IF(2&lt;life_fac,1,IF(2=life_fac,0.5,0))+Sens!H3198*IF(1&lt;life_fac,1,IF(1=life_fac,0.5,0))+Sens!I3198*0.5)/life_fac</f>
        <v>2.299605</v>
      </c>
      <c r="J3203" s="6" t="n">
        <f aca="false">(Sens!C3198*IF(7&lt;life_fac,1,IF(7=life_fac,0.5,0))+Sens!D3198*IF(6&lt;life_fac,1,IF(6=life_fac,0.5,0))+Sens!E3198*IF(5&lt;life_fac,1,IF(5=life_fac,0.5,0))+Sens!F3198*IF(4&lt;life_fac,1,IF(4=life_fac,0.5,0))+Sens!G3198*IF(3&lt;life_fac,1,IF(3=life_fac,0.5,0))+Sens!H3198*IF(2&lt;life_fac,1,IF(2=life_fac,0.5,0))+Sens!I3198*IF(1&lt;life_fac,1,IF(1=life_fac,0.5,0))+Sens!J3198*0.5)/life_fac</f>
        <v>2.299605</v>
      </c>
      <c r="K3203" s="6" t="n">
        <f aca="false">(Sens!C3198*IF(8&lt;life_fac,1,IF(8=life_fac,0.5,0))+Sens!D3198*IF(7&lt;life_fac,1,IF(7=life_fac,0.5,0))+Sens!E3198*IF(6&lt;life_fac,1,IF(6=life_fac,0.5,0))+Sens!F3198*IF(5&lt;life_fac,1,IF(5=life_fac,0.5,0))+Sens!G3198*IF(4&lt;life_fac,1,IF(4=life_fac,0.5,0))+Sens!H3198*IF(3&lt;life_fac,1,IF(3=life_fac,0.5,0))+Sens!I3198*IF(2&lt;life_fac,1,IF(2=life_fac,0.5,0))+Sens!J3198*IF(1&lt;life_fac,1,IF(1=life_fac,0.5,0))+Sens!K3198*0.5)/life_fac</f>
        <v>2.299605</v>
      </c>
    </row>
    <row r="3204" customFormat="false" ht="17.15" hidden="false" customHeight="false" outlineLevel="0" collapsed="false">
      <c r="A3204" s="0" t="s">
        <v>854</v>
      </c>
      <c r="B3204" s="0" t="s">
        <v>98</v>
      </c>
      <c r="E3204" s="6" t="n">
        <f aca="false">Sens!E3202+Sens!E3203</f>
        <v>16.3054059770833</v>
      </c>
      <c r="F3204" s="6" t="n">
        <f aca="false">Sens!F3202+Sens!F3203</f>
        <v>24.6319326396667</v>
      </c>
      <c r="G3204" s="6" t="n">
        <f aca="false">Sens!G3202+Sens!G3203</f>
        <v>29.4421900723333</v>
      </c>
      <c r="H3204" s="6" t="n">
        <f aca="false">Sens!H3202+Sens!H3203</f>
        <v>32.0248894903333</v>
      </c>
      <c r="I3204" s="6" t="n">
        <f aca="false">Sens!I3202+Sens!I3203</f>
        <v>32.6686637199167</v>
      </c>
      <c r="J3204" s="6" t="n">
        <f aca="false">Sens!J3202+Sens!J3203</f>
        <v>34.2846684186667</v>
      </c>
      <c r="K3204" s="6" t="n">
        <f aca="false">Sens!K3202+Sens!K3203</f>
        <v>37.1882215765833</v>
      </c>
    </row>
    <row r="3205" customFormat="false" ht="17.15" hidden="false" customHeight="false" outlineLevel="0" collapsed="false">
      <c r="A3205" s="0" t="s">
        <v>855</v>
      </c>
      <c r="B3205" s="0" t="s">
        <v>98</v>
      </c>
      <c r="E3205" s="6" t="n">
        <f aca="false">Sens!E3193-Sens!E3192*Sens!E3204</f>
        <v>8.92707889977379</v>
      </c>
      <c r="F3205" s="6" t="n">
        <f aca="false">Sens!F3193-Sens!F3192*Sens!F3204</f>
        <v>13.9394163221118</v>
      </c>
      <c r="G3205" s="6" t="n">
        <f aca="false">Sens!G3193-Sens!G3192*Sens!G3204</f>
        <v>16.5535393356547</v>
      </c>
      <c r="H3205" s="6" t="n">
        <f aca="false">Sens!H3193-Sens!H3192*Sens!H3204</f>
        <v>17.2934155273552</v>
      </c>
      <c r="I3205" s="6" t="n">
        <f aca="false">Sens!I3193-Sens!I3192*Sens!I3204</f>
        <v>18.1877186525411</v>
      </c>
      <c r="J3205" s="6" t="n">
        <f aca="false">Sens!J3193-Sens!J3192*Sens!J3204</f>
        <v>19.1520343446639</v>
      </c>
      <c r="K3205" s="6" t="n">
        <f aca="false">Sens!K3193-Sens!K3192*Sens!K3204</f>
        <v>21.2516054387219</v>
      </c>
    </row>
    <row r="3206" customFormat="false" ht="17.15" hidden="false" customHeight="false" outlineLevel="0" collapsed="false">
      <c r="A3206" s="3" t="s">
        <v>1343</v>
      </c>
    </row>
    <row r="3207" customFormat="false" ht="15" hidden="false" customHeight="false" outlineLevel="0" collapsed="false">
      <c r="A3207" s="4" t="s">
        <v>43</v>
      </c>
      <c r="B3207" s="4" t="s">
        <v>65</v>
      </c>
      <c r="C3207" s="20" t="s">
        <v>799</v>
      </c>
      <c r="D3207" s="20" t="s">
        <v>800</v>
      </c>
      <c r="E3207" s="20" t="s">
        <v>801</v>
      </c>
      <c r="F3207" s="20" t="s">
        <v>802</v>
      </c>
      <c r="G3207" s="20" t="s">
        <v>803</v>
      </c>
      <c r="H3207" s="20" t="s">
        <v>804</v>
      </c>
      <c r="I3207" s="20" t="s">
        <v>805</v>
      </c>
      <c r="J3207" s="20" t="s">
        <v>806</v>
      </c>
      <c r="K3207" s="20" t="s">
        <v>807</v>
      </c>
      <c r="L3207" s="4" t="s">
        <v>47</v>
      </c>
    </row>
    <row r="3208" customFormat="false" ht="17.15" hidden="false" customHeight="false" outlineLevel="0" collapsed="false">
      <c r="A3208" s="0" t="s">
        <v>874</v>
      </c>
      <c r="B3208" s="0" t="s">
        <v>98</v>
      </c>
      <c r="D3208" s="6" t="n">
        <f aca="false">Sens!D3187</f>
        <v>12.9359794422418</v>
      </c>
      <c r="E3208" s="6" t="n">
        <f aca="false">Sens!E3187</f>
        <v>27.8095064661409</v>
      </c>
      <c r="F3208" s="6" t="n">
        <f aca="false">Sens!F3187</f>
        <v>41.8381972946555</v>
      </c>
      <c r="G3208" s="6" t="n">
        <f aca="false">Sens!G3187</f>
        <v>49.4753031420564</v>
      </c>
      <c r="H3208" s="6" t="n">
        <f aca="false">Sens!H3187</f>
        <v>52.3771855131691</v>
      </c>
      <c r="I3208" s="6" t="n">
        <f aca="false">Sens!I3187</f>
        <v>53.7372589823317</v>
      </c>
      <c r="J3208" s="6" t="n">
        <f aca="false">Sens!J3187</f>
        <v>55.7912474867814</v>
      </c>
      <c r="K3208" s="6" t="n">
        <f aca="false">Sens!K3187</f>
        <v>59.8714678942694</v>
      </c>
    </row>
    <row r="3209" customFormat="false" ht="17.15" hidden="false" customHeight="false" outlineLevel="0" collapsed="false">
      <c r="A3209" s="0" t="s">
        <v>875</v>
      </c>
      <c r="B3209" s="0" t="s">
        <v>98</v>
      </c>
      <c r="D3209" s="6" t="n">
        <f aca="false">Q!L6-Sens!D3208</f>
        <v>59.6740205577583</v>
      </c>
      <c r="E3209" s="6" t="n">
        <f aca="false">Q!M6-Sens!E3208</f>
        <v>74.1284935338591</v>
      </c>
      <c r="F3209" s="6" t="n">
        <f aca="false">Sens!E3209*(1+Sens!F3210)</f>
        <v>90.0799497373663</v>
      </c>
      <c r="G3209" s="6" t="n">
        <f aca="false">Sens!F3209*(1+Sens!G3210)</f>
        <v>107.02842520331</v>
      </c>
      <c r="H3209" s="6" t="n">
        <f aca="false">Sens!G3209*(1+Sens!H3210)</f>
        <v>124.271982585636</v>
      </c>
      <c r="I3209" s="6" t="n">
        <f aca="false">Sens!H3209*(1+Sens!I3210)</f>
        <v>140.933702381855</v>
      </c>
      <c r="J3209" s="6" t="n">
        <f aca="false">Sens!I3209*(1+Sens!J3210)</f>
        <v>156.018867314332</v>
      </c>
      <c r="K3209" s="6" t="n">
        <f aca="false">Sens!J3209*(1+Sens!K3210)</f>
        <v>168.500376699478</v>
      </c>
    </row>
    <row r="3210" customFormat="false" ht="15" hidden="false" customHeight="false" outlineLevel="0" collapsed="false">
      <c r="A3210" s="1" t="s">
        <v>876</v>
      </c>
      <c r="B3210" s="0" t="s">
        <v>129</v>
      </c>
      <c r="E3210" s="7" t="n">
        <f aca="false">Sens!E3209/Sens!D3209-1</f>
        <v>0.242223883039864</v>
      </c>
      <c r="F3210" s="7" t="n">
        <f aca="false">Sens!$E$3210+(glt_azo-Sens!$E$3210)*MIN(1,(Sens!F3170-base_fy)/n_conv)</f>
        <v>0.215186569199887</v>
      </c>
      <c r="G3210" s="7" t="n">
        <f aca="false">Sens!$E$3210+(glt_azo-Sens!$E$3210)*MIN(1,(Sens!G3170-base_fy)/n_conv)</f>
        <v>0.18814925535991</v>
      </c>
      <c r="H3210" s="7" t="n">
        <f aca="false">Sens!$E$3210+(glt_azo-Sens!$E$3210)*MIN(1,(Sens!H3170-base_fy)/n_conv)</f>
        <v>0.161111941519932</v>
      </c>
      <c r="I3210" s="7" t="n">
        <f aca="false">Sens!$E$3210+(glt_azo-Sens!$E$3210)*MIN(1,(Sens!I3170-base_fy)/n_conv)</f>
        <v>0.134074627679955</v>
      </c>
      <c r="J3210" s="7" t="n">
        <f aca="false">Sens!$E$3210+(glt_azo-Sens!$E$3210)*MIN(1,(Sens!J3170-base_fy)/n_conv)</f>
        <v>0.107037313839977</v>
      </c>
      <c r="K3210" s="7" t="n">
        <f aca="false">Sens!$E$3210+(glt_azo-Sens!$E$3210)*MIN(1,(Sens!K3170-base_fy)/n_conv)</f>
        <v>0.08</v>
      </c>
    </row>
    <row r="3211" customFormat="false" ht="15" hidden="false" customHeight="false" outlineLevel="0" collapsed="false">
      <c r="A3211" s="0" t="s">
        <v>877</v>
      </c>
      <c r="B3211" s="0" t="s">
        <v>98</v>
      </c>
      <c r="D3211" s="6" t="n">
        <f aca="false">Sens!D3208+Sens!D3209</f>
        <v>72.61</v>
      </c>
      <c r="E3211" s="6" t="n">
        <f aca="false">Sens!E3208+Sens!E3209</f>
        <v>101.938</v>
      </c>
      <c r="F3211" s="6" t="n">
        <f aca="false">Sens!F3208+Sens!F3209</f>
        <v>131.918147032022</v>
      </c>
      <c r="G3211" s="6" t="n">
        <f aca="false">Sens!G3208+Sens!G3209</f>
        <v>156.503728345366</v>
      </c>
      <c r="H3211" s="6" t="n">
        <f aca="false">Sens!H3208+Sens!H3209</f>
        <v>176.649168098805</v>
      </c>
      <c r="I3211" s="6" t="n">
        <f aca="false">Sens!I3208+Sens!I3209</f>
        <v>194.670961364187</v>
      </c>
      <c r="J3211" s="6" t="n">
        <f aca="false">Sens!J3208+Sens!J3209</f>
        <v>211.810114801113</v>
      </c>
      <c r="K3211" s="6" t="n">
        <f aca="false">Sens!K3208+Sens!K3209</f>
        <v>228.371844593747</v>
      </c>
    </row>
    <row r="3212" customFormat="false" ht="17.15" hidden="false" customHeight="false" outlineLevel="0" collapsed="false">
      <c r="A3212" s="0" t="s">
        <v>878</v>
      </c>
      <c r="B3212" s="1" t="s">
        <v>528</v>
      </c>
      <c r="C3212" s="29" t="n">
        <f aca="false">cop_s24</f>
        <v>1</v>
      </c>
      <c r="D3212" s="29" t="n">
        <f aca="false">cop_s25</f>
        <v>5</v>
      </c>
      <c r="E3212" s="29" t="n">
        <f aca="false">cop_s26</f>
        <v>30</v>
      </c>
      <c r="F3212" s="29" t="n">
        <f aca="false">Sens!E3212+cop_add_B</f>
        <v>50</v>
      </c>
      <c r="G3212" s="29" t="n">
        <f aca="false">Sens!F3212+cop_add_B</f>
        <v>70</v>
      </c>
      <c r="H3212" s="29" t="n">
        <f aca="false">Sens!G3212+cop_add_B</f>
        <v>90</v>
      </c>
      <c r="I3212" s="29" t="n">
        <f aca="false">Sens!H3212+cop_add_B*cop_tail</f>
        <v>100</v>
      </c>
      <c r="J3212" s="29" t="n">
        <f aca="false">Sens!I3212+cop_add_B*cop_tail</f>
        <v>110</v>
      </c>
      <c r="K3212" s="29" t="n">
        <f aca="false">Sens!J3212+cop_add_B*cop_tail</f>
        <v>120</v>
      </c>
      <c r="L3212" s="11" t="s">
        <v>879</v>
      </c>
    </row>
    <row r="3213" customFormat="false" ht="17.15" hidden="false" customHeight="false" outlineLevel="0" collapsed="false">
      <c r="A3213" s="0" t="s">
        <v>880</v>
      </c>
      <c r="B3213" s="0" t="s">
        <v>98</v>
      </c>
      <c r="D3213" s="6" t="n">
        <f aca="false">(Sens!C3212+Sens!D3212)/2*cop_px*12/1000</f>
        <v>0.9</v>
      </c>
      <c r="E3213" s="6" t="n">
        <f aca="false">(Sens!D3212+Sens!E3212)/2*cop_px*12/1000</f>
        <v>5.25</v>
      </c>
      <c r="F3213" s="6" t="n">
        <f aca="false">(Sens!E3212+Sens!F3212)/2*cop_px*12/1000</f>
        <v>12</v>
      </c>
      <c r="G3213" s="6" t="n">
        <f aca="false">(Sens!F3212+Sens!G3212)/2*cop_px*12/1000</f>
        <v>18</v>
      </c>
      <c r="H3213" s="6" t="n">
        <f aca="false">(Sens!G3212+Sens!H3212)/2*cop_px*12/1000</f>
        <v>24</v>
      </c>
      <c r="I3213" s="6" t="n">
        <f aca="false">(Sens!H3212+Sens!I3212)/2*cop_px*12/1000</f>
        <v>28.5</v>
      </c>
      <c r="J3213" s="6" t="n">
        <f aca="false">(Sens!I3212+Sens!J3212)/2*cop_px*12/1000</f>
        <v>31.5</v>
      </c>
      <c r="K3213" s="6" t="n">
        <f aca="false">(Sens!J3212+Sens!K3212)/2*cop_px*12/1000</f>
        <v>34.5</v>
      </c>
      <c r="L3213" s="1" t="s">
        <v>881</v>
      </c>
    </row>
    <row r="3214" customFormat="false" ht="17.15" hidden="false" customHeight="false" outlineLevel="0" collapsed="false">
      <c r="A3214" s="0" t="s">
        <v>882</v>
      </c>
      <c r="B3214" s="0" t="s">
        <v>98</v>
      </c>
      <c r="D3214" s="6" t="n">
        <f aca="false">Q!L7-Sens!D3213</f>
        <v>83.705</v>
      </c>
      <c r="E3214" s="6" t="n">
        <f aca="false">Q!M7-Sens!E3213</f>
        <v>95.049</v>
      </c>
      <c r="F3214" s="6" t="n">
        <f aca="false">Sens!E3214*(1+Sens!F3215)</f>
        <v>106.89238776686</v>
      </c>
      <c r="G3214" s="6" t="n">
        <f aca="false">Sens!F3214*(1+Sens!G3215)</f>
        <v>119.044168448684</v>
      </c>
      <c r="H3214" s="6" t="n">
        <f aca="false">Sens!G3214*(1+Sens!H3215)</f>
        <v>131.277359388781</v>
      </c>
      <c r="I3214" s="6" t="n">
        <f aca="false">Sens!H3214*(1+Sens!I3215)</f>
        <v>143.334028071957</v>
      </c>
      <c r="J3214" s="6" t="n">
        <f aca="false">Sens!I3214*(1+Sens!J3215)</f>
        <v>154.932702785465</v>
      </c>
      <c r="K3214" s="6" t="n">
        <f aca="false">Sens!J3214*(1+Sens!K3215)</f>
        <v>165.777991980448</v>
      </c>
    </row>
    <row r="3215" customFormat="false" ht="15" hidden="false" customHeight="false" outlineLevel="0" collapsed="false">
      <c r="A3215" s="1" t="s">
        <v>876</v>
      </c>
      <c r="B3215" s="0" t="s">
        <v>129</v>
      </c>
      <c r="E3215" s="7" t="n">
        <f aca="false">Sens!E3214/Sens!D3214-1</f>
        <v>0.135523564900544</v>
      </c>
      <c r="F3215" s="7" t="n">
        <f aca="false">Sens!$E$3215+(glt_m365b-Sens!$E$3215)*MIN(1,(Sens!F3170-base_fy)/n_conv)</f>
        <v>0.124602970750453</v>
      </c>
      <c r="G3215" s="7" t="n">
        <f aca="false">Sens!$E$3215+(glt_m365b-Sens!$E$3215)*MIN(1,(Sens!G3170-base_fy)/n_conv)</f>
        <v>0.113682376600363</v>
      </c>
      <c r="H3215" s="7" t="n">
        <f aca="false">Sens!$E$3215+(glt_m365b-Sens!$E$3215)*MIN(1,(Sens!H3170-base_fy)/n_conv)</f>
        <v>0.102761782450272</v>
      </c>
      <c r="I3215" s="7" t="n">
        <f aca="false">Sens!$E$3215+(glt_m365b-Sens!$E$3215)*MIN(1,(Sens!I3170-base_fy)/n_conv)</f>
        <v>0.0918411883001813</v>
      </c>
      <c r="J3215" s="7" t="n">
        <f aca="false">Sens!$E$3215+(glt_m365b-Sens!$E$3215)*MIN(1,(Sens!J3170-base_fy)/n_conv)</f>
        <v>0.0809205941500906</v>
      </c>
      <c r="K3215" s="7" t="n">
        <f aca="false">Sens!$E$3215+(glt_m365b-Sens!$E$3215)*MIN(1,(Sens!K3170-base_fy)/n_conv)</f>
        <v>0.07</v>
      </c>
    </row>
    <row r="3216" customFormat="false" ht="15" hidden="false" customHeight="false" outlineLevel="0" collapsed="false">
      <c r="A3216" s="0" t="s">
        <v>883</v>
      </c>
      <c r="B3216" s="0" t="s">
        <v>98</v>
      </c>
      <c r="D3216" s="6" t="n">
        <f aca="false">Sens!D3214+Sens!D3213</f>
        <v>84.605</v>
      </c>
      <c r="E3216" s="6" t="n">
        <f aca="false">Sens!E3214+Sens!E3213</f>
        <v>100.299</v>
      </c>
      <c r="F3216" s="6" t="n">
        <f aca="false">Sens!F3214+Sens!F3213</f>
        <v>118.89238776686</v>
      </c>
      <c r="G3216" s="6" t="n">
        <f aca="false">Sens!G3214+Sens!G3213</f>
        <v>137.044168448684</v>
      </c>
      <c r="H3216" s="6" t="n">
        <f aca="false">Sens!H3214+Sens!H3213</f>
        <v>155.277359388781</v>
      </c>
      <c r="I3216" s="6" t="n">
        <f aca="false">Sens!I3214+Sens!I3213</f>
        <v>171.834028071957</v>
      </c>
      <c r="J3216" s="6" t="n">
        <f aca="false">Sens!J3214+Sens!J3213</f>
        <v>186.432702785465</v>
      </c>
      <c r="K3216" s="6" t="n">
        <f aca="false">Sens!K3214+Sens!K3213</f>
        <v>200.277991980448</v>
      </c>
    </row>
    <row r="3217" customFormat="false" ht="15" hidden="false" customHeight="false" outlineLevel="0" collapsed="false">
      <c r="A3217" s="0" t="s">
        <v>884</v>
      </c>
      <c r="B3217" s="0" t="s">
        <v>98</v>
      </c>
      <c r="D3217" s="6" t="n">
        <f aca="false">Q!L8</f>
        <v>35.391</v>
      </c>
      <c r="E3217" s="6" t="n">
        <f aca="false">Q!M8</f>
        <v>37.285</v>
      </c>
      <c r="F3217" s="6" t="n">
        <f aca="false">Sens!E3217*(1+Sens!F3218)</f>
        <v>39.0720834331704</v>
      </c>
      <c r="G3217" s="6" t="n">
        <f aca="false">Sens!F3217*(1+Sens!G3218)</f>
        <v>40.726562953769</v>
      </c>
      <c r="H3217" s="6" t="n">
        <f aca="false">Sens!G3217*(1+Sens!H3218)</f>
        <v>42.2235987259198</v>
      </c>
      <c r="I3217" s="6" t="n">
        <f aca="false">Sens!H3217*(1+Sens!I3218)</f>
        <v>43.5397988077414</v>
      </c>
      <c r="J3217" s="6" t="n">
        <f aca="false">Sens!I3217*(1+Sens!J3218)</f>
        <v>44.653811225693</v>
      </c>
      <c r="K3217" s="6" t="n">
        <f aca="false">Sens!J3217*(1+Sens!K3218)</f>
        <v>45.5468874502068</v>
      </c>
    </row>
    <row r="3218" customFormat="false" ht="15" hidden="false" customHeight="false" outlineLevel="0" collapsed="false">
      <c r="A3218" s="1" t="s">
        <v>876</v>
      </c>
      <c r="B3218" s="0" t="s">
        <v>129</v>
      </c>
      <c r="E3218" s="7" t="n">
        <f aca="false">Sens!E3217/Sens!D3217-1</f>
        <v>0.0535164307309768</v>
      </c>
      <c r="F3218" s="7" t="n">
        <f aca="false">Sens!$E$3218+(glt_lic-Sens!$E$3218)*MIN(1,(Sens!F3170-base_fy)/n_conv)</f>
        <v>0.0479303589424807</v>
      </c>
      <c r="G3218" s="7" t="n">
        <f aca="false">Sens!$E$3218+(glt_lic-Sens!$E$3218)*MIN(1,(Sens!G3170-base_fy)/n_conv)</f>
        <v>0.0423442871539845</v>
      </c>
      <c r="H3218" s="7" t="n">
        <f aca="false">Sens!$E$3218+(glt_lic-Sens!$E$3218)*MIN(1,(Sens!H3170-base_fy)/n_conv)</f>
        <v>0.0367582153654884</v>
      </c>
      <c r="I3218" s="7" t="n">
        <f aca="false">Sens!$E$3218+(glt_lic-Sens!$E$3218)*MIN(1,(Sens!I3170-base_fy)/n_conv)</f>
        <v>0.0311721435769923</v>
      </c>
      <c r="J3218" s="7" t="n">
        <f aca="false">Sens!$E$3218+(glt_lic-Sens!$E$3218)*MIN(1,(Sens!J3170-base_fy)/n_conv)</f>
        <v>0.0255860717884961</v>
      </c>
      <c r="K3218" s="7" t="n">
        <f aca="false">Sens!$E$3218+(glt_lic-Sens!$E$3218)*MIN(1,(Sens!K3170-base_fy)/n_conv)</f>
        <v>0.02</v>
      </c>
    </row>
    <row r="3219" customFormat="false" ht="15" hidden="false" customHeight="false" outlineLevel="0" collapsed="false">
      <c r="A3219" s="0" t="s">
        <v>885</v>
      </c>
      <c r="B3219" s="0" t="s">
        <v>98</v>
      </c>
      <c r="D3219" s="6" t="n">
        <f aca="false">Q!L9</f>
        <v>18.417</v>
      </c>
      <c r="E3219" s="6" t="n">
        <f aca="false">Q!M9</f>
        <v>20.345</v>
      </c>
      <c r="F3219" s="6" t="n">
        <f aca="false">Sens!E3219*(1+Sens!F3220)</f>
        <v>22.3572203267814</v>
      </c>
      <c r="G3219" s="6" t="n">
        <f aca="false">Sens!F3219*(1+Sens!G3220)</f>
        <v>24.4392124437232</v>
      </c>
      <c r="H3219" s="6" t="n">
        <f aca="false">Sens!G3219*(1+Sens!H3220)</f>
        <v>26.5738052080665</v>
      </c>
      <c r="I3219" s="6" t="n">
        <f aca="false">Sens!H3219*(1+Sens!I3220)</f>
        <v>28.7412169166967</v>
      </c>
      <c r="J3219" s="6" t="n">
        <f aca="false">Sens!I3219*(1+Sens!J3220)</f>
        <v>30.9192545395413</v>
      </c>
      <c r="K3219" s="6" t="n">
        <f aca="false">Sens!J3219*(1+Sens!K3220)</f>
        <v>33.0836023573092</v>
      </c>
    </row>
    <row r="3220" customFormat="false" ht="15" hidden="false" customHeight="false" outlineLevel="0" collapsed="false">
      <c r="A3220" s="1" t="s">
        <v>876</v>
      </c>
      <c r="B3220" s="0" t="s">
        <v>129</v>
      </c>
      <c r="E3220" s="7" t="n">
        <f aca="false">Sens!E3219/Sens!D3219-1</f>
        <v>0.104685888038225</v>
      </c>
      <c r="F3220" s="7" t="n">
        <f aca="false">Sens!$E$3220+(glt_ind-Sens!$E$3220)*MIN(1,(Sens!F3170-base_fy)/n_conv)</f>
        <v>0.0989049066985211</v>
      </c>
      <c r="G3220" s="7" t="n">
        <f aca="false">Sens!$E$3220+(glt_ind-Sens!$E$3220)*MIN(1,(Sens!G3170-base_fy)/n_conv)</f>
        <v>0.0931239253588169</v>
      </c>
      <c r="H3220" s="7" t="n">
        <f aca="false">Sens!$E$3220+(glt_ind-Sens!$E$3220)*MIN(1,(Sens!H3170-base_fy)/n_conv)</f>
        <v>0.0873429440191127</v>
      </c>
      <c r="I3220" s="7" t="n">
        <f aca="false">Sens!$E$3220+(glt_ind-Sens!$E$3220)*MIN(1,(Sens!I3170-base_fy)/n_conv)</f>
        <v>0.0815619626794085</v>
      </c>
      <c r="J3220" s="7" t="n">
        <f aca="false">Sens!$E$3220+(glt_ind-Sens!$E$3220)*MIN(1,(Sens!J3170-base_fy)/n_conv)</f>
        <v>0.0757809813397042</v>
      </c>
      <c r="K3220" s="7" t="n">
        <f aca="false">Sens!$E$3220+(glt_ind-Sens!$E$3220)*MIN(1,(Sens!K3170-base_fy)/n_conv)</f>
        <v>0.07</v>
      </c>
    </row>
    <row r="3221" customFormat="false" ht="15" hidden="false" customHeight="false" outlineLevel="0" collapsed="false">
      <c r="A3221" s="0" t="s">
        <v>886</v>
      </c>
      <c r="B3221" s="0" t="s">
        <v>98</v>
      </c>
      <c r="D3221" s="6" t="n">
        <f aca="false">Q!L10</f>
        <v>7.76</v>
      </c>
      <c r="E3221" s="6" t="n">
        <f aca="false">Q!M10</f>
        <v>8.26</v>
      </c>
      <c r="F3221" s="6" t="n">
        <f aca="false">Sens!E3221*(1+Sens!F3222)</f>
        <v>8.79988041237113</v>
      </c>
      <c r="G3221" s="6" t="n">
        <f aca="false">Sens!F3221*(1+Sens!G3222)</f>
        <v>9.38321269125306</v>
      </c>
      <c r="H3221" s="6" t="n">
        <f aca="false">Sens!G3221*(1+Sens!H3222)</f>
        <v>10.0139193587476</v>
      </c>
      <c r="I3221" s="6" t="n">
        <f aca="false">Sens!H3221*(1+Sens!I3222)</f>
        <v>10.6963111830911</v>
      </c>
      <c r="J3221" s="6" t="n">
        <f aca="false">Sens!I3221*(1+Sens!J3222)</f>
        <v>11.4351285534696</v>
      </c>
      <c r="K3221" s="6" t="n">
        <f aca="false">Sens!J3221*(1+Sens!K3222)</f>
        <v>12.2355875522124</v>
      </c>
    </row>
    <row r="3222" customFormat="false" ht="15" hidden="false" customHeight="false" outlineLevel="0" collapsed="false">
      <c r="A3222" s="1" t="s">
        <v>876</v>
      </c>
      <c r="B3222" s="0" t="s">
        <v>129</v>
      </c>
      <c r="E3222" s="7" t="n">
        <f aca="false">Sens!E3221/Sens!D3221-1</f>
        <v>0.0644329896907216</v>
      </c>
      <c r="F3222" s="7" t="n">
        <f aca="false">Sens!$E$3222+(glt_fro-Sens!$E$3222)*MIN(1,(Sens!F3170-base_fy)/n_conv)</f>
        <v>0.065360824742268</v>
      </c>
      <c r="G3222" s="7" t="n">
        <f aca="false">Sens!$E$3222+(glt_fro-Sens!$E$3222)*MIN(1,(Sens!G3170-base_fy)/n_conv)</f>
        <v>0.0662886597938144</v>
      </c>
      <c r="H3222" s="7" t="n">
        <f aca="false">Sens!$E$3222+(glt_fro-Sens!$E$3222)*MIN(1,(Sens!H3170-base_fy)/n_conv)</f>
        <v>0.0672164948453608</v>
      </c>
      <c r="I3222" s="7" t="n">
        <f aca="false">Sens!$E$3222+(glt_fro-Sens!$E$3222)*MIN(1,(Sens!I3170-base_fy)/n_conv)</f>
        <v>0.0681443298969072</v>
      </c>
      <c r="J3222" s="7" t="n">
        <f aca="false">Sens!$E$3222+(glt_fro-Sens!$E$3222)*MIN(1,(Sens!J3170-base_fy)/n_conv)</f>
        <v>0.0690721649484536</v>
      </c>
      <c r="K3222" s="7" t="n">
        <f aca="false">Sens!$E$3222+(glt_fro-Sens!$E$3222)*MIN(1,(Sens!K3170-base_fy)/n_conv)</f>
        <v>0.07</v>
      </c>
    </row>
    <row r="3223" customFormat="false" ht="15" hidden="false" customHeight="false" outlineLevel="0" collapsed="false">
      <c r="A3223" s="0" t="s">
        <v>715</v>
      </c>
      <c r="B3223" s="0" t="s">
        <v>98</v>
      </c>
      <c r="D3223" s="6" t="n">
        <f aca="false">Sens!D3211+Sens!D3216+Sens!D3217+Sens!D3219+Sens!D3221</f>
        <v>218.783</v>
      </c>
      <c r="E3223" s="6" t="n">
        <f aca="false">Sens!E3211+Sens!E3216+Sens!E3217+Sens!E3219+Sens!E3221</f>
        <v>268.127</v>
      </c>
      <c r="F3223" s="6" t="n">
        <f aca="false">Sens!F3211+Sens!F3216+Sens!F3217+Sens!F3219+Sens!F3221</f>
        <v>321.039718971205</v>
      </c>
      <c r="G3223" s="6" t="n">
        <f aca="false">Sens!G3211+Sens!G3216+Sens!G3217+Sens!G3219+Sens!G3221</f>
        <v>368.096884882795</v>
      </c>
      <c r="H3223" s="6" t="n">
        <f aca="false">Sens!H3211+Sens!H3216+Sens!H3217+Sens!H3219+Sens!H3221</f>
        <v>410.73785078032</v>
      </c>
      <c r="I3223" s="6" t="n">
        <f aca="false">Sens!I3211+Sens!I3216+Sens!I3217+Sens!I3219+Sens!I3221</f>
        <v>449.482316343673</v>
      </c>
      <c r="J3223" s="6" t="n">
        <f aca="false">Sens!J3211+Sens!J3216+Sens!J3217+Sens!J3219+Sens!J3221</f>
        <v>485.251011905282</v>
      </c>
      <c r="K3223" s="6" t="n">
        <f aca="false">Sens!K3211+Sens!K3216+Sens!K3217+Sens!K3219+Sens!K3221</f>
        <v>519.515913933924</v>
      </c>
    </row>
    <row r="3224" customFormat="false" ht="15" hidden="false" customHeight="false" outlineLevel="0" collapsed="false">
      <c r="A3224" s="0" t="s">
        <v>887</v>
      </c>
      <c r="B3224" s="0" t="s">
        <v>98</v>
      </c>
      <c r="D3224" s="6" t="n">
        <f aca="false">Q!L13</f>
        <v>22.171</v>
      </c>
      <c r="E3224" s="6" t="n">
        <f aca="false">Q!M13</f>
        <v>24.835</v>
      </c>
      <c r="F3224" s="6" t="n">
        <f aca="false">Sens!E3224*(1+Sens!F3225)</f>
        <v>27.6114901218559</v>
      </c>
      <c r="G3224" s="6" t="n">
        <f aca="false">Sens!F3224*(1+Sens!G3225)</f>
        <v>30.4675667338515</v>
      </c>
      <c r="H3224" s="6" t="n">
        <f aca="false">Sens!G3224*(1+Sens!H3225)</f>
        <v>33.3643766955789</v>
      </c>
      <c r="I3224" s="6" t="n">
        <f aca="false">Sens!H3224*(1+Sens!I3225)</f>
        <v>36.2577016533691</v>
      </c>
      <c r="J3224" s="6" t="n">
        <f aca="false">Sens!I3224*(1+Sens!J3225)</f>
        <v>39.0988367952171</v>
      </c>
      <c r="K3224" s="6" t="n">
        <f aca="false">Sens!J3224*(1+Sens!K3225)</f>
        <v>41.8357553708823</v>
      </c>
    </row>
    <row r="3225" customFormat="false" ht="15" hidden="false" customHeight="false" outlineLevel="0" collapsed="false">
      <c r="A3225" s="1" t="s">
        <v>876</v>
      </c>
      <c r="B3225" s="0" t="s">
        <v>129</v>
      </c>
      <c r="E3225" s="7" t="n">
        <f aca="false">Sens!E3224/Sens!D3224-1</f>
        <v>0.120156961796942</v>
      </c>
      <c r="F3225" s="7" t="n">
        <f aca="false">Sens!$E$3225+(glt_srch-Sens!$E$3225)*MIN(1,(Sens!F3170-base_fy)/n_conv)</f>
        <v>0.111797468164118</v>
      </c>
      <c r="G3225" s="7" t="n">
        <f aca="false">Sens!$E$3225+(glt_srch-Sens!$E$3225)*MIN(1,(Sens!G3170-base_fy)/n_conv)</f>
        <v>0.103437974531295</v>
      </c>
      <c r="H3225" s="7" t="n">
        <f aca="false">Sens!$E$3225+(glt_srch-Sens!$E$3225)*MIN(1,(Sens!H3170-base_fy)/n_conv)</f>
        <v>0.095078480898471</v>
      </c>
      <c r="I3225" s="7" t="n">
        <f aca="false">Sens!$E$3225+(glt_srch-Sens!$E$3225)*MIN(1,(Sens!I3170-base_fy)/n_conv)</f>
        <v>0.0867189872656474</v>
      </c>
      <c r="J3225" s="7" t="n">
        <f aca="false">Sens!$E$3225+(glt_srch-Sens!$E$3225)*MIN(1,(Sens!J3170-base_fy)/n_conv)</f>
        <v>0.0783594936328237</v>
      </c>
      <c r="K3225" s="7" t="n">
        <f aca="false">Sens!$E$3225+(glt_srch-Sens!$E$3225)*MIN(1,(Sens!K3170-base_fy)/n_conv)</f>
        <v>0.07</v>
      </c>
    </row>
    <row r="3226" customFormat="false" ht="15" hidden="false" customHeight="false" outlineLevel="0" collapsed="false">
      <c r="A3226" s="0" t="s">
        <v>888</v>
      </c>
      <c r="B3226" s="0" t="s">
        <v>98</v>
      </c>
      <c r="D3226" s="6" t="n">
        <f aca="false">Q!L14</f>
        <v>23.455</v>
      </c>
      <c r="E3226" s="6" t="n">
        <f aca="false">Q!M14</f>
        <v>21.79</v>
      </c>
      <c r="F3226" s="6" t="n">
        <f aca="false">Sens!E3226*(1+Sens!F3227)</f>
        <v>20.5736277908051</v>
      </c>
      <c r="G3226" s="6" t="n">
        <f aca="false">Sens!F3226*(1+Sens!G3227)</f>
        <v>19.7371452817919</v>
      </c>
      <c r="H3226" s="6" t="n">
        <f aca="false">Sens!G3226*(1+Sens!H3227)</f>
        <v>19.2339764043138</v>
      </c>
      <c r="I3226" s="6" t="n">
        <f aca="false">Sens!H3226*(1+Sens!I3227)</f>
        <v>19.0353086852681</v>
      </c>
      <c r="J3226" s="6" t="n">
        <f aca="false">Sens!I3226*(1+Sens!J3227)</f>
        <v>19.1273539319129</v>
      </c>
      <c r="K3226" s="6" t="n">
        <f aca="false">Sens!J3226*(1+Sens!K3227)</f>
        <v>19.5099010105511</v>
      </c>
    </row>
    <row r="3227" customFormat="false" ht="15" hidden="false" customHeight="false" outlineLevel="0" collapsed="false">
      <c r="A3227" s="1" t="s">
        <v>876</v>
      </c>
      <c r="B3227" s="0" t="s">
        <v>129</v>
      </c>
      <c r="E3227" s="7" t="n">
        <f aca="false">Sens!E3226/Sens!D3226-1</f>
        <v>-0.0709869963760392</v>
      </c>
      <c r="F3227" s="7" t="n">
        <f aca="false">Sens!$E$3227+(glt_xbox-Sens!$E$3227)*MIN(1,(Sens!F3170-base_fy)/n_conv)</f>
        <v>-0.0558224969800327</v>
      </c>
      <c r="G3227" s="7" t="n">
        <f aca="false">Sens!$E$3227+(glt_xbox-Sens!$E$3227)*MIN(1,(Sens!G3170-base_fy)/n_conv)</f>
        <v>-0.0406579975840262</v>
      </c>
      <c r="H3227" s="7" t="n">
        <f aca="false">Sens!$E$3227+(glt_xbox-Sens!$E$3227)*MIN(1,(Sens!H3170-base_fy)/n_conv)</f>
        <v>-0.0254934981880196</v>
      </c>
      <c r="I3227" s="7" t="n">
        <f aca="false">Sens!$E$3227+(glt_xbox-Sens!$E$3227)*MIN(1,(Sens!I3170-base_fy)/n_conv)</f>
        <v>-0.0103289987920131</v>
      </c>
      <c r="J3227" s="7" t="n">
        <f aca="false">Sens!$E$3227+(glt_xbox-Sens!$E$3227)*MIN(1,(Sens!J3170-base_fy)/n_conv)</f>
        <v>0.00483550060399347</v>
      </c>
      <c r="K3227" s="7" t="n">
        <f aca="false">Sens!$E$3227+(glt_xbox-Sens!$E$3227)*MIN(1,(Sens!K3170-base_fy)/n_conv)</f>
        <v>0.02</v>
      </c>
    </row>
    <row r="3228" customFormat="false" ht="15" hidden="false" customHeight="false" outlineLevel="0" collapsed="false">
      <c r="A3228" s="0" t="s">
        <v>889</v>
      </c>
      <c r="B3228" s="0" t="s">
        <v>98</v>
      </c>
      <c r="D3228" s="6" t="n">
        <f aca="false">Q!L15</f>
        <v>17.315</v>
      </c>
      <c r="E3228" s="6" t="n">
        <f aca="false">Q!M15</f>
        <v>17.087</v>
      </c>
      <c r="F3228" s="6" t="n">
        <f aca="false">Sens!E3228*(1+Sens!F3229)</f>
        <v>16.9564585436519</v>
      </c>
      <c r="G3228" s="6" t="n">
        <f aca="false">Sens!F3228*(1+Sens!G3229)</f>
        <v>16.9206490624268</v>
      </c>
      <c r="H3228" s="6" t="n">
        <f aca="false">Sens!G3228*(1+Sens!H3229)</f>
        <v>16.9784519149849</v>
      </c>
      <c r="I3228" s="6" t="n">
        <f aca="false">Sens!H3228*(1+Sens!I3229)</f>
        <v>17.1303084701817</v>
      </c>
      <c r="J3228" s="6" t="n">
        <f aca="false">Sens!I3228*(1+Sens!J3229)</f>
        <v>17.3782189407267</v>
      </c>
      <c r="K3228" s="6" t="n">
        <f aca="false">Sens!J3228*(1+Sens!K3229)</f>
        <v>17.7257833195413</v>
      </c>
    </row>
    <row r="3229" customFormat="false" ht="15" hidden="false" customHeight="false" outlineLevel="0" collapsed="false">
      <c r="A3229" s="1" t="s">
        <v>876</v>
      </c>
      <c r="B3229" s="0" t="s">
        <v>129</v>
      </c>
      <c r="E3229" s="7" t="n">
        <f aca="false">Sens!E3228/Sens!D3228-1</f>
        <v>-0.0131677736066995</v>
      </c>
      <c r="F3229" s="7" t="n">
        <f aca="false">Sens!$E$3229+(glt_win-Sens!$E$3229)*MIN(1,(Sens!F3170-base_fy)/n_conv)</f>
        <v>-0.00763981133891627</v>
      </c>
      <c r="G3229" s="7" t="n">
        <f aca="false">Sens!$E$3229+(glt_win-Sens!$E$3229)*MIN(1,(Sens!G3170-base_fy)/n_conv)</f>
        <v>-0.00211184907113301</v>
      </c>
      <c r="H3229" s="7" t="n">
        <f aca="false">Sens!$E$3229+(glt_win-Sens!$E$3229)*MIN(1,(Sens!H3170-base_fy)/n_conv)</f>
        <v>0.00341611319665024</v>
      </c>
      <c r="I3229" s="7" t="n">
        <f aca="false">Sens!$E$3229+(glt_win-Sens!$E$3229)*MIN(1,(Sens!I3170-base_fy)/n_conv)</f>
        <v>0.00894407546443349</v>
      </c>
      <c r="J3229" s="7" t="n">
        <f aca="false">Sens!$E$3229+(glt_win-Sens!$E$3229)*MIN(1,(Sens!J3170-base_fy)/n_conv)</f>
        <v>0.0144720377322168</v>
      </c>
      <c r="K3229" s="7" t="n">
        <f aca="false">Sens!$E$3229+(glt_win-Sens!$E$3229)*MIN(1,(Sens!K3170-base_fy)/n_conv)</f>
        <v>0.02</v>
      </c>
    </row>
    <row r="3230" customFormat="false" ht="15" hidden="false" customHeight="false" outlineLevel="0" collapsed="false">
      <c r="A3230" s="0" t="s">
        <v>729</v>
      </c>
      <c r="B3230" s="0" t="s">
        <v>98</v>
      </c>
      <c r="D3230" s="6" t="n">
        <f aca="false">Sens!D3224+Sens!D3226+Sens!D3228</f>
        <v>62.941</v>
      </c>
      <c r="E3230" s="6" t="n">
        <f aca="false">Sens!E3224+Sens!E3226+Sens!E3228</f>
        <v>63.712</v>
      </c>
      <c r="F3230" s="6" t="n">
        <f aca="false">Sens!F3224+Sens!F3226+Sens!F3228</f>
        <v>65.1415764563129</v>
      </c>
      <c r="G3230" s="6" t="n">
        <f aca="false">Sens!G3224+Sens!G3226+Sens!G3228</f>
        <v>67.1253610780702</v>
      </c>
      <c r="H3230" s="6" t="n">
        <f aca="false">Sens!H3224+Sens!H3226+Sens!H3228</f>
        <v>69.5768050148776</v>
      </c>
      <c r="I3230" s="6" t="n">
        <f aca="false">Sens!I3224+Sens!I3226+Sens!I3228</f>
        <v>72.4233188088189</v>
      </c>
      <c r="J3230" s="6" t="n">
        <f aca="false">Sens!J3224+Sens!J3226+Sens!J3228</f>
        <v>75.6044096678567</v>
      </c>
      <c r="K3230" s="6" t="n">
        <f aca="false">Sens!K3224+Sens!K3226+Sens!K3228</f>
        <v>79.0714397009747</v>
      </c>
    </row>
    <row r="3231" customFormat="false" ht="15" hidden="false" customHeight="false" outlineLevel="0" collapsed="false">
      <c r="A3231" s="1" t="s">
        <v>890</v>
      </c>
      <c r="B3231" s="0" t="s">
        <v>98</v>
      </c>
      <c r="D3231" s="6" t="n">
        <f aca="false">Sens!D3223+Sens!D3230</f>
        <v>281.724</v>
      </c>
      <c r="E3231" s="6" t="n">
        <f aca="false">Sens!E3223+Sens!E3230</f>
        <v>331.839</v>
      </c>
      <c r="F3231" s="6" t="n">
        <f aca="false">Sens!F3223+Sens!F3230</f>
        <v>386.181295427517</v>
      </c>
      <c r="G3231" s="6" t="n">
        <f aca="false">Sens!G3223+Sens!G3230</f>
        <v>435.222245960866</v>
      </c>
      <c r="H3231" s="6" t="n">
        <f aca="false">Sens!H3223+Sens!H3230</f>
        <v>480.314655795198</v>
      </c>
      <c r="I3231" s="6" t="n">
        <f aca="false">Sens!I3223+Sens!I3230</f>
        <v>521.905635152491</v>
      </c>
      <c r="J3231" s="6" t="n">
        <f aca="false">Sens!J3223+Sens!J3230</f>
        <v>560.855421573139</v>
      </c>
      <c r="K3231" s="6" t="n">
        <f aca="false">Sens!K3223+Sens!K3230</f>
        <v>598.587353634898</v>
      </c>
    </row>
    <row r="3232" customFormat="false" ht="15" hidden="false" customHeight="false" outlineLevel="0" collapsed="false">
      <c r="A3232" s="23" t="s">
        <v>891</v>
      </c>
      <c r="B3232" s="30" t="s">
        <v>98</v>
      </c>
      <c r="C3232" s="30"/>
      <c r="D3232" s="24" t="n">
        <f aca="false">(Sens!D3211+Sens!D3216+Sens!D3217+Sens!D3219+Sens!D3221-Sens!D3223)+(Sens!D3224+Sens!D3226+Sens!D3228-Sens!D3230)+(Sens!D3223-Q!L5)+(Sens!D3230-Q!L12)+(Sens!D3211-Q!L6)+(Sens!D3216-Q!L7)</f>
        <v>0</v>
      </c>
      <c r="E3232" s="24" t="n">
        <f aca="false">(Sens!E3211+Sens!E3216+Sens!E3217+Sens!E3219+Sens!E3221-Sens!E3223)+(Sens!E3224+Sens!E3226+Sens!E3228-Sens!E3230)+(Sens!E3223-Q!M5)+(Sens!E3230-Q!M12)+(Sens!E3211-Q!M6)+(Sens!E3216-Q!M7)</f>
        <v>0</v>
      </c>
      <c r="F3232" s="24" t="n">
        <f aca="false">(Sens!F3211+Sens!F3216+Sens!F3217+Sens!F3219+Sens!F3221-Sens!F3223)+(Sens!F3224+Sens!F3226+Sens!F3228-Sens!F3230)</f>
        <v>0</v>
      </c>
      <c r="G3232" s="24" t="n">
        <f aca="false">(Sens!G3211+Sens!G3216+Sens!G3217+Sens!G3219+Sens!G3221-Sens!G3223)+(Sens!G3224+Sens!G3226+Sens!G3228-Sens!G3230)</f>
        <v>0</v>
      </c>
      <c r="H3232" s="24" t="n">
        <f aca="false">(Sens!H3211+Sens!H3216+Sens!H3217+Sens!H3219+Sens!H3221-Sens!H3223)+(Sens!H3224+Sens!H3226+Sens!H3228-Sens!H3230)</f>
        <v>0</v>
      </c>
      <c r="I3232" s="24" t="n">
        <f aca="false">(Sens!I3211+Sens!I3216+Sens!I3217+Sens!I3219+Sens!I3221-Sens!I3223)+(Sens!I3224+Sens!I3226+Sens!I3228-Sens!I3230)</f>
        <v>0</v>
      </c>
      <c r="J3232" s="24" t="n">
        <f aca="false">(Sens!J3211+Sens!J3216+Sens!J3217+Sens!J3219+Sens!J3221-Sens!J3223)+(Sens!J3224+Sens!J3226+Sens!J3228-Sens!J3230)</f>
        <v>0</v>
      </c>
      <c r="K3232" s="24" t="n">
        <f aca="false">(Sens!K3211+Sens!K3216+Sens!K3217+Sens!K3219+Sens!K3221-Sens!K3223)+(Sens!K3224+Sens!K3226+Sens!K3228-Sens!K3230)</f>
        <v>0</v>
      </c>
    </row>
    <row r="3233" customFormat="false" ht="17.15" hidden="false" customHeight="false" outlineLevel="0" collapsed="false">
      <c r="A3233" s="3" t="s">
        <v>1344</v>
      </c>
    </row>
    <row r="3234" customFormat="false" ht="15" hidden="false" customHeight="false" outlineLevel="0" collapsed="false">
      <c r="A3234" s="4" t="s">
        <v>43</v>
      </c>
      <c r="B3234" s="4" t="s">
        <v>65</v>
      </c>
      <c r="C3234" s="20" t="s">
        <v>799</v>
      </c>
      <c r="D3234" s="20" t="s">
        <v>800</v>
      </c>
      <c r="E3234" s="20" t="s">
        <v>801</v>
      </c>
      <c r="F3234" s="20" t="s">
        <v>802</v>
      </c>
      <c r="G3234" s="20" t="s">
        <v>803</v>
      </c>
      <c r="H3234" s="20" t="s">
        <v>804</v>
      </c>
      <c r="I3234" s="20" t="s">
        <v>805</v>
      </c>
      <c r="J3234" s="20" t="s">
        <v>806</v>
      </c>
      <c r="K3234" s="20" t="s">
        <v>807</v>
      </c>
      <c r="L3234" s="4" t="s">
        <v>47</v>
      </c>
    </row>
    <row r="3235" customFormat="false" ht="15" hidden="false" customHeight="false" outlineLevel="0" collapsed="false">
      <c r="A3235" s="0" t="s">
        <v>877</v>
      </c>
      <c r="B3235" s="0" t="s">
        <v>98</v>
      </c>
      <c r="D3235" s="6" t="n">
        <f aca="false">Sens!D3211</f>
        <v>72.61</v>
      </c>
      <c r="E3235" s="6" t="n">
        <f aca="false">Sens!E3211</f>
        <v>101.938</v>
      </c>
      <c r="F3235" s="6" t="n">
        <f aca="false">Sens!F3211</f>
        <v>131.918147032022</v>
      </c>
      <c r="G3235" s="6" t="n">
        <f aca="false">Sens!G3211</f>
        <v>156.503728345366</v>
      </c>
      <c r="H3235" s="6" t="n">
        <f aca="false">Sens!H3211</f>
        <v>176.649168098805</v>
      </c>
      <c r="I3235" s="6" t="n">
        <f aca="false">Sens!I3211</f>
        <v>194.670961364187</v>
      </c>
      <c r="J3235" s="6" t="n">
        <f aca="false">Sens!J3211</f>
        <v>211.810114801113</v>
      </c>
      <c r="K3235" s="6" t="n">
        <f aca="false">Sens!K3211</f>
        <v>228.371844593747</v>
      </c>
    </row>
    <row r="3236" customFormat="false" ht="17.15" hidden="false" customHeight="false" outlineLevel="0" collapsed="false">
      <c r="A3236" s="0" t="s">
        <v>874</v>
      </c>
      <c r="B3236" s="0" t="s">
        <v>98</v>
      </c>
      <c r="D3236" s="6" t="n">
        <f aca="false">Sens!D3208</f>
        <v>12.9359794422418</v>
      </c>
      <c r="E3236" s="6" t="n">
        <f aca="false">Sens!E3208</f>
        <v>27.8095064661409</v>
      </c>
      <c r="F3236" s="6" t="n">
        <f aca="false">Sens!F3208</f>
        <v>41.8381972946555</v>
      </c>
      <c r="G3236" s="6" t="n">
        <f aca="false">Sens!G3208</f>
        <v>49.4753031420564</v>
      </c>
      <c r="H3236" s="6" t="n">
        <f aca="false">Sens!H3208</f>
        <v>52.3771855131691</v>
      </c>
      <c r="I3236" s="6" t="n">
        <f aca="false">Sens!I3208</f>
        <v>53.7372589823317</v>
      </c>
      <c r="J3236" s="6" t="n">
        <f aca="false">Sens!J3208</f>
        <v>55.7912474867814</v>
      </c>
      <c r="K3236" s="6" t="n">
        <f aca="false">Sens!K3208</f>
        <v>59.8714678942694</v>
      </c>
    </row>
    <row r="3237" customFormat="false" ht="17.15" hidden="false" customHeight="false" outlineLevel="0" collapsed="false">
      <c r="A3237" s="0" t="s">
        <v>902</v>
      </c>
      <c r="B3237" s="0" t="s">
        <v>98</v>
      </c>
      <c r="D3237" s="6" t="n">
        <f aca="false">Sens!D3209</f>
        <v>59.6740205577583</v>
      </c>
      <c r="E3237" s="6" t="n">
        <f aca="false">Sens!E3209</f>
        <v>74.1284935338591</v>
      </c>
      <c r="F3237" s="6" t="n">
        <f aca="false">Sens!F3209</f>
        <v>90.0799497373663</v>
      </c>
      <c r="G3237" s="6" t="n">
        <f aca="false">Sens!G3209</f>
        <v>107.02842520331</v>
      </c>
      <c r="H3237" s="6" t="n">
        <f aca="false">Sens!H3209</f>
        <v>124.271982585636</v>
      </c>
      <c r="I3237" s="6" t="n">
        <f aca="false">Sens!I3209</f>
        <v>140.933702381855</v>
      </c>
      <c r="J3237" s="6" t="n">
        <f aca="false">Sens!J3209</f>
        <v>156.018867314332</v>
      </c>
      <c r="K3237" s="6" t="n">
        <f aca="false">Sens!K3209</f>
        <v>168.500376699478</v>
      </c>
    </row>
    <row r="3238" customFormat="false" ht="15" hidden="false" customHeight="false" outlineLevel="0" collapsed="false">
      <c r="A3238" s="0" t="s">
        <v>883</v>
      </c>
      <c r="B3238" s="0" t="s">
        <v>98</v>
      </c>
      <c r="D3238" s="6" t="n">
        <f aca="false">Sens!D3216</f>
        <v>84.605</v>
      </c>
      <c r="E3238" s="6" t="n">
        <f aca="false">Sens!E3216</f>
        <v>100.299</v>
      </c>
      <c r="F3238" s="6" t="n">
        <f aca="false">Sens!F3216</f>
        <v>118.89238776686</v>
      </c>
      <c r="G3238" s="6" t="n">
        <f aca="false">Sens!G3216</f>
        <v>137.044168448684</v>
      </c>
      <c r="H3238" s="6" t="n">
        <f aca="false">Sens!H3216</f>
        <v>155.277359388781</v>
      </c>
      <c r="I3238" s="6" t="n">
        <f aca="false">Sens!I3216</f>
        <v>171.834028071957</v>
      </c>
      <c r="J3238" s="6" t="n">
        <f aca="false">Sens!J3216</f>
        <v>186.432702785465</v>
      </c>
      <c r="K3238" s="6" t="n">
        <f aca="false">Sens!K3216</f>
        <v>200.277991980448</v>
      </c>
    </row>
    <row r="3239" customFormat="false" ht="17.15" hidden="false" customHeight="false" outlineLevel="0" collapsed="false">
      <c r="A3239" s="0" t="s">
        <v>903</v>
      </c>
      <c r="B3239" s="0" t="s">
        <v>98</v>
      </c>
      <c r="D3239" s="6" t="n">
        <f aca="false">Sens!D3214</f>
        <v>83.705</v>
      </c>
      <c r="E3239" s="6" t="n">
        <f aca="false">Sens!E3214</f>
        <v>95.049</v>
      </c>
      <c r="F3239" s="6" t="n">
        <f aca="false">Sens!F3214</f>
        <v>106.89238776686</v>
      </c>
      <c r="G3239" s="6" t="n">
        <f aca="false">Sens!G3214</f>
        <v>119.044168448684</v>
      </c>
      <c r="H3239" s="6" t="n">
        <f aca="false">Sens!H3214</f>
        <v>131.277359388781</v>
      </c>
      <c r="I3239" s="6" t="n">
        <f aca="false">Sens!I3214</f>
        <v>143.334028071957</v>
      </c>
      <c r="J3239" s="6" t="n">
        <f aca="false">Sens!J3214</f>
        <v>154.932702785465</v>
      </c>
      <c r="K3239" s="6" t="n">
        <f aca="false">Sens!K3214</f>
        <v>165.777991980448</v>
      </c>
    </row>
    <row r="3240" customFormat="false" ht="17.15" hidden="false" customHeight="false" outlineLevel="0" collapsed="false">
      <c r="A3240" s="0" t="s">
        <v>904</v>
      </c>
      <c r="B3240" s="0" t="s">
        <v>98</v>
      </c>
      <c r="D3240" s="6" t="n">
        <f aca="false">Sens!D3213</f>
        <v>0.9</v>
      </c>
      <c r="E3240" s="6" t="n">
        <f aca="false">Sens!E3213</f>
        <v>5.25</v>
      </c>
      <c r="F3240" s="6" t="n">
        <f aca="false">Sens!F3213</f>
        <v>12</v>
      </c>
      <c r="G3240" s="6" t="n">
        <f aca="false">Sens!G3213</f>
        <v>18</v>
      </c>
      <c r="H3240" s="6" t="n">
        <f aca="false">Sens!H3213</f>
        <v>24</v>
      </c>
      <c r="I3240" s="6" t="n">
        <f aca="false">Sens!I3213</f>
        <v>28.5</v>
      </c>
      <c r="J3240" s="6" t="n">
        <f aca="false">Sens!J3213</f>
        <v>31.5</v>
      </c>
      <c r="K3240" s="6" t="n">
        <f aca="false">Sens!K3213</f>
        <v>34.5</v>
      </c>
    </row>
    <row r="3241" customFormat="false" ht="15" hidden="false" customHeight="false" outlineLevel="0" collapsed="false">
      <c r="A3241" s="0" t="s">
        <v>884</v>
      </c>
      <c r="B3241" s="0" t="s">
        <v>98</v>
      </c>
      <c r="D3241" s="6" t="n">
        <f aca="false">Sens!D3217</f>
        <v>35.391</v>
      </c>
      <c r="E3241" s="6" t="n">
        <f aca="false">Sens!E3217</f>
        <v>37.285</v>
      </c>
      <c r="F3241" s="6" t="n">
        <f aca="false">Sens!F3217</f>
        <v>39.0720834331704</v>
      </c>
      <c r="G3241" s="6" t="n">
        <f aca="false">Sens!G3217</f>
        <v>40.726562953769</v>
      </c>
      <c r="H3241" s="6" t="n">
        <f aca="false">Sens!H3217</f>
        <v>42.2235987259198</v>
      </c>
      <c r="I3241" s="6" t="n">
        <f aca="false">Sens!I3217</f>
        <v>43.5397988077414</v>
      </c>
      <c r="J3241" s="6" t="n">
        <f aca="false">Sens!J3217</f>
        <v>44.653811225693</v>
      </c>
      <c r="K3241" s="6" t="n">
        <f aca="false">Sens!K3217</f>
        <v>45.5468874502068</v>
      </c>
    </row>
    <row r="3242" customFormat="false" ht="15" hidden="false" customHeight="false" outlineLevel="0" collapsed="false">
      <c r="A3242" s="0" t="s">
        <v>885</v>
      </c>
      <c r="B3242" s="0" t="s">
        <v>98</v>
      </c>
      <c r="D3242" s="6" t="n">
        <f aca="false">Sens!D3219</f>
        <v>18.417</v>
      </c>
      <c r="E3242" s="6" t="n">
        <f aca="false">Sens!E3219</f>
        <v>20.345</v>
      </c>
      <c r="F3242" s="6" t="n">
        <f aca="false">Sens!F3219</f>
        <v>22.3572203267814</v>
      </c>
      <c r="G3242" s="6" t="n">
        <f aca="false">Sens!G3219</f>
        <v>24.4392124437232</v>
      </c>
      <c r="H3242" s="6" t="n">
        <f aca="false">Sens!H3219</f>
        <v>26.5738052080665</v>
      </c>
      <c r="I3242" s="6" t="n">
        <f aca="false">Sens!I3219</f>
        <v>28.7412169166967</v>
      </c>
      <c r="J3242" s="6" t="n">
        <f aca="false">Sens!J3219</f>
        <v>30.9192545395413</v>
      </c>
      <c r="K3242" s="6" t="n">
        <f aca="false">Sens!K3219</f>
        <v>33.0836023573092</v>
      </c>
    </row>
    <row r="3243" customFormat="false" ht="15" hidden="false" customHeight="false" outlineLevel="0" collapsed="false">
      <c r="A3243" s="0" t="s">
        <v>886</v>
      </c>
      <c r="B3243" s="0" t="s">
        <v>98</v>
      </c>
      <c r="D3243" s="6" t="n">
        <f aca="false">Sens!D3221</f>
        <v>7.76</v>
      </c>
      <c r="E3243" s="6" t="n">
        <f aca="false">Sens!E3221</f>
        <v>8.26</v>
      </c>
      <c r="F3243" s="6" t="n">
        <f aca="false">Sens!F3221</f>
        <v>8.79988041237113</v>
      </c>
      <c r="G3243" s="6" t="n">
        <f aca="false">Sens!G3221</f>
        <v>9.38321269125306</v>
      </c>
      <c r="H3243" s="6" t="n">
        <f aca="false">Sens!H3221</f>
        <v>10.0139193587476</v>
      </c>
      <c r="I3243" s="6" t="n">
        <f aca="false">Sens!I3221</f>
        <v>10.6963111830911</v>
      </c>
      <c r="J3243" s="6" t="n">
        <f aca="false">Sens!J3221</f>
        <v>11.4351285534696</v>
      </c>
      <c r="K3243" s="6" t="n">
        <f aca="false">Sens!K3221</f>
        <v>12.2355875522124</v>
      </c>
    </row>
    <row r="3244" customFormat="false" ht="15" hidden="false" customHeight="false" outlineLevel="0" collapsed="false">
      <c r="A3244" s="0" t="s">
        <v>715</v>
      </c>
      <c r="B3244" s="0" t="s">
        <v>98</v>
      </c>
      <c r="D3244" s="6" t="n">
        <f aca="false">Sens!D3223</f>
        <v>218.783</v>
      </c>
      <c r="E3244" s="6" t="n">
        <f aca="false">Sens!E3223</f>
        <v>268.127</v>
      </c>
      <c r="F3244" s="6" t="n">
        <f aca="false">Sens!F3223</f>
        <v>321.039718971205</v>
      </c>
      <c r="G3244" s="6" t="n">
        <f aca="false">Sens!G3223</f>
        <v>368.096884882795</v>
      </c>
      <c r="H3244" s="6" t="n">
        <f aca="false">Sens!H3223</f>
        <v>410.73785078032</v>
      </c>
      <c r="I3244" s="6" t="n">
        <f aca="false">Sens!I3223</f>
        <v>449.482316343673</v>
      </c>
      <c r="J3244" s="6" t="n">
        <f aca="false">Sens!J3223</f>
        <v>485.251011905282</v>
      </c>
      <c r="K3244" s="6" t="n">
        <f aca="false">Sens!K3223</f>
        <v>519.515913933924</v>
      </c>
    </row>
    <row r="3245" customFormat="false" ht="15" hidden="false" customHeight="false" outlineLevel="0" collapsed="false">
      <c r="A3245" s="0" t="s">
        <v>887</v>
      </c>
      <c r="B3245" s="0" t="s">
        <v>98</v>
      </c>
      <c r="D3245" s="6" t="n">
        <f aca="false">Sens!D3224</f>
        <v>22.171</v>
      </c>
      <c r="E3245" s="6" t="n">
        <f aca="false">Sens!E3224</f>
        <v>24.835</v>
      </c>
      <c r="F3245" s="6" t="n">
        <f aca="false">Sens!F3224</f>
        <v>27.6114901218559</v>
      </c>
      <c r="G3245" s="6" t="n">
        <f aca="false">Sens!G3224</f>
        <v>30.4675667338515</v>
      </c>
      <c r="H3245" s="6" t="n">
        <f aca="false">Sens!H3224</f>
        <v>33.3643766955789</v>
      </c>
      <c r="I3245" s="6" t="n">
        <f aca="false">Sens!I3224</f>
        <v>36.2577016533691</v>
      </c>
      <c r="J3245" s="6" t="n">
        <f aca="false">Sens!J3224</f>
        <v>39.0988367952171</v>
      </c>
      <c r="K3245" s="6" t="n">
        <f aca="false">Sens!K3224</f>
        <v>41.8357553708823</v>
      </c>
    </row>
    <row r="3246" customFormat="false" ht="15" hidden="false" customHeight="false" outlineLevel="0" collapsed="false">
      <c r="A3246" s="0" t="s">
        <v>888</v>
      </c>
      <c r="B3246" s="0" t="s">
        <v>98</v>
      </c>
      <c r="D3246" s="6" t="n">
        <f aca="false">Sens!D3226</f>
        <v>23.455</v>
      </c>
      <c r="E3246" s="6" t="n">
        <f aca="false">Sens!E3226</f>
        <v>21.79</v>
      </c>
      <c r="F3246" s="6" t="n">
        <f aca="false">Sens!F3226</f>
        <v>20.5736277908051</v>
      </c>
      <c r="G3246" s="6" t="n">
        <f aca="false">Sens!G3226</f>
        <v>19.7371452817919</v>
      </c>
      <c r="H3246" s="6" t="n">
        <f aca="false">Sens!H3226</f>
        <v>19.2339764043138</v>
      </c>
      <c r="I3246" s="6" t="n">
        <f aca="false">Sens!I3226</f>
        <v>19.0353086852681</v>
      </c>
      <c r="J3246" s="6" t="n">
        <f aca="false">Sens!J3226</f>
        <v>19.1273539319129</v>
      </c>
      <c r="K3246" s="6" t="n">
        <f aca="false">Sens!K3226</f>
        <v>19.5099010105511</v>
      </c>
    </row>
    <row r="3247" customFormat="false" ht="15" hidden="false" customHeight="false" outlineLevel="0" collapsed="false">
      <c r="A3247" s="0" t="s">
        <v>889</v>
      </c>
      <c r="B3247" s="0" t="s">
        <v>98</v>
      </c>
      <c r="D3247" s="6" t="n">
        <f aca="false">Sens!D3228</f>
        <v>17.315</v>
      </c>
      <c r="E3247" s="6" t="n">
        <f aca="false">Sens!E3228</f>
        <v>17.087</v>
      </c>
      <c r="F3247" s="6" t="n">
        <f aca="false">Sens!F3228</f>
        <v>16.9564585436519</v>
      </c>
      <c r="G3247" s="6" t="n">
        <f aca="false">Sens!G3228</f>
        <v>16.9206490624268</v>
      </c>
      <c r="H3247" s="6" t="n">
        <f aca="false">Sens!H3228</f>
        <v>16.9784519149849</v>
      </c>
      <c r="I3247" s="6" t="n">
        <f aca="false">Sens!I3228</f>
        <v>17.1303084701817</v>
      </c>
      <c r="J3247" s="6" t="n">
        <f aca="false">Sens!J3228</f>
        <v>17.3782189407267</v>
      </c>
      <c r="K3247" s="6" t="n">
        <f aca="false">Sens!K3228</f>
        <v>17.7257833195413</v>
      </c>
    </row>
    <row r="3248" customFormat="false" ht="15" hidden="false" customHeight="false" outlineLevel="0" collapsed="false">
      <c r="A3248" s="0" t="s">
        <v>729</v>
      </c>
      <c r="B3248" s="0" t="s">
        <v>98</v>
      </c>
      <c r="D3248" s="6" t="n">
        <f aca="false">Sens!D3230</f>
        <v>62.941</v>
      </c>
      <c r="E3248" s="6" t="n">
        <f aca="false">Sens!E3230</f>
        <v>63.712</v>
      </c>
      <c r="F3248" s="6" t="n">
        <f aca="false">Sens!F3230</f>
        <v>65.1415764563129</v>
      </c>
      <c r="G3248" s="6" t="n">
        <f aca="false">Sens!G3230</f>
        <v>67.1253610780702</v>
      </c>
      <c r="H3248" s="6" t="n">
        <f aca="false">Sens!H3230</f>
        <v>69.5768050148776</v>
      </c>
      <c r="I3248" s="6" t="n">
        <f aca="false">Sens!I3230</f>
        <v>72.4233188088189</v>
      </c>
      <c r="J3248" s="6" t="n">
        <f aca="false">Sens!J3230</f>
        <v>75.6044096678567</v>
      </c>
      <c r="K3248" s="6" t="n">
        <f aca="false">Sens!K3230</f>
        <v>79.0714397009747</v>
      </c>
    </row>
    <row r="3249" customFormat="false" ht="15" hidden="false" customHeight="false" outlineLevel="0" collapsed="false">
      <c r="A3249" s="1" t="s">
        <v>905</v>
      </c>
      <c r="B3249" s="0" t="s">
        <v>98</v>
      </c>
      <c r="D3249" s="6" t="n">
        <f aca="false">Sens!D3231</f>
        <v>281.724</v>
      </c>
      <c r="E3249" s="6" t="n">
        <f aca="false">Sens!E3231</f>
        <v>331.839</v>
      </c>
      <c r="F3249" s="6" t="n">
        <f aca="false">Sens!F3231</f>
        <v>386.181295427517</v>
      </c>
      <c r="G3249" s="6" t="n">
        <f aca="false">Sens!G3231</f>
        <v>435.222245960866</v>
      </c>
      <c r="H3249" s="6" t="n">
        <f aca="false">Sens!H3231</f>
        <v>480.314655795198</v>
      </c>
      <c r="I3249" s="6" t="n">
        <f aca="false">Sens!I3231</f>
        <v>521.905635152491</v>
      </c>
      <c r="J3249" s="6" t="n">
        <f aca="false">Sens!J3231</f>
        <v>560.855421573139</v>
      </c>
      <c r="K3249" s="6" t="n">
        <f aca="false">Sens!K3231</f>
        <v>598.587353634898</v>
      </c>
    </row>
    <row r="3250" customFormat="false" ht="15" hidden="false" customHeight="false" outlineLevel="0" collapsed="false">
      <c r="A3250" s="1" t="s">
        <v>906</v>
      </c>
      <c r="B3250" s="0" t="s">
        <v>129</v>
      </c>
      <c r="E3250" s="7" t="n">
        <f aca="false">Sens!E3249/Sens!D3249-1</f>
        <v>0.177886867998467</v>
      </c>
      <c r="F3250" s="7" t="n">
        <f aca="false">Sens!F3249/Sens!E3249-1</f>
        <v>0.163761026966443</v>
      </c>
      <c r="G3250" s="7" t="n">
        <f aca="false">Sens!G3249/Sens!F3249-1</f>
        <v>0.126989450587082</v>
      </c>
      <c r="H3250" s="7" t="n">
        <f aca="false">Sens!H3249/Sens!G3249-1</f>
        <v>0.103607777986575</v>
      </c>
      <c r="I3250" s="7" t="n">
        <f aca="false">Sens!I3249/Sens!H3249-1</f>
        <v>0.0865911103387771</v>
      </c>
      <c r="J3250" s="7" t="n">
        <f aca="false">Sens!J3249/Sens!I3249-1</f>
        <v>0.0746299403517015</v>
      </c>
      <c r="K3250" s="7" t="n">
        <f aca="false">Sens!K3249/Sens!J3249-1</f>
        <v>0.0672756839114181</v>
      </c>
    </row>
    <row r="3251" customFormat="false" ht="17.15" hidden="false" customHeight="false" outlineLevel="0" collapsed="false">
      <c r="A3251" s="23" t="s">
        <v>907</v>
      </c>
      <c r="B3251" s="30" t="s">
        <v>98</v>
      </c>
      <c r="C3251" s="30"/>
      <c r="D3251" s="24" t="n">
        <f aca="false">(Sens!D3244+Sens!D3248-Sens!D3249)+(Sens!D3236+Sens!D3237-Sens!D3235)+(Sens!D3239+Sens!D3240-Sens!D3238)+(Sens!D3249-Q!L18)</f>
        <v>0</v>
      </c>
      <c r="E3251" s="24" t="n">
        <f aca="false">(Sens!E3244+Sens!E3248-Sens!E3249)+(Sens!E3236+Sens!E3237-Sens!E3235)+(Sens!E3239+Sens!E3240-Sens!E3238)+(Sens!E3249-Q!M18)</f>
        <v>0</v>
      </c>
      <c r="F3251" s="24" t="n">
        <f aca="false">(Sens!F3244+Sens!F3248-Sens!F3249)+(Sens!F3236+Sens!F3237-Sens!F3235)+(Sens!F3239+Sens!F3240-Sens!F3238)</f>
        <v>0</v>
      </c>
      <c r="G3251" s="24" t="n">
        <f aca="false">(Sens!G3244+Sens!G3248-Sens!G3249)+(Sens!G3236+Sens!G3237-Sens!G3235)+(Sens!G3239+Sens!G3240-Sens!G3238)</f>
        <v>0</v>
      </c>
      <c r="H3251" s="24" t="n">
        <f aca="false">(Sens!H3244+Sens!H3248-Sens!H3249)+(Sens!H3236+Sens!H3237-Sens!H3235)+(Sens!H3239+Sens!H3240-Sens!H3238)</f>
        <v>0</v>
      </c>
      <c r="I3251" s="24" t="n">
        <f aca="false">(Sens!I3244+Sens!I3248-Sens!I3249)+(Sens!I3236+Sens!I3237-Sens!I3235)+(Sens!I3239+Sens!I3240-Sens!I3238)</f>
        <v>0</v>
      </c>
      <c r="J3251" s="24" t="n">
        <f aca="false">(Sens!J3244+Sens!J3248-Sens!J3249)+(Sens!J3236+Sens!J3237-Sens!J3235)+(Sens!J3239+Sens!J3240-Sens!J3238)</f>
        <v>0</v>
      </c>
      <c r="K3251" s="24" t="n">
        <f aca="false">(Sens!K3244+Sens!K3248-Sens!K3249)+(Sens!K3236+Sens!K3237-Sens!K3235)+(Sens!K3239+Sens!K3240-Sens!K3238)</f>
        <v>0</v>
      </c>
    </row>
    <row r="3252" customFormat="false" ht="17.15" hidden="false" customHeight="false" outlineLevel="0" collapsed="false">
      <c r="A3252" s="0" t="s">
        <v>908</v>
      </c>
      <c r="B3252" s="0" t="s">
        <v>129</v>
      </c>
      <c r="E3252" s="7" t="n">
        <f aca="false">(Q!M21+Sens!E3189+Sens!E3190+Sens!E3191+Sens!E3204-Sens!E3187)/(Q!M5-Sens!E3187)</f>
        <v>0.570957350878296</v>
      </c>
      <c r="F3252" s="7" t="n">
        <f aca="false">Sens!$E$3252+dm_seg</f>
        <v>0.570957350878296</v>
      </c>
      <c r="G3252" s="7" t="n">
        <f aca="false">Sens!$E$3252+dm_seg</f>
        <v>0.570957350878296</v>
      </c>
      <c r="H3252" s="7" t="n">
        <f aca="false">Sens!$E$3252+dm_seg</f>
        <v>0.570957350878296</v>
      </c>
      <c r="I3252" s="7" t="n">
        <f aca="false">Sens!$E$3252+dm_seg</f>
        <v>0.570957350878296</v>
      </c>
      <c r="J3252" s="7" t="n">
        <f aca="false">Sens!$E$3252+dm_seg</f>
        <v>0.570957350878296</v>
      </c>
      <c r="K3252" s="7" t="n">
        <f aca="false">Sens!$E$3252+dm_seg</f>
        <v>0.570957350878296</v>
      </c>
      <c r="L3252" s="11" t="s">
        <v>909</v>
      </c>
    </row>
    <row r="3253" customFormat="false" ht="17.15" hidden="false" customHeight="false" outlineLevel="0" collapsed="false">
      <c r="A3253" s="0" t="s">
        <v>743</v>
      </c>
      <c r="B3253" s="0" t="s">
        <v>98</v>
      </c>
      <c r="D3253" s="6" t="n">
        <f aca="false">Q!L21</f>
        <v>110.814</v>
      </c>
      <c r="E3253" s="6" t="n">
        <f aca="false">Q!M21</f>
        <v>136.365</v>
      </c>
      <c r="F3253" s="6" t="n">
        <f aca="false">Sens!F3252*(Sens!F3223-Sens!F3187)+Sens!F3187-(Sens!F3189+Sens!F3190+Sens!F3191)-Sens!F3204-Sens!F3287</f>
        <v>144.827291458604</v>
      </c>
      <c r="G3253" s="6" t="n">
        <f aca="false">Sens!G3252*(Sens!G3223-Sens!G3187)+Sens!G3187-(Sens!G3189+Sens!G3190+Sens!G3191)-Sens!G3204-Sens!G3287</f>
        <v>168.589900187899</v>
      </c>
      <c r="H3253" s="6" t="n">
        <f aca="false">Sens!H3252*(Sens!H3223-Sens!H3187)+Sens!H3187-(Sens!H3189+Sens!H3190+Sens!H3191)-Sens!H3204-Sens!H3287</f>
        <v>191.819329868579</v>
      </c>
      <c r="I3253" s="6" t="n">
        <f aca="false">Sens!I3252*(Sens!I3223-Sens!I3187)+Sens!I3187-(Sens!I3189+Sens!I3190+Sens!I3191)-Sens!I3204-Sens!I3287</f>
        <v>214.865425082223</v>
      </c>
      <c r="J3253" s="6" t="n">
        <f aca="false">Sens!J3252*(Sens!J3223-Sens!J3187)+Sens!J3187-(Sens!J3189+Sens!J3190+Sens!J3191)-Sens!J3204-Sens!J3287</f>
        <v>235.358623018922</v>
      </c>
      <c r="K3253" s="6" t="n">
        <f aca="false">Sens!K3252*(Sens!K3223-Sens!K3187)+Sens!K3187-(Sens!K3189+Sens!K3190+Sens!K3191)-Sens!K3204-Sens!K3287</f>
        <v>254.277030956099</v>
      </c>
      <c r="L3253" s="1" t="s">
        <v>910</v>
      </c>
    </row>
    <row r="3254" customFormat="false" ht="17.15" hidden="false" customHeight="false" outlineLevel="0" collapsed="false">
      <c r="A3254" s="0" t="s">
        <v>911</v>
      </c>
      <c r="B3254" s="0" t="s">
        <v>129</v>
      </c>
      <c r="E3254" s="7" t="n">
        <f aca="false">Q!M22/Q!M12</f>
        <v>0.296207935710698</v>
      </c>
      <c r="F3254" s="7" t="n">
        <f aca="false">Sens!$E$3254+dm_seg</f>
        <v>0.296207935710698</v>
      </c>
      <c r="G3254" s="7" t="n">
        <f aca="false">Sens!$E$3254+dm_seg</f>
        <v>0.296207935710698</v>
      </c>
      <c r="H3254" s="7" t="n">
        <f aca="false">Sens!$E$3254+dm_seg</f>
        <v>0.296207935710698</v>
      </c>
      <c r="I3254" s="7" t="n">
        <f aca="false">Sens!$E$3254+dm_seg</f>
        <v>0.296207935710698</v>
      </c>
      <c r="J3254" s="7" t="n">
        <f aca="false">Sens!$E$3254+dm_seg</f>
        <v>0.296207935710698</v>
      </c>
      <c r="K3254" s="7" t="n">
        <f aca="false">Sens!$E$3254+dm_seg</f>
        <v>0.296207935710698</v>
      </c>
      <c r="L3254" s="11" t="s">
        <v>912</v>
      </c>
    </row>
    <row r="3255" customFormat="false" ht="17.15" hidden="false" customHeight="false" outlineLevel="0" collapsed="false">
      <c r="A3255" s="0" t="s">
        <v>745</v>
      </c>
      <c r="B3255" s="0" t="s">
        <v>98</v>
      </c>
      <c r="D3255" s="6" t="n">
        <f aca="false">Q!L22</f>
        <v>17.714</v>
      </c>
      <c r="E3255" s="6" t="n">
        <f aca="false">Q!M22</f>
        <v>18.872</v>
      </c>
      <c r="F3255" s="6" t="n">
        <f aca="false">Sens!F3230*Sens!F3254</f>
        <v>19.2954518910651</v>
      </c>
      <c r="G3255" s="6" t="n">
        <f aca="false">Sens!G3230*Sens!G3254</f>
        <v>19.8830646387704</v>
      </c>
      <c r="H3255" s="6" t="n">
        <f aca="false">Sens!H3230*Sens!H3254</f>
        <v>20.6092017868026</v>
      </c>
      <c r="I3255" s="6" t="n">
        <f aca="false">Sens!I3230*Sens!I3254</f>
        <v>21.452361761678</v>
      </c>
      <c r="J3255" s="6" t="n">
        <f aca="false">Sens!J3230*Sens!J3254</f>
        <v>22.3946261183418</v>
      </c>
      <c r="K3255" s="6" t="n">
        <f aca="false">Sens!K3230*Sens!K3254</f>
        <v>23.4215879274986</v>
      </c>
    </row>
    <row r="3256" customFormat="false" ht="15" hidden="false" customHeight="false" outlineLevel="0" collapsed="false">
      <c r="A3256" s="1" t="s">
        <v>913</v>
      </c>
      <c r="B3256" s="0" t="s">
        <v>98</v>
      </c>
      <c r="D3256" s="6" t="n">
        <f aca="false">Sens!D3253+Sens!D3255</f>
        <v>128.528</v>
      </c>
      <c r="E3256" s="6" t="n">
        <f aca="false">Sens!E3253+Sens!E3255</f>
        <v>155.237</v>
      </c>
      <c r="F3256" s="6" t="n">
        <f aca="false">Sens!F3253+Sens!F3255</f>
        <v>164.122743349669</v>
      </c>
      <c r="G3256" s="6" t="n">
        <f aca="false">Sens!G3253+Sens!G3255</f>
        <v>188.472964826669</v>
      </c>
      <c r="H3256" s="6" t="n">
        <f aca="false">Sens!H3253+Sens!H3255</f>
        <v>212.428531655382</v>
      </c>
      <c r="I3256" s="6" t="n">
        <f aca="false">Sens!I3253+Sens!I3255</f>
        <v>236.317786843901</v>
      </c>
      <c r="J3256" s="6" t="n">
        <f aca="false">Sens!J3253+Sens!J3255</f>
        <v>257.753249137264</v>
      </c>
      <c r="K3256" s="6" t="n">
        <f aca="false">Sens!K3253+Sens!K3255</f>
        <v>277.698618883597</v>
      </c>
    </row>
    <row r="3257" customFormat="false" ht="15" hidden="false" customHeight="false" outlineLevel="0" collapsed="false">
      <c r="A3257" s="23" t="s">
        <v>914</v>
      </c>
      <c r="B3257" s="30" t="s">
        <v>98</v>
      </c>
      <c r="C3257" s="30"/>
      <c r="D3257" s="24" t="n">
        <f aca="false">Sens!D3256-Q!L23</f>
        <v>0</v>
      </c>
      <c r="E3257" s="24" t="n">
        <f aca="false">Sens!E3256-Q!M23</f>
        <v>0</v>
      </c>
      <c r="F3257" s="30"/>
      <c r="G3257" s="30"/>
      <c r="H3257" s="30"/>
      <c r="I3257" s="30"/>
      <c r="J3257" s="30"/>
      <c r="K3257" s="30"/>
    </row>
    <row r="3258" customFormat="false" ht="15" hidden="false" customHeight="false" outlineLevel="0" collapsed="false">
      <c r="A3258" s="1" t="s">
        <v>915</v>
      </c>
      <c r="B3258" s="0" t="s">
        <v>129</v>
      </c>
      <c r="D3258" s="7" t="n">
        <f aca="false">Sens!D3256/Sens!D3249</f>
        <v>0.456219562408598</v>
      </c>
      <c r="E3258" s="7" t="n">
        <f aca="false">Sens!E3256/Sens!E3249</f>
        <v>0.467808184089272</v>
      </c>
      <c r="F3258" s="7" t="n">
        <f aca="false">Sens!F3256/Sens!F3249</f>
        <v>0.42498884667104</v>
      </c>
      <c r="G3258" s="7" t="n">
        <f aca="false">Sens!G3256/Sens!G3249</f>
        <v>0.433049933857509</v>
      </c>
      <c r="H3258" s="7" t="n">
        <f aca="false">Sens!H3256/Sens!H3249</f>
        <v>0.442269518725575</v>
      </c>
      <c r="I3258" s="7" t="n">
        <f aca="false">Sens!I3256/Sens!I3249</f>
        <v>0.452797921553105</v>
      </c>
      <c r="J3258" s="7" t="n">
        <f aca="false">Sens!J3256/Sens!J3249</f>
        <v>0.459571645780465</v>
      </c>
      <c r="K3258" s="7" t="n">
        <f aca="false">Sens!K3256/Sens!K3249</f>
        <v>0.463923297405606</v>
      </c>
    </row>
    <row r="3259" customFormat="false" ht="17.15" hidden="false" customHeight="false" outlineLevel="0" collapsed="false">
      <c r="A3259" s="1" t="s">
        <v>916</v>
      </c>
      <c r="B3259" s="0" t="s">
        <v>98</v>
      </c>
      <c r="F3259" s="6" t="n">
        <f aca="false">Sens!F3274</f>
        <v>2.5160221392654</v>
      </c>
      <c r="G3259" s="6" t="n">
        <f aca="false">Sens!G3274</f>
        <v>2.37863691453172</v>
      </c>
      <c r="H3259" s="6" t="n">
        <f aca="false">Sens!H3274</f>
        <v>0.603369168326561</v>
      </c>
      <c r="I3259" s="6" t="n">
        <f aca="false">Sens!I3274</f>
        <v>0</v>
      </c>
      <c r="J3259" s="6" t="n">
        <f aca="false">Sens!J3274</f>
        <v>0</v>
      </c>
      <c r="K3259" s="6" t="n">
        <f aca="false">Sens!K3274</f>
        <v>0</v>
      </c>
      <c r="L3259" s="1" t="s">
        <v>917</v>
      </c>
    </row>
    <row r="3260" customFormat="false" ht="17.15" hidden="false" customHeight="false" outlineLevel="0" collapsed="false">
      <c r="A3260" s="1" t="s">
        <v>918</v>
      </c>
      <c r="B3260" s="0" t="s">
        <v>98</v>
      </c>
      <c r="D3260" s="6" t="n">
        <f aca="false">Sens!D3256</f>
        <v>128.528</v>
      </c>
      <c r="E3260" s="6" t="n">
        <f aca="false">Sens!E3256</f>
        <v>155.237</v>
      </c>
      <c r="F3260" s="6" t="n">
        <f aca="false">Sens!F3256+Sens!F3259</f>
        <v>166.638765488934</v>
      </c>
      <c r="G3260" s="6" t="n">
        <f aca="false">Sens!G3256+Sens!G3259</f>
        <v>190.851601741201</v>
      </c>
      <c r="H3260" s="6" t="n">
        <f aca="false">Sens!H3256+Sens!H3259</f>
        <v>213.031900823709</v>
      </c>
      <c r="I3260" s="6" t="n">
        <f aca="false">Sens!I3256+Sens!I3259</f>
        <v>236.317786843901</v>
      </c>
      <c r="J3260" s="6" t="n">
        <f aca="false">Sens!J3256+Sens!J3259</f>
        <v>257.753249137264</v>
      </c>
      <c r="K3260" s="6" t="n">
        <f aca="false">Sens!K3256+Sens!K3259</f>
        <v>277.698618883597</v>
      </c>
    </row>
    <row r="3261" customFormat="false" ht="17.15" hidden="false" customHeight="false" outlineLevel="0" collapsed="false">
      <c r="A3261" s="1" t="s">
        <v>919</v>
      </c>
      <c r="B3261" s="0" t="s">
        <v>98</v>
      </c>
      <c r="E3261" s="6" t="n">
        <f aca="false">Sens!E3204</f>
        <v>16.3054059770833</v>
      </c>
      <c r="F3261" s="6" t="n">
        <f aca="false">Sens!F3204</f>
        <v>24.6319326396667</v>
      </c>
      <c r="G3261" s="6" t="n">
        <f aca="false">Sens!G3204</f>
        <v>29.4421900723333</v>
      </c>
      <c r="H3261" s="6" t="n">
        <f aca="false">Sens!H3204</f>
        <v>32.0248894903333</v>
      </c>
      <c r="I3261" s="6" t="n">
        <f aca="false">Sens!I3204</f>
        <v>32.6686637199167</v>
      </c>
      <c r="J3261" s="6" t="n">
        <f aca="false">Sens!J3204</f>
        <v>34.2846684186667</v>
      </c>
      <c r="K3261" s="6" t="n">
        <f aca="false">Sens!K3204</f>
        <v>37.1882215765833</v>
      </c>
    </row>
    <row r="3262" customFormat="false" ht="17.15" hidden="false" customHeight="false" outlineLevel="0" collapsed="false">
      <c r="A3262" s="1" t="s">
        <v>920</v>
      </c>
      <c r="B3262" s="0" t="s">
        <v>98</v>
      </c>
      <c r="E3262" s="6" t="n">
        <f aca="false">Sens!E3286</f>
        <v>22.2285940229167</v>
      </c>
      <c r="F3262" s="6" t="n">
        <f aca="false">Sens!F3286</f>
        <v>37.358881403025</v>
      </c>
      <c r="G3262" s="6" t="n">
        <f aca="false">Sens!G3286</f>
        <v>37.7382826197614</v>
      </c>
      <c r="H3262" s="6" t="n">
        <f aca="false">Sens!H3286</f>
        <v>38.6456057221943</v>
      </c>
      <c r="I3262" s="6" t="n">
        <f aca="false">Sens!I3286</f>
        <v>40.0008851811392</v>
      </c>
      <c r="J3262" s="6" t="n">
        <f aca="false">Sens!J3286</f>
        <v>41.7088879880627</v>
      </c>
      <c r="K3262" s="6" t="n">
        <f aca="false">Sens!K3286</f>
        <v>43.6748694634558</v>
      </c>
    </row>
    <row r="3263" customFormat="false" ht="17.15" hidden="false" customHeight="false" outlineLevel="0" collapsed="false">
      <c r="A3263" s="1" t="s">
        <v>921</v>
      </c>
      <c r="B3263" s="0" t="s">
        <v>98</v>
      </c>
      <c r="D3263" s="6" t="n">
        <f aca="false">Q!L27</f>
        <v>-4.901</v>
      </c>
      <c r="E3263" s="6" t="n">
        <f aca="false">Q!M27</f>
        <v>10.697</v>
      </c>
      <c r="F3263" s="6" t="n">
        <f aca="false">oie_f</f>
        <v>-0.4</v>
      </c>
      <c r="G3263" s="6" t="n">
        <f aca="false">oie_f</f>
        <v>-0.4</v>
      </c>
      <c r="H3263" s="6" t="n">
        <f aca="false">oie_f</f>
        <v>-0.4</v>
      </c>
      <c r="I3263" s="6" t="n">
        <f aca="false">oie_f</f>
        <v>-0.4</v>
      </c>
      <c r="J3263" s="6" t="n">
        <f aca="false">oie_f</f>
        <v>-0.4</v>
      </c>
      <c r="K3263" s="6" t="n">
        <f aca="false">oie_f</f>
        <v>-0.4</v>
      </c>
      <c r="L3263" s="11" t="s">
        <v>922</v>
      </c>
    </row>
    <row r="3264" customFormat="false" ht="15" hidden="false" customHeight="false" outlineLevel="0" collapsed="false">
      <c r="A3264" s="1" t="s">
        <v>923</v>
      </c>
      <c r="B3264" s="0" t="s">
        <v>98</v>
      </c>
      <c r="D3264" s="6" t="n">
        <f aca="false">Sens!D3256+Sens!D3263</f>
        <v>123.627</v>
      </c>
      <c r="E3264" s="6" t="n">
        <f aca="false">Sens!E3256+Sens!E3263</f>
        <v>165.934</v>
      </c>
      <c r="F3264" s="6" t="n">
        <f aca="false">Sens!F3256+Sens!F3263</f>
        <v>163.722743349669</v>
      </c>
      <c r="G3264" s="6" t="n">
        <f aca="false">Sens!G3256+Sens!G3263</f>
        <v>188.072964826669</v>
      </c>
      <c r="H3264" s="6" t="n">
        <f aca="false">Sens!H3256+Sens!H3263</f>
        <v>212.028531655382</v>
      </c>
      <c r="I3264" s="6" t="n">
        <f aca="false">Sens!I3256+Sens!I3263</f>
        <v>235.917786843901</v>
      </c>
      <c r="J3264" s="6" t="n">
        <f aca="false">Sens!J3256+Sens!J3263</f>
        <v>257.353249137264</v>
      </c>
      <c r="K3264" s="6" t="n">
        <f aca="false">Sens!K3256+Sens!K3263</f>
        <v>277.298618883597</v>
      </c>
    </row>
    <row r="3265" customFormat="false" ht="15" hidden="false" customHeight="false" outlineLevel="0" collapsed="false">
      <c r="A3265" s="1" t="s">
        <v>924</v>
      </c>
      <c r="B3265" s="0" t="s">
        <v>98</v>
      </c>
      <c r="D3265" s="6" t="n">
        <f aca="false">Q!L29</f>
        <v>21.795</v>
      </c>
      <c r="E3265" s="6" t="n">
        <f aca="false">Q!M29</f>
        <v>32.185</v>
      </c>
      <c r="F3265" s="6" t="n">
        <f aca="false">Sens!F3264*tax_f</f>
        <v>32.7445486699338</v>
      </c>
      <c r="G3265" s="6" t="n">
        <f aca="false">Sens!G3264*tax_f</f>
        <v>37.6145929653339</v>
      </c>
      <c r="H3265" s="6" t="n">
        <f aca="false">Sens!H3264*tax_f</f>
        <v>42.4057063310764</v>
      </c>
      <c r="I3265" s="6" t="n">
        <f aca="false">Sens!I3264*tax_f</f>
        <v>47.1835573687803</v>
      </c>
      <c r="J3265" s="6" t="n">
        <f aca="false">Sens!J3264*tax_f</f>
        <v>51.4706498274527</v>
      </c>
      <c r="K3265" s="6" t="n">
        <f aca="false">Sens!K3264*tax_f</f>
        <v>55.4597237767195</v>
      </c>
    </row>
    <row r="3266" customFormat="false" ht="15" hidden="false" customHeight="false" outlineLevel="0" collapsed="false">
      <c r="A3266" s="1" t="s">
        <v>925</v>
      </c>
      <c r="B3266" s="0" t="s">
        <v>98</v>
      </c>
      <c r="D3266" s="6" t="n">
        <f aca="false">Sens!D3264-Sens!D3265</f>
        <v>101.832</v>
      </c>
      <c r="E3266" s="6" t="n">
        <f aca="false">Sens!E3264-Sens!E3265</f>
        <v>133.749</v>
      </c>
      <c r="F3266" s="6" t="n">
        <f aca="false">Sens!F3264-Sens!F3265</f>
        <v>130.978194679735</v>
      </c>
      <c r="G3266" s="6" t="n">
        <f aca="false">Sens!G3264-Sens!G3265</f>
        <v>150.458371861336</v>
      </c>
      <c r="H3266" s="6" t="n">
        <f aca="false">Sens!H3264-Sens!H3265</f>
        <v>169.622825324306</v>
      </c>
      <c r="I3266" s="6" t="n">
        <f aca="false">Sens!I3264-Sens!I3265</f>
        <v>188.734229475121</v>
      </c>
      <c r="J3266" s="6" t="n">
        <f aca="false">Sens!J3264-Sens!J3265</f>
        <v>205.882599309811</v>
      </c>
      <c r="K3266" s="6" t="n">
        <f aca="false">Sens!K3264-Sens!K3265</f>
        <v>221.838895106878</v>
      </c>
    </row>
    <row r="3267" customFormat="false" ht="17.15" hidden="false" customHeight="false" outlineLevel="0" collapsed="false">
      <c r="A3267" s="1" t="s">
        <v>926</v>
      </c>
      <c r="B3267" s="1" t="s">
        <v>81</v>
      </c>
      <c r="D3267" s="14" t="n">
        <f aca="false">Q!L31</f>
        <v>7.465</v>
      </c>
      <c r="E3267" s="14" t="n">
        <f aca="false">Q!M31</f>
        <v>7.453</v>
      </c>
      <c r="F3267" s="14" t="n">
        <f aca="false">Sens!F3310</f>
        <v>7.4735</v>
      </c>
      <c r="G3267" s="14" t="n">
        <f aca="false">Sens!G3310</f>
        <v>7.49987171271795</v>
      </c>
      <c r="H3267" s="14" t="n">
        <f aca="false">Sens!H3310</f>
        <v>7.50899501128585</v>
      </c>
      <c r="I3267" s="14" t="n">
        <f aca="false">Sens!I3310</f>
        <v>7.52077584329316</v>
      </c>
      <c r="J3267" s="14" t="n">
        <f aca="false">Sens!J3310</f>
        <v>7.53501735441104</v>
      </c>
      <c r="K3267" s="14" t="n">
        <f aca="false">Sens!K3310</f>
        <v>7.55153727211278</v>
      </c>
    </row>
    <row r="3268" customFormat="false" ht="17.15" hidden="false" customHeight="false" outlineLevel="0" collapsed="false">
      <c r="A3268" s="0" t="s">
        <v>927</v>
      </c>
      <c r="B3268" s="0" t="s">
        <v>75</v>
      </c>
      <c r="D3268" s="8" t="n">
        <f aca="false">Sens!D3266/Sens!D3267</f>
        <v>13.641259209645</v>
      </c>
      <c r="E3268" s="8" t="n">
        <f aca="false">Sens!E3266/Sens!E3267</f>
        <v>17.9456594659869</v>
      </c>
      <c r="F3268" s="8" t="n">
        <f aca="false">Sens!F3266/Sens!F3267</f>
        <v>17.5256833718787</v>
      </c>
      <c r="G3268" s="8" t="n">
        <f aca="false">Sens!G3266/Sens!G3267</f>
        <v>20.0614593988581</v>
      </c>
      <c r="H3268" s="8" t="n">
        <f aca="false">Sens!H3266/Sens!H3267</f>
        <v>22.5892845939259</v>
      </c>
      <c r="I3268" s="8" t="n">
        <f aca="false">Sens!I3266/Sens!I3267</f>
        <v>25.0950478258742</v>
      </c>
      <c r="J3268" s="8" t="n">
        <f aca="false">Sens!J3266/Sens!J3267</f>
        <v>27.3234406274176</v>
      </c>
      <c r="K3268" s="8" t="n">
        <f aca="false">Sens!K3266/Sens!K3267</f>
        <v>29.3766536684009</v>
      </c>
      <c r="L3268" s="1" t="s">
        <v>928</v>
      </c>
    </row>
    <row r="3269" customFormat="false" ht="17.15" hidden="false" customHeight="false" outlineLevel="0" collapsed="false">
      <c r="A3269" s="1" t="s">
        <v>929</v>
      </c>
      <c r="B3269" s="0" t="s">
        <v>98</v>
      </c>
      <c r="D3269" s="6" t="n">
        <f aca="false">Sens!D3266</f>
        <v>101.832</v>
      </c>
      <c r="E3269" s="6" t="n">
        <f aca="false">Sens!E3266</f>
        <v>133.749</v>
      </c>
      <c r="F3269" s="6" t="n">
        <f aca="false">Sens!F3266+Sens!F3259*(1-tax_f)</f>
        <v>132.991012391147</v>
      </c>
      <c r="G3269" s="6" t="n">
        <f aca="false">Sens!G3266+Sens!G3259*(1-tax_f)</f>
        <v>152.361281392961</v>
      </c>
      <c r="H3269" s="6" t="n">
        <f aca="false">Sens!H3266+Sens!H3259*(1-tax_f)</f>
        <v>170.105520658967</v>
      </c>
      <c r="I3269" s="6" t="n">
        <f aca="false">Sens!I3266+Sens!I3259*(1-tax_f)</f>
        <v>188.734229475121</v>
      </c>
      <c r="J3269" s="6" t="n">
        <f aca="false">Sens!J3266+Sens!J3259*(1-tax_f)</f>
        <v>205.882599309811</v>
      </c>
      <c r="K3269" s="6" t="n">
        <f aca="false">Sens!K3266+Sens!K3259*(1-tax_f)</f>
        <v>221.838895106878</v>
      </c>
    </row>
    <row r="3270" customFormat="false" ht="17.15" hidden="false" customHeight="false" outlineLevel="0" collapsed="false">
      <c r="A3270" s="0" t="s">
        <v>930</v>
      </c>
      <c r="B3270" s="0" t="s">
        <v>75</v>
      </c>
      <c r="D3270" s="8" t="n">
        <f aca="false">Sens!D3269/Sens!D3267</f>
        <v>13.641259209645</v>
      </c>
      <c r="E3270" s="8" t="n">
        <f aca="false">Sens!E3269/Sens!E3267</f>
        <v>17.9456594659869</v>
      </c>
      <c r="F3270" s="8" t="n">
        <f aca="false">Sens!F3269/Sens!F3267</f>
        <v>17.7950106899241</v>
      </c>
      <c r="G3270" s="8" t="n">
        <f aca="false">Sens!G3269/Sens!G3267</f>
        <v>20.3151850097107</v>
      </c>
      <c r="H3270" s="8" t="n">
        <f aca="false">Sens!H3269/Sens!H3267</f>
        <v>22.6535668759005</v>
      </c>
      <c r="I3270" s="8" t="n">
        <f aca="false">Sens!I3269/Sens!I3267</f>
        <v>25.0950478258742</v>
      </c>
      <c r="J3270" s="8" t="n">
        <f aca="false">Sens!J3269/Sens!J3267</f>
        <v>27.3234406274176</v>
      </c>
      <c r="K3270" s="8" t="n">
        <f aca="false">Sens!K3269/Sens!K3267</f>
        <v>29.3766536684009</v>
      </c>
      <c r="L3270" s="1" t="s">
        <v>931</v>
      </c>
    </row>
    <row r="3271" customFormat="false" ht="17.15" hidden="false" customHeight="false" outlineLevel="0" collapsed="false">
      <c r="A3271" s="0" t="s">
        <v>932</v>
      </c>
      <c r="B3271" s="0" t="s">
        <v>129</v>
      </c>
      <c r="E3271" s="7" t="n">
        <f aca="false">Sens!E3270/Sens!D3270-1</f>
        <v>0.315542736208578</v>
      </c>
      <c r="F3271" s="7" t="n">
        <f aca="false">Sens!F3270/Sens!E3270-1</f>
        <v>-0.00839471942217163</v>
      </c>
      <c r="G3271" s="7" t="n">
        <f aca="false">Sens!G3270/Sens!F3270-1</f>
        <v>0.14162252350956</v>
      </c>
      <c r="H3271" s="7" t="n">
        <f aca="false">Sens!H3270/Sens!G3270-1</f>
        <v>0.115105122846385</v>
      </c>
      <c r="I3271" s="7" t="n">
        <f aca="false">Sens!I3270/Sens!H3270-1</f>
        <v>0.107774681283019</v>
      </c>
      <c r="J3271" s="7" t="n">
        <f aca="false">Sens!J3270/Sens!I3270-1</f>
        <v>0.0887981093722317</v>
      </c>
      <c r="K3271" s="7" t="n">
        <f aca="false">Sens!K3270/Sens!J3270-1</f>
        <v>0.075144747287903</v>
      </c>
    </row>
    <row r="3272" customFormat="false" ht="17.15" hidden="false" customHeight="false" outlineLevel="0" collapsed="false">
      <c r="A3272" s="0" t="s">
        <v>856</v>
      </c>
      <c r="B3272" s="0" t="s">
        <v>98</v>
      </c>
      <c r="E3272" s="6" t="n">
        <f aca="false">Sens!E3213</f>
        <v>5.25</v>
      </c>
      <c r="F3272" s="6" t="n">
        <f aca="false">Sens!F3213</f>
        <v>12</v>
      </c>
      <c r="G3272" s="6" t="n">
        <f aca="false">Sens!G3213</f>
        <v>18</v>
      </c>
      <c r="H3272" s="6" t="n">
        <f aca="false">Sens!H3213</f>
        <v>24</v>
      </c>
      <c r="I3272" s="6" t="n">
        <f aca="false">Sens!I3213</f>
        <v>28.5</v>
      </c>
      <c r="J3272" s="6" t="n">
        <f aca="false">Sens!J3213</f>
        <v>31.5</v>
      </c>
      <c r="K3272" s="6" t="n">
        <f aca="false">Sens!K3213</f>
        <v>34.5</v>
      </c>
    </row>
    <row r="3273" customFormat="false" ht="17.15" hidden="false" customHeight="false" outlineLevel="0" collapsed="false">
      <c r="A3273" s="1" t="s">
        <v>857</v>
      </c>
      <c r="B3273" s="0" t="s">
        <v>98</v>
      </c>
      <c r="F3273" s="6" t="n">
        <f aca="false">MAX(0,((Sens!E3176+Sens!F3176)/2-(shadow_base*(Sens!$D$3176+Sens!$E$3176)/2+(1-shadow_base)*Sens!$E$3176))*Sens!F3184/1000-(Sens!F3272-Sens!$E$3272)*Sens!F3252)</f>
        <v>2.5160221392654</v>
      </c>
      <c r="G3273" s="6" t="n">
        <f aca="false">MAX(0,((Sens!F3176+Sens!G3176)/2-(shadow_base*(Sens!$D$3176+Sens!$E$3176)/2+(1-shadow_base)*Sens!$E$3176))*Sens!G3184/1000-(Sens!G3272-Sens!$E$3272)*Sens!G3252)</f>
        <v>2.37863691453172</v>
      </c>
      <c r="H3273" s="6" t="n">
        <f aca="false">MAX(0,((Sens!G3176+Sens!H3176)/2-(shadow_base*(Sens!$D$3176+Sens!$E$3176)/2+(1-shadow_base)*Sens!$E$3176))*Sens!H3184/1000-(Sens!H3272-Sens!$E$3272)*Sens!H3252)</f>
        <v>0.603369168326561</v>
      </c>
      <c r="I3273" s="6" t="n">
        <f aca="false">MAX(0,((Sens!H3176+Sens!I3176)/2-(shadow_base*(Sens!$D$3176+Sens!$E$3176)/2+(1-shadow_base)*Sens!$E$3176))*Sens!I3184/1000-(Sens!I3272-Sens!$E$3272)*Sens!I3252)</f>
        <v>0</v>
      </c>
      <c r="J3273" s="6" t="n">
        <f aca="false">MAX(0,((Sens!I3176+Sens!J3176)/2-(shadow_base*(Sens!$D$3176+Sens!$E$3176)/2+(1-shadow_base)*Sens!$E$3176))*Sens!J3184/1000-(Sens!J3272-Sens!$E$3272)*Sens!J3252)</f>
        <v>0</v>
      </c>
      <c r="K3273" s="6" t="n">
        <f aca="false">MAX(0,((Sens!J3176+Sens!K3176)/2-(shadow_base*(Sens!$D$3176+Sens!$E$3176)/2+(1-shadow_base)*Sens!$E$3176))*Sens!K3184/1000-(Sens!K3272-Sens!$E$3272)*Sens!K3252)</f>
        <v>0</v>
      </c>
      <c r="L3273" s="1" t="s">
        <v>858</v>
      </c>
    </row>
    <row r="3274" customFormat="false" ht="17.15" hidden="false" customHeight="false" outlineLevel="0" collapsed="false">
      <c r="A3274" s="1" t="s">
        <v>859</v>
      </c>
      <c r="B3274" s="0" t="s">
        <v>98</v>
      </c>
      <c r="F3274" s="6" t="n">
        <f aca="false">IF(internal_ai_reading=2,1,0)*Sens!F3273</f>
        <v>2.5160221392654</v>
      </c>
      <c r="G3274" s="6" t="n">
        <f aca="false">IF(internal_ai_reading=2,1,0)*Sens!G3273</f>
        <v>2.37863691453172</v>
      </c>
      <c r="H3274" s="6" t="n">
        <f aca="false">IF(internal_ai_reading=2,1,0)*Sens!H3273</f>
        <v>0.603369168326561</v>
      </c>
      <c r="I3274" s="6" t="n">
        <f aca="false">IF(internal_ai_reading=2,1,0)*Sens!I3273</f>
        <v>0</v>
      </c>
      <c r="J3274" s="6" t="n">
        <f aca="false">IF(internal_ai_reading=2,1,0)*Sens!J3273</f>
        <v>0</v>
      </c>
      <c r="K3274" s="6" t="n">
        <f aca="false">IF(internal_ai_reading=2,1,0)*Sens!K3273</f>
        <v>0</v>
      </c>
    </row>
    <row r="3275" customFormat="false" ht="17.15" hidden="false" customHeight="false" outlineLevel="0" collapsed="false">
      <c r="A3275" s="0" t="s">
        <v>860</v>
      </c>
      <c r="B3275" s="0" t="s">
        <v>98</v>
      </c>
      <c r="F3275" s="6" t="n">
        <f aca="false">Sens!F3193+Sens!F3272*Sens!F3252+Sens!F3274-Sens!F3194-Sens!F3204</f>
        <v>8.5778526902209</v>
      </c>
      <c r="G3275" s="6" t="n">
        <f aca="false">Sens!G3193+Sens!G3272*Sens!G3252+Sens!G3274-Sens!G3194-Sens!G3204</f>
        <v>11.7421260283946</v>
      </c>
      <c r="H3275" s="6" t="n">
        <f aca="false">Sens!H3193+Sens!H3272*Sens!H3252+Sens!H3274-Sens!H3194-Sens!H3204</f>
        <v>12.6911411262182</v>
      </c>
      <c r="I3275" s="6" t="n">
        <f aca="false">Sens!I3193+Sens!I3272*Sens!I3252+Sens!I3274-Sens!I3194-Sens!I3204</f>
        <v>15.2408695993789</v>
      </c>
      <c r="J3275" s="6" t="n">
        <f aca="false">Sens!J3193+Sens!J3272*Sens!J3252+Sens!J3274-Sens!J3194-Sens!J3204</f>
        <v>17.1916088025852</v>
      </c>
      <c r="K3275" s="6" t="n">
        <f aca="false">Sens!K3193+Sens!K3272*Sens!K3252+Sens!K3274-Sens!K3194-Sens!K3204</f>
        <v>19.6836190736581</v>
      </c>
    </row>
    <row r="3276" customFormat="false" ht="17.15" hidden="false" customHeight="false" outlineLevel="0" collapsed="false">
      <c r="A3276" s="0" t="s">
        <v>861</v>
      </c>
      <c r="B3276" s="0" t="s">
        <v>98</v>
      </c>
      <c r="E3276" s="6" t="n">
        <f aca="false">Sens!E3175*(cxit_open+self_build*tk_cxfac)/1000*ai_net_open</f>
        <v>126.6980382</v>
      </c>
      <c r="F3276" s="6" t="n">
        <f aca="false">Sens!E3276+Sens!F3201-Sens!F3204</f>
        <v>132.734637736333</v>
      </c>
      <c r="G3276" s="6" t="n">
        <f aca="false">Sens!F3276+Sens!G3201-Sens!G3204</f>
        <v>138.59517468</v>
      </c>
      <c r="H3276" s="6" t="n">
        <f aca="false">Sens!G3276+Sens!H3201-Sens!H3204</f>
        <v>106.570285189667</v>
      </c>
      <c r="I3276" s="6" t="n">
        <f aca="false">Sens!H3276+Sens!I3201-Sens!I3204</f>
        <v>104.160296816417</v>
      </c>
      <c r="J3276" s="6" t="n">
        <f aca="false">Sens!I3276+Sens!J3201-Sens!J3204</f>
        <v>115.572403411083</v>
      </c>
      <c r="K3276" s="6" t="n">
        <f aca="false">Sens!J3276+Sens!K3201-Sens!K3204</f>
        <v>169.1602078745</v>
      </c>
      <c r="L3276" s="1" t="s">
        <v>862</v>
      </c>
    </row>
    <row r="3277" customFormat="false" ht="17.15" hidden="false" customHeight="false" outlineLevel="0" collapsed="false">
      <c r="A3277" s="0" t="s">
        <v>863</v>
      </c>
      <c r="B3277" s="0" t="s">
        <v>129</v>
      </c>
      <c r="F3277" s="7" t="n">
        <f aca="false">Sens!F3275*(1-tax_f)/((Sens!E3276+Sens!F3276)/2)</f>
        <v>0.0529022192552242</v>
      </c>
      <c r="G3277" s="7" t="n">
        <f aca="false">Sens!G3275*(1-tax_f)/((Sens!F3276+Sens!G3276)/2)</f>
        <v>0.0692419365130566</v>
      </c>
      <c r="H3277" s="7" t="n">
        <f aca="false">Sens!H3275*(1-tax_f)/((Sens!G3276+Sens!H3276)/2)</f>
        <v>0.0828249860838635</v>
      </c>
      <c r="I3277" s="7" t="n">
        <f aca="false">Sens!I3275*(1-tax_f)/((Sens!H3276+Sens!I3276)/2)</f>
        <v>0.115718331562821</v>
      </c>
      <c r="J3277" s="7" t="n">
        <f aca="false">Sens!J3275*(1-tax_f)/((Sens!I3276+Sens!J3276)/2)</f>
        <v>0.125181978174652</v>
      </c>
      <c r="K3277" s="7" t="n">
        <f aca="false">Sens!K3275*(1-tax_f)/((Sens!J3276+Sens!K3276)/2)</f>
        <v>0.110608301506655</v>
      </c>
    </row>
    <row r="3278" customFormat="false" ht="17.15" hidden="false" customHeight="false" outlineLevel="0" collapsed="false">
      <c r="A3278" s="1" t="s">
        <v>864</v>
      </c>
      <c r="B3278" s="0" t="s">
        <v>129</v>
      </c>
      <c r="F3278" s="7" t="n">
        <f aca="false">(Sens!F3275-Sens!F3274)*(1-tax_f)/((Sens!E3276+Sens!F3276)/2)</f>
        <v>0.0373851475976334</v>
      </c>
      <c r="G3278" s="7" t="n">
        <f aca="false">(Sens!G3275-Sens!G3274)*(1-tax_f)/((Sens!F3276+Sens!G3276)/2)</f>
        <v>0.0552153943157287</v>
      </c>
      <c r="H3278" s="7" t="n">
        <f aca="false">(Sens!H3275-Sens!H3274)*(1-tax_f)/((Sens!G3276+Sens!H3276)/2)</f>
        <v>0.078887275323809</v>
      </c>
      <c r="I3278" s="7" t="n">
        <f aca="false">(Sens!I3275-Sens!I3274)*(1-tax_f)/((Sens!H3276+Sens!I3276)/2)</f>
        <v>0.115718331562821</v>
      </c>
      <c r="J3278" s="7" t="n">
        <f aca="false">(Sens!J3275-Sens!J3274)*(1-tax_f)/((Sens!I3276+Sens!J3276)/2)</f>
        <v>0.125181978174652</v>
      </c>
      <c r="K3278" s="7" t="n">
        <f aca="false">(Sens!K3275-Sens!K3274)*(1-tax_f)/((Sens!J3276+Sens!K3276)/2)</f>
        <v>0.110608301506655</v>
      </c>
    </row>
    <row r="3279" customFormat="false" ht="17.15" hidden="false" customHeight="false" outlineLevel="0" collapsed="false">
      <c r="A3279" s="1" t="s">
        <v>865</v>
      </c>
      <c r="B3279" s="0" t="s">
        <v>129</v>
      </c>
      <c r="F3279" s="7" t="n">
        <f aca="false">(Sens!F3275-Sens!F3274+Sens!F3273)*(1-tax_f)/((Sens!E3276+Sens!F3276)/2)</f>
        <v>0.0529022192552242</v>
      </c>
      <c r="G3279" s="7" t="n">
        <f aca="false">(Sens!G3275-Sens!G3274+Sens!G3273)*(1-tax_f)/((Sens!F3276+Sens!G3276)/2)</f>
        <v>0.0692419365130566</v>
      </c>
      <c r="H3279" s="7" t="n">
        <f aca="false">(Sens!H3275-Sens!H3274+Sens!H3273)*(1-tax_f)/((Sens!G3276+Sens!H3276)/2)</f>
        <v>0.0828249860838635</v>
      </c>
      <c r="I3279" s="7" t="n">
        <f aca="false">(Sens!I3275-Sens!I3274+Sens!I3273)*(1-tax_f)/((Sens!H3276+Sens!I3276)/2)</f>
        <v>0.115718331562821</v>
      </c>
      <c r="J3279" s="7" t="n">
        <f aca="false">(Sens!J3275-Sens!J3274+Sens!J3273)*(1-tax_f)/((Sens!I3276+Sens!J3276)/2)</f>
        <v>0.125181978174652</v>
      </c>
      <c r="K3279" s="7" t="n">
        <f aca="false">(Sens!K3275-Sens!K3274+Sens!K3273)*(1-tax_f)/((Sens!J3276+Sens!K3276)/2)</f>
        <v>0.110608301506655</v>
      </c>
    </row>
    <row r="3280" customFormat="false" ht="17.15" hidden="false" customHeight="false" outlineLevel="0" collapsed="false">
      <c r="A3280" s="1" t="s">
        <v>866</v>
      </c>
      <c r="B3280" s="0" t="s">
        <v>129</v>
      </c>
      <c r="F3280" s="7" t="n">
        <f aca="false">Sens!F3205*(1-tax_f)/(Sens!F3192*(Sens!E3276+Sens!F3276)/2)</f>
        <v>0.143281013946319</v>
      </c>
      <c r="G3280" s="7" t="n">
        <f aca="false">Sens!G3205*(1-tax_f)/(Sens!G3192*(Sens!F3276+Sens!G3276)/2)</f>
        <v>0.162690458407911</v>
      </c>
      <c r="H3280" s="7" t="n">
        <f aca="false">Sens!H3205*(1-tax_f)/(Sens!H3192*(Sens!G3276+Sens!H3276)/2)</f>
        <v>0.188100618921318</v>
      </c>
      <c r="I3280" s="7" t="n">
        <f aca="false">Sens!I3205*(1-tax_f)/(Sens!I3192*(Sens!H3276+Sens!I3276)/2)</f>
        <v>0.230154458891225</v>
      </c>
      <c r="J3280" s="7" t="n">
        <f aca="false">Sens!J3205*(1-tax_f)/(Sens!J3192*(Sens!I3276+Sens!J3276)/2)</f>
        <v>0.232428270953267</v>
      </c>
      <c r="K3280" s="7" t="n">
        <f aca="false">Sens!K3205*(1-tax_f)/(Sens!K3192*(Sens!J3276+Sens!K3276)/2)</f>
        <v>0.199032164179295</v>
      </c>
    </row>
    <row r="3281" customFormat="false" ht="17.15" hidden="false" customHeight="false" outlineLevel="0" collapsed="false">
      <c r="A3281" s="0" t="s">
        <v>867</v>
      </c>
      <c r="B3281" s="0" t="s">
        <v>209</v>
      </c>
      <c r="F3281" s="7" t="n">
        <f aca="false">Sens!F3277-wacc</f>
        <v>-0.0500322008376515</v>
      </c>
      <c r="G3281" s="7" t="n">
        <f aca="false">Sens!G3277-wacc</f>
        <v>-0.0336924835798192</v>
      </c>
      <c r="H3281" s="7" t="n">
        <f aca="false">Sens!H3277-wacc</f>
        <v>-0.0201094340090122</v>
      </c>
      <c r="I3281" s="7" t="n">
        <f aca="false">Sens!I3277-wacc</f>
        <v>0.0127839114699452</v>
      </c>
      <c r="J3281" s="7" t="n">
        <f aca="false">Sens!J3277-wacc</f>
        <v>0.0222475580817763</v>
      </c>
      <c r="K3281" s="7" t="n">
        <f aca="false">Sens!K3277-wacc</f>
        <v>0.00767388141377885</v>
      </c>
    </row>
    <row r="3282" customFormat="false" ht="17.15" hidden="false" customHeight="false" outlineLevel="0" collapsed="false">
      <c r="A3282" s="0" t="s">
        <v>868</v>
      </c>
      <c r="B3282" s="0" t="s">
        <v>98</v>
      </c>
      <c r="F3282" s="6" t="n">
        <f aca="false">Sens!F3275*(1-tax_f)-wacc*(Sens!E3276+Sens!F3276)/2</f>
        <v>-6.48999387314799</v>
      </c>
      <c r="G3282" s="6" t="n">
        <f aca="false">Sens!G3275*(1-tax_f)-wacc*(Sens!F3276+Sens!G3276)/2</f>
        <v>-4.57088762477637</v>
      </c>
      <c r="H3282" s="6" t="n">
        <f aca="false">Sens!H3275*(1-tax_f)-wacc*(Sens!G3276+Sens!H3276)/2</f>
        <v>-2.4650693182691</v>
      </c>
      <c r="I3282" s="6" t="n">
        <f aca="false">Sens!I3275*(1-tax_f)-wacc*(Sens!H3276+Sens!I3276)/2</f>
        <v>1.3469805521879</v>
      </c>
      <c r="J3282" s="6" t="n">
        <f aca="false">Sens!J3275*(1-tax_f)-wacc*(Sens!I3276+Sens!J3276)/2</f>
        <v>2.44425800538842</v>
      </c>
      <c r="K3282" s="6" t="n">
        <f aca="false">Sens!K3275*(1-tax_f)-wacc*(Sens!J3276+Sens!K3276)/2</f>
        <v>1.09250214682058</v>
      </c>
    </row>
    <row r="3283" customFormat="false" ht="17.15" hidden="false" customHeight="false" outlineLevel="0" collapsed="false">
      <c r="A3283" s="3" t="s">
        <v>1345</v>
      </c>
    </row>
    <row r="3284" customFormat="false" ht="15" hidden="false" customHeight="false" outlineLevel="0" collapsed="false">
      <c r="A3284" s="4" t="s">
        <v>43</v>
      </c>
      <c r="B3284" s="4" t="s">
        <v>65</v>
      </c>
      <c r="C3284" s="20" t="s">
        <v>799</v>
      </c>
      <c r="D3284" s="20" t="s">
        <v>800</v>
      </c>
      <c r="E3284" s="20" t="s">
        <v>801</v>
      </c>
      <c r="F3284" s="20" t="s">
        <v>802</v>
      </c>
      <c r="G3284" s="20" t="s">
        <v>803</v>
      </c>
      <c r="H3284" s="20" t="s">
        <v>804</v>
      </c>
      <c r="I3284" s="20" t="s">
        <v>805</v>
      </c>
      <c r="J3284" s="20" t="s">
        <v>806</v>
      </c>
      <c r="K3284" s="20" t="s">
        <v>807</v>
      </c>
      <c r="L3284" s="4" t="s">
        <v>47</v>
      </c>
    </row>
    <row r="3285" customFormat="false" ht="15" hidden="false" customHeight="false" outlineLevel="0" collapsed="false">
      <c r="A3285" s="1" t="s">
        <v>925</v>
      </c>
      <c r="B3285" s="0" t="s">
        <v>98</v>
      </c>
      <c r="F3285" s="6" t="n">
        <f aca="false">Sens!F3266</f>
        <v>130.978194679735</v>
      </c>
      <c r="G3285" s="6" t="n">
        <f aca="false">Sens!G3266</f>
        <v>150.458371861336</v>
      </c>
      <c r="H3285" s="6" t="n">
        <f aca="false">Sens!H3266</f>
        <v>169.622825324306</v>
      </c>
      <c r="I3285" s="6" t="n">
        <f aca="false">Sens!I3266</f>
        <v>188.734229475121</v>
      </c>
      <c r="J3285" s="6" t="n">
        <f aca="false">Sens!J3266</f>
        <v>205.882599309811</v>
      </c>
      <c r="K3285" s="6" t="n">
        <f aca="false">Sens!K3266</f>
        <v>221.838895106878</v>
      </c>
    </row>
    <row r="3286" customFormat="false" ht="17.15" hidden="false" customHeight="false" outlineLevel="0" collapsed="false">
      <c r="A3286" s="1" t="s">
        <v>947</v>
      </c>
      <c r="B3286" s="0" t="s">
        <v>98</v>
      </c>
      <c r="E3286" s="6" t="n">
        <f aca="false">Q!M38-Sens!E3204</f>
        <v>22.2285940229167</v>
      </c>
      <c r="F3286" s="6" t="n">
        <f aca="false">Sens!E3286*(1-1/life_nonai)+(Sens!F3293+Sens!F3294)/life_nonai</f>
        <v>37.358881403025</v>
      </c>
      <c r="G3286" s="6" t="n">
        <f aca="false">Sens!F3286*(1-1/life_nonai)+(Sens!G3293)/life_nonai</f>
        <v>37.7382826197614</v>
      </c>
      <c r="H3286" s="6" t="n">
        <f aca="false">Sens!G3286*(1-1/life_nonai)+(Sens!H3293)/life_nonai</f>
        <v>38.6456057221943</v>
      </c>
      <c r="I3286" s="6" t="n">
        <f aca="false">Sens!H3286*(1-1/life_nonai)+(Sens!I3293)/life_nonai</f>
        <v>40.0008851811392</v>
      </c>
      <c r="J3286" s="6" t="n">
        <f aca="false">Sens!I3286*(1-1/life_nonai)+(Sens!J3293)/life_nonai</f>
        <v>41.7088879880627</v>
      </c>
      <c r="K3286" s="6" t="n">
        <f aca="false">Sens!J3286*(1-1/life_nonai)+(Sens!K3293)/life_nonai</f>
        <v>43.6748694634558</v>
      </c>
      <c r="L3286" s="11" t="s">
        <v>948</v>
      </c>
    </row>
    <row r="3287" customFormat="false" ht="17.15" hidden="false" customHeight="false" outlineLevel="0" collapsed="false">
      <c r="A3287" s="1" t="s">
        <v>949</v>
      </c>
      <c r="B3287" s="0" t="s">
        <v>98</v>
      </c>
      <c r="F3287" s="6" t="n">
        <f aca="false">Sens!$F$3294/life_nonai*(1-1/life_nonai)^(Sens!F3170-2027)</f>
        <v>13.7952120594438</v>
      </c>
      <c r="G3287" s="6" t="n">
        <f aca="false">Sens!$F$3294/life_nonai*(1-1/life_nonai)^(Sens!G3170-2027)</f>
        <v>12.4156908534994</v>
      </c>
      <c r="H3287" s="6" t="n">
        <f aca="false">Sens!$F$3294/life_nonai*(1-1/life_nonai)^(Sens!H3170-2027)</f>
        <v>11.1741217681494</v>
      </c>
      <c r="I3287" s="6" t="n">
        <f aca="false">Sens!$F$3294/life_nonai*(1-1/life_nonai)^(Sens!I3170-2027)</f>
        <v>10.0567095913345</v>
      </c>
      <c r="J3287" s="6" t="n">
        <f aca="false">Sens!$F$3294/life_nonai*(1-1/life_nonai)^(Sens!J3170-2027)</f>
        <v>9.05103863220105</v>
      </c>
      <c r="K3287" s="6" t="n">
        <f aca="false">Sens!$F$3294/life_nonai*(1-1/life_nonai)^(Sens!K3170-2027)</f>
        <v>8.14593476898094</v>
      </c>
      <c r="L3287" s="1" t="s">
        <v>950</v>
      </c>
    </row>
    <row r="3288" customFormat="false" ht="17.15" hidden="false" customHeight="false" outlineLevel="0" collapsed="false">
      <c r="A3288" s="1" t="s">
        <v>951</v>
      </c>
      <c r="B3288" s="0" t="s">
        <v>98</v>
      </c>
      <c r="E3288" s="6" t="n">
        <f aca="false">Sens!E3204+Sens!E3286</f>
        <v>38.534</v>
      </c>
      <c r="F3288" s="6" t="n">
        <f aca="false">Sens!F3204+Sens!F3286</f>
        <v>61.9908140426917</v>
      </c>
      <c r="G3288" s="6" t="n">
        <f aca="false">Sens!G3204+Sens!G3286</f>
        <v>67.1804726920948</v>
      </c>
      <c r="H3288" s="6" t="n">
        <f aca="false">Sens!H3204+Sens!H3286</f>
        <v>70.6704952125276</v>
      </c>
      <c r="I3288" s="6" t="n">
        <f aca="false">Sens!I3204+Sens!I3286</f>
        <v>72.6695489010559</v>
      </c>
      <c r="J3288" s="6" t="n">
        <f aca="false">Sens!J3204+Sens!J3286</f>
        <v>75.9935564067293</v>
      </c>
      <c r="K3288" s="6" t="n">
        <f aca="false">Sens!K3204+Sens!K3286</f>
        <v>80.8630910400391</v>
      </c>
    </row>
    <row r="3289" customFormat="false" ht="17.15" hidden="false" customHeight="false" outlineLevel="0" collapsed="false">
      <c r="A3289" s="1" t="s">
        <v>952</v>
      </c>
      <c r="B3289" s="0" t="s">
        <v>98</v>
      </c>
      <c r="F3289" s="6" t="n">
        <f aca="false">Sens!F3231*sbc_r</f>
        <v>14.4364555395187</v>
      </c>
      <c r="G3289" s="6" t="n">
        <f aca="false">Sens!G3231*sbc_r</f>
        <v>16.269733096907</v>
      </c>
      <c r="H3289" s="6" t="n">
        <f aca="false">Sens!H3231*sbc_r</f>
        <v>17.9554039915122</v>
      </c>
      <c r="I3289" s="6" t="n">
        <f aca="false">Sens!I3231*sbc_r</f>
        <v>19.5101823597186</v>
      </c>
      <c r="J3289" s="6" t="n">
        <f aca="false">Sens!J3231*sbc_r</f>
        <v>20.9662261054752</v>
      </c>
      <c r="K3289" s="6" t="n">
        <f aca="false">Sens!K3231*sbc_r</f>
        <v>22.3767433057625</v>
      </c>
    </row>
    <row r="3290" customFormat="false" ht="17.15" hidden="false" customHeight="false" outlineLevel="0" collapsed="false">
      <c r="A3290" s="1" t="s">
        <v>953</v>
      </c>
      <c r="B3290" s="0" t="s">
        <v>98</v>
      </c>
      <c r="F3290" s="6" t="n">
        <f aca="false">wc27</f>
        <v>-4.895</v>
      </c>
      <c r="G3290" s="6" t="n">
        <f aca="false">wc_f</f>
        <v>0</v>
      </c>
      <c r="H3290" s="6" t="n">
        <f aca="false">wc_f</f>
        <v>0</v>
      </c>
      <c r="I3290" s="6" t="n">
        <f aca="false">wc_f</f>
        <v>0</v>
      </c>
      <c r="J3290" s="6" t="n">
        <f aca="false">wc_f</f>
        <v>0</v>
      </c>
      <c r="K3290" s="6" t="n">
        <f aca="false">wc_f</f>
        <v>0</v>
      </c>
      <c r="L3290" s="11" t="s">
        <v>954</v>
      </c>
    </row>
    <row r="3291" customFormat="false" ht="15" hidden="false" customHeight="false" outlineLevel="0" collapsed="false">
      <c r="A3291" s="1" t="s">
        <v>767</v>
      </c>
      <c r="B3291" s="0" t="s">
        <v>98</v>
      </c>
      <c r="E3291" s="6" t="n">
        <f aca="false">Q!M35</f>
        <v>182.935</v>
      </c>
      <c r="F3291" s="6" t="n">
        <f aca="false">Sens!F3285+Sens!F3288+Sens!F3289+Sens!F3290</f>
        <v>202.510464261946</v>
      </c>
      <c r="G3291" s="6" t="n">
        <f aca="false">Sens!G3285+Sens!G3288+Sens!G3289+Sens!G3290</f>
        <v>233.908577650337</v>
      </c>
      <c r="H3291" s="6" t="n">
        <f aca="false">Sens!H3285+Sens!H3288+Sens!H3289+Sens!H3290</f>
        <v>258.248724528345</v>
      </c>
      <c r="I3291" s="6" t="n">
        <f aca="false">Sens!I3285+Sens!I3288+Sens!I3289+Sens!I3290</f>
        <v>280.913960735896</v>
      </c>
      <c r="J3291" s="6" t="n">
        <f aca="false">Sens!J3285+Sens!J3288+Sens!J3289+Sens!J3290</f>
        <v>302.842381822016</v>
      </c>
      <c r="K3291" s="6" t="n">
        <f aca="false">Sens!K3285+Sens!K3288+Sens!K3289+Sens!K3290</f>
        <v>325.07872945268</v>
      </c>
    </row>
    <row r="3292" customFormat="false" ht="17.15" hidden="false" customHeight="false" outlineLevel="0" collapsed="false">
      <c r="A3292" s="0" t="s">
        <v>955</v>
      </c>
      <c r="B3292" s="0" t="s">
        <v>98</v>
      </c>
      <c r="F3292" s="6" t="n">
        <f aca="false">Sens!F3201</f>
        <v>30.668532176</v>
      </c>
      <c r="G3292" s="6" t="n">
        <f aca="false">Sens!G3201</f>
        <v>35.302727016</v>
      </c>
      <c r="H3292" s="6" t="n">
        <f aca="false">Sens!H3201</f>
        <v>0</v>
      </c>
      <c r="I3292" s="6" t="n">
        <f aca="false">Sens!I3201</f>
        <v>30.2586753466667</v>
      </c>
      <c r="J3292" s="6" t="n">
        <f aca="false">Sens!J3201</f>
        <v>45.6967750133333</v>
      </c>
      <c r="K3292" s="6" t="n">
        <f aca="false">Sens!K3201</f>
        <v>90.77602604</v>
      </c>
    </row>
    <row r="3293" customFormat="false" ht="17.15" hidden="false" customHeight="false" outlineLevel="0" collapsed="false">
      <c r="A3293" s="1" t="s">
        <v>956</v>
      </c>
      <c r="B3293" s="0" t="s">
        <v>98</v>
      </c>
      <c r="E3293" s="6" t="n">
        <f aca="false">Sens!E3209*cx_azo+Sens!E3216*cx_m365+Sens!E3217*cx_lic+(Sens!E3219+Sens!E3221)*cx_ind+Sens!E3224*cx_srch+(Sens!E3226+Sens!E3228)*cx_dev</f>
        <v>30.1846587067718</v>
      </c>
      <c r="F3293" s="6" t="n">
        <f aca="false">Sens!F3209*cx_azo+Sens!F3216*cx_m365+Sens!F3217*cx_lic+(Sens!F3219+Sens!F3221)*cx_ind+Sens!F3224*cx_srch+(Sens!F3226+Sens!F3228)*cx_dev</f>
        <v>35.5793472295625</v>
      </c>
      <c r="G3293" s="6" t="n">
        <f aca="false">Sens!G3209*cx_azo+Sens!G3216*cx_m365+Sens!G3217*cx_lic+(Sens!G3219+Sens!G3221)*cx_ind+Sens!G3224*cx_srch+(Sens!G3226+Sens!G3228)*cx_dev</f>
        <v>41.1528935703892</v>
      </c>
      <c r="H3293" s="6" t="n">
        <f aca="false">Sens!H3209*cx_azo+Sens!H3216*cx_m365+Sens!H3217*cx_lic+(Sens!H3219+Sens!H3221)*cx_ind+Sens!H3224*cx_srch+(Sens!H3226+Sens!H3228)*cx_dev</f>
        <v>46.8115136440897</v>
      </c>
      <c r="I3293" s="6" t="n">
        <f aca="false">Sens!I3209*cx_azo+Sens!I3216*cx_m365+Sens!I3217*cx_lic+(Sens!I3219+Sens!I3221)*cx_ind+Sens!I3224*cx_srch+(Sens!I3226+Sens!I3228)*cx_dev</f>
        <v>52.1984003116439</v>
      </c>
      <c r="J3293" s="6" t="n">
        <f aca="false">Sens!J3209*cx_azo+Sens!J3216*cx_m365+Sens!J3217*cx_lic+(Sens!J3219+Sens!J3221)*cx_ind+Sens!J3224*cx_srch+(Sens!J3226+Sens!J3228)*cx_dev</f>
        <v>57.0809132503738</v>
      </c>
      <c r="K3293" s="6" t="n">
        <f aca="false">Sens!K3209*cx_azo+Sens!K3216*cx_m365+Sens!K3217*cx_lic+(Sens!K3219+Sens!K3221)*cx_ind+Sens!K3224*cx_srch+(Sens!K3226+Sens!K3228)*cx_dev</f>
        <v>61.368702741994</v>
      </c>
    </row>
    <row r="3294" customFormat="false" ht="17.15" hidden="false" customHeight="false" outlineLevel="0" collapsed="false">
      <c r="A3294" s="0" t="s">
        <v>957</v>
      </c>
      <c r="B3294" s="0" t="s">
        <v>98</v>
      </c>
      <c r="F3294" s="6" t="n">
        <f aca="false">Sens!F3199</f>
        <v>137.952120594438</v>
      </c>
      <c r="L3294" s="1" t="s">
        <v>958</v>
      </c>
    </row>
    <row r="3295" customFormat="false" ht="17.15" hidden="false" customHeight="false" outlineLevel="0" collapsed="false">
      <c r="A3295" s="1" t="s">
        <v>959</v>
      </c>
      <c r="B3295" s="0" t="s">
        <v>98</v>
      </c>
      <c r="E3295" s="6" t="n">
        <f aca="false">Q!M42</f>
        <v>145.3</v>
      </c>
      <c r="F3295" s="6" t="n">
        <f aca="false">Sens!F3292+Sens!F3293+Sens!F3294</f>
        <v>204.2</v>
      </c>
      <c r="G3295" s="6" t="n">
        <f aca="false">Sens!G3292+Sens!G3293</f>
        <v>76.4556205863892</v>
      </c>
      <c r="H3295" s="6" t="n">
        <f aca="false">Sens!H3292+Sens!H3293</f>
        <v>46.8115136440897</v>
      </c>
      <c r="I3295" s="6" t="n">
        <f aca="false">Sens!I3292+Sens!I3293</f>
        <v>82.4570756583106</v>
      </c>
      <c r="J3295" s="6" t="n">
        <f aca="false">Sens!J3292+Sens!J3293</f>
        <v>102.777688263707</v>
      </c>
      <c r="K3295" s="6" t="n">
        <f aca="false">Sens!K3292+Sens!K3293</f>
        <v>152.144728781994</v>
      </c>
      <c r="L3295" s="1" t="s">
        <v>960</v>
      </c>
    </row>
    <row r="3296" customFormat="false" ht="15" hidden="false" customHeight="false" outlineLevel="0" collapsed="false">
      <c r="A3296" s="1" t="s">
        <v>961</v>
      </c>
      <c r="B3296" s="0" t="s">
        <v>98</v>
      </c>
      <c r="E3296" s="6" t="n">
        <f aca="false">fl_liab</f>
        <v>66.594</v>
      </c>
      <c r="F3296" s="6" t="n">
        <f aca="false">Sens!E3296-Sens!F3297</f>
        <v>62.46973</v>
      </c>
      <c r="G3296" s="6" t="n">
        <f aca="false">Sens!F3296-Sens!G3297</f>
        <v>57.98686785</v>
      </c>
      <c r="H3296" s="6" t="n">
        <f aca="false">Sens!G3296-Sens!H3297</f>
        <v>53.92827690325</v>
      </c>
      <c r="I3296" s="6" t="n">
        <f aca="false">Sens!H3296-Sens!I3297</f>
        <v>49.7850493638962</v>
      </c>
      <c r="J3296" s="6" t="n">
        <f aca="false">Sens!I3296-Sens!J3297</f>
        <v>45.4823765852716</v>
      </c>
      <c r="K3296" s="6" t="n">
        <f aca="false">Sens!J3296-Sens!K3297</f>
        <v>40.9860835316088</v>
      </c>
    </row>
    <row r="3297" customFormat="false" ht="15" hidden="false" customHeight="false" outlineLevel="0" collapsed="false">
      <c r="A3297" s="1" t="s">
        <v>962</v>
      </c>
      <c r="B3297" s="0" t="s">
        <v>98</v>
      </c>
      <c r="F3297" s="6" t="n">
        <f aca="false">fl_pay_27-Sens!E3296*fl_rate</f>
        <v>4.12427</v>
      </c>
      <c r="G3297" s="6" t="n">
        <f aca="false">fl_pay_28-Sens!F3296*fl_rate</f>
        <v>4.48286215</v>
      </c>
      <c r="H3297" s="6" t="n">
        <f aca="false">fl_pay_29-Sens!G3296*fl_rate</f>
        <v>4.05859094675</v>
      </c>
      <c r="I3297" s="6" t="n">
        <f aca="false">fl_pay_30-Sens!H3296*fl_rate</f>
        <v>4.14322753935375</v>
      </c>
      <c r="J3297" s="6" t="n">
        <f aca="false">fl_pay_31-Sens!I3296*fl_rate</f>
        <v>4.30267277862467</v>
      </c>
      <c r="K3297" s="6" t="n">
        <f aca="false">fl_pay_32-Sens!J3296*fl_rate</f>
        <v>4.49629305366278</v>
      </c>
    </row>
    <row r="3298" customFormat="false" ht="17.15" hidden="false" customHeight="false" outlineLevel="0" collapsed="false">
      <c r="A3298" s="1" t="s">
        <v>963</v>
      </c>
      <c r="B3298" s="0" t="s">
        <v>98</v>
      </c>
      <c r="E3298" s="6" t="n">
        <f aca="false">Q!M35-Q!M36-Q!M43</f>
        <v>63.886</v>
      </c>
      <c r="F3298" s="6" t="n">
        <f aca="false">Sens!F3291-Sens!F3295-Sens!F3297</f>
        <v>-5.81380573805448</v>
      </c>
      <c r="G3298" s="6" t="n">
        <f aca="false">Sens!G3291-Sens!G3295-Sens!G3297</f>
        <v>152.970094913948</v>
      </c>
      <c r="H3298" s="6" t="n">
        <f aca="false">Sens!H3291-Sens!H3295-Sens!H3297</f>
        <v>207.378619937506</v>
      </c>
      <c r="I3298" s="6" t="n">
        <f aca="false">Sens!I3291-Sens!I3295-Sens!I3297</f>
        <v>194.313657538231</v>
      </c>
      <c r="J3298" s="6" t="n">
        <f aca="false">Sens!J3291-Sens!J3295-Sens!J3297</f>
        <v>195.762020779684</v>
      </c>
      <c r="K3298" s="6" t="n">
        <f aca="false">Sens!K3291-Sens!K3295-Sens!K3297</f>
        <v>168.437707617023</v>
      </c>
      <c r="L3298" s="11" t="s">
        <v>964</v>
      </c>
    </row>
    <row r="3299" customFormat="false" ht="15" hidden="false" customHeight="false" outlineLevel="0" collapsed="false">
      <c r="A3299" s="1" t="s">
        <v>965</v>
      </c>
      <c r="B3299" s="0" t="s">
        <v>75</v>
      </c>
      <c r="F3299" s="8" t="n">
        <f aca="false">dps_27</f>
        <v>3.85</v>
      </c>
      <c r="G3299" s="8" t="n">
        <f aca="false">Sens!F3299*(1+dps_g)</f>
        <v>4.158</v>
      </c>
      <c r="H3299" s="8" t="n">
        <f aca="false">Sens!G3299*(1+dps_g)</f>
        <v>4.49064</v>
      </c>
      <c r="I3299" s="8" t="n">
        <f aca="false">Sens!H3299*(1+dps_g)</f>
        <v>4.8498912</v>
      </c>
      <c r="J3299" s="8" t="n">
        <f aca="false">Sens!I3299*(1+dps_g)</f>
        <v>5.237882496</v>
      </c>
      <c r="K3299" s="8" t="n">
        <f aca="false">Sens!J3299*(1+dps_g)</f>
        <v>5.65691309568</v>
      </c>
    </row>
    <row r="3300" customFormat="false" ht="17.15" hidden="false" customHeight="false" outlineLevel="0" collapsed="false">
      <c r="A3300" s="1" t="s">
        <v>966</v>
      </c>
      <c r="B3300" s="0" t="s">
        <v>98</v>
      </c>
      <c r="E3300" s="6" t="n">
        <f aca="false">Q!M41</f>
        <v>26.445</v>
      </c>
      <c r="F3300" s="6" t="n">
        <f aca="false">Sens!F3299*Sens!E3309</f>
        <v>28.59395</v>
      </c>
      <c r="G3300" s="6" t="n">
        <f aca="false">Sens!G3299*Sens!F3309</f>
        <v>31.068576</v>
      </c>
      <c r="H3300" s="6" t="n">
        <f aca="false">Sens!H3299*Sens!G3309</f>
        <v>33.5888350159995</v>
      </c>
      <c r="I3300" s="6" t="n">
        <f aca="false">Sens!I3299*Sens!H3309</f>
        <v>36.3268810572789</v>
      </c>
      <c r="J3300" s="6" t="n">
        <f aca="false">Sens!J3299*Sens!I3309</f>
        <v>39.3014303901806</v>
      </c>
      <c r="K3300" s="6" t="n">
        <f aca="false">Sens!K3299*Sens!J3309</f>
        <v>42.5328000467001</v>
      </c>
      <c r="L3300" s="1" t="s">
        <v>967</v>
      </c>
    </row>
    <row r="3301" customFormat="false" ht="15" hidden="false" customHeight="false" outlineLevel="0" collapsed="false">
      <c r="A3301" s="1" t="s">
        <v>968</v>
      </c>
      <c r="B3301" s="0" t="s">
        <v>98</v>
      </c>
      <c r="E3301" s="6" t="n">
        <f aca="false">Sens!E3298-Sens!E3300</f>
        <v>37.441</v>
      </c>
      <c r="F3301" s="6" t="n">
        <f aca="false">Sens!F3298-Sens!F3300</f>
        <v>-34.4077557380545</v>
      </c>
      <c r="G3301" s="6" t="n">
        <f aca="false">Sens!G3298-Sens!G3300</f>
        <v>121.901518913948</v>
      </c>
      <c r="H3301" s="6" t="n">
        <f aca="false">Sens!H3298-Sens!H3300</f>
        <v>173.789784921506</v>
      </c>
      <c r="I3301" s="6" t="n">
        <f aca="false">Sens!I3298-Sens!I3300</f>
        <v>157.986776480953</v>
      </c>
      <c r="J3301" s="6" t="n">
        <f aca="false">Sens!J3298-Sens!J3300</f>
        <v>156.460590389503</v>
      </c>
      <c r="K3301" s="6" t="n">
        <f aca="false">Sens!K3298-Sens!K3300</f>
        <v>125.904907570323</v>
      </c>
    </row>
    <row r="3302" customFormat="false" ht="15" hidden="false" customHeight="false" outlineLevel="0" collapsed="false">
      <c r="A3302" s="1" t="s">
        <v>969</v>
      </c>
      <c r="B3302" s="0" t="s">
        <v>98</v>
      </c>
      <c r="F3302" s="6" t="n">
        <f aca="false">debt_mat_27</f>
        <v>9.25</v>
      </c>
      <c r="G3302" s="6" t="n">
        <f aca="false">debt_mat_28</f>
        <v>0</v>
      </c>
      <c r="H3302" s="6" t="n">
        <f aca="false">debt_mat_29</f>
        <v>2.001</v>
      </c>
      <c r="I3302" s="6" t="n">
        <f aca="false">debt_mat_30</f>
        <v>0</v>
      </c>
      <c r="J3302" s="6" t="n">
        <f aca="false">debt_mat_31</f>
        <v>0.5</v>
      </c>
      <c r="K3302" s="6" t="n">
        <f aca="false">debt_mat_32</f>
        <v>0</v>
      </c>
    </row>
    <row r="3303" customFormat="false" ht="15" hidden="false" customHeight="false" outlineLevel="0" collapsed="false">
      <c r="A3303" s="1" t="s">
        <v>970</v>
      </c>
      <c r="B3303" s="0" t="s">
        <v>98</v>
      </c>
      <c r="E3303" s="6" t="n">
        <f aca="false">Q!M40</f>
        <v>22.271</v>
      </c>
      <c r="F3303" s="6" t="n">
        <f aca="false">MAX(0,MIN(bb_target,Sens!E3305+Sens!F3301-Sens!F3302-min_cash))</f>
        <v>0</v>
      </c>
      <c r="G3303" s="6" t="n">
        <f aca="false">MAX(0,MIN(bb_target,Sens!F3305+Sens!G3301-Sens!G3302-min_cash))</f>
        <v>22.271</v>
      </c>
      <c r="H3303" s="6" t="n">
        <f aca="false">MAX(0,MIN(bb_target,Sens!G3305+Sens!H3301-Sens!H3302-min_cash))</f>
        <v>22.271</v>
      </c>
      <c r="I3303" s="6" t="n">
        <f aca="false">MAX(0,MIN(bb_target,Sens!H3305+Sens!I3301-Sens!I3302-min_cash))</f>
        <v>22.271</v>
      </c>
      <c r="J3303" s="6" t="n">
        <f aca="false">MAX(0,MIN(bb_target,Sens!I3305+Sens!J3301-Sens!J3302-min_cash))</f>
        <v>22.271</v>
      </c>
      <c r="K3303" s="6" t="n">
        <f aca="false">MAX(0,MIN(bb_target,Sens!J3305+Sens!K3301-Sens!K3302-min_cash))</f>
        <v>22.271</v>
      </c>
    </row>
    <row r="3304" customFormat="false" ht="15" hidden="false" customHeight="false" outlineLevel="0" collapsed="false">
      <c r="A3304" s="1" t="s">
        <v>971</v>
      </c>
      <c r="B3304" s="0" t="s">
        <v>98</v>
      </c>
      <c r="F3304" s="6" t="n">
        <f aca="false">MAX(0,min_cash-(Sens!E3305+Sens!F3301-Sens!F3302-Sens!F3303))</f>
        <v>16.8147557380545</v>
      </c>
      <c r="G3304" s="6" t="n">
        <f aca="false">MAX(0,min_cash-(Sens!F3305+Sens!G3301-Sens!G3302-Sens!G3303))</f>
        <v>0</v>
      </c>
      <c r="H3304" s="6" t="n">
        <f aca="false">MAX(0,min_cash-(Sens!G3305+Sens!H3301-Sens!H3302-Sens!H3303))</f>
        <v>0</v>
      </c>
      <c r="I3304" s="6" t="n">
        <f aca="false">MAX(0,min_cash-(Sens!H3305+Sens!I3301-Sens!I3302-Sens!I3303))</f>
        <v>0</v>
      </c>
      <c r="J3304" s="6" t="n">
        <f aca="false">MAX(0,min_cash-(Sens!I3305+Sens!J3301-Sens!J3302-Sens!J3303))</f>
        <v>0</v>
      </c>
      <c r="K3304" s="6" t="n">
        <f aca="false">MAX(0,min_cash-(Sens!J3305+Sens!K3301-Sens!K3302-Sens!K3303))</f>
        <v>0</v>
      </c>
    </row>
    <row r="3305" customFormat="false" ht="15" hidden="false" customHeight="false" outlineLevel="0" collapsed="false">
      <c r="A3305" s="1" t="s">
        <v>972</v>
      </c>
      <c r="B3305" s="0" t="s">
        <v>98</v>
      </c>
      <c r="E3305" s="6" t="n">
        <f aca="false">cash_open</f>
        <v>76.843</v>
      </c>
      <c r="F3305" s="6" t="n">
        <f aca="false">Sens!E3305+Sens!F3301-Sens!F3302-Sens!F3303+Sens!F3304</f>
        <v>50</v>
      </c>
      <c r="G3305" s="6" t="n">
        <f aca="false">Sens!F3305+Sens!G3301-Sens!G3302-Sens!G3303+Sens!G3304</f>
        <v>149.630518913948</v>
      </c>
      <c r="H3305" s="6" t="n">
        <f aca="false">Sens!G3305+Sens!H3301-Sens!H3302-Sens!H3303+Sens!H3304</f>
        <v>299.148303835454</v>
      </c>
      <c r="I3305" s="6" t="n">
        <f aca="false">Sens!H3305+Sens!I3301-Sens!I3302-Sens!I3303+Sens!I3304</f>
        <v>434.864080316407</v>
      </c>
      <c r="J3305" s="6" t="n">
        <f aca="false">Sens!I3305+Sens!J3301-Sens!J3302-Sens!J3303+Sens!J3304</f>
        <v>568.55367070591</v>
      </c>
      <c r="K3305" s="6" t="n">
        <f aca="false">Sens!J3305+Sens!K3301-Sens!K3302-Sens!K3303+Sens!K3304</f>
        <v>672.187578276233</v>
      </c>
    </row>
    <row r="3306" customFormat="false" ht="15" hidden="false" customHeight="false" outlineLevel="0" collapsed="false">
      <c r="A3306" s="1" t="s">
        <v>973</v>
      </c>
      <c r="B3306" s="0" t="s">
        <v>98</v>
      </c>
      <c r="E3306" s="6" t="n">
        <f aca="false">debt_face</f>
        <v>46.136</v>
      </c>
      <c r="F3306" s="6" t="n">
        <f aca="false">Sens!E3306-Sens!F3302+Sens!F3304</f>
        <v>53.7007557380545</v>
      </c>
      <c r="G3306" s="6" t="n">
        <f aca="false">Sens!F3306-Sens!G3302+Sens!G3304</f>
        <v>53.7007557380545</v>
      </c>
      <c r="H3306" s="6" t="n">
        <f aca="false">Sens!G3306-Sens!H3302+Sens!H3304</f>
        <v>51.6997557380545</v>
      </c>
      <c r="I3306" s="6" t="n">
        <f aca="false">Sens!H3306-Sens!I3302+Sens!I3304</f>
        <v>51.6997557380545</v>
      </c>
      <c r="J3306" s="6" t="n">
        <f aca="false">Sens!I3306-Sens!J3302+Sens!J3304</f>
        <v>51.1997557380545</v>
      </c>
      <c r="K3306" s="6" t="n">
        <f aca="false">Sens!J3306-Sens!K3302+Sens!K3304</f>
        <v>51.1997557380545</v>
      </c>
    </row>
    <row r="3307" customFormat="false" ht="15" hidden="false" customHeight="false" outlineLevel="0" collapsed="false">
      <c r="A3307" s="1" t="s">
        <v>974</v>
      </c>
      <c r="B3307" s="0" t="s">
        <v>98</v>
      </c>
      <c r="E3307" s="6" t="n">
        <f aca="false">Sens!E3305-Sens!E3306</f>
        <v>30.707</v>
      </c>
      <c r="F3307" s="6" t="n">
        <f aca="false">Sens!F3305-Sens!F3306</f>
        <v>-3.70075573805448</v>
      </c>
      <c r="G3307" s="6" t="n">
        <f aca="false">Sens!G3305-Sens!G3306</f>
        <v>95.9297631758936</v>
      </c>
      <c r="H3307" s="6" t="n">
        <f aca="false">Sens!H3305-Sens!H3306</f>
        <v>247.4485480974</v>
      </c>
      <c r="I3307" s="6" t="n">
        <f aca="false">Sens!I3305-Sens!I3306</f>
        <v>383.164324578352</v>
      </c>
      <c r="J3307" s="6" t="n">
        <f aca="false">Sens!J3305-Sens!J3306</f>
        <v>517.353914967856</v>
      </c>
      <c r="K3307" s="6" t="n">
        <f aca="false">Sens!K3305-Sens!K3306</f>
        <v>620.987822538178</v>
      </c>
    </row>
    <row r="3308" customFormat="false" ht="15" hidden="false" customHeight="false" outlineLevel="0" collapsed="false">
      <c r="A3308" s="1" t="s">
        <v>975</v>
      </c>
      <c r="B3308" s="0" t="s">
        <v>75</v>
      </c>
      <c r="F3308" s="29" t="n">
        <f aca="false">px*(1+bb_g)^(Sens!F3170-base_fy-mid_yr)</f>
        <v>553.494156066711</v>
      </c>
      <c r="G3308" s="29" t="n">
        <f aca="false">px*(1+bb_g)^(Sens!G3170-base_fy-mid_yr)</f>
        <v>597.773688552047</v>
      </c>
      <c r="H3308" s="29" t="n">
        <f aca="false">px*(1+bb_g)^(Sens!H3170-base_fy-mid_yr)</f>
        <v>645.595583636211</v>
      </c>
      <c r="I3308" s="29" t="n">
        <f aca="false">px*(1+bb_g)^(Sens!I3170-base_fy-mid_yr)</f>
        <v>697.243230327108</v>
      </c>
      <c r="J3308" s="29" t="n">
        <f aca="false">px*(1+bb_g)^(Sens!J3170-base_fy-mid_yr)</f>
        <v>753.022688753277</v>
      </c>
      <c r="K3308" s="29" t="n">
        <f aca="false">px*(1+bb_g)^(Sens!K3170-base_fy-mid_yr)</f>
        <v>813.264503853539</v>
      </c>
    </row>
    <row r="3309" customFormat="false" ht="15" hidden="false" customHeight="false" outlineLevel="0" collapsed="false">
      <c r="A3309" s="1" t="s">
        <v>976</v>
      </c>
      <c r="B3309" s="1" t="s">
        <v>81</v>
      </c>
      <c r="E3309" s="14" t="n">
        <f aca="false">sh_out26</f>
        <v>7.427</v>
      </c>
      <c r="F3309" s="14" t="n">
        <f aca="false">Sens!E3309+sh_iss-Sens!F3303/Sens!F3308</f>
        <v>7.472</v>
      </c>
      <c r="G3309" s="14" t="n">
        <f aca="false">Sens!F3309+sh_iss-Sens!G3303/Sens!G3308</f>
        <v>7.47974342543589</v>
      </c>
      <c r="H3309" s="14" t="n">
        <f aca="false">Sens!G3309+sh_iss-Sens!H3303/Sens!H3308</f>
        <v>7.4902465971358</v>
      </c>
      <c r="I3309" s="14" t="n">
        <f aca="false">Sens!H3309+sh_iss-Sens!I3303/Sens!I3308</f>
        <v>7.50330508945052</v>
      </c>
      <c r="J3309" s="14" t="n">
        <f aca="false">Sens!I3309+sh_iss-Sens!J3303/Sens!J3308</f>
        <v>7.51872961937156</v>
      </c>
      <c r="K3309" s="14" t="n">
        <f aca="false">Sens!J3309+sh_iss-Sens!K3303/Sens!K3308</f>
        <v>7.53634492485401</v>
      </c>
    </row>
    <row r="3310" customFormat="false" ht="15" hidden="false" customHeight="false" outlineLevel="0" collapsed="false">
      <c r="A3310" s="1" t="s">
        <v>977</v>
      </c>
      <c r="B3310" s="1" t="s">
        <v>81</v>
      </c>
      <c r="E3310" s="14" t="n">
        <f aca="false">sh_dil26</f>
        <v>7.453</v>
      </c>
      <c r="F3310" s="14" t="n">
        <f aca="false">(Sens!E3309+Sens!F3309)/2+dil_gap</f>
        <v>7.4735</v>
      </c>
      <c r="G3310" s="14" t="n">
        <f aca="false">(Sens!F3309+Sens!G3309)/2+dil_gap</f>
        <v>7.49987171271795</v>
      </c>
      <c r="H3310" s="14" t="n">
        <f aca="false">(Sens!G3309+Sens!H3309)/2+dil_gap</f>
        <v>7.50899501128585</v>
      </c>
      <c r="I3310" s="14" t="n">
        <f aca="false">(Sens!H3309+Sens!I3309)/2+dil_gap</f>
        <v>7.52077584329316</v>
      </c>
      <c r="J3310" s="14" t="n">
        <f aca="false">(Sens!I3309+Sens!J3309)/2+dil_gap</f>
        <v>7.53501735441104</v>
      </c>
      <c r="K3310" s="14" t="n">
        <f aca="false">(Sens!J3309+Sens!K3309)/2+dil_gap</f>
        <v>7.55153727211278</v>
      </c>
    </row>
    <row r="3311" customFormat="false" ht="17.15" hidden="false" customHeight="false" outlineLevel="0" collapsed="false">
      <c r="A3311" s="1" t="s">
        <v>978</v>
      </c>
      <c r="B3311" s="0" t="s">
        <v>98</v>
      </c>
      <c r="C3311" s="6" t="n">
        <f aca="false">SUM(Sens!F3301:J3301)</f>
        <v>575.730914967856</v>
      </c>
    </row>
    <row r="3312" customFormat="false" ht="15" hidden="false" customHeight="false" outlineLevel="0" collapsed="false">
      <c r="A3312" s="23" t="s">
        <v>945</v>
      </c>
      <c r="B3312" s="30" t="s">
        <v>98</v>
      </c>
      <c r="C3312" s="24" t="n">
        <f aca="false">Sens!$C$3311-(Sens!F3301+Sens!G3301+Sens!H3301+Sens!I3301+Sens!J3301)</f>
        <v>0</v>
      </c>
      <c r="D3312" s="30"/>
      <c r="E3312" s="30"/>
      <c r="F3312" s="30"/>
      <c r="G3312" s="30"/>
      <c r="H3312" s="30"/>
      <c r="I3312" s="30"/>
      <c r="J3312" s="30"/>
      <c r="K3312" s="30"/>
    </row>
    <row r="3313" customFormat="false" ht="17.15" hidden="false" customHeight="false" outlineLevel="0" collapsed="false">
      <c r="A3313" s="1" t="s">
        <v>939</v>
      </c>
      <c r="B3313" s="1" t="s">
        <v>979</v>
      </c>
      <c r="C3313" s="32" t="str">
        <f aca="false">IF(SUM(Sens!F3304:J3304)&gt;0.05,"需要舉債 "&amp;TEXT(SUM(Sens!F3304:J3304),"0.0")&amp;" 十億美元","不需舉債")&amp;"；"&amp;IF(SUM(Sens!F3303:J3303)&lt;COUNT(Sens!F3303:J3303)*bb_target-0.05,"回購較每年 "&amp;TEXT(bb_target,"0.0")&amp;" 的目標少 "&amp;TEXT(COUNT(Sens!F3303:J3303)*bb_target-SUM(Sens!F3303:J3303),"0.0")&amp;" 十億美元（"&amp;TEXT(COUNTIF(Sens!F3303:J3303,"&lt;"&amp;(bb_target-0.05)),"0")&amp;" 年減少）","回購不減")</f>
        <v>需要舉債 16.8 十億美元；回購較每年 22.3 的目標少 22.3 十億美元（1 年減少）</v>
      </c>
    </row>
    <row r="3314" customFormat="false" ht="17.15" hidden="false" customHeight="false" outlineLevel="0" collapsed="false">
      <c r="A3314" s="3" t="s">
        <v>1346</v>
      </c>
    </row>
    <row r="3315" customFormat="false" ht="15" hidden="false" customHeight="false" outlineLevel="0" collapsed="false">
      <c r="A3315" s="4" t="s">
        <v>43</v>
      </c>
      <c r="B3315" s="4" t="s">
        <v>65</v>
      </c>
      <c r="C3315" s="20" t="s">
        <v>799</v>
      </c>
      <c r="D3315" s="20" t="s">
        <v>800</v>
      </c>
      <c r="E3315" s="20" t="s">
        <v>801</v>
      </c>
      <c r="F3315" s="20" t="s">
        <v>802</v>
      </c>
      <c r="G3315" s="20" t="s">
        <v>803</v>
      </c>
      <c r="H3315" s="20" t="s">
        <v>804</v>
      </c>
      <c r="I3315" s="20" t="s">
        <v>805</v>
      </c>
      <c r="J3315" s="20" t="s">
        <v>806</v>
      </c>
      <c r="K3315" s="20" t="s">
        <v>807</v>
      </c>
      <c r="L3315" s="4" t="s">
        <v>47</v>
      </c>
    </row>
    <row r="3316" customFormat="false" ht="15" hidden="false" customHeight="false" outlineLevel="0" collapsed="false">
      <c r="A3316" s="1" t="s">
        <v>1057</v>
      </c>
      <c r="B3316" s="1" t="s">
        <v>235</v>
      </c>
      <c r="F3316" s="36" t="n">
        <f aca="false">Sens!F3170-base_fy-mid_yr</f>
        <v>0.5</v>
      </c>
      <c r="G3316" s="36" t="n">
        <f aca="false">Sens!G3170-base_fy-mid_yr</f>
        <v>1.5</v>
      </c>
      <c r="H3316" s="36" t="n">
        <f aca="false">Sens!H3170-base_fy-mid_yr</f>
        <v>2.5</v>
      </c>
      <c r="I3316" s="36" t="n">
        <f aca="false">Sens!I3170-base_fy-mid_yr</f>
        <v>3.5</v>
      </c>
      <c r="J3316" s="36" t="n">
        <f aca="false">Sens!J3170-base_fy-mid_yr</f>
        <v>4.5</v>
      </c>
      <c r="K3316" s="36" t="n">
        <f aca="false">Sens!K3170-base_fy-mid_yr</f>
        <v>5.5</v>
      </c>
    </row>
    <row r="3317" customFormat="false" ht="15" hidden="false" customHeight="false" outlineLevel="0" collapsed="false">
      <c r="A3317" s="1" t="s">
        <v>1058</v>
      </c>
      <c r="B3317" s="0" t="s">
        <v>185</v>
      </c>
      <c r="F3317" s="14" t="n">
        <f aca="false">1/(1+wacc)^Sens!F3316</f>
        <v>0.952193373608246</v>
      </c>
      <c r="G3317" s="14" t="n">
        <f aca="false">1/(1+wacc)^Sens!G3316</f>
        <v>0.863327280626589</v>
      </c>
      <c r="H3317" s="14" t="n">
        <f aca="false">1/(1+wacc)^Sens!H3316</f>
        <v>0.782754862754115</v>
      </c>
      <c r="I3317" s="14" t="n">
        <f aca="false">1/(1+wacc)^Sens!I3316</f>
        <v>0.709702089711011</v>
      </c>
      <c r="J3317" s="14" t="n">
        <f aca="false">1/(1+wacc)^Sens!J3316</f>
        <v>0.643467169744551</v>
      </c>
      <c r="K3317" s="14" t="n">
        <f aca="false">1/(1+wacc)^Sens!K3316</f>
        <v>0.583413807767797</v>
      </c>
    </row>
    <row r="3318" customFormat="false" ht="17.15" hidden="false" customHeight="false" outlineLevel="0" collapsed="false">
      <c r="A3318" s="1" t="s">
        <v>1059</v>
      </c>
      <c r="B3318" s="0" t="s">
        <v>98</v>
      </c>
      <c r="F3318" s="6" t="n">
        <f aca="false">Sens!F3291-Sens!F3289-Sens!F3295+Sens!F3274*(1-tax_f)</f>
        <v>-14.1131735661609</v>
      </c>
      <c r="G3318" s="6" t="n">
        <f aca="false">Sens!G3291-Sens!G3289-Sens!G3295+Sens!G3274*(1-tax_f)</f>
        <v>143.086133498666</v>
      </c>
      <c r="H3318" s="6" t="n">
        <f aca="false">Sens!H3291-Sens!H3289-Sens!H3295+Sens!H3274*(1-tax_f)</f>
        <v>193.964502227405</v>
      </c>
      <c r="I3318" s="6" t="n">
        <f aca="false">Sens!I3291-Sens!I3289-Sens!I3295+Sens!I3274*(1-tax_f)</f>
        <v>178.946702717867</v>
      </c>
      <c r="J3318" s="6" t="n">
        <f aca="false">Sens!J3291-Sens!J3289-Sens!J3295+Sens!J3274*(1-tax_f)</f>
        <v>179.098467452833</v>
      </c>
      <c r="K3318" s="6" t="n">
        <f aca="false">Sens!K3291-Sens!K3289-Sens!K3295+Sens!K3274*(1-tax_f)</f>
        <v>150.557257364923</v>
      </c>
      <c r="L3318" s="1" t="s">
        <v>1060</v>
      </c>
    </row>
    <row r="3319" customFormat="false" ht="15" hidden="false" customHeight="false" outlineLevel="0" collapsed="false">
      <c r="A3319" s="1" t="s">
        <v>1061</v>
      </c>
      <c r="B3319" s="0" t="s">
        <v>98</v>
      </c>
      <c r="F3319" s="6" t="n">
        <f aca="false">Sens!F3318*Sens!F3317</f>
        <v>-13.4384703502815</v>
      </c>
      <c r="G3319" s="6" t="n">
        <f aca="false">Sens!G3318*Sens!G3317</f>
        <v>123.530162528777</v>
      </c>
      <c r="H3319" s="6" t="n">
        <f aca="false">Sens!H3318*Sens!H3317</f>
        <v>151.826657320183</v>
      </c>
      <c r="I3319" s="6" t="n">
        <f aca="false">Sens!I3318*Sens!I3317</f>
        <v>126.998848865765</v>
      </c>
      <c r="J3319" s="6" t="n">
        <f aca="false">Sens!J3318*Sens!J3317</f>
        <v>115.243983957461</v>
      </c>
      <c r="K3319" s="6" t="n">
        <f aca="false">Sens!K3318*Sens!K3317</f>
        <v>87.837182806346</v>
      </c>
    </row>
    <row r="3320" customFormat="false" ht="17.15" hidden="false" customHeight="false" outlineLevel="0" collapsed="false">
      <c r="A3320" s="1" t="s">
        <v>1062</v>
      </c>
      <c r="B3320" s="0" t="s">
        <v>98</v>
      </c>
      <c r="C3320" s="6" t="n">
        <f aca="false">SUM(Sens!F3319:K3319)</f>
        <v>591.99836512825</v>
      </c>
    </row>
    <row r="3321" customFormat="false" ht="17.15" hidden="false" customHeight="false" outlineLevel="0" collapsed="false">
      <c r="A3321" s="1" t="s">
        <v>1063</v>
      </c>
      <c r="B3321" s="0" t="s">
        <v>98</v>
      </c>
      <c r="C3321" s="6" t="n">
        <f aca="false">Sens!K3260*(1+g_tv)*(1-tax_f)</f>
        <v>228.823661960084</v>
      </c>
    </row>
    <row r="3322" customFormat="false" ht="17.15" hidden="false" customHeight="false" outlineLevel="0" collapsed="false">
      <c r="A3322" s="1" t="s">
        <v>1064</v>
      </c>
      <c r="B3322" s="0" t="s">
        <v>98</v>
      </c>
      <c r="C3322" s="6" t="n">
        <f aca="false">Sens!$C$3321*(1-g_tv/(wacc+ronic_prem))</f>
        <v>162.133531947124</v>
      </c>
    </row>
    <row r="3323" customFormat="false" ht="17.15" hidden="false" customHeight="false" outlineLevel="0" collapsed="false">
      <c r="A3323" s="1" t="s">
        <v>1065</v>
      </c>
      <c r="B3323" s="0" t="s">
        <v>98</v>
      </c>
      <c r="C3323" s="6" t="n">
        <f aca="false">Sens!$C$3322/(wacc-g_tv)</f>
        <v>2223.00433376534</v>
      </c>
    </row>
    <row r="3324" customFormat="false" ht="15" hidden="false" customHeight="false" outlineLevel="0" collapsed="false">
      <c r="A3324" s="1" t="s">
        <v>1066</v>
      </c>
      <c r="B3324" s="0" t="s">
        <v>98</v>
      </c>
      <c r="C3324" s="6" t="n">
        <f aca="false">Sens!$C$3323/(1+wacc)^(Sens!K3316+mid_yr)</f>
        <v>1234.92950704905</v>
      </c>
    </row>
    <row r="3325" customFormat="false" ht="17.15" hidden="false" customHeight="false" outlineLevel="0" collapsed="false">
      <c r="A3325" s="0" t="s">
        <v>986</v>
      </c>
      <c r="B3325" s="0" t="s">
        <v>98</v>
      </c>
      <c r="C3325" s="6" t="n">
        <f aca="false">Sens!$C$3320+Sens!$C$3324</f>
        <v>1826.9278721773</v>
      </c>
    </row>
    <row r="3326" customFormat="false" ht="15" hidden="false" customHeight="false" outlineLevel="0" collapsed="false">
      <c r="A3326" s="1" t="s">
        <v>987</v>
      </c>
      <c r="B3326" s="0" t="s">
        <v>129</v>
      </c>
      <c r="C3326" s="7" t="n">
        <f aca="false">Sens!$C$3324/Sens!$C$3325</f>
        <v>0.675959640145663</v>
      </c>
    </row>
    <row r="3327" customFormat="false" ht="17.15" hidden="false" customHeight="false" outlineLevel="0" collapsed="false">
      <c r="A3327" s="1" t="s">
        <v>1067</v>
      </c>
      <c r="B3327" s="0" t="s">
        <v>98</v>
      </c>
      <c r="C3327" s="6" t="n">
        <f aca="false">Sens!$C$3325+Sens!E3307-Sens!E3296+oai_v</f>
        <v>1961.4408721773</v>
      </c>
    </row>
    <row r="3328" customFormat="false" ht="17.15" hidden="false" customHeight="false" outlineLevel="0" collapsed="false">
      <c r="A3328" s="0" t="s">
        <v>994</v>
      </c>
      <c r="B3328" s="0" t="s">
        <v>75</v>
      </c>
      <c r="C3328" s="5" t="n">
        <f aca="false">Sens!$C$3327/sh_dil26</f>
        <v>263.174677603287</v>
      </c>
    </row>
    <row r="3329" customFormat="false" ht="15" hidden="false" customHeight="false" outlineLevel="0" collapsed="false">
      <c r="A3329" s="1" t="s">
        <v>1068</v>
      </c>
      <c r="B3329" s="0" t="s">
        <v>75</v>
      </c>
      <c r="C3329" s="8" t="n">
        <f aca="false">dps_27+Sens!G3299*roll_div_q/q_per_yr</f>
        <v>4.8895</v>
      </c>
    </row>
    <row r="3330" customFormat="false" ht="17.15" hidden="false" customHeight="false" outlineLevel="0" collapsed="false">
      <c r="A3330" s="0" t="s">
        <v>1069</v>
      </c>
      <c r="B3330" s="0" t="s">
        <v>75</v>
      </c>
      <c r="C3330" s="5" t="n">
        <f aca="false">Sens!$C$3328*(1+wacc)^t_roll-Sens!$C$3329</f>
        <v>294.796292664535</v>
      </c>
    </row>
    <row r="3331" customFormat="false" ht="17.15" hidden="false" customHeight="false" outlineLevel="0" collapsed="false">
      <c r="A3331" s="1" t="s">
        <v>1070</v>
      </c>
      <c r="B3331" s="0" t="s">
        <v>129</v>
      </c>
      <c r="F3331" s="7" t="n">
        <f aca="false">Sens!F3286/(Sens!F3231-Sens!F3187)</f>
        <v>0.10849319067406</v>
      </c>
      <c r="G3331" s="7" t="n">
        <f aca="false">Sens!G3286/(Sens!G3231-Sens!G3187)</f>
        <v>0.097831708902195</v>
      </c>
      <c r="H3331" s="7" t="n">
        <f aca="false">Sens!H3286/(Sens!H3231-Sens!H3187)</f>
        <v>0.0903066648889736</v>
      </c>
      <c r="I3331" s="7" t="n">
        <f aca="false">Sens!I3286/(Sens!I3231-Sens!I3187)</f>
        <v>0.0854412369933345</v>
      </c>
      <c r="J3331" s="7" t="n">
        <f aca="false">Sens!J3286/(Sens!J3231-Sens!J3187)</f>
        <v>0.0825813631772884</v>
      </c>
      <c r="K3331" s="7" t="n">
        <f aca="false">Sens!K3286/(Sens!K3231-Sens!K3187)</f>
        <v>0.0810721766695471</v>
      </c>
    </row>
    <row r="3332" customFormat="false" ht="17.15" hidden="false" customHeight="false" outlineLevel="0" collapsed="false">
      <c r="A3332" s="0" t="s">
        <v>1071</v>
      </c>
      <c r="B3332" s="0" t="s">
        <v>98</v>
      </c>
      <c r="F3332" s="6" t="n">
        <f aca="false">Sens!F3216*(al_m365+Sens!F3331+sbc_r)</f>
        <v>88.6789520821285</v>
      </c>
      <c r="G3332" s="6" t="n">
        <f aca="false">Sens!G3216*(al_m365+Sens!G3331+sbc_r)</f>
        <v>100.756831694771</v>
      </c>
      <c r="H3332" s="6" t="n">
        <f aca="false">Sens!H3216*(al_m365+Sens!H3331+sbc_r)</f>
        <v>112.993665354391</v>
      </c>
      <c r="I3332" s="6" t="n">
        <f aca="false">Sens!I3216*(al_m365+Sens!I3331+sbc_r)</f>
        <v>124.205729114279</v>
      </c>
      <c r="J3332" s="6" t="n">
        <f aca="false">Sens!J3216*(al_m365+Sens!J3331+sbc_r)</f>
        <v>134.224824978134</v>
      </c>
      <c r="K3332" s="6" t="n">
        <f aca="false">Sens!K3216*(al_m365+Sens!K3331+sbc_r)</f>
        <v>143.890677223011</v>
      </c>
      <c r="L3332" s="11" t="s">
        <v>1072</v>
      </c>
    </row>
    <row r="3333" customFormat="false" ht="17.15" hidden="false" customHeight="false" outlineLevel="0" collapsed="false">
      <c r="A3333" s="0" t="s">
        <v>1073</v>
      </c>
      <c r="B3333" s="0" t="s">
        <v>98</v>
      </c>
      <c r="F3333" s="6" t="n">
        <f aca="false">Sens!F3217*(al_lic+Sens!F3331+sbc_r)</f>
        <v>35.0037330971867</v>
      </c>
      <c r="G3333" s="6" t="n">
        <f aca="false">Sens!G3217*(al_lic+Sens!G3331+sbc_r)</f>
        <v>36.0517357143531</v>
      </c>
      <c r="H3333" s="6" t="n">
        <f aca="false">Sens!H3217*(al_lic+Sens!H3331+sbc_r)</f>
        <v>37.0591987412318</v>
      </c>
      <c r="I3333" s="6" t="n">
        <f aca="false">Sens!I3217*(al_lic+Sens!I3331+sbc_r)</f>
        <v>38.002573653552</v>
      </c>
      <c r="J3333" s="6" t="n">
        <f aca="false">Sens!J3217*(al_lic+Sens!J3331+sbc_r)</f>
        <v>38.8472059656884</v>
      </c>
      <c r="K3333" s="6" t="n">
        <f aca="false">Sens!K3217*(al_lic+Sens!K3331+sbc_r)</f>
        <v>39.5554113369927</v>
      </c>
    </row>
    <row r="3334" customFormat="false" ht="17.15" hidden="false" customHeight="false" outlineLevel="0" collapsed="false">
      <c r="A3334" s="0" t="s">
        <v>1074</v>
      </c>
      <c r="B3334" s="0" t="s">
        <v>98</v>
      </c>
      <c r="F3334" s="6" t="n">
        <f aca="false">Sens!F3219*(al_ind+Sens!F3331+sbc_r)</f>
        <v>9.96854298046449</v>
      </c>
      <c r="G3334" s="6" t="n">
        <f aca="false">Sens!G3219*(al_ind+Sens!G3331+sbc_r)</f>
        <v>10.6362946149259</v>
      </c>
      <c r="H3334" s="6" t="n">
        <f aca="false">Sens!H3219*(al_ind+Sens!H3331+sbc_r)</f>
        <v>11.3653308462587</v>
      </c>
      <c r="I3334" s="6" t="n">
        <f aca="false">Sens!I3219*(al_ind+Sens!I3331+sbc_r)</f>
        <v>12.1524712180393</v>
      </c>
      <c r="J3334" s="6" t="n">
        <f aca="false">Sens!J3219*(al_ind+Sens!J3331+sbc_r)</f>
        <v>12.9849722461755</v>
      </c>
      <c r="K3334" s="6" t="n">
        <f aca="false">Sens!K3219*(al_ind+Sens!K3331+sbc_r)</f>
        <v>13.8439909771027</v>
      </c>
    </row>
    <row r="3335" customFormat="false" ht="17.15" hidden="false" customHeight="false" outlineLevel="0" collapsed="false">
      <c r="A3335" s="0" t="s">
        <v>1075</v>
      </c>
      <c r="B3335" s="0" t="s">
        <v>98</v>
      </c>
      <c r="F3335" s="6" t="n">
        <f aca="false">Sens!F3221*(al_fro+Sens!F3331+sbc_r)</f>
        <v>3.92365351468081</v>
      </c>
      <c r="G3335" s="6" t="n">
        <f aca="false">Sens!G3221*(al_fro+Sens!G3331+sbc_r)</f>
        <v>4.08370829659497</v>
      </c>
      <c r="H3335" s="6" t="n">
        <f aca="false">Sens!H3221*(al_fro+Sens!H3331+sbc_r)</f>
        <v>4.28284567034358</v>
      </c>
      <c r="I3335" s="6" t="n">
        <f aca="false">Sens!I3221*(al_fro+Sens!I3331+sbc_r)</f>
        <v>4.52265518779037</v>
      </c>
      <c r="J3335" s="6" t="n">
        <f aca="false">Sens!J3221*(al_fro+Sens!J3331+sbc_r)</f>
        <v>4.80234174819321</v>
      </c>
      <c r="K3335" s="6" t="n">
        <f aca="false">Sens!K3221*(al_fro+Sens!K3331+sbc_r)</f>
        <v>5.12003988691865</v>
      </c>
    </row>
    <row r="3336" customFormat="false" ht="17.15" hidden="false" customHeight="false" outlineLevel="0" collapsed="false">
      <c r="A3336" s="0" t="s">
        <v>1076</v>
      </c>
      <c r="B3336" s="0" t="s">
        <v>98</v>
      </c>
      <c r="F3336" s="6" t="n">
        <f aca="false">Sens!F3224*(al_srch+Sens!F3331+sbc_r)</f>
        <v>12.3112946069005</v>
      </c>
      <c r="G3336" s="6" t="n">
        <f aca="false">Sens!G3224*(al_srch+Sens!G3331+sbc_r)</f>
        <v>13.2599205775304</v>
      </c>
      <c r="H3336" s="6" t="n">
        <f aca="false">Sens!H3224*(al_srch+Sens!H3331+sbc_r)</f>
        <v>14.2695852797684</v>
      </c>
      <c r="I3336" s="6" t="n">
        <f aca="false">Sens!I3224*(al_srch+Sens!I3331+sbc_r)</f>
        <v>15.3306200308746</v>
      </c>
      <c r="J3336" s="6" t="n">
        <f aca="false">Sens!J3224*(al_srch+Sens!J3331+sbc_r)</f>
        <v>16.4201019139827</v>
      </c>
      <c r="K3336" s="6" t="n">
        <f aca="false">Sens!K3224*(al_srch+Sens!K3331+sbc_r)</f>
        <v>17.5063710904146</v>
      </c>
    </row>
    <row r="3337" customFormat="false" ht="17.15" hidden="false" customHeight="false" outlineLevel="0" collapsed="false">
      <c r="A3337" s="0" t="s">
        <v>1077</v>
      </c>
      <c r="B3337" s="0" t="s">
        <v>98</v>
      </c>
      <c r="F3337" s="6" t="n">
        <f aca="false">Sens!F3193-Sens!F3194+Sens!F3274</f>
        <v>26.358297119348</v>
      </c>
      <c r="G3337" s="6" t="n">
        <f aca="false">Sens!G3193-Sens!G3194+Sens!G3274</f>
        <v>30.9070837849186</v>
      </c>
      <c r="H3337" s="6" t="n">
        <f aca="false">Sens!H3193-Sens!H3194+Sens!H3274</f>
        <v>31.0130541954724</v>
      </c>
      <c r="I3337" s="6" t="n">
        <f aca="false">Sens!I3193-Sens!I3194+Sens!I3274</f>
        <v>31.6372488192641</v>
      </c>
      <c r="J3337" s="6" t="n">
        <f aca="false">Sens!J3193-Sens!J3194+Sens!J3274</f>
        <v>33.4911206685855</v>
      </c>
      <c r="K3337" s="6" t="n">
        <f aca="false">Sens!K3193-Sens!K3194+Sens!K3274</f>
        <v>37.1738120449402</v>
      </c>
    </row>
    <row r="3338" customFormat="false" ht="17.15" hidden="false" customHeight="false" outlineLevel="0" collapsed="false">
      <c r="A3338" s="0" t="s">
        <v>1078</v>
      </c>
      <c r="B3338" s="0" t="s">
        <v>98</v>
      </c>
      <c r="F3338" s="6" t="n">
        <f aca="false">Sens!F3253+Sens!F3274+Sens!F3204+Sens!F3331*(Sens!F3223-Sens!F3187)+sbc_r*Sens!F3223</f>
        <v>214.268005112037</v>
      </c>
      <c r="G3338" s="6" t="n">
        <f aca="false">Sens!G3253+Sens!G3274+Sens!G3204+Sens!G3331*(Sens!G3223-Sens!G3187)+sbc_r*Sens!G3223</f>
        <v>245.342434514236</v>
      </c>
      <c r="H3338" s="6" t="n">
        <f aca="false">Sens!H3253+Sens!H3274+Sens!H3204+Sens!H3331*(Sens!H3223-Sens!H3187)+sbc_r*Sens!H3223</f>
        <v>272.16438812005</v>
      </c>
      <c r="I3338" s="6" t="n">
        <f aca="false">Sens!I3253+Sens!I3274+Sens!I3204+Sens!I3331*(Sens!I3223-Sens!I3187)+sbc_r*Sens!I3223</f>
        <v>298.149847443355</v>
      </c>
      <c r="J3338" s="6" t="n">
        <f aca="false">Sens!J3253+Sens!J3274+Sens!J3204+Sens!J3331*(Sens!J3223-Sens!J3187)+sbc_r*Sens!J3223</f>
        <v>323.248601962049</v>
      </c>
      <c r="K3338" s="6" t="n">
        <f aca="false">Sens!K3253+Sens!K3274+Sens!K3204+Sens!K3331*(Sens!K3223-Sens!K3187)+sbc_r*Sens!K3223</f>
        <v>348.150476667615</v>
      </c>
    </row>
    <row r="3339" customFormat="false" ht="17.15" hidden="false" customHeight="false" outlineLevel="0" collapsed="false">
      <c r="A3339" s="0" t="s">
        <v>1079</v>
      </c>
      <c r="B3339" s="0" t="s">
        <v>98</v>
      </c>
      <c r="F3339" s="6" t="n">
        <f aca="false">Sens!F3338-Sens!F3332-Sens!F3333-Sens!F3334-Sens!F3335-Sens!F3337</f>
        <v>50.3348263182286</v>
      </c>
      <c r="G3339" s="6" t="n">
        <f aca="false">Sens!G3338-Sens!G3332-Sens!G3333-Sens!G3334-Sens!G3335-Sens!G3337</f>
        <v>62.906780408672</v>
      </c>
      <c r="H3339" s="6" t="n">
        <f aca="false">Sens!H3338-Sens!H3332-Sens!H3333-Sens!H3334-Sens!H3335-Sens!H3337</f>
        <v>75.4502933123525</v>
      </c>
      <c r="I3339" s="6" t="n">
        <f aca="false">Sens!I3338-Sens!I3332-Sens!I3333-Sens!I3334-Sens!I3335-Sens!I3337</f>
        <v>87.6291694504303</v>
      </c>
      <c r="J3339" s="6" t="n">
        <f aca="false">Sens!J3338-Sens!J3332-Sens!J3333-Sens!J3334-Sens!J3335-Sens!J3337</f>
        <v>98.8981363552731</v>
      </c>
      <c r="K3339" s="6" t="n">
        <f aca="false">Sens!K3338-Sens!K3332-Sens!K3333-Sens!K3334-Sens!K3335-Sens!K3337</f>
        <v>108.56654519865</v>
      </c>
    </row>
    <row r="3340" customFormat="false" ht="17.15" hidden="false" customHeight="false" outlineLevel="0" collapsed="false">
      <c r="A3340" s="0" t="s">
        <v>1080</v>
      </c>
      <c r="B3340" s="0" t="s">
        <v>98</v>
      </c>
      <c r="F3340" s="6" t="n">
        <f aca="false">Sens!F3255+Sens!F3331*Sens!F3230+sbc_r*Sens!F3230</f>
        <v>28.7980299591077</v>
      </c>
      <c r="G3340" s="6" t="n">
        <f aca="false">Sens!G3255+Sens!G3331*Sens!G3230+sbc_r*Sens!G3230</f>
        <v>28.9593730159674</v>
      </c>
      <c r="H3340" s="6" t="n">
        <f aca="false">Sens!H3255+Sens!H3331*Sens!H3230+sbc_r*Sens!H3230</f>
        <v>29.4934119076986</v>
      </c>
      <c r="I3340" s="6" t="n">
        <f aca="false">Sens!I3255+Sens!I3331*Sens!I3230+sbc_r*Sens!I3230</f>
        <v>30.3476706613207</v>
      </c>
      <c r="J3340" s="6" t="n">
        <f aca="false">Sens!J3255+Sens!J3331*Sens!J3230+sbc_r*Sens!J3230</f>
        <v>31.464429687419</v>
      </c>
      <c r="K3340" s="6" t="n">
        <f aca="false">Sens!K3255+Sens!K3331*Sens!K3230+sbc_r*Sens!K3230</f>
        <v>32.7879765617839</v>
      </c>
    </row>
    <row r="3341" customFormat="false" ht="17.15" hidden="false" customHeight="false" outlineLevel="0" collapsed="false">
      <c r="A3341" s="0" t="s">
        <v>1081</v>
      </c>
      <c r="B3341" s="0" t="s">
        <v>98</v>
      </c>
      <c r="F3341" s="6" t="n">
        <f aca="false">(Sens!F3340-Sens!F3336)*Sens!F3226/(Sens!F3226+Sens!F3228)</f>
        <v>9.0378677416044</v>
      </c>
      <c r="G3341" s="6" t="n">
        <f aca="false">(Sens!G3340-Sens!G3336)*Sens!G3226/(Sens!G3226+Sens!G3228)</f>
        <v>8.45283736147321</v>
      </c>
      <c r="H3341" s="6" t="n">
        <f aca="false">(Sens!H3340-Sens!H3336)*Sens!H3226/(Sens!H3226+Sens!H3228)</f>
        <v>8.08602835366675</v>
      </c>
      <c r="I3341" s="6" t="n">
        <f aca="false">(Sens!I3340-Sens!I3336)*Sens!I3226/(Sens!I3226+Sens!I3228)</f>
        <v>7.90403197225031</v>
      </c>
      <c r="J3341" s="6" t="n">
        <f aca="false">(Sens!J3340-Sens!J3336)*Sens!J3226/(Sens!J3226+Sens!J3228)</f>
        <v>7.88258228392009</v>
      </c>
      <c r="K3341" s="6" t="n">
        <f aca="false">(Sens!K3340-Sens!K3336)*Sens!K3226/(Sens!K3226+Sens!K3228)</f>
        <v>8.00690561735601</v>
      </c>
    </row>
    <row r="3342" customFormat="false" ht="17.15" hidden="false" customHeight="false" outlineLevel="0" collapsed="false">
      <c r="A3342" s="0" t="s">
        <v>1082</v>
      </c>
      <c r="B3342" s="0" t="s">
        <v>98</v>
      </c>
      <c r="F3342" s="6" t="n">
        <f aca="false">Sens!F3340-Sens!F3336-Sens!F3341</f>
        <v>7.44886761060273</v>
      </c>
      <c r="G3342" s="6" t="n">
        <f aca="false">Sens!G3340-Sens!G3336-Sens!G3341</f>
        <v>7.2466150769638</v>
      </c>
      <c r="H3342" s="6" t="n">
        <f aca="false">Sens!H3340-Sens!H3336-Sens!H3341</f>
        <v>7.13779827426344</v>
      </c>
      <c r="I3342" s="6" t="n">
        <f aca="false">Sens!I3340-Sens!I3336-Sens!I3341</f>
        <v>7.11301865819572</v>
      </c>
      <c r="J3342" s="6" t="n">
        <f aca="false">Sens!J3340-Sens!J3336-Sens!J3341</f>
        <v>7.1617454895162</v>
      </c>
      <c r="K3342" s="6" t="n">
        <f aca="false">Sens!K3340-Sens!K3336-Sens!K3341</f>
        <v>7.2746998540133</v>
      </c>
    </row>
    <row r="3343" customFormat="false" ht="17.15" hidden="false" customHeight="false" outlineLevel="0" collapsed="false">
      <c r="A3343" s="0" t="s">
        <v>1083</v>
      </c>
      <c r="B3343" s="0" t="s">
        <v>98</v>
      </c>
      <c r="F3343" s="6" t="n">
        <f aca="false">Sens!F3337-tax_f*(Sens!F3337-Sens!F3204)-Sens!F3201</f>
        <v>-4.65550795258825</v>
      </c>
      <c r="G3343" s="6" t="n">
        <f aca="false">Sens!G3337-tax_f*(Sens!G3337-Sens!G3204)-Sens!G3201</f>
        <v>-4.68862197359848</v>
      </c>
      <c r="H3343" s="6" t="n">
        <f aca="false">Sens!H3337-tax_f*(Sens!H3337-Sens!H3204)-Sens!H3201</f>
        <v>31.2154212544446</v>
      </c>
      <c r="I3343" s="6" t="n">
        <f aca="false">Sens!I3337-tax_f*(Sens!I3337-Sens!I3204)-Sens!I3201</f>
        <v>1.58485645272794</v>
      </c>
      <c r="J3343" s="6" t="n">
        <f aca="false">Sens!J3337-tax_f*(Sens!J3337-Sens!J3204)-Sens!J3201</f>
        <v>-12.0469447947316</v>
      </c>
      <c r="K3343" s="6" t="n">
        <f aca="false">Sens!K3337-tax_f*(Sens!K3337-Sens!K3204)-Sens!K3201</f>
        <v>-53.5993320887312</v>
      </c>
    </row>
    <row r="3344" customFormat="false" ht="17.15" hidden="false" customHeight="false" outlineLevel="0" collapsed="false">
      <c r="A3344" s="0" t="s">
        <v>1084</v>
      </c>
      <c r="B3344" s="0" t="s">
        <v>98</v>
      </c>
      <c r="G3344" s="6" t="n">
        <f aca="false">Sens!G3343/(1+wacc)^(Sens!G3316-(Sens!F3316+mid_yr))</f>
        <v>-4.46447477461449</v>
      </c>
      <c r="H3344" s="6" t="n">
        <f aca="false">Sens!H3343/(1+wacc)^(Sens!H3316-(Sens!F3316+mid_yr))</f>
        <v>26.9491247452131</v>
      </c>
      <c r="I3344" s="6" t="n">
        <f aca="false">Sens!I3343/(1+wacc)^(Sens!I3316-(Sens!F3316+mid_yr))</f>
        <v>1.24055409514003</v>
      </c>
      <c r="J3344" s="6" t="n">
        <f aca="false">Sens!J3343/(1+wacc)^(Sens!J3316-(Sens!F3316+mid_yr))</f>
        <v>-8.54974189545419</v>
      </c>
      <c r="K3344" s="6" t="n">
        <f aca="false">Sens!K3343/(1+wacc)^(Sens!K3316-(Sens!F3316+mid_yr))</f>
        <v>-34.4894105193342</v>
      </c>
      <c r="L3344" s="1" t="s">
        <v>1085</v>
      </c>
    </row>
    <row r="3345" customFormat="false" ht="17.15" hidden="false" customHeight="false" outlineLevel="0" collapsed="false">
      <c r="A3345" s="0" t="s">
        <v>1086</v>
      </c>
      <c r="B3345" s="0" t="s">
        <v>98</v>
      </c>
      <c r="C3345" s="6" t="n">
        <f aca="false">(Sens!K3337-Sens!K3204)*(1-tax_f)*(1+g_tv)*(1-g_tv/(wacc+ronic_prem))/(wacc-g_tv)/(1+wacc)^(Sens!K3316+mid_yr-(Sens!F3316+mid_yr))</f>
        <v>-0.0706753557424257</v>
      </c>
    </row>
    <row r="3346" customFormat="false" ht="17.15" hidden="false" customHeight="false" outlineLevel="0" collapsed="false">
      <c r="A3346" s="1" t="s">
        <v>1087</v>
      </c>
      <c r="B3346" s="0" t="s">
        <v>98</v>
      </c>
      <c r="C3346" s="6" t="n">
        <f aca="false">(SUM(Sens!G3344:K3344)+Sens!$C$3345)*(1+wacc)^(t_roll-(Sens!F3316+mid_yr))</f>
        <v>-20.0138084857124</v>
      </c>
      <c r="L3346" s="11" t="s">
        <v>1088</v>
      </c>
    </row>
    <row r="3347" customFormat="false" ht="17.15" hidden="false" customHeight="false" outlineLevel="0" collapsed="false">
      <c r="A3347" s="1" t="s">
        <v>1089</v>
      </c>
      <c r="B3347" s="0" t="s">
        <v>98</v>
      </c>
      <c r="C3347" s="6" t="n">
        <f aca="false">(w_ntm28*Sens!G3193+(1-w_ntm28)*Sens!H3193)*m_ai</f>
        <v>209.754114949644</v>
      </c>
    </row>
    <row r="3348" customFormat="false" ht="17.15" hidden="false" customHeight="false" outlineLevel="0" collapsed="false">
      <c r="A3348" s="1" t="s">
        <v>1090</v>
      </c>
      <c r="B3348" s="0" t="s">
        <v>98</v>
      </c>
      <c r="C3348" s="6" t="n">
        <f aca="false">(w_ntm28*Sens!G3339+(1-w_ntm28)*Sens!H3339)*m_cloud</f>
        <v>925.414058954165</v>
      </c>
    </row>
    <row r="3349" customFormat="false" ht="17.15" hidden="false" customHeight="false" outlineLevel="0" collapsed="false">
      <c r="A3349" s="1" t="s">
        <v>1091</v>
      </c>
      <c r="B3349" s="0" t="s">
        <v>98</v>
      </c>
      <c r="C3349" s="6" t="n">
        <f aca="false">(w_ntm28*Sens!G3332+(1-w_ntm28)*Sens!H3332)*m_sw</f>
        <v>1130.89877084002</v>
      </c>
    </row>
    <row r="3350" customFormat="false" ht="17.15" hidden="false" customHeight="false" outlineLevel="0" collapsed="false">
      <c r="A3350" s="1" t="s">
        <v>1092</v>
      </c>
      <c r="B3350" s="0" t="s">
        <v>98</v>
      </c>
      <c r="C3350" s="6" t="n">
        <f aca="false">(w_ntm28*Sens!G3333+(1-w_ntm28)*Sens!H3333)*m_sw</f>
        <v>392.876309773792</v>
      </c>
    </row>
    <row r="3351" customFormat="false" ht="17.15" hidden="false" customHeight="false" outlineLevel="0" collapsed="false">
      <c r="A3351" s="1" t="s">
        <v>1093</v>
      </c>
      <c r="B3351" s="0" t="s">
        <v>98</v>
      </c>
      <c r="C3351" s="6" t="n">
        <f aca="false">(w_ntm28*Sens!G3334+(1-w_ntm28)*Sens!H3334)*m_sw</f>
        <v>117.417416836297</v>
      </c>
    </row>
    <row r="3352" customFormat="false" ht="17.15" hidden="false" customHeight="false" outlineLevel="0" collapsed="false">
      <c r="A3352" s="1" t="s">
        <v>1094</v>
      </c>
      <c r="B3352" s="0" t="s">
        <v>98</v>
      </c>
      <c r="C3352" s="6" t="n">
        <f aca="false">(w_ntm28*Sens!G3335+(1-w_ntm28)*Sens!H3335)*m_sw</f>
        <v>44.7993391076236</v>
      </c>
    </row>
    <row r="3353" customFormat="false" ht="17.15" hidden="false" customHeight="false" outlineLevel="0" collapsed="false">
      <c r="A3353" s="1" t="s">
        <v>1095</v>
      </c>
      <c r="B3353" s="0" t="s">
        <v>98</v>
      </c>
      <c r="C3353" s="6" t="n">
        <f aca="false">(w_ntm28*Sens!G3336+(1-w_ntm28)*Sens!H3336)*m_ads</f>
        <v>123.771491150649</v>
      </c>
    </row>
    <row r="3354" customFormat="false" ht="17.15" hidden="false" customHeight="false" outlineLevel="0" collapsed="false">
      <c r="A3354" s="1" t="s">
        <v>1096</v>
      </c>
      <c r="B3354" s="0" t="s">
        <v>98</v>
      </c>
      <c r="C3354" s="6" t="n">
        <f aca="false">(w_ntm28*Sens!G3341+(1-w_ntm28)*Sens!H3341)*m_game</f>
        <v>105.261609473505</v>
      </c>
    </row>
    <row r="3355" customFormat="false" ht="17.15" hidden="false" customHeight="false" outlineLevel="0" collapsed="false">
      <c r="A3355" s="1" t="s">
        <v>1097</v>
      </c>
      <c r="B3355" s="0" t="s">
        <v>98</v>
      </c>
      <c r="C3355" s="6" t="n">
        <f aca="false">(w_ntm28*Sens!G3342+(1-w_ntm28)*Sens!H3342)*m_pc</f>
        <v>104.349478141916</v>
      </c>
    </row>
    <row r="3356" customFormat="false" ht="17.15" hidden="false" customHeight="false" outlineLevel="0" collapsed="false">
      <c r="A3356" s="1" t="s">
        <v>1098</v>
      </c>
      <c r="B3356" s="0" t="s">
        <v>98</v>
      </c>
      <c r="C3356" s="6" t="n">
        <f aca="false">Sens!$C$3346+Sens!$C$3348+Sens!$C$3349+Sens!$C$3350+Sens!$C$3351+Sens!$C$3352+Sens!$C$3353+Sens!$C$3354+Sens!$C$3355</f>
        <v>2924.77466579225</v>
      </c>
    </row>
    <row r="3357" customFormat="false" ht="17.15" hidden="false" customHeight="false" outlineLevel="0" collapsed="false">
      <c r="A3357" s="1" t="s">
        <v>1099</v>
      </c>
      <c r="B3357" s="0" t="s">
        <v>98</v>
      </c>
      <c r="C3357" s="6" t="n">
        <f aca="false">(Sens!G3318-Sens!G3343)*t_stub</f>
        <v>48.1786189073959</v>
      </c>
      <c r="L3357" s="1" t="s">
        <v>1100</v>
      </c>
    </row>
    <row r="3358" customFormat="false" ht="17.15" hidden="false" customHeight="false" outlineLevel="0" collapsed="false">
      <c r="A3358" s="1" t="s">
        <v>1014</v>
      </c>
      <c r="B3358" s="0" t="s">
        <v>98</v>
      </c>
      <c r="C3358" s="6" t="n">
        <f aca="false">Sens!F3307+oai_v-Sens!F3296+Sens!$C$3357</f>
        <v>152.408133169341</v>
      </c>
      <c r="L3358" s="1" t="s">
        <v>1101</v>
      </c>
    </row>
    <row r="3359" customFormat="false" ht="17.15" hidden="false" customHeight="false" outlineLevel="0" collapsed="false">
      <c r="A3359" s="1" t="s">
        <v>1102</v>
      </c>
      <c r="B3359" s="0" t="s">
        <v>75</v>
      </c>
      <c r="C3359" s="5" t="n">
        <f aca="false">(Sens!$C$3356+Sens!$C$3358)/(Sens!F3309+dil_gap)-Sens!G3299*roll_div_q/q_per_yr</f>
        <v>409.470478516755</v>
      </c>
      <c r="L3359" s="1" t="s">
        <v>1103</v>
      </c>
    </row>
    <row r="3360" customFormat="false" ht="17.15" hidden="false" customHeight="false" outlineLevel="0" collapsed="false">
      <c r="A3360" s="1" t="s">
        <v>1104</v>
      </c>
      <c r="B3360" s="0" t="s">
        <v>75</v>
      </c>
      <c r="C3360" s="5" t="n">
        <f aca="false">w_dcf*Sens!$C$3330+(1-w_dcf)*Sens!$C$3359</f>
        <v>352.133385590645</v>
      </c>
    </row>
    <row r="3361" customFormat="false" ht="17.15" hidden="false" customHeight="false" outlineLevel="0" collapsed="false">
      <c r="A3361" s="3" t="s">
        <v>1347</v>
      </c>
    </row>
    <row r="3362" customFormat="false" ht="15" hidden="false" customHeight="false" outlineLevel="0" collapsed="false">
      <c r="A3362" s="4" t="s">
        <v>43</v>
      </c>
      <c r="B3362" s="4" t="s">
        <v>65</v>
      </c>
      <c r="C3362" s="20" t="s">
        <v>799</v>
      </c>
      <c r="D3362" s="20" t="s">
        <v>800</v>
      </c>
      <c r="E3362" s="20" t="s">
        <v>801</v>
      </c>
      <c r="F3362" s="20" t="s">
        <v>802</v>
      </c>
      <c r="G3362" s="20" t="s">
        <v>803</v>
      </c>
      <c r="H3362" s="20" t="s">
        <v>804</v>
      </c>
      <c r="I3362" s="20" t="s">
        <v>805</v>
      </c>
      <c r="J3362" s="20" t="s">
        <v>806</v>
      </c>
      <c r="K3362" s="20" t="s">
        <v>807</v>
      </c>
      <c r="L3362" s="4" t="s">
        <v>47</v>
      </c>
    </row>
    <row r="3363" customFormat="false" ht="17.15" hidden="false" customHeight="false" outlineLevel="0" collapsed="false">
      <c r="A3363" s="1" t="s">
        <v>808</v>
      </c>
      <c r="B3363" s="1" t="s">
        <v>235</v>
      </c>
      <c r="C3363" s="28" t="n">
        <v>2024</v>
      </c>
      <c r="D3363" s="28" t="n">
        <v>2025</v>
      </c>
      <c r="E3363" s="28" t="n">
        <v>2026</v>
      </c>
      <c r="F3363" s="28" t="n">
        <v>2027</v>
      </c>
      <c r="G3363" s="28" t="n">
        <v>2028</v>
      </c>
      <c r="H3363" s="28" t="n">
        <v>2029</v>
      </c>
      <c r="I3363" s="28" t="n">
        <v>2030</v>
      </c>
      <c r="J3363" s="28" t="n">
        <v>2031</v>
      </c>
      <c r="K3363" s="28" t="n">
        <v>2032</v>
      </c>
    </row>
    <row r="3364" customFormat="false" ht="17.15" hidden="false" customHeight="false" outlineLevel="0" collapsed="false">
      <c r="A3364" s="1" t="s">
        <v>809</v>
      </c>
      <c r="B3364" s="0" t="s">
        <v>399</v>
      </c>
      <c r="F3364" s="29" t="n">
        <f aca="false">pace_epoch</f>
        <v>650</v>
      </c>
      <c r="G3364" s="29" t="n">
        <f aca="false">pace_epoch</f>
        <v>650</v>
      </c>
      <c r="H3364" s="29" t="n">
        <f aca="false">pace_epoch</f>
        <v>650</v>
      </c>
      <c r="I3364" s="29" t="n">
        <f aca="false">pace_epoch+(g_tv*Sens!H3365-pace_epoch)*MIN(1,(Sens!I3363-pace_y0)/(pace_y1-pace_y0))</f>
        <v>477.193333333333</v>
      </c>
      <c r="J3364" s="29" t="n">
        <f aca="false">pace_epoch+(g_tv*Sens!I3365-pace_epoch)*MIN(1,(Sens!J3363-pace_y0)/(pace_y1-pace_y0))</f>
        <v>304.386666666667</v>
      </c>
      <c r="K3364" s="29" t="n">
        <f aca="false">pace_epoch+(g_tv*Sens!J3365-pace_epoch)*MIN(1,(Sens!K3363-pace_y0)/(pace_y1-pace_y0))</f>
        <v>131.58</v>
      </c>
      <c r="L3364" s="11" t="s">
        <v>810</v>
      </c>
    </row>
    <row r="3365" customFormat="false" ht="17.15" hidden="false" customHeight="false" outlineLevel="0" collapsed="false">
      <c r="A3365" s="1" t="s">
        <v>811</v>
      </c>
      <c r="B3365" s="0" t="s">
        <v>399</v>
      </c>
      <c r="C3365" s="29" t="n">
        <f aca="false">mw_ext_24</f>
        <v>640</v>
      </c>
      <c r="D3365" s="29" t="n">
        <f aca="false">mw_ext_25</f>
        <v>1630</v>
      </c>
      <c r="E3365" s="29" t="n">
        <f aca="false">mw_ext_26</f>
        <v>3250</v>
      </c>
      <c r="F3365" s="29" t="n">
        <f aca="false">MIN(cap_epoch,Sens!E3365+Sens!F3364)</f>
        <v>3900</v>
      </c>
      <c r="G3365" s="29" t="n">
        <f aca="false">MIN(cap_epoch,Sens!F3365+Sens!G3364)</f>
        <v>4386</v>
      </c>
      <c r="H3365" s="29" t="n">
        <f aca="false">MIN(cap_epoch,Sens!G3365+Sens!H3364)</f>
        <v>4386</v>
      </c>
      <c r="I3365" s="29" t="n">
        <f aca="false">MIN(cap_epoch,Sens!H3365+Sens!I3364)</f>
        <v>4386</v>
      </c>
      <c r="J3365" s="29" t="n">
        <f aca="false">MIN(cap_epoch,Sens!I3365+Sens!J3364)</f>
        <v>4386</v>
      </c>
      <c r="K3365" s="29" t="n">
        <f aca="false">MIN(cap_epoch,Sens!J3365+Sens!K3364)</f>
        <v>4386</v>
      </c>
      <c r="L3365" s="1" t="s">
        <v>812</v>
      </c>
    </row>
    <row r="3366" customFormat="false" ht="17.15" hidden="false" customHeight="false" outlineLevel="0" collapsed="false">
      <c r="A3366" s="1" t="s">
        <v>813</v>
      </c>
      <c r="B3366" s="0" t="s">
        <v>399</v>
      </c>
      <c r="C3366" s="29" t="n">
        <f aca="false">rent_ext_24</f>
        <v>150</v>
      </c>
      <c r="D3366" s="29" t="n">
        <f aca="false">rent_ext_25</f>
        <v>400</v>
      </c>
      <c r="E3366" s="29" t="n">
        <f aca="false">rent_ext_26</f>
        <v>550</v>
      </c>
      <c r="F3366" s="29" t="n">
        <f aca="false">rent_ext_f</f>
        <v>756</v>
      </c>
      <c r="G3366" s="29" t="n">
        <f aca="false">rent_ext_f</f>
        <v>756</v>
      </c>
      <c r="H3366" s="29" t="n">
        <f aca="false">rent_ext_f</f>
        <v>756</v>
      </c>
      <c r="I3366" s="29" t="n">
        <f aca="false">rent_ext_f</f>
        <v>756</v>
      </c>
      <c r="J3366" s="29" t="n">
        <f aca="false">rent_ext_f</f>
        <v>756</v>
      </c>
      <c r="K3366" s="29" t="n">
        <f aca="false">rent_ext_f</f>
        <v>756</v>
      </c>
      <c r="L3366" s="1" t="s">
        <v>814</v>
      </c>
    </row>
    <row r="3367" customFormat="false" ht="17.15" hidden="false" customHeight="false" outlineLevel="0" collapsed="false">
      <c r="A3367" s="1" t="s">
        <v>815</v>
      </c>
      <c r="B3367" s="0" t="s">
        <v>399</v>
      </c>
      <c r="C3367" s="29" t="n">
        <f aca="false">Sens!C3365-Sens!C3366</f>
        <v>490</v>
      </c>
      <c r="D3367" s="29" t="n">
        <f aca="false">Sens!D3365-Sens!D3366</f>
        <v>1230</v>
      </c>
      <c r="E3367" s="29" t="n">
        <f aca="false">Sens!E3365-Sens!E3366</f>
        <v>2700</v>
      </c>
      <c r="F3367" s="29" t="n">
        <f aca="false">Sens!F3365-Sens!F3366</f>
        <v>3144</v>
      </c>
      <c r="G3367" s="29" t="n">
        <f aca="false">Sens!G3365-Sens!G3366</f>
        <v>3630</v>
      </c>
      <c r="H3367" s="29" t="n">
        <f aca="false">Sens!H3365-Sens!H3366</f>
        <v>3630</v>
      </c>
      <c r="I3367" s="29" t="n">
        <f aca="false">Sens!I3365-Sens!I3366</f>
        <v>3630</v>
      </c>
      <c r="J3367" s="29" t="n">
        <f aca="false">Sens!J3365-Sens!J3366</f>
        <v>3630</v>
      </c>
      <c r="K3367" s="29" t="n">
        <f aca="false">Sens!K3365-Sens!K3366</f>
        <v>3630</v>
      </c>
    </row>
    <row r="3368" customFormat="false" ht="17.15" hidden="false" customHeight="false" outlineLevel="0" collapsed="false">
      <c r="A3368" s="1" t="s">
        <v>816</v>
      </c>
      <c r="B3368" s="0" t="s">
        <v>399</v>
      </c>
      <c r="C3368" s="29" t="n">
        <f aca="false">Sens!C3367/ext_sh</f>
        <v>816.666666666667</v>
      </c>
      <c r="D3368" s="29" t="n">
        <f aca="false">Sens!D3367/ext_sh</f>
        <v>2050</v>
      </c>
      <c r="E3368" s="29" t="n">
        <f aca="false">Sens!E3367/ext_sh</f>
        <v>4500</v>
      </c>
      <c r="F3368" s="29" t="n">
        <f aca="false">Sens!F3367/ext_sh</f>
        <v>5240</v>
      </c>
      <c r="G3368" s="29" t="n">
        <f aca="false">Sens!G3367/ext_sh</f>
        <v>6050</v>
      </c>
      <c r="H3368" s="29" t="n">
        <f aca="false">Sens!H3367/ext_sh</f>
        <v>6050</v>
      </c>
      <c r="I3368" s="29" t="n">
        <f aca="false">Sens!I3367/ext_sh</f>
        <v>6050</v>
      </c>
      <c r="J3368" s="29" t="n">
        <f aca="false">Sens!J3367/ext_sh</f>
        <v>6050</v>
      </c>
      <c r="K3368" s="29" t="n">
        <f aca="false">Sens!K3367/ext_sh</f>
        <v>6050</v>
      </c>
      <c r="L3368" s="1" t="s">
        <v>817</v>
      </c>
    </row>
    <row r="3369" customFormat="false" ht="17.15" hidden="false" customHeight="false" outlineLevel="0" collapsed="false">
      <c r="A3369" s="1" t="s">
        <v>818</v>
      </c>
      <c r="B3369" s="0" t="s">
        <v>399</v>
      </c>
      <c r="C3369" s="29" t="n">
        <f aca="false">Sens!C3368-Sens!C3367</f>
        <v>326.666666666667</v>
      </c>
      <c r="D3369" s="29" t="n">
        <f aca="false">Sens!D3368-Sens!D3367</f>
        <v>820</v>
      </c>
      <c r="E3369" s="29" t="n">
        <f aca="false">Sens!E3368-Sens!E3367</f>
        <v>1800</v>
      </c>
      <c r="F3369" s="29" t="n">
        <f aca="false">Sens!F3368-Sens!F3367</f>
        <v>2096</v>
      </c>
      <c r="G3369" s="29" t="n">
        <f aca="false">Sens!G3368-Sens!G3367</f>
        <v>2420</v>
      </c>
      <c r="H3369" s="29" t="n">
        <f aca="false">Sens!H3368-Sens!H3367</f>
        <v>2420</v>
      </c>
      <c r="I3369" s="29" t="n">
        <f aca="false">Sens!I3368-Sens!I3367</f>
        <v>2420</v>
      </c>
      <c r="J3369" s="29" t="n">
        <f aca="false">Sens!J3368-Sens!J3367</f>
        <v>2420</v>
      </c>
      <c r="K3369" s="29" t="n">
        <f aca="false">Sens!K3368-Sens!K3367</f>
        <v>2420</v>
      </c>
    </row>
    <row r="3370" customFormat="false" ht="17.15" hidden="false" customHeight="false" outlineLevel="0" collapsed="false">
      <c r="A3370" s="1" t="s">
        <v>819</v>
      </c>
      <c r="B3370" s="0" t="s">
        <v>399</v>
      </c>
      <c r="C3370" s="29" t="n">
        <f aca="false">Sens!C3368</f>
        <v>816.666666666667</v>
      </c>
      <c r="D3370" s="29" t="n">
        <f aca="false">Sens!D3368-Sens!C3368</f>
        <v>1233.33333333333</v>
      </c>
      <c r="E3370" s="29" t="n">
        <f aca="false">Sens!E3368-Sens!D3368</f>
        <v>2450</v>
      </c>
      <c r="F3370" s="29" t="n">
        <f aca="false">Sens!F3368-Sens!E3368</f>
        <v>740</v>
      </c>
      <c r="G3370" s="29" t="n">
        <f aca="false">Sens!G3368-Sens!F3368</f>
        <v>810</v>
      </c>
      <c r="H3370" s="29" t="n">
        <f aca="false">Sens!H3368-Sens!G3368</f>
        <v>0</v>
      </c>
      <c r="I3370" s="29" t="n">
        <f aca="false">Sens!I3368-Sens!H3368</f>
        <v>0</v>
      </c>
      <c r="J3370" s="29" t="n">
        <f aca="false">Sens!J3368-Sens!I3368</f>
        <v>0</v>
      </c>
      <c r="K3370" s="29" t="n">
        <f aca="false">Sens!K3368-Sens!J3368</f>
        <v>0</v>
      </c>
    </row>
    <row r="3371" customFormat="false" ht="17.15" hidden="false" customHeight="false" outlineLevel="0" collapsed="false">
      <c r="A3371" s="1" t="s">
        <v>820</v>
      </c>
      <c r="B3371" s="0" t="s">
        <v>399</v>
      </c>
      <c r="D3371" s="29" t="n">
        <f aca="false">Sens!D3365-Sens!C3365</f>
        <v>990</v>
      </c>
      <c r="E3371" s="29" t="n">
        <f aca="false">Sens!E3365-Sens!D3365</f>
        <v>1620</v>
      </c>
      <c r="F3371" s="29" t="n">
        <f aca="false">Sens!F3365-Sens!E3365</f>
        <v>650</v>
      </c>
      <c r="G3371" s="29" t="n">
        <f aca="false">Sens!G3365-Sens!F3365</f>
        <v>486</v>
      </c>
      <c r="H3371" s="29" t="n">
        <f aca="false">Sens!H3365-Sens!G3365</f>
        <v>0</v>
      </c>
      <c r="I3371" s="29" t="n">
        <f aca="false">Sens!I3365-Sens!H3365</f>
        <v>0</v>
      </c>
      <c r="J3371" s="29" t="n">
        <f aca="false">Sens!J3365-Sens!I3365</f>
        <v>0</v>
      </c>
      <c r="K3371" s="29" t="n">
        <f aca="false">Sens!K3365-Sens!J3365</f>
        <v>0</v>
      </c>
    </row>
    <row r="3372" customFormat="false" ht="17.15" hidden="false" customHeight="false" outlineLevel="0" collapsed="false">
      <c r="A3372" s="1" t="s">
        <v>821</v>
      </c>
      <c r="B3372" s="0" t="s">
        <v>399</v>
      </c>
      <c r="F3372" s="29" t="n">
        <f aca="false">Sens!F3389*ext_sh</f>
        <v>0</v>
      </c>
      <c r="G3372" s="29" t="n">
        <f aca="false">Sens!G3389*ext_sh</f>
        <v>0</v>
      </c>
      <c r="H3372" s="29" t="n">
        <f aca="false">Sens!H3389*ext_sh</f>
        <v>0</v>
      </c>
      <c r="I3372" s="29" t="n">
        <f aca="false">Sens!I3389*ext_sh</f>
        <v>490</v>
      </c>
      <c r="J3372" s="29" t="n">
        <f aca="false">Sens!J3389*ext_sh</f>
        <v>740</v>
      </c>
      <c r="K3372" s="29" t="n">
        <f aca="false">Sens!K3389*ext_sh</f>
        <v>1470</v>
      </c>
      <c r="L3372" s="1" t="s">
        <v>822</v>
      </c>
    </row>
    <row r="3373" customFormat="false" ht="17.15" hidden="false" customHeight="false" outlineLevel="0" collapsed="false">
      <c r="A3373" s="1" t="s">
        <v>823</v>
      </c>
      <c r="B3373" s="0" t="s">
        <v>399</v>
      </c>
      <c r="C3373" s="29" t="n">
        <f aca="false">mix_h*Sens!C3365</f>
        <v>128</v>
      </c>
      <c r="D3373" s="29" t="n">
        <f aca="false">mix_h*Sens!D3365</f>
        <v>326</v>
      </c>
      <c r="E3373" s="29" t="n">
        <f aca="false">mix_h*Sens!E3365</f>
        <v>650</v>
      </c>
      <c r="F3373" s="29" t="n">
        <f aca="false">Sens!E3373-Sens!F3372*mix_h</f>
        <v>650</v>
      </c>
      <c r="G3373" s="29" t="n">
        <f aca="false">Sens!F3373-Sens!G3372*mix_h</f>
        <v>650</v>
      </c>
      <c r="H3373" s="29" t="n">
        <f aca="false">Sens!G3373-Sens!H3372*mix_h</f>
        <v>650</v>
      </c>
      <c r="I3373" s="29" t="n">
        <f aca="false">Sens!H3373-Sens!I3372*mix_h</f>
        <v>552</v>
      </c>
      <c r="J3373" s="29" t="n">
        <f aca="false">Sens!I3373-Sens!J3372*mix_h</f>
        <v>404</v>
      </c>
      <c r="K3373" s="29" t="n">
        <f aca="false">Sens!J3373-Sens!K3372*mix_h</f>
        <v>110</v>
      </c>
    </row>
    <row r="3374" customFormat="false" ht="17.15" hidden="false" customHeight="false" outlineLevel="0" collapsed="false">
      <c r="A3374" s="1" t="s">
        <v>824</v>
      </c>
      <c r="B3374" s="0" t="s">
        <v>399</v>
      </c>
      <c r="C3374" s="29" t="n">
        <f aca="false">mix_g2*Sens!C3365</f>
        <v>288</v>
      </c>
      <c r="D3374" s="29" t="n">
        <f aca="false">mix_g2*Sens!D3365</f>
        <v>733.5</v>
      </c>
      <c r="E3374" s="29" t="n">
        <f aca="false">mix_g2*Sens!E3365</f>
        <v>1462.5</v>
      </c>
      <c r="F3374" s="29" t="n">
        <f aca="false">Sens!E3374-Sens!F3372*mix_g2</f>
        <v>1462.5</v>
      </c>
      <c r="G3374" s="29" t="n">
        <f aca="false">Sens!F3374-Sens!G3372*mix_g2</f>
        <v>1462.5</v>
      </c>
      <c r="H3374" s="29" t="n">
        <f aca="false">Sens!G3374-Sens!H3372*mix_g2</f>
        <v>1462.5</v>
      </c>
      <c r="I3374" s="29" t="n">
        <f aca="false">Sens!H3374-Sens!I3372*mix_g2</f>
        <v>1242</v>
      </c>
      <c r="J3374" s="29" t="n">
        <f aca="false">Sens!I3374-Sens!J3372*mix_g2</f>
        <v>909</v>
      </c>
      <c r="K3374" s="29" t="n">
        <f aca="false">Sens!J3374-Sens!K3372*mix_g2</f>
        <v>247.5</v>
      </c>
    </row>
    <row r="3375" customFormat="false" ht="17.15" hidden="false" customHeight="false" outlineLevel="0" collapsed="false">
      <c r="A3375" s="1" t="s">
        <v>825</v>
      </c>
      <c r="B3375" s="0" t="s">
        <v>399</v>
      </c>
      <c r="C3375" s="29" t="n">
        <f aca="false">mix_g3*Sens!C3365</f>
        <v>224</v>
      </c>
      <c r="D3375" s="29" t="n">
        <f aca="false">mix_g3*Sens!D3365</f>
        <v>570.5</v>
      </c>
      <c r="E3375" s="29" t="n">
        <f aca="false">mix_g3*Sens!E3365</f>
        <v>1137.5</v>
      </c>
      <c r="F3375" s="29" t="n">
        <f aca="false">Sens!E3375+(Sens!F3371+Sens!F3372)*a_g3_27-Sens!F3372*mix_g3</f>
        <v>1592.5</v>
      </c>
      <c r="G3375" s="29" t="n">
        <f aca="false">Sens!F3375+(Sens!G3371+Sens!G3372)*a_g3_28-Sens!G3372*mix_g3</f>
        <v>1738.3</v>
      </c>
      <c r="H3375" s="29" t="n">
        <f aca="false">Sens!G3375+(Sens!H3371+Sens!H3372)*a_g3_29-Sens!H3372*mix_g3</f>
        <v>1738.3</v>
      </c>
      <c r="I3375" s="29" t="n">
        <f aca="false">Sens!H3375+(Sens!I3371+Sens!I3372)*a_g3_29-Sens!I3372*mix_g3</f>
        <v>1615.8</v>
      </c>
      <c r="J3375" s="29" t="n">
        <f aca="false">Sens!I3375+(Sens!J3371+Sens!J3372)*a_g3_29-Sens!J3372*mix_g3</f>
        <v>1430.8</v>
      </c>
      <c r="K3375" s="29" t="n">
        <f aca="false">Sens!J3375+(Sens!K3371+Sens!K3372)*a_g3_29-Sens!K3372*mix_g3</f>
        <v>1063.3</v>
      </c>
    </row>
    <row r="3376" customFormat="false" ht="17.15" hidden="false" customHeight="false" outlineLevel="0" collapsed="false">
      <c r="A3376" s="1" t="s">
        <v>826</v>
      </c>
      <c r="B3376" s="0" t="s">
        <v>399</v>
      </c>
      <c r="C3376" s="29" t="n">
        <v>0</v>
      </c>
      <c r="D3376" s="29" t="n">
        <v>0</v>
      </c>
      <c r="E3376" s="29" t="n">
        <v>0</v>
      </c>
      <c r="F3376" s="29" t="n">
        <f aca="false">Sens!E3376+(Sens!F3371+Sens!F3372)*(1-a_g3_27)</f>
        <v>195</v>
      </c>
      <c r="G3376" s="29" t="n">
        <f aca="false">Sens!F3376+(Sens!G3371+Sens!G3372)*(1-a_g3_28)</f>
        <v>535.2</v>
      </c>
      <c r="H3376" s="29" t="n">
        <f aca="false">Sens!G3376+(Sens!H3371+Sens!H3372)*(1-a_g3_29)</f>
        <v>535.2</v>
      </c>
      <c r="I3376" s="29" t="n">
        <f aca="false">Sens!H3376+(Sens!I3371+Sens!I3372)*(1-a_g3_29)</f>
        <v>976.2</v>
      </c>
      <c r="J3376" s="29" t="n">
        <f aca="false">Sens!I3376+(Sens!J3371+Sens!J3372)*(1-a_g3_29)</f>
        <v>1642.2</v>
      </c>
      <c r="K3376" s="29" t="n">
        <f aca="false">Sens!J3376+(Sens!K3371+Sens!K3372)*(1-a_g3_29)</f>
        <v>2965.2</v>
      </c>
    </row>
    <row r="3377" customFormat="false" ht="17.15" hidden="false" customHeight="false" outlineLevel="0" collapsed="false">
      <c r="A3377" s="1" t="s">
        <v>827</v>
      </c>
      <c r="B3377" s="0" t="s">
        <v>346</v>
      </c>
      <c r="C3377" s="14" t="n">
        <f aca="false">(Sens!C3373*tk_hold_h100+Sens!C3374*tk_hold_gb200+Sens!C3375*tk_hold_gb300+Sens!C3376*tk_hold_vr200)/Sens!C3365</f>
        <v>9.7235358126469</v>
      </c>
      <c r="D3377" s="14" t="n">
        <f aca="false">(Sens!D3373*tk_hold_h100+Sens!D3374*tk_hold_gb200+Sens!D3375*tk_hold_gb300+Sens!D3376*tk_hold_vr200)/Sens!D3365</f>
        <v>9.7235358126469</v>
      </c>
      <c r="E3377" s="14" t="n">
        <f aca="false">(Sens!E3373*tk_hold_h100+Sens!E3374*tk_hold_gb200+Sens!E3375*tk_hold_gb300+Sens!E3376*tk_hold_vr200)/Sens!E3365</f>
        <v>9.7235358126469</v>
      </c>
      <c r="F3377" s="14" t="n">
        <f aca="false">(Sens!F3373*tk_hold_h100+Sens!F3374*tk_hold_gb200+Sens!F3375*tk_hold_gb300+Sens!F3376*tk_hold_vr200)/Sens!F3365</f>
        <v>9.9843013443478</v>
      </c>
      <c r="G3377" s="14" t="n">
        <f aca="false">(Sens!G3373*tk_hold_h100+Sens!G3374*tk_hold_gb200+Sens!G3375*tk_hold_gb300+Sens!G3376*tk_hold_vr200)/Sens!G3365</f>
        <v>10.1881256732384</v>
      </c>
      <c r="H3377" s="14" t="n">
        <f aca="false">(Sens!H3373*tk_hold_h100+Sens!H3374*tk_hold_gb200+Sens!H3375*tk_hold_gb300+Sens!H3376*tk_hold_vr200)/Sens!H3365</f>
        <v>10.1881256732384</v>
      </c>
      <c r="I3377" s="14" t="n">
        <f aca="false">(Sens!I3373*tk_hold_h100+Sens!I3374*tk_hold_gb200+Sens!I3375*tk_hold_gb300+Sens!I3376*tk_hold_vr200)/Sens!I3365</f>
        <v>10.4526797781011</v>
      </c>
      <c r="J3377" s="14" t="n">
        <f aca="false">(Sens!J3373*tk_hold_h100+Sens!J3374*tk_hold_gb200+Sens!J3375*tk_hold_gb300+Sens!J3376*tk_hold_vr200)/Sens!J3365</f>
        <v>10.8522104670775</v>
      </c>
      <c r="K3377" s="14" t="n">
        <f aca="false">(Sens!K3373*tk_hold_h100+Sens!K3374*tk_hold_gb200+Sens!K3375*tk_hold_gb300+Sens!K3376*tk_hold_vr200)/Sens!K3365</f>
        <v>11.6458727816658</v>
      </c>
    </row>
    <row r="3378" customFormat="false" ht="17.15" hidden="false" customHeight="false" outlineLevel="0" collapsed="false">
      <c r="A3378" s="0" t="s">
        <v>828</v>
      </c>
      <c r="B3378" s="0" t="s">
        <v>185</v>
      </c>
      <c r="C3378" s="14" t="n">
        <f aca="false">k_B</f>
        <v>1.17213932619116</v>
      </c>
      <c r="D3378" s="14" t="n">
        <f aca="false">k_B</f>
        <v>1.17213932619116</v>
      </c>
      <c r="E3378" s="14" t="n">
        <f aca="false">k_B</f>
        <v>1.17213932619116</v>
      </c>
      <c r="F3378" s="14" t="n">
        <f aca="false">(k_B+((ls_C*k_long+(1-ls_C)*k_spot)-k_B)*MIN(1,(Sens!F3363-base_fy)/k_ramp))</f>
        <v>1.07843258004497</v>
      </c>
      <c r="G3378" s="14" t="n">
        <f aca="false">(k_B+((ls_C*k_long+(1-ls_C)*k_spot)-k_B)*MIN(1,(Sens!G3363-base_fy)/k_ramp))</f>
        <v>0.984725833898784</v>
      </c>
      <c r="H3378" s="14" t="n">
        <f aca="false">(k_B+((ls_C*k_long+(1-ls_C)*k_spot)-k_B)*MIN(1,(Sens!H3363-base_fy)/k_ramp))</f>
        <v>0.891019087752599</v>
      </c>
      <c r="I3378" s="14" t="n">
        <f aca="false">(k_B+((ls_C*k_long+(1-ls_C)*k_spot)-k_B)*MIN(1,(Sens!I3363-base_fy)/k_ramp))</f>
        <v>0.891019087752599</v>
      </c>
      <c r="J3378" s="14" t="n">
        <f aca="false">(k_B+((ls_C*k_long+(1-ls_C)*k_spot)-k_B)*MIN(1,(Sens!J3363-base_fy)/k_ramp))</f>
        <v>0.891019087752599</v>
      </c>
      <c r="K3378" s="14" t="n">
        <f aca="false">(k_B+((ls_C*k_long+(1-ls_C)*k_spot)-k_B)*MIN(1,(Sens!K3363-base_fy)/k_ramp))</f>
        <v>0.891019087752599</v>
      </c>
      <c r="L3378" s="1" t="s">
        <v>829</v>
      </c>
    </row>
    <row r="3379" customFormat="false" ht="17.15" hidden="false" customHeight="false" outlineLevel="0" collapsed="false">
      <c r="A3379" s="1" t="s">
        <v>830</v>
      </c>
      <c r="B3379" s="0" t="s">
        <v>346</v>
      </c>
      <c r="C3379" s="14" t="n">
        <f aca="false">Sens!C3377*Sens!C3378*chip_f</f>
        <v>11.3973387156315</v>
      </c>
      <c r="D3379" s="14" t="n">
        <f aca="false">Sens!D3377*Sens!D3378*chip_f</f>
        <v>11.3973387156315</v>
      </c>
      <c r="E3379" s="14" t="n">
        <f aca="false">Sens!E3377*Sens!E3378*chip_f</f>
        <v>11.3973387156315</v>
      </c>
      <c r="F3379" s="14" t="n">
        <f aca="false">Sens!F3377*Sens!F3378*chip_f</f>
        <v>10.7673958587315</v>
      </c>
      <c r="G3379" s="14" t="n">
        <f aca="false">Sens!G3377*Sens!G3378*chip_f</f>
        <v>10.0325105494453</v>
      </c>
      <c r="H3379" s="14" t="n">
        <f aca="false">Sens!H3377*Sens!H3378*chip_f</f>
        <v>9.0778144432777</v>
      </c>
      <c r="I3379" s="14" t="n">
        <f aca="false">Sens!I3377*Sens!I3378*chip_f</f>
        <v>9.31353720045371</v>
      </c>
      <c r="J3379" s="14" t="n">
        <f aca="false">Sens!J3377*Sens!J3378*chip_f</f>
        <v>9.66952667047463</v>
      </c>
      <c r="K3379" s="14" t="n">
        <f aca="false">Sens!K3377*Sens!K3378*chip_f</f>
        <v>10.3766949420027</v>
      </c>
      <c r="L3379" s="1" t="s">
        <v>831</v>
      </c>
    </row>
    <row r="3380" customFormat="false" ht="17.15" hidden="false" customHeight="false" outlineLevel="0" collapsed="false">
      <c r="A3380" s="0" t="s">
        <v>832</v>
      </c>
      <c r="B3380" s="0" t="s">
        <v>98</v>
      </c>
      <c r="D3380" s="6" t="n">
        <f aca="false">(Sens!C3365+Sens!D3365)/2*Sens!D3379/1000</f>
        <v>12.9359794422418</v>
      </c>
      <c r="E3380" s="6" t="n">
        <f aca="false">(Sens!D3365+Sens!E3365)/2*Sens!E3379/1000</f>
        <v>27.8095064661409</v>
      </c>
      <c r="F3380" s="6" t="n">
        <f aca="false">(Sens!E3365+Sens!F3365)/2*Sens!F3379/1000</f>
        <v>38.493440194965</v>
      </c>
      <c r="G3380" s="6" t="n">
        <f aca="false">(Sens!F3365+Sens!G3365)/2*Sens!G3379/1000</f>
        <v>41.5646912063518</v>
      </c>
      <c r="H3380" s="6" t="n">
        <f aca="false">(Sens!G3365+Sens!H3365)/2*Sens!H3379/1000</f>
        <v>39.815294148216</v>
      </c>
      <c r="I3380" s="6" t="n">
        <f aca="false">(Sens!H3365+Sens!I3365)/2*Sens!I3379/1000</f>
        <v>40.84917416119</v>
      </c>
      <c r="J3380" s="6" t="n">
        <f aca="false">(Sens!I3365+Sens!J3365)/2*Sens!J3379/1000</f>
        <v>42.4105439767017</v>
      </c>
      <c r="K3380" s="6" t="n">
        <f aca="false">(Sens!J3365+Sens!K3365)/2*Sens!K3379/1000</f>
        <v>45.5121840156236</v>
      </c>
      <c r="L3380" s="11" t="s">
        <v>833</v>
      </c>
    </row>
    <row r="3381" customFormat="false" ht="17.15" hidden="false" customHeight="false" outlineLevel="0" collapsed="false">
      <c r="A3381" s="1" t="s">
        <v>834</v>
      </c>
      <c r="B3381" s="0" t="s">
        <v>346</v>
      </c>
      <c r="C3381" s="14" t="n">
        <f aca="false">(Sens!C3373*tk_opex_h100+Sens!C3374*tk_opex_gb200+Sens!C3375*tk_opex_gb300+Sens!C3376*tk_opex_vr200)/Sens!C3365</f>
        <v>1.88636041306092</v>
      </c>
      <c r="D3381" s="14" t="n">
        <f aca="false">(Sens!D3373*tk_opex_h100+Sens!D3374*tk_opex_gb200+Sens!D3375*tk_opex_gb300+Sens!D3376*tk_opex_vr200)/Sens!D3365</f>
        <v>1.88636041306092</v>
      </c>
      <c r="E3381" s="14" t="n">
        <f aca="false">(Sens!E3373*tk_opex_h100+Sens!E3374*tk_opex_gb200+Sens!E3375*tk_opex_gb300+Sens!E3376*tk_opex_vr200)/Sens!E3365</f>
        <v>1.88636041306092</v>
      </c>
      <c r="F3381" s="14" t="n">
        <f aca="false">(Sens!F3373*tk_opex_h100+Sens!F3374*tk_opex_gb200+Sens!F3375*tk_opex_gb300+Sens!F3376*tk_opex_vr200)/Sens!F3365</f>
        <v>1.90794918316667</v>
      </c>
      <c r="G3381" s="14" t="n">
        <f aca="false">(Sens!G3373*tk_opex_h100+Sens!G3374*tk_opex_gb200+Sens!G3375*tk_opex_gb300+Sens!G3376*tk_opex_vr200)/Sens!G3365</f>
        <v>1.92482379289624</v>
      </c>
      <c r="H3381" s="14" t="n">
        <f aca="false">(Sens!H3373*tk_opex_h100+Sens!H3374*tk_opex_gb200+Sens!H3375*tk_opex_gb300+Sens!H3376*tk_opex_vr200)/Sens!H3365</f>
        <v>1.92482379289624</v>
      </c>
      <c r="I3381" s="14" t="n">
        <f aca="false">(Sens!I3373*tk_opex_h100+Sens!I3374*tk_opex_gb200+Sens!I3375*tk_opex_gb300+Sens!I3376*tk_opex_vr200)/Sens!I3365</f>
        <v>1.946726218854</v>
      </c>
      <c r="J3381" s="14" t="n">
        <f aca="false">(Sens!J3373*tk_opex_h100+Sens!J3374*tk_opex_gb200+Sens!J3375*tk_opex_gb300+Sens!J3376*tk_opex_vr200)/Sens!J3365</f>
        <v>1.97980335193306</v>
      </c>
      <c r="K3381" s="14" t="n">
        <f aca="false">(Sens!K3373*tk_opex_h100+Sens!K3374*tk_opex_gb200+Sens!K3375*tk_opex_gb300+Sens!K3376*tk_opex_vr200)/Sens!K3365</f>
        <v>2.04551062980633</v>
      </c>
    </row>
    <row r="3382" customFormat="false" ht="17.15" hidden="false" customHeight="false" outlineLevel="0" collapsed="false">
      <c r="A3382" s="0" t="s">
        <v>835</v>
      </c>
      <c r="B3382" s="0" t="s">
        <v>98</v>
      </c>
      <c r="D3382" s="6" t="n">
        <f aca="false">(Sens!C3368+Sens!D3368)/2*Sens!D3381/1000</f>
        <v>2.70378325872065</v>
      </c>
      <c r="E3382" s="6" t="n">
        <f aca="false">(Sens!D3368+Sens!E3368)/2*Sens!E3381/1000</f>
        <v>6.17783035277451</v>
      </c>
      <c r="F3382" s="6" t="n">
        <f aca="false">(Sens!E3368+Sens!F3368)/2*Sens!F3381/1000</f>
        <v>9.29171252202166</v>
      </c>
      <c r="G3382" s="6" t="n">
        <f aca="false">(Sens!F3368+Sens!G3368)/2*Sens!G3381/1000</f>
        <v>10.8656303108993</v>
      </c>
      <c r="H3382" s="6" t="n">
        <f aca="false">(Sens!G3368+Sens!H3368)/2*Sens!H3381/1000</f>
        <v>11.6451839470223</v>
      </c>
      <c r="I3382" s="6" t="n">
        <f aca="false">(Sens!H3368+Sens!I3368)/2*Sens!I3381/1000</f>
        <v>11.7776936240667</v>
      </c>
      <c r="J3382" s="6" t="n">
        <f aca="false">(Sens!I3368+Sens!J3368)/2*Sens!J3381/1000</f>
        <v>11.977810279195</v>
      </c>
      <c r="K3382" s="6" t="n">
        <f aca="false">(Sens!J3368+Sens!K3368)/2*Sens!K3381/1000</f>
        <v>12.3753393103283</v>
      </c>
    </row>
    <row r="3383" customFormat="false" ht="17.15" hidden="false" customHeight="false" outlineLevel="0" collapsed="false">
      <c r="A3383" s="0" t="s">
        <v>836</v>
      </c>
      <c r="B3383" s="0" t="s">
        <v>98</v>
      </c>
      <c r="D3383" s="6" t="n">
        <f aca="false">(Sens!C3366+Sens!D3366)/2*rent_mw/1000</f>
        <v>2.44475</v>
      </c>
      <c r="E3383" s="6" t="n">
        <f aca="false">(Sens!D3366+Sens!E3366)/2*rent_mw/1000</f>
        <v>4.22275</v>
      </c>
      <c r="F3383" s="6" t="n">
        <f aca="false">(Sens!E3366+Sens!F3366)/2*rent_mw/1000</f>
        <v>5.80517</v>
      </c>
      <c r="G3383" s="6" t="n">
        <f aca="false">(Sens!F3366+Sens!G3366)/2*rent_mw/1000</f>
        <v>6.72084</v>
      </c>
      <c r="H3383" s="6" t="n">
        <f aca="false">(Sens!G3366+Sens!H3366)/2*rent_mw/1000</f>
        <v>6.72084</v>
      </c>
      <c r="I3383" s="6" t="n">
        <f aca="false">(Sens!H3366+Sens!I3366)/2*rent_mw/1000</f>
        <v>6.72084</v>
      </c>
      <c r="J3383" s="6" t="n">
        <f aca="false">(Sens!I3366+Sens!J3366)/2*rent_mw/1000</f>
        <v>6.72084</v>
      </c>
      <c r="K3383" s="6" t="n">
        <f aca="false">(Sens!J3366+Sens!K3366)/2*rent_mw/1000</f>
        <v>6.72084</v>
      </c>
    </row>
    <row r="3384" customFormat="false" ht="17.15" hidden="false" customHeight="false" outlineLevel="0" collapsed="false">
      <c r="A3384" s="0" t="s">
        <v>837</v>
      </c>
      <c r="B3384" s="0" t="s">
        <v>98</v>
      </c>
      <c r="D3384" s="6" t="n">
        <f aca="false">(Sens!C3368+Sens!D3368)/2*(1-self_build)*fac_rent/1000</f>
        <v>0.853242375631075</v>
      </c>
      <c r="E3384" s="6" t="n">
        <f aca="false">(Sens!D3368+Sens!E3368)/2*(1-self_build)*fac_rent/1000</f>
        <v>1.94955961408728</v>
      </c>
      <c r="F3384" s="6" t="n">
        <f aca="false">(Sens!E3368+Sens!F3368)/2*(1-self_build)*fac_rent/1000</f>
        <v>2.89903979255117</v>
      </c>
      <c r="G3384" s="6" t="n">
        <f aca="false">(Sens!F3368+Sens!G3368)/2*(1-self_build)*fac_rent/1000</f>
        <v>3.36038596077029</v>
      </c>
      <c r="H3384" s="6" t="n">
        <f aca="false">(Sens!G3368+Sens!H3368)/2*(1-self_build)*fac_rent/1000</f>
        <v>3.60147653900094</v>
      </c>
      <c r="I3384" s="6" t="n">
        <f aca="false">(Sens!H3368+Sens!I3368)/2*(1-self_build)*fac_rent/1000</f>
        <v>3.60147653900094</v>
      </c>
      <c r="J3384" s="6" t="n">
        <f aca="false">(Sens!I3368+Sens!J3368)/2*(1-self_build)*fac_rent/1000</f>
        <v>3.60147653900094</v>
      </c>
      <c r="K3384" s="6" t="n">
        <f aca="false">(Sens!J3368+Sens!K3368)/2*(1-self_build)*fac_rent/1000</f>
        <v>3.60147653900094</v>
      </c>
      <c r="L3384" s="11" t="s">
        <v>838</v>
      </c>
    </row>
    <row r="3385" customFormat="false" ht="17.15" hidden="false" customHeight="false" outlineLevel="0" collapsed="false">
      <c r="A3385" s="1" t="s">
        <v>839</v>
      </c>
      <c r="B3385" s="0" t="s">
        <v>129</v>
      </c>
      <c r="D3385" s="7" t="n">
        <f aca="false">(Sens!C3367+Sens!D3367)/(Sens!C3368+Sens!D3368)</f>
        <v>0.6</v>
      </c>
      <c r="E3385" s="7" t="n">
        <f aca="false">(Sens!D3367+Sens!E3367)/(Sens!D3368+Sens!E3368)</f>
        <v>0.6</v>
      </c>
      <c r="F3385" s="7" t="n">
        <f aca="false">(Sens!E3367+Sens!F3367)/(Sens!E3368+Sens!F3368)</f>
        <v>0.6</v>
      </c>
      <c r="G3385" s="7" t="n">
        <f aca="false">(Sens!F3367+Sens!G3367)/(Sens!F3368+Sens!G3368)</f>
        <v>0.6</v>
      </c>
      <c r="H3385" s="7" t="n">
        <f aca="false">(Sens!G3367+Sens!H3367)/(Sens!G3368+Sens!H3368)</f>
        <v>0.6</v>
      </c>
      <c r="I3385" s="7" t="n">
        <f aca="false">(Sens!H3367+Sens!I3367)/(Sens!H3368+Sens!I3368)</f>
        <v>0.6</v>
      </c>
      <c r="J3385" s="7" t="n">
        <f aca="false">(Sens!I3367+Sens!J3367)/(Sens!I3368+Sens!J3368)</f>
        <v>0.6</v>
      </c>
      <c r="K3385" s="7" t="n">
        <f aca="false">(Sens!J3367+Sens!K3367)/(Sens!J3368+Sens!K3368)</f>
        <v>0.6</v>
      </c>
    </row>
    <row r="3386" customFormat="false" ht="17.15" hidden="false" customHeight="false" outlineLevel="0" collapsed="false">
      <c r="A3386" s="0" t="s">
        <v>840</v>
      </c>
      <c r="B3386" s="0" t="s">
        <v>98</v>
      </c>
      <c r="D3386" s="6" t="n">
        <f aca="false">Sens!D3380-Sens!D3385*(Sens!D3382+Sens!D3384)-Sens!D3383</f>
        <v>8.35701406163072</v>
      </c>
      <c r="E3386" s="6" t="n">
        <f aca="false">Sens!E3380-Sens!E3385*(Sens!E3382+Sens!E3384)-Sens!E3383</f>
        <v>18.7103224860238</v>
      </c>
      <c r="F3386" s="6" t="n">
        <f aca="false">Sens!F3380-Sens!F3385*(Sens!F3382+Sens!F3384)-Sens!F3383</f>
        <v>25.3738188062213</v>
      </c>
      <c r="G3386" s="6" t="n">
        <f aca="false">Sens!G3380-Sens!G3385*(Sens!G3382+Sens!G3384)-Sens!G3383</f>
        <v>26.3082414433501</v>
      </c>
      <c r="H3386" s="6" t="n">
        <f aca="false">Sens!H3380-Sens!H3385*(Sens!H3382+Sens!H3384)-Sens!H3383</f>
        <v>23.9464578566021</v>
      </c>
      <c r="I3386" s="6" t="n">
        <f aca="false">Sens!I3380-Sens!I3385*(Sens!I3382+Sens!I3384)-Sens!I3383</f>
        <v>24.9008320633494</v>
      </c>
      <c r="J3386" s="6" t="n">
        <f aca="false">Sens!J3380-Sens!J3385*(Sens!J3382+Sens!J3384)-Sens!J3383</f>
        <v>26.3421318857841</v>
      </c>
      <c r="K3386" s="6" t="n">
        <f aca="false">Sens!K3380-Sens!K3385*(Sens!K3382+Sens!K3384)-Sens!K3383</f>
        <v>29.2052545060261</v>
      </c>
    </row>
    <row r="3387" customFormat="false" ht="17.15" hidden="false" customHeight="false" outlineLevel="0" collapsed="false">
      <c r="A3387" s="1" t="s">
        <v>841</v>
      </c>
      <c r="B3387" s="0" t="s">
        <v>98</v>
      </c>
      <c r="D3387" s="6" t="n">
        <f aca="false">(1-Sens!D3385)*(Sens!D3382+Sens!D3384)</f>
        <v>1.42281025374069</v>
      </c>
      <c r="E3387" s="6" t="n">
        <f aca="false">(1-Sens!E3385)*(Sens!E3382+Sens!E3384)</f>
        <v>3.25095598674472</v>
      </c>
      <c r="F3387" s="6" t="n">
        <f aca="false">(1-Sens!F3385)*(Sens!F3382+Sens!F3384)</f>
        <v>4.87630092582913</v>
      </c>
      <c r="G3387" s="6" t="n">
        <f aca="false">(1-Sens!G3385)*(Sens!G3382+Sens!G3384)</f>
        <v>5.69040650866783</v>
      </c>
      <c r="H3387" s="6" t="n">
        <f aca="false">(1-Sens!H3385)*(Sens!H3382+Sens!H3384)</f>
        <v>6.09866419440928</v>
      </c>
      <c r="I3387" s="6" t="n">
        <f aca="false">(1-Sens!I3385)*(Sens!I3382+Sens!I3384)</f>
        <v>6.15166806522705</v>
      </c>
      <c r="J3387" s="6" t="n">
        <f aca="false">(1-Sens!J3385)*(Sens!J3382+Sens!J3384)</f>
        <v>6.23171472727838</v>
      </c>
      <c r="K3387" s="6" t="n">
        <f aca="false">(1-Sens!K3385)*(Sens!K3382+Sens!K3384)</f>
        <v>6.39072633973169</v>
      </c>
    </row>
    <row r="3388" customFormat="false" ht="17.15" hidden="false" customHeight="false" outlineLevel="0" collapsed="false">
      <c r="A3388" s="1" t="s">
        <v>842</v>
      </c>
      <c r="B3388" s="0" t="s">
        <v>357</v>
      </c>
      <c r="C3388" s="8" t="n">
        <f aca="false">cxit_open</f>
        <v>27.5918995</v>
      </c>
      <c r="D3388" s="8" t="n">
        <f aca="false">cxit_open</f>
        <v>27.5918995</v>
      </c>
      <c r="E3388" s="8" t="n">
        <f aca="false">cxit_open</f>
        <v>27.5918995</v>
      </c>
      <c r="F3388" s="8" t="n">
        <f aca="false">(a_g3_27*tk_cxit_gb300+(1-a_g3_27)*tk_cxit_vr200)</f>
        <v>33.8419624</v>
      </c>
      <c r="G3388" s="8" t="n">
        <f aca="false">(a_g3_28*tk_cxit_gb300+(1-a_g3_28)*tk_cxit_vr200)</f>
        <v>35.9816136</v>
      </c>
      <c r="H3388" s="8" t="n">
        <f aca="false">(a_g3_29*tk_cxit_gb300+(1-a_g3_29)*tk_cxit_vr200)</f>
        <v>37.0514392</v>
      </c>
      <c r="I3388" s="8" t="n">
        <f aca="false">(a_g3_29*tk_cxit_gb300+(1-a_g3_29)*tk_cxit_vr200)</f>
        <v>37.0514392</v>
      </c>
      <c r="J3388" s="8" t="n">
        <f aca="false">(a_g3_29*tk_cxit_gb300+(1-a_g3_29)*tk_cxit_vr200)</f>
        <v>37.0514392</v>
      </c>
      <c r="K3388" s="8" t="n">
        <f aca="false">(a_g3_29*tk_cxit_gb300+(1-a_g3_29)*tk_cxit_vr200)</f>
        <v>37.0514392</v>
      </c>
      <c r="L3388" s="11" t="s">
        <v>843</v>
      </c>
    </row>
    <row r="3389" customFormat="false" ht="17.15" hidden="false" customHeight="false" outlineLevel="0" collapsed="false">
      <c r="A3389" s="0" t="s">
        <v>844</v>
      </c>
      <c r="B3389" s="0" t="s">
        <v>399</v>
      </c>
      <c r="F3389" s="29" t="n">
        <f aca="false">Sens!C3370*IF(Sens!F3363-Sens!C3363=life_it,1,0)+Sens!D3370*IF(Sens!F3363-Sens!D3363=life_it,1,0)+Sens!E3370*IF(Sens!F3363-Sens!E3363=life_it,1,0)</f>
        <v>0</v>
      </c>
      <c r="G3389" s="29" t="n">
        <f aca="false">Sens!C3370*IF(Sens!G3363-Sens!C3363=life_it,1,0)+Sens!D3370*IF(Sens!G3363-Sens!D3363=life_it,1,0)+Sens!E3370*IF(Sens!G3363-Sens!E3363=life_it,1,0)+Sens!F3370*IF(Sens!G3363-Sens!F3363=life_it,1,0)</f>
        <v>0</v>
      </c>
      <c r="H3389" s="29" t="n">
        <f aca="false">Sens!C3370*IF(Sens!H3363-Sens!C3363=life_it,1,0)+Sens!D3370*IF(Sens!H3363-Sens!D3363=life_it,1,0)+Sens!E3370*IF(Sens!H3363-Sens!E3363=life_it,1,0)+Sens!F3370*IF(Sens!H3363-Sens!F3363=life_it,1,0)+Sens!G3370*IF(Sens!H3363-Sens!G3363=life_it,1,0)</f>
        <v>0</v>
      </c>
      <c r="I3389" s="29" t="n">
        <f aca="false">Sens!C3370*IF(Sens!I3363-Sens!C3363=life_it,1,0)+Sens!D3370*IF(Sens!I3363-Sens!D3363=life_it,1,0)+Sens!E3370*IF(Sens!I3363-Sens!E3363=life_it,1,0)+Sens!F3370*IF(Sens!I3363-Sens!F3363=life_it,1,0)+Sens!G3370*IF(Sens!I3363-Sens!G3363=life_it,1,0)+Sens!H3370*IF(Sens!I3363-Sens!H3363=life_it,1,0)</f>
        <v>816.666666666667</v>
      </c>
      <c r="J3389" s="29" t="n">
        <f aca="false">Sens!C3370*IF(Sens!J3363-Sens!C3363=life_it,1,0)+Sens!D3370*IF(Sens!J3363-Sens!D3363=life_it,1,0)+Sens!E3370*IF(Sens!J3363-Sens!E3363=life_it,1,0)+Sens!F3370*IF(Sens!J3363-Sens!F3363=life_it,1,0)+Sens!G3370*IF(Sens!J3363-Sens!G3363=life_it,1,0)+Sens!H3370*IF(Sens!J3363-Sens!H3363=life_it,1,0)+Sens!I3370*IF(Sens!J3363-Sens!I3363=life_it,1,0)</f>
        <v>1233.33333333333</v>
      </c>
      <c r="K3389" s="29" t="n">
        <f aca="false">Sens!C3370*IF(Sens!K3363-Sens!C3363=life_it,1,0)+Sens!D3370*IF(Sens!K3363-Sens!D3363=life_it,1,0)+Sens!E3370*IF(Sens!K3363-Sens!E3363=life_it,1,0)+Sens!F3370*IF(Sens!K3363-Sens!F3363=life_it,1,0)+Sens!G3370*IF(Sens!K3363-Sens!G3363=life_it,1,0)+Sens!H3370*IF(Sens!K3363-Sens!H3363=life_it,1,0)+Sens!I3370*IF(Sens!K3363-Sens!I3363=life_it,1,0)+Sens!J3370*IF(Sens!K3363-Sens!J3363=life_it,1,0)</f>
        <v>2450</v>
      </c>
      <c r="L3389" s="1" t="s">
        <v>845</v>
      </c>
    </row>
    <row r="3390" customFormat="false" ht="17.15" hidden="false" customHeight="false" outlineLevel="0" collapsed="false">
      <c r="A3390" s="0" t="s">
        <v>846</v>
      </c>
      <c r="B3390" s="0" t="s">
        <v>98</v>
      </c>
      <c r="C3390" s="6" t="n">
        <f aca="false">Sens!C3370*Sens!C3388/1000</f>
        <v>22.5333845916667</v>
      </c>
      <c r="D3390" s="6" t="n">
        <f aca="false">Sens!D3370*Sens!D3388/1000</f>
        <v>34.0300093833333</v>
      </c>
      <c r="E3390" s="6" t="n">
        <f aca="false">Sens!E3370*Sens!E3388/1000</f>
        <v>67.600153775</v>
      </c>
      <c r="F3390" s="6" t="n">
        <f aca="false">(Sens!F3370+Sens!F3389)*Sens!F3388/1000</f>
        <v>25.043052176</v>
      </c>
      <c r="G3390" s="6" t="n">
        <f aca="false">(Sens!G3370+Sens!G3389)*Sens!G3388/1000</f>
        <v>29.145107016</v>
      </c>
      <c r="H3390" s="6" t="n">
        <f aca="false">(Sens!H3370+Sens!H3389)*Sens!H3388/1000</f>
        <v>0</v>
      </c>
      <c r="I3390" s="6" t="n">
        <f aca="false">(Sens!I3370+Sens!I3389)*Sens!I3388/1000</f>
        <v>30.2586753466667</v>
      </c>
      <c r="J3390" s="6" t="n">
        <f aca="false">(Sens!J3370+Sens!J3389)*Sens!J3388/1000</f>
        <v>45.6967750133333</v>
      </c>
      <c r="K3390" s="6" t="n">
        <f aca="false">(Sens!K3370+Sens!K3389)*Sens!K3388/1000</f>
        <v>90.77602604</v>
      </c>
    </row>
    <row r="3391" customFormat="false" ht="17.15" hidden="false" customHeight="false" outlineLevel="0" collapsed="false">
      <c r="A3391" s="0" t="s">
        <v>847</v>
      </c>
      <c r="B3391" s="0" t="s">
        <v>98</v>
      </c>
      <c r="C3391" s="6" t="n">
        <f aca="false">Sens!C3370*self_build*tk_cxfac/1000</f>
        <v>6.2083</v>
      </c>
      <c r="D3391" s="6" t="n">
        <f aca="false">Sens!D3370*self_build*tk_cxfac/1000</f>
        <v>9.3758</v>
      </c>
      <c r="E3391" s="6" t="n">
        <f aca="false">Sens!E3370*self_build*tk_cxfac/1000</f>
        <v>18.6249</v>
      </c>
      <c r="F3391" s="6" t="n">
        <f aca="false">Sens!F3370*self_build*tk_cxfac/1000</f>
        <v>5.62548</v>
      </c>
      <c r="G3391" s="6" t="n">
        <f aca="false">Sens!G3370*self_build*tk_cxfac/1000</f>
        <v>6.15762</v>
      </c>
      <c r="H3391" s="6" t="n">
        <f aca="false">Sens!H3370*self_build*tk_cxfac/1000</f>
        <v>0</v>
      </c>
      <c r="I3391" s="6" t="n">
        <f aca="false">Sens!I3370*self_build*tk_cxfac/1000</f>
        <v>0</v>
      </c>
      <c r="J3391" s="6" t="n">
        <f aca="false">Sens!J3370*self_build*tk_cxfac/1000</f>
        <v>0</v>
      </c>
      <c r="K3391" s="6" t="n">
        <f aca="false">Sens!K3370*self_build*tk_cxfac/1000</f>
        <v>0</v>
      </c>
    </row>
    <row r="3392" customFormat="false" ht="17.15" hidden="false" customHeight="false" outlineLevel="0" collapsed="false">
      <c r="A3392" s="0" t="s">
        <v>848</v>
      </c>
      <c r="B3392" s="0" t="s">
        <v>98</v>
      </c>
      <c r="F3392" s="6" t="n">
        <f aca="false">MAX(0,capex_floor27-Sens!F3390-Sens!F3391-Sens!F3486)</f>
        <v>138.102120594438</v>
      </c>
    </row>
    <row r="3393" customFormat="false" ht="17.15" hidden="false" customHeight="false" outlineLevel="0" collapsed="false">
      <c r="A3393" s="0" t="s">
        <v>849</v>
      </c>
      <c r="B3393" s="0" t="s">
        <v>98</v>
      </c>
      <c r="C3393" s="6" t="n">
        <f aca="false">Sens!C3390</f>
        <v>22.5333845916667</v>
      </c>
      <c r="D3393" s="6" t="n">
        <f aca="false">Sens!D3390</f>
        <v>34.0300093833333</v>
      </c>
      <c r="E3393" s="6" t="n">
        <f aca="false">Sens!E3390</f>
        <v>67.600153775</v>
      </c>
      <c r="F3393" s="6" t="n">
        <f aca="false">Sens!F3390</f>
        <v>25.043052176</v>
      </c>
      <c r="G3393" s="6" t="n">
        <f aca="false">Sens!G3390</f>
        <v>29.145107016</v>
      </c>
      <c r="H3393" s="6" t="n">
        <f aca="false">Sens!H3390</f>
        <v>0</v>
      </c>
      <c r="I3393" s="6" t="n">
        <f aca="false">Sens!I3390</f>
        <v>30.2586753466667</v>
      </c>
      <c r="J3393" s="6" t="n">
        <f aca="false">Sens!J3390</f>
        <v>45.6967750133333</v>
      </c>
      <c r="K3393" s="6" t="n">
        <f aca="false">Sens!K3390</f>
        <v>90.77602604</v>
      </c>
    </row>
    <row r="3394" customFormat="false" ht="17.15" hidden="false" customHeight="false" outlineLevel="0" collapsed="false">
      <c r="A3394" s="0" t="s">
        <v>850</v>
      </c>
      <c r="B3394" s="0" t="s">
        <v>98</v>
      </c>
      <c r="C3394" s="6" t="n">
        <f aca="false">Sens!C3393+Sens!C3391</f>
        <v>28.7416845916667</v>
      </c>
      <c r="D3394" s="6" t="n">
        <f aca="false">Sens!D3393+Sens!D3391</f>
        <v>43.4058093833333</v>
      </c>
      <c r="E3394" s="6" t="n">
        <f aca="false">Sens!E3393+Sens!E3391</f>
        <v>86.225053775</v>
      </c>
      <c r="F3394" s="6" t="n">
        <f aca="false">Sens!F3393+Sens!F3391</f>
        <v>30.668532176</v>
      </c>
      <c r="G3394" s="6" t="n">
        <f aca="false">Sens!G3393+Sens!G3391</f>
        <v>35.302727016</v>
      </c>
      <c r="H3394" s="6" t="n">
        <f aca="false">Sens!H3393+Sens!H3391</f>
        <v>0</v>
      </c>
      <c r="I3394" s="6" t="n">
        <f aca="false">Sens!I3393+Sens!I3391</f>
        <v>30.2586753466667</v>
      </c>
      <c r="J3394" s="6" t="n">
        <f aca="false">Sens!J3393+Sens!J3391</f>
        <v>45.6967750133333</v>
      </c>
      <c r="K3394" s="6" t="n">
        <f aca="false">Sens!K3393+Sens!K3391</f>
        <v>90.77602604</v>
      </c>
      <c r="L3394" s="11" t="s">
        <v>851</v>
      </c>
    </row>
    <row r="3395" customFormat="false" ht="17.15" hidden="false" customHeight="false" outlineLevel="0" collapsed="false">
      <c r="A3395" s="0" t="s">
        <v>852</v>
      </c>
      <c r="B3395" s="0" t="s">
        <v>98</v>
      </c>
      <c r="E3395" s="6" t="n">
        <f aca="false">(Sens!C3393*IF(2&lt;life_it,1,IF(2=life_it,0.5,0))+Sens!D3393*IF(1&lt;life_it,1,IF(1=life_it,0.5,0))+Sens!E3393*0.5)/life_it</f>
        <v>15.0605784770833</v>
      </c>
      <c r="F3395" s="6" t="n">
        <f aca="false">(Sens!C3393*IF(3&lt;life_it,1,IF(3=life_it,0.5,0))+Sens!D3393*IF(2&lt;life_it,1,IF(2=life_it,0.5,0))+Sens!E3393*IF(1&lt;life_it,1,IF(1=life_it,0.5,0))+Sens!F3393*0.5)/life_it</f>
        <v>22.7808456396667</v>
      </c>
      <c r="G3395" s="6" t="n">
        <f aca="false">(Sens!C3393*IF(4&lt;life_it,1,IF(4=life_it,0.5,0))+Sens!D3393*IF(3&lt;life_it,1,IF(3=life_it,0.5,0))+Sens!E3393*IF(2&lt;life_it,1,IF(2=life_it,0.5,0))+Sens!F3393*IF(1&lt;life_it,1,IF(1=life_it,0.5,0))+Sens!G3393*0.5)/life_it</f>
        <v>27.2965255723333</v>
      </c>
      <c r="H3395" s="6" t="n">
        <f aca="false">(Sens!C3393*IF(5&lt;life_it,1,IF(5=life_it,0.5,0))+Sens!D3393*IF(4&lt;life_it,1,IF(4=life_it,0.5,0))+Sens!E3393*IF(3&lt;life_it,1,IF(3=life_it,0.5,0))+Sens!F3393*IF(2&lt;life_it,1,IF(2=life_it,0.5,0))+Sens!G3393*IF(1&lt;life_it,1,IF(1=life_it,0.5,0))+Sens!H3393*0.5)/life_it</f>
        <v>29.7252844903333</v>
      </c>
      <c r="I3395" s="6" t="n">
        <f aca="false">(Sens!C3393*IF(6&lt;life_it,1,IF(6=life_it,0.5,0))+Sens!D3393*IF(5&lt;life_it,1,IF(5=life_it,0.5,0))+Sens!E3393*IF(4&lt;life_it,1,IF(4=life_it,0.5,0))+Sens!F3393*IF(3&lt;life_it,1,IF(3=life_it,0.5,0))+Sens!G3393*IF(2&lt;life_it,1,IF(2=life_it,0.5,0))+Sens!H3393*IF(1&lt;life_it,1,IF(1=life_it,0.5,0))+Sens!I3393*0.5)/life_it</f>
        <v>30.3690587199167</v>
      </c>
      <c r="J3395" s="6" t="n">
        <f aca="false">(Sens!C3393*IF(7&lt;life_it,1,IF(7=life_it,0.5,0))+Sens!D3393*IF(6&lt;life_it,1,IF(6=life_it,0.5,0))+Sens!E3393*IF(5&lt;life_it,1,IF(5=life_it,0.5,0))+Sens!F3393*IF(4&lt;life_it,1,IF(4=life_it,0.5,0))+Sens!G3393*IF(3&lt;life_it,1,IF(3=life_it,0.5,0))+Sens!H3393*IF(2&lt;life_it,1,IF(2=life_it,0.5,0))+Sens!I3393*IF(1&lt;life_it,1,IF(1=life_it,0.5,0))+Sens!J3393*0.5)/life_it</f>
        <v>31.9850634186667</v>
      </c>
      <c r="K3395" s="6" t="n">
        <f aca="false">(Sens!C3393*IF(8&lt;life_it,1,IF(8=life_it,0.5,0))+Sens!D3393*IF(7&lt;life_it,1,IF(7=life_it,0.5,0))+Sens!E3393*IF(6&lt;life_it,1,IF(6=life_it,0.5,0))+Sens!F3393*IF(5&lt;life_it,1,IF(5=life_it,0.5,0))+Sens!G3393*IF(4&lt;life_it,1,IF(4=life_it,0.5,0))+Sens!H3393*IF(3&lt;life_it,1,IF(3=life_it,0.5,0))+Sens!I3393*IF(2&lt;life_it,1,IF(2=life_it,0.5,0))+Sens!J3393*IF(1&lt;life_it,1,IF(1=life_it,0.5,0))+Sens!K3393*0.5)/life_it</f>
        <v>34.8886165765833</v>
      </c>
    </row>
    <row r="3396" customFormat="false" ht="17.15" hidden="false" customHeight="false" outlineLevel="0" collapsed="false">
      <c r="A3396" s="0" t="s">
        <v>853</v>
      </c>
      <c r="B3396" s="0" t="s">
        <v>98</v>
      </c>
      <c r="E3396" s="6" t="n">
        <f aca="false">(Sens!C3391*IF(2&lt;life_fac,1,IF(2=life_fac,0.5,0))+Sens!D3391*IF(1&lt;life_fac,1,IF(1=life_fac,0.5,0))+Sens!E3391*0.5)/life_fac</f>
        <v>1.2448275</v>
      </c>
      <c r="F3396" s="6" t="n">
        <f aca="false">(Sens!C3391*IF(3&lt;life_fac,1,IF(3=life_fac,0.5,0))+Sens!D3391*IF(2&lt;life_fac,1,IF(2=life_fac,0.5,0))+Sens!E3391*IF(1&lt;life_fac,1,IF(1=life_fac,0.5,0))+Sens!F3391*0.5)/life_fac</f>
        <v>1.851087</v>
      </c>
      <c r="G3396" s="6" t="n">
        <f aca="false">(Sens!C3391*IF(4&lt;life_fac,1,IF(4=life_fac,0.5,0))+Sens!D3391*IF(3&lt;life_fac,1,IF(3=life_fac,0.5,0))+Sens!E3391*IF(2&lt;life_fac,1,IF(2=life_fac,0.5,0))+Sens!F3391*IF(1&lt;life_fac,1,IF(1=life_fac,0.5,0))+Sens!G3391*0.5)/life_fac</f>
        <v>2.1456645</v>
      </c>
      <c r="H3396" s="6" t="n">
        <f aca="false">(Sens!C3391*IF(5&lt;life_fac,1,IF(5=life_fac,0.5,0))+Sens!D3391*IF(4&lt;life_fac,1,IF(4=life_fac,0.5,0))+Sens!E3391*IF(3&lt;life_fac,1,IF(3=life_fac,0.5,0))+Sens!F3391*IF(2&lt;life_fac,1,IF(2=life_fac,0.5,0))+Sens!G3391*IF(1&lt;life_fac,1,IF(1=life_fac,0.5,0))+Sens!H3391*0.5)/life_fac</f>
        <v>2.299605</v>
      </c>
      <c r="I3396" s="6" t="n">
        <f aca="false">(Sens!C3391*IF(6&lt;life_fac,1,IF(6=life_fac,0.5,0))+Sens!D3391*IF(5&lt;life_fac,1,IF(5=life_fac,0.5,0))+Sens!E3391*IF(4&lt;life_fac,1,IF(4=life_fac,0.5,0))+Sens!F3391*IF(3&lt;life_fac,1,IF(3=life_fac,0.5,0))+Sens!G3391*IF(2&lt;life_fac,1,IF(2=life_fac,0.5,0))+Sens!H3391*IF(1&lt;life_fac,1,IF(1=life_fac,0.5,0))+Sens!I3391*0.5)/life_fac</f>
        <v>2.299605</v>
      </c>
      <c r="J3396" s="6" t="n">
        <f aca="false">(Sens!C3391*IF(7&lt;life_fac,1,IF(7=life_fac,0.5,0))+Sens!D3391*IF(6&lt;life_fac,1,IF(6=life_fac,0.5,0))+Sens!E3391*IF(5&lt;life_fac,1,IF(5=life_fac,0.5,0))+Sens!F3391*IF(4&lt;life_fac,1,IF(4=life_fac,0.5,0))+Sens!G3391*IF(3&lt;life_fac,1,IF(3=life_fac,0.5,0))+Sens!H3391*IF(2&lt;life_fac,1,IF(2=life_fac,0.5,0))+Sens!I3391*IF(1&lt;life_fac,1,IF(1=life_fac,0.5,0))+Sens!J3391*0.5)/life_fac</f>
        <v>2.299605</v>
      </c>
      <c r="K3396" s="6" t="n">
        <f aca="false">(Sens!C3391*IF(8&lt;life_fac,1,IF(8=life_fac,0.5,0))+Sens!D3391*IF(7&lt;life_fac,1,IF(7=life_fac,0.5,0))+Sens!E3391*IF(6&lt;life_fac,1,IF(6=life_fac,0.5,0))+Sens!F3391*IF(5&lt;life_fac,1,IF(5=life_fac,0.5,0))+Sens!G3391*IF(4&lt;life_fac,1,IF(4=life_fac,0.5,0))+Sens!H3391*IF(3&lt;life_fac,1,IF(3=life_fac,0.5,0))+Sens!I3391*IF(2&lt;life_fac,1,IF(2=life_fac,0.5,0))+Sens!J3391*IF(1&lt;life_fac,1,IF(1=life_fac,0.5,0))+Sens!K3391*0.5)/life_fac</f>
        <v>2.299605</v>
      </c>
    </row>
    <row r="3397" customFormat="false" ht="17.15" hidden="false" customHeight="false" outlineLevel="0" collapsed="false">
      <c r="A3397" s="0" t="s">
        <v>854</v>
      </c>
      <c r="B3397" s="0" t="s">
        <v>98</v>
      </c>
      <c r="E3397" s="6" t="n">
        <f aca="false">Sens!E3395+Sens!E3396</f>
        <v>16.3054059770833</v>
      </c>
      <c r="F3397" s="6" t="n">
        <f aca="false">Sens!F3395+Sens!F3396</f>
        <v>24.6319326396667</v>
      </c>
      <c r="G3397" s="6" t="n">
        <f aca="false">Sens!G3395+Sens!G3396</f>
        <v>29.4421900723333</v>
      </c>
      <c r="H3397" s="6" t="n">
        <f aca="false">Sens!H3395+Sens!H3396</f>
        <v>32.0248894903333</v>
      </c>
      <c r="I3397" s="6" t="n">
        <f aca="false">Sens!I3395+Sens!I3396</f>
        <v>32.6686637199167</v>
      </c>
      <c r="J3397" s="6" t="n">
        <f aca="false">Sens!J3395+Sens!J3396</f>
        <v>34.2846684186667</v>
      </c>
      <c r="K3397" s="6" t="n">
        <f aca="false">Sens!K3395+Sens!K3396</f>
        <v>37.1882215765833</v>
      </c>
    </row>
    <row r="3398" customFormat="false" ht="17.15" hidden="false" customHeight="false" outlineLevel="0" collapsed="false">
      <c r="A3398" s="0" t="s">
        <v>855</v>
      </c>
      <c r="B3398" s="0" t="s">
        <v>98</v>
      </c>
      <c r="E3398" s="6" t="n">
        <f aca="false">Sens!E3386-Sens!E3385*Sens!E3397</f>
        <v>8.92707889977379</v>
      </c>
      <c r="F3398" s="6" t="n">
        <f aca="false">Sens!F3386-Sens!F3385*Sens!F3397</f>
        <v>10.5946592224213</v>
      </c>
      <c r="G3398" s="6" t="n">
        <f aca="false">Sens!G3386-Sens!G3385*Sens!G3397</f>
        <v>8.64292739995008</v>
      </c>
      <c r="H3398" s="6" t="n">
        <f aca="false">Sens!H3386-Sens!H3385*Sens!H3397</f>
        <v>4.7315241624021</v>
      </c>
      <c r="I3398" s="6" t="n">
        <f aca="false">Sens!I3386-Sens!I3385*Sens!I3397</f>
        <v>5.29963383139942</v>
      </c>
      <c r="J3398" s="6" t="n">
        <f aca="false">Sens!J3386-Sens!J3385*Sens!J3397</f>
        <v>5.77133083458414</v>
      </c>
      <c r="K3398" s="6" t="n">
        <f aca="false">Sens!K3386-Sens!K3385*Sens!K3397</f>
        <v>6.89232156007611</v>
      </c>
    </row>
    <row r="3399" customFormat="false" ht="17.15" hidden="false" customHeight="false" outlineLevel="0" collapsed="false">
      <c r="A3399" s="3" t="s">
        <v>1348</v>
      </c>
    </row>
    <row r="3400" customFormat="false" ht="15" hidden="false" customHeight="false" outlineLevel="0" collapsed="false">
      <c r="A3400" s="4" t="s">
        <v>43</v>
      </c>
      <c r="B3400" s="4" t="s">
        <v>65</v>
      </c>
      <c r="C3400" s="20" t="s">
        <v>799</v>
      </c>
      <c r="D3400" s="20" t="s">
        <v>800</v>
      </c>
      <c r="E3400" s="20" t="s">
        <v>801</v>
      </c>
      <c r="F3400" s="20" t="s">
        <v>802</v>
      </c>
      <c r="G3400" s="20" t="s">
        <v>803</v>
      </c>
      <c r="H3400" s="20" t="s">
        <v>804</v>
      </c>
      <c r="I3400" s="20" t="s">
        <v>805</v>
      </c>
      <c r="J3400" s="20" t="s">
        <v>806</v>
      </c>
      <c r="K3400" s="20" t="s">
        <v>807</v>
      </c>
      <c r="L3400" s="4" t="s">
        <v>47</v>
      </c>
    </row>
    <row r="3401" customFormat="false" ht="17.15" hidden="false" customHeight="false" outlineLevel="0" collapsed="false">
      <c r="A3401" s="0" t="s">
        <v>874</v>
      </c>
      <c r="B3401" s="0" t="s">
        <v>98</v>
      </c>
      <c r="D3401" s="6" t="n">
        <f aca="false">Sens!D3380</f>
        <v>12.9359794422418</v>
      </c>
      <c r="E3401" s="6" t="n">
        <f aca="false">Sens!E3380</f>
        <v>27.8095064661409</v>
      </c>
      <c r="F3401" s="6" t="n">
        <f aca="false">Sens!F3380</f>
        <v>38.493440194965</v>
      </c>
      <c r="G3401" s="6" t="n">
        <f aca="false">Sens!G3380</f>
        <v>41.5646912063518</v>
      </c>
      <c r="H3401" s="6" t="n">
        <f aca="false">Sens!H3380</f>
        <v>39.815294148216</v>
      </c>
      <c r="I3401" s="6" t="n">
        <f aca="false">Sens!I3380</f>
        <v>40.84917416119</v>
      </c>
      <c r="J3401" s="6" t="n">
        <f aca="false">Sens!J3380</f>
        <v>42.4105439767017</v>
      </c>
      <c r="K3401" s="6" t="n">
        <f aca="false">Sens!K3380</f>
        <v>45.5121840156236</v>
      </c>
    </row>
    <row r="3402" customFormat="false" ht="17.15" hidden="false" customHeight="false" outlineLevel="0" collapsed="false">
      <c r="A3402" s="0" t="s">
        <v>875</v>
      </c>
      <c r="B3402" s="0" t="s">
        <v>98</v>
      </c>
      <c r="D3402" s="6" t="n">
        <f aca="false">Q!L6-Sens!D3401</f>
        <v>59.6740205577583</v>
      </c>
      <c r="E3402" s="6" t="n">
        <f aca="false">Q!M6-Sens!E3401</f>
        <v>74.1284935338591</v>
      </c>
      <c r="F3402" s="6" t="n">
        <f aca="false">Sens!E3402*(1+Sens!F3403)</f>
        <v>90.0799497373663</v>
      </c>
      <c r="G3402" s="6" t="n">
        <f aca="false">Sens!F3402*(1+Sens!G3403)</f>
        <v>107.02842520331</v>
      </c>
      <c r="H3402" s="6" t="n">
        <f aca="false">Sens!G3402*(1+Sens!H3403)</f>
        <v>124.271982585636</v>
      </c>
      <c r="I3402" s="6" t="n">
        <f aca="false">Sens!H3402*(1+Sens!I3403)</f>
        <v>140.933702381855</v>
      </c>
      <c r="J3402" s="6" t="n">
        <f aca="false">Sens!I3402*(1+Sens!J3403)</f>
        <v>156.018867314332</v>
      </c>
      <c r="K3402" s="6" t="n">
        <f aca="false">Sens!J3402*(1+Sens!K3403)</f>
        <v>168.500376699478</v>
      </c>
    </row>
    <row r="3403" customFormat="false" ht="15" hidden="false" customHeight="false" outlineLevel="0" collapsed="false">
      <c r="A3403" s="1" t="s">
        <v>876</v>
      </c>
      <c r="B3403" s="0" t="s">
        <v>129</v>
      </c>
      <c r="E3403" s="7" t="n">
        <f aca="false">Sens!E3402/Sens!D3402-1</f>
        <v>0.242223883039864</v>
      </c>
      <c r="F3403" s="7" t="n">
        <f aca="false">Sens!$E$3403+(glt_azo-Sens!$E$3403)*MIN(1,(Sens!F3363-base_fy)/n_conv)</f>
        <v>0.215186569199887</v>
      </c>
      <c r="G3403" s="7" t="n">
        <f aca="false">Sens!$E$3403+(glt_azo-Sens!$E$3403)*MIN(1,(Sens!G3363-base_fy)/n_conv)</f>
        <v>0.18814925535991</v>
      </c>
      <c r="H3403" s="7" t="n">
        <f aca="false">Sens!$E$3403+(glt_azo-Sens!$E$3403)*MIN(1,(Sens!H3363-base_fy)/n_conv)</f>
        <v>0.161111941519932</v>
      </c>
      <c r="I3403" s="7" t="n">
        <f aca="false">Sens!$E$3403+(glt_azo-Sens!$E$3403)*MIN(1,(Sens!I3363-base_fy)/n_conv)</f>
        <v>0.134074627679955</v>
      </c>
      <c r="J3403" s="7" t="n">
        <f aca="false">Sens!$E$3403+(glt_azo-Sens!$E$3403)*MIN(1,(Sens!J3363-base_fy)/n_conv)</f>
        <v>0.107037313839977</v>
      </c>
      <c r="K3403" s="7" t="n">
        <f aca="false">Sens!$E$3403+(glt_azo-Sens!$E$3403)*MIN(1,(Sens!K3363-base_fy)/n_conv)</f>
        <v>0.08</v>
      </c>
    </row>
    <row r="3404" customFormat="false" ht="15" hidden="false" customHeight="false" outlineLevel="0" collapsed="false">
      <c r="A3404" s="0" t="s">
        <v>877</v>
      </c>
      <c r="B3404" s="0" t="s">
        <v>98</v>
      </c>
      <c r="D3404" s="6" t="n">
        <f aca="false">Sens!D3401+Sens!D3402</f>
        <v>72.61</v>
      </c>
      <c r="E3404" s="6" t="n">
        <f aca="false">Sens!E3401+Sens!E3402</f>
        <v>101.938</v>
      </c>
      <c r="F3404" s="6" t="n">
        <f aca="false">Sens!F3401+Sens!F3402</f>
        <v>128.573389932331</v>
      </c>
      <c r="G3404" s="6" t="n">
        <f aca="false">Sens!G3401+Sens!G3402</f>
        <v>148.593116409662</v>
      </c>
      <c r="H3404" s="6" t="n">
        <f aca="false">Sens!H3401+Sens!H3402</f>
        <v>164.087276733852</v>
      </c>
      <c r="I3404" s="6" t="n">
        <f aca="false">Sens!I3401+Sens!I3402</f>
        <v>181.782876543045</v>
      </c>
      <c r="J3404" s="6" t="n">
        <f aca="false">Sens!J3401+Sens!J3402</f>
        <v>198.429411291033</v>
      </c>
      <c r="K3404" s="6" t="n">
        <f aca="false">Sens!K3401+Sens!K3402</f>
        <v>214.012560715102</v>
      </c>
    </row>
    <row r="3405" customFormat="false" ht="17.15" hidden="false" customHeight="false" outlineLevel="0" collapsed="false">
      <c r="A3405" s="0" t="s">
        <v>878</v>
      </c>
      <c r="B3405" s="1" t="s">
        <v>528</v>
      </c>
      <c r="C3405" s="29" t="n">
        <f aca="false">cop_s24</f>
        <v>1</v>
      </c>
      <c r="D3405" s="29" t="n">
        <f aca="false">cop_s25</f>
        <v>5</v>
      </c>
      <c r="E3405" s="29" t="n">
        <f aca="false">cop_s26</f>
        <v>30</v>
      </c>
      <c r="F3405" s="29" t="n">
        <f aca="false">Sens!E3405+cop_add_C</f>
        <v>40</v>
      </c>
      <c r="G3405" s="29" t="n">
        <f aca="false">Sens!F3405+cop_add_C</f>
        <v>50</v>
      </c>
      <c r="H3405" s="29" t="n">
        <f aca="false">Sens!G3405+cop_add_C</f>
        <v>60</v>
      </c>
      <c r="I3405" s="29" t="n">
        <f aca="false">Sens!H3405+cop_add_C*cop_tail</f>
        <v>65</v>
      </c>
      <c r="J3405" s="29" t="n">
        <f aca="false">Sens!I3405+cop_add_C*cop_tail</f>
        <v>70</v>
      </c>
      <c r="K3405" s="29" t="n">
        <f aca="false">Sens!J3405+cop_add_C*cop_tail</f>
        <v>75</v>
      </c>
      <c r="L3405" s="11" t="s">
        <v>879</v>
      </c>
    </row>
    <row r="3406" customFormat="false" ht="17.15" hidden="false" customHeight="false" outlineLevel="0" collapsed="false">
      <c r="A3406" s="0" t="s">
        <v>880</v>
      </c>
      <c r="B3406" s="0" t="s">
        <v>98</v>
      </c>
      <c r="D3406" s="6" t="n">
        <f aca="false">(Sens!C3405+Sens!D3405)/2*cop_px*12/1000</f>
        <v>0.9</v>
      </c>
      <c r="E3406" s="6" t="n">
        <f aca="false">(Sens!D3405+Sens!E3405)/2*cop_px*12/1000</f>
        <v>5.25</v>
      </c>
      <c r="F3406" s="6" t="n">
        <f aca="false">(Sens!E3405+Sens!F3405)/2*cop_px*12/1000</f>
        <v>10.5</v>
      </c>
      <c r="G3406" s="6" t="n">
        <f aca="false">(Sens!F3405+Sens!G3405)/2*cop_px*12/1000</f>
        <v>13.5</v>
      </c>
      <c r="H3406" s="6" t="n">
        <f aca="false">(Sens!G3405+Sens!H3405)/2*cop_px*12/1000</f>
        <v>16.5</v>
      </c>
      <c r="I3406" s="6" t="n">
        <f aca="false">(Sens!H3405+Sens!I3405)/2*cop_px*12/1000</f>
        <v>18.75</v>
      </c>
      <c r="J3406" s="6" t="n">
        <f aca="false">(Sens!I3405+Sens!J3405)/2*cop_px*12/1000</f>
        <v>20.25</v>
      </c>
      <c r="K3406" s="6" t="n">
        <f aca="false">(Sens!J3405+Sens!K3405)/2*cop_px*12/1000</f>
        <v>21.75</v>
      </c>
      <c r="L3406" s="1" t="s">
        <v>881</v>
      </c>
    </row>
    <row r="3407" customFormat="false" ht="17.15" hidden="false" customHeight="false" outlineLevel="0" collapsed="false">
      <c r="A3407" s="0" t="s">
        <v>882</v>
      </c>
      <c r="B3407" s="0" t="s">
        <v>98</v>
      </c>
      <c r="D3407" s="6" t="n">
        <f aca="false">Q!L7-Sens!D3406</f>
        <v>83.705</v>
      </c>
      <c r="E3407" s="6" t="n">
        <f aca="false">Q!M7-Sens!E3406</f>
        <v>95.049</v>
      </c>
      <c r="F3407" s="6" t="n">
        <f aca="false">Sens!E3407*(1+Sens!F3408)</f>
        <v>106.89238776686</v>
      </c>
      <c r="G3407" s="6" t="n">
        <f aca="false">Sens!F3407*(1+Sens!G3408)</f>
        <v>119.044168448684</v>
      </c>
      <c r="H3407" s="6" t="n">
        <f aca="false">Sens!G3407*(1+Sens!H3408)</f>
        <v>131.277359388781</v>
      </c>
      <c r="I3407" s="6" t="n">
        <f aca="false">Sens!H3407*(1+Sens!I3408)</f>
        <v>143.334028071957</v>
      </c>
      <c r="J3407" s="6" t="n">
        <f aca="false">Sens!I3407*(1+Sens!J3408)</f>
        <v>154.932702785465</v>
      </c>
      <c r="K3407" s="6" t="n">
        <f aca="false">Sens!J3407*(1+Sens!K3408)</f>
        <v>165.777991980448</v>
      </c>
    </row>
    <row r="3408" customFormat="false" ht="15" hidden="false" customHeight="false" outlineLevel="0" collapsed="false">
      <c r="A3408" s="1" t="s">
        <v>876</v>
      </c>
      <c r="B3408" s="0" t="s">
        <v>129</v>
      </c>
      <c r="E3408" s="7" t="n">
        <f aca="false">Sens!E3407/Sens!D3407-1</f>
        <v>0.135523564900544</v>
      </c>
      <c r="F3408" s="7" t="n">
        <f aca="false">Sens!$E$3408+(glt_m365b-Sens!$E$3408)*MIN(1,(Sens!F3363-base_fy)/n_conv)</f>
        <v>0.124602970750453</v>
      </c>
      <c r="G3408" s="7" t="n">
        <f aca="false">Sens!$E$3408+(glt_m365b-Sens!$E$3408)*MIN(1,(Sens!G3363-base_fy)/n_conv)</f>
        <v>0.113682376600363</v>
      </c>
      <c r="H3408" s="7" t="n">
        <f aca="false">Sens!$E$3408+(glt_m365b-Sens!$E$3408)*MIN(1,(Sens!H3363-base_fy)/n_conv)</f>
        <v>0.102761782450272</v>
      </c>
      <c r="I3408" s="7" t="n">
        <f aca="false">Sens!$E$3408+(glt_m365b-Sens!$E$3408)*MIN(1,(Sens!I3363-base_fy)/n_conv)</f>
        <v>0.0918411883001813</v>
      </c>
      <c r="J3408" s="7" t="n">
        <f aca="false">Sens!$E$3408+(glt_m365b-Sens!$E$3408)*MIN(1,(Sens!J3363-base_fy)/n_conv)</f>
        <v>0.0809205941500906</v>
      </c>
      <c r="K3408" s="7" t="n">
        <f aca="false">Sens!$E$3408+(glt_m365b-Sens!$E$3408)*MIN(1,(Sens!K3363-base_fy)/n_conv)</f>
        <v>0.07</v>
      </c>
    </row>
    <row r="3409" customFormat="false" ht="15" hidden="false" customHeight="false" outlineLevel="0" collapsed="false">
      <c r="A3409" s="0" t="s">
        <v>883</v>
      </c>
      <c r="B3409" s="0" t="s">
        <v>98</v>
      </c>
      <c r="D3409" s="6" t="n">
        <f aca="false">Sens!D3407+Sens!D3406</f>
        <v>84.605</v>
      </c>
      <c r="E3409" s="6" t="n">
        <f aca="false">Sens!E3407+Sens!E3406</f>
        <v>100.299</v>
      </c>
      <c r="F3409" s="6" t="n">
        <f aca="false">Sens!F3407+Sens!F3406</f>
        <v>117.39238776686</v>
      </c>
      <c r="G3409" s="6" t="n">
        <f aca="false">Sens!G3407+Sens!G3406</f>
        <v>132.544168448684</v>
      </c>
      <c r="H3409" s="6" t="n">
        <f aca="false">Sens!H3407+Sens!H3406</f>
        <v>147.777359388781</v>
      </c>
      <c r="I3409" s="6" t="n">
        <f aca="false">Sens!I3407+Sens!I3406</f>
        <v>162.084028071957</v>
      </c>
      <c r="J3409" s="6" t="n">
        <f aca="false">Sens!J3407+Sens!J3406</f>
        <v>175.182702785465</v>
      </c>
      <c r="K3409" s="6" t="n">
        <f aca="false">Sens!K3407+Sens!K3406</f>
        <v>187.527991980448</v>
      </c>
    </row>
    <row r="3410" customFormat="false" ht="15" hidden="false" customHeight="false" outlineLevel="0" collapsed="false">
      <c r="A3410" s="0" t="s">
        <v>884</v>
      </c>
      <c r="B3410" s="0" t="s">
        <v>98</v>
      </c>
      <c r="D3410" s="6" t="n">
        <f aca="false">Q!L8</f>
        <v>35.391</v>
      </c>
      <c r="E3410" s="6" t="n">
        <f aca="false">Q!M8</f>
        <v>37.285</v>
      </c>
      <c r="F3410" s="6" t="n">
        <f aca="false">Sens!E3410*(1+Sens!F3411)</f>
        <v>39.0720834331704</v>
      </c>
      <c r="G3410" s="6" t="n">
        <f aca="false">Sens!F3410*(1+Sens!G3411)</f>
        <v>40.726562953769</v>
      </c>
      <c r="H3410" s="6" t="n">
        <f aca="false">Sens!G3410*(1+Sens!H3411)</f>
        <v>42.2235987259198</v>
      </c>
      <c r="I3410" s="6" t="n">
        <f aca="false">Sens!H3410*(1+Sens!I3411)</f>
        <v>43.5397988077414</v>
      </c>
      <c r="J3410" s="6" t="n">
        <f aca="false">Sens!I3410*(1+Sens!J3411)</f>
        <v>44.653811225693</v>
      </c>
      <c r="K3410" s="6" t="n">
        <f aca="false">Sens!J3410*(1+Sens!K3411)</f>
        <v>45.5468874502068</v>
      </c>
    </row>
    <row r="3411" customFormat="false" ht="15" hidden="false" customHeight="false" outlineLevel="0" collapsed="false">
      <c r="A3411" s="1" t="s">
        <v>876</v>
      </c>
      <c r="B3411" s="0" t="s">
        <v>129</v>
      </c>
      <c r="E3411" s="7" t="n">
        <f aca="false">Sens!E3410/Sens!D3410-1</f>
        <v>0.0535164307309768</v>
      </c>
      <c r="F3411" s="7" t="n">
        <f aca="false">Sens!$E$3411+(glt_lic-Sens!$E$3411)*MIN(1,(Sens!F3363-base_fy)/n_conv)</f>
        <v>0.0479303589424807</v>
      </c>
      <c r="G3411" s="7" t="n">
        <f aca="false">Sens!$E$3411+(glt_lic-Sens!$E$3411)*MIN(1,(Sens!G3363-base_fy)/n_conv)</f>
        <v>0.0423442871539845</v>
      </c>
      <c r="H3411" s="7" t="n">
        <f aca="false">Sens!$E$3411+(glt_lic-Sens!$E$3411)*MIN(1,(Sens!H3363-base_fy)/n_conv)</f>
        <v>0.0367582153654884</v>
      </c>
      <c r="I3411" s="7" t="n">
        <f aca="false">Sens!$E$3411+(glt_lic-Sens!$E$3411)*MIN(1,(Sens!I3363-base_fy)/n_conv)</f>
        <v>0.0311721435769923</v>
      </c>
      <c r="J3411" s="7" t="n">
        <f aca="false">Sens!$E$3411+(glt_lic-Sens!$E$3411)*MIN(1,(Sens!J3363-base_fy)/n_conv)</f>
        <v>0.0255860717884961</v>
      </c>
      <c r="K3411" s="7" t="n">
        <f aca="false">Sens!$E$3411+(glt_lic-Sens!$E$3411)*MIN(1,(Sens!K3363-base_fy)/n_conv)</f>
        <v>0.02</v>
      </c>
    </row>
    <row r="3412" customFormat="false" ht="15" hidden="false" customHeight="false" outlineLevel="0" collapsed="false">
      <c r="A3412" s="0" t="s">
        <v>885</v>
      </c>
      <c r="B3412" s="0" t="s">
        <v>98</v>
      </c>
      <c r="D3412" s="6" t="n">
        <f aca="false">Q!L9</f>
        <v>18.417</v>
      </c>
      <c r="E3412" s="6" t="n">
        <f aca="false">Q!M9</f>
        <v>20.345</v>
      </c>
      <c r="F3412" s="6" t="n">
        <f aca="false">Sens!E3412*(1+Sens!F3413)</f>
        <v>22.3572203267814</v>
      </c>
      <c r="G3412" s="6" t="n">
        <f aca="false">Sens!F3412*(1+Sens!G3413)</f>
        <v>24.4392124437232</v>
      </c>
      <c r="H3412" s="6" t="n">
        <f aca="false">Sens!G3412*(1+Sens!H3413)</f>
        <v>26.5738052080665</v>
      </c>
      <c r="I3412" s="6" t="n">
        <f aca="false">Sens!H3412*(1+Sens!I3413)</f>
        <v>28.7412169166967</v>
      </c>
      <c r="J3412" s="6" t="n">
        <f aca="false">Sens!I3412*(1+Sens!J3413)</f>
        <v>30.9192545395413</v>
      </c>
      <c r="K3412" s="6" t="n">
        <f aca="false">Sens!J3412*(1+Sens!K3413)</f>
        <v>33.0836023573092</v>
      </c>
    </row>
    <row r="3413" customFormat="false" ht="15" hidden="false" customHeight="false" outlineLevel="0" collapsed="false">
      <c r="A3413" s="1" t="s">
        <v>876</v>
      </c>
      <c r="B3413" s="0" t="s">
        <v>129</v>
      </c>
      <c r="E3413" s="7" t="n">
        <f aca="false">Sens!E3412/Sens!D3412-1</f>
        <v>0.104685888038225</v>
      </c>
      <c r="F3413" s="7" t="n">
        <f aca="false">Sens!$E$3413+(glt_ind-Sens!$E$3413)*MIN(1,(Sens!F3363-base_fy)/n_conv)</f>
        <v>0.0989049066985211</v>
      </c>
      <c r="G3413" s="7" t="n">
        <f aca="false">Sens!$E$3413+(glt_ind-Sens!$E$3413)*MIN(1,(Sens!G3363-base_fy)/n_conv)</f>
        <v>0.0931239253588169</v>
      </c>
      <c r="H3413" s="7" t="n">
        <f aca="false">Sens!$E$3413+(glt_ind-Sens!$E$3413)*MIN(1,(Sens!H3363-base_fy)/n_conv)</f>
        <v>0.0873429440191127</v>
      </c>
      <c r="I3413" s="7" t="n">
        <f aca="false">Sens!$E$3413+(glt_ind-Sens!$E$3413)*MIN(1,(Sens!I3363-base_fy)/n_conv)</f>
        <v>0.0815619626794085</v>
      </c>
      <c r="J3413" s="7" t="n">
        <f aca="false">Sens!$E$3413+(glt_ind-Sens!$E$3413)*MIN(1,(Sens!J3363-base_fy)/n_conv)</f>
        <v>0.0757809813397042</v>
      </c>
      <c r="K3413" s="7" t="n">
        <f aca="false">Sens!$E$3413+(glt_ind-Sens!$E$3413)*MIN(1,(Sens!K3363-base_fy)/n_conv)</f>
        <v>0.07</v>
      </c>
    </row>
    <row r="3414" customFormat="false" ht="15" hidden="false" customHeight="false" outlineLevel="0" collapsed="false">
      <c r="A3414" s="0" t="s">
        <v>886</v>
      </c>
      <c r="B3414" s="0" t="s">
        <v>98</v>
      </c>
      <c r="D3414" s="6" t="n">
        <f aca="false">Q!L10</f>
        <v>7.76</v>
      </c>
      <c r="E3414" s="6" t="n">
        <f aca="false">Q!M10</f>
        <v>8.26</v>
      </c>
      <c r="F3414" s="6" t="n">
        <f aca="false">Sens!E3414*(1+Sens!F3415)</f>
        <v>8.79988041237113</v>
      </c>
      <c r="G3414" s="6" t="n">
        <f aca="false">Sens!F3414*(1+Sens!G3415)</f>
        <v>9.38321269125306</v>
      </c>
      <c r="H3414" s="6" t="n">
        <f aca="false">Sens!G3414*(1+Sens!H3415)</f>
        <v>10.0139193587476</v>
      </c>
      <c r="I3414" s="6" t="n">
        <f aca="false">Sens!H3414*(1+Sens!I3415)</f>
        <v>10.6963111830911</v>
      </c>
      <c r="J3414" s="6" t="n">
        <f aca="false">Sens!I3414*(1+Sens!J3415)</f>
        <v>11.4351285534696</v>
      </c>
      <c r="K3414" s="6" t="n">
        <f aca="false">Sens!J3414*(1+Sens!K3415)</f>
        <v>12.2355875522124</v>
      </c>
    </row>
    <row r="3415" customFormat="false" ht="15" hidden="false" customHeight="false" outlineLevel="0" collapsed="false">
      <c r="A3415" s="1" t="s">
        <v>876</v>
      </c>
      <c r="B3415" s="0" t="s">
        <v>129</v>
      </c>
      <c r="E3415" s="7" t="n">
        <f aca="false">Sens!E3414/Sens!D3414-1</f>
        <v>0.0644329896907216</v>
      </c>
      <c r="F3415" s="7" t="n">
        <f aca="false">Sens!$E$3415+(glt_fro-Sens!$E$3415)*MIN(1,(Sens!F3363-base_fy)/n_conv)</f>
        <v>0.065360824742268</v>
      </c>
      <c r="G3415" s="7" t="n">
        <f aca="false">Sens!$E$3415+(glt_fro-Sens!$E$3415)*MIN(1,(Sens!G3363-base_fy)/n_conv)</f>
        <v>0.0662886597938144</v>
      </c>
      <c r="H3415" s="7" t="n">
        <f aca="false">Sens!$E$3415+(glt_fro-Sens!$E$3415)*MIN(1,(Sens!H3363-base_fy)/n_conv)</f>
        <v>0.0672164948453608</v>
      </c>
      <c r="I3415" s="7" t="n">
        <f aca="false">Sens!$E$3415+(glt_fro-Sens!$E$3415)*MIN(1,(Sens!I3363-base_fy)/n_conv)</f>
        <v>0.0681443298969072</v>
      </c>
      <c r="J3415" s="7" t="n">
        <f aca="false">Sens!$E$3415+(glt_fro-Sens!$E$3415)*MIN(1,(Sens!J3363-base_fy)/n_conv)</f>
        <v>0.0690721649484536</v>
      </c>
      <c r="K3415" s="7" t="n">
        <f aca="false">Sens!$E$3415+(glt_fro-Sens!$E$3415)*MIN(1,(Sens!K3363-base_fy)/n_conv)</f>
        <v>0.07</v>
      </c>
    </row>
    <row r="3416" customFormat="false" ht="15" hidden="false" customHeight="false" outlineLevel="0" collapsed="false">
      <c r="A3416" s="0" t="s">
        <v>715</v>
      </c>
      <c r="B3416" s="0" t="s">
        <v>98</v>
      </c>
      <c r="D3416" s="6" t="n">
        <f aca="false">Sens!D3404+Sens!D3409+Sens!D3410+Sens!D3412+Sens!D3414</f>
        <v>218.783</v>
      </c>
      <c r="E3416" s="6" t="n">
        <f aca="false">Sens!E3404+Sens!E3409+Sens!E3410+Sens!E3412+Sens!E3414</f>
        <v>268.127</v>
      </c>
      <c r="F3416" s="6" t="n">
        <f aca="false">Sens!F3404+Sens!F3409+Sens!F3410+Sens!F3412+Sens!F3414</f>
        <v>316.194961871514</v>
      </c>
      <c r="G3416" s="6" t="n">
        <f aca="false">Sens!G3404+Sens!G3409+Sens!G3410+Sens!G3412+Sens!G3414</f>
        <v>355.686272947091</v>
      </c>
      <c r="H3416" s="6" t="n">
        <f aca="false">Sens!H3404+Sens!H3409+Sens!H3410+Sens!H3412+Sens!H3414</f>
        <v>390.675959415367</v>
      </c>
      <c r="I3416" s="6" t="n">
        <f aca="false">Sens!I3404+Sens!I3409+Sens!I3410+Sens!I3412+Sens!I3414</f>
        <v>426.844231522531</v>
      </c>
      <c r="J3416" s="6" t="n">
        <f aca="false">Sens!J3404+Sens!J3409+Sens!J3410+Sens!J3412+Sens!J3414</f>
        <v>460.620308395202</v>
      </c>
      <c r="K3416" s="6" t="n">
        <f aca="false">Sens!K3404+Sens!K3409+Sens!K3410+Sens!K3412+Sens!K3414</f>
        <v>492.406630055278</v>
      </c>
    </row>
    <row r="3417" customFormat="false" ht="15" hidden="false" customHeight="false" outlineLevel="0" collapsed="false">
      <c r="A3417" s="0" t="s">
        <v>887</v>
      </c>
      <c r="B3417" s="0" t="s">
        <v>98</v>
      </c>
      <c r="D3417" s="6" t="n">
        <f aca="false">Q!L13</f>
        <v>22.171</v>
      </c>
      <c r="E3417" s="6" t="n">
        <f aca="false">Q!M13</f>
        <v>24.835</v>
      </c>
      <c r="F3417" s="6" t="n">
        <f aca="false">Sens!E3417*(1+Sens!F3418)</f>
        <v>27.6114901218559</v>
      </c>
      <c r="G3417" s="6" t="n">
        <f aca="false">Sens!F3417*(1+Sens!G3418)</f>
        <v>30.4675667338515</v>
      </c>
      <c r="H3417" s="6" t="n">
        <f aca="false">Sens!G3417*(1+Sens!H3418)</f>
        <v>33.3643766955789</v>
      </c>
      <c r="I3417" s="6" t="n">
        <f aca="false">Sens!H3417*(1+Sens!I3418)</f>
        <v>36.2577016533691</v>
      </c>
      <c r="J3417" s="6" t="n">
        <f aca="false">Sens!I3417*(1+Sens!J3418)</f>
        <v>39.0988367952171</v>
      </c>
      <c r="K3417" s="6" t="n">
        <f aca="false">Sens!J3417*(1+Sens!K3418)</f>
        <v>41.8357553708823</v>
      </c>
    </row>
    <row r="3418" customFormat="false" ht="15" hidden="false" customHeight="false" outlineLevel="0" collapsed="false">
      <c r="A3418" s="1" t="s">
        <v>876</v>
      </c>
      <c r="B3418" s="0" t="s">
        <v>129</v>
      </c>
      <c r="E3418" s="7" t="n">
        <f aca="false">Sens!E3417/Sens!D3417-1</f>
        <v>0.120156961796942</v>
      </c>
      <c r="F3418" s="7" t="n">
        <f aca="false">Sens!$E$3418+(glt_srch-Sens!$E$3418)*MIN(1,(Sens!F3363-base_fy)/n_conv)</f>
        <v>0.111797468164118</v>
      </c>
      <c r="G3418" s="7" t="n">
        <f aca="false">Sens!$E$3418+(glt_srch-Sens!$E$3418)*MIN(1,(Sens!G3363-base_fy)/n_conv)</f>
        <v>0.103437974531295</v>
      </c>
      <c r="H3418" s="7" t="n">
        <f aca="false">Sens!$E$3418+(glt_srch-Sens!$E$3418)*MIN(1,(Sens!H3363-base_fy)/n_conv)</f>
        <v>0.095078480898471</v>
      </c>
      <c r="I3418" s="7" t="n">
        <f aca="false">Sens!$E$3418+(glt_srch-Sens!$E$3418)*MIN(1,(Sens!I3363-base_fy)/n_conv)</f>
        <v>0.0867189872656474</v>
      </c>
      <c r="J3418" s="7" t="n">
        <f aca="false">Sens!$E$3418+(glt_srch-Sens!$E$3418)*MIN(1,(Sens!J3363-base_fy)/n_conv)</f>
        <v>0.0783594936328237</v>
      </c>
      <c r="K3418" s="7" t="n">
        <f aca="false">Sens!$E$3418+(glt_srch-Sens!$E$3418)*MIN(1,(Sens!K3363-base_fy)/n_conv)</f>
        <v>0.07</v>
      </c>
    </row>
    <row r="3419" customFormat="false" ht="15" hidden="false" customHeight="false" outlineLevel="0" collapsed="false">
      <c r="A3419" s="0" t="s">
        <v>888</v>
      </c>
      <c r="B3419" s="0" t="s">
        <v>98</v>
      </c>
      <c r="D3419" s="6" t="n">
        <f aca="false">Q!L14</f>
        <v>23.455</v>
      </c>
      <c r="E3419" s="6" t="n">
        <f aca="false">Q!M14</f>
        <v>21.79</v>
      </c>
      <c r="F3419" s="6" t="n">
        <f aca="false">Sens!E3419*(1+Sens!F3420)</f>
        <v>20.5736277908051</v>
      </c>
      <c r="G3419" s="6" t="n">
        <f aca="false">Sens!F3419*(1+Sens!G3420)</f>
        <v>19.7371452817919</v>
      </c>
      <c r="H3419" s="6" t="n">
        <f aca="false">Sens!G3419*(1+Sens!H3420)</f>
        <v>19.2339764043138</v>
      </c>
      <c r="I3419" s="6" t="n">
        <f aca="false">Sens!H3419*(1+Sens!I3420)</f>
        <v>19.0353086852681</v>
      </c>
      <c r="J3419" s="6" t="n">
        <f aca="false">Sens!I3419*(1+Sens!J3420)</f>
        <v>19.1273539319129</v>
      </c>
      <c r="K3419" s="6" t="n">
        <f aca="false">Sens!J3419*(1+Sens!K3420)</f>
        <v>19.5099010105511</v>
      </c>
    </row>
    <row r="3420" customFormat="false" ht="15" hidden="false" customHeight="false" outlineLevel="0" collapsed="false">
      <c r="A3420" s="1" t="s">
        <v>876</v>
      </c>
      <c r="B3420" s="0" t="s">
        <v>129</v>
      </c>
      <c r="E3420" s="7" t="n">
        <f aca="false">Sens!E3419/Sens!D3419-1</f>
        <v>-0.0709869963760392</v>
      </c>
      <c r="F3420" s="7" t="n">
        <f aca="false">Sens!$E$3420+(glt_xbox-Sens!$E$3420)*MIN(1,(Sens!F3363-base_fy)/n_conv)</f>
        <v>-0.0558224969800327</v>
      </c>
      <c r="G3420" s="7" t="n">
        <f aca="false">Sens!$E$3420+(glt_xbox-Sens!$E$3420)*MIN(1,(Sens!G3363-base_fy)/n_conv)</f>
        <v>-0.0406579975840262</v>
      </c>
      <c r="H3420" s="7" t="n">
        <f aca="false">Sens!$E$3420+(glt_xbox-Sens!$E$3420)*MIN(1,(Sens!H3363-base_fy)/n_conv)</f>
        <v>-0.0254934981880196</v>
      </c>
      <c r="I3420" s="7" t="n">
        <f aca="false">Sens!$E$3420+(glt_xbox-Sens!$E$3420)*MIN(1,(Sens!I3363-base_fy)/n_conv)</f>
        <v>-0.0103289987920131</v>
      </c>
      <c r="J3420" s="7" t="n">
        <f aca="false">Sens!$E$3420+(glt_xbox-Sens!$E$3420)*MIN(1,(Sens!J3363-base_fy)/n_conv)</f>
        <v>0.00483550060399347</v>
      </c>
      <c r="K3420" s="7" t="n">
        <f aca="false">Sens!$E$3420+(glt_xbox-Sens!$E$3420)*MIN(1,(Sens!K3363-base_fy)/n_conv)</f>
        <v>0.02</v>
      </c>
    </row>
    <row r="3421" customFormat="false" ht="15" hidden="false" customHeight="false" outlineLevel="0" collapsed="false">
      <c r="A3421" s="0" t="s">
        <v>889</v>
      </c>
      <c r="B3421" s="0" t="s">
        <v>98</v>
      </c>
      <c r="D3421" s="6" t="n">
        <f aca="false">Q!L15</f>
        <v>17.315</v>
      </c>
      <c r="E3421" s="6" t="n">
        <f aca="false">Q!M15</f>
        <v>17.087</v>
      </c>
      <c r="F3421" s="6" t="n">
        <f aca="false">Sens!E3421*(1+Sens!F3422)</f>
        <v>16.9564585436519</v>
      </c>
      <c r="G3421" s="6" t="n">
        <f aca="false">Sens!F3421*(1+Sens!G3422)</f>
        <v>16.9206490624268</v>
      </c>
      <c r="H3421" s="6" t="n">
        <f aca="false">Sens!G3421*(1+Sens!H3422)</f>
        <v>16.9784519149849</v>
      </c>
      <c r="I3421" s="6" t="n">
        <f aca="false">Sens!H3421*(1+Sens!I3422)</f>
        <v>17.1303084701817</v>
      </c>
      <c r="J3421" s="6" t="n">
        <f aca="false">Sens!I3421*(1+Sens!J3422)</f>
        <v>17.3782189407267</v>
      </c>
      <c r="K3421" s="6" t="n">
        <f aca="false">Sens!J3421*(1+Sens!K3422)</f>
        <v>17.7257833195413</v>
      </c>
    </row>
    <row r="3422" customFormat="false" ht="15" hidden="false" customHeight="false" outlineLevel="0" collapsed="false">
      <c r="A3422" s="1" t="s">
        <v>876</v>
      </c>
      <c r="B3422" s="0" t="s">
        <v>129</v>
      </c>
      <c r="E3422" s="7" t="n">
        <f aca="false">Sens!E3421/Sens!D3421-1</f>
        <v>-0.0131677736066995</v>
      </c>
      <c r="F3422" s="7" t="n">
        <f aca="false">Sens!$E$3422+(glt_win-Sens!$E$3422)*MIN(1,(Sens!F3363-base_fy)/n_conv)</f>
        <v>-0.00763981133891627</v>
      </c>
      <c r="G3422" s="7" t="n">
        <f aca="false">Sens!$E$3422+(glt_win-Sens!$E$3422)*MIN(1,(Sens!G3363-base_fy)/n_conv)</f>
        <v>-0.00211184907113301</v>
      </c>
      <c r="H3422" s="7" t="n">
        <f aca="false">Sens!$E$3422+(glt_win-Sens!$E$3422)*MIN(1,(Sens!H3363-base_fy)/n_conv)</f>
        <v>0.00341611319665024</v>
      </c>
      <c r="I3422" s="7" t="n">
        <f aca="false">Sens!$E$3422+(glt_win-Sens!$E$3422)*MIN(1,(Sens!I3363-base_fy)/n_conv)</f>
        <v>0.00894407546443349</v>
      </c>
      <c r="J3422" s="7" t="n">
        <f aca="false">Sens!$E$3422+(glt_win-Sens!$E$3422)*MIN(1,(Sens!J3363-base_fy)/n_conv)</f>
        <v>0.0144720377322168</v>
      </c>
      <c r="K3422" s="7" t="n">
        <f aca="false">Sens!$E$3422+(glt_win-Sens!$E$3422)*MIN(1,(Sens!K3363-base_fy)/n_conv)</f>
        <v>0.02</v>
      </c>
    </row>
    <row r="3423" customFormat="false" ht="15" hidden="false" customHeight="false" outlineLevel="0" collapsed="false">
      <c r="A3423" s="0" t="s">
        <v>729</v>
      </c>
      <c r="B3423" s="0" t="s">
        <v>98</v>
      </c>
      <c r="D3423" s="6" t="n">
        <f aca="false">Sens!D3417+Sens!D3419+Sens!D3421</f>
        <v>62.941</v>
      </c>
      <c r="E3423" s="6" t="n">
        <f aca="false">Sens!E3417+Sens!E3419+Sens!E3421</f>
        <v>63.712</v>
      </c>
      <c r="F3423" s="6" t="n">
        <f aca="false">Sens!F3417+Sens!F3419+Sens!F3421</f>
        <v>65.1415764563129</v>
      </c>
      <c r="G3423" s="6" t="n">
        <f aca="false">Sens!G3417+Sens!G3419+Sens!G3421</f>
        <v>67.1253610780702</v>
      </c>
      <c r="H3423" s="6" t="n">
        <f aca="false">Sens!H3417+Sens!H3419+Sens!H3421</f>
        <v>69.5768050148776</v>
      </c>
      <c r="I3423" s="6" t="n">
        <f aca="false">Sens!I3417+Sens!I3419+Sens!I3421</f>
        <v>72.4233188088189</v>
      </c>
      <c r="J3423" s="6" t="n">
        <f aca="false">Sens!J3417+Sens!J3419+Sens!J3421</f>
        <v>75.6044096678567</v>
      </c>
      <c r="K3423" s="6" t="n">
        <f aca="false">Sens!K3417+Sens!K3419+Sens!K3421</f>
        <v>79.0714397009747</v>
      </c>
    </row>
    <row r="3424" customFormat="false" ht="15" hidden="false" customHeight="false" outlineLevel="0" collapsed="false">
      <c r="A3424" s="1" t="s">
        <v>890</v>
      </c>
      <c r="B3424" s="0" t="s">
        <v>98</v>
      </c>
      <c r="D3424" s="6" t="n">
        <f aca="false">Sens!D3416+Sens!D3423</f>
        <v>281.724</v>
      </c>
      <c r="E3424" s="6" t="n">
        <f aca="false">Sens!E3416+Sens!E3423</f>
        <v>331.839</v>
      </c>
      <c r="F3424" s="6" t="n">
        <f aca="false">Sens!F3416+Sens!F3423</f>
        <v>381.336538327827</v>
      </c>
      <c r="G3424" s="6" t="n">
        <f aca="false">Sens!G3416+Sens!G3423</f>
        <v>422.811634025161</v>
      </c>
      <c r="H3424" s="6" t="n">
        <f aca="false">Sens!H3416+Sens!H3423</f>
        <v>460.252764430245</v>
      </c>
      <c r="I3424" s="6" t="n">
        <f aca="false">Sens!I3416+Sens!I3423</f>
        <v>499.26755033135</v>
      </c>
      <c r="J3424" s="6" t="n">
        <f aca="false">Sens!J3416+Sens!J3423</f>
        <v>536.224718063059</v>
      </c>
      <c r="K3424" s="6" t="n">
        <f aca="false">Sens!K3416+Sens!K3423</f>
        <v>571.478069756253</v>
      </c>
    </row>
    <row r="3425" customFormat="false" ht="15" hidden="false" customHeight="false" outlineLevel="0" collapsed="false">
      <c r="A3425" s="23" t="s">
        <v>891</v>
      </c>
      <c r="B3425" s="30" t="s">
        <v>98</v>
      </c>
      <c r="C3425" s="30"/>
      <c r="D3425" s="24" t="n">
        <f aca="false">(Sens!D3404+Sens!D3409+Sens!D3410+Sens!D3412+Sens!D3414-Sens!D3416)+(Sens!D3417+Sens!D3419+Sens!D3421-Sens!D3423)+(Sens!D3416-Q!L5)+(Sens!D3423-Q!L12)+(Sens!D3404-Q!L6)+(Sens!D3409-Q!L7)</f>
        <v>0</v>
      </c>
      <c r="E3425" s="24" t="n">
        <f aca="false">(Sens!E3404+Sens!E3409+Sens!E3410+Sens!E3412+Sens!E3414-Sens!E3416)+(Sens!E3417+Sens!E3419+Sens!E3421-Sens!E3423)+(Sens!E3416-Q!M5)+(Sens!E3423-Q!M12)+(Sens!E3404-Q!M6)+(Sens!E3409-Q!M7)</f>
        <v>0</v>
      </c>
      <c r="F3425" s="24" t="n">
        <f aca="false">(Sens!F3404+Sens!F3409+Sens!F3410+Sens!F3412+Sens!F3414-Sens!F3416)+(Sens!F3417+Sens!F3419+Sens!F3421-Sens!F3423)</f>
        <v>0</v>
      </c>
      <c r="G3425" s="24" t="n">
        <f aca="false">(Sens!G3404+Sens!G3409+Sens!G3410+Sens!G3412+Sens!G3414-Sens!G3416)+(Sens!G3417+Sens!G3419+Sens!G3421-Sens!G3423)</f>
        <v>0</v>
      </c>
      <c r="H3425" s="24" t="n">
        <f aca="false">(Sens!H3404+Sens!H3409+Sens!H3410+Sens!H3412+Sens!H3414-Sens!H3416)+(Sens!H3417+Sens!H3419+Sens!H3421-Sens!H3423)</f>
        <v>0</v>
      </c>
      <c r="I3425" s="24" t="n">
        <f aca="false">(Sens!I3404+Sens!I3409+Sens!I3410+Sens!I3412+Sens!I3414-Sens!I3416)+(Sens!I3417+Sens!I3419+Sens!I3421-Sens!I3423)</f>
        <v>0</v>
      </c>
      <c r="J3425" s="24" t="n">
        <f aca="false">(Sens!J3404+Sens!J3409+Sens!J3410+Sens!J3412+Sens!J3414-Sens!J3416)+(Sens!J3417+Sens!J3419+Sens!J3421-Sens!J3423)</f>
        <v>0</v>
      </c>
      <c r="K3425" s="24" t="n">
        <f aca="false">(Sens!K3404+Sens!K3409+Sens!K3410+Sens!K3412+Sens!K3414-Sens!K3416)+(Sens!K3417+Sens!K3419+Sens!K3421-Sens!K3423)</f>
        <v>0</v>
      </c>
    </row>
    <row r="3426" customFormat="false" ht="17.15" hidden="false" customHeight="false" outlineLevel="0" collapsed="false">
      <c r="A3426" s="3" t="s">
        <v>1349</v>
      </c>
    </row>
    <row r="3427" customFormat="false" ht="15" hidden="false" customHeight="false" outlineLevel="0" collapsed="false">
      <c r="A3427" s="4" t="s">
        <v>43</v>
      </c>
      <c r="B3427" s="4" t="s">
        <v>65</v>
      </c>
      <c r="C3427" s="20" t="s">
        <v>799</v>
      </c>
      <c r="D3427" s="20" t="s">
        <v>800</v>
      </c>
      <c r="E3427" s="20" t="s">
        <v>801</v>
      </c>
      <c r="F3427" s="20" t="s">
        <v>802</v>
      </c>
      <c r="G3427" s="20" t="s">
        <v>803</v>
      </c>
      <c r="H3427" s="20" t="s">
        <v>804</v>
      </c>
      <c r="I3427" s="20" t="s">
        <v>805</v>
      </c>
      <c r="J3427" s="20" t="s">
        <v>806</v>
      </c>
      <c r="K3427" s="20" t="s">
        <v>807</v>
      </c>
      <c r="L3427" s="4" t="s">
        <v>47</v>
      </c>
    </row>
    <row r="3428" customFormat="false" ht="15" hidden="false" customHeight="false" outlineLevel="0" collapsed="false">
      <c r="A3428" s="0" t="s">
        <v>877</v>
      </c>
      <c r="B3428" s="0" t="s">
        <v>98</v>
      </c>
      <c r="D3428" s="6" t="n">
        <f aca="false">Sens!D3404</f>
        <v>72.61</v>
      </c>
      <c r="E3428" s="6" t="n">
        <f aca="false">Sens!E3404</f>
        <v>101.938</v>
      </c>
      <c r="F3428" s="6" t="n">
        <f aca="false">Sens!F3404</f>
        <v>128.573389932331</v>
      </c>
      <c r="G3428" s="6" t="n">
        <f aca="false">Sens!G3404</f>
        <v>148.593116409662</v>
      </c>
      <c r="H3428" s="6" t="n">
        <f aca="false">Sens!H3404</f>
        <v>164.087276733852</v>
      </c>
      <c r="I3428" s="6" t="n">
        <f aca="false">Sens!I3404</f>
        <v>181.782876543045</v>
      </c>
      <c r="J3428" s="6" t="n">
        <f aca="false">Sens!J3404</f>
        <v>198.429411291033</v>
      </c>
      <c r="K3428" s="6" t="n">
        <f aca="false">Sens!K3404</f>
        <v>214.012560715102</v>
      </c>
    </row>
    <row r="3429" customFormat="false" ht="17.15" hidden="false" customHeight="false" outlineLevel="0" collapsed="false">
      <c r="A3429" s="0" t="s">
        <v>874</v>
      </c>
      <c r="B3429" s="0" t="s">
        <v>98</v>
      </c>
      <c r="D3429" s="6" t="n">
        <f aca="false">Sens!D3401</f>
        <v>12.9359794422418</v>
      </c>
      <c r="E3429" s="6" t="n">
        <f aca="false">Sens!E3401</f>
        <v>27.8095064661409</v>
      </c>
      <c r="F3429" s="6" t="n">
        <f aca="false">Sens!F3401</f>
        <v>38.493440194965</v>
      </c>
      <c r="G3429" s="6" t="n">
        <f aca="false">Sens!G3401</f>
        <v>41.5646912063518</v>
      </c>
      <c r="H3429" s="6" t="n">
        <f aca="false">Sens!H3401</f>
        <v>39.815294148216</v>
      </c>
      <c r="I3429" s="6" t="n">
        <f aca="false">Sens!I3401</f>
        <v>40.84917416119</v>
      </c>
      <c r="J3429" s="6" t="n">
        <f aca="false">Sens!J3401</f>
        <v>42.4105439767017</v>
      </c>
      <c r="K3429" s="6" t="n">
        <f aca="false">Sens!K3401</f>
        <v>45.5121840156236</v>
      </c>
    </row>
    <row r="3430" customFormat="false" ht="17.15" hidden="false" customHeight="false" outlineLevel="0" collapsed="false">
      <c r="A3430" s="0" t="s">
        <v>902</v>
      </c>
      <c r="B3430" s="0" t="s">
        <v>98</v>
      </c>
      <c r="D3430" s="6" t="n">
        <f aca="false">Sens!D3402</f>
        <v>59.6740205577583</v>
      </c>
      <c r="E3430" s="6" t="n">
        <f aca="false">Sens!E3402</f>
        <v>74.1284935338591</v>
      </c>
      <c r="F3430" s="6" t="n">
        <f aca="false">Sens!F3402</f>
        <v>90.0799497373663</v>
      </c>
      <c r="G3430" s="6" t="n">
        <f aca="false">Sens!G3402</f>
        <v>107.02842520331</v>
      </c>
      <c r="H3430" s="6" t="n">
        <f aca="false">Sens!H3402</f>
        <v>124.271982585636</v>
      </c>
      <c r="I3430" s="6" t="n">
        <f aca="false">Sens!I3402</f>
        <v>140.933702381855</v>
      </c>
      <c r="J3430" s="6" t="n">
        <f aca="false">Sens!J3402</f>
        <v>156.018867314332</v>
      </c>
      <c r="K3430" s="6" t="n">
        <f aca="false">Sens!K3402</f>
        <v>168.500376699478</v>
      </c>
    </row>
    <row r="3431" customFormat="false" ht="15" hidden="false" customHeight="false" outlineLevel="0" collapsed="false">
      <c r="A3431" s="0" t="s">
        <v>883</v>
      </c>
      <c r="B3431" s="0" t="s">
        <v>98</v>
      </c>
      <c r="D3431" s="6" t="n">
        <f aca="false">Sens!D3409</f>
        <v>84.605</v>
      </c>
      <c r="E3431" s="6" t="n">
        <f aca="false">Sens!E3409</f>
        <v>100.299</v>
      </c>
      <c r="F3431" s="6" t="n">
        <f aca="false">Sens!F3409</f>
        <v>117.39238776686</v>
      </c>
      <c r="G3431" s="6" t="n">
        <f aca="false">Sens!G3409</f>
        <v>132.544168448684</v>
      </c>
      <c r="H3431" s="6" t="n">
        <f aca="false">Sens!H3409</f>
        <v>147.777359388781</v>
      </c>
      <c r="I3431" s="6" t="n">
        <f aca="false">Sens!I3409</f>
        <v>162.084028071957</v>
      </c>
      <c r="J3431" s="6" t="n">
        <f aca="false">Sens!J3409</f>
        <v>175.182702785465</v>
      </c>
      <c r="K3431" s="6" t="n">
        <f aca="false">Sens!K3409</f>
        <v>187.527991980448</v>
      </c>
    </row>
    <row r="3432" customFormat="false" ht="17.15" hidden="false" customHeight="false" outlineLevel="0" collapsed="false">
      <c r="A3432" s="0" t="s">
        <v>903</v>
      </c>
      <c r="B3432" s="0" t="s">
        <v>98</v>
      </c>
      <c r="D3432" s="6" t="n">
        <f aca="false">Sens!D3407</f>
        <v>83.705</v>
      </c>
      <c r="E3432" s="6" t="n">
        <f aca="false">Sens!E3407</f>
        <v>95.049</v>
      </c>
      <c r="F3432" s="6" t="n">
        <f aca="false">Sens!F3407</f>
        <v>106.89238776686</v>
      </c>
      <c r="G3432" s="6" t="n">
        <f aca="false">Sens!G3407</f>
        <v>119.044168448684</v>
      </c>
      <c r="H3432" s="6" t="n">
        <f aca="false">Sens!H3407</f>
        <v>131.277359388781</v>
      </c>
      <c r="I3432" s="6" t="n">
        <f aca="false">Sens!I3407</f>
        <v>143.334028071957</v>
      </c>
      <c r="J3432" s="6" t="n">
        <f aca="false">Sens!J3407</f>
        <v>154.932702785465</v>
      </c>
      <c r="K3432" s="6" t="n">
        <f aca="false">Sens!K3407</f>
        <v>165.777991980448</v>
      </c>
    </row>
    <row r="3433" customFormat="false" ht="17.15" hidden="false" customHeight="false" outlineLevel="0" collapsed="false">
      <c r="A3433" s="0" t="s">
        <v>904</v>
      </c>
      <c r="B3433" s="0" t="s">
        <v>98</v>
      </c>
      <c r="D3433" s="6" t="n">
        <f aca="false">Sens!D3406</f>
        <v>0.9</v>
      </c>
      <c r="E3433" s="6" t="n">
        <f aca="false">Sens!E3406</f>
        <v>5.25</v>
      </c>
      <c r="F3433" s="6" t="n">
        <f aca="false">Sens!F3406</f>
        <v>10.5</v>
      </c>
      <c r="G3433" s="6" t="n">
        <f aca="false">Sens!G3406</f>
        <v>13.5</v>
      </c>
      <c r="H3433" s="6" t="n">
        <f aca="false">Sens!H3406</f>
        <v>16.5</v>
      </c>
      <c r="I3433" s="6" t="n">
        <f aca="false">Sens!I3406</f>
        <v>18.75</v>
      </c>
      <c r="J3433" s="6" t="n">
        <f aca="false">Sens!J3406</f>
        <v>20.25</v>
      </c>
      <c r="K3433" s="6" t="n">
        <f aca="false">Sens!K3406</f>
        <v>21.75</v>
      </c>
    </row>
    <row r="3434" customFormat="false" ht="15" hidden="false" customHeight="false" outlineLevel="0" collapsed="false">
      <c r="A3434" s="0" t="s">
        <v>884</v>
      </c>
      <c r="B3434" s="0" t="s">
        <v>98</v>
      </c>
      <c r="D3434" s="6" t="n">
        <f aca="false">Sens!D3410</f>
        <v>35.391</v>
      </c>
      <c r="E3434" s="6" t="n">
        <f aca="false">Sens!E3410</f>
        <v>37.285</v>
      </c>
      <c r="F3434" s="6" t="n">
        <f aca="false">Sens!F3410</f>
        <v>39.0720834331704</v>
      </c>
      <c r="G3434" s="6" t="n">
        <f aca="false">Sens!G3410</f>
        <v>40.726562953769</v>
      </c>
      <c r="H3434" s="6" t="n">
        <f aca="false">Sens!H3410</f>
        <v>42.2235987259198</v>
      </c>
      <c r="I3434" s="6" t="n">
        <f aca="false">Sens!I3410</f>
        <v>43.5397988077414</v>
      </c>
      <c r="J3434" s="6" t="n">
        <f aca="false">Sens!J3410</f>
        <v>44.653811225693</v>
      </c>
      <c r="K3434" s="6" t="n">
        <f aca="false">Sens!K3410</f>
        <v>45.5468874502068</v>
      </c>
    </row>
    <row r="3435" customFormat="false" ht="15" hidden="false" customHeight="false" outlineLevel="0" collapsed="false">
      <c r="A3435" s="0" t="s">
        <v>885</v>
      </c>
      <c r="B3435" s="0" t="s">
        <v>98</v>
      </c>
      <c r="D3435" s="6" t="n">
        <f aca="false">Sens!D3412</f>
        <v>18.417</v>
      </c>
      <c r="E3435" s="6" t="n">
        <f aca="false">Sens!E3412</f>
        <v>20.345</v>
      </c>
      <c r="F3435" s="6" t="n">
        <f aca="false">Sens!F3412</f>
        <v>22.3572203267814</v>
      </c>
      <c r="G3435" s="6" t="n">
        <f aca="false">Sens!G3412</f>
        <v>24.4392124437232</v>
      </c>
      <c r="H3435" s="6" t="n">
        <f aca="false">Sens!H3412</f>
        <v>26.5738052080665</v>
      </c>
      <c r="I3435" s="6" t="n">
        <f aca="false">Sens!I3412</f>
        <v>28.7412169166967</v>
      </c>
      <c r="J3435" s="6" t="n">
        <f aca="false">Sens!J3412</f>
        <v>30.9192545395413</v>
      </c>
      <c r="K3435" s="6" t="n">
        <f aca="false">Sens!K3412</f>
        <v>33.0836023573092</v>
      </c>
    </row>
    <row r="3436" customFormat="false" ht="15" hidden="false" customHeight="false" outlineLevel="0" collapsed="false">
      <c r="A3436" s="0" t="s">
        <v>886</v>
      </c>
      <c r="B3436" s="0" t="s">
        <v>98</v>
      </c>
      <c r="D3436" s="6" t="n">
        <f aca="false">Sens!D3414</f>
        <v>7.76</v>
      </c>
      <c r="E3436" s="6" t="n">
        <f aca="false">Sens!E3414</f>
        <v>8.26</v>
      </c>
      <c r="F3436" s="6" t="n">
        <f aca="false">Sens!F3414</f>
        <v>8.79988041237113</v>
      </c>
      <c r="G3436" s="6" t="n">
        <f aca="false">Sens!G3414</f>
        <v>9.38321269125306</v>
      </c>
      <c r="H3436" s="6" t="n">
        <f aca="false">Sens!H3414</f>
        <v>10.0139193587476</v>
      </c>
      <c r="I3436" s="6" t="n">
        <f aca="false">Sens!I3414</f>
        <v>10.6963111830911</v>
      </c>
      <c r="J3436" s="6" t="n">
        <f aca="false">Sens!J3414</f>
        <v>11.4351285534696</v>
      </c>
      <c r="K3436" s="6" t="n">
        <f aca="false">Sens!K3414</f>
        <v>12.2355875522124</v>
      </c>
    </row>
    <row r="3437" customFormat="false" ht="15" hidden="false" customHeight="false" outlineLevel="0" collapsed="false">
      <c r="A3437" s="0" t="s">
        <v>715</v>
      </c>
      <c r="B3437" s="0" t="s">
        <v>98</v>
      </c>
      <c r="D3437" s="6" t="n">
        <f aca="false">Sens!D3416</f>
        <v>218.783</v>
      </c>
      <c r="E3437" s="6" t="n">
        <f aca="false">Sens!E3416</f>
        <v>268.127</v>
      </c>
      <c r="F3437" s="6" t="n">
        <f aca="false">Sens!F3416</f>
        <v>316.194961871514</v>
      </c>
      <c r="G3437" s="6" t="n">
        <f aca="false">Sens!G3416</f>
        <v>355.686272947091</v>
      </c>
      <c r="H3437" s="6" t="n">
        <f aca="false">Sens!H3416</f>
        <v>390.675959415367</v>
      </c>
      <c r="I3437" s="6" t="n">
        <f aca="false">Sens!I3416</f>
        <v>426.844231522531</v>
      </c>
      <c r="J3437" s="6" t="n">
        <f aca="false">Sens!J3416</f>
        <v>460.620308395202</v>
      </c>
      <c r="K3437" s="6" t="n">
        <f aca="false">Sens!K3416</f>
        <v>492.406630055278</v>
      </c>
    </row>
    <row r="3438" customFormat="false" ht="15" hidden="false" customHeight="false" outlineLevel="0" collapsed="false">
      <c r="A3438" s="0" t="s">
        <v>887</v>
      </c>
      <c r="B3438" s="0" t="s">
        <v>98</v>
      </c>
      <c r="D3438" s="6" t="n">
        <f aca="false">Sens!D3417</f>
        <v>22.171</v>
      </c>
      <c r="E3438" s="6" t="n">
        <f aca="false">Sens!E3417</f>
        <v>24.835</v>
      </c>
      <c r="F3438" s="6" t="n">
        <f aca="false">Sens!F3417</f>
        <v>27.6114901218559</v>
      </c>
      <c r="G3438" s="6" t="n">
        <f aca="false">Sens!G3417</f>
        <v>30.4675667338515</v>
      </c>
      <c r="H3438" s="6" t="n">
        <f aca="false">Sens!H3417</f>
        <v>33.3643766955789</v>
      </c>
      <c r="I3438" s="6" t="n">
        <f aca="false">Sens!I3417</f>
        <v>36.2577016533691</v>
      </c>
      <c r="J3438" s="6" t="n">
        <f aca="false">Sens!J3417</f>
        <v>39.0988367952171</v>
      </c>
      <c r="K3438" s="6" t="n">
        <f aca="false">Sens!K3417</f>
        <v>41.8357553708823</v>
      </c>
    </row>
    <row r="3439" customFormat="false" ht="15" hidden="false" customHeight="false" outlineLevel="0" collapsed="false">
      <c r="A3439" s="0" t="s">
        <v>888</v>
      </c>
      <c r="B3439" s="0" t="s">
        <v>98</v>
      </c>
      <c r="D3439" s="6" t="n">
        <f aca="false">Sens!D3419</f>
        <v>23.455</v>
      </c>
      <c r="E3439" s="6" t="n">
        <f aca="false">Sens!E3419</f>
        <v>21.79</v>
      </c>
      <c r="F3439" s="6" t="n">
        <f aca="false">Sens!F3419</f>
        <v>20.5736277908051</v>
      </c>
      <c r="G3439" s="6" t="n">
        <f aca="false">Sens!G3419</f>
        <v>19.7371452817919</v>
      </c>
      <c r="H3439" s="6" t="n">
        <f aca="false">Sens!H3419</f>
        <v>19.2339764043138</v>
      </c>
      <c r="I3439" s="6" t="n">
        <f aca="false">Sens!I3419</f>
        <v>19.0353086852681</v>
      </c>
      <c r="J3439" s="6" t="n">
        <f aca="false">Sens!J3419</f>
        <v>19.1273539319129</v>
      </c>
      <c r="K3439" s="6" t="n">
        <f aca="false">Sens!K3419</f>
        <v>19.5099010105511</v>
      </c>
    </row>
    <row r="3440" customFormat="false" ht="15" hidden="false" customHeight="false" outlineLevel="0" collapsed="false">
      <c r="A3440" s="0" t="s">
        <v>889</v>
      </c>
      <c r="B3440" s="0" t="s">
        <v>98</v>
      </c>
      <c r="D3440" s="6" t="n">
        <f aca="false">Sens!D3421</f>
        <v>17.315</v>
      </c>
      <c r="E3440" s="6" t="n">
        <f aca="false">Sens!E3421</f>
        <v>17.087</v>
      </c>
      <c r="F3440" s="6" t="n">
        <f aca="false">Sens!F3421</f>
        <v>16.9564585436519</v>
      </c>
      <c r="G3440" s="6" t="n">
        <f aca="false">Sens!G3421</f>
        <v>16.9206490624268</v>
      </c>
      <c r="H3440" s="6" t="n">
        <f aca="false">Sens!H3421</f>
        <v>16.9784519149849</v>
      </c>
      <c r="I3440" s="6" t="n">
        <f aca="false">Sens!I3421</f>
        <v>17.1303084701817</v>
      </c>
      <c r="J3440" s="6" t="n">
        <f aca="false">Sens!J3421</f>
        <v>17.3782189407267</v>
      </c>
      <c r="K3440" s="6" t="n">
        <f aca="false">Sens!K3421</f>
        <v>17.7257833195413</v>
      </c>
    </row>
    <row r="3441" customFormat="false" ht="15" hidden="false" customHeight="false" outlineLevel="0" collapsed="false">
      <c r="A3441" s="0" t="s">
        <v>729</v>
      </c>
      <c r="B3441" s="0" t="s">
        <v>98</v>
      </c>
      <c r="D3441" s="6" t="n">
        <f aca="false">Sens!D3423</f>
        <v>62.941</v>
      </c>
      <c r="E3441" s="6" t="n">
        <f aca="false">Sens!E3423</f>
        <v>63.712</v>
      </c>
      <c r="F3441" s="6" t="n">
        <f aca="false">Sens!F3423</f>
        <v>65.1415764563129</v>
      </c>
      <c r="G3441" s="6" t="n">
        <f aca="false">Sens!G3423</f>
        <v>67.1253610780702</v>
      </c>
      <c r="H3441" s="6" t="n">
        <f aca="false">Sens!H3423</f>
        <v>69.5768050148776</v>
      </c>
      <c r="I3441" s="6" t="n">
        <f aca="false">Sens!I3423</f>
        <v>72.4233188088189</v>
      </c>
      <c r="J3441" s="6" t="n">
        <f aca="false">Sens!J3423</f>
        <v>75.6044096678567</v>
      </c>
      <c r="K3441" s="6" t="n">
        <f aca="false">Sens!K3423</f>
        <v>79.0714397009747</v>
      </c>
    </row>
    <row r="3442" customFormat="false" ht="15" hidden="false" customHeight="false" outlineLevel="0" collapsed="false">
      <c r="A3442" s="1" t="s">
        <v>905</v>
      </c>
      <c r="B3442" s="0" t="s">
        <v>98</v>
      </c>
      <c r="D3442" s="6" t="n">
        <f aca="false">Sens!D3424</f>
        <v>281.724</v>
      </c>
      <c r="E3442" s="6" t="n">
        <f aca="false">Sens!E3424</f>
        <v>331.839</v>
      </c>
      <c r="F3442" s="6" t="n">
        <f aca="false">Sens!F3424</f>
        <v>381.336538327827</v>
      </c>
      <c r="G3442" s="6" t="n">
        <f aca="false">Sens!G3424</f>
        <v>422.811634025161</v>
      </c>
      <c r="H3442" s="6" t="n">
        <f aca="false">Sens!H3424</f>
        <v>460.252764430245</v>
      </c>
      <c r="I3442" s="6" t="n">
        <f aca="false">Sens!I3424</f>
        <v>499.26755033135</v>
      </c>
      <c r="J3442" s="6" t="n">
        <f aca="false">Sens!J3424</f>
        <v>536.224718063059</v>
      </c>
      <c r="K3442" s="6" t="n">
        <f aca="false">Sens!K3424</f>
        <v>571.478069756253</v>
      </c>
    </row>
    <row r="3443" customFormat="false" ht="15" hidden="false" customHeight="false" outlineLevel="0" collapsed="false">
      <c r="A3443" s="1" t="s">
        <v>906</v>
      </c>
      <c r="B3443" s="0" t="s">
        <v>129</v>
      </c>
      <c r="E3443" s="7" t="n">
        <f aca="false">Sens!E3442/Sens!D3442-1</f>
        <v>0.177886867998467</v>
      </c>
      <c r="F3443" s="7" t="n">
        <f aca="false">Sens!F3442/Sens!E3442-1</f>
        <v>0.149161305114308</v>
      </c>
      <c r="G3443" s="7" t="n">
        <f aca="false">Sens!G3442/Sens!F3442-1</f>
        <v>0.108762448726272</v>
      </c>
      <c r="H3443" s="7" t="n">
        <f aca="false">Sens!H3442/Sens!G3442-1</f>
        <v>0.088552744040282</v>
      </c>
      <c r="I3443" s="7" t="n">
        <f aca="false">Sens!I3442/Sens!H3442-1</f>
        <v>0.0847681728743168</v>
      </c>
      <c r="J3443" s="7" t="n">
        <f aca="false">Sens!J3442/Sens!I3442-1</f>
        <v>0.0740227713721466</v>
      </c>
      <c r="K3443" s="7" t="n">
        <f aca="false">Sens!K3442/Sens!J3442-1</f>
        <v>0.0657436155135391</v>
      </c>
    </row>
    <row r="3444" customFormat="false" ht="17.15" hidden="false" customHeight="false" outlineLevel="0" collapsed="false">
      <c r="A3444" s="23" t="s">
        <v>907</v>
      </c>
      <c r="B3444" s="30" t="s">
        <v>98</v>
      </c>
      <c r="C3444" s="30"/>
      <c r="D3444" s="24" t="n">
        <f aca="false">(Sens!D3437+Sens!D3441-Sens!D3442)+(Sens!D3429+Sens!D3430-Sens!D3428)+(Sens!D3432+Sens!D3433-Sens!D3431)+(Sens!D3442-Q!L18)</f>
        <v>0</v>
      </c>
      <c r="E3444" s="24" t="n">
        <f aca="false">(Sens!E3437+Sens!E3441-Sens!E3442)+(Sens!E3429+Sens!E3430-Sens!E3428)+(Sens!E3432+Sens!E3433-Sens!E3431)+(Sens!E3442-Q!M18)</f>
        <v>0</v>
      </c>
      <c r="F3444" s="24" t="n">
        <f aca="false">(Sens!F3437+Sens!F3441-Sens!F3442)+(Sens!F3429+Sens!F3430-Sens!F3428)+(Sens!F3432+Sens!F3433-Sens!F3431)</f>
        <v>0</v>
      </c>
      <c r="G3444" s="24" t="n">
        <f aca="false">(Sens!G3437+Sens!G3441-Sens!G3442)+(Sens!G3429+Sens!G3430-Sens!G3428)+(Sens!G3432+Sens!G3433-Sens!G3431)</f>
        <v>0</v>
      </c>
      <c r="H3444" s="24" t="n">
        <f aca="false">(Sens!H3437+Sens!H3441-Sens!H3442)+(Sens!H3429+Sens!H3430-Sens!H3428)+(Sens!H3432+Sens!H3433-Sens!H3431)</f>
        <v>0</v>
      </c>
      <c r="I3444" s="24" t="n">
        <f aca="false">(Sens!I3437+Sens!I3441-Sens!I3442)+(Sens!I3429+Sens!I3430-Sens!I3428)+(Sens!I3432+Sens!I3433-Sens!I3431)</f>
        <v>0</v>
      </c>
      <c r="J3444" s="24" t="n">
        <f aca="false">(Sens!J3437+Sens!J3441-Sens!J3442)+(Sens!J3429+Sens!J3430-Sens!J3428)+(Sens!J3432+Sens!J3433-Sens!J3431)</f>
        <v>0</v>
      </c>
      <c r="K3444" s="24" t="n">
        <f aca="false">(Sens!K3437+Sens!K3441-Sens!K3442)+(Sens!K3429+Sens!K3430-Sens!K3428)+(Sens!K3432+Sens!K3433-Sens!K3431)</f>
        <v>0</v>
      </c>
    </row>
    <row r="3445" customFormat="false" ht="17.15" hidden="false" customHeight="false" outlineLevel="0" collapsed="false">
      <c r="A3445" s="0" t="s">
        <v>908</v>
      </c>
      <c r="B3445" s="0" t="s">
        <v>129</v>
      </c>
      <c r="E3445" s="7" t="n">
        <f aca="false">(Q!M21+Sens!E3382+Sens!E3383+Sens!E3384+Sens!E3397-Sens!E3380)/(Q!M5-Sens!E3380)</f>
        <v>0.570957350878296</v>
      </c>
      <c r="F3445" s="7" t="n">
        <f aca="false">Sens!$E$3445+dm_seg</f>
        <v>0.570957350878296</v>
      </c>
      <c r="G3445" s="7" t="n">
        <f aca="false">Sens!$E$3445+dm_seg</f>
        <v>0.570957350878296</v>
      </c>
      <c r="H3445" s="7" t="n">
        <f aca="false">Sens!$E$3445+dm_seg</f>
        <v>0.570957350878296</v>
      </c>
      <c r="I3445" s="7" t="n">
        <f aca="false">Sens!$E$3445+dm_seg</f>
        <v>0.570957350878296</v>
      </c>
      <c r="J3445" s="7" t="n">
        <f aca="false">Sens!$E$3445+dm_seg</f>
        <v>0.570957350878296</v>
      </c>
      <c r="K3445" s="7" t="n">
        <f aca="false">Sens!$E$3445+dm_seg</f>
        <v>0.570957350878296</v>
      </c>
      <c r="L3445" s="11" t="s">
        <v>909</v>
      </c>
    </row>
    <row r="3446" customFormat="false" ht="17.15" hidden="false" customHeight="false" outlineLevel="0" collapsed="false">
      <c r="A3446" s="0" t="s">
        <v>743</v>
      </c>
      <c r="B3446" s="0" t="s">
        <v>98</v>
      </c>
      <c r="D3446" s="6" t="n">
        <f aca="false">Q!L21</f>
        <v>110.814</v>
      </c>
      <c r="E3446" s="6" t="n">
        <f aca="false">Q!M21</f>
        <v>136.365</v>
      </c>
      <c r="F3446" s="6" t="n">
        <f aca="false">Sens!F3445*(Sens!F3416-Sens!F3380)+Sens!F3380-(Sens!F3382+Sens!F3383+Sens!F3384)-Sens!F3397-Sens!F3480</f>
        <v>140.611098332596</v>
      </c>
      <c r="G3446" s="6" t="n">
        <f aca="false">Sens!G3445*(Sens!G3416-Sens!G3380)+Sens!G3380-(Sens!G3382+Sens!G3383+Sens!G3384)-Sens!G3397-Sens!G3480</f>
        <v>158.096480173242</v>
      </c>
      <c r="H3446" s="6" t="n">
        <f aca="false">Sens!H3445*(Sens!H3416-Sens!H3380)+Sens!H3380-(Sens!H3382+Sens!H3383+Sens!H3384)-Sens!H3397-Sens!H3480</f>
        <v>174.963108372039</v>
      </c>
      <c r="I3446" s="6" t="n">
        <f aca="false">Sens!I3445*(Sens!I3416-Sens!I3380)+Sens!I3380-(Sens!I3382+Sens!I3383+Sens!I3384)-Sens!I3397-Sens!I3480</f>
        <v>196.399571090018</v>
      </c>
      <c r="J3446" s="6" t="n">
        <f aca="false">Sens!J3445*(Sens!J3416-Sens!J3380)+Sens!J3380-(Sens!J3382+Sens!J3383+Sens!J3384)-Sens!J3397-Sens!J3480</f>
        <v>215.544807811461</v>
      </c>
      <c r="K3446" s="6" t="n">
        <f aca="false">Sens!K3445*(Sens!K3416-Sens!K3380)+Sens!K3380-(Sens!K3382+Sens!K3383+Sens!K3384)-Sens!K3397-Sens!K3480</f>
        <v>232.629183503755</v>
      </c>
      <c r="L3446" s="1" t="s">
        <v>910</v>
      </c>
    </row>
    <row r="3447" customFormat="false" ht="17.15" hidden="false" customHeight="false" outlineLevel="0" collapsed="false">
      <c r="A3447" s="0" t="s">
        <v>911</v>
      </c>
      <c r="B3447" s="0" t="s">
        <v>129</v>
      </c>
      <c r="E3447" s="7" t="n">
        <f aca="false">Q!M22/Q!M12</f>
        <v>0.296207935710698</v>
      </c>
      <c r="F3447" s="7" t="n">
        <f aca="false">Sens!$E$3447+dm_seg</f>
        <v>0.296207935710698</v>
      </c>
      <c r="G3447" s="7" t="n">
        <f aca="false">Sens!$E$3447+dm_seg</f>
        <v>0.296207935710698</v>
      </c>
      <c r="H3447" s="7" t="n">
        <f aca="false">Sens!$E$3447+dm_seg</f>
        <v>0.296207935710698</v>
      </c>
      <c r="I3447" s="7" t="n">
        <f aca="false">Sens!$E$3447+dm_seg</f>
        <v>0.296207935710698</v>
      </c>
      <c r="J3447" s="7" t="n">
        <f aca="false">Sens!$E$3447+dm_seg</f>
        <v>0.296207935710698</v>
      </c>
      <c r="K3447" s="7" t="n">
        <f aca="false">Sens!$E$3447+dm_seg</f>
        <v>0.296207935710698</v>
      </c>
      <c r="L3447" s="11" t="s">
        <v>912</v>
      </c>
    </row>
    <row r="3448" customFormat="false" ht="17.15" hidden="false" customHeight="false" outlineLevel="0" collapsed="false">
      <c r="A3448" s="0" t="s">
        <v>745</v>
      </c>
      <c r="B3448" s="0" t="s">
        <v>98</v>
      </c>
      <c r="D3448" s="6" t="n">
        <f aca="false">Q!L22</f>
        <v>17.714</v>
      </c>
      <c r="E3448" s="6" t="n">
        <f aca="false">Q!M22</f>
        <v>18.872</v>
      </c>
      <c r="F3448" s="6" t="n">
        <f aca="false">Sens!F3423*Sens!F3447</f>
        <v>19.2954518910651</v>
      </c>
      <c r="G3448" s="6" t="n">
        <f aca="false">Sens!G3423*Sens!G3447</f>
        <v>19.8830646387704</v>
      </c>
      <c r="H3448" s="6" t="n">
        <f aca="false">Sens!H3423*Sens!H3447</f>
        <v>20.6092017868026</v>
      </c>
      <c r="I3448" s="6" t="n">
        <f aca="false">Sens!I3423*Sens!I3447</f>
        <v>21.452361761678</v>
      </c>
      <c r="J3448" s="6" t="n">
        <f aca="false">Sens!J3423*Sens!J3447</f>
        <v>22.3946261183418</v>
      </c>
      <c r="K3448" s="6" t="n">
        <f aca="false">Sens!K3423*Sens!K3447</f>
        <v>23.4215879274986</v>
      </c>
    </row>
    <row r="3449" customFormat="false" ht="15" hidden="false" customHeight="false" outlineLevel="0" collapsed="false">
      <c r="A3449" s="1" t="s">
        <v>913</v>
      </c>
      <c r="B3449" s="0" t="s">
        <v>98</v>
      </c>
      <c r="D3449" s="6" t="n">
        <f aca="false">Sens!D3446+Sens!D3448</f>
        <v>128.528</v>
      </c>
      <c r="E3449" s="6" t="n">
        <f aca="false">Sens!E3446+Sens!E3448</f>
        <v>155.237</v>
      </c>
      <c r="F3449" s="6" t="n">
        <f aca="false">Sens!F3446+Sens!F3448</f>
        <v>159.906550223661</v>
      </c>
      <c r="G3449" s="6" t="n">
        <f aca="false">Sens!G3446+Sens!G3448</f>
        <v>177.979544812013</v>
      </c>
      <c r="H3449" s="6" t="n">
        <f aca="false">Sens!H3446+Sens!H3448</f>
        <v>195.572310158842</v>
      </c>
      <c r="I3449" s="6" t="n">
        <f aca="false">Sens!I3446+Sens!I3448</f>
        <v>217.851932851696</v>
      </c>
      <c r="J3449" s="6" t="n">
        <f aca="false">Sens!J3446+Sens!J3448</f>
        <v>237.939433929803</v>
      </c>
      <c r="K3449" s="6" t="n">
        <f aca="false">Sens!K3446+Sens!K3448</f>
        <v>256.050771431253</v>
      </c>
    </row>
    <row r="3450" customFormat="false" ht="15" hidden="false" customHeight="false" outlineLevel="0" collapsed="false">
      <c r="A3450" s="23" t="s">
        <v>914</v>
      </c>
      <c r="B3450" s="30" t="s">
        <v>98</v>
      </c>
      <c r="C3450" s="30"/>
      <c r="D3450" s="24" t="n">
        <f aca="false">Sens!D3449-Q!L23</f>
        <v>0</v>
      </c>
      <c r="E3450" s="24" t="n">
        <f aca="false">Sens!E3449-Q!M23</f>
        <v>0</v>
      </c>
      <c r="F3450" s="30"/>
      <c r="G3450" s="30"/>
      <c r="H3450" s="30"/>
      <c r="I3450" s="30"/>
      <c r="J3450" s="30"/>
      <c r="K3450" s="30"/>
    </row>
    <row r="3451" customFormat="false" ht="15" hidden="false" customHeight="false" outlineLevel="0" collapsed="false">
      <c r="A3451" s="1" t="s">
        <v>915</v>
      </c>
      <c r="B3451" s="0" t="s">
        <v>129</v>
      </c>
      <c r="D3451" s="7" t="n">
        <f aca="false">Sens!D3449/Sens!D3442</f>
        <v>0.456219562408598</v>
      </c>
      <c r="E3451" s="7" t="n">
        <f aca="false">Sens!E3449/Sens!E3442</f>
        <v>0.467808184089272</v>
      </c>
      <c r="F3451" s="7" t="n">
        <f aca="false">Sens!F3449/Sens!F3442</f>
        <v>0.419331834617413</v>
      </c>
      <c r="G3451" s="7" t="n">
        <f aca="false">Sens!G3449/Sens!G3442</f>
        <v>0.420942875004762</v>
      </c>
      <c r="H3451" s="7" t="n">
        <f aca="false">Sens!H3449/Sens!H3442</f>
        <v>0.424923705566319</v>
      </c>
      <c r="I3451" s="7" t="n">
        <f aca="false">Sens!I3449/Sens!I3442</f>
        <v>0.436343064369223</v>
      </c>
      <c r="J3451" s="7" t="n">
        <f aca="false">Sens!J3449/Sens!J3442</f>
        <v>0.443730820148097</v>
      </c>
      <c r="K3451" s="7" t="n">
        <f aca="false">Sens!K3449/Sens!K3442</f>
        <v>0.448050038981311</v>
      </c>
    </row>
    <row r="3452" customFormat="false" ht="17.15" hidden="false" customHeight="false" outlineLevel="0" collapsed="false">
      <c r="A3452" s="1" t="s">
        <v>916</v>
      </c>
      <c r="B3452" s="0" t="s">
        <v>98</v>
      </c>
      <c r="F3452" s="6" t="n">
        <f aca="false">Sens!F3467</f>
        <v>3.37245816558284</v>
      </c>
      <c r="G3452" s="6" t="n">
        <f aca="false">Sens!G3467</f>
        <v>4.94794499348405</v>
      </c>
      <c r="H3452" s="6" t="n">
        <f aca="false">Sens!H3467</f>
        <v>4.88554929991378</v>
      </c>
      <c r="I3452" s="6" t="n">
        <f aca="false">Sens!I3467</f>
        <v>3.89455031683526</v>
      </c>
      <c r="J3452" s="6" t="n">
        <f aca="false">Sens!J3467</f>
        <v>3.48159335528161</v>
      </c>
      <c r="K3452" s="6" t="n">
        <f aca="false">Sens!K3467</f>
        <v>3.50612249815711</v>
      </c>
      <c r="L3452" s="1" t="s">
        <v>917</v>
      </c>
    </row>
    <row r="3453" customFormat="false" ht="17.15" hidden="false" customHeight="false" outlineLevel="0" collapsed="false">
      <c r="A3453" s="1" t="s">
        <v>918</v>
      </c>
      <c r="B3453" s="0" t="s">
        <v>98</v>
      </c>
      <c r="D3453" s="6" t="n">
        <f aca="false">Sens!D3449</f>
        <v>128.528</v>
      </c>
      <c r="E3453" s="6" t="n">
        <f aca="false">Sens!E3449</f>
        <v>155.237</v>
      </c>
      <c r="F3453" s="6" t="n">
        <f aca="false">Sens!F3449+Sens!F3452</f>
        <v>163.279008389244</v>
      </c>
      <c r="G3453" s="6" t="n">
        <f aca="false">Sens!G3449+Sens!G3452</f>
        <v>182.927489805497</v>
      </c>
      <c r="H3453" s="6" t="n">
        <f aca="false">Sens!H3449+Sens!H3452</f>
        <v>200.457859458756</v>
      </c>
      <c r="I3453" s="6" t="n">
        <f aca="false">Sens!I3449+Sens!I3452</f>
        <v>221.746483168532</v>
      </c>
      <c r="J3453" s="6" t="n">
        <f aca="false">Sens!J3449+Sens!J3452</f>
        <v>241.421027285085</v>
      </c>
      <c r="K3453" s="6" t="n">
        <f aca="false">Sens!K3449+Sens!K3452</f>
        <v>259.556893929411</v>
      </c>
    </row>
    <row r="3454" customFormat="false" ht="17.15" hidden="false" customHeight="false" outlineLevel="0" collapsed="false">
      <c r="A3454" s="1" t="s">
        <v>919</v>
      </c>
      <c r="B3454" s="0" t="s">
        <v>98</v>
      </c>
      <c r="E3454" s="6" t="n">
        <f aca="false">Sens!E3397</f>
        <v>16.3054059770833</v>
      </c>
      <c r="F3454" s="6" t="n">
        <f aca="false">Sens!F3397</f>
        <v>24.6319326396667</v>
      </c>
      <c r="G3454" s="6" t="n">
        <f aca="false">Sens!G3397</f>
        <v>29.4421900723333</v>
      </c>
      <c r="H3454" s="6" t="n">
        <f aca="false">Sens!H3397</f>
        <v>32.0248894903333</v>
      </c>
      <c r="I3454" s="6" t="n">
        <f aca="false">Sens!I3397</f>
        <v>32.6686637199167</v>
      </c>
      <c r="J3454" s="6" t="n">
        <f aca="false">Sens!J3397</f>
        <v>34.2846684186667</v>
      </c>
      <c r="K3454" s="6" t="n">
        <f aca="false">Sens!K3397</f>
        <v>37.1882215765833</v>
      </c>
    </row>
    <row r="3455" customFormat="false" ht="17.15" hidden="false" customHeight="false" outlineLevel="0" collapsed="false">
      <c r="A3455" s="1" t="s">
        <v>920</v>
      </c>
      <c r="B3455" s="0" t="s">
        <v>98</v>
      </c>
      <c r="E3455" s="6" t="n">
        <f aca="false">Sens!E3479</f>
        <v>22.2285940229167</v>
      </c>
      <c r="F3455" s="6" t="n">
        <f aca="false">Sens!F3479</f>
        <v>37.358881403025</v>
      </c>
      <c r="G3455" s="6" t="n">
        <f aca="false">Sens!G3479</f>
        <v>37.6932826197614</v>
      </c>
      <c r="H3455" s="6" t="n">
        <f aca="false">Sens!H3479</f>
        <v>38.5301057221942</v>
      </c>
      <c r="I3455" s="6" t="n">
        <f aca="false">Sens!I3479</f>
        <v>39.7994351811392</v>
      </c>
      <c r="J3455" s="6" t="n">
        <f aca="false">Sens!J3479</f>
        <v>41.4150829880627</v>
      </c>
      <c r="K3455" s="6" t="n">
        <f aca="false">Sens!K3479</f>
        <v>43.2829449634558</v>
      </c>
    </row>
    <row r="3456" customFormat="false" ht="17.15" hidden="false" customHeight="false" outlineLevel="0" collapsed="false">
      <c r="A3456" s="1" t="s">
        <v>921</v>
      </c>
      <c r="B3456" s="0" t="s">
        <v>98</v>
      </c>
      <c r="D3456" s="6" t="n">
        <f aca="false">Q!L27</f>
        <v>-4.901</v>
      </c>
      <c r="E3456" s="6" t="n">
        <f aca="false">Q!M27</f>
        <v>10.697</v>
      </c>
      <c r="F3456" s="6" t="n">
        <f aca="false">oie_f</f>
        <v>-0.4</v>
      </c>
      <c r="G3456" s="6" t="n">
        <f aca="false">oie_f</f>
        <v>-0.4</v>
      </c>
      <c r="H3456" s="6" t="n">
        <f aca="false">oie_f</f>
        <v>-0.4</v>
      </c>
      <c r="I3456" s="6" t="n">
        <f aca="false">oie_f</f>
        <v>-0.4</v>
      </c>
      <c r="J3456" s="6" t="n">
        <f aca="false">oie_f</f>
        <v>-0.4</v>
      </c>
      <c r="K3456" s="6" t="n">
        <f aca="false">oie_f</f>
        <v>-0.4</v>
      </c>
      <c r="L3456" s="11" t="s">
        <v>922</v>
      </c>
    </row>
    <row r="3457" customFormat="false" ht="15" hidden="false" customHeight="false" outlineLevel="0" collapsed="false">
      <c r="A3457" s="1" t="s">
        <v>923</v>
      </c>
      <c r="B3457" s="0" t="s">
        <v>98</v>
      </c>
      <c r="D3457" s="6" t="n">
        <f aca="false">Sens!D3449+Sens!D3456</f>
        <v>123.627</v>
      </c>
      <c r="E3457" s="6" t="n">
        <f aca="false">Sens!E3449+Sens!E3456</f>
        <v>165.934</v>
      </c>
      <c r="F3457" s="6" t="n">
        <f aca="false">Sens!F3449+Sens!F3456</f>
        <v>159.506550223661</v>
      </c>
      <c r="G3457" s="6" t="n">
        <f aca="false">Sens!G3449+Sens!G3456</f>
        <v>177.579544812013</v>
      </c>
      <c r="H3457" s="6" t="n">
        <f aca="false">Sens!H3449+Sens!H3456</f>
        <v>195.172310158842</v>
      </c>
      <c r="I3457" s="6" t="n">
        <f aca="false">Sens!I3449+Sens!I3456</f>
        <v>217.451932851696</v>
      </c>
      <c r="J3457" s="6" t="n">
        <f aca="false">Sens!J3449+Sens!J3456</f>
        <v>237.539433929803</v>
      </c>
      <c r="K3457" s="6" t="n">
        <f aca="false">Sens!K3449+Sens!K3456</f>
        <v>255.650771431253</v>
      </c>
    </row>
    <row r="3458" customFormat="false" ht="15" hidden="false" customHeight="false" outlineLevel="0" collapsed="false">
      <c r="A3458" s="1" t="s">
        <v>924</v>
      </c>
      <c r="B3458" s="0" t="s">
        <v>98</v>
      </c>
      <c r="D3458" s="6" t="n">
        <f aca="false">Q!L29</f>
        <v>21.795</v>
      </c>
      <c r="E3458" s="6" t="n">
        <f aca="false">Q!M29</f>
        <v>32.185</v>
      </c>
      <c r="F3458" s="6" t="n">
        <f aca="false">Sens!F3457*tax_f</f>
        <v>31.9013100447322</v>
      </c>
      <c r="G3458" s="6" t="n">
        <f aca="false">Sens!G3457*tax_f</f>
        <v>35.5159089624025</v>
      </c>
      <c r="H3458" s="6" t="n">
        <f aca="false">Sens!H3457*tax_f</f>
        <v>39.0344620317684</v>
      </c>
      <c r="I3458" s="6" t="n">
        <f aca="false">Sens!I3457*tax_f</f>
        <v>43.4903865703393</v>
      </c>
      <c r="J3458" s="6" t="n">
        <f aca="false">Sens!J3457*tax_f</f>
        <v>47.5078867859606</v>
      </c>
      <c r="K3458" s="6" t="n">
        <f aca="false">Sens!K3457*tax_f</f>
        <v>51.1301542862507</v>
      </c>
    </row>
    <row r="3459" customFormat="false" ht="15" hidden="false" customHeight="false" outlineLevel="0" collapsed="false">
      <c r="A3459" s="1" t="s">
        <v>925</v>
      </c>
      <c r="B3459" s="0" t="s">
        <v>98</v>
      </c>
      <c r="D3459" s="6" t="n">
        <f aca="false">Sens!D3457-Sens!D3458</f>
        <v>101.832</v>
      </c>
      <c r="E3459" s="6" t="n">
        <f aca="false">Sens!E3457-Sens!E3458</f>
        <v>133.749</v>
      </c>
      <c r="F3459" s="6" t="n">
        <f aca="false">Sens!F3457-Sens!F3458</f>
        <v>127.605240178929</v>
      </c>
      <c r="G3459" s="6" t="n">
        <f aca="false">Sens!G3457-Sens!G3458</f>
        <v>142.06363584961</v>
      </c>
      <c r="H3459" s="6" t="n">
        <f aca="false">Sens!H3457-Sens!H3458</f>
        <v>156.137848127073</v>
      </c>
      <c r="I3459" s="6" t="n">
        <f aca="false">Sens!I3457-Sens!I3458</f>
        <v>173.961546281357</v>
      </c>
      <c r="J3459" s="6" t="n">
        <f aca="false">Sens!J3457-Sens!J3458</f>
        <v>190.031547143842</v>
      </c>
      <c r="K3459" s="6" t="n">
        <f aca="false">Sens!K3457-Sens!K3458</f>
        <v>204.520617145003</v>
      </c>
    </row>
    <row r="3460" customFormat="false" ht="17.15" hidden="false" customHeight="false" outlineLevel="0" collapsed="false">
      <c r="A3460" s="1" t="s">
        <v>926</v>
      </c>
      <c r="B3460" s="1" t="s">
        <v>81</v>
      </c>
      <c r="D3460" s="14" t="n">
        <f aca="false">Q!L31</f>
        <v>7.465</v>
      </c>
      <c r="E3460" s="14" t="n">
        <f aca="false">Q!M31</f>
        <v>7.453</v>
      </c>
      <c r="F3460" s="14" t="n">
        <f aca="false">Sens!F3503</f>
        <v>7.4735</v>
      </c>
      <c r="G3460" s="14" t="n">
        <f aca="false">Sens!G3503</f>
        <v>7.49987171271795</v>
      </c>
      <c r="H3460" s="14" t="n">
        <f aca="false">Sens!H3503</f>
        <v>7.50899501128585</v>
      </c>
      <c r="I3460" s="14" t="n">
        <f aca="false">Sens!I3503</f>
        <v>7.52077584329316</v>
      </c>
      <c r="J3460" s="14" t="n">
        <f aca="false">Sens!J3503</f>
        <v>7.53501735441104</v>
      </c>
      <c r="K3460" s="14" t="n">
        <f aca="false">Sens!K3503</f>
        <v>7.55153727211278</v>
      </c>
    </row>
    <row r="3461" customFormat="false" ht="17.15" hidden="false" customHeight="false" outlineLevel="0" collapsed="false">
      <c r="A3461" s="0" t="s">
        <v>927</v>
      </c>
      <c r="B3461" s="0" t="s">
        <v>75</v>
      </c>
      <c r="D3461" s="8" t="n">
        <f aca="false">Sens!D3459/Sens!D3460</f>
        <v>13.641259209645</v>
      </c>
      <c r="E3461" s="8" t="n">
        <f aca="false">Sens!E3459/Sens!E3460</f>
        <v>17.9456594659869</v>
      </c>
      <c r="F3461" s="8" t="n">
        <f aca="false">Sens!F3459/Sens!F3460</f>
        <v>17.0743614342582</v>
      </c>
      <c r="G3461" s="8" t="n">
        <f aca="false">Sens!G3459/Sens!G3460</f>
        <v>18.9421421180718</v>
      </c>
      <c r="H3461" s="8" t="n">
        <f aca="false">Sens!H3459/Sens!H3460</f>
        <v>20.7934414515394</v>
      </c>
      <c r="I3461" s="8" t="n">
        <f aca="false">Sens!I3459/Sens!I3460</f>
        <v>23.1307979264522</v>
      </c>
      <c r="J3461" s="8" t="n">
        <f aca="false">Sens!J3459/Sens!J3460</f>
        <v>25.2197889143012</v>
      </c>
      <c r="K3461" s="8" t="n">
        <f aca="false">Sens!K3459/Sens!K3460</f>
        <v>27.0833089707815</v>
      </c>
      <c r="L3461" s="1" t="s">
        <v>928</v>
      </c>
    </row>
    <row r="3462" customFormat="false" ht="17.15" hidden="false" customHeight="false" outlineLevel="0" collapsed="false">
      <c r="A3462" s="1" t="s">
        <v>929</v>
      </c>
      <c r="B3462" s="0" t="s">
        <v>98</v>
      </c>
      <c r="D3462" s="6" t="n">
        <f aca="false">Sens!D3459</f>
        <v>101.832</v>
      </c>
      <c r="E3462" s="6" t="n">
        <f aca="false">Sens!E3459</f>
        <v>133.749</v>
      </c>
      <c r="F3462" s="6" t="n">
        <f aca="false">Sens!F3459+Sens!F3452*(1-tax_f)</f>
        <v>130.303206711395</v>
      </c>
      <c r="G3462" s="6" t="n">
        <f aca="false">Sens!G3459+Sens!G3452*(1-tax_f)</f>
        <v>146.021991844397</v>
      </c>
      <c r="H3462" s="6" t="n">
        <f aca="false">Sens!H3459+Sens!H3452*(1-tax_f)</f>
        <v>160.046287567004</v>
      </c>
      <c r="I3462" s="6" t="n">
        <f aca="false">Sens!I3459+Sens!I3452*(1-tax_f)</f>
        <v>177.077186534825</v>
      </c>
      <c r="J3462" s="6" t="n">
        <f aca="false">Sens!J3459+Sens!J3452*(1-tax_f)</f>
        <v>192.816821828068</v>
      </c>
      <c r="K3462" s="6" t="n">
        <f aca="false">Sens!K3459+Sens!K3452*(1-tax_f)</f>
        <v>207.325515143528</v>
      </c>
    </row>
    <row r="3463" customFormat="false" ht="17.15" hidden="false" customHeight="false" outlineLevel="0" collapsed="false">
      <c r="A3463" s="0" t="s">
        <v>930</v>
      </c>
      <c r="B3463" s="0" t="s">
        <v>75</v>
      </c>
      <c r="D3463" s="8" t="n">
        <f aca="false">Sens!D3462/Sens!D3460</f>
        <v>13.641259209645</v>
      </c>
      <c r="E3463" s="8" t="n">
        <f aca="false">Sens!E3462/Sens!E3460</f>
        <v>17.9456594659869</v>
      </c>
      <c r="F3463" s="8" t="n">
        <f aca="false">Sens!F3462/Sens!F3460</f>
        <v>17.4353658542042</v>
      </c>
      <c r="G3463" s="8" t="n">
        <f aca="false">Sens!G3462/Sens!G3460</f>
        <v>19.4699319452064</v>
      </c>
      <c r="H3463" s="8" t="n">
        <f aca="false">Sens!H3462/Sens!H3460</f>
        <v>21.3139424552099</v>
      </c>
      <c r="I3463" s="8" t="n">
        <f aca="false">Sens!I3462/Sens!I3460</f>
        <v>23.545069049324</v>
      </c>
      <c r="J3463" s="8" t="n">
        <f aca="false">Sens!J3462/Sens!J3460</f>
        <v>25.5894330110855</v>
      </c>
      <c r="K3463" s="8" t="n">
        <f aca="false">Sens!K3462/Sens!K3460</f>
        <v>27.4547430109582</v>
      </c>
      <c r="L3463" s="1" t="s">
        <v>931</v>
      </c>
    </row>
    <row r="3464" customFormat="false" ht="17.15" hidden="false" customHeight="false" outlineLevel="0" collapsed="false">
      <c r="A3464" s="0" t="s">
        <v>932</v>
      </c>
      <c r="B3464" s="0" t="s">
        <v>129</v>
      </c>
      <c r="E3464" s="7" t="n">
        <f aca="false">Sens!E3463/Sens!D3463-1</f>
        <v>0.315542736208578</v>
      </c>
      <c r="F3464" s="7" t="n">
        <f aca="false">Sens!F3463/Sens!E3463-1</f>
        <v>-0.0284354895260242</v>
      </c>
      <c r="G3464" s="7" t="n">
        <f aca="false">Sens!G3463/Sens!F3463-1</f>
        <v>0.116691907013333</v>
      </c>
      <c r="H3464" s="7" t="n">
        <f aca="false">Sens!H3463/Sens!G3463-1</f>
        <v>0.0947106808176303</v>
      </c>
      <c r="I3464" s="7" t="n">
        <f aca="false">Sens!I3463/Sens!H3463-1</f>
        <v>0.104679206993391</v>
      </c>
      <c r="J3464" s="7" t="n">
        <f aca="false">Sens!J3463/Sens!I3463-1</f>
        <v>0.086827690225872</v>
      </c>
      <c r="K3464" s="7" t="n">
        <f aca="false">Sens!K3463/Sens!J3463-1</f>
        <v>0.0728937604465336</v>
      </c>
    </row>
    <row r="3465" customFormat="false" ht="17.15" hidden="false" customHeight="false" outlineLevel="0" collapsed="false">
      <c r="A3465" s="0" t="s">
        <v>856</v>
      </c>
      <c r="B3465" s="0" t="s">
        <v>98</v>
      </c>
      <c r="E3465" s="6" t="n">
        <f aca="false">Sens!E3406</f>
        <v>5.25</v>
      </c>
      <c r="F3465" s="6" t="n">
        <f aca="false">Sens!F3406</f>
        <v>10.5</v>
      </c>
      <c r="G3465" s="6" t="n">
        <f aca="false">Sens!G3406</f>
        <v>13.5</v>
      </c>
      <c r="H3465" s="6" t="n">
        <f aca="false">Sens!H3406</f>
        <v>16.5</v>
      </c>
      <c r="I3465" s="6" t="n">
        <f aca="false">Sens!I3406</f>
        <v>18.75</v>
      </c>
      <c r="J3465" s="6" t="n">
        <f aca="false">Sens!J3406</f>
        <v>20.25</v>
      </c>
      <c r="K3465" s="6" t="n">
        <f aca="false">Sens!K3406</f>
        <v>21.75</v>
      </c>
    </row>
    <row r="3466" customFormat="false" ht="17.15" hidden="false" customHeight="false" outlineLevel="0" collapsed="false">
      <c r="A3466" s="1" t="s">
        <v>857</v>
      </c>
      <c r="B3466" s="0" t="s">
        <v>98</v>
      </c>
      <c r="F3466" s="6" t="n">
        <f aca="false">MAX(0,((Sens!E3369+Sens!F3369)/2-(shadow_base*(Sens!$D$3369+Sens!$E$3369)/2+(1-shadow_base)*Sens!$E$3369))*Sens!F3377/1000-(Sens!F3465-Sens!$E$3465)*Sens!F3445)</f>
        <v>3.37245816558284</v>
      </c>
      <c r="G3466" s="6" t="n">
        <f aca="false">MAX(0,((Sens!F3369+Sens!G3369)/2-(shadow_base*(Sens!$D$3369+Sens!$E$3369)/2+(1-shadow_base)*Sens!$E$3369))*Sens!G3377/1000-(Sens!G3465-Sens!$E$3465)*Sens!G3445)</f>
        <v>4.94794499348405</v>
      </c>
      <c r="H3466" s="6" t="n">
        <f aca="false">MAX(0,((Sens!G3369+Sens!H3369)/2-(shadow_base*(Sens!$D$3369+Sens!$E$3369)/2+(1-shadow_base)*Sens!$E$3369))*Sens!H3377/1000-(Sens!H3465-Sens!$E$3465)*Sens!H3445)</f>
        <v>4.88554929991378</v>
      </c>
      <c r="I3466" s="6" t="n">
        <f aca="false">MAX(0,((Sens!H3369+Sens!I3369)/2-(shadow_base*(Sens!$D$3369+Sens!$E$3369)/2+(1-shadow_base)*Sens!$E$3369))*Sens!I3377/1000-(Sens!I3465-Sens!$E$3465)*Sens!I3445)</f>
        <v>3.89455031683526</v>
      </c>
      <c r="J3466" s="6" t="n">
        <f aca="false">MAX(0,((Sens!I3369+Sens!J3369)/2-(shadow_base*(Sens!$D$3369+Sens!$E$3369)/2+(1-shadow_base)*Sens!$E$3369))*Sens!J3377/1000-(Sens!J3465-Sens!$E$3465)*Sens!J3445)</f>
        <v>3.48159335528161</v>
      </c>
      <c r="K3466" s="6" t="n">
        <f aca="false">MAX(0,((Sens!J3369+Sens!K3369)/2-(shadow_base*(Sens!$D$3369+Sens!$E$3369)/2+(1-shadow_base)*Sens!$E$3369))*Sens!K3377/1000-(Sens!K3465-Sens!$E$3465)*Sens!K3445)</f>
        <v>3.50612249815711</v>
      </c>
      <c r="L3466" s="1" t="s">
        <v>858</v>
      </c>
    </row>
    <row r="3467" customFormat="false" ht="17.15" hidden="false" customHeight="false" outlineLevel="0" collapsed="false">
      <c r="A3467" s="1" t="s">
        <v>859</v>
      </c>
      <c r="B3467" s="0" t="s">
        <v>98</v>
      </c>
      <c r="F3467" s="6" t="n">
        <f aca="false">IF(internal_ai_reading=2,1,0)*Sens!F3466</f>
        <v>3.37245816558284</v>
      </c>
      <c r="G3467" s="6" t="n">
        <f aca="false">IF(internal_ai_reading=2,1,0)*Sens!G3466</f>
        <v>4.94794499348405</v>
      </c>
      <c r="H3467" s="6" t="n">
        <f aca="false">IF(internal_ai_reading=2,1,0)*Sens!H3466</f>
        <v>4.88554929991378</v>
      </c>
      <c r="I3467" s="6" t="n">
        <f aca="false">IF(internal_ai_reading=2,1,0)*Sens!I3466</f>
        <v>3.89455031683526</v>
      </c>
      <c r="J3467" s="6" t="n">
        <f aca="false">IF(internal_ai_reading=2,1,0)*Sens!J3466</f>
        <v>3.48159335528161</v>
      </c>
      <c r="K3467" s="6" t="n">
        <f aca="false">IF(internal_ai_reading=2,1,0)*Sens!K3466</f>
        <v>3.50612249815711</v>
      </c>
    </row>
    <row r="3468" customFormat="false" ht="17.15" hidden="false" customHeight="false" outlineLevel="0" collapsed="false">
      <c r="A3468" s="0" t="s">
        <v>860</v>
      </c>
      <c r="B3468" s="0" t="s">
        <v>98</v>
      </c>
      <c r="F3468" s="6" t="n">
        <f aca="false">Sens!F3386+Sens!F3465*Sens!F3445+Sens!F3467-Sens!F3387-Sens!F3397</f>
        <v>5.23309559053041</v>
      </c>
      <c r="G3468" s="6" t="n">
        <f aca="false">Sens!G3386+Sens!G3465*Sens!G3445+Sens!G3467-Sens!G3387-Sens!G3397</f>
        <v>3.83151409268997</v>
      </c>
      <c r="H3468" s="6" t="n">
        <f aca="false">Sens!H3386+Sens!H3465*Sens!H3445+Sens!H3467-Sens!H3387-Sens!H3397</f>
        <v>0.12924976126515</v>
      </c>
      <c r="I3468" s="6" t="n">
        <f aca="false">Sens!I3386+Sens!I3465*Sens!I3445+Sens!I3467-Sens!I3387-Sens!I3397</f>
        <v>0.680500924009017</v>
      </c>
      <c r="J3468" s="6" t="n">
        <f aca="false">Sens!J3386+Sens!J3465*Sens!J3445+Sens!J3467-Sens!J3387-Sens!J3397</f>
        <v>0.869228450406212</v>
      </c>
      <c r="K3468" s="6" t="n">
        <f aca="false">Sens!K3386+Sens!K3465*Sens!K3445+Sens!K3467-Sens!K3387-Sens!K3397</f>
        <v>1.55075146947114</v>
      </c>
    </row>
    <row r="3469" customFormat="false" ht="17.15" hidden="false" customHeight="false" outlineLevel="0" collapsed="false">
      <c r="A3469" s="0" t="s">
        <v>861</v>
      </c>
      <c r="B3469" s="0" t="s">
        <v>98</v>
      </c>
      <c r="E3469" s="6" t="n">
        <f aca="false">Sens!E3368*(cxit_open+self_build*tk_cxfac)/1000*ai_net_open</f>
        <v>126.6980382</v>
      </c>
      <c r="F3469" s="6" t="n">
        <f aca="false">Sens!E3469+Sens!F3394-Sens!F3397</f>
        <v>132.734637736333</v>
      </c>
      <c r="G3469" s="6" t="n">
        <f aca="false">Sens!F3469+Sens!G3394-Sens!G3397</f>
        <v>138.59517468</v>
      </c>
      <c r="H3469" s="6" t="n">
        <f aca="false">Sens!G3469+Sens!H3394-Sens!H3397</f>
        <v>106.570285189667</v>
      </c>
      <c r="I3469" s="6" t="n">
        <f aca="false">Sens!H3469+Sens!I3394-Sens!I3397</f>
        <v>104.160296816417</v>
      </c>
      <c r="J3469" s="6" t="n">
        <f aca="false">Sens!I3469+Sens!J3394-Sens!J3397</f>
        <v>115.572403411083</v>
      </c>
      <c r="K3469" s="6" t="n">
        <f aca="false">Sens!J3469+Sens!K3394-Sens!K3397</f>
        <v>169.1602078745</v>
      </c>
      <c r="L3469" s="1" t="s">
        <v>862</v>
      </c>
    </row>
    <row r="3470" customFormat="false" ht="17.15" hidden="false" customHeight="false" outlineLevel="0" collapsed="false">
      <c r="A3470" s="0" t="s">
        <v>863</v>
      </c>
      <c r="B3470" s="0" t="s">
        <v>129</v>
      </c>
      <c r="F3470" s="7" t="n">
        <f aca="false">Sens!F3468*(1-tax_f)/((Sens!E3469+Sens!F3469)/2)</f>
        <v>0.032274087736363</v>
      </c>
      <c r="G3470" s="7" t="n">
        <f aca="false">Sens!G3468*(1-tax_f)/((Sens!F3469+Sens!G3469)/2)</f>
        <v>0.0225939880830247</v>
      </c>
      <c r="H3470" s="7" t="n">
        <f aca="false">Sens!H3468*(1-tax_f)/((Sens!G3469+Sens!H3469)/2)</f>
        <v>0.000843510411842589</v>
      </c>
      <c r="I3470" s="7" t="n">
        <f aca="false">Sens!I3468*(1-tax_f)/((Sens!H3469+Sens!I3469)/2)</f>
        <v>0.00516679386565257</v>
      </c>
      <c r="J3470" s="7" t="n">
        <f aca="false">Sens!J3468*(1-tax_f)/((Sens!I3469+Sens!J3469)/2)</f>
        <v>0.00632935161316459</v>
      </c>
      <c r="K3470" s="7" t="n">
        <f aca="false">Sens!K3468*(1-tax_f)/((Sens!J3469+Sens!K3469)/2)</f>
        <v>0.00871414882879434</v>
      </c>
    </row>
    <row r="3471" customFormat="false" ht="17.15" hidden="false" customHeight="false" outlineLevel="0" collapsed="false">
      <c r="A3471" s="1" t="s">
        <v>864</v>
      </c>
      <c r="B3471" s="0" t="s">
        <v>129</v>
      </c>
      <c r="F3471" s="7" t="n">
        <f aca="false">(Sens!F3468-Sens!F3467)*(1-tax_f)/((Sens!E3469+Sens!F3469)/2)</f>
        <v>0.0114751153422427</v>
      </c>
      <c r="G3471" s="7" t="n">
        <f aca="false">(Sens!G3468-Sens!G3467)*(1-tax_f)/((Sens!F3469+Sens!G3469)/2)</f>
        <v>-0.00658346174849969</v>
      </c>
      <c r="H3471" s="7" t="n">
        <f aca="false">(Sens!H3468-Sens!H3467)*(1-tax_f)/((Sens!G3469+Sens!H3469)/2)</f>
        <v>-0.031040584860051</v>
      </c>
      <c r="I3471" s="7" t="n">
        <f aca="false">(Sens!I3468-Sens!I3467)*(1-tax_f)/((Sens!H3469+Sens!I3469)/2)</f>
        <v>-0.0244030979251675</v>
      </c>
      <c r="J3471" s="7" t="n">
        <f aca="false">(Sens!J3468-Sens!J3467)*(1-tax_f)/((Sens!I3469+Sens!J3469)/2)</f>
        <v>-0.0190221293575017</v>
      </c>
      <c r="K3471" s="7" t="n">
        <f aca="false">(Sens!K3468-Sens!K3467)*(1-tax_f)/((Sens!J3469+Sens!K3469)/2)</f>
        <v>-0.0109878304131437</v>
      </c>
    </row>
    <row r="3472" customFormat="false" ht="17.15" hidden="false" customHeight="false" outlineLevel="0" collapsed="false">
      <c r="A3472" s="1" t="s">
        <v>865</v>
      </c>
      <c r="B3472" s="0" t="s">
        <v>129</v>
      </c>
      <c r="F3472" s="7" t="n">
        <f aca="false">(Sens!F3468-Sens!F3467+Sens!F3466)*(1-tax_f)/((Sens!E3469+Sens!F3469)/2)</f>
        <v>0.032274087736363</v>
      </c>
      <c r="G3472" s="7" t="n">
        <f aca="false">(Sens!G3468-Sens!G3467+Sens!G3466)*(1-tax_f)/((Sens!F3469+Sens!G3469)/2)</f>
        <v>0.0225939880830247</v>
      </c>
      <c r="H3472" s="7" t="n">
        <f aca="false">(Sens!H3468-Sens!H3467+Sens!H3466)*(1-tax_f)/((Sens!G3469+Sens!H3469)/2)</f>
        <v>0.000843510411842589</v>
      </c>
      <c r="I3472" s="7" t="n">
        <f aca="false">(Sens!I3468-Sens!I3467+Sens!I3466)*(1-tax_f)/((Sens!H3469+Sens!I3469)/2)</f>
        <v>0.00516679386565257</v>
      </c>
      <c r="J3472" s="7" t="n">
        <f aca="false">(Sens!J3468-Sens!J3467+Sens!J3466)*(1-tax_f)/((Sens!I3469+Sens!J3469)/2)</f>
        <v>0.00632935161316459</v>
      </c>
      <c r="K3472" s="7" t="n">
        <f aca="false">(Sens!K3468-Sens!K3467+Sens!K3466)*(1-tax_f)/((Sens!J3469+Sens!K3469)/2)</f>
        <v>0.00871414882879434</v>
      </c>
    </row>
    <row r="3473" customFormat="false" ht="17.15" hidden="false" customHeight="false" outlineLevel="0" collapsed="false">
      <c r="A3473" s="1" t="s">
        <v>866</v>
      </c>
      <c r="B3473" s="0" t="s">
        <v>129</v>
      </c>
      <c r="F3473" s="7" t="n">
        <f aca="false">Sens!F3398*(1-tax_f)/(Sens!F3385*(Sens!E3469+Sens!F3469)/2)</f>
        <v>0.108900794748217</v>
      </c>
      <c r="G3473" s="7" t="n">
        <f aca="false">Sens!G3398*(1-tax_f)/(Sens!G3385*(Sens!F3469+Sens!G3469)/2)</f>
        <v>0.0849438776911913</v>
      </c>
      <c r="H3473" s="7" t="n">
        <f aca="false">Sens!H3398*(1-tax_f)/(Sens!H3385*(Sens!G3469+Sens!H3469)/2)</f>
        <v>0.0514648261346161</v>
      </c>
      <c r="I3473" s="7" t="n">
        <f aca="false">Sens!I3398*(1-tax_f)/(Sens!I3385*(Sens!H3469+Sens!I3469)/2)</f>
        <v>0.0670636257404908</v>
      </c>
      <c r="J3473" s="7" t="n">
        <f aca="false">Sens!J3398*(1-tax_f)/(Sens!J3385*(Sens!I3469+Sens!J3469)/2)</f>
        <v>0.0700406245540914</v>
      </c>
      <c r="K3473" s="7" t="n">
        <f aca="false">Sens!K3398*(1-tax_f)/(Sens!K3385*(Sens!J3469+Sens!K3469)/2)</f>
        <v>0.0645501197675195</v>
      </c>
    </row>
    <row r="3474" customFormat="false" ht="17.15" hidden="false" customHeight="false" outlineLevel="0" collapsed="false">
      <c r="A3474" s="0" t="s">
        <v>867</v>
      </c>
      <c r="B3474" s="0" t="s">
        <v>209</v>
      </c>
      <c r="F3474" s="7" t="n">
        <f aca="false">Sens!F3470-wacc</f>
        <v>-0.0706603323565127</v>
      </c>
      <c r="G3474" s="7" t="n">
        <f aca="false">Sens!G3470-wacc</f>
        <v>-0.0803404320098511</v>
      </c>
      <c r="H3474" s="7" t="n">
        <f aca="false">Sens!H3470-wacc</f>
        <v>-0.102090909681033</v>
      </c>
      <c r="I3474" s="7" t="n">
        <f aca="false">Sens!I3470-wacc</f>
        <v>-0.0977676262272232</v>
      </c>
      <c r="J3474" s="7" t="n">
        <f aca="false">Sens!J3470-wacc</f>
        <v>-0.0966050684797112</v>
      </c>
      <c r="K3474" s="7" t="n">
        <f aca="false">Sens!K3470-wacc</f>
        <v>-0.0942202712640814</v>
      </c>
    </row>
    <row r="3475" customFormat="false" ht="17.15" hidden="false" customHeight="false" outlineLevel="0" collapsed="false">
      <c r="A3475" s="0" t="s">
        <v>868</v>
      </c>
      <c r="B3475" s="0" t="s">
        <v>98</v>
      </c>
      <c r="F3475" s="6" t="n">
        <f aca="false">Sens!F3468*(1-tax_f)-wacc*(Sens!E3469+Sens!F3469)/2</f>
        <v>-9.16579955290039</v>
      </c>
      <c r="G3475" s="6" t="n">
        <f aca="false">Sens!G3468*(1-tax_f)-wacc*(Sens!F3469+Sens!G3469)/2</f>
        <v>-10.89937717334</v>
      </c>
      <c r="H3475" s="6" t="n">
        <f aca="false">Sens!H3468*(1-tax_f)-wacc*(Sens!G3469+Sens!H3469)/2</f>
        <v>-12.5145824102315</v>
      </c>
      <c r="I3475" s="6" t="n">
        <f aca="false">Sens!I3468*(1-tax_f)-wacc*(Sens!H3469+Sens!I3469)/2</f>
        <v>-10.301314388108</v>
      </c>
      <c r="J3475" s="6" t="n">
        <f aca="false">Sens!J3468*(1-tax_f)-wacc*(Sens!I3469+Sens!J3469)/2</f>
        <v>-10.6136462763547</v>
      </c>
      <c r="K3475" s="6" t="n">
        <f aca="false">Sens!K3468*(1-tax_f)-wacc*(Sens!J3469+Sens!K3469)/2</f>
        <v>-13.413791936529</v>
      </c>
    </row>
    <row r="3476" customFormat="false" ht="17.15" hidden="false" customHeight="false" outlineLevel="0" collapsed="false">
      <c r="A3476" s="3" t="s">
        <v>1350</v>
      </c>
    </row>
    <row r="3477" customFormat="false" ht="15" hidden="false" customHeight="false" outlineLevel="0" collapsed="false">
      <c r="A3477" s="4" t="s">
        <v>43</v>
      </c>
      <c r="B3477" s="4" t="s">
        <v>65</v>
      </c>
      <c r="C3477" s="20" t="s">
        <v>799</v>
      </c>
      <c r="D3477" s="20" t="s">
        <v>800</v>
      </c>
      <c r="E3477" s="20" t="s">
        <v>801</v>
      </c>
      <c r="F3477" s="20" t="s">
        <v>802</v>
      </c>
      <c r="G3477" s="20" t="s">
        <v>803</v>
      </c>
      <c r="H3477" s="20" t="s">
        <v>804</v>
      </c>
      <c r="I3477" s="20" t="s">
        <v>805</v>
      </c>
      <c r="J3477" s="20" t="s">
        <v>806</v>
      </c>
      <c r="K3477" s="20" t="s">
        <v>807</v>
      </c>
      <c r="L3477" s="4" t="s">
        <v>47</v>
      </c>
    </row>
    <row r="3478" customFormat="false" ht="15" hidden="false" customHeight="false" outlineLevel="0" collapsed="false">
      <c r="A3478" s="1" t="s">
        <v>925</v>
      </c>
      <c r="B3478" s="0" t="s">
        <v>98</v>
      </c>
      <c r="F3478" s="6" t="n">
        <f aca="false">Sens!F3459</f>
        <v>127.605240178929</v>
      </c>
      <c r="G3478" s="6" t="n">
        <f aca="false">Sens!G3459</f>
        <v>142.06363584961</v>
      </c>
      <c r="H3478" s="6" t="n">
        <f aca="false">Sens!H3459</f>
        <v>156.137848127073</v>
      </c>
      <c r="I3478" s="6" t="n">
        <f aca="false">Sens!I3459</f>
        <v>173.961546281357</v>
      </c>
      <c r="J3478" s="6" t="n">
        <f aca="false">Sens!J3459</f>
        <v>190.031547143842</v>
      </c>
      <c r="K3478" s="6" t="n">
        <f aca="false">Sens!K3459</f>
        <v>204.520617145003</v>
      </c>
    </row>
    <row r="3479" customFormat="false" ht="17.15" hidden="false" customHeight="false" outlineLevel="0" collapsed="false">
      <c r="A3479" s="1" t="s">
        <v>947</v>
      </c>
      <c r="B3479" s="0" t="s">
        <v>98</v>
      </c>
      <c r="E3479" s="6" t="n">
        <f aca="false">Q!M38-Sens!E3397</f>
        <v>22.2285940229167</v>
      </c>
      <c r="F3479" s="6" t="n">
        <f aca="false">Sens!E3479*(1-1/life_nonai)+(Sens!F3486+Sens!F3487)/life_nonai</f>
        <v>37.358881403025</v>
      </c>
      <c r="G3479" s="6" t="n">
        <f aca="false">Sens!F3479*(1-1/life_nonai)+(Sens!G3486)/life_nonai</f>
        <v>37.6932826197614</v>
      </c>
      <c r="H3479" s="6" t="n">
        <f aca="false">Sens!G3479*(1-1/life_nonai)+(Sens!H3486)/life_nonai</f>
        <v>38.5301057221942</v>
      </c>
      <c r="I3479" s="6" t="n">
        <f aca="false">Sens!H3479*(1-1/life_nonai)+(Sens!I3486)/life_nonai</f>
        <v>39.7994351811392</v>
      </c>
      <c r="J3479" s="6" t="n">
        <f aca="false">Sens!I3479*(1-1/life_nonai)+(Sens!J3486)/life_nonai</f>
        <v>41.4150829880627</v>
      </c>
      <c r="K3479" s="6" t="n">
        <f aca="false">Sens!J3479*(1-1/life_nonai)+(Sens!K3486)/life_nonai</f>
        <v>43.2829449634558</v>
      </c>
      <c r="L3479" s="11" t="s">
        <v>948</v>
      </c>
    </row>
    <row r="3480" customFormat="false" ht="17.15" hidden="false" customHeight="false" outlineLevel="0" collapsed="false">
      <c r="A3480" s="1" t="s">
        <v>949</v>
      </c>
      <c r="B3480" s="0" t="s">
        <v>98</v>
      </c>
      <c r="F3480" s="6" t="n">
        <f aca="false">Sens!$F$3487/life_nonai*(1-1/life_nonai)^(Sens!F3363-2027)</f>
        <v>13.8102120594438</v>
      </c>
      <c r="G3480" s="6" t="n">
        <f aca="false">Sens!$F$3487/life_nonai*(1-1/life_nonai)^(Sens!G3363-2027)</f>
        <v>12.4291908534994</v>
      </c>
      <c r="H3480" s="6" t="n">
        <f aca="false">Sens!$F$3487/life_nonai*(1-1/life_nonai)^(Sens!H3363-2027)</f>
        <v>11.1862717681494</v>
      </c>
      <c r="I3480" s="6" t="n">
        <f aca="false">Sens!$F$3487/life_nonai*(1-1/life_nonai)^(Sens!I3363-2027)</f>
        <v>10.0676445913345</v>
      </c>
      <c r="J3480" s="6" t="n">
        <f aca="false">Sens!$F$3487/life_nonai*(1-1/life_nonai)^(Sens!J3363-2027)</f>
        <v>9.06088013220105</v>
      </c>
      <c r="K3480" s="6" t="n">
        <f aca="false">Sens!$F$3487/life_nonai*(1-1/life_nonai)^(Sens!K3363-2027)</f>
        <v>8.15479211898094</v>
      </c>
      <c r="L3480" s="1" t="s">
        <v>950</v>
      </c>
    </row>
    <row r="3481" customFormat="false" ht="17.15" hidden="false" customHeight="false" outlineLevel="0" collapsed="false">
      <c r="A3481" s="1" t="s">
        <v>951</v>
      </c>
      <c r="B3481" s="0" t="s">
        <v>98</v>
      </c>
      <c r="E3481" s="6" t="n">
        <f aca="false">Sens!E3397+Sens!E3479</f>
        <v>38.534</v>
      </c>
      <c r="F3481" s="6" t="n">
        <f aca="false">Sens!F3397+Sens!F3479</f>
        <v>61.9908140426917</v>
      </c>
      <c r="G3481" s="6" t="n">
        <f aca="false">Sens!G3397+Sens!G3479</f>
        <v>67.1354726920948</v>
      </c>
      <c r="H3481" s="6" t="n">
        <f aca="false">Sens!H3397+Sens!H3479</f>
        <v>70.5549952125276</v>
      </c>
      <c r="I3481" s="6" t="n">
        <f aca="false">Sens!I3397+Sens!I3479</f>
        <v>72.4680989010559</v>
      </c>
      <c r="J3481" s="6" t="n">
        <f aca="false">Sens!J3397+Sens!J3479</f>
        <v>75.6997514067293</v>
      </c>
      <c r="K3481" s="6" t="n">
        <f aca="false">Sens!K3397+Sens!K3479</f>
        <v>80.4711665400391</v>
      </c>
    </row>
    <row r="3482" customFormat="false" ht="17.15" hidden="false" customHeight="false" outlineLevel="0" collapsed="false">
      <c r="A3482" s="1" t="s">
        <v>952</v>
      </c>
      <c r="B3482" s="0" t="s">
        <v>98</v>
      </c>
      <c r="F3482" s="6" t="n">
        <f aca="false">Sens!F3424*sbc_r</f>
        <v>14.255345989943</v>
      </c>
      <c r="G3482" s="6" t="n">
        <f aca="false">Sens!G3424*sbc_r</f>
        <v>15.8057923272494</v>
      </c>
      <c r="H3482" s="6" t="n">
        <f aca="false">Sens!H3424*sbc_r</f>
        <v>17.2054386095582</v>
      </c>
      <c r="I3482" s="6" t="n">
        <f aca="false">Sens!I3424*sbc_r</f>
        <v>18.6639122039917</v>
      </c>
      <c r="J3482" s="6" t="n">
        <f aca="false">Sens!J3424*sbc_r</f>
        <v>20.0454667099776</v>
      </c>
      <c r="K3482" s="6" t="n">
        <f aca="false">Sens!K3424*sbc_r</f>
        <v>21.3633281661478</v>
      </c>
    </row>
    <row r="3483" customFormat="false" ht="17.15" hidden="false" customHeight="false" outlineLevel="0" collapsed="false">
      <c r="A3483" s="1" t="s">
        <v>953</v>
      </c>
      <c r="B3483" s="0" t="s">
        <v>98</v>
      </c>
      <c r="F3483" s="6" t="n">
        <f aca="false">wc27</f>
        <v>-4.895</v>
      </c>
      <c r="G3483" s="6" t="n">
        <f aca="false">wc_f</f>
        <v>0</v>
      </c>
      <c r="H3483" s="6" t="n">
        <f aca="false">wc_f</f>
        <v>0</v>
      </c>
      <c r="I3483" s="6" t="n">
        <f aca="false">wc_f</f>
        <v>0</v>
      </c>
      <c r="J3483" s="6" t="n">
        <f aca="false">wc_f</f>
        <v>0</v>
      </c>
      <c r="K3483" s="6" t="n">
        <f aca="false">wc_f</f>
        <v>0</v>
      </c>
      <c r="L3483" s="11" t="s">
        <v>954</v>
      </c>
    </row>
    <row r="3484" customFormat="false" ht="15" hidden="false" customHeight="false" outlineLevel="0" collapsed="false">
      <c r="A3484" s="1" t="s">
        <v>767</v>
      </c>
      <c r="B3484" s="0" t="s">
        <v>98</v>
      </c>
      <c r="E3484" s="6" t="n">
        <f aca="false">Q!M35</f>
        <v>182.935</v>
      </c>
      <c r="F3484" s="6" t="n">
        <f aca="false">Sens!F3478+Sens!F3481+Sens!F3482+Sens!F3483</f>
        <v>198.956400211563</v>
      </c>
      <c r="G3484" s="6" t="n">
        <f aca="false">Sens!G3478+Sens!G3481+Sens!G3482+Sens!G3483</f>
        <v>225.004900868954</v>
      </c>
      <c r="H3484" s="6" t="n">
        <f aca="false">Sens!H3478+Sens!H3481+Sens!H3482+Sens!H3483</f>
        <v>243.898281949159</v>
      </c>
      <c r="I3484" s="6" t="n">
        <f aca="false">Sens!I3478+Sens!I3481+Sens!I3482+Sens!I3483</f>
        <v>265.093557386405</v>
      </c>
      <c r="J3484" s="6" t="n">
        <f aca="false">Sens!J3478+Sens!J3481+Sens!J3482+Sens!J3483</f>
        <v>285.776765260549</v>
      </c>
      <c r="K3484" s="6" t="n">
        <f aca="false">Sens!K3478+Sens!K3481+Sens!K3482+Sens!K3483</f>
        <v>306.35511185119</v>
      </c>
    </row>
    <row r="3485" customFormat="false" ht="17.15" hidden="false" customHeight="false" outlineLevel="0" collapsed="false">
      <c r="A3485" s="0" t="s">
        <v>955</v>
      </c>
      <c r="B3485" s="0" t="s">
        <v>98</v>
      </c>
      <c r="F3485" s="6" t="n">
        <f aca="false">Sens!F3394</f>
        <v>30.668532176</v>
      </c>
      <c r="G3485" s="6" t="n">
        <f aca="false">Sens!G3394</f>
        <v>35.302727016</v>
      </c>
      <c r="H3485" s="6" t="n">
        <f aca="false">Sens!H3394</f>
        <v>0</v>
      </c>
      <c r="I3485" s="6" t="n">
        <f aca="false">Sens!I3394</f>
        <v>30.2586753466667</v>
      </c>
      <c r="J3485" s="6" t="n">
        <f aca="false">Sens!J3394</f>
        <v>45.6967750133333</v>
      </c>
      <c r="K3485" s="6" t="n">
        <f aca="false">Sens!K3394</f>
        <v>90.77602604</v>
      </c>
    </row>
    <row r="3486" customFormat="false" ht="17.15" hidden="false" customHeight="false" outlineLevel="0" collapsed="false">
      <c r="A3486" s="1" t="s">
        <v>956</v>
      </c>
      <c r="B3486" s="0" t="s">
        <v>98</v>
      </c>
      <c r="E3486" s="6" t="n">
        <f aca="false">Sens!E3402*cx_azo+Sens!E3409*cx_m365+Sens!E3410*cx_lic+(Sens!E3412+Sens!E3414)*cx_ind+Sens!E3417*cx_srch+(Sens!E3419+Sens!E3421)*cx_dev</f>
        <v>30.1846587067718</v>
      </c>
      <c r="F3486" s="6" t="n">
        <f aca="false">Sens!F3402*cx_azo+Sens!F3409*cx_m365+Sens!F3410*cx_lic+(Sens!F3412+Sens!F3414)*cx_ind+Sens!F3417*cx_srch+(Sens!F3419+Sens!F3421)*cx_dev</f>
        <v>35.4293472295625</v>
      </c>
      <c r="G3486" s="6" t="n">
        <f aca="false">Sens!G3402*cx_azo+Sens!G3409*cx_m365+Sens!G3410*cx_lic+(Sens!G3412+Sens!G3414)*cx_ind+Sens!G3417*cx_srch+(Sens!G3419+Sens!G3421)*cx_dev</f>
        <v>40.7028935703892</v>
      </c>
      <c r="H3486" s="6" t="n">
        <f aca="false">Sens!H3402*cx_azo+Sens!H3409*cx_m365+Sens!H3410*cx_lic+(Sens!H3412+Sens!H3414)*cx_ind+Sens!H3417*cx_srch+(Sens!H3419+Sens!H3421)*cx_dev</f>
        <v>46.0615136440897</v>
      </c>
      <c r="I3486" s="6" t="n">
        <f aca="false">Sens!I3402*cx_azo+Sens!I3409*cx_m365+Sens!I3410*cx_lic+(Sens!I3412+Sens!I3414)*cx_ind+Sens!I3417*cx_srch+(Sens!I3419+Sens!I3421)*cx_dev</f>
        <v>51.2234003116439</v>
      </c>
      <c r="J3486" s="6" t="n">
        <f aca="false">Sens!J3402*cx_azo+Sens!J3409*cx_m365+Sens!J3410*cx_lic+(Sens!J3412+Sens!J3414)*cx_ind+Sens!J3417*cx_srch+(Sens!J3419+Sens!J3421)*cx_dev</f>
        <v>55.9559132503738</v>
      </c>
      <c r="K3486" s="6" t="n">
        <f aca="false">Sens!K3402*cx_azo+Sens!K3409*cx_m365+Sens!K3410*cx_lic+(Sens!K3412+Sens!K3414)*cx_ind+Sens!K3417*cx_srch+(Sens!K3419+Sens!K3421)*cx_dev</f>
        <v>60.093702741994</v>
      </c>
    </row>
    <row r="3487" customFormat="false" ht="17.15" hidden="false" customHeight="false" outlineLevel="0" collapsed="false">
      <c r="A3487" s="0" t="s">
        <v>957</v>
      </c>
      <c r="B3487" s="0" t="s">
        <v>98</v>
      </c>
      <c r="F3487" s="6" t="n">
        <f aca="false">Sens!F3392</f>
        <v>138.102120594438</v>
      </c>
      <c r="L3487" s="1" t="s">
        <v>958</v>
      </c>
    </row>
    <row r="3488" customFormat="false" ht="17.15" hidden="false" customHeight="false" outlineLevel="0" collapsed="false">
      <c r="A3488" s="1" t="s">
        <v>959</v>
      </c>
      <c r="B3488" s="0" t="s">
        <v>98</v>
      </c>
      <c r="E3488" s="6" t="n">
        <f aca="false">Q!M42</f>
        <v>145.3</v>
      </c>
      <c r="F3488" s="6" t="n">
        <f aca="false">Sens!F3485+Sens!F3486+Sens!F3487</f>
        <v>204.2</v>
      </c>
      <c r="G3488" s="6" t="n">
        <f aca="false">Sens!G3485+Sens!G3486</f>
        <v>76.0056205863892</v>
      </c>
      <c r="H3488" s="6" t="n">
        <f aca="false">Sens!H3485+Sens!H3486</f>
        <v>46.0615136440897</v>
      </c>
      <c r="I3488" s="6" t="n">
        <f aca="false">Sens!I3485+Sens!I3486</f>
        <v>81.4820756583106</v>
      </c>
      <c r="J3488" s="6" t="n">
        <f aca="false">Sens!J3485+Sens!J3486</f>
        <v>101.652688263707</v>
      </c>
      <c r="K3488" s="6" t="n">
        <f aca="false">Sens!K3485+Sens!K3486</f>
        <v>150.869728781994</v>
      </c>
      <c r="L3488" s="1" t="s">
        <v>960</v>
      </c>
    </row>
    <row r="3489" customFormat="false" ht="15" hidden="false" customHeight="false" outlineLevel="0" collapsed="false">
      <c r="A3489" s="1" t="s">
        <v>961</v>
      </c>
      <c r="B3489" s="0" t="s">
        <v>98</v>
      </c>
      <c r="E3489" s="6" t="n">
        <f aca="false">fl_liab</f>
        <v>66.594</v>
      </c>
      <c r="F3489" s="6" t="n">
        <f aca="false">Sens!E3489-Sens!F3490</f>
        <v>62.46973</v>
      </c>
      <c r="G3489" s="6" t="n">
        <f aca="false">Sens!F3489-Sens!G3490</f>
        <v>57.98686785</v>
      </c>
      <c r="H3489" s="6" t="n">
        <f aca="false">Sens!G3489-Sens!H3490</f>
        <v>53.92827690325</v>
      </c>
      <c r="I3489" s="6" t="n">
        <f aca="false">Sens!H3489-Sens!I3490</f>
        <v>49.7850493638962</v>
      </c>
      <c r="J3489" s="6" t="n">
        <f aca="false">Sens!I3489-Sens!J3490</f>
        <v>45.4823765852716</v>
      </c>
      <c r="K3489" s="6" t="n">
        <f aca="false">Sens!J3489-Sens!K3490</f>
        <v>40.9860835316088</v>
      </c>
    </row>
    <row r="3490" customFormat="false" ht="15" hidden="false" customHeight="false" outlineLevel="0" collapsed="false">
      <c r="A3490" s="1" t="s">
        <v>962</v>
      </c>
      <c r="B3490" s="0" t="s">
        <v>98</v>
      </c>
      <c r="F3490" s="6" t="n">
        <f aca="false">fl_pay_27-Sens!E3489*fl_rate</f>
        <v>4.12427</v>
      </c>
      <c r="G3490" s="6" t="n">
        <f aca="false">fl_pay_28-Sens!F3489*fl_rate</f>
        <v>4.48286215</v>
      </c>
      <c r="H3490" s="6" t="n">
        <f aca="false">fl_pay_29-Sens!G3489*fl_rate</f>
        <v>4.05859094675</v>
      </c>
      <c r="I3490" s="6" t="n">
        <f aca="false">fl_pay_30-Sens!H3489*fl_rate</f>
        <v>4.14322753935375</v>
      </c>
      <c r="J3490" s="6" t="n">
        <f aca="false">fl_pay_31-Sens!I3489*fl_rate</f>
        <v>4.30267277862467</v>
      </c>
      <c r="K3490" s="6" t="n">
        <f aca="false">fl_pay_32-Sens!J3489*fl_rate</f>
        <v>4.49629305366278</v>
      </c>
    </row>
    <row r="3491" customFormat="false" ht="17.15" hidden="false" customHeight="false" outlineLevel="0" collapsed="false">
      <c r="A3491" s="1" t="s">
        <v>963</v>
      </c>
      <c r="B3491" s="0" t="s">
        <v>98</v>
      </c>
      <c r="E3491" s="6" t="n">
        <f aca="false">Q!M35-Q!M36-Q!M43</f>
        <v>63.886</v>
      </c>
      <c r="F3491" s="6" t="n">
        <f aca="false">Sens!F3484-Sens!F3488-Sens!F3490</f>
        <v>-9.36786978843663</v>
      </c>
      <c r="G3491" s="6" t="n">
        <f aca="false">Sens!G3484-Sens!G3488-Sens!G3490</f>
        <v>144.516418132565</v>
      </c>
      <c r="H3491" s="6" t="n">
        <f aca="false">Sens!H3484-Sens!H3488-Sens!H3490</f>
        <v>193.77817735832</v>
      </c>
      <c r="I3491" s="6" t="n">
        <f aca="false">Sens!I3484-Sens!I3488-Sens!I3490</f>
        <v>179.46825418874</v>
      </c>
      <c r="J3491" s="6" t="n">
        <f aca="false">Sens!J3484-Sens!J3488-Sens!J3490</f>
        <v>179.821404218218</v>
      </c>
      <c r="K3491" s="6" t="n">
        <f aca="false">Sens!K3484-Sens!K3488-Sens!K3490</f>
        <v>150.989090015533</v>
      </c>
      <c r="L3491" s="11" t="s">
        <v>964</v>
      </c>
    </row>
    <row r="3492" customFormat="false" ht="15" hidden="false" customHeight="false" outlineLevel="0" collapsed="false">
      <c r="A3492" s="1" t="s">
        <v>965</v>
      </c>
      <c r="B3492" s="0" t="s">
        <v>75</v>
      </c>
      <c r="F3492" s="8" t="n">
        <f aca="false">dps_27</f>
        <v>3.85</v>
      </c>
      <c r="G3492" s="8" t="n">
        <f aca="false">Sens!F3492*(1+dps_g)</f>
        <v>4.158</v>
      </c>
      <c r="H3492" s="8" t="n">
        <f aca="false">Sens!G3492*(1+dps_g)</f>
        <v>4.49064</v>
      </c>
      <c r="I3492" s="8" t="n">
        <f aca="false">Sens!H3492*(1+dps_g)</f>
        <v>4.8498912</v>
      </c>
      <c r="J3492" s="8" t="n">
        <f aca="false">Sens!I3492*(1+dps_g)</f>
        <v>5.237882496</v>
      </c>
      <c r="K3492" s="8" t="n">
        <f aca="false">Sens!J3492*(1+dps_g)</f>
        <v>5.65691309568</v>
      </c>
    </row>
    <row r="3493" customFormat="false" ht="17.15" hidden="false" customHeight="false" outlineLevel="0" collapsed="false">
      <c r="A3493" s="1" t="s">
        <v>966</v>
      </c>
      <c r="B3493" s="0" t="s">
        <v>98</v>
      </c>
      <c r="E3493" s="6" t="n">
        <f aca="false">Q!M41</f>
        <v>26.445</v>
      </c>
      <c r="F3493" s="6" t="n">
        <f aca="false">Sens!F3492*Sens!E3502</f>
        <v>28.59395</v>
      </c>
      <c r="G3493" s="6" t="n">
        <f aca="false">Sens!G3492*Sens!F3502</f>
        <v>31.068576</v>
      </c>
      <c r="H3493" s="6" t="n">
        <f aca="false">Sens!H3492*Sens!G3502</f>
        <v>33.5888350159995</v>
      </c>
      <c r="I3493" s="6" t="n">
        <f aca="false">Sens!I3492*Sens!H3502</f>
        <v>36.3268810572789</v>
      </c>
      <c r="J3493" s="6" t="n">
        <f aca="false">Sens!J3492*Sens!I3502</f>
        <v>39.3014303901806</v>
      </c>
      <c r="K3493" s="6" t="n">
        <f aca="false">Sens!K3492*Sens!J3502</f>
        <v>42.5328000467001</v>
      </c>
      <c r="L3493" s="1" t="s">
        <v>967</v>
      </c>
    </row>
    <row r="3494" customFormat="false" ht="15" hidden="false" customHeight="false" outlineLevel="0" collapsed="false">
      <c r="A3494" s="1" t="s">
        <v>968</v>
      </c>
      <c r="B3494" s="0" t="s">
        <v>98</v>
      </c>
      <c r="E3494" s="6" t="n">
        <f aca="false">Sens!E3491-Sens!E3493</f>
        <v>37.441</v>
      </c>
      <c r="F3494" s="6" t="n">
        <f aca="false">Sens!F3491-Sens!F3493</f>
        <v>-37.9618197884366</v>
      </c>
      <c r="G3494" s="6" t="n">
        <f aca="false">Sens!G3491-Sens!G3493</f>
        <v>113.447842132565</v>
      </c>
      <c r="H3494" s="6" t="n">
        <f aca="false">Sens!H3491-Sens!H3493</f>
        <v>160.18934234232</v>
      </c>
      <c r="I3494" s="6" t="n">
        <f aca="false">Sens!I3491-Sens!I3493</f>
        <v>143.141373131461</v>
      </c>
      <c r="J3494" s="6" t="n">
        <f aca="false">Sens!J3491-Sens!J3493</f>
        <v>140.519973828037</v>
      </c>
      <c r="K3494" s="6" t="n">
        <f aca="false">Sens!K3491-Sens!K3493</f>
        <v>108.456289968833</v>
      </c>
    </row>
    <row r="3495" customFormat="false" ht="15" hidden="false" customHeight="false" outlineLevel="0" collapsed="false">
      <c r="A3495" s="1" t="s">
        <v>969</v>
      </c>
      <c r="B3495" s="0" t="s">
        <v>98</v>
      </c>
      <c r="F3495" s="6" t="n">
        <f aca="false">debt_mat_27</f>
        <v>9.25</v>
      </c>
      <c r="G3495" s="6" t="n">
        <f aca="false">debt_mat_28</f>
        <v>0</v>
      </c>
      <c r="H3495" s="6" t="n">
        <f aca="false">debt_mat_29</f>
        <v>2.001</v>
      </c>
      <c r="I3495" s="6" t="n">
        <f aca="false">debt_mat_30</f>
        <v>0</v>
      </c>
      <c r="J3495" s="6" t="n">
        <f aca="false">debt_mat_31</f>
        <v>0.5</v>
      </c>
      <c r="K3495" s="6" t="n">
        <f aca="false">debt_mat_32</f>
        <v>0</v>
      </c>
    </row>
    <row r="3496" customFormat="false" ht="15" hidden="false" customHeight="false" outlineLevel="0" collapsed="false">
      <c r="A3496" s="1" t="s">
        <v>970</v>
      </c>
      <c r="B3496" s="0" t="s">
        <v>98</v>
      </c>
      <c r="E3496" s="6" t="n">
        <f aca="false">Q!M40</f>
        <v>22.271</v>
      </c>
      <c r="F3496" s="6" t="n">
        <f aca="false">MAX(0,MIN(bb_target,Sens!E3498+Sens!F3494-Sens!F3495-min_cash))</f>
        <v>0</v>
      </c>
      <c r="G3496" s="6" t="n">
        <f aca="false">MAX(0,MIN(bb_target,Sens!F3498+Sens!G3494-Sens!G3495-min_cash))</f>
        <v>22.271</v>
      </c>
      <c r="H3496" s="6" t="n">
        <f aca="false">MAX(0,MIN(bb_target,Sens!G3498+Sens!H3494-Sens!H3495-min_cash))</f>
        <v>22.271</v>
      </c>
      <c r="I3496" s="6" t="n">
        <f aca="false">MAX(0,MIN(bb_target,Sens!H3498+Sens!I3494-Sens!I3495-min_cash))</f>
        <v>22.271</v>
      </c>
      <c r="J3496" s="6" t="n">
        <f aca="false">MAX(0,MIN(bb_target,Sens!I3498+Sens!J3494-Sens!J3495-min_cash))</f>
        <v>22.271</v>
      </c>
      <c r="K3496" s="6" t="n">
        <f aca="false">MAX(0,MIN(bb_target,Sens!J3498+Sens!K3494-Sens!K3495-min_cash))</f>
        <v>22.271</v>
      </c>
    </row>
    <row r="3497" customFormat="false" ht="15" hidden="false" customHeight="false" outlineLevel="0" collapsed="false">
      <c r="A3497" s="1" t="s">
        <v>971</v>
      </c>
      <c r="B3497" s="0" t="s">
        <v>98</v>
      </c>
      <c r="F3497" s="6" t="n">
        <f aca="false">MAX(0,min_cash-(Sens!E3498+Sens!F3494-Sens!F3495-Sens!F3496))</f>
        <v>20.3688197884366</v>
      </c>
      <c r="G3497" s="6" t="n">
        <f aca="false">MAX(0,min_cash-(Sens!F3498+Sens!G3494-Sens!G3495-Sens!G3496))</f>
        <v>0</v>
      </c>
      <c r="H3497" s="6" t="n">
        <f aca="false">MAX(0,min_cash-(Sens!G3498+Sens!H3494-Sens!H3495-Sens!H3496))</f>
        <v>0</v>
      </c>
      <c r="I3497" s="6" t="n">
        <f aca="false">MAX(0,min_cash-(Sens!H3498+Sens!I3494-Sens!I3495-Sens!I3496))</f>
        <v>0</v>
      </c>
      <c r="J3497" s="6" t="n">
        <f aca="false">MAX(0,min_cash-(Sens!I3498+Sens!J3494-Sens!J3495-Sens!J3496))</f>
        <v>0</v>
      </c>
      <c r="K3497" s="6" t="n">
        <f aca="false">MAX(0,min_cash-(Sens!J3498+Sens!K3494-Sens!K3495-Sens!K3496))</f>
        <v>0</v>
      </c>
    </row>
    <row r="3498" customFormat="false" ht="15" hidden="false" customHeight="false" outlineLevel="0" collapsed="false">
      <c r="A3498" s="1" t="s">
        <v>972</v>
      </c>
      <c r="B3498" s="0" t="s">
        <v>98</v>
      </c>
      <c r="E3498" s="6" t="n">
        <f aca="false">cash_open</f>
        <v>76.843</v>
      </c>
      <c r="F3498" s="6" t="n">
        <f aca="false">Sens!E3498+Sens!F3494-Sens!F3495-Sens!F3496+Sens!F3497</f>
        <v>50</v>
      </c>
      <c r="G3498" s="6" t="n">
        <f aca="false">Sens!F3498+Sens!G3494-Sens!G3495-Sens!G3496+Sens!G3497</f>
        <v>141.176842132565</v>
      </c>
      <c r="H3498" s="6" t="n">
        <f aca="false">Sens!G3498+Sens!H3494-Sens!H3495-Sens!H3496+Sens!H3497</f>
        <v>277.094184474885</v>
      </c>
      <c r="I3498" s="6" t="n">
        <f aca="false">Sens!H3498+Sens!I3494-Sens!I3495-Sens!I3496+Sens!I3497</f>
        <v>397.964557606347</v>
      </c>
      <c r="J3498" s="6" t="n">
        <f aca="false">Sens!I3498+Sens!J3494-Sens!J3495-Sens!J3496+Sens!J3497</f>
        <v>515.713531434384</v>
      </c>
      <c r="K3498" s="6" t="n">
        <f aca="false">Sens!J3498+Sens!K3494-Sens!K3495-Sens!K3496+Sens!K3497</f>
        <v>601.898821403216</v>
      </c>
    </row>
    <row r="3499" customFormat="false" ht="15" hidden="false" customHeight="false" outlineLevel="0" collapsed="false">
      <c r="A3499" s="1" t="s">
        <v>973</v>
      </c>
      <c r="B3499" s="0" t="s">
        <v>98</v>
      </c>
      <c r="E3499" s="6" t="n">
        <f aca="false">debt_face</f>
        <v>46.136</v>
      </c>
      <c r="F3499" s="6" t="n">
        <f aca="false">Sens!E3499-Sens!F3495+Sens!F3497</f>
        <v>57.2548197884366</v>
      </c>
      <c r="G3499" s="6" t="n">
        <f aca="false">Sens!F3499-Sens!G3495+Sens!G3497</f>
        <v>57.2548197884366</v>
      </c>
      <c r="H3499" s="6" t="n">
        <f aca="false">Sens!G3499-Sens!H3495+Sens!H3497</f>
        <v>55.2538197884366</v>
      </c>
      <c r="I3499" s="6" t="n">
        <f aca="false">Sens!H3499-Sens!I3495+Sens!I3497</f>
        <v>55.2538197884366</v>
      </c>
      <c r="J3499" s="6" t="n">
        <f aca="false">Sens!I3499-Sens!J3495+Sens!J3497</f>
        <v>54.7538197884366</v>
      </c>
      <c r="K3499" s="6" t="n">
        <f aca="false">Sens!J3499-Sens!K3495+Sens!K3497</f>
        <v>54.7538197884366</v>
      </c>
    </row>
    <row r="3500" customFormat="false" ht="15" hidden="false" customHeight="false" outlineLevel="0" collapsed="false">
      <c r="A3500" s="1" t="s">
        <v>974</v>
      </c>
      <c r="B3500" s="0" t="s">
        <v>98</v>
      </c>
      <c r="E3500" s="6" t="n">
        <f aca="false">Sens!E3498-Sens!E3499</f>
        <v>30.707</v>
      </c>
      <c r="F3500" s="6" t="n">
        <f aca="false">Sens!F3498-Sens!F3499</f>
        <v>-7.25481978843663</v>
      </c>
      <c r="G3500" s="6" t="n">
        <f aca="false">Sens!G3498-Sens!G3499</f>
        <v>83.9220223441283</v>
      </c>
      <c r="H3500" s="6" t="n">
        <f aca="false">Sens!H3498-Sens!H3499</f>
        <v>221.840364686448</v>
      </c>
      <c r="I3500" s="6" t="n">
        <f aca="false">Sens!I3498-Sens!I3499</f>
        <v>342.71073781791</v>
      </c>
      <c r="J3500" s="6" t="n">
        <f aca="false">Sens!J3498-Sens!J3499</f>
        <v>460.959711645947</v>
      </c>
      <c r="K3500" s="6" t="n">
        <f aca="false">Sens!K3498-Sens!K3499</f>
        <v>547.14500161478</v>
      </c>
    </row>
    <row r="3501" customFormat="false" ht="15" hidden="false" customHeight="false" outlineLevel="0" collapsed="false">
      <c r="A3501" s="1" t="s">
        <v>975</v>
      </c>
      <c r="B3501" s="0" t="s">
        <v>75</v>
      </c>
      <c r="F3501" s="29" t="n">
        <f aca="false">px*(1+bb_g)^(Sens!F3363-base_fy-mid_yr)</f>
        <v>553.494156066711</v>
      </c>
      <c r="G3501" s="29" t="n">
        <f aca="false">px*(1+bb_g)^(Sens!G3363-base_fy-mid_yr)</f>
        <v>597.773688552047</v>
      </c>
      <c r="H3501" s="29" t="n">
        <f aca="false">px*(1+bb_g)^(Sens!H3363-base_fy-mid_yr)</f>
        <v>645.595583636211</v>
      </c>
      <c r="I3501" s="29" t="n">
        <f aca="false">px*(1+bb_g)^(Sens!I3363-base_fy-mid_yr)</f>
        <v>697.243230327108</v>
      </c>
      <c r="J3501" s="29" t="n">
        <f aca="false">px*(1+bb_g)^(Sens!J3363-base_fy-mid_yr)</f>
        <v>753.022688753277</v>
      </c>
      <c r="K3501" s="29" t="n">
        <f aca="false">px*(1+bb_g)^(Sens!K3363-base_fy-mid_yr)</f>
        <v>813.264503853539</v>
      </c>
    </row>
    <row r="3502" customFormat="false" ht="15" hidden="false" customHeight="false" outlineLevel="0" collapsed="false">
      <c r="A3502" s="1" t="s">
        <v>976</v>
      </c>
      <c r="B3502" s="1" t="s">
        <v>81</v>
      </c>
      <c r="E3502" s="14" t="n">
        <f aca="false">sh_out26</f>
        <v>7.427</v>
      </c>
      <c r="F3502" s="14" t="n">
        <f aca="false">Sens!E3502+sh_iss-Sens!F3496/Sens!F3501</f>
        <v>7.472</v>
      </c>
      <c r="G3502" s="14" t="n">
        <f aca="false">Sens!F3502+sh_iss-Sens!G3496/Sens!G3501</f>
        <v>7.47974342543589</v>
      </c>
      <c r="H3502" s="14" t="n">
        <f aca="false">Sens!G3502+sh_iss-Sens!H3496/Sens!H3501</f>
        <v>7.4902465971358</v>
      </c>
      <c r="I3502" s="14" t="n">
        <f aca="false">Sens!H3502+sh_iss-Sens!I3496/Sens!I3501</f>
        <v>7.50330508945052</v>
      </c>
      <c r="J3502" s="14" t="n">
        <f aca="false">Sens!I3502+sh_iss-Sens!J3496/Sens!J3501</f>
        <v>7.51872961937156</v>
      </c>
      <c r="K3502" s="14" t="n">
        <f aca="false">Sens!J3502+sh_iss-Sens!K3496/Sens!K3501</f>
        <v>7.53634492485401</v>
      </c>
    </row>
    <row r="3503" customFormat="false" ht="15" hidden="false" customHeight="false" outlineLevel="0" collapsed="false">
      <c r="A3503" s="1" t="s">
        <v>977</v>
      </c>
      <c r="B3503" s="1" t="s">
        <v>81</v>
      </c>
      <c r="E3503" s="14" t="n">
        <f aca="false">sh_dil26</f>
        <v>7.453</v>
      </c>
      <c r="F3503" s="14" t="n">
        <f aca="false">(Sens!E3502+Sens!F3502)/2+dil_gap</f>
        <v>7.4735</v>
      </c>
      <c r="G3503" s="14" t="n">
        <f aca="false">(Sens!F3502+Sens!G3502)/2+dil_gap</f>
        <v>7.49987171271795</v>
      </c>
      <c r="H3503" s="14" t="n">
        <f aca="false">(Sens!G3502+Sens!H3502)/2+dil_gap</f>
        <v>7.50899501128585</v>
      </c>
      <c r="I3503" s="14" t="n">
        <f aca="false">(Sens!H3502+Sens!I3502)/2+dil_gap</f>
        <v>7.52077584329316</v>
      </c>
      <c r="J3503" s="14" t="n">
        <f aca="false">(Sens!I3502+Sens!J3502)/2+dil_gap</f>
        <v>7.53501735441104</v>
      </c>
      <c r="K3503" s="14" t="n">
        <f aca="false">(Sens!J3502+Sens!K3502)/2+dil_gap</f>
        <v>7.55153727211278</v>
      </c>
    </row>
    <row r="3504" customFormat="false" ht="17.15" hidden="false" customHeight="false" outlineLevel="0" collapsed="false">
      <c r="A3504" s="1" t="s">
        <v>978</v>
      </c>
      <c r="B3504" s="0" t="s">
        <v>98</v>
      </c>
      <c r="C3504" s="6" t="n">
        <f aca="false">SUM(Sens!F3494:J3494)</f>
        <v>519.336711645947</v>
      </c>
    </row>
    <row r="3505" customFormat="false" ht="15" hidden="false" customHeight="false" outlineLevel="0" collapsed="false">
      <c r="A3505" s="23" t="s">
        <v>945</v>
      </c>
      <c r="B3505" s="30" t="s">
        <v>98</v>
      </c>
      <c r="C3505" s="24" t="n">
        <f aca="false">Sens!$C$3504-(Sens!F3494+Sens!G3494+Sens!H3494+Sens!I3494+Sens!J3494)</f>
        <v>0</v>
      </c>
      <c r="D3505" s="30"/>
      <c r="E3505" s="30"/>
      <c r="F3505" s="30"/>
      <c r="G3505" s="30"/>
      <c r="H3505" s="30"/>
      <c r="I3505" s="30"/>
      <c r="J3505" s="30"/>
      <c r="K3505" s="30"/>
    </row>
    <row r="3506" customFormat="false" ht="17.15" hidden="false" customHeight="false" outlineLevel="0" collapsed="false">
      <c r="A3506" s="1" t="s">
        <v>939</v>
      </c>
      <c r="B3506" s="1" t="s">
        <v>979</v>
      </c>
      <c r="C3506" s="32" t="str">
        <f aca="false">IF(SUM(Sens!F3497:J3497)&gt;0.05,"需要舉債 "&amp;TEXT(SUM(Sens!F3497:J3497),"0.0")&amp;" 十億美元","不需舉債")&amp;"；"&amp;IF(SUM(Sens!F3496:J3496)&lt;COUNT(Sens!F3496:J3496)*bb_target-0.05,"回購較每年 "&amp;TEXT(bb_target,"0.0")&amp;" 的目標少 "&amp;TEXT(COUNT(Sens!F3496:J3496)*bb_target-SUM(Sens!F3496:J3496),"0.0")&amp;" 十億美元（"&amp;TEXT(COUNTIF(Sens!F3496:J3496,"&lt;"&amp;(bb_target-0.05)),"0")&amp;" 年減少）","回購不減")</f>
        <v>需要舉債 20.4 十億美元；回購較每年 22.3 的目標少 22.3 十億美元（1 年減少）</v>
      </c>
    </row>
    <row r="3507" customFormat="false" ht="17.15" hidden="false" customHeight="false" outlineLevel="0" collapsed="false">
      <c r="A3507" s="3" t="s">
        <v>1351</v>
      </c>
    </row>
    <row r="3508" customFormat="false" ht="15" hidden="false" customHeight="false" outlineLevel="0" collapsed="false">
      <c r="A3508" s="4" t="s">
        <v>43</v>
      </c>
      <c r="B3508" s="4" t="s">
        <v>65</v>
      </c>
      <c r="C3508" s="20" t="s">
        <v>799</v>
      </c>
      <c r="D3508" s="20" t="s">
        <v>800</v>
      </c>
      <c r="E3508" s="20" t="s">
        <v>801</v>
      </c>
      <c r="F3508" s="20" t="s">
        <v>802</v>
      </c>
      <c r="G3508" s="20" t="s">
        <v>803</v>
      </c>
      <c r="H3508" s="20" t="s">
        <v>804</v>
      </c>
      <c r="I3508" s="20" t="s">
        <v>805</v>
      </c>
      <c r="J3508" s="20" t="s">
        <v>806</v>
      </c>
      <c r="K3508" s="20" t="s">
        <v>807</v>
      </c>
      <c r="L3508" s="4" t="s">
        <v>47</v>
      </c>
    </row>
    <row r="3509" customFormat="false" ht="15" hidden="false" customHeight="false" outlineLevel="0" collapsed="false">
      <c r="A3509" s="1" t="s">
        <v>1057</v>
      </c>
      <c r="B3509" s="1" t="s">
        <v>235</v>
      </c>
      <c r="F3509" s="36" t="n">
        <f aca="false">Sens!F3363-base_fy-mid_yr</f>
        <v>0.5</v>
      </c>
      <c r="G3509" s="36" t="n">
        <f aca="false">Sens!G3363-base_fy-mid_yr</f>
        <v>1.5</v>
      </c>
      <c r="H3509" s="36" t="n">
        <f aca="false">Sens!H3363-base_fy-mid_yr</f>
        <v>2.5</v>
      </c>
      <c r="I3509" s="36" t="n">
        <f aca="false">Sens!I3363-base_fy-mid_yr</f>
        <v>3.5</v>
      </c>
      <c r="J3509" s="36" t="n">
        <f aca="false">Sens!J3363-base_fy-mid_yr</f>
        <v>4.5</v>
      </c>
      <c r="K3509" s="36" t="n">
        <f aca="false">Sens!K3363-base_fy-mid_yr</f>
        <v>5.5</v>
      </c>
    </row>
    <row r="3510" customFormat="false" ht="15" hidden="false" customHeight="false" outlineLevel="0" collapsed="false">
      <c r="A3510" s="1" t="s">
        <v>1058</v>
      </c>
      <c r="B3510" s="0" t="s">
        <v>185</v>
      </c>
      <c r="F3510" s="14" t="n">
        <f aca="false">1/(1+wacc)^Sens!F3509</f>
        <v>0.952193373608246</v>
      </c>
      <c r="G3510" s="14" t="n">
        <f aca="false">1/(1+wacc)^Sens!G3509</f>
        <v>0.863327280626589</v>
      </c>
      <c r="H3510" s="14" t="n">
        <f aca="false">1/(1+wacc)^Sens!H3509</f>
        <v>0.782754862754115</v>
      </c>
      <c r="I3510" s="14" t="n">
        <f aca="false">1/(1+wacc)^Sens!I3509</f>
        <v>0.709702089711011</v>
      </c>
      <c r="J3510" s="14" t="n">
        <f aca="false">1/(1+wacc)^Sens!J3509</f>
        <v>0.643467169744551</v>
      </c>
      <c r="K3510" s="14" t="n">
        <f aca="false">1/(1+wacc)^Sens!K3509</f>
        <v>0.583413807767797</v>
      </c>
    </row>
    <row r="3511" customFormat="false" ht="17.15" hidden="false" customHeight="false" outlineLevel="0" collapsed="false">
      <c r="A3511" s="1" t="s">
        <v>1059</v>
      </c>
      <c r="B3511" s="0" t="s">
        <v>98</v>
      </c>
      <c r="F3511" s="6" t="n">
        <f aca="false">Sens!F3484-Sens!F3482-Sens!F3488+Sens!F3467*(1-tax_f)</f>
        <v>-16.8009792459133</v>
      </c>
      <c r="G3511" s="6" t="n">
        <f aca="false">Sens!G3484-Sens!G3482-Sens!G3488+Sens!G3467*(1-tax_f)</f>
        <v>137.151843950103</v>
      </c>
      <c r="H3511" s="6" t="n">
        <f aca="false">Sens!H3484-Sens!H3482-Sens!H3488+Sens!H3467*(1-tax_f)</f>
        <v>184.539769135442</v>
      </c>
      <c r="I3511" s="6" t="n">
        <f aca="false">Sens!I3484-Sens!I3482-Sens!I3488+Sens!I3467*(1-tax_f)</f>
        <v>168.063209777571</v>
      </c>
      <c r="J3511" s="6" t="n">
        <f aca="false">Sens!J3484-Sens!J3482-Sens!J3488+Sens!J3467*(1-tax_f)</f>
        <v>166.86388497109</v>
      </c>
      <c r="K3511" s="6" t="n">
        <f aca="false">Sens!K3484-Sens!K3482-Sens!K3488+Sens!K3467*(1-tax_f)</f>
        <v>136.926952901574</v>
      </c>
      <c r="L3511" s="1" t="s">
        <v>1060</v>
      </c>
    </row>
    <row r="3512" customFormat="false" ht="15" hidden="false" customHeight="false" outlineLevel="0" collapsed="false">
      <c r="A3512" s="1" t="s">
        <v>1061</v>
      </c>
      <c r="B3512" s="0" t="s">
        <v>98</v>
      </c>
      <c r="F3512" s="6" t="n">
        <f aca="false">Sens!F3511*Sens!F3510</f>
        <v>-15.9977811080883</v>
      </c>
      <c r="G3512" s="6" t="n">
        <f aca="false">Sens!G3511*Sens!G3510</f>
        <v>118.406928470364</v>
      </c>
      <c r="H3512" s="6" t="n">
        <f aca="false">Sens!H3511*Sens!H3510</f>
        <v>144.449401662289</v>
      </c>
      <c r="I3512" s="6" t="n">
        <f aca="false">Sens!I3511*Sens!I3510</f>
        <v>119.274811182682</v>
      </c>
      <c r="J3512" s="6" t="n">
        <f aca="false">Sens!J3511*Sens!J3510</f>
        <v>107.371431794928</v>
      </c>
      <c r="K3512" s="6" t="n">
        <f aca="false">Sens!K3511*Sens!K3510</f>
        <v>79.8850749783488</v>
      </c>
    </row>
    <row r="3513" customFormat="false" ht="17.15" hidden="false" customHeight="false" outlineLevel="0" collapsed="false">
      <c r="A3513" s="1" t="s">
        <v>1062</v>
      </c>
      <c r="B3513" s="0" t="s">
        <v>98</v>
      </c>
      <c r="C3513" s="6" t="n">
        <f aca="false">SUM(Sens!F3512:K3512)</f>
        <v>553.389866980524</v>
      </c>
    </row>
    <row r="3514" customFormat="false" ht="17.15" hidden="false" customHeight="false" outlineLevel="0" collapsed="false">
      <c r="A3514" s="1" t="s">
        <v>1063</v>
      </c>
      <c r="B3514" s="0" t="s">
        <v>98</v>
      </c>
      <c r="C3514" s="6" t="n">
        <f aca="false">Sens!K3453*(1+g_tv)*(1-tax_f)</f>
        <v>213.874880597834</v>
      </c>
    </row>
    <row r="3515" customFormat="false" ht="17.15" hidden="false" customHeight="false" outlineLevel="0" collapsed="false">
      <c r="A3515" s="1" t="s">
        <v>1064</v>
      </c>
      <c r="B3515" s="0" t="s">
        <v>98</v>
      </c>
      <c r="C3515" s="6" t="n">
        <f aca="false">Sens!$C$3514*(1-g_tv/(wacc+ronic_prem))</f>
        <v>151.541538532607</v>
      </c>
    </row>
    <row r="3516" customFormat="false" ht="17.15" hidden="false" customHeight="false" outlineLevel="0" collapsed="false">
      <c r="A3516" s="1" t="s">
        <v>1065</v>
      </c>
      <c r="B3516" s="0" t="s">
        <v>98</v>
      </c>
      <c r="C3516" s="6" t="n">
        <f aca="false">Sens!$C$3515/(wacc-g_tv)</f>
        <v>2077.77806884091</v>
      </c>
    </row>
    <row r="3517" customFormat="false" ht="15" hidden="false" customHeight="false" outlineLevel="0" collapsed="false">
      <c r="A3517" s="1" t="s">
        <v>1066</v>
      </c>
      <c r="B3517" s="0" t="s">
        <v>98</v>
      </c>
      <c r="C3517" s="6" t="n">
        <f aca="false">Sens!$C$3516/(1+wacc)^(Sens!K3509+mid_yr)</f>
        <v>1154.25301126826</v>
      </c>
    </row>
    <row r="3518" customFormat="false" ht="17.15" hidden="false" customHeight="false" outlineLevel="0" collapsed="false">
      <c r="A3518" s="0" t="s">
        <v>986</v>
      </c>
      <c r="B3518" s="0" t="s">
        <v>98</v>
      </c>
      <c r="C3518" s="6" t="n">
        <f aca="false">Sens!$C$3513+Sens!$C$3517</f>
        <v>1707.64287824878</v>
      </c>
    </row>
    <row r="3519" customFormat="false" ht="15" hidden="false" customHeight="false" outlineLevel="0" collapsed="false">
      <c r="A3519" s="1" t="s">
        <v>987</v>
      </c>
      <c r="B3519" s="0" t="s">
        <v>129</v>
      </c>
      <c r="C3519" s="7" t="n">
        <f aca="false">Sens!$C$3517/Sens!$C$3518</f>
        <v>0.675933490526992</v>
      </c>
    </row>
    <row r="3520" customFormat="false" ht="17.15" hidden="false" customHeight="false" outlineLevel="0" collapsed="false">
      <c r="A3520" s="1" t="s">
        <v>1067</v>
      </c>
      <c r="B3520" s="0" t="s">
        <v>98</v>
      </c>
      <c r="C3520" s="6" t="n">
        <f aca="false">Sens!$C$3518+Sens!E3500-Sens!E3489+oai_v</f>
        <v>1842.15587824878</v>
      </c>
    </row>
    <row r="3521" customFormat="false" ht="17.15" hidden="false" customHeight="false" outlineLevel="0" collapsed="false">
      <c r="A3521" s="0" t="s">
        <v>994</v>
      </c>
      <c r="B3521" s="0" t="s">
        <v>75</v>
      </c>
      <c r="C3521" s="5" t="n">
        <f aca="false">Sens!$C$3520/sh_dil26</f>
        <v>247.169713974075</v>
      </c>
    </row>
    <row r="3522" customFormat="false" ht="15" hidden="false" customHeight="false" outlineLevel="0" collapsed="false">
      <c r="A3522" s="1" t="s">
        <v>1068</v>
      </c>
      <c r="B3522" s="0" t="s">
        <v>75</v>
      </c>
      <c r="C3522" s="8" t="n">
        <f aca="false">dps_27+Sens!G3492*roll_div_q/q_per_yr</f>
        <v>4.8895</v>
      </c>
    </row>
    <row r="3523" customFormat="false" ht="17.15" hidden="false" customHeight="false" outlineLevel="0" collapsed="false">
      <c r="A3523" s="0" t="s">
        <v>1069</v>
      </c>
      <c r="B3523" s="0" t="s">
        <v>75</v>
      </c>
      <c r="C3523" s="5" t="n">
        <f aca="false">Sens!$C$3521*(1+wacc)^t_roll-Sens!$C$3522</f>
        <v>276.570906181807</v>
      </c>
    </row>
    <row r="3524" customFormat="false" ht="17.15" hidden="false" customHeight="false" outlineLevel="0" collapsed="false">
      <c r="A3524" s="1" t="s">
        <v>1070</v>
      </c>
      <c r="B3524" s="0" t="s">
        <v>129</v>
      </c>
      <c r="F3524" s="7" t="n">
        <f aca="false">Sens!F3479/(Sens!F3424-Sens!F3380)</f>
        <v>0.108967867827829</v>
      </c>
      <c r="G3524" s="7" t="n">
        <f aca="false">Sens!G3479/(Sens!G3424-Sens!G3380)</f>
        <v>0.098868419353268</v>
      </c>
      <c r="H3524" s="7" t="n">
        <f aca="false">Sens!H3479/(Sens!H3424-Sens!H3380)</f>
        <v>0.0916428920960549</v>
      </c>
      <c r="I3524" s="7" t="n">
        <f aca="false">Sens!I3479/(Sens!I3424-Sens!I3380)</f>
        <v>0.0868190222077095</v>
      </c>
      <c r="J3524" s="7" t="n">
        <f aca="false">Sens!J3479/(Sens!J3424-Sens!J3380)</f>
        <v>0.0838677485608586</v>
      </c>
      <c r="K3524" s="7" t="n">
        <f aca="false">Sens!K3479/(Sens!K3424-Sens!K3380)</f>
        <v>0.0822923047613777</v>
      </c>
    </row>
    <row r="3525" customFormat="false" ht="17.15" hidden="false" customHeight="false" outlineLevel="0" collapsed="false">
      <c r="A3525" s="0" t="s">
        <v>1071</v>
      </c>
      <c r="B3525" s="0" t="s">
        <v>98</v>
      </c>
      <c r="F3525" s="6" t="n">
        <f aca="false">Sens!F3409*(al_m365+Sens!F3524+sbc_r)</f>
        <v>87.6158619014162</v>
      </c>
      <c r="G3525" s="6" t="n">
        <f aca="false">Sens!G3409*(al_m365+Sens!G3524+sbc_r)</f>
        <v>97.5857772917693</v>
      </c>
      <c r="H3525" s="6" t="n">
        <f aca="false">Sens!H3409*(al_m365+Sens!H3524+sbc_r)</f>
        <v>107.733460099927</v>
      </c>
      <c r="I3525" s="6" t="n">
        <f aca="false">Sens!I3409*(al_m365+Sens!I3524+sbc_r)</f>
        <v>117.381513816155</v>
      </c>
      <c r="J3525" s="6" t="n">
        <f aca="false">Sens!J3409*(al_m365+Sens!J3524+sbc_r)</f>
        <v>126.350583016703</v>
      </c>
      <c r="K3525" s="6" t="n">
        <f aca="false">Sens!K3409*(al_m365+Sens!K3524+sbc_r)</f>
        <v>134.95918716829</v>
      </c>
      <c r="L3525" s="11" t="s">
        <v>1072</v>
      </c>
    </row>
    <row r="3526" customFormat="false" ht="17.15" hidden="false" customHeight="false" outlineLevel="0" collapsed="false">
      <c r="A3526" s="0" t="s">
        <v>1073</v>
      </c>
      <c r="B3526" s="0" t="s">
        <v>98</v>
      </c>
      <c r="F3526" s="6" t="n">
        <f aca="false">Sens!F3410*(al_lic+Sens!F3524+sbc_r)</f>
        <v>35.0222797225425</v>
      </c>
      <c r="G3526" s="6" t="n">
        <f aca="false">Sens!G3410*(al_lic+Sens!G3524+sbc_r)</f>
        <v>36.0939573678035</v>
      </c>
      <c r="H3526" s="6" t="n">
        <f aca="false">Sens!H3410*(al_lic+Sens!H3524+sbc_r)</f>
        <v>37.1156190626302</v>
      </c>
      <c r="I3526" s="6" t="n">
        <f aca="false">Sens!I3410*(al_lic+Sens!I3524+sbc_r)</f>
        <v>38.0625621445862</v>
      </c>
      <c r="J3526" s="6" t="n">
        <f aca="false">Sens!J3410*(al_lic+Sens!J3524+sbc_r)</f>
        <v>38.9046479757698</v>
      </c>
      <c r="K3526" s="6" t="n">
        <f aca="false">Sens!K3410*(al_lic+Sens!K3524+sbc_r)</f>
        <v>39.6109843738662</v>
      </c>
    </row>
    <row r="3527" customFormat="false" ht="17.15" hidden="false" customHeight="false" outlineLevel="0" collapsed="false">
      <c r="A3527" s="0" t="s">
        <v>1074</v>
      </c>
      <c r="B3527" s="0" t="s">
        <v>98</v>
      </c>
      <c r="F3527" s="6" t="n">
        <f aca="false">Sens!F3412*(al_ind+Sens!F3524+sbc_r)</f>
        <v>9.97915544217539</v>
      </c>
      <c r="G3527" s="6" t="n">
        <f aca="false">Sens!G3412*(al_ind+Sens!G3524+sbc_r)</f>
        <v>10.6616310018823</v>
      </c>
      <c r="H3527" s="6" t="n">
        <f aca="false">Sens!H3412*(al_ind+Sens!H3524+sbc_r)</f>
        <v>11.4008394877734</v>
      </c>
      <c r="I3527" s="6" t="n">
        <f aca="false">Sens!I3412*(al_ind+Sens!I3524+sbc_r)</f>
        <v>12.1920704417503</v>
      </c>
      <c r="J3527" s="6" t="n">
        <f aca="false">Sens!J3412*(al_ind+Sens!J3524+sbc_r)</f>
        <v>13.0247463232861</v>
      </c>
      <c r="K3527" s="6" t="n">
        <f aca="false">Sens!K3412*(al_ind+Sens!K3524+sbc_r)</f>
        <v>13.8843572097178</v>
      </c>
    </row>
    <row r="3528" customFormat="false" ht="17.15" hidden="false" customHeight="false" outlineLevel="0" collapsed="false">
      <c r="A3528" s="0" t="s">
        <v>1075</v>
      </c>
      <c r="B3528" s="0" t="s">
        <v>98</v>
      </c>
      <c r="F3528" s="6" t="n">
        <f aca="false">Sens!F3414*(al_fro+Sens!F3524+sbc_r)</f>
        <v>3.92783061686847</v>
      </c>
      <c r="G3528" s="6" t="n">
        <f aca="false">Sens!G3414*(al_fro+Sens!G3524+sbc_r)</f>
        <v>4.09343597125663</v>
      </c>
      <c r="H3528" s="6" t="n">
        <f aca="false">Sens!H3414*(al_fro+Sens!H3524+sbc_r)</f>
        <v>4.29622654184026</v>
      </c>
      <c r="I3528" s="6" t="n">
        <f aca="false">Sens!I3414*(al_fro+Sens!I3524+sbc_r)</f>
        <v>4.53739240718678</v>
      </c>
      <c r="J3528" s="6" t="n">
        <f aca="false">Sens!J3414*(al_fro+Sens!J3524+sbc_r)</f>
        <v>4.81705173042364</v>
      </c>
      <c r="K3528" s="6" t="n">
        <f aca="false">Sens!K3414*(al_fro+Sens!K3524+sbc_r)</f>
        <v>5.13496887101116</v>
      </c>
    </row>
    <row r="3529" customFormat="false" ht="17.15" hidden="false" customHeight="false" outlineLevel="0" collapsed="false">
      <c r="A3529" s="0" t="s">
        <v>1076</v>
      </c>
      <c r="B3529" s="0" t="s">
        <v>98</v>
      </c>
      <c r="F3529" s="6" t="n">
        <f aca="false">Sens!F3417*(al_srch+Sens!F3524+sbc_r)</f>
        <v>12.3244011504429</v>
      </c>
      <c r="G3529" s="6" t="n">
        <f aca="false">Sens!G3417*(al_srch+Sens!G3524+sbc_r)</f>
        <v>13.2915066223821</v>
      </c>
      <c r="H3529" s="6" t="n">
        <f aca="false">Sens!H3417*(al_srch+Sens!H3524+sbc_r)</f>
        <v>14.3141676676563</v>
      </c>
      <c r="I3529" s="6" t="n">
        <f aca="false">Sens!I3417*(al_srch+Sens!I3524+sbc_r)</f>
        <v>15.3805753561199</v>
      </c>
      <c r="J3529" s="6" t="n">
        <f aca="false">Sens!J3417*(al_srch+Sens!J3524+sbc_r)</f>
        <v>16.4703980861506</v>
      </c>
      <c r="K3529" s="6" t="n">
        <f aca="false">Sens!K3417*(al_srch+Sens!K3524+sbc_r)</f>
        <v>17.5574160707855</v>
      </c>
    </row>
    <row r="3530" customFormat="false" ht="17.15" hidden="false" customHeight="false" outlineLevel="0" collapsed="false">
      <c r="A3530" s="0" t="s">
        <v>1077</v>
      </c>
      <c r="B3530" s="0" t="s">
        <v>98</v>
      </c>
      <c r="F3530" s="6" t="n">
        <f aca="false">Sens!F3386-Sens!F3387+Sens!F3467</f>
        <v>23.869976045975</v>
      </c>
      <c r="G3530" s="6" t="n">
        <f aca="false">Sens!G3386-Sens!G3387+Sens!G3467</f>
        <v>25.5657799281663</v>
      </c>
      <c r="H3530" s="6" t="n">
        <f aca="false">Sens!H3386-Sens!H3387+Sens!H3467</f>
        <v>22.7333429621066</v>
      </c>
      <c r="I3530" s="6" t="n">
        <f aca="false">Sens!I3386-Sens!I3387+Sens!I3467</f>
        <v>22.6437143149576</v>
      </c>
      <c r="J3530" s="6" t="n">
        <f aca="false">Sens!J3386-Sens!J3387+Sens!J3467</f>
        <v>23.5920105137874</v>
      </c>
      <c r="K3530" s="6" t="n">
        <f aca="false">Sens!K3386-Sens!K3387+Sens!K3467</f>
        <v>26.3206506644515</v>
      </c>
    </row>
    <row r="3531" customFormat="false" ht="17.15" hidden="false" customHeight="false" outlineLevel="0" collapsed="false">
      <c r="A3531" s="0" t="s">
        <v>1078</v>
      </c>
      <c r="B3531" s="0" t="s">
        <v>98</v>
      </c>
      <c r="F3531" s="6" t="n">
        <f aca="false">Sens!F3446+Sens!F3467+Sens!F3397+Sens!F3524*(Sens!F3416-Sens!F3380)+sbc_r*Sens!F3416</f>
        <v>210.696217244666</v>
      </c>
      <c r="G3531" s="6" t="n">
        <f aca="false">Sens!G3446+Sens!G3467+Sens!G3397+Sens!G3524*(Sens!G3416-Sens!G3380)+sbc_r*Sens!G3416</f>
        <v>236.839792245512</v>
      </c>
      <c r="H3531" s="6" t="n">
        <f aca="false">Sens!H3446+Sens!H3467+Sens!H3397+Sens!H3524*(Sens!H3416-Sens!H3380)+sbc_r*Sens!H3416</f>
        <v>258.6319109533</v>
      </c>
      <c r="I3531" s="6" t="n">
        <f aca="false">Sens!I3446+Sens!I3467+Sens!I3397+Sens!I3524*(Sens!I3416-Sens!I3380)+sbc_r*Sens!I3416</f>
        <v>282.431039834428</v>
      </c>
      <c r="J3531" s="6" t="n">
        <f aca="false">Sens!J3446+Sens!J3467+Sens!J3397+Sens!J3524*(Sens!J3416-Sens!J3380)+sbc_r*Sens!J3416</f>
        <v>305.604559306843</v>
      </c>
      <c r="K3531" s="6" t="n">
        <f aca="false">Sens!K3446+Sens!K3467+Sens!K3397+Sens!K3524*(Sens!K3416-Sens!K3380)+sbc_r*Sens!K3416</f>
        <v>328.506934788973</v>
      </c>
    </row>
    <row r="3532" customFormat="false" ht="17.15" hidden="false" customHeight="false" outlineLevel="0" collapsed="false">
      <c r="A3532" s="0" t="s">
        <v>1079</v>
      </c>
      <c r="B3532" s="0" t="s">
        <v>98</v>
      </c>
      <c r="F3532" s="6" t="n">
        <f aca="false">Sens!F3531-Sens!F3525-Sens!F3526-Sens!F3527-Sens!F3528-Sens!F3530</f>
        <v>50.2811135156888</v>
      </c>
      <c r="G3532" s="6" t="n">
        <f aca="false">Sens!G3531-Sens!G3525-Sens!G3526-Sens!G3527-Sens!G3528-Sens!G3530</f>
        <v>62.8392106846336</v>
      </c>
      <c r="H3532" s="6" t="n">
        <f aca="false">Sens!H3531-Sens!H3525-Sens!H3526-Sens!H3527-Sens!H3528-Sens!H3530</f>
        <v>75.3524227990223</v>
      </c>
      <c r="I3532" s="6" t="n">
        <f aca="false">Sens!I3531-Sens!I3525-Sens!I3526-Sens!I3527-Sens!I3528-Sens!I3530</f>
        <v>87.6137867097918</v>
      </c>
      <c r="J3532" s="6" t="n">
        <f aca="false">Sens!J3531-Sens!J3525-Sens!J3526-Sens!J3527-Sens!J3528-Sens!J3530</f>
        <v>98.9155197468724</v>
      </c>
      <c r="K3532" s="6" t="n">
        <f aca="false">Sens!K3531-Sens!K3525-Sens!K3526-Sens!K3527-Sens!K3528-Sens!K3530</f>
        <v>108.596786501636</v>
      </c>
    </row>
    <row r="3533" customFormat="false" ht="17.15" hidden="false" customHeight="false" outlineLevel="0" collapsed="false">
      <c r="A3533" s="0" t="s">
        <v>1080</v>
      </c>
      <c r="B3533" s="0" t="s">
        <v>98</v>
      </c>
      <c r="F3533" s="6" t="n">
        <f aca="false">Sens!F3448+Sens!F3524*Sens!F3423+sbc_r*Sens!F3423</f>
        <v>28.828951177212</v>
      </c>
      <c r="G3533" s="6" t="n">
        <f aca="false">Sens!G3448+Sens!G3524*Sens!G3423+sbc_r*Sens!G3423</f>
        <v>29.028962579329</v>
      </c>
      <c r="H3533" s="6" t="n">
        <f aca="false">Sens!H3448+Sens!H3524*Sens!H3423+sbc_r*Sens!H3423</f>
        <v>29.5863823275413</v>
      </c>
      <c r="I3533" s="6" t="n">
        <f aca="false">Sens!I3448+Sens!I3524*Sens!I3423+sbc_r*Sens!I3423</f>
        <v>30.4474544391514</v>
      </c>
      <c r="J3533" s="6" t="n">
        <f aca="false">Sens!J3448+Sens!J3524*Sens!J3423+sbc_r*Sens!J3423</f>
        <v>31.5616860949492</v>
      </c>
      <c r="K3533" s="6" t="n">
        <f aca="false">Sens!K3448+Sens!K3524*Sens!K3423+sbc_r*Sens!K3423</f>
        <v>32.8844538466245</v>
      </c>
    </row>
    <row r="3534" customFormat="false" ht="17.15" hidden="false" customHeight="false" outlineLevel="0" collapsed="false">
      <c r="A3534" s="0" t="s">
        <v>1081</v>
      </c>
      <c r="B3534" s="0" t="s">
        <v>98</v>
      </c>
      <c r="F3534" s="6" t="n">
        <f aca="false">(Sens!F3533-Sens!F3529)*Sens!F3419/(Sens!F3419+Sens!F3421)</f>
        <v>9.04763357268685</v>
      </c>
      <c r="G3534" s="6" t="n">
        <f aca="false">(Sens!G3533-Sens!G3529)*Sens!G3419/(Sens!G3419+Sens!G3421)</f>
        <v>8.47329906626119</v>
      </c>
      <c r="H3534" s="6" t="n">
        <f aca="false">(Sens!H3533-Sens!H3529)*Sens!H3419/(Sens!H3419+Sens!H3421)</f>
        <v>8.11172931623856</v>
      </c>
      <c r="I3534" s="6" t="n">
        <f aca="false">(Sens!I3533-Sens!I3529)*Sens!I3419/(Sens!I3419+Sens!I3421)</f>
        <v>7.93025853910794</v>
      </c>
      <c r="J3534" s="6" t="n">
        <f aca="false">(Sens!J3533-Sens!J3529)*Sens!J3419/(Sens!J3419+Sens!J3421)</f>
        <v>7.90718743244448</v>
      </c>
      <c r="K3534" s="6" t="n">
        <f aca="false">(Sens!K3533-Sens!K3529)*Sens!K3419/(Sens!K3419+Sens!K3421)</f>
        <v>8.03071019564782</v>
      </c>
    </row>
    <row r="3535" customFormat="false" ht="17.15" hidden="false" customHeight="false" outlineLevel="0" collapsed="false">
      <c r="A3535" s="0" t="s">
        <v>1082</v>
      </c>
      <c r="B3535" s="0" t="s">
        <v>98</v>
      </c>
      <c r="F3535" s="6" t="n">
        <f aca="false">Sens!F3533-Sens!F3529-Sens!F3534</f>
        <v>7.45691645408224</v>
      </c>
      <c r="G3535" s="6" t="n">
        <f aca="false">Sens!G3533-Sens!G3529-Sens!G3534</f>
        <v>7.26415689068576</v>
      </c>
      <c r="H3535" s="6" t="n">
        <f aca="false">Sens!H3533-Sens!H3529-Sens!H3534</f>
        <v>7.16048534364637</v>
      </c>
      <c r="I3535" s="6" t="n">
        <f aca="false">Sens!I3533-Sens!I3529-Sens!I3534</f>
        <v>7.13662054392361</v>
      </c>
      <c r="J3535" s="6" t="n">
        <f aca="false">Sens!J3533-Sens!J3529-Sens!J3534</f>
        <v>7.18410057635403</v>
      </c>
      <c r="K3535" s="6" t="n">
        <f aca="false">Sens!K3533-Sens!K3529-Sens!K3534</f>
        <v>7.29632758019118</v>
      </c>
    </row>
    <row r="3536" customFormat="false" ht="17.15" hidden="false" customHeight="false" outlineLevel="0" collapsed="false">
      <c r="A3536" s="0" t="s">
        <v>1083</v>
      </c>
      <c r="B3536" s="0" t="s">
        <v>98</v>
      </c>
      <c r="F3536" s="6" t="n">
        <f aca="false">Sens!F3530-tax_f*(Sens!F3530-Sens!F3397)-Sens!F3394</f>
        <v>-6.6461648112867</v>
      </c>
      <c r="G3536" s="6" t="n">
        <f aca="false">Sens!G3530-tax_f*(Sens!G3530-Sens!G3397)-Sens!G3394</f>
        <v>-8.96166505900029</v>
      </c>
      <c r="H3536" s="6" t="n">
        <f aca="false">Sens!H3530-tax_f*(Sens!H3530-Sens!H3397)-Sens!H3394</f>
        <v>24.591652267752</v>
      </c>
      <c r="I3536" s="6" t="n">
        <f aca="false">Sens!I3530-tax_f*(Sens!I3530-Sens!I3397)-Sens!I3394</f>
        <v>-5.60997115071723</v>
      </c>
      <c r="J3536" s="6" t="n">
        <f aca="false">Sens!J3530-tax_f*(Sens!J3530-Sens!J3397)-Sens!J3394</f>
        <v>-19.9662329185701</v>
      </c>
      <c r="K3536" s="6" t="n">
        <f aca="false">Sens!K3530-tax_f*(Sens!K3530-Sens!K3397)-Sens!K3394</f>
        <v>-62.2818611931221</v>
      </c>
    </row>
    <row r="3537" customFormat="false" ht="17.15" hidden="false" customHeight="false" outlineLevel="0" collapsed="false">
      <c r="A3537" s="0" t="s">
        <v>1084</v>
      </c>
      <c r="B3537" s="0" t="s">
        <v>98</v>
      </c>
      <c r="G3537" s="6" t="n">
        <f aca="false">Sens!G3536/(1+wacc)^(Sens!G3509-(Sens!F3509+mid_yr))</f>
        <v>-8.53323808567663</v>
      </c>
      <c r="H3537" s="6" t="n">
        <f aca="false">Sens!H3536/(1+wacc)^(Sens!H3509-(Sens!F3509+mid_yr))</f>
        <v>21.230644278433</v>
      </c>
      <c r="I3537" s="6" t="n">
        <f aca="false">Sens!I3536/(1+wacc)^(Sens!I3509-(Sens!F3509+mid_yr))</f>
        <v>-4.39123219813421</v>
      </c>
      <c r="J3537" s="6" t="n">
        <f aca="false">Sens!J3536/(1+wacc)^(Sens!J3509-(Sens!F3509+mid_yr))</f>
        <v>-14.170077225966</v>
      </c>
      <c r="K3537" s="6" t="n">
        <f aca="false">Sens!K3536/(1+wacc)^(Sens!K3509-(Sens!F3509+mid_yr))</f>
        <v>-40.0763329483613</v>
      </c>
      <c r="L3537" s="1" t="s">
        <v>1085</v>
      </c>
    </row>
    <row r="3538" customFormat="false" ht="17.15" hidden="false" customHeight="false" outlineLevel="0" collapsed="false">
      <c r="A3538" s="0" t="s">
        <v>1086</v>
      </c>
      <c r="B3538" s="0" t="s">
        <v>98</v>
      </c>
      <c r="C3538" s="6" t="n">
        <f aca="false">(Sens!K3530-Sens!K3397)*(1-tax_f)*(1+g_tv)*(1-g_tv/(wacc+ronic_prem))/(wacc-g_tv)/(1+wacc)^(Sens!K3509+mid_yr-(Sens!F3509+mid_yr))</f>
        <v>-53.3028733543556</v>
      </c>
    </row>
    <row r="3539" customFormat="false" ht="17.15" hidden="false" customHeight="false" outlineLevel="0" collapsed="false">
      <c r="A3539" s="1" t="s">
        <v>1087</v>
      </c>
      <c r="B3539" s="0" t="s">
        <v>98</v>
      </c>
      <c r="C3539" s="6" t="n">
        <f aca="false">(SUM(Sens!G3537:K3537)+Sens!$C$3538)*(1+wacc)^(t_roll-(Sens!F3509+mid_yr))</f>
        <v>-102.464335547057</v>
      </c>
      <c r="L3539" s="11" t="s">
        <v>1088</v>
      </c>
    </row>
    <row r="3540" customFormat="false" ht="17.15" hidden="false" customHeight="false" outlineLevel="0" collapsed="false">
      <c r="A3540" s="1" t="s">
        <v>1089</v>
      </c>
      <c r="B3540" s="0" t="s">
        <v>98</v>
      </c>
      <c r="C3540" s="6" t="n">
        <f aca="false">(w_ntm28*Sens!G3386+(1-w_ntm28)*Sens!H3386)*m_ai</f>
        <v>153.268235565806</v>
      </c>
    </row>
    <row r="3541" customFormat="false" ht="17.15" hidden="false" customHeight="false" outlineLevel="0" collapsed="false">
      <c r="A3541" s="1" t="s">
        <v>1090</v>
      </c>
      <c r="B3541" s="0" t="s">
        <v>98</v>
      </c>
      <c r="C3541" s="6" t="n">
        <f aca="false">(w_ntm28*Sens!G3532+(1-w_ntm28)*Sens!H3532)*m_cloud</f>
        <v>924.34486642235</v>
      </c>
    </row>
    <row r="3542" customFormat="false" ht="17.15" hidden="false" customHeight="false" outlineLevel="0" collapsed="false">
      <c r="A3542" s="1" t="s">
        <v>1091</v>
      </c>
      <c r="B3542" s="0" t="s">
        <v>98</v>
      </c>
      <c r="C3542" s="6" t="n">
        <f aca="false">(w_ntm28*Sens!G3525+(1-w_ntm28)*Sens!H3525)*m_sw</f>
        <v>1089.35709878047</v>
      </c>
    </row>
    <row r="3543" customFormat="false" ht="17.15" hidden="false" customHeight="false" outlineLevel="0" collapsed="false">
      <c r="A3543" s="1" t="s">
        <v>1092</v>
      </c>
      <c r="B3543" s="0" t="s">
        <v>98</v>
      </c>
      <c r="C3543" s="6" t="n">
        <f aca="false">(w_ntm28*Sens!G3526+(1-w_ntm28)*Sens!H3526)*m_sw</f>
        <v>393.381878377448</v>
      </c>
    </row>
    <row r="3544" customFormat="false" ht="17.15" hidden="false" customHeight="false" outlineLevel="0" collapsed="false">
      <c r="A3544" s="1" t="s">
        <v>1093</v>
      </c>
      <c r="B3544" s="0" t="s">
        <v>98</v>
      </c>
      <c r="C3544" s="6" t="n">
        <f aca="false">(w_ntm28*Sens!G3527+(1-w_ntm28)*Sens!H3527)*m_sw</f>
        <v>117.72656631189</v>
      </c>
    </row>
    <row r="3545" customFormat="false" ht="17.15" hidden="false" customHeight="false" outlineLevel="0" collapsed="false">
      <c r="A3545" s="1" t="s">
        <v>1094</v>
      </c>
      <c r="B3545" s="0" t="s">
        <v>98</v>
      </c>
      <c r="C3545" s="6" t="n">
        <f aca="false">(w_ntm28*Sens!G3528+(1-w_ntm28)*Sens!H3528)*m_sw</f>
        <v>44.9171531557409</v>
      </c>
    </row>
    <row r="3546" customFormat="false" ht="17.15" hidden="false" customHeight="false" outlineLevel="0" collapsed="false">
      <c r="A3546" s="1" t="s">
        <v>1095</v>
      </c>
      <c r="B3546" s="0" t="s">
        <v>98</v>
      </c>
      <c r="C3546" s="6" t="n">
        <f aca="false">(w_ntm28*Sens!G3529+(1-w_ntm28)*Sens!H3529)*m_ads</f>
        <v>124.097516207843</v>
      </c>
    </row>
    <row r="3547" customFormat="false" ht="17.15" hidden="false" customHeight="false" outlineLevel="0" collapsed="false">
      <c r="A3547" s="1" t="s">
        <v>1096</v>
      </c>
      <c r="B3547" s="0" t="s">
        <v>98</v>
      </c>
      <c r="C3547" s="6" t="n">
        <f aca="false">(w_ntm28*Sens!G3534+(1-w_ntm28)*Sens!H3534)*m_game</f>
        <v>105.541433340444</v>
      </c>
    </row>
    <row r="3548" customFormat="false" ht="17.15" hidden="false" customHeight="false" outlineLevel="0" collapsed="false">
      <c r="A3548" s="1" t="s">
        <v>1097</v>
      </c>
      <c r="B3548" s="0" t="s">
        <v>98</v>
      </c>
      <c r="C3548" s="6" t="n">
        <f aca="false">(w_ntm28*Sens!G3535+(1-w_ntm28)*Sens!H3535)*m_pc</f>
        <v>104.627377551489</v>
      </c>
    </row>
    <row r="3549" customFormat="false" ht="17.15" hidden="false" customHeight="false" outlineLevel="0" collapsed="false">
      <c r="A3549" s="1" t="s">
        <v>1098</v>
      </c>
      <c r="B3549" s="0" t="s">
        <v>98</v>
      </c>
      <c r="C3549" s="6" t="n">
        <f aca="false">Sens!$C$3539+Sens!$C$3541+Sens!$C$3542+Sens!$C$3543+Sens!$C$3544+Sens!$C$3545+Sens!$C$3546+Sens!$C$3547+Sens!$C$3548</f>
        <v>2801.52955460062</v>
      </c>
    </row>
    <row r="3550" customFormat="false" ht="17.15" hidden="false" customHeight="false" outlineLevel="0" collapsed="false">
      <c r="A3550" s="1" t="s">
        <v>1099</v>
      </c>
      <c r="B3550" s="0" t="s">
        <v>98</v>
      </c>
      <c r="C3550" s="6" t="n">
        <f aca="false">(Sens!G3511-Sens!G3536)*t_stub</f>
        <v>47.6370070468035</v>
      </c>
      <c r="L3550" s="1" t="s">
        <v>1100</v>
      </c>
    </row>
    <row r="3551" customFormat="false" ht="17.15" hidden="false" customHeight="false" outlineLevel="0" collapsed="false">
      <c r="A3551" s="1" t="s">
        <v>1014</v>
      </c>
      <c r="B3551" s="0" t="s">
        <v>98</v>
      </c>
      <c r="C3551" s="6" t="n">
        <f aca="false">Sens!F3500+oai_v-Sens!F3489+Sens!$C$3550</f>
        <v>148.312457258367</v>
      </c>
      <c r="L3551" s="1" t="s">
        <v>1101</v>
      </c>
    </row>
    <row r="3552" customFormat="false" ht="17.15" hidden="false" customHeight="false" outlineLevel="0" collapsed="false">
      <c r="A3552" s="1" t="s">
        <v>1102</v>
      </c>
      <c r="B3552" s="0" t="s">
        <v>75</v>
      </c>
      <c r="C3552" s="5" t="n">
        <f aca="false">(Sens!$C$3549+Sens!$C$3551)/(Sens!F3502+dil_gap)-Sens!G3492*roll_div_q/q_per_yr</f>
        <v>392.482646726118</v>
      </c>
      <c r="L3552" s="1" t="s">
        <v>1103</v>
      </c>
    </row>
    <row r="3553" customFormat="false" ht="17.15" hidden="false" customHeight="false" outlineLevel="0" collapsed="false">
      <c r="A3553" s="1" t="s">
        <v>1104</v>
      </c>
      <c r="B3553" s="0" t="s">
        <v>75</v>
      </c>
      <c r="C3553" s="5" t="n">
        <f aca="false">w_dcf*Sens!$C$3523+(1-w_dcf)*Sens!$C$3552</f>
        <v>334.526776453963</v>
      </c>
    </row>
    <row r="3554" customFormat="false" ht="17.15" hidden="false" customHeight="false" outlineLevel="0" collapsed="false">
      <c r="A3554" s="3" t="s">
        <v>1352</v>
      </c>
    </row>
    <row r="3555" customFormat="false" ht="15" hidden="false" customHeight="false" outlineLevel="0" collapsed="false">
      <c r="A3555" s="4" t="s">
        <v>43</v>
      </c>
      <c r="B3555" s="4" t="s">
        <v>65</v>
      </c>
      <c r="C3555" s="20" t="s">
        <v>799</v>
      </c>
      <c r="D3555" s="20" t="s">
        <v>800</v>
      </c>
      <c r="E3555" s="20" t="s">
        <v>801</v>
      </c>
      <c r="F3555" s="20" t="s">
        <v>802</v>
      </c>
      <c r="G3555" s="20" t="s">
        <v>803</v>
      </c>
      <c r="H3555" s="20" t="s">
        <v>804</v>
      </c>
      <c r="I3555" s="20" t="s">
        <v>805</v>
      </c>
      <c r="J3555" s="20" t="s">
        <v>806</v>
      </c>
      <c r="K3555" s="20" t="s">
        <v>807</v>
      </c>
      <c r="L3555" s="4" t="s">
        <v>47</v>
      </c>
    </row>
    <row r="3556" customFormat="false" ht="17.15" hidden="false" customHeight="false" outlineLevel="0" collapsed="false">
      <c r="A3556" s="1" t="s">
        <v>808</v>
      </c>
      <c r="B3556" s="1" t="s">
        <v>235</v>
      </c>
      <c r="C3556" s="28" t="n">
        <v>2024</v>
      </c>
      <c r="D3556" s="28" t="n">
        <v>2025</v>
      </c>
      <c r="E3556" s="28" t="n">
        <v>2026</v>
      </c>
      <c r="F3556" s="28" t="n">
        <v>2027</v>
      </c>
      <c r="G3556" s="28" t="n">
        <v>2028</v>
      </c>
      <c r="H3556" s="28" t="n">
        <v>2029</v>
      </c>
      <c r="I3556" s="28" t="n">
        <v>2030</v>
      </c>
      <c r="J3556" s="28" t="n">
        <v>2031</v>
      </c>
      <c r="K3556" s="28" t="n">
        <v>2032</v>
      </c>
    </row>
    <row r="3557" customFormat="false" ht="17.15" hidden="false" customHeight="false" outlineLevel="0" collapsed="false">
      <c r="A3557" s="1" t="s">
        <v>809</v>
      </c>
      <c r="B3557" s="0" t="s">
        <v>399</v>
      </c>
      <c r="F3557" s="29" t="n">
        <f aca="false">pace*1.2</f>
        <v>3032.64</v>
      </c>
      <c r="G3557" s="29" t="n">
        <f aca="false">pace*1.2</f>
        <v>3032.64</v>
      </c>
      <c r="H3557" s="29" t="n">
        <f aca="false">pace*1.2</f>
        <v>3032.64</v>
      </c>
      <c r="I3557" s="29" t="n">
        <f aca="false">pace*1.2+(g_tv*Sens!H3558-pace*1.2)*MIN(1,(Sens!I3556-pace_y0)/(pace_y1-pace_y0))</f>
        <v>2145.2392</v>
      </c>
      <c r="J3557" s="29" t="n">
        <f aca="false">pace*1.2+(g_tv*Sens!I3558-pace*1.2)*MIN(1,(Sens!J3556-pace_y0)/(pace_y1-pace_y0))</f>
        <v>1300.743184</v>
      </c>
      <c r="K3557" s="29" t="n">
        <f aca="false">pace*1.2+(g_tv*Sens!J3558-pace*1.2)*MIN(1,(Sens!K3556-pace_y0)/(pace_y1-pace_y0))</f>
        <v>473.81707152</v>
      </c>
      <c r="L3557" s="11" t="s">
        <v>810</v>
      </c>
    </row>
    <row r="3558" customFormat="false" ht="17.15" hidden="false" customHeight="false" outlineLevel="0" collapsed="false">
      <c r="A3558" s="1" t="s">
        <v>811</v>
      </c>
      <c r="B3558" s="0" t="s">
        <v>399</v>
      </c>
      <c r="C3558" s="29" t="n">
        <f aca="false">mw_ext_24</f>
        <v>640</v>
      </c>
      <c r="D3558" s="29" t="n">
        <f aca="false">mw_ext_25</f>
        <v>1630</v>
      </c>
      <c r="E3558" s="29" t="n">
        <f aca="false">mw_ext_26</f>
        <v>3250</v>
      </c>
      <c r="F3558" s="29" t="n">
        <f aca="false">Sens!E3558+Sens!F3557</f>
        <v>6282.64</v>
      </c>
      <c r="G3558" s="29" t="n">
        <f aca="false">Sens!F3558+Sens!G3557</f>
        <v>9315.28</v>
      </c>
      <c r="H3558" s="29" t="n">
        <f aca="false">Sens!G3558+Sens!H3557</f>
        <v>12347.92</v>
      </c>
      <c r="I3558" s="29" t="n">
        <f aca="false">Sens!H3558+Sens!I3557</f>
        <v>14493.1592</v>
      </c>
      <c r="J3558" s="29" t="n">
        <f aca="false">Sens!I3558+Sens!J3557</f>
        <v>15793.902384</v>
      </c>
      <c r="K3558" s="29" t="n">
        <f aca="false">Sens!J3558+Sens!K3557</f>
        <v>16267.71945552</v>
      </c>
      <c r="L3558" s="1" t="s">
        <v>812</v>
      </c>
    </row>
    <row r="3559" customFormat="false" ht="17.15" hidden="false" customHeight="false" outlineLevel="0" collapsed="false">
      <c r="A3559" s="1" t="s">
        <v>813</v>
      </c>
      <c r="B3559" s="0" t="s">
        <v>399</v>
      </c>
      <c r="C3559" s="29" t="n">
        <f aca="false">rent_ext_24</f>
        <v>150</v>
      </c>
      <c r="D3559" s="29" t="n">
        <f aca="false">rent_ext_25</f>
        <v>400</v>
      </c>
      <c r="E3559" s="29" t="n">
        <f aca="false">rent_ext_26</f>
        <v>550</v>
      </c>
      <c r="F3559" s="29" t="n">
        <f aca="false">rent_ext_f</f>
        <v>756</v>
      </c>
      <c r="G3559" s="29" t="n">
        <f aca="false">rent_ext_f</f>
        <v>756</v>
      </c>
      <c r="H3559" s="29" t="n">
        <f aca="false">rent_ext_f</f>
        <v>756</v>
      </c>
      <c r="I3559" s="29" t="n">
        <f aca="false">rent_ext_f</f>
        <v>756</v>
      </c>
      <c r="J3559" s="29" t="n">
        <f aca="false">rent_ext_f</f>
        <v>756</v>
      </c>
      <c r="K3559" s="29" t="n">
        <f aca="false">rent_ext_f</f>
        <v>756</v>
      </c>
      <c r="L3559" s="1" t="s">
        <v>814</v>
      </c>
    </row>
    <row r="3560" customFormat="false" ht="17.15" hidden="false" customHeight="false" outlineLevel="0" collapsed="false">
      <c r="A3560" s="1" t="s">
        <v>815</v>
      </c>
      <c r="B3560" s="0" t="s">
        <v>399</v>
      </c>
      <c r="C3560" s="29" t="n">
        <f aca="false">Sens!C3558-Sens!C3559</f>
        <v>490</v>
      </c>
      <c r="D3560" s="29" t="n">
        <f aca="false">Sens!D3558-Sens!D3559</f>
        <v>1230</v>
      </c>
      <c r="E3560" s="29" t="n">
        <f aca="false">Sens!E3558-Sens!E3559</f>
        <v>2700</v>
      </c>
      <c r="F3560" s="29" t="n">
        <f aca="false">Sens!F3558-Sens!F3559</f>
        <v>5526.64</v>
      </c>
      <c r="G3560" s="29" t="n">
        <f aca="false">Sens!G3558-Sens!G3559</f>
        <v>8559.28</v>
      </c>
      <c r="H3560" s="29" t="n">
        <f aca="false">Sens!H3558-Sens!H3559</f>
        <v>11591.92</v>
      </c>
      <c r="I3560" s="29" t="n">
        <f aca="false">Sens!I3558-Sens!I3559</f>
        <v>13737.1592</v>
      </c>
      <c r="J3560" s="29" t="n">
        <f aca="false">Sens!J3558-Sens!J3559</f>
        <v>15037.902384</v>
      </c>
      <c r="K3560" s="29" t="n">
        <f aca="false">Sens!K3558-Sens!K3559</f>
        <v>15511.71945552</v>
      </c>
    </row>
    <row r="3561" customFormat="false" ht="17.15" hidden="false" customHeight="false" outlineLevel="0" collapsed="false">
      <c r="A3561" s="1" t="s">
        <v>816</v>
      </c>
      <c r="B3561" s="0" t="s">
        <v>399</v>
      </c>
      <c r="C3561" s="29" t="n">
        <f aca="false">Sens!C3560/ext_sh</f>
        <v>816.666666666667</v>
      </c>
      <c r="D3561" s="29" t="n">
        <f aca="false">Sens!D3560/ext_sh</f>
        <v>2050</v>
      </c>
      <c r="E3561" s="29" t="n">
        <f aca="false">Sens!E3560/ext_sh</f>
        <v>4500</v>
      </c>
      <c r="F3561" s="29" t="n">
        <f aca="false">Sens!F3560/ext_sh</f>
        <v>9211.06666666667</v>
      </c>
      <c r="G3561" s="29" t="n">
        <f aca="false">Sens!G3560/ext_sh</f>
        <v>14265.4666666667</v>
      </c>
      <c r="H3561" s="29" t="n">
        <f aca="false">Sens!H3560/ext_sh</f>
        <v>19319.8666666667</v>
      </c>
      <c r="I3561" s="29" t="n">
        <f aca="false">Sens!I3560/ext_sh</f>
        <v>22895.2653333333</v>
      </c>
      <c r="J3561" s="29" t="n">
        <f aca="false">Sens!J3560/ext_sh</f>
        <v>25063.17064</v>
      </c>
      <c r="K3561" s="29" t="n">
        <f aca="false">Sens!K3560/ext_sh</f>
        <v>25852.8657592</v>
      </c>
      <c r="L3561" s="1" t="s">
        <v>817</v>
      </c>
    </row>
    <row r="3562" customFormat="false" ht="17.15" hidden="false" customHeight="false" outlineLevel="0" collapsed="false">
      <c r="A3562" s="1" t="s">
        <v>818</v>
      </c>
      <c r="B3562" s="0" t="s">
        <v>399</v>
      </c>
      <c r="C3562" s="29" t="n">
        <f aca="false">Sens!C3561-Sens!C3560</f>
        <v>326.666666666667</v>
      </c>
      <c r="D3562" s="29" t="n">
        <f aca="false">Sens!D3561-Sens!D3560</f>
        <v>820</v>
      </c>
      <c r="E3562" s="29" t="n">
        <f aca="false">Sens!E3561-Sens!E3560</f>
        <v>1800</v>
      </c>
      <c r="F3562" s="29" t="n">
        <f aca="false">Sens!F3561-Sens!F3560</f>
        <v>3684.42666666667</v>
      </c>
      <c r="G3562" s="29" t="n">
        <f aca="false">Sens!G3561-Sens!G3560</f>
        <v>5706.18666666667</v>
      </c>
      <c r="H3562" s="29" t="n">
        <f aca="false">Sens!H3561-Sens!H3560</f>
        <v>7727.94666666667</v>
      </c>
      <c r="I3562" s="29" t="n">
        <f aca="false">Sens!I3561-Sens!I3560</f>
        <v>9158.10613333334</v>
      </c>
      <c r="J3562" s="29" t="n">
        <f aca="false">Sens!J3561-Sens!J3560</f>
        <v>10025.268256</v>
      </c>
      <c r="K3562" s="29" t="n">
        <f aca="false">Sens!K3561-Sens!K3560</f>
        <v>10341.14630368</v>
      </c>
    </row>
    <row r="3563" customFormat="false" ht="17.15" hidden="false" customHeight="false" outlineLevel="0" collapsed="false">
      <c r="A3563" s="1" t="s">
        <v>819</v>
      </c>
      <c r="B3563" s="0" t="s">
        <v>399</v>
      </c>
      <c r="C3563" s="29" t="n">
        <f aca="false">Sens!C3561</f>
        <v>816.666666666667</v>
      </c>
      <c r="D3563" s="29" t="n">
        <f aca="false">Sens!D3561-Sens!C3561</f>
        <v>1233.33333333333</v>
      </c>
      <c r="E3563" s="29" t="n">
        <f aca="false">Sens!E3561-Sens!D3561</f>
        <v>2450</v>
      </c>
      <c r="F3563" s="29" t="n">
        <f aca="false">Sens!F3561-Sens!E3561</f>
        <v>4711.06666666667</v>
      </c>
      <c r="G3563" s="29" t="n">
        <f aca="false">Sens!G3561-Sens!F3561</f>
        <v>5054.4</v>
      </c>
      <c r="H3563" s="29" t="n">
        <f aca="false">Sens!H3561-Sens!G3561</f>
        <v>5054.4</v>
      </c>
      <c r="I3563" s="29" t="n">
        <f aca="false">Sens!I3561-Sens!H3561</f>
        <v>3575.39866666667</v>
      </c>
      <c r="J3563" s="29" t="n">
        <f aca="false">Sens!J3561-Sens!I3561</f>
        <v>2167.90530666667</v>
      </c>
      <c r="K3563" s="29" t="n">
        <f aca="false">Sens!K3561-Sens!J3561</f>
        <v>789.695119199998</v>
      </c>
    </row>
    <row r="3564" customFormat="false" ht="17.15" hidden="false" customHeight="false" outlineLevel="0" collapsed="false">
      <c r="A3564" s="1" t="s">
        <v>820</v>
      </c>
      <c r="B3564" s="0" t="s">
        <v>399</v>
      </c>
      <c r="D3564" s="29" t="n">
        <f aca="false">Sens!D3558-Sens!C3558</f>
        <v>990</v>
      </c>
      <c r="E3564" s="29" t="n">
        <f aca="false">Sens!E3558-Sens!D3558</f>
        <v>1620</v>
      </c>
      <c r="F3564" s="29" t="n">
        <f aca="false">Sens!F3558-Sens!E3558</f>
        <v>3032.64</v>
      </c>
      <c r="G3564" s="29" t="n">
        <f aca="false">Sens!G3558-Sens!F3558</f>
        <v>3032.64</v>
      </c>
      <c r="H3564" s="29" t="n">
        <f aca="false">Sens!H3558-Sens!G3558</f>
        <v>3032.64</v>
      </c>
      <c r="I3564" s="29" t="n">
        <f aca="false">Sens!I3558-Sens!H3558</f>
        <v>2145.2392</v>
      </c>
      <c r="J3564" s="29" t="n">
        <f aca="false">Sens!J3558-Sens!I3558</f>
        <v>1300.743184</v>
      </c>
      <c r="K3564" s="29" t="n">
        <f aca="false">Sens!K3558-Sens!J3558</f>
        <v>473.817071519999</v>
      </c>
    </row>
    <row r="3565" customFormat="false" ht="17.15" hidden="false" customHeight="false" outlineLevel="0" collapsed="false">
      <c r="A3565" s="1" t="s">
        <v>821</v>
      </c>
      <c r="B3565" s="0" t="s">
        <v>399</v>
      </c>
      <c r="F3565" s="29" t="n">
        <f aca="false">Sens!F3582*ext_sh</f>
        <v>0</v>
      </c>
      <c r="G3565" s="29" t="n">
        <f aca="false">Sens!G3582*ext_sh</f>
        <v>0</v>
      </c>
      <c r="H3565" s="29" t="n">
        <f aca="false">Sens!H3582*ext_sh</f>
        <v>0</v>
      </c>
      <c r="I3565" s="29" t="n">
        <f aca="false">Sens!I3582*ext_sh</f>
        <v>490</v>
      </c>
      <c r="J3565" s="29" t="n">
        <f aca="false">Sens!J3582*ext_sh</f>
        <v>740</v>
      </c>
      <c r="K3565" s="29" t="n">
        <f aca="false">Sens!K3582*ext_sh</f>
        <v>1470</v>
      </c>
      <c r="L3565" s="1" t="s">
        <v>822</v>
      </c>
    </row>
    <row r="3566" customFormat="false" ht="17.15" hidden="false" customHeight="false" outlineLevel="0" collapsed="false">
      <c r="A3566" s="1" t="s">
        <v>823</v>
      </c>
      <c r="B3566" s="0" t="s">
        <v>399</v>
      </c>
      <c r="C3566" s="29" t="n">
        <f aca="false">mix_h*Sens!C3558</f>
        <v>128</v>
      </c>
      <c r="D3566" s="29" t="n">
        <f aca="false">mix_h*Sens!D3558</f>
        <v>326</v>
      </c>
      <c r="E3566" s="29" t="n">
        <f aca="false">mix_h*Sens!E3558</f>
        <v>650</v>
      </c>
      <c r="F3566" s="29" t="n">
        <f aca="false">Sens!E3566-Sens!F3565*mix_h</f>
        <v>650</v>
      </c>
      <c r="G3566" s="29" t="n">
        <f aca="false">Sens!F3566-Sens!G3565*mix_h</f>
        <v>650</v>
      </c>
      <c r="H3566" s="29" t="n">
        <f aca="false">Sens!G3566-Sens!H3565*mix_h</f>
        <v>650</v>
      </c>
      <c r="I3566" s="29" t="n">
        <f aca="false">Sens!H3566-Sens!I3565*mix_h</f>
        <v>552</v>
      </c>
      <c r="J3566" s="29" t="n">
        <f aca="false">Sens!I3566-Sens!J3565*mix_h</f>
        <v>404</v>
      </c>
      <c r="K3566" s="29" t="n">
        <f aca="false">Sens!J3566-Sens!K3565*mix_h</f>
        <v>110</v>
      </c>
    </row>
    <row r="3567" customFormat="false" ht="17.15" hidden="false" customHeight="false" outlineLevel="0" collapsed="false">
      <c r="A3567" s="1" t="s">
        <v>824</v>
      </c>
      <c r="B3567" s="0" t="s">
        <v>399</v>
      </c>
      <c r="C3567" s="29" t="n">
        <f aca="false">mix_g2*Sens!C3558</f>
        <v>288</v>
      </c>
      <c r="D3567" s="29" t="n">
        <f aca="false">mix_g2*Sens!D3558</f>
        <v>733.5</v>
      </c>
      <c r="E3567" s="29" t="n">
        <f aca="false">mix_g2*Sens!E3558</f>
        <v>1462.5</v>
      </c>
      <c r="F3567" s="29" t="n">
        <f aca="false">Sens!E3567-Sens!F3565*mix_g2</f>
        <v>1462.5</v>
      </c>
      <c r="G3567" s="29" t="n">
        <f aca="false">Sens!F3567-Sens!G3565*mix_g2</f>
        <v>1462.5</v>
      </c>
      <c r="H3567" s="29" t="n">
        <f aca="false">Sens!G3567-Sens!H3565*mix_g2</f>
        <v>1462.5</v>
      </c>
      <c r="I3567" s="29" t="n">
        <f aca="false">Sens!H3567-Sens!I3565*mix_g2</f>
        <v>1242</v>
      </c>
      <c r="J3567" s="29" t="n">
        <f aca="false">Sens!I3567-Sens!J3565*mix_g2</f>
        <v>909</v>
      </c>
      <c r="K3567" s="29" t="n">
        <f aca="false">Sens!J3567-Sens!K3565*mix_g2</f>
        <v>247.5</v>
      </c>
    </row>
    <row r="3568" customFormat="false" ht="17.15" hidden="false" customHeight="false" outlineLevel="0" collapsed="false">
      <c r="A3568" s="1" t="s">
        <v>825</v>
      </c>
      <c r="B3568" s="0" t="s">
        <v>399</v>
      </c>
      <c r="C3568" s="29" t="n">
        <f aca="false">mix_g3*Sens!C3558</f>
        <v>224</v>
      </c>
      <c r="D3568" s="29" t="n">
        <f aca="false">mix_g3*Sens!D3558</f>
        <v>570.5</v>
      </c>
      <c r="E3568" s="29" t="n">
        <f aca="false">mix_g3*Sens!E3558</f>
        <v>1137.5</v>
      </c>
      <c r="F3568" s="29" t="n">
        <f aca="false">Sens!E3568+(Sens!F3564+Sens!F3565)*a_g3_27-Sens!F3565*mix_g3</f>
        <v>3260.348</v>
      </c>
      <c r="G3568" s="29" t="n">
        <f aca="false">Sens!F3568+(Sens!G3564+Sens!G3565)*a_g3_28-Sens!G3565*mix_g3</f>
        <v>4170.14</v>
      </c>
      <c r="H3568" s="29" t="n">
        <f aca="false">Sens!G3568+(Sens!H3564+Sens!H3565)*a_g3_29-Sens!H3565*mix_g3</f>
        <v>4473.404</v>
      </c>
      <c r="I3568" s="29" t="n">
        <f aca="false">Sens!H3568+(Sens!I3564+Sens!I3565)*a_g3_29-Sens!I3565*mix_g3</f>
        <v>4565.42792</v>
      </c>
      <c r="J3568" s="29" t="n">
        <f aca="false">Sens!I3568+(Sens!J3564+Sens!J3565)*a_g3_29-Sens!J3565*mix_g3</f>
        <v>4510.5022384</v>
      </c>
      <c r="K3568" s="29" t="n">
        <f aca="false">Sens!J3568+(Sens!K3564+Sens!K3565)*a_g3_29-Sens!K3565*mix_g3</f>
        <v>4190.383945552</v>
      </c>
    </row>
    <row r="3569" customFormat="false" ht="17.15" hidden="false" customHeight="false" outlineLevel="0" collapsed="false">
      <c r="A3569" s="1" t="s">
        <v>826</v>
      </c>
      <c r="B3569" s="0" t="s">
        <v>399</v>
      </c>
      <c r="C3569" s="29" t="n">
        <v>0</v>
      </c>
      <c r="D3569" s="29" t="n">
        <v>0</v>
      </c>
      <c r="E3569" s="29" t="n">
        <v>0</v>
      </c>
      <c r="F3569" s="29" t="n">
        <f aca="false">Sens!E3569+(Sens!F3564+Sens!F3565)*(1-a_g3_27)</f>
        <v>909.792</v>
      </c>
      <c r="G3569" s="29" t="n">
        <f aca="false">Sens!F3569+(Sens!G3564+Sens!G3565)*(1-a_g3_28)</f>
        <v>3032.64</v>
      </c>
      <c r="H3569" s="29" t="n">
        <f aca="false">Sens!G3569+(Sens!H3564+Sens!H3565)*(1-a_g3_29)</f>
        <v>5762.016</v>
      </c>
      <c r="I3569" s="29" t="n">
        <f aca="false">Sens!H3569+(Sens!I3564+Sens!I3565)*(1-a_g3_29)</f>
        <v>8133.73128</v>
      </c>
      <c r="J3569" s="29" t="n">
        <f aca="false">Sens!I3569+(Sens!J3564+Sens!J3565)*(1-a_g3_29)</f>
        <v>9970.4001456</v>
      </c>
      <c r="K3569" s="29" t="n">
        <f aca="false">Sens!J3569+(Sens!K3564+Sens!K3565)*(1-a_g3_29)</f>
        <v>11719.835509968</v>
      </c>
    </row>
    <row r="3570" customFormat="false" ht="17.15" hidden="false" customHeight="false" outlineLevel="0" collapsed="false">
      <c r="A3570" s="1" t="s">
        <v>827</v>
      </c>
      <c r="B3570" s="0" t="s">
        <v>346</v>
      </c>
      <c r="C3570" s="14" t="n">
        <f aca="false">(Sens!C3566*tk_hold_h100+Sens!C3567*tk_hold_gb200+Sens!C3568*tk_hold_gb300+Sens!C3569*tk_hold_vr200)/Sens!C3558</f>
        <v>9.7235358126469</v>
      </c>
      <c r="D3570" s="14" t="n">
        <f aca="false">(Sens!D3566*tk_hold_h100+Sens!D3567*tk_hold_gb200+Sens!D3568*tk_hold_gb300+Sens!D3569*tk_hold_vr200)/Sens!D3558</f>
        <v>9.7235358126469</v>
      </c>
      <c r="E3570" s="14" t="n">
        <f aca="false">(Sens!E3566*tk_hold_h100+Sens!E3567*tk_hold_gb200+Sens!E3568*tk_hold_gb300+Sens!E3569*tk_hold_vr200)/Sens!E3558</f>
        <v>9.7235358126469</v>
      </c>
      <c r="F3570" s="14" t="n">
        <f aca="false">(Sens!F3566*tk_hold_h100+Sens!F3567*tk_hold_gb200+Sens!F3568*tk_hold_gb300+Sens!F3569*tk_hold_vr200)/Sens!F3558</f>
        <v>10.4787673542193</v>
      </c>
      <c r="G3570" s="14" t="n">
        <f aca="false">(Sens!G3566*tk_hold_h100+Sens!G3567*tk_hold_gb200+Sens!G3568*tk_hold_gb300+Sens!G3569*tk_hold_vr200)/Sens!G3558</f>
        <v>10.9166347377517</v>
      </c>
      <c r="H3570" s="14" t="n">
        <f aca="false">(Sens!H3566*tk_hold_h100+Sens!H3567*tk_hold_gb200+Sens!H3568*tk_hold_gb300+Sens!H3569*tk_hold_vr200)/Sens!H3558</f>
        <v>11.2051967403931</v>
      </c>
      <c r="I3570" s="14" t="n">
        <f aca="false">(Sens!I3566*tk_hold_h100+Sens!I3567*tk_hold_gb200+Sens!I3568*tk_hold_gb300+Sens!I3569*tk_hold_vr200)/Sens!I3558</f>
        <v>11.4164554595671</v>
      </c>
      <c r="J3570" s="14" t="n">
        <f aca="false">(Sens!J3566*tk_hold_h100+Sens!J3567*tk_hold_gb200+Sens!J3568*tk_hold_gb300+Sens!J3569*tk_hold_vr200)/Sens!J3558</f>
        <v>11.5830061749449</v>
      </c>
      <c r="K3570" s="14" t="n">
        <f aca="false">(Sens!K3566*tk_hold_h100+Sens!K3567*tk_hold_gb200+Sens!K3568*tk_hold_gb300+Sens!K3569*tk_hold_vr200)/Sens!K3558</f>
        <v>11.8118007996124</v>
      </c>
    </row>
    <row r="3571" customFormat="false" ht="17.15" hidden="false" customHeight="false" outlineLevel="0" collapsed="false">
      <c r="A3571" s="0" t="s">
        <v>828</v>
      </c>
      <c r="B3571" s="0" t="s">
        <v>185</v>
      </c>
      <c r="C3571" s="14" t="n">
        <f aca="false">k_B</f>
        <v>1.17213932619116</v>
      </c>
      <c r="D3571" s="14" t="n">
        <f aca="false">k_B</f>
        <v>1.17213932619116</v>
      </c>
      <c r="E3571" s="14" t="n">
        <f aca="false">k_B</f>
        <v>1.17213932619116</v>
      </c>
      <c r="F3571" s="14" t="n">
        <f aca="false">(k_B+((ls_A*k_long+(1-ls_A)*k_spot)-k_B)*MIN(1,(Sens!F3556-base_fy)/k_ramp))</f>
        <v>1.25022828131298</v>
      </c>
      <c r="G3571" s="14" t="n">
        <f aca="false">(k_B+((ls_A*k_long+(1-ls_A)*k_spot)-k_B)*MIN(1,(Sens!G3556-base_fy)/k_ramp))</f>
        <v>1.3283172364348</v>
      </c>
      <c r="H3571" s="14" t="n">
        <f aca="false">(k_B+((ls_A*k_long+(1-ls_A)*k_spot)-k_B)*MIN(1,(Sens!H3556-base_fy)/k_ramp))</f>
        <v>1.40640619155662</v>
      </c>
      <c r="I3571" s="14" t="n">
        <f aca="false">(k_B+((ls_A*k_long+(1-ls_A)*k_spot)-k_B)*MIN(1,(Sens!I3556-base_fy)/k_ramp))</f>
        <v>1.40640619155662</v>
      </c>
      <c r="J3571" s="14" t="n">
        <f aca="false">(k_B+((ls_A*k_long+(1-ls_A)*k_spot)-k_B)*MIN(1,(Sens!J3556-base_fy)/k_ramp))</f>
        <v>1.40640619155662</v>
      </c>
      <c r="K3571" s="14" t="n">
        <f aca="false">(k_B+((ls_A*k_long+(1-ls_A)*k_spot)-k_B)*MIN(1,(Sens!K3556-base_fy)/k_ramp))</f>
        <v>1.40640619155662</v>
      </c>
      <c r="L3571" s="1" t="s">
        <v>829</v>
      </c>
    </row>
    <row r="3572" customFormat="false" ht="17.15" hidden="false" customHeight="false" outlineLevel="0" collapsed="false">
      <c r="A3572" s="1" t="s">
        <v>830</v>
      </c>
      <c r="B3572" s="0" t="s">
        <v>346</v>
      </c>
      <c r="C3572" s="14" t="n">
        <f aca="false">Sens!C3570*Sens!C3571*chip_f</f>
        <v>11.3973387156315</v>
      </c>
      <c r="D3572" s="14" t="n">
        <f aca="false">Sens!D3570*Sens!D3571*chip_f</f>
        <v>11.3973387156315</v>
      </c>
      <c r="E3572" s="14" t="n">
        <f aca="false">Sens!E3570*Sens!E3571*chip_f</f>
        <v>11.3973387156315</v>
      </c>
      <c r="F3572" s="14" t="n">
        <f aca="false">Sens!F3570*Sens!F3571*chip_f</f>
        <v>13.1008512995441</v>
      </c>
      <c r="G3572" s="14" t="n">
        <f aca="false">Sens!G3570*Sens!G3571*chip_f</f>
        <v>14.5007540860184</v>
      </c>
      <c r="H3572" s="14" t="n">
        <f aca="false">Sens!H3570*Sens!H3571*chip_f</f>
        <v>15.7590580732989</v>
      </c>
      <c r="I3572" s="14" t="n">
        <f aca="false">Sens!I3570*Sens!I3571*chip_f</f>
        <v>16.0561736439655</v>
      </c>
      <c r="J3572" s="14" t="n">
        <f aca="false">Sens!J3570*Sens!J3571*chip_f</f>
        <v>16.290411601281</v>
      </c>
      <c r="K3572" s="14" t="n">
        <f aca="false">Sens!K3570*Sens!K3571*chip_f</f>
        <v>16.6121897780083</v>
      </c>
      <c r="L3572" s="1" t="s">
        <v>831</v>
      </c>
    </row>
    <row r="3573" customFormat="false" ht="17.15" hidden="false" customHeight="false" outlineLevel="0" collapsed="false">
      <c r="A3573" s="0" t="s">
        <v>832</v>
      </c>
      <c r="B3573" s="0" t="s">
        <v>98</v>
      </c>
      <c r="D3573" s="6" t="n">
        <f aca="false">(Sens!C3558+Sens!D3558)/2*Sens!D3572/1000</f>
        <v>12.9359794422418</v>
      </c>
      <c r="E3573" s="6" t="n">
        <f aca="false">(Sens!D3558+Sens!E3558)/2*Sens!E3572/1000</f>
        <v>27.8095064661409</v>
      </c>
      <c r="F3573" s="6" t="n">
        <f aca="false">(Sens!E3558+Sens!F3558)/2*Sens!F3572/1000</f>
        <v>62.4428495660432</v>
      </c>
      <c r="G3573" s="6" t="n">
        <f aca="false">(Sens!F3558+Sens!G3558)/2*Sens!G3572/1000</f>
        <v>113.090801086694</v>
      </c>
      <c r="H3573" s="6" t="n">
        <f aca="false">(Sens!G3558+Sens!H3558)/2*Sens!H3572/1000</f>
        <v>170.695813426745</v>
      </c>
      <c r="I3573" s="6" t="n">
        <f aca="false">(Sens!H3558+Sens!I3558)/2*Sens!I3572/1000</f>
        <v>215.482514213315</v>
      </c>
      <c r="J3573" s="6" t="n">
        <f aca="false">(Sens!I3558+Sens!J3558)/2*Sens!J3572/1000</f>
        <v>246.694349698353</v>
      </c>
      <c r="K3573" s="6" t="n">
        <f aca="false">(Sens!J3558+Sens!K3558)/2*Sens!K3572/1000</f>
        <v>266.306873294421</v>
      </c>
      <c r="L3573" s="11" t="s">
        <v>833</v>
      </c>
    </row>
    <row r="3574" customFormat="false" ht="17.15" hidden="false" customHeight="false" outlineLevel="0" collapsed="false">
      <c r="A3574" s="1" t="s">
        <v>834</v>
      </c>
      <c r="B3574" s="0" t="s">
        <v>346</v>
      </c>
      <c r="C3574" s="14" t="n">
        <f aca="false">(Sens!C3566*tk_opex_h100+Sens!C3567*tk_opex_gb200+Sens!C3568*tk_opex_gb300+Sens!C3569*tk_opex_vr200)/Sens!C3558</f>
        <v>1.88636041306092</v>
      </c>
      <c r="D3574" s="14" t="n">
        <f aca="false">(Sens!D3566*tk_opex_h100+Sens!D3567*tk_opex_gb200+Sens!D3568*tk_opex_gb300+Sens!D3569*tk_opex_vr200)/Sens!D3558</f>
        <v>1.88636041306092</v>
      </c>
      <c r="E3574" s="14" t="n">
        <f aca="false">(Sens!E3566*tk_opex_h100+Sens!E3567*tk_opex_gb200+Sens!E3568*tk_opex_gb300+Sens!E3569*tk_opex_vr200)/Sens!E3558</f>
        <v>1.88636041306092</v>
      </c>
      <c r="F3574" s="14" t="n">
        <f aca="false">(Sens!F3566*tk_opex_h100+Sens!F3567*tk_opex_gb200+Sens!F3568*tk_opex_gb300+Sens!F3569*tk_opex_vr200)/Sens!F3558</f>
        <v>1.94888600845409</v>
      </c>
      <c r="G3574" s="14" t="n">
        <f aca="false">(Sens!G3566*tk_opex_h100+Sens!G3567*tk_opex_gb200+Sens!G3568*tk_opex_gb300+Sens!G3569*tk_opex_vr200)/Sens!G3558</f>
        <v>1.98513703526054</v>
      </c>
      <c r="H3574" s="14" t="n">
        <f aca="false">(Sens!H3566*tk_opex_h100+Sens!H3567*tk_opex_gb200+Sens!H3568*tk_opex_gb300+Sens!H3569*tk_opex_vr200)/Sens!H3558</f>
        <v>2.00902707431457</v>
      </c>
      <c r="I3574" s="14" t="n">
        <f aca="false">(Sens!I3566*tk_opex_h100+Sens!I3567*tk_opex_gb200+Sens!I3568*tk_opex_gb300+Sens!I3569*tk_opex_vr200)/Sens!I3558</f>
        <v>2.02651717698011</v>
      </c>
      <c r="J3574" s="14" t="n">
        <f aca="false">(Sens!J3566*tk_opex_h100+Sens!J3567*tk_opex_gb200+Sens!J3568*tk_opex_gb300+Sens!J3569*tk_opex_vr200)/Sens!J3558</f>
        <v>2.04030590542818</v>
      </c>
      <c r="K3574" s="14" t="n">
        <f aca="false">(Sens!K3566*tk_opex_h100+Sens!K3567*tk_opex_gb200+Sens!K3568*tk_opex_gb300+Sens!K3569*tk_opex_vr200)/Sens!K3558</f>
        <v>2.0592478051538</v>
      </c>
    </row>
    <row r="3575" customFormat="false" ht="17.15" hidden="false" customHeight="false" outlineLevel="0" collapsed="false">
      <c r="A3575" s="0" t="s">
        <v>835</v>
      </c>
      <c r="B3575" s="0" t="s">
        <v>98</v>
      </c>
      <c r="D3575" s="6" t="n">
        <f aca="false">(Sens!C3561+Sens!D3561)/2*Sens!D3574/1000</f>
        <v>2.70378325872065</v>
      </c>
      <c r="E3575" s="6" t="n">
        <f aca="false">(Sens!D3561+Sens!E3561)/2*Sens!E3574/1000</f>
        <v>6.17783035277451</v>
      </c>
      <c r="F3575" s="6" t="n">
        <f aca="false">(Sens!E3561+Sens!F3561)/2*Sens!F3574/1000</f>
        <v>13.360652993824</v>
      </c>
      <c r="G3575" s="6" t="n">
        <f aca="false">(Sens!F3561+Sens!G3561)/2*Sens!G3574/1000</f>
        <v>23.3020678897643</v>
      </c>
      <c r="H3575" s="6" t="n">
        <f aca="false">(Sens!G3561+Sens!H3561)/2*Sens!H3574/1000</f>
        <v>33.7369219832732</v>
      </c>
      <c r="I3575" s="6" t="n">
        <f aca="false">(Sens!H3561+Sens!I3561)/2*Sens!I3574/1000</f>
        <v>42.7748450632413</v>
      </c>
      <c r="J3575" s="6" t="n">
        <f aca="false">(Sens!I3561+Sens!J3561)/2*Sens!J3574/1000</f>
        <v>48.9249400657455</v>
      </c>
      <c r="K3575" s="6" t="n">
        <f aca="false">(Sens!J3561+Sens!K3561)/2*Sens!K3574/1000</f>
        <v>52.4243681010918</v>
      </c>
    </row>
    <row r="3576" customFormat="false" ht="17.15" hidden="false" customHeight="false" outlineLevel="0" collapsed="false">
      <c r="A3576" s="0" t="s">
        <v>836</v>
      </c>
      <c r="B3576" s="0" t="s">
        <v>98</v>
      </c>
      <c r="D3576" s="6" t="n">
        <f aca="false">(Sens!C3559+Sens!D3559)/2*rent_mw/1000</f>
        <v>2.44475</v>
      </c>
      <c r="E3576" s="6" t="n">
        <f aca="false">(Sens!D3559+Sens!E3559)/2*rent_mw/1000</f>
        <v>4.22275</v>
      </c>
      <c r="F3576" s="6" t="n">
        <f aca="false">(Sens!E3559+Sens!F3559)/2*rent_mw/1000</f>
        <v>5.80517</v>
      </c>
      <c r="G3576" s="6" t="n">
        <f aca="false">(Sens!F3559+Sens!G3559)/2*rent_mw/1000</f>
        <v>6.72084</v>
      </c>
      <c r="H3576" s="6" t="n">
        <f aca="false">(Sens!G3559+Sens!H3559)/2*rent_mw/1000</f>
        <v>6.72084</v>
      </c>
      <c r="I3576" s="6" t="n">
        <f aca="false">(Sens!H3559+Sens!I3559)/2*rent_mw/1000</f>
        <v>6.72084</v>
      </c>
      <c r="J3576" s="6" t="n">
        <f aca="false">(Sens!I3559+Sens!J3559)/2*rent_mw/1000</f>
        <v>6.72084</v>
      </c>
      <c r="K3576" s="6" t="n">
        <f aca="false">(Sens!J3559+Sens!K3559)/2*rent_mw/1000</f>
        <v>6.72084</v>
      </c>
    </row>
    <row r="3577" customFormat="false" ht="17.15" hidden="false" customHeight="false" outlineLevel="0" collapsed="false">
      <c r="A3577" s="0" t="s">
        <v>837</v>
      </c>
      <c r="B3577" s="0" t="s">
        <v>98</v>
      </c>
      <c r="D3577" s="6" t="n">
        <f aca="false">(Sens!C3561+Sens!D3561)/2*(1-self_build)*fac_rent/1000</f>
        <v>0.853242375631075</v>
      </c>
      <c r="E3577" s="6" t="n">
        <f aca="false">(Sens!D3561+Sens!E3561)/2*(1-self_build)*fac_rent/1000</f>
        <v>1.94955961408728</v>
      </c>
      <c r="F3577" s="6" t="n">
        <f aca="false">(Sens!E3561+Sens!F3561)/2*(1-self_build)*fac_rent/1000</f>
        <v>4.0809987541056</v>
      </c>
      <c r="G3577" s="6" t="n">
        <f aca="false">(Sens!F3561+Sens!G3561)/2*(1-self_build)*fac_rent/1000</f>
        <v>6.98761851380772</v>
      </c>
      <c r="H3577" s="6" t="n">
        <f aca="false">(Sens!G3561+Sens!H3561)/2*(1-self_build)*fac_rent/1000</f>
        <v>9.99642893012612</v>
      </c>
      <c r="I3577" s="6" t="n">
        <f aca="false">(Sens!H3561+Sens!I3561)/2*(1-self_build)*fac_rent/1000</f>
        <v>12.5650254122998</v>
      </c>
      <c r="J3577" s="6" t="n">
        <f aca="false">(Sens!I3561+Sens!J3561)/2*(1-self_build)*fac_rent/1000</f>
        <v>14.2744778516643</v>
      </c>
      <c r="K3577" s="6" t="n">
        <f aca="false">(Sens!J3561+Sens!K3561)/2*(1-self_build)*fac_rent/1000</f>
        <v>15.1547859959204</v>
      </c>
      <c r="L3577" s="11" t="s">
        <v>838</v>
      </c>
    </row>
    <row r="3578" customFormat="false" ht="17.15" hidden="false" customHeight="false" outlineLevel="0" collapsed="false">
      <c r="A3578" s="1" t="s">
        <v>839</v>
      </c>
      <c r="B3578" s="0" t="s">
        <v>129</v>
      </c>
      <c r="D3578" s="7" t="n">
        <f aca="false">(Sens!C3560+Sens!D3560)/(Sens!C3561+Sens!D3561)</f>
        <v>0.6</v>
      </c>
      <c r="E3578" s="7" t="n">
        <f aca="false">(Sens!D3560+Sens!E3560)/(Sens!D3561+Sens!E3561)</f>
        <v>0.6</v>
      </c>
      <c r="F3578" s="7" t="n">
        <f aca="false">(Sens!E3560+Sens!F3560)/(Sens!E3561+Sens!F3561)</f>
        <v>0.6</v>
      </c>
      <c r="G3578" s="7" t="n">
        <f aca="false">(Sens!F3560+Sens!G3560)/(Sens!F3561+Sens!G3561)</f>
        <v>0.6</v>
      </c>
      <c r="H3578" s="7" t="n">
        <f aca="false">(Sens!G3560+Sens!H3560)/(Sens!G3561+Sens!H3561)</f>
        <v>0.6</v>
      </c>
      <c r="I3578" s="7" t="n">
        <f aca="false">(Sens!H3560+Sens!I3560)/(Sens!H3561+Sens!I3561)</f>
        <v>0.6</v>
      </c>
      <c r="J3578" s="7" t="n">
        <f aca="false">(Sens!I3560+Sens!J3560)/(Sens!I3561+Sens!J3561)</f>
        <v>0.6</v>
      </c>
      <c r="K3578" s="7" t="n">
        <f aca="false">(Sens!J3560+Sens!K3560)/(Sens!J3561+Sens!K3561)</f>
        <v>0.6</v>
      </c>
    </row>
    <row r="3579" customFormat="false" ht="17.15" hidden="false" customHeight="false" outlineLevel="0" collapsed="false">
      <c r="A3579" s="0" t="s">
        <v>840</v>
      </c>
      <c r="B3579" s="0" t="s">
        <v>98</v>
      </c>
      <c r="D3579" s="6" t="n">
        <f aca="false">Sens!D3573-Sens!D3578*(Sens!D3575+Sens!D3577)-Sens!D3576</f>
        <v>8.35701406163072</v>
      </c>
      <c r="E3579" s="6" t="n">
        <f aca="false">Sens!E3573-Sens!E3578*(Sens!E3575+Sens!E3577)-Sens!E3576</f>
        <v>18.7103224860238</v>
      </c>
      <c r="F3579" s="6" t="n">
        <f aca="false">Sens!F3573-Sens!F3578*(Sens!F3575+Sens!F3577)-Sens!F3576</f>
        <v>46.1726885172854</v>
      </c>
      <c r="G3579" s="6" t="n">
        <f aca="false">Sens!G3573-Sens!G3578*(Sens!G3575+Sens!G3577)-Sens!G3576</f>
        <v>88.1961492445511</v>
      </c>
      <c r="H3579" s="6" t="n">
        <f aca="false">Sens!H3573-Sens!H3578*(Sens!H3575+Sens!H3577)-Sens!H3576</f>
        <v>137.734962878705</v>
      </c>
      <c r="I3579" s="6" t="n">
        <f aca="false">Sens!I3573-Sens!I3578*(Sens!I3575+Sens!I3577)-Sens!I3576</f>
        <v>175.55775192799</v>
      </c>
      <c r="J3579" s="6" t="n">
        <f aca="false">Sens!J3573-Sens!J3578*(Sens!J3575+Sens!J3577)-Sens!J3576</f>
        <v>202.053858947907</v>
      </c>
      <c r="K3579" s="6" t="n">
        <f aca="false">Sens!K3573-Sens!K3578*(Sens!K3575+Sens!K3577)-Sens!K3576</f>
        <v>219.038540836213</v>
      </c>
    </row>
    <row r="3580" customFormat="false" ht="17.15" hidden="false" customHeight="false" outlineLevel="0" collapsed="false">
      <c r="A3580" s="1" t="s">
        <v>841</v>
      </c>
      <c r="B3580" s="0" t="s">
        <v>98</v>
      </c>
      <c r="D3580" s="6" t="n">
        <f aca="false">(1-Sens!D3578)*(Sens!D3575+Sens!D3577)</f>
        <v>1.42281025374069</v>
      </c>
      <c r="E3580" s="6" t="n">
        <f aca="false">(1-Sens!E3578)*(Sens!E3575+Sens!E3577)</f>
        <v>3.25095598674472</v>
      </c>
      <c r="F3580" s="6" t="n">
        <f aca="false">(1-Sens!F3578)*(Sens!F3575+Sens!F3577)</f>
        <v>6.97666069917183</v>
      </c>
      <c r="G3580" s="6" t="n">
        <f aca="false">(1-Sens!G3578)*(Sens!G3575+Sens!G3577)</f>
        <v>12.1158745614288</v>
      </c>
      <c r="H3580" s="6" t="n">
        <f aca="false">(1-Sens!H3578)*(Sens!H3575+Sens!H3577)</f>
        <v>17.4933403653597</v>
      </c>
      <c r="I3580" s="6" t="n">
        <f aca="false">(1-Sens!I3578)*(Sens!I3575+Sens!I3577)</f>
        <v>22.1359481902164</v>
      </c>
      <c r="J3580" s="6" t="n">
        <f aca="false">(1-Sens!J3578)*(Sens!J3575+Sens!J3577)</f>
        <v>25.279767166964</v>
      </c>
      <c r="K3580" s="6" t="n">
        <f aca="false">(1-Sens!K3578)*(Sens!K3575+Sens!K3577)</f>
        <v>27.0316616388049</v>
      </c>
    </row>
    <row r="3581" customFormat="false" ht="17.15" hidden="false" customHeight="false" outlineLevel="0" collapsed="false">
      <c r="A3581" s="1" t="s">
        <v>842</v>
      </c>
      <c r="B3581" s="0" t="s">
        <v>357</v>
      </c>
      <c r="C3581" s="8" t="n">
        <f aca="false">cxit_open</f>
        <v>27.5918995</v>
      </c>
      <c r="D3581" s="8" t="n">
        <f aca="false">cxit_open</f>
        <v>27.5918995</v>
      </c>
      <c r="E3581" s="8" t="n">
        <f aca="false">cxit_open</f>
        <v>27.5918995</v>
      </c>
      <c r="F3581" s="8" t="n">
        <f aca="false">(a_g3_27*tk_cxit_gb300+(1-a_g3_27)*tk_cxit_vr200)</f>
        <v>33.8419624</v>
      </c>
      <c r="G3581" s="8" t="n">
        <f aca="false">(a_g3_28*tk_cxit_gb300+(1-a_g3_28)*tk_cxit_vr200)</f>
        <v>35.9816136</v>
      </c>
      <c r="H3581" s="8" t="n">
        <f aca="false">(a_g3_29*tk_cxit_gb300+(1-a_g3_29)*tk_cxit_vr200)</f>
        <v>37.0514392</v>
      </c>
      <c r="I3581" s="8" t="n">
        <f aca="false">(a_g3_29*tk_cxit_gb300+(1-a_g3_29)*tk_cxit_vr200)</f>
        <v>37.0514392</v>
      </c>
      <c r="J3581" s="8" t="n">
        <f aca="false">(a_g3_29*tk_cxit_gb300+(1-a_g3_29)*tk_cxit_vr200)</f>
        <v>37.0514392</v>
      </c>
      <c r="K3581" s="8" t="n">
        <f aca="false">(a_g3_29*tk_cxit_gb300+(1-a_g3_29)*tk_cxit_vr200)</f>
        <v>37.0514392</v>
      </c>
      <c r="L3581" s="11" t="s">
        <v>843</v>
      </c>
    </row>
    <row r="3582" customFormat="false" ht="17.15" hidden="false" customHeight="false" outlineLevel="0" collapsed="false">
      <c r="A3582" s="0" t="s">
        <v>844</v>
      </c>
      <c r="B3582" s="0" t="s">
        <v>399</v>
      </c>
      <c r="F3582" s="29" t="n">
        <f aca="false">Sens!C3563*IF(Sens!F3556-Sens!C3556=life_it,1,0)+Sens!D3563*IF(Sens!F3556-Sens!D3556=life_it,1,0)+Sens!E3563*IF(Sens!F3556-Sens!E3556=life_it,1,0)</f>
        <v>0</v>
      </c>
      <c r="G3582" s="29" t="n">
        <f aca="false">Sens!C3563*IF(Sens!G3556-Sens!C3556=life_it,1,0)+Sens!D3563*IF(Sens!G3556-Sens!D3556=life_it,1,0)+Sens!E3563*IF(Sens!G3556-Sens!E3556=life_it,1,0)+Sens!F3563*IF(Sens!G3556-Sens!F3556=life_it,1,0)</f>
        <v>0</v>
      </c>
      <c r="H3582" s="29" t="n">
        <f aca="false">Sens!C3563*IF(Sens!H3556-Sens!C3556=life_it,1,0)+Sens!D3563*IF(Sens!H3556-Sens!D3556=life_it,1,0)+Sens!E3563*IF(Sens!H3556-Sens!E3556=life_it,1,0)+Sens!F3563*IF(Sens!H3556-Sens!F3556=life_it,1,0)+Sens!G3563*IF(Sens!H3556-Sens!G3556=life_it,1,0)</f>
        <v>0</v>
      </c>
      <c r="I3582" s="29" t="n">
        <f aca="false">Sens!C3563*IF(Sens!I3556-Sens!C3556=life_it,1,0)+Sens!D3563*IF(Sens!I3556-Sens!D3556=life_it,1,0)+Sens!E3563*IF(Sens!I3556-Sens!E3556=life_it,1,0)+Sens!F3563*IF(Sens!I3556-Sens!F3556=life_it,1,0)+Sens!G3563*IF(Sens!I3556-Sens!G3556=life_it,1,0)+Sens!H3563*IF(Sens!I3556-Sens!H3556=life_it,1,0)</f>
        <v>816.666666666667</v>
      </c>
      <c r="J3582" s="29" t="n">
        <f aca="false">Sens!C3563*IF(Sens!J3556-Sens!C3556=life_it,1,0)+Sens!D3563*IF(Sens!J3556-Sens!D3556=life_it,1,0)+Sens!E3563*IF(Sens!J3556-Sens!E3556=life_it,1,0)+Sens!F3563*IF(Sens!J3556-Sens!F3556=life_it,1,0)+Sens!G3563*IF(Sens!J3556-Sens!G3556=life_it,1,0)+Sens!H3563*IF(Sens!J3556-Sens!H3556=life_it,1,0)+Sens!I3563*IF(Sens!J3556-Sens!I3556=life_it,1,0)</f>
        <v>1233.33333333333</v>
      </c>
      <c r="K3582" s="29" t="n">
        <f aca="false">Sens!C3563*IF(Sens!K3556-Sens!C3556=life_it,1,0)+Sens!D3563*IF(Sens!K3556-Sens!D3556=life_it,1,0)+Sens!E3563*IF(Sens!K3556-Sens!E3556=life_it,1,0)+Sens!F3563*IF(Sens!K3556-Sens!F3556=life_it,1,0)+Sens!G3563*IF(Sens!K3556-Sens!G3556=life_it,1,0)+Sens!H3563*IF(Sens!K3556-Sens!H3556=life_it,1,0)+Sens!I3563*IF(Sens!K3556-Sens!I3556=life_it,1,0)+Sens!J3563*IF(Sens!K3556-Sens!J3556=life_it,1,0)</f>
        <v>2450</v>
      </c>
      <c r="L3582" s="1" t="s">
        <v>845</v>
      </c>
    </row>
    <row r="3583" customFormat="false" ht="17.15" hidden="false" customHeight="false" outlineLevel="0" collapsed="false">
      <c r="A3583" s="0" t="s">
        <v>846</v>
      </c>
      <c r="B3583" s="0" t="s">
        <v>98</v>
      </c>
      <c r="C3583" s="6" t="n">
        <f aca="false">Sens!C3563*Sens!C3581/1000</f>
        <v>22.5333845916667</v>
      </c>
      <c r="D3583" s="6" t="n">
        <f aca="false">Sens!D3563*Sens!D3581/1000</f>
        <v>34.0300093833333</v>
      </c>
      <c r="E3583" s="6" t="n">
        <f aca="false">Sens!E3563*Sens!E3581/1000</f>
        <v>67.600153775</v>
      </c>
      <c r="F3583" s="6" t="n">
        <f aca="false">(Sens!F3563+Sens!F3582)*Sens!F3581/1000</f>
        <v>159.431740997227</v>
      </c>
      <c r="G3583" s="6" t="n">
        <f aca="false">(Sens!G3563+Sens!G3582)*Sens!G3581/1000</f>
        <v>181.86546777984</v>
      </c>
      <c r="H3583" s="6" t="n">
        <f aca="false">(Sens!H3563+Sens!H3582)*Sens!H3581/1000</f>
        <v>187.27279429248</v>
      </c>
      <c r="I3583" s="6" t="n">
        <f aca="false">(Sens!I3563+Sens!I3582)*Sens!I3581/1000</f>
        <v>162.732341660428</v>
      </c>
      <c r="J3583" s="6" t="n">
        <f aca="false">(Sens!J3563+Sens!J3582)*Sens!J3581/1000</f>
        <v>126.020786674651</v>
      </c>
      <c r="K3583" s="6" t="n">
        <f aca="false">(Sens!K3563+Sens!K3582)*Sens!K3581/1000</f>
        <v>120.035366735575</v>
      </c>
    </row>
    <row r="3584" customFormat="false" ht="17.15" hidden="false" customHeight="false" outlineLevel="0" collapsed="false">
      <c r="A3584" s="0" t="s">
        <v>847</v>
      </c>
      <c r="B3584" s="0" t="s">
        <v>98</v>
      </c>
      <c r="C3584" s="6" t="n">
        <f aca="false">Sens!C3563*self_build*tk_cxfac/1000</f>
        <v>6.2083</v>
      </c>
      <c r="D3584" s="6" t="n">
        <f aca="false">Sens!D3563*self_build*tk_cxfac/1000</f>
        <v>9.3758</v>
      </c>
      <c r="E3584" s="6" t="n">
        <f aca="false">Sens!E3563*self_build*tk_cxfac/1000</f>
        <v>18.6249</v>
      </c>
      <c r="F3584" s="6" t="n">
        <f aca="false">Sens!F3563*self_build*tk_cxfac/1000</f>
        <v>35.8135288</v>
      </c>
      <c r="G3584" s="6" t="n">
        <f aca="false">Sens!G3563*self_build*tk_cxfac/1000</f>
        <v>38.4235488</v>
      </c>
      <c r="H3584" s="6" t="n">
        <f aca="false">Sens!H3563*self_build*tk_cxfac/1000</f>
        <v>38.4235488</v>
      </c>
      <c r="I3584" s="6" t="n">
        <f aca="false">Sens!I3563*self_build*tk_cxfac/1000</f>
        <v>27.180180664</v>
      </c>
      <c r="J3584" s="6" t="n">
        <f aca="false">Sens!J3563*self_build*tk_cxfac/1000</f>
        <v>16.48041614128</v>
      </c>
      <c r="K3584" s="6" t="n">
        <f aca="false">Sens!K3563*self_build*tk_cxfac/1000</f>
        <v>6.00326229615838</v>
      </c>
    </row>
    <row r="3585" customFormat="false" ht="17.15" hidden="false" customHeight="false" outlineLevel="0" collapsed="false">
      <c r="A3585" s="0" t="s">
        <v>848</v>
      </c>
      <c r="B3585" s="0" t="s">
        <v>98</v>
      </c>
      <c r="F3585" s="6" t="n">
        <f aca="false">MAX(0,capex_floor27-Sens!F3583-Sens!F3584-Sens!F3679)</f>
        <v>0</v>
      </c>
    </row>
    <row r="3586" customFormat="false" ht="17.15" hidden="false" customHeight="false" outlineLevel="0" collapsed="false">
      <c r="A3586" s="0" t="s">
        <v>849</v>
      </c>
      <c r="B3586" s="0" t="s">
        <v>98</v>
      </c>
      <c r="C3586" s="6" t="n">
        <f aca="false">Sens!C3583</f>
        <v>22.5333845916667</v>
      </c>
      <c r="D3586" s="6" t="n">
        <f aca="false">Sens!D3583</f>
        <v>34.0300093833333</v>
      </c>
      <c r="E3586" s="6" t="n">
        <f aca="false">Sens!E3583</f>
        <v>67.600153775</v>
      </c>
      <c r="F3586" s="6" t="n">
        <f aca="false">Sens!F3583</f>
        <v>159.431740997227</v>
      </c>
      <c r="G3586" s="6" t="n">
        <f aca="false">Sens!G3583</f>
        <v>181.86546777984</v>
      </c>
      <c r="H3586" s="6" t="n">
        <f aca="false">Sens!H3583</f>
        <v>187.27279429248</v>
      </c>
      <c r="I3586" s="6" t="n">
        <f aca="false">Sens!I3583</f>
        <v>162.732341660428</v>
      </c>
      <c r="J3586" s="6" t="n">
        <f aca="false">Sens!J3583</f>
        <v>126.020786674651</v>
      </c>
      <c r="K3586" s="6" t="n">
        <f aca="false">Sens!K3583</f>
        <v>120.035366735575</v>
      </c>
    </row>
    <row r="3587" customFormat="false" ht="17.15" hidden="false" customHeight="false" outlineLevel="0" collapsed="false">
      <c r="A3587" s="0" t="s">
        <v>850</v>
      </c>
      <c r="B3587" s="0" t="s">
        <v>98</v>
      </c>
      <c r="C3587" s="6" t="n">
        <f aca="false">Sens!C3586+Sens!C3584</f>
        <v>28.7416845916667</v>
      </c>
      <c r="D3587" s="6" t="n">
        <f aca="false">Sens!D3586+Sens!D3584</f>
        <v>43.4058093833333</v>
      </c>
      <c r="E3587" s="6" t="n">
        <f aca="false">Sens!E3586+Sens!E3584</f>
        <v>86.225053775</v>
      </c>
      <c r="F3587" s="6" t="n">
        <f aca="false">Sens!F3586+Sens!F3584</f>
        <v>195.245269797227</v>
      </c>
      <c r="G3587" s="6" t="n">
        <f aca="false">Sens!G3586+Sens!G3584</f>
        <v>220.28901657984</v>
      </c>
      <c r="H3587" s="6" t="n">
        <f aca="false">Sens!H3586+Sens!H3584</f>
        <v>225.69634309248</v>
      </c>
      <c r="I3587" s="6" t="n">
        <f aca="false">Sens!I3586+Sens!I3584</f>
        <v>189.912522324428</v>
      </c>
      <c r="J3587" s="6" t="n">
        <f aca="false">Sens!J3586+Sens!J3584</f>
        <v>142.501202815931</v>
      </c>
      <c r="K3587" s="6" t="n">
        <f aca="false">Sens!K3586+Sens!K3584</f>
        <v>126.038629031734</v>
      </c>
      <c r="L3587" s="11" t="s">
        <v>851</v>
      </c>
    </row>
    <row r="3588" customFormat="false" ht="17.15" hidden="false" customHeight="false" outlineLevel="0" collapsed="false">
      <c r="A3588" s="0" t="s">
        <v>852</v>
      </c>
      <c r="B3588" s="0" t="s">
        <v>98</v>
      </c>
      <c r="E3588" s="6" t="n">
        <f aca="false">(Sens!C3586*IF(2&lt;life_it,1,IF(2=life_it,0.5,0))+Sens!D3586*IF(1&lt;life_it,1,IF(1=life_it,0.5,0))+Sens!E3586*0.5)/life_it</f>
        <v>15.0605784770833</v>
      </c>
      <c r="F3588" s="6" t="n">
        <f aca="false">(Sens!C3586*IF(3&lt;life_it,1,IF(3=life_it,0.5,0))+Sens!D3586*IF(2&lt;life_it,1,IF(2=life_it,0.5,0))+Sens!E3586*IF(1&lt;life_it,1,IF(1=life_it,0.5,0))+Sens!F3586*0.5)/life_it</f>
        <v>33.9799030414356</v>
      </c>
      <c r="G3588" s="6" t="n">
        <f aca="false">(Sens!C3586*IF(4&lt;life_it,1,IF(4=life_it,0.5,0))+Sens!D3586*IF(3&lt;life_it,1,IF(3=life_it,0.5,0))+Sens!E3586*IF(2&lt;life_it,1,IF(2=life_it,0.5,0))+Sens!F3586*IF(1&lt;life_it,1,IF(1=life_it,0.5,0))+Sens!G3586*0.5)/life_it</f>
        <v>62.4213371061911</v>
      </c>
      <c r="H3588" s="6" t="n">
        <f aca="false">(Sens!C3586*IF(5&lt;life_it,1,IF(5=life_it,0.5,0))+Sens!D3586*IF(4&lt;life_it,1,IF(4=life_it,0.5,0))+Sens!E3586*IF(3&lt;life_it,1,IF(3=life_it,0.5,0))+Sens!F3586*IF(2&lt;life_it,1,IF(2=life_it,0.5,0))+Sens!G3586*IF(1&lt;life_it,1,IF(1=life_it,0.5,0))+Sens!H3586*0.5)/life_it</f>
        <v>93.1828589455511</v>
      </c>
      <c r="I3588" s="6" t="n">
        <f aca="false">(Sens!C3586*IF(6&lt;life_it,1,IF(6=life_it,0.5,0))+Sens!D3586*IF(5&lt;life_it,1,IF(5=life_it,0.5,0))+Sens!E3586*IF(4&lt;life_it,1,IF(4=life_it,0.5,0))+Sens!F3586*IF(3&lt;life_it,1,IF(3=life_it,0.5,0))+Sens!G3586*IF(2&lt;life_it,1,IF(2=life_it,0.5,0))+Sens!H3586*IF(1&lt;life_it,1,IF(1=life_it,0.5,0))+Sens!I3586*0.5)/life_it</f>
        <v>120.472171558988</v>
      </c>
      <c r="J3588" s="6" t="n">
        <f aca="false">(Sens!C3586*IF(7&lt;life_it,1,IF(7=life_it,0.5,0))+Sens!D3586*IF(6&lt;life_it,1,IF(6=life_it,0.5,0))+Sens!E3586*IF(5&lt;life_it,1,IF(5=life_it,0.5,0))+Sens!F3586*IF(4&lt;life_it,1,IF(4=life_it,0.5,0))+Sens!G3586*IF(3&lt;life_it,1,IF(3=life_it,0.5,0))+Sens!H3586*IF(2&lt;life_it,1,IF(2=life_it,0.5,0))+Sens!I3586*IF(1&lt;life_it,1,IF(1=life_it,0.5,0))+Sens!J3586*0.5)/life_it</f>
        <v>139.821316088994</v>
      </c>
      <c r="K3588" s="6" t="n">
        <f aca="false">(Sens!C3586*IF(8&lt;life_it,1,IF(8=life_it,0.5,0))+Sens!D3586*IF(7&lt;life_it,1,IF(7=life_it,0.5,0))+Sens!E3586*IF(6&lt;life_it,1,IF(6=life_it,0.5,0))+Sens!F3586*IF(5&lt;life_it,1,IF(5=life_it,0.5,0))+Sens!G3586*IF(4&lt;life_it,1,IF(4=life_it,0.5,0))+Sens!H3586*IF(3&lt;life_it,1,IF(3=life_it,0.5,0))+Sens!I3586*IF(2&lt;life_it,1,IF(2=life_it,0.5,0))+Sens!J3586*IF(1&lt;life_it,1,IF(1=life_it,0.5,0))+Sens!K3586*0.5)/life_it</f>
        <v>151.856815276652</v>
      </c>
    </row>
    <row r="3589" customFormat="false" ht="17.15" hidden="false" customHeight="false" outlineLevel="0" collapsed="false">
      <c r="A3589" s="0" t="s">
        <v>853</v>
      </c>
      <c r="B3589" s="0" t="s">
        <v>98</v>
      </c>
      <c r="E3589" s="6" t="n">
        <f aca="false">(Sens!C3584*IF(2&lt;life_fac,1,IF(2=life_fac,0.5,0))+Sens!D3584*IF(1&lt;life_fac,1,IF(1=life_fac,0.5,0))+Sens!E3584*0.5)/life_fac</f>
        <v>1.2448275</v>
      </c>
      <c r="F3589" s="6" t="n">
        <f aca="false">(Sens!C3584*IF(3&lt;life_fac,1,IF(3=life_fac,0.5,0))+Sens!D3584*IF(2&lt;life_fac,1,IF(2=life_fac,0.5,0))+Sens!E3584*IF(1&lt;life_fac,1,IF(1=life_fac,0.5,0))+Sens!F3584*0.5)/life_fac</f>
        <v>2.60578822</v>
      </c>
      <c r="G3589" s="6" t="n">
        <f aca="false">(Sens!C3584*IF(4&lt;life_fac,1,IF(4=life_fac,0.5,0))+Sens!D3584*IF(3&lt;life_fac,1,IF(3=life_fac,0.5,0))+Sens!E3584*IF(2&lt;life_fac,1,IF(2=life_fac,0.5,0))+Sens!F3584*IF(1&lt;life_fac,1,IF(1=life_fac,0.5,0))+Sens!G3584*0.5)/life_fac</f>
        <v>4.46171516</v>
      </c>
      <c r="H3589" s="6" t="n">
        <f aca="false">(Sens!C3584*IF(5&lt;life_fac,1,IF(5=life_fac,0.5,0))+Sens!D3584*IF(4&lt;life_fac,1,IF(4=life_fac,0.5,0))+Sens!E3584*IF(3&lt;life_fac,1,IF(3=life_fac,0.5,0))+Sens!F3584*IF(2&lt;life_fac,1,IF(2=life_fac,0.5,0))+Sens!G3584*IF(1&lt;life_fac,1,IF(1=life_fac,0.5,0))+Sens!H3584*0.5)/life_fac</f>
        <v>6.3828926</v>
      </c>
      <c r="I3589" s="6" t="n">
        <f aca="false">(Sens!C3584*IF(6&lt;life_fac,1,IF(6=life_fac,0.5,0))+Sens!D3584*IF(5&lt;life_fac,1,IF(5=life_fac,0.5,0))+Sens!E3584*IF(4&lt;life_fac,1,IF(4=life_fac,0.5,0))+Sens!F3584*IF(3&lt;life_fac,1,IF(3=life_fac,0.5,0))+Sens!G3584*IF(2&lt;life_fac,1,IF(2=life_fac,0.5,0))+Sens!H3584*IF(1&lt;life_fac,1,IF(1=life_fac,0.5,0))+Sens!I3584*0.5)/life_fac</f>
        <v>8.0229858366</v>
      </c>
      <c r="J3589" s="6" t="n">
        <f aca="false">(Sens!C3584*IF(7&lt;life_fac,1,IF(7=life_fac,0.5,0))+Sens!D3584*IF(6&lt;life_fac,1,IF(6=life_fac,0.5,0))+Sens!E3584*IF(5&lt;life_fac,1,IF(5=life_fac,0.5,0))+Sens!F3584*IF(4&lt;life_fac,1,IF(4=life_fac,0.5,0))+Sens!G3584*IF(3&lt;life_fac,1,IF(3=life_fac,0.5,0))+Sens!H3584*IF(2&lt;life_fac,1,IF(2=life_fac,0.5,0))+Sens!I3584*IF(1&lt;life_fac,1,IF(1=life_fac,0.5,0))+Sens!J3584*0.5)/life_fac</f>
        <v>9.114500756732</v>
      </c>
      <c r="K3589" s="6" t="n">
        <f aca="false">(Sens!C3584*IF(8&lt;life_fac,1,IF(8=life_fac,0.5,0))+Sens!D3584*IF(7&lt;life_fac,1,IF(7=life_fac,0.5,0))+Sens!E3584*IF(6&lt;life_fac,1,IF(6=life_fac,0.5,0))+Sens!F3584*IF(5&lt;life_fac,1,IF(5=life_fac,0.5,0))+Sens!G3584*IF(4&lt;life_fac,1,IF(4=life_fac,0.5,0))+Sens!H3584*IF(3&lt;life_fac,1,IF(3=life_fac,0.5,0))+Sens!I3584*IF(2&lt;life_fac,1,IF(2=life_fac,0.5,0))+Sens!J3584*IF(1&lt;life_fac,1,IF(1=life_fac,0.5,0))+Sens!K3584*0.5)/life_fac</f>
        <v>9.67659271766796</v>
      </c>
    </row>
    <row r="3590" customFormat="false" ht="17.15" hidden="false" customHeight="false" outlineLevel="0" collapsed="false">
      <c r="A3590" s="0" t="s">
        <v>854</v>
      </c>
      <c r="B3590" s="0" t="s">
        <v>98</v>
      </c>
      <c r="E3590" s="6" t="n">
        <f aca="false">Sens!E3588+Sens!E3589</f>
        <v>16.3054059770833</v>
      </c>
      <c r="F3590" s="6" t="n">
        <f aca="false">Sens!F3588+Sens!F3589</f>
        <v>36.5856912614356</v>
      </c>
      <c r="G3590" s="6" t="n">
        <f aca="false">Sens!G3588+Sens!G3589</f>
        <v>66.8830522661911</v>
      </c>
      <c r="H3590" s="6" t="n">
        <f aca="false">Sens!H3588+Sens!H3589</f>
        <v>99.5657515455511</v>
      </c>
      <c r="I3590" s="6" t="n">
        <f aca="false">Sens!I3588+Sens!I3589</f>
        <v>128.495157395588</v>
      </c>
      <c r="J3590" s="6" t="n">
        <f aca="false">Sens!J3588+Sens!J3589</f>
        <v>148.935816845726</v>
      </c>
      <c r="K3590" s="6" t="n">
        <f aca="false">Sens!K3588+Sens!K3589</f>
        <v>161.53340799432</v>
      </c>
    </row>
    <row r="3591" customFormat="false" ht="17.15" hidden="false" customHeight="false" outlineLevel="0" collapsed="false">
      <c r="A3591" s="0" t="s">
        <v>855</v>
      </c>
      <c r="B3591" s="0" t="s">
        <v>98</v>
      </c>
      <c r="E3591" s="6" t="n">
        <f aca="false">Sens!E3579-Sens!E3578*Sens!E3590</f>
        <v>8.92707889977379</v>
      </c>
      <c r="F3591" s="6" t="n">
        <f aca="false">Sens!F3579-Sens!F3578*Sens!F3590</f>
        <v>24.2212737604241</v>
      </c>
      <c r="G3591" s="6" t="n">
        <f aca="false">Sens!G3579-Sens!G3578*Sens!G3590</f>
        <v>48.0663178848364</v>
      </c>
      <c r="H3591" s="6" t="n">
        <f aca="false">Sens!H3579-Sens!H3578*Sens!H3590</f>
        <v>77.9955119513744</v>
      </c>
      <c r="I3591" s="6" t="n">
        <f aca="false">Sens!I3579-Sens!I3578*Sens!I3590</f>
        <v>98.4606574906373</v>
      </c>
      <c r="J3591" s="6" t="n">
        <f aca="false">Sens!J3579-Sens!J3578*Sens!J3590</f>
        <v>112.692368840472</v>
      </c>
      <c r="K3591" s="6" t="n">
        <f aca="false">Sens!K3579-Sens!K3578*Sens!K3590</f>
        <v>122.118496039621</v>
      </c>
    </row>
    <row r="3592" customFormat="false" ht="17.15" hidden="false" customHeight="false" outlineLevel="0" collapsed="false">
      <c r="A3592" s="3" t="s">
        <v>1353</v>
      </c>
    </row>
    <row r="3593" customFormat="false" ht="15" hidden="false" customHeight="false" outlineLevel="0" collapsed="false">
      <c r="A3593" s="4" t="s">
        <v>43</v>
      </c>
      <c r="B3593" s="4" t="s">
        <v>65</v>
      </c>
      <c r="C3593" s="20" t="s">
        <v>799</v>
      </c>
      <c r="D3593" s="20" t="s">
        <v>800</v>
      </c>
      <c r="E3593" s="20" t="s">
        <v>801</v>
      </c>
      <c r="F3593" s="20" t="s">
        <v>802</v>
      </c>
      <c r="G3593" s="20" t="s">
        <v>803</v>
      </c>
      <c r="H3593" s="20" t="s">
        <v>804</v>
      </c>
      <c r="I3593" s="20" t="s">
        <v>805</v>
      </c>
      <c r="J3593" s="20" t="s">
        <v>806</v>
      </c>
      <c r="K3593" s="20" t="s">
        <v>807</v>
      </c>
      <c r="L3593" s="4" t="s">
        <v>47</v>
      </c>
    </row>
    <row r="3594" customFormat="false" ht="17.15" hidden="false" customHeight="false" outlineLevel="0" collapsed="false">
      <c r="A3594" s="0" t="s">
        <v>874</v>
      </c>
      <c r="B3594" s="0" t="s">
        <v>98</v>
      </c>
      <c r="D3594" s="6" t="n">
        <f aca="false">Sens!D3573</f>
        <v>12.9359794422418</v>
      </c>
      <c r="E3594" s="6" t="n">
        <f aca="false">Sens!E3573</f>
        <v>27.8095064661409</v>
      </c>
      <c r="F3594" s="6" t="n">
        <f aca="false">Sens!F3573</f>
        <v>62.4428495660432</v>
      </c>
      <c r="G3594" s="6" t="n">
        <f aca="false">Sens!G3573</f>
        <v>113.090801086694</v>
      </c>
      <c r="H3594" s="6" t="n">
        <f aca="false">Sens!H3573</f>
        <v>170.695813426745</v>
      </c>
      <c r="I3594" s="6" t="n">
        <f aca="false">Sens!I3573</f>
        <v>215.482514213315</v>
      </c>
      <c r="J3594" s="6" t="n">
        <f aca="false">Sens!J3573</f>
        <v>246.694349698353</v>
      </c>
      <c r="K3594" s="6" t="n">
        <f aca="false">Sens!K3573</f>
        <v>266.306873294421</v>
      </c>
    </row>
    <row r="3595" customFormat="false" ht="17.15" hidden="false" customHeight="false" outlineLevel="0" collapsed="false">
      <c r="A3595" s="0" t="s">
        <v>875</v>
      </c>
      <c r="B3595" s="0" t="s">
        <v>98</v>
      </c>
      <c r="D3595" s="6" t="n">
        <f aca="false">Q!L6-Sens!D3594</f>
        <v>59.6740205577583</v>
      </c>
      <c r="E3595" s="6" t="n">
        <f aca="false">Q!M6-Sens!E3594</f>
        <v>74.1284935338591</v>
      </c>
      <c r="F3595" s="6" t="n">
        <f aca="false">Sens!E3595*(1+Sens!F3596)</f>
        <v>90.0799497373663</v>
      </c>
      <c r="G3595" s="6" t="n">
        <f aca="false">Sens!F3595*(1+Sens!G3596)</f>
        <v>107.02842520331</v>
      </c>
      <c r="H3595" s="6" t="n">
        <f aca="false">Sens!G3595*(1+Sens!H3596)</f>
        <v>124.271982585636</v>
      </c>
      <c r="I3595" s="6" t="n">
        <f aca="false">Sens!H3595*(1+Sens!I3596)</f>
        <v>140.933702381855</v>
      </c>
      <c r="J3595" s="6" t="n">
        <f aca="false">Sens!I3595*(1+Sens!J3596)</f>
        <v>156.018867314332</v>
      </c>
      <c r="K3595" s="6" t="n">
        <f aca="false">Sens!J3595*(1+Sens!K3596)</f>
        <v>168.500376699478</v>
      </c>
    </row>
    <row r="3596" customFormat="false" ht="15" hidden="false" customHeight="false" outlineLevel="0" collapsed="false">
      <c r="A3596" s="1" t="s">
        <v>876</v>
      </c>
      <c r="B3596" s="0" t="s">
        <v>129</v>
      </c>
      <c r="E3596" s="7" t="n">
        <f aca="false">Sens!E3595/Sens!D3595-1</f>
        <v>0.242223883039864</v>
      </c>
      <c r="F3596" s="7" t="n">
        <f aca="false">Sens!$E$3596+(glt_azo-Sens!$E$3596)*MIN(1,(Sens!F3556-base_fy)/n_conv)</f>
        <v>0.215186569199887</v>
      </c>
      <c r="G3596" s="7" t="n">
        <f aca="false">Sens!$E$3596+(glt_azo-Sens!$E$3596)*MIN(1,(Sens!G3556-base_fy)/n_conv)</f>
        <v>0.18814925535991</v>
      </c>
      <c r="H3596" s="7" t="n">
        <f aca="false">Sens!$E$3596+(glt_azo-Sens!$E$3596)*MIN(1,(Sens!H3556-base_fy)/n_conv)</f>
        <v>0.161111941519932</v>
      </c>
      <c r="I3596" s="7" t="n">
        <f aca="false">Sens!$E$3596+(glt_azo-Sens!$E$3596)*MIN(1,(Sens!I3556-base_fy)/n_conv)</f>
        <v>0.134074627679955</v>
      </c>
      <c r="J3596" s="7" t="n">
        <f aca="false">Sens!$E$3596+(glt_azo-Sens!$E$3596)*MIN(1,(Sens!J3556-base_fy)/n_conv)</f>
        <v>0.107037313839977</v>
      </c>
      <c r="K3596" s="7" t="n">
        <f aca="false">Sens!$E$3596+(glt_azo-Sens!$E$3596)*MIN(1,(Sens!K3556-base_fy)/n_conv)</f>
        <v>0.08</v>
      </c>
    </row>
    <row r="3597" customFormat="false" ht="15" hidden="false" customHeight="false" outlineLevel="0" collapsed="false">
      <c r="A3597" s="0" t="s">
        <v>877</v>
      </c>
      <c r="B3597" s="0" t="s">
        <v>98</v>
      </c>
      <c r="D3597" s="6" t="n">
        <f aca="false">Sens!D3594+Sens!D3595</f>
        <v>72.61</v>
      </c>
      <c r="E3597" s="6" t="n">
        <f aca="false">Sens!E3594+Sens!E3595</f>
        <v>101.938</v>
      </c>
      <c r="F3597" s="6" t="n">
        <f aca="false">Sens!F3594+Sens!F3595</f>
        <v>152.522799303409</v>
      </c>
      <c r="G3597" s="6" t="n">
        <f aca="false">Sens!G3594+Sens!G3595</f>
        <v>220.119226290004</v>
      </c>
      <c r="H3597" s="6" t="n">
        <f aca="false">Sens!H3594+Sens!H3595</f>
        <v>294.967796012381</v>
      </c>
      <c r="I3597" s="6" t="n">
        <f aca="false">Sens!I3594+Sens!I3595</f>
        <v>356.41621659517</v>
      </c>
      <c r="J3597" s="6" t="n">
        <f aca="false">Sens!J3594+Sens!J3595</f>
        <v>402.713217012685</v>
      </c>
      <c r="K3597" s="6" t="n">
        <f aca="false">Sens!K3594+Sens!K3595</f>
        <v>434.807249993899</v>
      </c>
    </row>
    <row r="3598" customFormat="false" ht="17.15" hidden="false" customHeight="false" outlineLevel="0" collapsed="false">
      <c r="A3598" s="0" t="s">
        <v>878</v>
      </c>
      <c r="B3598" s="1" t="s">
        <v>528</v>
      </c>
      <c r="C3598" s="29" t="n">
        <f aca="false">cop_s24</f>
        <v>1</v>
      </c>
      <c r="D3598" s="29" t="n">
        <f aca="false">cop_s25</f>
        <v>5</v>
      </c>
      <c r="E3598" s="29" t="n">
        <f aca="false">cop_s26</f>
        <v>30</v>
      </c>
      <c r="F3598" s="29" t="n">
        <f aca="false">Sens!E3598+cop_add_A</f>
        <v>60</v>
      </c>
      <c r="G3598" s="29" t="n">
        <f aca="false">Sens!F3598+cop_add_A</f>
        <v>90</v>
      </c>
      <c r="H3598" s="29" t="n">
        <f aca="false">Sens!G3598+cop_add_A</f>
        <v>120</v>
      </c>
      <c r="I3598" s="29" t="n">
        <f aca="false">Sens!H3598+cop_add_A*cop_tail</f>
        <v>135</v>
      </c>
      <c r="J3598" s="29" t="n">
        <f aca="false">Sens!I3598+cop_add_A*cop_tail</f>
        <v>150</v>
      </c>
      <c r="K3598" s="29" t="n">
        <f aca="false">Sens!J3598+cop_add_A*cop_tail</f>
        <v>165</v>
      </c>
      <c r="L3598" s="11" t="s">
        <v>879</v>
      </c>
    </row>
    <row r="3599" customFormat="false" ht="17.15" hidden="false" customHeight="false" outlineLevel="0" collapsed="false">
      <c r="A3599" s="0" t="s">
        <v>880</v>
      </c>
      <c r="B3599" s="0" t="s">
        <v>98</v>
      </c>
      <c r="D3599" s="6" t="n">
        <f aca="false">(Sens!C3598+Sens!D3598)/2*cop_px*12/1000</f>
        <v>0.9</v>
      </c>
      <c r="E3599" s="6" t="n">
        <f aca="false">(Sens!D3598+Sens!E3598)/2*cop_px*12/1000</f>
        <v>5.25</v>
      </c>
      <c r="F3599" s="6" t="n">
        <f aca="false">(Sens!E3598+Sens!F3598)/2*cop_px*12/1000</f>
        <v>13.5</v>
      </c>
      <c r="G3599" s="6" t="n">
        <f aca="false">(Sens!F3598+Sens!G3598)/2*cop_px*12/1000</f>
        <v>22.5</v>
      </c>
      <c r="H3599" s="6" t="n">
        <f aca="false">(Sens!G3598+Sens!H3598)/2*cop_px*12/1000</f>
        <v>31.5</v>
      </c>
      <c r="I3599" s="6" t="n">
        <f aca="false">(Sens!H3598+Sens!I3598)/2*cop_px*12/1000</f>
        <v>38.25</v>
      </c>
      <c r="J3599" s="6" t="n">
        <f aca="false">(Sens!I3598+Sens!J3598)/2*cop_px*12/1000</f>
        <v>42.75</v>
      </c>
      <c r="K3599" s="6" t="n">
        <f aca="false">(Sens!J3598+Sens!K3598)/2*cop_px*12/1000</f>
        <v>47.25</v>
      </c>
      <c r="L3599" s="1" t="s">
        <v>881</v>
      </c>
    </row>
    <row r="3600" customFormat="false" ht="17.15" hidden="false" customHeight="false" outlineLevel="0" collapsed="false">
      <c r="A3600" s="0" t="s">
        <v>882</v>
      </c>
      <c r="B3600" s="0" t="s">
        <v>98</v>
      </c>
      <c r="D3600" s="6" t="n">
        <f aca="false">Q!L7-Sens!D3599</f>
        <v>83.705</v>
      </c>
      <c r="E3600" s="6" t="n">
        <f aca="false">Q!M7-Sens!E3599</f>
        <v>95.049</v>
      </c>
      <c r="F3600" s="6" t="n">
        <f aca="false">Sens!E3600*(1+Sens!F3601)</f>
        <v>106.89238776686</v>
      </c>
      <c r="G3600" s="6" t="n">
        <f aca="false">Sens!F3600*(1+Sens!G3601)</f>
        <v>119.044168448684</v>
      </c>
      <c r="H3600" s="6" t="n">
        <f aca="false">Sens!G3600*(1+Sens!H3601)</f>
        <v>131.277359388781</v>
      </c>
      <c r="I3600" s="6" t="n">
        <f aca="false">Sens!H3600*(1+Sens!I3601)</f>
        <v>143.334028071957</v>
      </c>
      <c r="J3600" s="6" t="n">
        <f aca="false">Sens!I3600*(1+Sens!J3601)</f>
        <v>154.932702785465</v>
      </c>
      <c r="K3600" s="6" t="n">
        <f aca="false">Sens!J3600*(1+Sens!K3601)</f>
        <v>165.777991980448</v>
      </c>
    </row>
    <row r="3601" customFormat="false" ht="15" hidden="false" customHeight="false" outlineLevel="0" collapsed="false">
      <c r="A3601" s="1" t="s">
        <v>876</v>
      </c>
      <c r="B3601" s="0" t="s">
        <v>129</v>
      </c>
      <c r="E3601" s="7" t="n">
        <f aca="false">Sens!E3600/Sens!D3600-1</f>
        <v>0.135523564900544</v>
      </c>
      <c r="F3601" s="7" t="n">
        <f aca="false">Sens!$E$3601+(glt_m365b-Sens!$E$3601)*MIN(1,(Sens!F3556-base_fy)/n_conv)</f>
        <v>0.124602970750453</v>
      </c>
      <c r="G3601" s="7" t="n">
        <f aca="false">Sens!$E$3601+(glt_m365b-Sens!$E$3601)*MIN(1,(Sens!G3556-base_fy)/n_conv)</f>
        <v>0.113682376600363</v>
      </c>
      <c r="H3601" s="7" t="n">
        <f aca="false">Sens!$E$3601+(glt_m365b-Sens!$E$3601)*MIN(1,(Sens!H3556-base_fy)/n_conv)</f>
        <v>0.102761782450272</v>
      </c>
      <c r="I3601" s="7" t="n">
        <f aca="false">Sens!$E$3601+(glt_m365b-Sens!$E$3601)*MIN(1,(Sens!I3556-base_fy)/n_conv)</f>
        <v>0.0918411883001813</v>
      </c>
      <c r="J3601" s="7" t="n">
        <f aca="false">Sens!$E$3601+(glt_m365b-Sens!$E$3601)*MIN(1,(Sens!J3556-base_fy)/n_conv)</f>
        <v>0.0809205941500906</v>
      </c>
      <c r="K3601" s="7" t="n">
        <f aca="false">Sens!$E$3601+(glt_m365b-Sens!$E$3601)*MIN(1,(Sens!K3556-base_fy)/n_conv)</f>
        <v>0.07</v>
      </c>
    </row>
    <row r="3602" customFormat="false" ht="15" hidden="false" customHeight="false" outlineLevel="0" collapsed="false">
      <c r="A3602" s="0" t="s">
        <v>883</v>
      </c>
      <c r="B3602" s="0" t="s">
        <v>98</v>
      </c>
      <c r="D3602" s="6" t="n">
        <f aca="false">Sens!D3600+Sens!D3599</f>
        <v>84.605</v>
      </c>
      <c r="E3602" s="6" t="n">
        <f aca="false">Sens!E3600+Sens!E3599</f>
        <v>100.299</v>
      </c>
      <c r="F3602" s="6" t="n">
        <f aca="false">Sens!F3600+Sens!F3599</f>
        <v>120.39238776686</v>
      </c>
      <c r="G3602" s="6" t="n">
        <f aca="false">Sens!G3600+Sens!G3599</f>
        <v>141.544168448684</v>
      </c>
      <c r="H3602" s="6" t="n">
        <f aca="false">Sens!H3600+Sens!H3599</f>
        <v>162.777359388781</v>
      </c>
      <c r="I3602" s="6" t="n">
        <f aca="false">Sens!I3600+Sens!I3599</f>
        <v>181.584028071957</v>
      </c>
      <c r="J3602" s="6" t="n">
        <f aca="false">Sens!J3600+Sens!J3599</f>
        <v>197.682702785465</v>
      </c>
      <c r="K3602" s="6" t="n">
        <f aca="false">Sens!K3600+Sens!K3599</f>
        <v>213.027991980448</v>
      </c>
    </row>
    <row r="3603" customFormat="false" ht="15" hidden="false" customHeight="false" outlineLevel="0" collapsed="false">
      <c r="A3603" s="0" t="s">
        <v>884</v>
      </c>
      <c r="B3603" s="0" t="s">
        <v>98</v>
      </c>
      <c r="D3603" s="6" t="n">
        <f aca="false">Q!L8</f>
        <v>35.391</v>
      </c>
      <c r="E3603" s="6" t="n">
        <f aca="false">Q!M8</f>
        <v>37.285</v>
      </c>
      <c r="F3603" s="6" t="n">
        <f aca="false">Sens!E3603*(1+Sens!F3604)</f>
        <v>39.0720834331704</v>
      </c>
      <c r="G3603" s="6" t="n">
        <f aca="false">Sens!F3603*(1+Sens!G3604)</f>
        <v>40.726562953769</v>
      </c>
      <c r="H3603" s="6" t="n">
        <f aca="false">Sens!G3603*(1+Sens!H3604)</f>
        <v>42.2235987259198</v>
      </c>
      <c r="I3603" s="6" t="n">
        <f aca="false">Sens!H3603*(1+Sens!I3604)</f>
        <v>43.5397988077414</v>
      </c>
      <c r="J3603" s="6" t="n">
        <f aca="false">Sens!I3603*(1+Sens!J3604)</f>
        <v>44.653811225693</v>
      </c>
      <c r="K3603" s="6" t="n">
        <f aca="false">Sens!J3603*(1+Sens!K3604)</f>
        <v>45.5468874502068</v>
      </c>
    </row>
    <row r="3604" customFormat="false" ht="15" hidden="false" customHeight="false" outlineLevel="0" collapsed="false">
      <c r="A3604" s="1" t="s">
        <v>876</v>
      </c>
      <c r="B3604" s="0" t="s">
        <v>129</v>
      </c>
      <c r="E3604" s="7" t="n">
        <f aca="false">Sens!E3603/Sens!D3603-1</f>
        <v>0.0535164307309768</v>
      </c>
      <c r="F3604" s="7" t="n">
        <f aca="false">Sens!$E$3604+(glt_lic-Sens!$E$3604)*MIN(1,(Sens!F3556-base_fy)/n_conv)</f>
        <v>0.0479303589424807</v>
      </c>
      <c r="G3604" s="7" t="n">
        <f aca="false">Sens!$E$3604+(glt_lic-Sens!$E$3604)*MIN(1,(Sens!G3556-base_fy)/n_conv)</f>
        <v>0.0423442871539845</v>
      </c>
      <c r="H3604" s="7" t="n">
        <f aca="false">Sens!$E$3604+(glt_lic-Sens!$E$3604)*MIN(1,(Sens!H3556-base_fy)/n_conv)</f>
        <v>0.0367582153654884</v>
      </c>
      <c r="I3604" s="7" t="n">
        <f aca="false">Sens!$E$3604+(glt_lic-Sens!$E$3604)*MIN(1,(Sens!I3556-base_fy)/n_conv)</f>
        <v>0.0311721435769923</v>
      </c>
      <c r="J3604" s="7" t="n">
        <f aca="false">Sens!$E$3604+(glt_lic-Sens!$E$3604)*MIN(1,(Sens!J3556-base_fy)/n_conv)</f>
        <v>0.0255860717884961</v>
      </c>
      <c r="K3604" s="7" t="n">
        <f aca="false">Sens!$E$3604+(glt_lic-Sens!$E$3604)*MIN(1,(Sens!K3556-base_fy)/n_conv)</f>
        <v>0.02</v>
      </c>
    </row>
    <row r="3605" customFormat="false" ht="15" hidden="false" customHeight="false" outlineLevel="0" collapsed="false">
      <c r="A3605" s="0" t="s">
        <v>885</v>
      </c>
      <c r="B3605" s="0" t="s">
        <v>98</v>
      </c>
      <c r="D3605" s="6" t="n">
        <f aca="false">Q!L9</f>
        <v>18.417</v>
      </c>
      <c r="E3605" s="6" t="n">
        <f aca="false">Q!M9</f>
        <v>20.345</v>
      </c>
      <c r="F3605" s="6" t="n">
        <f aca="false">Sens!E3605*(1+Sens!F3606)</f>
        <v>22.3572203267814</v>
      </c>
      <c r="G3605" s="6" t="n">
        <f aca="false">Sens!F3605*(1+Sens!G3606)</f>
        <v>24.4392124437232</v>
      </c>
      <c r="H3605" s="6" t="n">
        <f aca="false">Sens!G3605*(1+Sens!H3606)</f>
        <v>26.5738052080665</v>
      </c>
      <c r="I3605" s="6" t="n">
        <f aca="false">Sens!H3605*(1+Sens!I3606)</f>
        <v>28.7412169166967</v>
      </c>
      <c r="J3605" s="6" t="n">
        <f aca="false">Sens!I3605*(1+Sens!J3606)</f>
        <v>30.9192545395413</v>
      </c>
      <c r="K3605" s="6" t="n">
        <f aca="false">Sens!J3605*(1+Sens!K3606)</f>
        <v>33.0836023573092</v>
      </c>
    </row>
    <row r="3606" customFormat="false" ht="15" hidden="false" customHeight="false" outlineLevel="0" collapsed="false">
      <c r="A3606" s="1" t="s">
        <v>876</v>
      </c>
      <c r="B3606" s="0" t="s">
        <v>129</v>
      </c>
      <c r="E3606" s="7" t="n">
        <f aca="false">Sens!E3605/Sens!D3605-1</f>
        <v>0.104685888038225</v>
      </c>
      <c r="F3606" s="7" t="n">
        <f aca="false">Sens!$E$3606+(glt_ind-Sens!$E$3606)*MIN(1,(Sens!F3556-base_fy)/n_conv)</f>
        <v>0.0989049066985211</v>
      </c>
      <c r="G3606" s="7" t="n">
        <f aca="false">Sens!$E$3606+(glt_ind-Sens!$E$3606)*MIN(1,(Sens!G3556-base_fy)/n_conv)</f>
        <v>0.0931239253588169</v>
      </c>
      <c r="H3606" s="7" t="n">
        <f aca="false">Sens!$E$3606+(glt_ind-Sens!$E$3606)*MIN(1,(Sens!H3556-base_fy)/n_conv)</f>
        <v>0.0873429440191127</v>
      </c>
      <c r="I3606" s="7" t="n">
        <f aca="false">Sens!$E$3606+(glt_ind-Sens!$E$3606)*MIN(1,(Sens!I3556-base_fy)/n_conv)</f>
        <v>0.0815619626794085</v>
      </c>
      <c r="J3606" s="7" t="n">
        <f aca="false">Sens!$E$3606+(glt_ind-Sens!$E$3606)*MIN(1,(Sens!J3556-base_fy)/n_conv)</f>
        <v>0.0757809813397042</v>
      </c>
      <c r="K3606" s="7" t="n">
        <f aca="false">Sens!$E$3606+(glt_ind-Sens!$E$3606)*MIN(1,(Sens!K3556-base_fy)/n_conv)</f>
        <v>0.07</v>
      </c>
    </row>
    <row r="3607" customFormat="false" ht="15" hidden="false" customHeight="false" outlineLevel="0" collapsed="false">
      <c r="A3607" s="0" t="s">
        <v>886</v>
      </c>
      <c r="B3607" s="0" t="s">
        <v>98</v>
      </c>
      <c r="D3607" s="6" t="n">
        <f aca="false">Q!L10</f>
        <v>7.76</v>
      </c>
      <c r="E3607" s="6" t="n">
        <f aca="false">Q!M10</f>
        <v>8.26</v>
      </c>
      <c r="F3607" s="6" t="n">
        <f aca="false">Sens!E3607*(1+Sens!F3608)</f>
        <v>8.79988041237113</v>
      </c>
      <c r="G3607" s="6" t="n">
        <f aca="false">Sens!F3607*(1+Sens!G3608)</f>
        <v>9.38321269125306</v>
      </c>
      <c r="H3607" s="6" t="n">
        <f aca="false">Sens!G3607*(1+Sens!H3608)</f>
        <v>10.0139193587476</v>
      </c>
      <c r="I3607" s="6" t="n">
        <f aca="false">Sens!H3607*(1+Sens!I3608)</f>
        <v>10.6963111830911</v>
      </c>
      <c r="J3607" s="6" t="n">
        <f aca="false">Sens!I3607*(1+Sens!J3608)</f>
        <v>11.4351285534696</v>
      </c>
      <c r="K3607" s="6" t="n">
        <f aca="false">Sens!J3607*(1+Sens!K3608)</f>
        <v>12.2355875522124</v>
      </c>
    </row>
    <row r="3608" customFormat="false" ht="15" hidden="false" customHeight="false" outlineLevel="0" collapsed="false">
      <c r="A3608" s="1" t="s">
        <v>876</v>
      </c>
      <c r="B3608" s="0" t="s">
        <v>129</v>
      </c>
      <c r="E3608" s="7" t="n">
        <f aca="false">Sens!E3607/Sens!D3607-1</f>
        <v>0.0644329896907216</v>
      </c>
      <c r="F3608" s="7" t="n">
        <f aca="false">Sens!$E$3608+(glt_fro-Sens!$E$3608)*MIN(1,(Sens!F3556-base_fy)/n_conv)</f>
        <v>0.065360824742268</v>
      </c>
      <c r="G3608" s="7" t="n">
        <f aca="false">Sens!$E$3608+(glt_fro-Sens!$E$3608)*MIN(1,(Sens!G3556-base_fy)/n_conv)</f>
        <v>0.0662886597938144</v>
      </c>
      <c r="H3608" s="7" t="n">
        <f aca="false">Sens!$E$3608+(glt_fro-Sens!$E$3608)*MIN(1,(Sens!H3556-base_fy)/n_conv)</f>
        <v>0.0672164948453608</v>
      </c>
      <c r="I3608" s="7" t="n">
        <f aca="false">Sens!$E$3608+(glt_fro-Sens!$E$3608)*MIN(1,(Sens!I3556-base_fy)/n_conv)</f>
        <v>0.0681443298969072</v>
      </c>
      <c r="J3608" s="7" t="n">
        <f aca="false">Sens!$E$3608+(glt_fro-Sens!$E$3608)*MIN(1,(Sens!J3556-base_fy)/n_conv)</f>
        <v>0.0690721649484536</v>
      </c>
      <c r="K3608" s="7" t="n">
        <f aca="false">Sens!$E$3608+(glt_fro-Sens!$E$3608)*MIN(1,(Sens!K3556-base_fy)/n_conv)</f>
        <v>0.07</v>
      </c>
    </row>
    <row r="3609" customFormat="false" ht="15" hidden="false" customHeight="false" outlineLevel="0" collapsed="false">
      <c r="A3609" s="0" t="s">
        <v>715</v>
      </c>
      <c r="B3609" s="0" t="s">
        <v>98</v>
      </c>
      <c r="D3609" s="6" t="n">
        <f aca="false">Sens!D3597+Sens!D3602+Sens!D3603+Sens!D3605+Sens!D3607</f>
        <v>218.783</v>
      </c>
      <c r="E3609" s="6" t="n">
        <f aca="false">Sens!E3597+Sens!E3602+Sens!E3603+Sens!E3605+Sens!E3607</f>
        <v>268.127</v>
      </c>
      <c r="F3609" s="6" t="n">
        <f aca="false">Sens!F3597+Sens!F3602+Sens!F3603+Sens!F3605+Sens!F3607</f>
        <v>343.144371242592</v>
      </c>
      <c r="G3609" s="6" t="n">
        <f aca="false">Sens!G3597+Sens!G3602+Sens!G3603+Sens!G3605+Sens!G3607</f>
        <v>436.212382827433</v>
      </c>
      <c r="H3609" s="6" t="n">
        <f aca="false">Sens!H3597+Sens!H3602+Sens!H3603+Sens!H3605+Sens!H3607</f>
        <v>536.556478693896</v>
      </c>
      <c r="I3609" s="6" t="n">
        <f aca="false">Sens!I3597+Sens!I3602+Sens!I3603+Sens!I3605+Sens!I3607</f>
        <v>620.977571574656</v>
      </c>
      <c r="J3609" s="6" t="n">
        <f aca="false">Sens!J3597+Sens!J3602+Sens!J3603+Sens!J3605+Sens!J3607</f>
        <v>687.404114116854</v>
      </c>
      <c r="K3609" s="6" t="n">
        <f aca="false">Sens!K3597+Sens!K3602+Sens!K3603+Sens!K3605+Sens!K3607</f>
        <v>738.701319334075</v>
      </c>
    </row>
    <row r="3610" customFormat="false" ht="15" hidden="false" customHeight="false" outlineLevel="0" collapsed="false">
      <c r="A3610" s="0" t="s">
        <v>887</v>
      </c>
      <c r="B3610" s="0" t="s">
        <v>98</v>
      </c>
      <c r="D3610" s="6" t="n">
        <f aca="false">Q!L13</f>
        <v>22.171</v>
      </c>
      <c r="E3610" s="6" t="n">
        <f aca="false">Q!M13</f>
        <v>24.835</v>
      </c>
      <c r="F3610" s="6" t="n">
        <f aca="false">Sens!E3610*(1+Sens!F3611)</f>
        <v>27.6114901218559</v>
      </c>
      <c r="G3610" s="6" t="n">
        <f aca="false">Sens!F3610*(1+Sens!G3611)</f>
        <v>30.4675667338515</v>
      </c>
      <c r="H3610" s="6" t="n">
        <f aca="false">Sens!G3610*(1+Sens!H3611)</f>
        <v>33.3643766955789</v>
      </c>
      <c r="I3610" s="6" t="n">
        <f aca="false">Sens!H3610*(1+Sens!I3611)</f>
        <v>36.2577016533691</v>
      </c>
      <c r="J3610" s="6" t="n">
        <f aca="false">Sens!I3610*(1+Sens!J3611)</f>
        <v>39.0988367952171</v>
      </c>
      <c r="K3610" s="6" t="n">
        <f aca="false">Sens!J3610*(1+Sens!K3611)</f>
        <v>41.8357553708823</v>
      </c>
    </row>
    <row r="3611" customFormat="false" ht="15" hidden="false" customHeight="false" outlineLevel="0" collapsed="false">
      <c r="A3611" s="1" t="s">
        <v>876</v>
      </c>
      <c r="B3611" s="0" t="s">
        <v>129</v>
      </c>
      <c r="E3611" s="7" t="n">
        <f aca="false">Sens!E3610/Sens!D3610-1</f>
        <v>0.120156961796942</v>
      </c>
      <c r="F3611" s="7" t="n">
        <f aca="false">Sens!$E$3611+(glt_srch-Sens!$E$3611)*MIN(1,(Sens!F3556-base_fy)/n_conv)</f>
        <v>0.111797468164118</v>
      </c>
      <c r="G3611" s="7" t="n">
        <f aca="false">Sens!$E$3611+(glt_srch-Sens!$E$3611)*MIN(1,(Sens!G3556-base_fy)/n_conv)</f>
        <v>0.103437974531295</v>
      </c>
      <c r="H3611" s="7" t="n">
        <f aca="false">Sens!$E$3611+(glt_srch-Sens!$E$3611)*MIN(1,(Sens!H3556-base_fy)/n_conv)</f>
        <v>0.095078480898471</v>
      </c>
      <c r="I3611" s="7" t="n">
        <f aca="false">Sens!$E$3611+(glt_srch-Sens!$E$3611)*MIN(1,(Sens!I3556-base_fy)/n_conv)</f>
        <v>0.0867189872656474</v>
      </c>
      <c r="J3611" s="7" t="n">
        <f aca="false">Sens!$E$3611+(glt_srch-Sens!$E$3611)*MIN(1,(Sens!J3556-base_fy)/n_conv)</f>
        <v>0.0783594936328237</v>
      </c>
      <c r="K3611" s="7" t="n">
        <f aca="false">Sens!$E$3611+(glt_srch-Sens!$E$3611)*MIN(1,(Sens!K3556-base_fy)/n_conv)</f>
        <v>0.07</v>
      </c>
    </row>
    <row r="3612" customFormat="false" ht="15" hidden="false" customHeight="false" outlineLevel="0" collapsed="false">
      <c r="A3612" s="0" t="s">
        <v>888</v>
      </c>
      <c r="B3612" s="0" t="s">
        <v>98</v>
      </c>
      <c r="D3612" s="6" t="n">
        <f aca="false">Q!L14</f>
        <v>23.455</v>
      </c>
      <c r="E3612" s="6" t="n">
        <f aca="false">Q!M14</f>
        <v>21.79</v>
      </c>
      <c r="F3612" s="6" t="n">
        <f aca="false">Sens!E3612*(1+Sens!F3613)</f>
        <v>20.5736277908051</v>
      </c>
      <c r="G3612" s="6" t="n">
        <f aca="false">Sens!F3612*(1+Sens!G3613)</f>
        <v>19.7371452817919</v>
      </c>
      <c r="H3612" s="6" t="n">
        <f aca="false">Sens!G3612*(1+Sens!H3613)</f>
        <v>19.2339764043138</v>
      </c>
      <c r="I3612" s="6" t="n">
        <f aca="false">Sens!H3612*(1+Sens!I3613)</f>
        <v>19.0353086852681</v>
      </c>
      <c r="J3612" s="6" t="n">
        <f aca="false">Sens!I3612*(1+Sens!J3613)</f>
        <v>19.1273539319129</v>
      </c>
      <c r="K3612" s="6" t="n">
        <f aca="false">Sens!J3612*(1+Sens!K3613)</f>
        <v>19.5099010105511</v>
      </c>
    </row>
    <row r="3613" customFormat="false" ht="15" hidden="false" customHeight="false" outlineLevel="0" collapsed="false">
      <c r="A3613" s="1" t="s">
        <v>876</v>
      </c>
      <c r="B3613" s="0" t="s">
        <v>129</v>
      </c>
      <c r="E3613" s="7" t="n">
        <f aca="false">Sens!E3612/Sens!D3612-1</f>
        <v>-0.0709869963760392</v>
      </c>
      <c r="F3613" s="7" t="n">
        <f aca="false">Sens!$E$3613+(glt_xbox-Sens!$E$3613)*MIN(1,(Sens!F3556-base_fy)/n_conv)</f>
        <v>-0.0558224969800327</v>
      </c>
      <c r="G3613" s="7" t="n">
        <f aca="false">Sens!$E$3613+(glt_xbox-Sens!$E$3613)*MIN(1,(Sens!G3556-base_fy)/n_conv)</f>
        <v>-0.0406579975840262</v>
      </c>
      <c r="H3613" s="7" t="n">
        <f aca="false">Sens!$E$3613+(glt_xbox-Sens!$E$3613)*MIN(1,(Sens!H3556-base_fy)/n_conv)</f>
        <v>-0.0254934981880196</v>
      </c>
      <c r="I3613" s="7" t="n">
        <f aca="false">Sens!$E$3613+(glt_xbox-Sens!$E$3613)*MIN(1,(Sens!I3556-base_fy)/n_conv)</f>
        <v>-0.0103289987920131</v>
      </c>
      <c r="J3613" s="7" t="n">
        <f aca="false">Sens!$E$3613+(glt_xbox-Sens!$E$3613)*MIN(1,(Sens!J3556-base_fy)/n_conv)</f>
        <v>0.00483550060399347</v>
      </c>
      <c r="K3613" s="7" t="n">
        <f aca="false">Sens!$E$3613+(glt_xbox-Sens!$E$3613)*MIN(1,(Sens!K3556-base_fy)/n_conv)</f>
        <v>0.02</v>
      </c>
    </row>
    <row r="3614" customFormat="false" ht="15" hidden="false" customHeight="false" outlineLevel="0" collapsed="false">
      <c r="A3614" s="0" t="s">
        <v>889</v>
      </c>
      <c r="B3614" s="0" t="s">
        <v>98</v>
      </c>
      <c r="D3614" s="6" t="n">
        <f aca="false">Q!L15</f>
        <v>17.315</v>
      </c>
      <c r="E3614" s="6" t="n">
        <f aca="false">Q!M15</f>
        <v>17.087</v>
      </c>
      <c r="F3614" s="6" t="n">
        <f aca="false">Sens!E3614*(1+Sens!F3615)</f>
        <v>16.9564585436519</v>
      </c>
      <c r="G3614" s="6" t="n">
        <f aca="false">Sens!F3614*(1+Sens!G3615)</f>
        <v>16.9206490624268</v>
      </c>
      <c r="H3614" s="6" t="n">
        <f aca="false">Sens!G3614*(1+Sens!H3615)</f>
        <v>16.9784519149849</v>
      </c>
      <c r="I3614" s="6" t="n">
        <f aca="false">Sens!H3614*(1+Sens!I3615)</f>
        <v>17.1303084701817</v>
      </c>
      <c r="J3614" s="6" t="n">
        <f aca="false">Sens!I3614*(1+Sens!J3615)</f>
        <v>17.3782189407267</v>
      </c>
      <c r="K3614" s="6" t="n">
        <f aca="false">Sens!J3614*(1+Sens!K3615)</f>
        <v>17.7257833195413</v>
      </c>
    </row>
    <row r="3615" customFormat="false" ht="15" hidden="false" customHeight="false" outlineLevel="0" collapsed="false">
      <c r="A3615" s="1" t="s">
        <v>876</v>
      </c>
      <c r="B3615" s="0" t="s">
        <v>129</v>
      </c>
      <c r="E3615" s="7" t="n">
        <f aca="false">Sens!E3614/Sens!D3614-1</f>
        <v>-0.0131677736066995</v>
      </c>
      <c r="F3615" s="7" t="n">
        <f aca="false">Sens!$E$3615+(glt_win-Sens!$E$3615)*MIN(1,(Sens!F3556-base_fy)/n_conv)</f>
        <v>-0.00763981133891627</v>
      </c>
      <c r="G3615" s="7" t="n">
        <f aca="false">Sens!$E$3615+(glt_win-Sens!$E$3615)*MIN(1,(Sens!G3556-base_fy)/n_conv)</f>
        <v>-0.00211184907113301</v>
      </c>
      <c r="H3615" s="7" t="n">
        <f aca="false">Sens!$E$3615+(glt_win-Sens!$E$3615)*MIN(1,(Sens!H3556-base_fy)/n_conv)</f>
        <v>0.00341611319665024</v>
      </c>
      <c r="I3615" s="7" t="n">
        <f aca="false">Sens!$E$3615+(glt_win-Sens!$E$3615)*MIN(1,(Sens!I3556-base_fy)/n_conv)</f>
        <v>0.00894407546443349</v>
      </c>
      <c r="J3615" s="7" t="n">
        <f aca="false">Sens!$E$3615+(glt_win-Sens!$E$3615)*MIN(1,(Sens!J3556-base_fy)/n_conv)</f>
        <v>0.0144720377322168</v>
      </c>
      <c r="K3615" s="7" t="n">
        <f aca="false">Sens!$E$3615+(glt_win-Sens!$E$3615)*MIN(1,(Sens!K3556-base_fy)/n_conv)</f>
        <v>0.02</v>
      </c>
    </row>
    <row r="3616" customFormat="false" ht="15" hidden="false" customHeight="false" outlineLevel="0" collapsed="false">
      <c r="A3616" s="0" t="s">
        <v>729</v>
      </c>
      <c r="B3616" s="0" t="s">
        <v>98</v>
      </c>
      <c r="D3616" s="6" t="n">
        <f aca="false">Sens!D3610+Sens!D3612+Sens!D3614</f>
        <v>62.941</v>
      </c>
      <c r="E3616" s="6" t="n">
        <f aca="false">Sens!E3610+Sens!E3612+Sens!E3614</f>
        <v>63.712</v>
      </c>
      <c r="F3616" s="6" t="n">
        <f aca="false">Sens!F3610+Sens!F3612+Sens!F3614</f>
        <v>65.1415764563129</v>
      </c>
      <c r="G3616" s="6" t="n">
        <f aca="false">Sens!G3610+Sens!G3612+Sens!G3614</f>
        <v>67.1253610780702</v>
      </c>
      <c r="H3616" s="6" t="n">
        <f aca="false">Sens!H3610+Sens!H3612+Sens!H3614</f>
        <v>69.5768050148776</v>
      </c>
      <c r="I3616" s="6" t="n">
        <f aca="false">Sens!I3610+Sens!I3612+Sens!I3614</f>
        <v>72.4233188088189</v>
      </c>
      <c r="J3616" s="6" t="n">
        <f aca="false">Sens!J3610+Sens!J3612+Sens!J3614</f>
        <v>75.6044096678567</v>
      </c>
      <c r="K3616" s="6" t="n">
        <f aca="false">Sens!K3610+Sens!K3612+Sens!K3614</f>
        <v>79.0714397009747</v>
      </c>
    </row>
    <row r="3617" customFormat="false" ht="15" hidden="false" customHeight="false" outlineLevel="0" collapsed="false">
      <c r="A3617" s="1" t="s">
        <v>890</v>
      </c>
      <c r="B3617" s="0" t="s">
        <v>98</v>
      </c>
      <c r="D3617" s="6" t="n">
        <f aca="false">Sens!D3609+Sens!D3616</f>
        <v>281.724</v>
      </c>
      <c r="E3617" s="6" t="n">
        <f aca="false">Sens!E3609+Sens!E3616</f>
        <v>331.839</v>
      </c>
      <c r="F3617" s="6" t="n">
        <f aca="false">Sens!F3609+Sens!F3616</f>
        <v>408.285947698905</v>
      </c>
      <c r="G3617" s="6" t="n">
        <f aca="false">Sens!G3609+Sens!G3616</f>
        <v>503.337743905504</v>
      </c>
      <c r="H3617" s="6" t="n">
        <f aca="false">Sens!H3609+Sens!H3616</f>
        <v>606.133283708773</v>
      </c>
      <c r="I3617" s="6" t="n">
        <f aca="false">Sens!I3609+Sens!I3616</f>
        <v>693.400890383475</v>
      </c>
      <c r="J3617" s="6" t="n">
        <f aca="false">Sens!J3609+Sens!J3616</f>
        <v>763.00852378471</v>
      </c>
      <c r="K3617" s="6" t="n">
        <f aca="false">Sens!K3609+Sens!K3616</f>
        <v>817.77275903505</v>
      </c>
    </row>
    <row r="3618" customFormat="false" ht="15" hidden="false" customHeight="false" outlineLevel="0" collapsed="false">
      <c r="A3618" s="23" t="s">
        <v>891</v>
      </c>
      <c r="B3618" s="30" t="s">
        <v>98</v>
      </c>
      <c r="C3618" s="30"/>
      <c r="D3618" s="24" t="n">
        <f aca="false">(Sens!D3597+Sens!D3602+Sens!D3603+Sens!D3605+Sens!D3607-Sens!D3609)+(Sens!D3610+Sens!D3612+Sens!D3614-Sens!D3616)+(Sens!D3609-Q!L5)+(Sens!D3616-Q!L12)+(Sens!D3597-Q!L6)+(Sens!D3602-Q!L7)</f>
        <v>0</v>
      </c>
      <c r="E3618" s="24" t="n">
        <f aca="false">(Sens!E3597+Sens!E3602+Sens!E3603+Sens!E3605+Sens!E3607-Sens!E3609)+(Sens!E3610+Sens!E3612+Sens!E3614-Sens!E3616)+(Sens!E3609-Q!M5)+(Sens!E3616-Q!M12)+(Sens!E3597-Q!M6)+(Sens!E3602-Q!M7)</f>
        <v>0</v>
      </c>
      <c r="F3618" s="24" t="n">
        <f aca="false">(Sens!F3597+Sens!F3602+Sens!F3603+Sens!F3605+Sens!F3607-Sens!F3609)+(Sens!F3610+Sens!F3612+Sens!F3614-Sens!F3616)</f>
        <v>0</v>
      </c>
      <c r="G3618" s="24" t="n">
        <f aca="false">(Sens!G3597+Sens!G3602+Sens!G3603+Sens!G3605+Sens!G3607-Sens!G3609)+(Sens!G3610+Sens!G3612+Sens!G3614-Sens!G3616)</f>
        <v>0</v>
      </c>
      <c r="H3618" s="24" t="n">
        <f aca="false">(Sens!H3597+Sens!H3602+Sens!H3603+Sens!H3605+Sens!H3607-Sens!H3609)+(Sens!H3610+Sens!H3612+Sens!H3614-Sens!H3616)</f>
        <v>0</v>
      </c>
      <c r="I3618" s="24" t="n">
        <f aca="false">(Sens!I3597+Sens!I3602+Sens!I3603+Sens!I3605+Sens!I3607-Sens!I3609)+(Sens!I3610+Sens!I3612+Sens!I3614-Sens!I3616)</f>
        <v>0</v>
      </c>
      <c r="J3618" s="24" t="n">
        <f aca="false">(Sens!J3597+Sens!J3602+Sens!J3603+Sens!J3605+Sens!J3607-Sens!J3609)+(Sens!J3610+Sens!J3612+Sens!J3614-Sens!J3616)</f>
        <v>0</v>
      </c>
      <c r="K3618" s="24" t="n">
        <f aca="false">(Sens!K3597+Sens!K3602+Sens!K3603+Sens!K3605+Sens!K3607-Sens!K3609)+(Sens!K3610+Sens!K3612+Sens!K3614-Sens!K3616)</f>
        <v>0</v>
      </c>
    </row>
    <row r="3619" customFormat="false" ht="17.15" hidden="false" customHeight="false" outlineLevel="0" collapsed="false">
      <c r="A3619" s="3" t="s">
        <v>1354</v>
      </c>
    </row>
    <row r="3620" customFormat="false" ht="15" hidden="false" customHeight="false" outlineLevel="0" collapsed="false">
      <c r="A3620" s="4" t="s">
        <v>43</v>
      </c>
      <c r="B3620" s="4" t="s">
        <v>65</v>
      </c>
      <c r="C3620" s="20" t="s">
        <v>799</v>
      </c>
      <c r="D3620" s="20" t="s">
        <v>800</v>
      </c>
      <c r="E3620" s="20" t="s">
        <v>801</v>
      </c>
      <c r="F3620" s="20" t="s">
        <v>802</v>
      </c>
      <c r="G3620" s="20" t="s">
        <v>803</v>
      </c>
      <c r="H3620" s="20" t="s">
        <v>804</v>
      </c>
      <c r="I3620" s="20" t="s">
        <v>805</v>
      </c>
      <c r="J3620" s="20" t="s">
        <v>806</v>
      </c>
      <c r="K3620" s="20" t="s">
        <v>807</v>
      </c>
      <c r="L3620" s="4" t="s">
        <v>47</v>
      </c>
    </row>
    <row r="3621" customFormat="false" ht="15" hidden="false" customHeight="false" outlineLevel="0" collapsed="false">
      <c r="A3621" s="0" t="s">
        <v>877</v>
      </c>
      <c r="B3621" s="0" t="s">
        <v>98</v>
      </c>
      <c r="D3621" s="6" t="n">
        <f aca="false">Sens!D3597</f>
        <v>72.61</v>
      </c>
      <c r="E3621" s="6" t="n">
        <f aca="false">Sens!E3597</f>
        <v>101.938</v>
      </c>
      <c r="F3621" s="6" t="n">
        <f aca="false">Sens!F3597</f>
        <v>152.522799303409</v>
      </c>
      <c r="G3621" s="6" t="n">
        <f aca="false">Sens!G3597</f>
        <v>220.119226290004</v>
      </c>
      <c r="H3621" s="6" t="n">
        <f aca="false">Sens!H3597</f>
        <v>294.967796012381</v>
      </c>
      <c r="I3621" s="6" t="n">
        <f aca="false">Sens!I3597</f>
        <v>356.41621659517</v>
      </c>
      <c r="J3621" s="6" t="n">
        <f aca="false">Sens!J3597</f>
        <v>402.713217012685</v>
      </c>
      <c r="K3621" s="6" t="n">
        <f aca="false">Sens!K3597</f>
        <v>434.807249993899</v>
      </c>
    </row>
    <row r="3622" customFormat="false" ht="17.15" hidden="false" customHeight="false" outlineLevel="0" collapsed="false">
      <c r="A3622" s="0" t="s">
        <v>874</v>
      </c>
      <c r="B3622" s="0" t="s">
        <v>98</v>
      </c>
      <c r="D3622" s="6" t="n">
        <f aca="false">Sens!D3594</f>
        <v>12.9359794422418</v>
      </c>
      <c r="E3622" s="6" t="n">
        <f aca="false">Sens!E3594</f>
        <v>27.8095064661409</v>
      </c>
      <c r="F3622" s="6" t="n">
        <f aca="false">Sens!F3594</f>
        <v>62.4428495660432</v>
      </c>
      <c r="G3622" s="6" t="n">
        <f aca="false">Sens!G3594</f>
        <v>113.090801086694</v>
      </c>
      <c r="H3622" s="6" t="n">
        <f aca="false">Sens!H3594</f>
        <v>170.695813426745</v>
      </c>
      <c r="I3622" s="6" t="n">
        <f aca="false">Sens!I3594</f>
        <v>215.482514213315</v>
      </c>
      <c r="J3622" s="6" t="n">
        <f aca="false">Sens!J3594</f>
        <v>246.694349698353</v>
      </c>
      <c r="K3622" s="6" t="n">
        <f aca="false">Sens!K3594</f>
        <v>266.306873294421</v>
      </c>
    </row>
    <row r="3623" customFormat="false" ht="17.15" hidden="false" customHeight="false" outlineLevel="0" collapsed="false">
      <c r="A3623" s="0" t="s">
        <v>902</v>
      </c>
      <c r="B3623" s="0" t="s">
        <v>98</v>
      </c>
      <c r="D3623" s="6" t="n">
        <f aca="false">Sens!D3595</f>
        <v>59.6740205577583</v>
      </c>
      <c r="E3623" s="6" t="n">
        <f aca="false">Sens!E3595</f>
        <v>74.1284935338591</v>
      </c>
      <c r="F3623" s="6" t="n">
        <f aca="false">Sens!F3595</f>
        <v>90.0799497373663</v>
      </c>
      <c r="G3623" s="6" t="n">
        <f aca="false">Sens!G3595</f>
        <v>107.02842520331</v>
      </c>
      <c r="H3623" s="6" t="n">
        <f aca="false">Sens!H3595</f>
        <v>124.271982585636</v>
      </c>
      <c r="I3623" s="6" t="n">
        <f aca="false">Sens!I3595</f>
        <v>140.933702381855</v>
      </c>
      <c r="J3623" s="6" t="n">
        <f aca="false">Sens!J3595</f>
        <v>156.018867314332</v>
      </c>
      <c r="K3623" s="6" t="n">
        <f aca="false">Sens!K3595</f>
        <v>168.500376699478</v>
      </c>
    </row>
    <row r="3624" customFormat="false" ht="15" hidden="false" customHeight="false" outlineLevel="0" collapsed="false">
      <c r="A3624" s="0" t="s">
        <v>883</v>
      </c>
      <c r="B3624" s="0" t="s">
        <v>98</v>
      </c>
      <c r="D3624" s="6" t="n">
        <f aca="false">Sens!D3602</f>
        <v>84.605</v>
      </c>
      <c r="E3624" s="6" t="n">
        <f aca="false">Sens!E3602</f>
        <v>100.299</v>
      </c>
      <c r="F3624" s="6" t="n">
        <f aca="false">Sens!F3602</f>
        <v>120.39238776686</v>
      </c>
      <c r="G3624" s="6" t="n">
        <f aca="false">Sens!G3602</f>
        <v>141.544168448684</v>
      </c>
      <c r="H3624" s="6" t="n">
        <f aca="false">Sens!H3602</f>
        <v>162.777359388781</v>
      </c>
      <c r="I3624" s="6" t="n">
        <f aca="false">Sens!I3602</f>
        <v>181.584028071957</v>
      </c>
      <c r="J3624" s="6" t="n">
        <f aca="false">Sens!J3602</f>
        <v>197.682702785465</v>
      </c>
      <c r="K3624" s="6" t="n">
        <f aca="false">Sens!K3602</f>
        <v>213.027991980448</v>
      </c>
    </row>
    <row r="3625" customFormat="false" ht="17.15" hidden="false" customHeight="false" outlineLevel="0" collapsed="false">
      <c r="A3625" s="0" t="s">
        <v>903</v>
      </c>
      <c r="B3625" s="0" t="s">
        <v>98</v>
      </c>
      <c r="D3625" s="6" t="n">
        <f aca="false">Sens!D3600</f>
        <v>83.705</v>
      </c>
      <c r="E3625" s="6" t="n">
        <f aca="false">Sens!E3600</f>
        <v>95.049</v>
      </c>
      <c r="F3625" s="6" t="n">
        <f aca="false">Sens!F3600</f>
        <v>106.89238776686</v>
      </c>
      <c r="G3625" s="6" t="n">
        <f aca="false">Sens!G3600</f>
        <v>119.044168448684</v>
      </c>
      <c r="H3625" s="6" t="n">
        <f aca="false">Sens!H3600</f>
        <v>131.277359388781</v>
      </c>
      <c r="I3625" s="6" t="n">
        <f aca="false">Sens!I3600</f>
        <v>143.334028071957</v>
      </c>
      <c r="J3625" s="6" t="n">
        <f aca="false">Sens!J3600</f>
        <v>154.932702785465</v>
      </c>
      <c r="K3625" s="6" t="n">
        <f aca="false">Sens!K3600</f>
        <v>165.777991980448</v>
      </c>
    </row>
    <row r="3626" customFormat="false" ht="17.15" hidden="false" customHeight="false" outlineLevel="0" collapsed="false">
      <c r="A3626" s="0" t="s">
        <v>904</v>
      </c>
      <c r="B3626" s="0" t="s">
        <v>98</v>
      </c>
      <c r="D3626" s="6" t="n">
        <f aca="false">Sens!D3599</f>
        <v>0.9</v>
      </c>
      <c r="E3626" s="6" t="n">
        <f aca="false">Sens!E3599</f>
        <v>5.25</v>
      </c>
      <c r="F3626" s="6" t="n">
        <f aca="false">Sens!F3599</f>
        <v>13.5</v>
      </c>
      <c r="G3626" s="6" t="n">
        <f aca="false">Sens!G3599</f>
        <v>22.5</v>
      </c>
      <c r="H3626" s="6" t="n">
        <f aca="false">Sens!H3599</f>
        <v>31.5</v>
      </c>
      <c r="I3626" s="6" t="n">
        <f aca="false">Sens!I3599</f>
        <v>38.25</v>
      </c>
      <c r="J3626" s="6" t="n">
        <f aca="false">Sens!J3599</f>
        <v>42.75</v>
      </c>
      <c r="K3626" s="6" t="n">
        <f aca="false">Sens!K3599</f>
        <v>47.25</v>
      </c>
    </row>
    <row r="3627" customFormat="false" ht="15" hidden="false" customHeight="false" outlineLevel="0" collapsed="false">
      <c r="A3627" s="0" t="s">
        <v>884</v>
      </c>
      <c r="B3627" s="0" t="s">
        <v>98</v>
      </c>
      <c r="D3627" s="6" t="n">
        <f aca="false">Sens!D3603</f>
        <v>35.391</v>
      </c>
      <c r="E3627" s="6" t="n">
        <f aca="false">Sens!E3603</f>
        <v>37.285</v>
      </c>
      <c r="F3627" s="6" t="n">
        <f aca="false">Sens!F3603</f>
        <v>39.0720834331704</v>
      </c>
      <c r="G3627" s="6" t="n">
        <f aca="false">Sens!G3603</f>
        <v>40.726562953769</v>
      </c>
      <c r="H3627" s="6" t="n">
        <f aca="false">Sens!H3603</f>
        <v>42.2235987259198</v>
      </c>
      <c r="I3627" s="6" t="n">
        <f aca="false">Sens!I3603</f>
        <v>43.5397988077414</v>
      </c>
      <c r="J3627" s="6" t="n">
        <f aca="false">Sens!J3603</f>
        <v>44.653811225693</v>
      </c>
      <c r="K3627" s="6" t="n">
        <f aca="false">Sens!K3603</f>
        <v>45.5468874502068</v>
      </c>
    </row>
    <row r="3628" customFormat="false" ht="15" hidden="false" customHeight="false" outlineLevel="0" collapsed="false">
      <c r="A3628" s="0" t="s">
        <v>885</v>
      </c>
      <c r="B3628" s="0" t="s">
        <v>98</v>
      </c>
      <c r="D3628" s="6" t="n">
        <f aca="false">Sens!D3605</f>
        <v>18.417</v>
      </c>
      <c r="E3628" s="6" t="n">
        <f aca="false">Sens!E3605</f>
        <v>20.345</v>
      </c>
      <c r="F3628" s="6" t="n">
        <f aca="false">Sens!F3605</f>
        <v>22.3572203267814</v>
      </c>
      <c r="G3628" s="6" t="n">
        <f aca="false">Sens!G3605</f>
        <v>24.4392124437232</v>
      </c>
      <c r="H3628" s="6" t="n">
        <f aca="false">Sens!H3605</f>
        <v>26.5738052080665</v>
      </c>
      <c r="I3628" s="6" t="n">
        <f aca="false">Sens!I3605</f>
        <v>28.7412169166967</v>
      </c>
      <c r="J3628" s="6" t="n">
        <f aca="false">Sens!J3605</f>
        <v>30.9192545395413</v>
      </c>
      <c r="K3628" s="6" t="n">
        <f aca="false">Sens!K3605</f>
        <v>33.0836023573092</v>
      </c>
    </row>
    <row r="3629" customFormat="false" ht="15" hidden="false" customHeight="false" outlineLevel="0" collapsed="false">
      <c r="A3629" s="0" t="s">
        <v>886</v>
      </c>
      <c r="B3629" s="0" t="s">
        <v>98</v>
      </c>
      <c r="D3629" s="6" t="n">
        <f aca="false">Sens!D3607</f>
        <v>7.76</v>
      </c>
      <c r="E3629" s="6" t="n">
        <f aca="false">Sens!E3607</f>
        <v>8.26</v>
      </c>
      <c r="F3629" s="6" t="n">
        <f aca="false">Sens!F3607</f>
        <v>8.79988041237113</v>
      </c>
      <c r="G3629" s="6" t="n">
        <f aca="false">Sens!G3607</f>
        <v>9.38321269125306</v>
      </c>
      <c r="H3629" s="6" t="n">
        <f aca="false">Sens!H3607</f>
        <v>10.0139193587476</v>
      </c>
      <c r="I3629" s="6" t="n">
        <f aca="false">Sens!I3607</f>
        <v>10.6963111830911</v>
      </c>
      <c r="J3629" s="6" t="n">
        <f aca="false">Sens!J3607</f>
        <v>11.4351285534696</v>
      </c>
      <c r="K3629" s="6" t="n">
        <f aca="false">Sens!K3607</f>
        <v>12.2355875522124</v>
      </c>
    </row>
    <row r="3630" customFormat="false" ht="15" hidden="false" customHeight="false" outlineLevel="0" collapsed="false">
      <c r="A3630" s="0" t="s">
        <v>715</v>
      </c>
      <c r="B3630" s="0" t="s">
        <v>98</v>
      </c>
      <c r="D3630" s="6" t="n">
        <f aca="false">Sens!D3609</f>
        <v>218.783</v>
      </c>
      <c r="E3630" s="6" t="n">
        <f aca="false">Sens!E3609</f>
        <v>268.127</v>
      </c>
      <c r="F3630" s="6" t="n">
        <f aca="false">Sens!F3609</f>
        <v>343.144371242592</v>
      </c>
      <c r="G3630" s="6" t="n">
        <f aca="false">Sens!G3609</f>
        <v>436.212382827433</v>
      </c>
      <c r="H3630" s="6" t="n">
        <f aca="false">Sens!H3609</f>
        <v>536.556478693896</v>
      </c>
      <c r="I3630" s="6" t="n">
        <f aca="false">Sens!I3609</f>
        <v>620.977571574656</v>
      </c>
      <c r="J3630" s="6" t="n">
        <f aca="false">Sens!J3609</f>
        <v>687.404114116854</v>
      </c>
      <c r="K3630" s="6" t="n">
        <f aca="false">Sens!K3609</f>
        <v>738.701319334075</v>
      </c>
    </row>
    <row r="3631" customFormat="false" ht="15" hidden="false" customHeight="false" outlineLevel="0" collapsed="false">
      <c r="A3631" s="0" t="s">
        <v>887</v>
      </c>
      <c r="B3631" s="0" t="s">
        <v>98</v>
      </c>
      <c r="D3631" s="6" t="n">
        <f aca="false">Sens!D3610</f>
        <v>22.171</v>
      </c>
      <c r="E3631" s="6" t="n">
        <f aca="false">Sens!E3610</f>
        <v>24.835</v>
      </c>
      <c r="F3631" s="6" t="n">
        <f aca="false">Sens!F3610</f>
        <v>27.6114901218559</v>
      </c>
      <c r="G3631" s="6" t="n">
        <f aca="false">Sens!G3610</f>
        <v>30.4675667338515</v>
      </c>
      <c r="H3631" s="6" t="n">
        <f aca="false">Sens!H3610</f>
        <v>33.3643766955789</v>
      </c>
      <c r="I3631" s="6" t="n">
        <f aca="false">Sens!I3610</f>
        <v>36.2577016533691</v>
      </c>
      <c r="J3631" s="6" t="n">
        <f aca="false">Sens!J3610</f>
        <v>39.0988367952171</v>
      </c>
      <c r="K3631" s="6" t="n">
        <f aca="false">Sens!K3610</f>
        <v>41.8357553708823</v>
      </c>
    </row>
    <row r="3632" customFormat="false" ht="15" hidden="false" customHeight="false" outlineLevel="0" collapsed="false">
      <c r="A3632" s="0" t="s">
        <v>888</v>
      </c>
      <c r="B3632" s="0" t="s">
        <v>98</v>
      </c>
      <c r="D3632" s="6" t="n">
        <f aca="false">Sens!D3612</f>
        <v>23.455</v>
      </c>
      <c r="E3632" s="6" t="n">
        <f aca="false">Sens!E3612</f>
        <v>21.79</v>
      </c>
      <c r="F3632" s="6" t="n">
        <f aca="false">Sens!F3612</f>
        <v>20.5736277908051</v>
      </c>
      <c r="G3632" s="6" t="n">
        <f aca="false">Sens!G3612</f>
        <v>19.7371452817919</v>
      </c>
      <c r="H3632" s="6" t="n">
        <f aca="false">Sens!H3612</f>
        <v>19.2339764043138</v>
      </c>
      <c r="I3632" s="6" t="n">
        <f aca="false">Sens!I3612</f>
        <v>19.0353086852681</v>
      </c>
      <c r="J3632" s="6" t="n">
        <f aca="false">Sens!J3612</f>
        <v>19.1273539319129</v>
      </c>
      <c r="K3632" s="6" t="n">
        <f aca="false">Sens!K3612</f>
        <v>19.5099010105511</v>
      </c>
    </row>
    <row r="3633" customFormat="false" ht="15" hidden="false" customHeight="false" outlineLevel="0" collapsed="false">
      <c r="A3633" s="0" t="s">
        <v>889</v>
      </c>
      <c r="B3633" s="0" t="s">
        <v>98</v>
      </c>
      <c r="D3633" s="6" t="n">
        <f aca="false">Sens!D3614</f>
        <v>17.315</v>
      </c>
      <c r="E3633" s="6" t="n">
        <f aca="false">Sens!E3614</f>
        <v>17.087</v>
      </c>
      <c r="F3633" s="6" t="n">
        <f aca="false">Sens!F3614</f>
        <v>16.9564585436519</v>
      </c>
      <c r="G3633" s="6" t="n">
        <f aca="false">Sens!G3614</f>
        <v>16.9206490624268</v>
      </c>
      <c r="H3633" s="6" t="n">
        <f aca="false">Sens!H3614</f>
        <v>16.9784519149849</v>
      </c>
      <c r="I3633" s="6" t="n">
        <f aca="false">Sens!I3614</f>
        <v>17.1303084701817</v>
      </c>
      <c r="J3633" s="6" t="n">
        <f aca="false">Sens!J3614</f>
        <v>17.3782189407267</v>
      </c>
      <c r="K3633" s="6" t="n">
        <f aca="false">Sens!K3614</f>
        <v>17.7257833195413</v>
      </c>
    </row>
    <row r="3634" customFormat="false" ht="15" hidden="false" customHeight="false" outlineLevel="0" collapsed="false">
      <c r="A3634" s="0" t="s">
        <v>729</v>
      </c>
      <c r="B3634" s="0" t="s">
        <v>98</v>
      </c>
      <c r="D3634" s="6" t="n">
        <f aca="false">Sens!D3616</f>
        <v>62.941</v>
      </c>
      <c r="E3634" s="6" t="n">
        <f aca="false">Sens!E3616</f>
        <v>63.712</v>
      </c>
      <c r="F3634" s="6" t="n">
        <f aca="false">Sens!F3616</f>
        <v>65.1415764563129</v>
      </c>
      <c r="G3634" s="6" t="n">
        <f aca="false">Sens!G3616</f>
        <v>67.1253610780702</v>
      </c>
      <c r="H3634" s="6" t="n">
        <f aca="false">Sens!H3616</f>
        <v>69.5768050148776</v>
      </c>
      <c r="I3634" s="6" t="n">
        <f aca="false">Sens!I3616</f>
        <v>72.4233188088189</v>
      </c>
      <c r="J3634" s="6" t="n">
        <f aca="false">Sens!J3616</f>
        <v>75.6044096678567</v>
      </c>
      <c r="K3634" s="6" t="n">
        <f aca="false">Sens!K3616</f>
        <v>79.0714397009747</v>
      </c>
    </row>
    <row r="3635" customFormat="false" ht="15" hidden="false" customHeight="false" outlineLevel="0" collapsed="false">
      <c r="A3635" s="1" t="s">
        <v>905</v>
      </c>
      <c r="B3635" s="0" t="s">
        <v>98</v>
      </c>
      <c r="D3635" s="6" t="n">
        <f aca="false">Sens!D3617</f>
        <v>281.724</v>
      </c>
      <c r="E3635" s="6" t="n">
        <f aca="false">Sens!E3617</f>
        <v>331.839</v>
      </c>
      <c r="F3635" s="6" t="n">
        <f aca="false">Sens!F3617</f>
        <v>408.285947698905</v>
      </c>
      <c r="G3635" s="6" t="n">
        <f aca="false">Sens!G3617</f>
        <v>503.337743905504</v>
      </c>
      <c r="H3635" s="6" t="n">
        <f aca="false">Sens!H3617</f>
        <v>606.133283708773</v>
      </c>
      <c r="I3635" s="6" t="n">
        <f aca="false">Sens!I3617</f>
        <v>693.400890383475</v>
      </c>
      <c r="J3635" s="6" t="n">
        <f aca="false">Sens!J3617</f>
        <v>763.00852378471</v>
      </c>
      <c r="K3635" s="6" t="n">
        <f aca="false">Sens!K3617</f>
        <v>817.77275903505</v>
      </c>
    </row>
    <row r="3636" customFormat="false" ht="15" hidden="false" customHeight="false" outlineLevel="0" collapsed="false">
      <c r="A3636" s="1" t="s">
        <v>906</v>
      </c>
      <c r="B3636" s="0" t="s">
        <v>129</v>
      </c>
      <c r="E3636" s="7" t="n">
        <f aca="false">Sens!E3635/Sens!D3635-1</f>
        <v>0.177886867998467</v>
      </c>
      <c r="F3636" s="7" t="n">
        <f aca="false">Sens!F3635/Sens!E3635-1</f>
        <v>0.230373607981296</v>
      </c>
      <c r="G3636" s="7" t="n">
        <f aca="false">Sens!G3635/Sens!F3635-1</f>
        <v>0.23280692549501</v>
      </c>
      <c r="H3636" s="7" t="n">
        <f aca="false">Sens!H3635/Sens!G3635-1</f>
        <v>0.204227759686086</v>
      </c>
      <c r="I3636" s="7" t="n">
        <f aca="false">Sens!I3635/Sens!H3635-1</f>
        <v>0.143974285887641</v>
      </c>
      <c r="J3636" s="7" t="n">
        <f aca="false">Sens!J3635/Sens!I3635-1</f>
        <v>0.100385843696769</v>
      </c>
      <c r="K3636" s="7" t="n">
        <f aca="false">Sens!K3635/Sens!J3635-1</f>
        <v>0.0717740805550837</v>
      </c>
    </row>
    <row r="3637" customFormat="false" ht="17.15" hidden="false" customHeight="false" outlineLevel="0" collapsed="false">
      <c r="A3637" s="23" t="s">
        <v>907</v>
      </c>
      <c r="B3637" s="30" t="s">
        <v>98</v>
      </c>
      <c r="C3637" s="30"/>
      <c r="D3637" s="24" t="n">
        <f aca="false">(Sens!D3630+Sens!D3634-Sens!D3635)+(Sens!D3622+Sens!D3623-Sens!D3621)+(Sens!D3625+Sens!D3626-Sens!D3624)+(Sens!D3635-Q!L18)</f>
        <v>0</v>
      </c>
      <c r="E3637" s="24" t="n">
        <f aca="false">(Sens!E3630+Sens!E3634-Sens!E3635)+(Sens!E3622+Sens!E3623-Sens!E3621)+(Sens!E3625+Sens!E3626-Sens!E3624)+(Sens!E3635-Q!M18)</f>
        <v>0</v>
      </c>
      <c r="F3637" s="24" t="n">
        <f aca="false">(Sens!F3630+Sens!F3634-Sens!F3635)+(Sens!F3622+Sens!F3623-Sens!F3621)+(Sens!F3625+Sens!F3626-Sens!F3624)</f>
        <v>0</v>
      </c>
      <c r="G3637" s="24" t="n">
        <f aca="false">(Sens!G3630+Sens!G3634-Sens!G3635)+(Sens!G3622+Sens!G3623-Sens!G3621)+(Sens!G3625+Sens!G3626-Sens!G3624)</f>
        <v>0</v>
      </c>
      <c r="H3637" s="24" t="n">
        <f aca="false">(Sens!H3630+Sens!H3634-Sens!H3635)+(Sens!H3622+Sens!H3623-Sens!H3621)+(Sens!H3625+Sens!H3626-Sens!H3624)</f>
        <v>0</v>
      </c>
      <c r="I3637" s="24" t="n">
        <f aca="false">(Sens!I3630+Sens!I3634-Sens!I3635)+(Sens!I3622+Sens!I3623-Sens!I3621)+(Sens!I3625+Sens!I3626-Sens!I3624)</f>
        <v>0</v>
      </c>
      <c r="J3637" s="24" t="n">
        <f aca="false">(Sens!J3630+Sens!J3634-Sens!J3635)+(Sens!J3622+Sens!J3623-Sens!J3621)+(Sens!J3625+Sens!J3626-Sens!J3624)</f>
        <v>0</v>
      </c>
      <c r="K3637" s="24" t="n">
        <f aca="false">(Sens!K3630+Sens!K3634-Sens!K3635)+(Sens!K3622+Sens!K3623-Sens!K3621)+(Sens!K3625+Sens!K3626-Sens!K3624)</f>
        <v>0</v>
      </c>
    </row>
    <row r="3638" customFormat="false" ht="17.15" hidden="false" customHeight="false" outlineLevel="0" collapsed="false">
      <c r="A3638" s="0" t="s">
        <v>908</v>
      </c>
      <c r="B3638" s="0" t="s">
        <v>129</v>
      </c>
      <c r="E3638" s="7" t="n">
        <f aca="false">(Q!M21+Sens!E3575+Sens!E3576+Sens!E3577+Sens!E3590-Sens!E3573)/(Q!M5-Sens!E3573)</f>
        <v>0.570957350878296</v>
      </c>
      <c r="F3638" s="7" t="n">
        <f aca="false">Sens!$E$3638+dm_seg</f>
        <v>0.570957350878296</v>
      </c>
      <c r="G3638" s="7" t="n">
        <f aca="false">Sens!$E$3638+dm_seg</f>
        <v>0.570957350878296</v>
      </c>
      <c r="H3638" s="7" t="n">
        <f aca="false">Sens!$E$3638+dm_seg</f>
        <v>0.570957350878296</v>
      </c>
      <c r="I3638" s="7" t="n">
        <f aca="false">Sens!$E$3638+dm_seg</f>
        <v>0.570957350878296</v>
      </c>
      <c r="J3638" s="7" t="n">
        <f aca="false">Sens!$E$3638+dm_seg</f>
        <v>0.570957350878296</v>
      </c>
      <c r="K3638" s="7" t="n">
        <f aca="false">Sens!$E$3638+dm_seg</f>
        <v>0.570957350878296</v>
      </c>
      <c r="L3638" s="11" t="s">
        <v>909</v>
      </c>
    </row>
    <row r="3639" customFormat="false" ht="17.15" hidden="false" customHeight="false" outlineLevel="0" collapsed="false">
      <c r="A3639" s="0" t="s">
        <v>743</v>
      </c>
      <c r="B3639" s="0" t="s">
        <v>98</v>
      </c>
      <c r="D3639" s="6" t="n">
        <f aca="false">Q!L21</f>
        <v>110.814</v>
      </c>
      <c r="E3639" s="6" t="n">
        <f aca="false">Q!M21</f>
        <v>136.365</v>
      </c>
      <c r="F3639" s="6" t="n">
        <f aca="false">Sens!F3638*(Sens!F3609-Sens!F3573)+Sens!F3573-(Sens!F3575+Sens!F3576+Sens!F3577)-Sens!F3590-Sens!F3673</f>
        <v>162.878933760627</v>
      </c>
      <c r="G3639" s="6" t="n">
        <f aca="false">Sens!G3638*(Sens!G3609-Sens!G3573)+Sens!G3573-(Sens!G3575+Sens!G3576+Sens!G3577)-Sens!G3590-Sens!G3673</f>
        <v>193.685864739228</v>
      </c>
      <c r="H3639" s="6" t="n">
        <f aca="false">Sens!H3638*(Sens!H3609-Sens!H3573)+Sens!H3573-(Sens!H3575+Sens!H3576+Sens!H3577)-Sens!H3590-Sens!H3673</f>
        <v>229.566707199298</v>
      </c>
      <c r="I3639" s="6" t="n">
        <f aca="false">Sens!I3638*(Sens!I3609-Sens!I3573)+Sens!I3573-(Sens!I3575+Sens!I3576+Sens!I3577)-Sens!I3590-Sens!I3673</f>
        <v>256.44703008746</v>
      </c>
      <c r="J3639" s="6" t="n">
        <f aca="false">Sens!J3638*(Sens!J3609-Sens!J3573)+Sens!J3573-(Sens!J3575+Sens!J3576+Sens!J3577)-Sens!J3590-Sens!J3673</f>
        <v>279.464754533802</v>
      </c>
      <c r="K3639" s="6" t="n">
        <f aca="false">Sens!K3638*(Sens!K3609-Sens!K3573)+Sens!K3573-(Sens!K3575+Sens!K3576+Sens!K3577)-Sens!K3590-Sens!K3673</f>
        <v>300.19055268351</v>
      </c>
      <c r="L3639" s="1" t="s">
        <v>910</v>
      </c>
    </row>
    <row r="3640" customFormat="false" ht="17.15" hidden="false" customHeight="false" outlineLevel="0" collapsed="false">
      <c r="A3640" s="0" t="s">
        <v>911</v>
      </c>
      <c r="B3640" s="0" t="s">
        <v>129</v>
      </c>
      <c r="E3640" s="7" t="n">
        <f aca="false">Q!M22/Q!M12</f>
        <v>0.296207935710698</v>
      </c>
      <c r="F3640" s="7" t="n">
        <f aca="false">Sens!$E$3640+dm_seg</f>
        <v>0.296207935710698</v>
      </c>
      <c r="G3640" s="7" t="n">
        <f aca="false">Sens!$E$3640+dm_seg</f>
        <v>0.296207935710698</v>
      </c>
      <c r="H3640" s="7" t="n">
        <f aca="false">Sens!$E$3640+dm_seg</f>
        <v>0.296207935710698</v>
      </c>
      <c r="I3640" s="7" t="n">
        <f aca="false">Sens!$E$3640+dm_seg</f>
        <v>0.296207935710698</v>
      </c>
      <c r="J3640" s="7" t="n">
        <f aca="false">Sens!$E$3640+dm_seg</f>
        <v>0.296207935710698</v>
      </c>
      <c r="K3640" s="7" t="n">
        <f aca="false">Sens!$E$3640+dm_seg</f>
        <v>0.296207935710698</v>
      </c>
      <c r="L3640" s="11" t="s">
        <v>912</v>
      </c>
    </row>
    <row r="3641" customFormat="false" ht="17.15" hidden="false" customHeight="false" outlineLevel="0" collapsed="false">
      <c r="A3641" s="0" t="s">
        <v>745</v>
      </c>
      <c r="B3641" s="0" t="s">
        <v>98</v>
      </c>
      <c r="D3641" s="6" t="n">
        <f aca="false">Q!L22</f>
        <v>17.714</v>
      </c>
      <c r="E3641" s="6" t="n">
        <f aca="false">Q!M22</f>
        <v>18.872</v>
      </c>
      <c r="F3641" s="6" t="n">
        <f aca="false">Sens!F3616*Sens!F3640</f>
        <v>19.2954518910651</v>
      </c>
      <c r="G3641" s="6" t="n">
        <f aca="false">Sens!G3616*Sens!G3640</f>
        <v>19.8830646387704</v>
      </c>
      <c r="H3641" s="6" t="n">
        <f aca="false">Sens!H3616*Sens!H3640</f>
        <v>20.6092017868026</v>
      </c>
      <c r="I3641" s="6" t="n">
        <f aca="false">Sens!I3616*Sens!I3640</f>
        <v>21.452361761678</v>
      </c>
      <c r="J3641" s="6" t="n">
        <f aca="false">Sens!J3616*Sens!J3640</f>
        <v>22.3946261183418</v>
      </c>
      <c r="K3641" s="6" t="n">
        <f aca="false">Sens!K3616*Sens!K3640</f>
        <v>23.4215879274986</v>
      </c>
    </row>
    <row r="3642" customFormat="false" ht="15" hidden="false" customHeight="false" outlineLevel="0" collapsed="false">
      <c r="A3642" s="1" t="s">
        <v>913</v>
      </c>
      <c r="B3642" s="0" t="s">
        <v>98</v>
      </c>
      <c r="D3642" s="6" t="n">
        <f aca="false">Sens!D3639+Sens!D3641</f>
        <v>128.528</v>
      </c>
      <c r="E3642" s="6" t="n">
        <f aca="false">Sens!E3639+Sens!E3641</f>
        <v>155.237</v>
      </c>
      <c r="F3642" s="6" t="n">
        <f aca="false">Sens!F3639+Sens!F3641</f>
        <v>182.174385651692</v>
      </c>
      <c r="G3642" s="6" t="n">
        <f aca="false">Sens!G3639+Sens!G3641</f>
        <v>213.568929377999</v>
      </c>
      <c r="H3642" s="6" t="n">
        <f aca="false">Sens!H3639+Sens!H3641</f>
        <v>250.1759089861</v>
      </c>
      <c r="I3642" s="6" t="n">
        <f aca="false">Sens!I3639+Sens!I3641</f>
        <v>277.899391849138</v>
      </c>
      <c r="J3642" s="6" t="n">
        <f aca="false">Sens!J3639+Sens!J3641</f>
        <v>301.859380652144</v>
      </c>
      <c r="K3642" s="6" t="n">
        <f aca="false">Sens!K3639+Sens!K3641</f>
        <v>323.612140611008</v>
      </c>
    </row>
    <row r="3643" customFormat="false" ht="15" hidden="false" customHeight="false" outlineLevel="0" collapsed="false">
      <c r="A3643" s="23" t="s">
        <v>914</v>
      </c>
      <c r="B3643" s="30" t="s">
        <v>98</v>
      </c>
      <c r="C3643" s="30"/>
      <c r="D3643" s="24" t="n">
        <f aca="false">Sens!D3642-Q!L23</f>
        <v>0</v>
      </c>
      <c r="E3643" s="24" t="n">
        <f aca="false">Sens!E3642-Q!M23</f>
        <v>0</v>
      </c>
      <c r="F3643" s="30"/>
      <c r="G3643" s="30"/>
      <c r="H3643" s="30"/>
      <c r="I3643" s="30"/>
      <c r="J3643" s="30"/>
      <c r="K3643" s="30"/>
    </row>
    <row r="3644" customFormat="false" ht="15" hidden="false" customHeight="false" outlineLevel="0" collapsed="false">
      <c r="A3644" s="1" t="s">
        <v>915</v>
      </c>
      <c r="B3644" s="0" t="s">
        <v>129</v>
      </c>
      <c r="D3644" s="7" t="n">
        <f aca="false">Sens!D3642/Sens!D3635</f>
        <v>0.456219562408598</v>
      </c>
      <c r="E3644" s="7" t="n">
        <f aca="false">Sens!E3642/Sens!E3635</f>
        <v>0.467808184089272</v>
      </c>
      <c r="F3644" s="7" t="n">
        <f aca="false">Sens!F3642/Sens!F3635</f>
        <v>0.446193131746084</v>
      </c>
      <c r="G3644" s="7" t="n">
        <f aca="false">Sens!G3642/Sens!G3635</f>
        <v>0.424305413142421</v>
      </c>
      <c r="H3644" s="7" t="n">
        <f aca="false">Sens!H3642/Sens!H3635</f>
        <v>0.412740754731927</v>
      </c>
      <c r="I3644" s="7" t="n">
        <f aca="false">Sens!I3642/Sens!I3635</f>
        <v>0.400777379584052</v>
      </c>
      <c r="J3644" s="7" t="n">
        <f aca="false">Sens!J3642/Sens!J3635</f>
        <v>0.395617311265209</v>
      </c>
      <c r="K3644" s="7" t="n">
        <f aca="false">Sens!K3642/Sens!K3635</f>
        <v>0.395723796171521</v>
      </c>
    </row>
    <row r="3645" customFormat="false" ht="17.15" hidden="false" customHeight="false" outlineLevel="0" collapsed="false">
      <c r="A3645" s="1" t="s">
        <v>916</v>
      </c>
      <c r="B3645" s="0" t="s">
        <v>98</v>
      </c>
      <c r="F3645" s="6" t="n">
        <f aca="false">Sens!F3660</f>
        <v>10.297432176865</v>
      </c>
      <c r="G3645" s="6" t="n">
        <f aca="false">Sens!G3660</f>
        <v>27.1071420526251</v>
      </c>
      <c r="H3645" s="6" t="n">
        <f aca="false">Sens!H3660</f>
        <v>45.5996153278664</v>
      </c>
      <c r="I3645" s="6" t="n">
        <f aca="false">Sens!I3660</f>
        <v>62.5922856085322</v>
      </c>
      <c r="J3645" s="6" t="n">
        <f aca="false">Sens!J3660</f>
        <v>74.51593325685</v>
      </c>
      <c r="K3645" s="6" t="n">
        <f aca="false">Sens!K3660</f>
        <v>80.8283481062523</v>
      </c>
      <c r="L3645" s="1" t="s">
        <v>917</v>
      </c>
    </row>
    <row r="3646" customFormat="false" ht="17.15" hidden="false" customHeight="false" outlineLevel="0" collapsed="false">
      <c r="A3646" s="1" t="s">
        <v>918</v>
      </c>
      <c r="B3646" s="0" t="s">
        <v>98</v>
      </c>
      <c r="D3646" s="6" t="n">
        <f aca="false">Sens!D3642</f>
        <v>128.528</v>
      </c>
      <c r="E3646" s="6" t="n">
        <f aca="false">Sens!E3642</f>
        <v>155.237</v>
      </c>
      <c r="F3646" s="6" t="n">
        <f aca="false">Sens!F3642+Sens!F3645</f>
        <v>192.471817828557</v>
      </c>
      <c r="G3646" s="6" t="n">
        <f aca="false">Sens!G3642+Sens!G3645</f>
        <v>240.676071430624</v>
      </c>
      <c r="H3646" s="6" t="n">
        <f aca="false">Sens!H3642+Sens!H3645</f>
        <v>295.775524313967</v>
      </c>
      <c r="I3646" s="6" t="n">
        <f aca="false">Sens!I3642+Sens!I3645</f>
        <v>340.49167745767</v>
      </c>
      <c r="J3646" s="6" t="n">
        <f aca="false">Sens!J3642+Sens!J3645</f>
        <v>376.375313908994</v>
      </c>
      <c r="K3646" s="6" t="n">
        <f aca="false">Sens!K3642+Sens!K3645</f>
        <v>404.440488717261</v>
      </c>
    </row>
    <row r="3647" customFormat="false" ht="17.15" hidden="false" customHeight="false" outlineLevel="0" collapsed="false">
      <c r="A3647" s="1" t="s">
        <v>919</v>
      </c>
      <c r="B3647" s="0" t="s">
        <v>98</v>
      </c>
      <c r="E3647" s="6" t="n">
        <f aca="false">Sens!E3590</f>
        <v>16.3054059770833</v>
      </c>
      <c r="F3647" s="6" t="n">
        <f aca="false">Sens!F3590</f>
        <v>36.5856912614356</v>
      </c>
      <c r="G3647" s="6" t="n">
        <f aca="false">Sens!G3590</f>
        <v>66.8830522661911</v>
      </c>
      <c r="H3647" s="6" t="n">
        <f aca="false">Sens!H3590</f>
        <v>99.5657515455511</v>
      </c>
      <c r="I3647" s="6" t="n">
        <f aca="false">Sens!I3590</f>
        <v>128.495157395588</v>
      </c>
      <c r="J3647" s="6" t="n">
        <f aca="false">Sens!J3590</f>
        <v>148.935816845726</v>
      </c>
      <c r="K3647" s="6" t="n">
        <f aca="false">Sens!K3590</f>
        <v>161.53340799432</v>
      </c>
    </row>
    <row r="3648" customFormat="false" ht="17.15" hidden="false" customHeight="false" outlineLevel="0" collapsed="false">
      <c r="A3648" s="1" t="s">
        <v>920</v>
      </c>
      <c r="B3648" s="0" t="s">
        <v>98</v>
      </c>
      <c r="E3648" s="6" t="n">
        <f aca="false">Sens!E3672</f>
        <v>22.2285940229167</v>
      </c>
      <c r="F3648" s="6" t="n">
        <f aca="false">Sens!F3672</f>
        <v>23.5786693435813</v>
      </c>
      <c r="G3648" s="6" t="n">
        <f aca="false">Sens!G3672</f>
        <v>25.3810917662621</v>
      </c>
      <c r="H3648" s="6" t="n">
        <f aca="false">Sens!H3672</f>
        <v>27.5991339540448</v>
      </c>
      <c r="I3648" s="6" t="n">
        <f aca="false">Sens!I3672</f>
        <v>30.1565605898047</v>
      </c>
      <c r="J3648" s="6" t="n">
        <f aca="false">Sens!J3672</f>
        <v>32.9614958558616</v>
      </c>
      <c r="K3648" s="6" t="n">
        <f aca="false">Sens!K3672</f>
        <v>35.9297165444749</v>
      </c>
    </row>
    <row r="3649" customFormat="false" ht="17.15" hidden="false" customHeight="false" outlineLevel="0" collapsed="false">
      <c r="A3649" s="1" t="s">
        <v>921</v>
      </c>
      <c r="B3649" s="0" t="s">
        <v>98</v>
      </c>
      <c r="D3649" s="6" t="n">
        <f aca="false">Q!L27</f>
        <v>-4.901</v>
      </c>
      <c r="E3649" s="6" t="n">
        <f aca="false">Q!M27</f>
        <v>10.697</v>
      </c>
      <c r="F3649" s="6" t="n">
        <f aca="false">oie_f</f>
        <v>-0.4</v>
      </c>
      <c r="G3649" s="6" t="n">
        <f aca="false">oie_f</f>
        <v>-0.4</v>
      </c>
      <c r="H3649" s="6" t="n">
        <f aca="false">oie_f</f>
        <v>-0.4</v>
      </c>
      <c r="I3649" s="6" t="n">
        <f aca="false">oie_f</f>
        <v>-0.4</v>
      </c>
      <c r="J3649" s="6" t="n">
        <f aca="false">oie_f</f>
        <v>-0.4</v>
      </c>
      <c r="K3649" s="6" t="n">
        <f aca="false">oie_f</f>
        <v>-0.4</v>
      </c>
      <c r="L3649" s="11" t="s">
        <v>922</v>
      </c>
    </row>
    <row r="3650" customFormat="false" ht="15" hidden="false" customHeight="false" outlineLevel="0" collapsed="false">
      <c r="A3650" s="1" t="s">
        <v>923</v>
      </c>
      <c r="B3650" s="0" t="s">
        <v>98</v>
      </c>
      <c r="D3650" s="6" t="n">
        <f aca="false">Sens!D3642+Sens!D3649</f>
        <v>123.627</v>
      </c>
      <c r="E3650" s="6" t="n">
        <f aca="false">Sens!E3642+Sens!E3649</f>
        <v>165.934</v>
      </c>
      <c r="F3650" s="6" t="n">
        <f aca="false">Sens!F3642+Sens!F3649</f>
        <v>181.774385651692</v>
      </c>
      <c r="G3650" s="6" t="n">
        <f aca="false">Sens!G3642+Sens!G3649</f>
        <v>213.168929377999</v>
      </c>
      <c r="H3650" s="6" t="n">
        <f aca="false">Sens!H3642+Sens!H3649</f>
        <v>249.7759089861</v>
      </c>
      <c r="I3650" s="6" t="n">
        <f aca="false">Sens!I3642+Sens!I3649</f>
        <v>277.499391849138</v>
      </c>
      <c r="J3650" s="6" t="n">
        <f aca="false">Sens!J3642+Sens!J3649</f>
        <v>301.459380652144</v>
      </c>
      <c r="K3650" s="6" t="n">
        <f aca="false">Sens!K3642+Sens!K3649</f>
        <v>323.212140611008</v>
      </c>
    </row>
    <row r="3651" customFormat="false" ht="15" hidden="false" customHeight="false" outlineLevel="0" collapsed="false">
      <c r="A3651" s="1" t="s">
        <v>924</v>
      </c>
      <c r="B3651" s="0" t="s">
        <v>98</v>
      </c>
      <c r="D3651" s="6" t="n">
        <f aca="false">Q!L29</f>
        <v>21.795</v>
      </c>
      <c r="E3651" s="6" t="n">
        <f aca="false">Q!M29</f>
        <v>32.185</v>
      </c>
      <c r="F3651" s="6" t="n">
        <f aca="false">Sens!F3650*tax_f</f>
        <v>36.3548771303384</v>
      </c>
      <c r="G3651" s="6" t="n">
        <f aca="false">Sens!G3650*tax_f</f>
        <v>42.6337858755998</v>
      </c>
      <c r="H3651" s="6" t="n">
        <f aca="false">Sens!H3650*tax_f</f>
        <v>49.9551817972201</v>
      </c>
      <c r="I3651" s="6" t="n">
        <f aca="false">Sens!I3650*tax_f</f>
        <v>55.4998783698275</v>
      </c>
      <c r="J3651" s="6" t="n">
        <f aca="false">Sens!J3650*tax_f</f>
        <v>60.2918761304287</v>
      </c>
      <c r="K3651" s="6" t="n">
        <f aca="false">Sens!K3650*tax_f</f>
        <v>64.6424281222017</v>
      </c>
    </row>
    <row r="3652" customFormat="false" ht="15" hidden="false" customHeight="false" outlineLevel="0" collapsed="false">
      <c r="A3652" s="1" t="s">
        <v>925</v>
      </c>
      <c r="B3652" s="0" t="s">
        <v>98</v>
      </c>
      <c r="D3652" s="6" t="n">
        <f aca="false">Sens!D3650-Sens!D3651</f>
        <v>101.832</v>
      </c>
      <c r="E3652" s="6" t="n">
        <f aca="false">Sens!E3650-Sens!E3651</f>
        <v>133.749</v>
      </c>
      <c r="F3652" s="6" t="n">
        <f aca="false">Sens!F3650-Sens!F3651</f>
        <v>145.419508521354</v>
      </c>
      <c r="G3652" s="6" t="n">
        <f aca="false">Sens!G3650-Sens!G3651</f>
        <v>170.535143502399</v>
      </c>
      <c r="H3652" s="6" t="n">
        <f aca="false">Sens!H3650-Sens!H3651</f>
        <v>199.82072718888</v>
      </c>
      <c r="I3652" s="6" t="n">
        <f aca="false">Sens!I3650-Sens!I3651</f>
        <v>221.99951347931</v>
      </c>
      <c r="J3652" s="6" t="n">
        <f aca="false">Sens!J3650-Sens!J3651</f>
        <v>241.167504521715</v>
      </c>
      <c r="K3652" s="6" t="n">
        <f aca="false">Sens!K3650-Sens!K3651</f>
        <v>258.569712488807</v>
      </c>
    </row>
    <row r="3653" customFormat="false" ht="17.15" hidden="false" customHeight="false" outlineLevel="0" collapsed="false">
      <c r="A3653" s="1" t="s">
        <v>926</v>
      </c>
      <c r="B3653" s="1" t="s">
        <v>81</v>
      </c>
      <c r="D3653" s="14" t="n">
        <f aca="false">Q!L31</f>
        <v>7.465</v>
      </c>
      <c r="E3653" s="14" t="n">
        <f aca="false">Q!M31</f>
        <v>7.453</v>
      </c>
      <c r="F3653" s="14" t="n">
        <f aca="false">Sens!F3696</f>
        <v>7.4735</v>
      </c>
      <c r="G3653" s="14" t="n">
        <f aca="false">Sens!G3696</f>
        <v>7.5185</v>
      </c>
      <c r="H3653" s="14" t="n">
        <f aca="false">Sens!H3696</f>
        <v>7.54625158584995</v>
      </c>
      <c r="I3653" s="14" t="n">
        <f aca="false">Sens!I3696</f>
        <v>7.55803241785726</v>
      </c>
      <c r="J3653" s="14" t="n">
        <f aca="false">Sens!J3696</f>
        <v>7.57227392897515</v>
      </c>
      <c r="K3653" s="14" t="n">
        <f aca="false">Sens!K3696</f>
        <v>7.58879384667689</v>
      </c>
    </row>
    <row r="3654" customFormat="false" ht="17.15" hidden="false" customHeight="false" outlineLevel="0" collapsed="false">
      <c r="A3654" s="0" t="s">
        <v>927</v>
      </c>
      <c r="B3654" s="0" t="s">
        <v>75</v>
      </c>
      <c r="D3654" s="8" t="n">
        <f aca="false">Sens!D3652/Sens!D3653</f>
        <v>13.641259209645</v>
      </c>
      <c r="E3654" s="8" t="n">
        <f aca="false">Sens!E3652/Sens!E3653</f>
        <v>17.9456594659869</v>
      </c>
      <c r="F3654" s="8" t="n">
        <f aca="false">Sens!F3652/Sens!F3653</f>
        <v>19.458019471647</v>
      </c>
      <c r="G3654" s="8" t="n">
        <f aca="false">Sens!G3652/Sens!G3653</f>
        <v>22.6820700275852</v>
      </c>
      <c r="H3654" s="8" t="n">
        <f aca="false">Sens!H3652/Sens!H3653</f>
        <v>26.4794679736846</v>
      </c>
      <c r="I3654" s="8" t="n">
        <f aca="false">Sens!I3652/Sens!I3653</f>
        <v>29.3726596031521</v>
      </c>
      <c r="J3654" s="8" t="n">
        <f aca="false">Sens!J3652/Sens!J3653</f>
        <v>31.8487559726138</v>
      </c>
      <c r="K3654" s="8" t="n">
        <f aca="false">Sens!K3652/Sens!K3653</f>
        <v>34.0725703864039</v>
      </c>
      <c r="L3654" s="1" t="s">
        <v>928</v>
      </c>
    </row>
    <row r="3655" customFormat="false" ht="17.15" hidden="false" customHeight="false" outlineLevel="0" collapsed="false">
      <c r="A3655" s="1" t="s">
        <v>929</v>
      </c>
      <c r="B3655" s="0" t="s">
        <v>98</v>
      </c>
      <c r="D3655" s="6" t="n">
        <f aca="false">Sens!D3652</f>
        <v>101.832</v>
      </c>
      <c r="E3655" s="6" t="n">
        <f aca="false">Sens!E3652</f>
        <v>133.749</v>
      </c>
      <c r="F3655" s="6" t="n">
        <f aca="false">Sens!F3652+Sens!F3645*(1-tax_f)</f>
        <v>153.657454262846</v>
      </c>
      <c r="G3655" s="6" t="n">
        <f aca="false">Sens!G3652+Sens!G3645*(1-tax_f)</f>
        <v>192.220857144499</v>
      </c>
      <c r="H3655" s="6" t="n">
        <f aca="false">Sens!H3652+Sens!H3645*(1-tax_f)</f>
        <v>236.300419451174</v>
      </c>
      <c r="I3655" s="6" t="n">
        <f aca="false">Sens!I3652+Sens!I3645*(1-tax_f)</f>
        <v>272.073341966136</v>
      </c>
      <c r="J3655" s="6" t="n">
        <f aca="false">Sens!J3652+Sens!J3645*(1-tax_f)</f>
        <v>300.780251127195</v>
      </c>
      <c r="K3655" s="6" t="n">
        <f aca="false">Sens!K3652+Sens!K3645*(1-tax_f)</f>
        <v>323.232390973809</v>
      </c>
    </row>
    <row r="3656" customFormat="false" ht="17.15" hidden="false" customHeight="false" outlineLevel="0" collapsed="false">
      <c r="A3656" s="0" t="s">
        <v>930</v>
      </c>
      <c r="B3656" s="0" t="s">
        <v>75</v>
      </c>
      <c r="D3656" s="8" t="n">
        <f aca="false">Sens!D3655/Sens!D3653</f>
        <v>13.641259209645</v>
      </c>
      <c r="E3656" s="8" t="n">
        <f aca="false">Sens!E3655/Sens!E3653</f>
        <v>17.9456594659869</v>
      </c>
      <c r="F3656" s="8" t="n">
        <f aca="false">Sens!F3655/Sens!F3653</f>
        <v>20.560306986398</v>
      </c>
      <c r="G3656" s="8" t="n">
        <f aca="false">Sens!G3655/Sens!G3653</f>
        <v>25.5663838723813</v>
      </c>
      <c r="H3656" s="8" t="n">
        <f aca="false">Sens!H3655/Sens!H3653</f>
        <v>31.3136153443735</v>
      </c>
      <c r="I3656" s="8" t="n">
        <f aca="false">Sens!I3655/Sens!I3653</f>
        <v>35.9979061909435</v>
      </c>
      <c r="J3656" s="8" t="n">
        <f aca="false">Sens!J3655/Sens!J3653</f>
        <v>39.7212586269846</v>
      </c>
      <c r="K3656" s="8" t="n">
        <f aca="false">Sens!K3655/Sens!K3653</f>
        <v>42.5933814390479</v>
      </c>
      <c r="L3656" s="1" t="s">
        <v>931</v>
      </c>
    </row>
    <row r="3657" customFormat="false" ht="17.15" hidden="false" customHeight="false" outlineLevel="0" collapsed="false">
      <c r="A3657" s="0" t="s">
        <v>932</v>
      </c>
      <c r="B3657" s="0" t="s">
        <v>129</v>
      </c>
      <c r="E3657" s="7" t="n">
        <f aca="false">Sens!E3656/Sens!D3656-1</f>
        <v>0.315542736208578</v>
      </c>
      <c r="F3657" s="7" t="n">
        <f aca="false">Sens!F3656/Sens!E3656-1</f>
        <v>0.145698046113426</v>
      </c>
      <c r="G3657" s="7" t="n">
        <f aca="false">Sens!G3656/Sens!F3656-1</f>
        <v>0.243482594364721</v>
      </c>
      <c r="H3657" s="7" t="n">
        <f aca="false">Sens!H3656/Sens!G3656-1</f>
        <v>0.224796416289466</v>
      </c>
      <c r="I3657" s="7" t="n">
        <f aca="false">Sens!I3656/Sens!H3656-1</f>
        <v>0.149592782406448</v>
      </c>
      <c r="J3657" s="7" t="n">
        <f aca="false">Sens!J3656/Sens!I3656-1</f>
        <v>0.103432472330234</v>
      </c>
      <c r="K3657" s="7" t="n">
        <f aca="false">Sens!K3656/Sens!J3656-1</f>
        <v>0.0723069437208646</v>
      </c>
    </row>
    <row r="3658" customFormat="false" ht="17.15" hidden="false" customHeight="false" outlineLevel="0" collapsed="false">
      <c r="A3658" s="0" t="s">
        <v>856</v>
      </c>
      <c r="B3658" s="0" t="s">
        <v>98</v>
      </c>
      <c r="E3658" s="6" t="n">
        <f aca="false">Sens!E3599</f>
        <v>5.25</v>
      </c>
      <c r="F3658" s="6" t="n">
        <f aca="false">Sens!F3599</f>
        <v>13.5</v>
      </c>
      <c r="G3658" s="6" t="n">
        <f aca="false">Sens!G3599</f>
        <v>22.5</v>
      </c>
      <c r="H3658" s="6" t="n">
        <f aca="false">Sens!H3599</f>
        <v>31.5</v>
      </c>
      <c r="I3658" s="6" t="n">
        <f aca="false">Sens!I3599</f>
        <v>38.25</v>
      </c>
      <c r="J3658" s="6" t="n">
        <f aca="false">Sens!J3599</f>
        <v>42.75</v>
      </c>
      <c r="K3658" s="6" t="n">
        <f aca="false">Sens!K3599</f>
        <v>47.25</v>
      </c>
    </row>
    <row r="3659" customFormat="false" ht="17.15" hidden="false" customHeight="false" outlineLevel="0" collapsed="false">
      <c r="A3659" s="1" t="s">
        <v>857</v>
      </c>
      <c r="B3659" s="0" t="s">
        <v>98</v>
      </c>
      <c r="F3659" s="6" t="n">
        <f aca="false">MAX(0,((Sens!E3562+Sens!F3562)/2-(shadow_base*(Sens!$D$3562+Sens!$E$3562)/2+(1-shadow_base)*Sens!$E$3562))*Sens!F3570/1000-(Sens!F3658-Sens!$E$3658)*Sens!F3638)</f>
        <v>10.297432176865</v>
      </c>
      <c r="G3659" s="6" t="n">
        <f aca="false">MAX(0,((Sens!F3562+Sens!G3562)/2-(shadow_base*(Sens!$D$3562+Sens!$E$3562)/2+(1-shadow_base)*Sens!$E$3562))*Sens!G3570/1000-(Sens!G3658-Sens!$E$3658)*Sens!G3638)</f>
        <v>27.1071420526251</v>
      </c>
      <c r="H3659" s="6" t="n">
        <f aca="false">MAX(0,((Sens!G3562+Sens!H3562)/2-(shadow_base*(Sens!$D$3562+Sens!$E$3562)/2+(1-shadow_base)*Sens!$E$3562))*Sens!H3570/1000-(Sens!H3658-Sens!$E$3658)*Sens!H3638)</f>
        <v>45.5996153278664</v>
      </c>
      <c r="I3659" s="6" t="n">
        <f aca="false">MAX(0,((Sens!H3562+Sens!I3562)/2-(shadow_base*(Sens!$D$3562+Sens!$E$3562)/2+(1-shadow_base)*Sens!$E$3562))*Sens!I3570/1000-(Sens!I3658-Sens!$E$3658)*Sens!I3638)</f>
        <v>62.5922856085322</v>
      </c>
      <c r="J3659" s="6" t="n">
        <f aca="false">MAX(0,((Sens!I3562+Sens!J3562)/2-(shadow_base*(Sens!$D$3562+Sens!$E$3562)/2+(1-shadow_base)*Sens!$E$3562))*Sens!J3570/1000-(Sens!J3658-Sens!$E$3658)*Sens!J3638)</f>
        <v>74.51593325685</v>
      </c>
      <c r="K3659" s="6" t="n">
        <f aca="false">MAX(0,((Sens!J3562+Sens!K3562)/2-(shadow_base*(Sens!$D$3562+Sens!$E$3562)/2+(1-shadow_base)*Sens!$E$3562))*Sens!K3570/1000-(Sens!K3658-Sens!$E$3658)*Sens!K3638)</f>
        <v>80.8283481062523</v>
      </c>
      <c r="L3659" s="1" t="s">
        <v>858</v>
      </c>
    </row>
    <row r="3660" customFormat="false" ht="17.15" hidden="false" customHeight="false" outlineLevel="0" collapsed="false">
      <c r="A3660" s="1" t="s">
        <v>859</v>
      </c>
      <c r="B3660" s="0" t="s">
        <v>98</v>
      </c>
      <c r="F3660" s="6" t="n">
        <f aca="false">IF(internal_ai_reading=2,1,0)*Sens!F3659</f>
        <v>10.297432176865</v>
      </c>
      <c r="G3660" s="6" t="n">
        <f aca="false">IF(internal_ai_reading=2,1,0)*Sens!G3659</f>
        <v>27.1071420526251</v>
      </c>
      <c r="H3660" s="6" t="n">
        <f aca="false">IF(internal_ai_reading=2,1,0)*Sens!H3659</f>
        <v>45.5996153278664</v>
      </c>
      <c r="I3660" s="6" t="n">
        <f aca="false">IF(internal_ai_reading=2,1,0)*Sens!I3659</f>
        <v>62.5922856085322</v>
      </c>
      <c r="J3660" s="6" t="n">
        <f aca="false">IF(internal_ai_reading=2,1,0)*Sens!J3659</f>
        <v>74.51593325685</v>
      </c>
      <c r="K3660" s="6" t="n">
        <f aca="false">IF(internal_ai_reading=2,1,0)*Sens!K3659</f>
        <v>80.8283481062523</v>
      </c>
    </row>
    <row r="3661" customFormat="false" ht="17.15" hidden="false" customHeight="false" outlineLevel="0" collapsed="false">
      <c r="A3661" s="0" t="s">
        <v>860</v>
      </c>
      <c r="B3661" s="0" t="s">
        <v>98</v>
      </c>
      <c r="F3661" s="6" t="n">
        <f aca="false">Sens!F3579+Sens!F3658*Sens!F3638+Sens!F3660-Sens!F3580-Sens!F3590</f>
        <v>20.6156929704</v>
      </c>
      <c r="G3661" s="6" t="n">
        <f aca="false">Sens!G3579+Sens!G3658*Sens!G3638+Sens!G3660-Sens!G3580-Sens!G3590</f>
        <v>49.1509048643179</v>
      </c>
      <c r="H3661" s="6" t="n">
        <f aca="false">Sens!H3579+Sens!H3658*Sens!H3638+Sens!H3660-Sens!H3580-Sens!H3590</f>
        <v>84.260642848327</v>
      </c>
      <c r="I3661" s="6" t="n">
        <f aca="false">Sens!I3579+Sens!I3658*Sens!I3638+Sens!I3660-Sens!I3580-Sens!I3590</f>
        <v>109.358050621813</v>
      </c>
      <c r="J3661" s="6" t="n">
        <f aca="false">Sens!J3579+Sens!J3658*Sens!J3638+Sens!J3660-Sens!J3580-Sens!J3590</f>
        <v>126.762634942114</v>
      </c>
      <c r="K3661" s="6" t="n">
        <f aca="false">Sens!K3579+Sens!K3658*Sens!K3638+Sens!K3660-Sens!K3580-Sens!K3590</f>
        <v>138.27955413834</v>
      </c>
    </row>
    <row r="3662" customFormat="false" ht="17.15" hidden="false" customHeight="false" outlineLevel="0" collapsed="false">
      <c r="A3662" s="0" t="s">
        <v>861</v>
      </c>
      <c r="B3662" s="0" t="s">
        <v>98</v>
      </c>
      <c r="E3662" s="6" t="n">
        <f aca="false">Sens!E3561*(cxit_open+self_build*tk_cxfac)/1000*ai_net_open</f>
        <v>126.6980382</v>
      </c>
      <c r="F3662" s="6" t="n">
        <f aca="false">Sens!E3662+Sens!F3587-Sens!F3590</f>
        <v>285.357616735791</v>
      </c>
      <c r="G3662" s="6" t="n">
        <f aca="false">Sens!F3662+Sens!G3587-Sens!G3590</f>
        <v>438.76358104944</v>
      </c>
      <c r="H3662" s="6" t="n">
        <f aca="false">Sens!G3662+Sens!H3587-Sens!H3590</f>
        <v>564.894172596369</v>
      </c>
      <c r="I3662" s="6" t="n">
        <f aca="false">Sens!H3662+Sens!I3587-Sens!I3590</f>
        <v>626.311537525209</v>
      </c>
      <c r="J3662" s="6" t="n">
        <f aca="false">Sens!I3662+Sens!J3587-Sens!J3590</f>
        <v>619.876923495413</v>
      </c>
      <c r="K3662" s="6" t="n">
        <f aca="false">Sens!J3662+Sens!K3587-Sens!K3590</f>
        <v>584.382144532827</v>
      </c>
      <c r="L3662" s="1" t="s">
        <v>862</v>
      </c>
    </row>
    <row r="3663" customFormat="false" ht="17.15" hidden="false" customHeight="false" outlineLevel="0" collapsed="false">
      <c r="A3663" s="0" t="s">
        <v>863</v>
      </c>
      <c r="B3663" s="0" t="s">
        <v>129</v>
      </c>
      <c r="F3663" s="7" t="n">
        <f aca="false">Sens!F3661*(1-tax_f)/((Sens!E3662+Sens!F3662)/2)</f>
        <v>0.080050130018917</v>
      </c>
      <c r="G3663" s="7" t="n">
        <f aca="false">Sens!G3661*(1-tax_f)/((Sens!F3662+Sens!G3662)/2)</f>
        <v>0.108602604126821</v>
      </c>
      <c r="H3663" s="7" t="n">
        <f aca="false">Sens!H3661*(1-tax_f)/((Sens!G3662+Sens!H3662)/2)</f>
        <v>0.134325698244842</v>
      </c>
      <c r="I3663" s="7" t="n">
        <f aca="false">Sens!I3661*(1-tax_f)/((Sens!H3662+Sens!I3662)/2)</f>
        <v>0.146887208068405</v>
      </c>
      <c r="J3663" s="7" t="n">
        <f aca="false">Sens!J3661*(1-tax_f)/((Sens!I3662+Sens!J3662)/2)</f>
        <v>0.162752442548917</v>
      </c>
      <c r="K3663" s="7" t="n">
        <f aca="false">Sens!K3661*(1-tax_f)/((Sens!J3662+Sens!K3662)/2)</f>
        <v>0.183720673146848</v>
      </c>
    </row>
    <row r="3664" customFormat="false" ht="17.15" hidden="false" customHeight="false" outlineLevel="0" collapsed="false">
      <c r="A3664" s="1" t="s">
        <v>864</v>
      </c>
      <c r="B3664" s="0" t="s">
        <v>129</v>
      </c>
      <c r="F3664" s="7" t="n">
        <f aca="false">(Sens!F3661-Sens!F3660)*(1-tax_f)/((Sens!E3662+Sens!F3662)/2)</f>
        <v>0.0400655034627024</v>
      </c>
      <c r="G3664" s="7" t="n">
        <f aca="false">(Sens!G3661-Sens!G3660)*(1-tax_f)/((Sens!F3662+Sens!G3662)/2)</f>
        <v>0.048707344304495</v>
      </c>
      <c r="H3664" s="7" t="n">
        <f aca="false">(Sens!H3661-Sens!H3660)*(1-tax_f)/((Sens!G3662+Sens!H3662)/2)</f>
        <v>0.0616322085970418</v>
      </c>
      <c r="I3664" s="7" t="n">
        <f aca="false">(Sens!I3661-Sens!I3660)*(1-tax_f)/((Sens!H3662+Sens!I3662)/2)</f>
        <v>0.0628146955521327</v>
      </c>
      <c r="J3664" s="7" t="n">
        <f aca="false">(Sens!J3661-Sens!J3660)*(1-tax_f)/((Sens!I3662+Sens!J3662)/2)</f>
        <v>0.0670803215654549</v>
      </c>
      <c r="K3664" s="7" t="n">
        <f aca="false">(Sens!K3661-Sens!K3660)*(1-tax_f)/((Sens!J3662+Sens!K3662)/2)</f>
        <v>0.0763306933630538</v>
      </c>
    </row>
    <row r="3665" customFormat="false" ht="17.15" hidden="false" customHeight="false" outlineLevel="0" collapsed="false">
      <c r="A3665" s="1" t="s">
        <v>865</v>
      </c>
      <c r="B3665" s="0" t="s">
        <v>129</v>
      </c>
      <c r="F3665" s="7" t="n">
        <f aca="false">(Sens!F3661-Sens!F3660+Sens!F3659)*(1-tax_f)/((Sens!E3662+Sens!F3662)/2)</f>
        <v>0.080050130018917</v>
      </c>
      <c r="G3665" s="7" t="n">
        <f aca="false">(Sens!G3661-Sens!G3660+Sens!G3659)*(1-tax_f)/((Sens!F3662+Sens!G3662)/2)</f>
        <v>0.108602604126821</v>
      </c>
      <c r="H3665" s="7" t="n">
        <f aca="false">(Sens!H3661-Sens!H3660+Sens!H3659)*(1-tax_f)/((Sens!G3662+Sens!H3662)/2)</f>
        <v>0.134325698244842</v>
      </c>
      <c r="I3665" s="7" t="n">
        <f aca="false">(Sens!I3661-Sens!I3660+Sens!I3659)*(1-tax_f)/((Sens!H3662+Sens!I3662)/2)</f>
        <v>0.146887208068405</v>
      </c>
      <c r="J3665" s="7" t="n">
        <f aca="false">(Sens!J3661-Sens!J3660+Sens!J3659)*(1-tax_f)/((Sens!I3662+Sens!J3662)/2)</f>
        <v>0.162752442548917</v>
      </c>
      <c r="K3665" s="7" t="n">
        <f aca="false">(Sens!K3661-Sens!K3660+Sens!K3659)*(1-tax_f)/((Sens!J3662+Sens!K3662)/2)</f>
        <v>0.183720673146848</v>
      </c>
    </row>
    <row r="3666" customFormat="false" ht="17.15" hidden="false" customHeight="false" outlineLevel="0" collapsed="false">
      <c r="A3666" s="1" t="s">
        <v>866</v>
      </c>
      <c r="B3666" s="0" t="s">
        <v>129</v>
      </c>
      <c r="F3666" s="7" t="n">
        <f aca="false">Sens!F3591*(1-tax_f)/(Sens!F3578*(Sens!E3662+Sens!F3662)/2)</f>
        <v>0.156750823796353</v>
      </c>
      <c r="G3666" s="7" t="n">
        <f aca="false">Sens!G3591*(1-tax_f)/(Sens!G3578*(Sens!F3662+Sens!G3662)/2)</f>
        <v>0.177010213324695</v>
      </c>
      <c r="H3666" s="7" t="n">
        <f aca="false">Sens!H3591*(1-tax_f)/(Sens!H3578*(Sens!G3662+Sens!H3662)/2)</f>
        <v>0.207230035452634</v>
      </c>
      <c r="I3666" s="7" t="n">
        <f aca="false">Sens!I3591*(1-tax_f)/(Sens!I3578*(Sens!H3662+Sens!I3662)/2)</f>
        <v>0.22041680213367</v>
      </c>
      <c r="J3666" s="7" t="n">
        <f aca="false">Sens!J3591*(1-tax_f)/(Sens!J3578*(Sens!I3662+Sens!J3662)/2)</f>
        <v>0.241145695835181</v>
      </c>
      <c r="K3666" s="7" t="n">
        <f aca="false">Sens!K3591*(1-tax_f)/(Sens!K3578*(Sens!J3662+Sens!K3662)/2)</f>
        <v>0.270414673568135</v>
      </c>
    </row>
    <row r="3667" customFormat="false" ht="17.15" hidden="false" customHeight="false" outlineLevel="0" collapsed="false">
      <c r="A3667" s="0" t="s">
        <v>867</v>
      </c>
      <c r="B3667" s="0" t="s">
        <v>209</v>
      </c>
      <c r="F3667" s="7" t="n">
        <f aca="false">Sens!F3663-wacc</f>
        <v>-0.0228842900739588</v>
      </c>
      <c r="G3667" s="7" t="n">
        <f aca="false">Sens!G3663-wacc</f>
        <v>0.00566818403394499</v>
      </c>
      <c r="H3667" s="7" t="n">
        <f aca="false">Sens!H3663-wacc</f>
        <v>0.0313912781519666</v>
      </c>
      <c r="I3667" s="7" t="n">
        <f aca="false">Sens!I3663-wacc</f>
        <v>0.0439527879755293</v>
      </c>
      <c r="J3667" s="7" t="n">
        <f aca="false">Sens!J3663-wacc</f>
        <v>0.0598180224560417</v>
      </c>
      <c r="K3667" s="7" t="n">
        <f aca="false">Sens!K3663-wacc</f>
        <v>0.0807862530539723</v>
      </c>
    </row>
    <row r="3668" customFormat="false" ht="17.15" hidden="false" customHeight="false" outlineLevel="0" collapsed="false">
      <c r="A3668" s="0" t="s">
        <v>868</v>
      </c>
      <c r="B3668" s="0" t="s">
        <v>98</v>
      </c>
      <c r="F3668" s="6" t="n">
        <f aca="false">Sens!F3661*(1-tax_f)-wacc*(Sens!E3662+Sens!F3662)/2</f>
        <v>-4.71480056708286</v>
      </c>
      <c r="G3668" s="6" t="n">
        <f aca="false">Sens!G3661*(1-tax_f)-wacc*(Sens!F3662+Sens!G3662)/2</f>
        <v>2.05222610596368</v>
      </c>
      <c r="H3668" s="6" t="n">
        <f aca="false">Sens!H3661*(1-tax_f)-wacc*(Sens!G3662+Sens!H3662)/2</f>
        <v>15.7530498570368</v>
      </c>
      <c r="I3668" s="6" t="n">
        <f aca="false">Sens!I3661*(1-tax_f)-wacc*(Sens!H3662+Sens!I3662)/2</f>
        <v>26.1784060061068</v>
      </c>
      <c r="J3668" s="6" t="n">
        <f aca="false">Sens!J3661*(1-tax_f)-wacc*(Sens!I3662+Sens!J3662)/2</f>
        <v>37.2722646728958</v>
      </c>
      <c r="K3668" s="6" t="n">
        <f aca="false">Sens!K3661*(1-tax_f)-wacc*(Sens!J3662+Sens!K3662)/2</f>
        <v>48.6437889061351</v>
      </c>
    </row>
    <row r="3669" customFormat="false" ht="17.15" hidden="false" customHeight="false" outlineLevel="0" collapsed="false">
      <c r="A3669" s="3" t="s">
        <v>1355</v>
      </c>
    </row>
    <row r="3670" customFormat="false" ht="15" hidden="false" customHeight="false" outlineLevel="0" collapsed="false">
      <c r="A3670" s="4" t="s">
        <v>43</v>
      </c>
      <c r="B3670" s="4" t="s">
        <v>65</v>
      </c>
      <c r="C3670" s="20" t="s">
        <v>799</v>
      </c>
      <c r="D3670" s="20" t="s">
        <v>800</v>
      </c>
      <c r="E3670" s="20" t="s">
        <v>801</v>
      </c>
      <c r="F3670" s="20" t="s">
        <v>802</v>
      </c>
      <c r="G3670" s="20" t="s">
        <v>803</v>
      </c>
      <c r="H3670" s="20" t="s">
        <v>804</v>
      </c>
      <c r="I3670" s="20" t="s">
        <v>805</v>
      </c>
      <c r="J3670" s="20" t="s">
        <v>806</v>
      </c>
      <c r="K3670" s="20" t="s">
        <v>807</v>
      </c>
      <c r="L3670" s="4" t="s">
        <v>47</v>
      </c>
    </row>
    <row r="3671" customFormat="false" ht="15" hidden="false" customHeight="false" outlineLevel="0" collapsed="false">
      <c r="A3671" s="1" t="s">
        <v>925</v>
      </c>
      <c r="B3671" s="0" t="s">
        <v>98</v>
      </c>
      <c r="F3671" s="6" t="n">
        <f aca="false">Sens!F3652</f>
        <v>145.419508521354</v>
      </c>
      <c r="G3671" s="6" t="n">
        <f aca="false">Sens!G3652</f>
        <v>170.535143502399</v>
      </c>
      <c r="H3671" s="6" t="n">
        <f aca="false">Sens!H3652</f>
        <v>199.82072718888</v>
      </c>
      <c r="I3671" s="6" t="n">
        <f aca="false">Sens!I3652</f>
        <v>221.99951347931</v>
      </c>
      <c r="J3671" s="6" t="n">
        <f aca="false">Sens!J3652</f>
        <v>241.167504521715</v>
      </c>
      <c r="K3671" s="6" t="n">
        <f aca="false">Sens!K3652</f>
        <v>258.569712488807</v>
      </c>
    </row>
    <row r="3672" customFormat="false" ht="17.15" hidden="false" customHeight="false" outlineLevel="0" collapsed="false">
      <c r="A3672" s="1" t="s">
        <v>947</v>
      </c>
      <c r="B3672" s="0" t="s">
        <v>98</v>
      </c>
      <c r="E3672" s="6" t="n">
        <f aca="false">Q!M38-Sens!E3590</f>
        <v>22.2285940229167</v>
      </c>
      <c r="F3672" s="6" t="n">
        <f aca="false">Sens!E3672*(1-1/life_nonai)+(Sens!F3679+Sens!F3680)/life_nonai</f>
        <v>23.5786693435813</v>
      </c>
      <c r="G3672" s="6" t="n">
        <f aca="false">Sens!F3672*(1-1/life_nonai)+(Sens!G3679)/life_nonai</f>
        <v>25.3810917662621</v>
      </c>
      <c r="H3672" s="6" t="n">
        <f aca="false">Sens!G3672*(1-1/life_nonai)+(Sens!H3679)/life_nonai</f>
        <v>27.5991339540448</v>
      </c>
      <c r="I3672" s="6" t="n">
        <f aca="false">Sens!H3672*(1-1/life_nonai)+(Sens!I3679)/life_nonai</f>
        <v>30.1565605898047</v>
      </c>
      <c r="J3672" s="6" t="n">
        <f aca="false">Sens!I3672*(1-1/life_nonai)+(Sens!J3679)/life_nonai</f>
        <v>32.9614958558616</v>
      </c>
      <c r="K3672" s="6" t="n">
        <f aca="false">Sens!J3672*(1-1/life_nonai)+(Sens!K3679)/life_nonai</f>
        <v>35.9297165444749</v>
      </c>
      <c r="L3672" s="11" t="s">
        <v>948</v>
      </c>
    </row>
    <row r="3673" customFormat="false" ht="17.15" hidden="false" customHeight="false" outlineLevel="0" collapsed="false">
      <c r="A3673" s="1" t="s">
        <v>949</v>
      </c>
      <c r="B3673" s="0" t="s">
        <v>98</v>
      </c>
      <c r="F3673" s="6" t="n">
        <f aca="false">Sens!$F$3680/life_nonai*(1-1/life_nonai)^(Sens!F3556-2027)</f>
        <v>0</v>
      </c>
      <c r="G3673" s="6" t="n">
        <f aca="false">Sens!$F$3680/life_nonai*(1-1/life_nonai)^(Sens!G3556-2027)</f>
        <v>0</v>
      </c>
      <c r="H3673" s="6" t="n">
        <f aca="false">Sens!$F$3680/life_nonai*(1-1/life_nonai)^(Sens!H3556-2027)</f>
        <v>0</v>
      </c>
      <c r="I3673" s="6" t="n">
        <f aca="false">Sens!$F$3680/life_nonai*(1-1/life_nonai)^(Sens!I3556-2027)</f>
        <v>0</v>
      </c>
      <c r="J3673" s="6" t="n">
        <f aca="false">Sens!$F$3680/life_nonai*(1-1/life_nonai)^(Sens!J3556-2027)</f>
        <v>0</v>
      </c>
      <c r="K3673" s="6" t="n">
        <f aca="false">Sens!$F$3680/life_nonai*(1-1/life_nonai)^(Sens!K3556-2027)</f>
        <v>0</v>
      </c>
      <c r="L3673" s="1" t="s">
        <v>950</v>
      </c>
    </row>
    <row r="3674" customFormat="false" ht="17.15" hidden="false" customHeight="false" outlineLevel="0" collapsed="false">
      <c r="A3674" s="1" t="s">
        <v>951</v>
      </c>
      <c r="B3674" s="0" t="s">
        <v>98</v>
      </c>
      <c r="E3674" s="6" t="n">
        <f aca="false">Sens!E3590+Sens!E3672</f>
        <v>38.534</v>
      </c>
      <c r="F3674" s="6" t="n">
        <f aca="false">Sens!F3590+Sens!F3672</f>
        <v>60.1643606050168</v>
      </c>
      <c r="G3674" s="6" t="n">
        <f aca="false">Sens!G3590+Sens!G3672</f>
        <v>92.2641440324532</v>
      </c>
      <c r="H3674" s="6" t="n">
        <f aca="false">Sens!H3590+Sens!H3672</f>
        <v>127.164885499596</v>
      </c>
      <c r="I3674" s="6" t="n">
        <f aca="false">Sens!I3590+Sens!I3672</f>
        <v>158.651717985393</v>
      </c>
      <c r="J3674" s="6" t="n">
        <f aca="false">Sens!J3590+Sens!J3672</f>
        <v>181.897312701588</v>
      </c>
      <c r="K3674" s="6" t="n">
        <f aca="false">Sens!K3590+Sens!K3672</f>
        <v>197.463124538795</v>
      </c>
    </row>
    <row r="3675" customFormat="false" ht="17.15" hidden="false" customHeight="false" outlineLevel="0" collapsed="false">
      <c r="A3675" s="1" t="s">
        <v>952</v>
      </c>
      <c r="B3675" s="0" t="s">
        <v>98</v>
      </c>
      <c r="F3675" s="6" t="n">
        <f aca="false">Sens!F3617*sbc_r</f>
        <v>15.262784607008</v>
      </c>
      <c r="G3675" s="6" t="n">
        <f aca="false">Sens!G3617*sbc_r</f>
        <v>18.8160665658581</v>
      </c>
      <c r="H3675" s="6" t="n">
        <f aca="false">Sens!H3617*sbc_r</f>
        <v>22.6588296867075</v>
      </c>
      <c r="I3675" s="6" t="n">
        <f aca="false">Sens!I3617*sbc_r</f>
        <v>25.9211185099009</v>
      </c>
      <c r="J3675" s="6" t="n">
        <f aca="false">Sens!J3617*sbc_r</f>
        <v>28.5232318610812</v>
      </c>
      <c r="K3675" s="6" t="n">
        <f aca="false">Sens!K3617*sbc_r</f>
        <v>30.5704606023698</v>
      </c>
    </row>
    <row r="3676" customFormat="false" ht="17.15" hidden="false" customHeight="false" outlineLevel="0" collapsed="false">
      <c r="A3676" s="1" t="s">
        <v>953</v>
      </c>
      <c r="B3676" s="0" t="s">
        <v>98</v>
      </c>
      <c r="F3676" s="6" t="n">
        <f aca="false">wc27</f>
        <v>-4.895</v>
      </c>
      <c r="G3676" s="6" t="n">
        <f aca="false">wc_f</f>
        <v>0</v>
      </c>
      <c r="H3676" s="6" t="n">
        <f aca="false">wc_f</f>
        <v>0</v>
      </c>
      <c r="I3676" s="6" t="n">
        <f aca="false">wc_f</f>
        <v>0</v>
      </c>
      <c r="J3676" s="6" t="n">
        <f aca="false">wc_f</f>
        <v>0</v>
      </c>
      <c r="K3676" s="6" t="n">
        <f aca="false">wc_f</f>
        <v>0</v>
      </c>
      <c r="L3676" s="11" t="s">
        <v>954</v>
      </c>
    </row>
    <row r="3677" customFormat="false" ht="15" hidden="false" customHeight="false" outlineLevel="0" collapsed="false">
      <c r="A3677" s="1" t="s">
        <v>767</v>
      </c>
      <c r="B3677" s="0" t="s">
        <v>98</v>
      </c>
      <c r="E3677" s="6" t="n">
        <f aca="false">Q!M35</f>
        <v>182.935</v>
      </c>
      <c r="F3677" s="6" t="n">
        <f aca="false">Sens!F3671+Sens!F3674+Sens!F3675+Sens!F3676</f>
        <v>215.951653733379</v>
      </c>
      <c r="G3677" s="6" t="n">
        <f aca="false">Sens!G3671+Sens!G3674+Sens!G3675+Sens!G3676</f>
        <v>281.61535410071</v>
      </c>
      <c r="H3677" s="6" t="n">
        <f aca="false">Sens!H3671+Sens!H3674+Sens!H3675+Sens!H3676</f>
        <v>349.644442375184</v>
      </c>
      <c r="I3677" s="6" t="n">
        <f aca="false">Sens!I3671+Sens!I3674+Sens!I3675+Sens!I3676</f>
        <v>406.572349974604</v>
      </c>
      <c r="J3677" s="6" t="n">
        <f aca="false">Sens!J3671+Sens!J3674+Sens!J3675+Sens!J3676</f>
        <v>451.588049084384</v>
      </c>
      <c r="K3677" s="6" t="n">
        <f aca="false">Sens!K3671+Sens!K3674+Sens!K3675+Sens!K3676</f>
        <v>486.603297629971</v>
      </c>
    </row>
    <row r="3678" customFormat="false" ht="17.15" hidden="false" customHeight="false" outlineLevel="0" collapsed="false">
      <c r="A3678" s="0" t="s">
        <v>955</v>
      </c>
      <c r="B3678" s="0" t="s">
        <v>98</v>
      </c>
      <c r="F3678" s="6" t="n">
        <f aca="false">Sens!F3587</f>
        <v>195.245269797227</v>
      </c>
      <c r="G3678" s="6" t="n">
        <f aca="false">Sens!G3587</f>
        <v>220.28901657984</v>
      </c>
      <c r="H3678" s="6" t="n">
        <f aca="false">Sens!H3587</f>
        <v>225.69634309248</v>
      </c>
      <c r="I3678" s="6" t="n">
        <f aca="false">Sens!I3587</f>
        <v>189.912522324428</v>
      </c>
      <c r="J3678" s="6" t="n">
        <f aca="false">Sens!J3587</f>
        <v>142.501202815931</v>
      </c>
      <c r="K3678" s="6" t="n">
        <f aca="false">Sens!K3587</f>
        <v>126.038629031734</v>
      </c>
    </row>
    <row r="3679" customFormat="false" ht="17.15" hidden="false" customHeight="false" outlineLevel="0" collapsed="false">
      <c r="A3679" s="1" t="s">
        <v>956</v>
      </c>
      <c r="B3679" s="0" t="s">
        <v>98</v>
      </c>
      <c r="E3679" s="6" t="n">
        <f aca="false">Sens!E3595*cx_azo+Sens!E3602*cx_m365+Sens!E3603*cx_lic+(Sens!E3605+Sens!E3607)*cx_ind+Sens!E3610*cx_srch+(Sens!E3612+Sens!E3614)*cx_dev</f>
        <v>30.1846587067718</v>
      </c>
      <c r="F3679" s="6" t="n">
        <f aca="false">Sens!F3595*cx_azo+Sens!F3602*cx_m365+Sens!F3603*cx_lic+(Sens!F3605+Sens!F3607)*cx_ind+Sens!F3610*cx_srch+(Sens!F3612+Sens!F3614)*cx_dev</f>
        <v>35.7293472295625</v>
      </c>
      <c r="G3679" s="6" t="n">
        <f aca="false">Sens!G3595*cx_azo+Sens!G3602*cx_m365+Sens!G3603*cx_lic+(Sens!G3605+Sens!G3607)*cx_ind+Sens!G3610*cx_srch+(Sens!G3612+Sens!G3614)*cx_dev</f>
        <v>41.6028935703892</v>
      </c>
      <c r="H3679" s="6" t="n">
        <f aca="false">Sens!H3595*cx_azo+Sens!H3602*cx_m365+Sens!H3603*cx_lic+(Sens!H3605+Sens!H3607)*cx_ind+Sens!H3610*cx_srch+(Sens!H3612+Sens!H3614)*cx_dev</f>
        <v>47.5615136440897</v>
      </c>
      <c r="I3679" s="6" t="n">
        <f aca="false">Sens!I3595*cx_azo+Sens!I3602*cx_m365+Sens!I3603*cx_lic+(Sens!I3605+Sens!I3607)*cx_ind+Sens!I3610*cx_srch+(Sens!I3612+Sens!I3614)*cx_dev</f>
        <v>53.1734003116439</v>
      </c>
      <c r="J3679" s="6" t="n">
        <f aca="false">Sens!J3595*cx_azo+Sens!J3602*cx_m365+Sens!J3603*cx_lic+(Sens!J3605+Sens!J3607)*cx_ind+Sens!J3610*cx_srch+(Sens!J3612+Sens!J3614)*cx_dev</f>
        <v>58.2059132503738</v>
      </c>
      <c r="K3679" s="6" t="n">
        <f aca="false">Sens!K3595*cx_azo+Sens!K3602*cx_m365+Sens!K3603*cx_lic+(Sens!K3605+Sens!K3607)*cx_ind+Sens!K3610*cx_srch+(Sens!K3612+Sens!K3614)*cx_dev</f>
        <v>62.643702741994</v>
      </c>
    </row>
    <row r="3680" customFormat="false" ht="17.15" hidden="false" customHeight="false" outlineLevel="0" collapsed="false">
      <c r="A3680" s="0" t="s">
        <v>957</v>
      </c>
      <c r="B3680" s="0" t="s">
        <v>98</v>
      </c>
      <c r="F3680" s="6" t="n">
        <f aca="false">Sens!F3585</f>
        <v>0</v>
      </c>
      <c r="L3680" s="1" t="s">
        <v>958</v>
      </c>
    </row>
    <row r="3681" customFormat="false" ht="17.15" hidden="false" customHeight="false" outlineLevel="0" collapsed="false">
      <c r="A3681" s="1" t="s">
        <v>959</v>
      </c>
      <c r="B3681" s="0" t="s">
        <v>98</v>
      </c>
      <c r="E3681" s="6" t="n">
        <f aca="false">Q!M42</f>
        <v>145.3</v>
      </c>
      <c r="F3681" s="6" t="n">
        <f aca="false">Sens!F3678+Sens!F3679+Sens!F3680</f>
        <v>230.974617026789</v>
      </c>
      <c r="G3681" s="6" t="n">
        <f aca="false">Sens!G3678+Sens!G3679</f>
        <v>261.891910150229</v>
      </c>
      <c r="H3681" s="6" t="n">
        <f aca="false">Sens!H3678+Sens!H3679</f>
        <v>273.25785673657</v>
      </c>
      <c r="I3681" s="6" t="n">
        <f aca="false">Sens!I3678+Sens!I3679</f>
        <v>243.085922636072</v>
      </c>
      <c r="J3681" s="6" t="n">
        <f aca="false">Sens!J3678+Sens!J3679</f>
        <v>200.707116066304</v>
      </c>
      <c r="K3681" s="6" t="n">
        <f aca="false">Sens!K3678+Sens!K3679</f>
        <v>188.682331773728</v>
      </c>
      <c r="L3681" s="1" t="s">
        <v>960</v>
      </c>
    </row>
    <row r="3682" customFormat="false" ht="15" hidden="false" customHeight="false" outlineLevel="0" collapsed="false">
      <c r="A3682" s="1" t="s">
        <v>961</v>
      </c>
      <c r="B3682" s="0" t="s">
        <v>98</v>
      </c>
      <c r="E3682" s="6" t="n">
        <f aca="false">fl_liab</f>
        <v>66.594</v>
      </c>
      <c r="F3682" s="6" t="n">
        <f aca="false">Sens!E3682-Sens!F3683</f>
        <v>62.46973</v>
      </c>
      <c r="G3682" s="6" t="n">
        <f aca="false">Sens!F3682-Sens!G3683</f>
        <v>57.98686785</v>
      </c>
      <c r="H3682" s="6" t="n">
        <f aca="false">Sens!G3682-Sens!H3683</f>
        <v>53.92827690325</v>
      </c>
      <c r="I3682" s="6" t="n">
        <f aca="false">Sens!H3682-Sens!I3683</f>
        <v>49.7850493638962</v>
      </c>
      <c r="J3682" s="6" t="n">
        <f aca="false">Sens!I3682-Sens!J3683</f>
        <v>45.4823765852716</v>
      </c>
      <c r="K3682" s="6" t="n">
        <f aca="false">Sens!J3682-Sens!K3683</f>
        <v>40.9860835316088</v>
      </c>
    </row>
    <row r="3683" customFormat="false" ht="15" hidden="false" customHeight="false" outlineLevel="0" collapsed="false">
      <c r="A3683" s="1" t="s">
        <v>962</v>
      </c>
      <c r="B3683" s="0" t="s">
        <v>98</v>
      </c>
      <c r="F3683" s="6" t="n">
        <f aca="false">fl_pay_27-Sens!E3682*fl_rate</f>
        <v>4.12427</v>
      </c>
      <c r="G3683" s="6" t="n">
        <f aca="false">fl_pay_28-Sens!F3682*fl_rate</f>
        <v>4.48286215</v>
      </c>
      <c r="H3683" s="6" t="n">
        <f aca="false">fl_pay_29-Sens!G3682*fl_rate</f>
        <v>4.05859094675</v>
      </c>
      <c r="I3683" s="6" t="n">
        <f aca="false">fl_pay_30-Sens!H3682*fl_rate</f>
        <v>4.14322753935375</v>
      </c>
      <c r="J3683" s="6" t="n">
        <f aca="false">fl_pay_31-Sens!I3682*fl_rate</f>
        <v>4.30267277862467</v>
      </c>
      <c r="K3683" s="6" t="n">
        <f aca="false">fl_pay_32-Sens!J3682*fl_rate</f>
        <v>4.49629305366278</v>
      </c>
    </row>
    <row r="3684" customFormat="false" ht="17.15" hidden="false" customHeight="false" outlineLevel="0" collapsed="false">
      <c r="A3684" s="1" t="s">
        <v>963</v>
      </c>
      <c r="B3684" s="0" t="s">
        <v>98</v>
      </c>
      <c r="E3684" s="6" t="n">
        <f aca="false">Q!M35-Q!M36-Q!M43</f>
        <v>63.886</v>
      </c>
      <c r="F3684" s="6" t="n">
        <f aca="false">Sens!F3677-Sens!F3681-Sens!F3683</f>
        <v>-19.1472332934106</v>
      </c>
      <c r="G3684" s="6" t="n">
        <f aca="false">Sens!G3677-Sens!G3681-Sens!G3683</f>
        <v>15.2405818004811</v>
      </c>
      <c r="H3684" s="6" t="n">
        <f aca="false">Sens!H3677-Sens!H3681-Sens!H3683</f>
        <v>72.3279946918641</v>
      </c>
      <c r="I3684" s="6" t="n">
        <f aca="false">Sens!I3677-Sens!I3681-Sens!I3683</f>
        <v>159.343199799178</v>
      </c>
      <c r="J3684" s="6" t="n">
        <f aca="false">Sens!J3677-Sens!J3681-Sens!J3683</f>
        <v>246.578260239455</v>
      </c>
      <c r="K3684" s="6" t="n">
        <f aca="false">Sens!K3677-Sens!K3681-Sens!K3683</f>
        <v>293.424672802581</v>
      </c>
      <c r="L3684" s="11" t="s">
        <v>964</v>
      </c>
    </row>
    <row r="3685" customFormat="false" ht="15" hidden="false" customHeight="false" outlineLevel="0" collapsed="false">
      <c r="A3685" s="1" t="s">
        <v>965</v>
      </c>
      <c r="B3685" s="0" t="s">
        <v>75</v>
      </c>
      <c r="F3685" s="8" t="n">
        <f aca="false">dps_27</f>
        <v>3.85</v>
      </c>
      <c r="G3685" s="8" t="n">
        <f aca="false">Sens!F3685*(1+dps_g)</f>
        <v>4.158</v>
      </c>
      <c r="H3685" s="8" t="n">
        <f aca="false">Sens!G3685*(1+dps_g)</f>
        <v>4.49064</v>
      </c>
      <c r="I3685" s="8" t="n">
        <f aca="false">Sens!H3685*(1+dps_g)</f>
        <v>4.8498912</v>
      </c>
      <c r="J3685" s="8" t="n">
        <f aca="false">Sens!I3685*(1+dps_g)</f>
        <v>5.237882496</v>
      </c>
      <c r="K3685" s="8" t="n">
        <f aca="false">Sens!J3685*(1+dps_g)</f>
        <v>5.65691309568</v>
      </c>
    </row>
    <row r="3686" customFormat="false" ht="17.15" hidden="false" customHeight="false" outlineLevel="0" collapsed="false">
      <c r="A3686" s="1" t="s">
        <v>966</v>
      </c>
      <c r="B3686" s="0" t="s">
        <v>98</v>
      </c>
      <c r="E3686" s="6" t="n">
        <f aca="false">Q!M41</f>
        <v>26.445</v>
      </c>
      <c r="F3686" s="6" t="n">
        <f aca="false">Sens!F3685*Sens!E3695</f>
        <v>28.59395</v>
      </c>
      <c r="G3686" s="6" t="n">
        <f aca="false">Sens!G3685*Sens!F3695</f>
        <v>31.068576</v>
      </c>
      <c r="H3686" s="6" t="n">
        <f aca="false">Sens!H3685*Sens!G3695</f>
        <v>33.75614088</v>
      </c>
      <c r="I3686" s="6" t="n">
        <f aca="false">Sens!I3685*Sens!H3695</f>
        <v>36.5075713903995</v>
      </c>
      <c r="J3686" s="6" t="n">
        <f aca="false">Sens!J3685*Sens!I3695</f>
        <v>39.4965759499509</v>
      </c>
      <c r="K3686" s="6" t="n">
        <f aca="false">Sens!K3685*Sens!J3695</f>
        <v>42.743557251252</v>
      </c>
      <c r="L3686" s="1" t="s">
        <v>967</v>
      </c>
    </row>
    <row r="3687" customFormat="false" ht="15" hidden="false" customHeight="false" outlineLevel="0" collapsed="false">
      <c r="A3687" s="1" t="s">
        <v>968</v>
      </c>
      <c r="B3687" s="0" t="s">
        <v>98</v>
      </c>
      <c r="E3687" s="6" t="n">
        <f aca="false">Sens!E3684-Sens!E3686</f>
        <v>37.441</v>
      </c>
      <c r="F3687" s="6" t="n">
        <f aca="false">Sens!F3684-Sens!F3686</f>
        <v>-47.7411832934106</v>
      </c>
      <c r="G3687" s="6" t="n">
        <f aca="false">Sens!G3684-Sens!G3686</f>
        <v>-15.8279941995189</v>
      </c>
      <c r="H3687" s="6" t="n">
        <f aca="false">Sens!H3684-Sens!H3686</f>
        <v>38.5718538118641</v>
      </c>
      <c r="I3687" s="6" t="n">
        <f aca="false">Sens!I3684-Sens!I3686</f>
        <v>122.835628408779</v>
      </c>
      <c r="J3687" s="6" t="n">
        <f aca="false">Sens!J3684-Sens!J3686</f>
        <v>207.081684289504</v>
      </c>
      <c r="K3687" s="6" t="n">
        <f aca="false">Sens!K3684-Sens!K3686</f>
        <v>250.681115551329</v>
      </c>
    </row>
    <row r="3688" customFormat="false" ht="15" hidden="false" customHeight="false" outlineLevel="0" collapsed="false">
      <c r="A3688" s="1" t="s">
        <v>969</v>
      </c>
      <c r="B3688" s="0" t="s">
        <v>98</v>
      </c>
      <c r="F3688" s="6" t="n">
        <f aca="false">debt_mat_27</f>
        <v>9.25</v>
      </c>
      <c r="G3688" s="6" t="n">
        <f aca="false">debt_mat_28</f>
        <v>0</v>
      </c>
      <c r="H3688" s="6" t="n">
        <f aca="false">debt_mat_29</f>
        <v>2.001</v>
      </c>
      <c r="I3688" s="6" t="n">
        <f aca="false">debt_mat_30</f>
        <v>0</v>
      </c>
      <c r="J3688" s="6" t="n">
        <f aca="false">debt_mat_31</f>
        <v>0.5</v>
      </c>
      <c r="K3688" s="6" t="n">
        <f aca="false">debt_mat_32</f>
        <v>0</v>
      </c>
    </row>
    <row r="3689" customFormat="false" ht="15" hidden="false" customHeight="false" outlineLevel="0" collapsed="false">
      <c r="A3689" s="1" t="s">
        <v>970</v>
      </c>
      <c r="B3689" s="0" t="s">
        <v>98</v>
      </c>
      <c r="E3689" s="6" t="n">
        <f aca="false">Q!M40</f>
        <v>22.271</v>
      </c>
      <c r="F3689" s="6" t="n">
        <f aca="false">MAX(0,MIN(bb_target,Sens!E3691+Sens!F3687-Sens!F3688-min_cash))</f>
        <v>0</v>
      </c>
      <c r="G3689" s="6" t="n">
        <f aca="false">MAX(0,MIN(bb_target,Sens!F3691+Sens!G3687-Sens!G3688-min_cash))</f>
        <v>0</v>
      </c>
      <c r="H3689" s="6" t="n">
        <f aca="false">MAX(0,MIN(bb_target,Sens!G3691+Sens!H3687-Sens!H3688-min_cash))</f>
        <v>22.271</v>
      </c>
      <c r="I3689" s="6" t="n">
        <f aca="false">MAX(0,MIN(bb_target,Sens!H3691+Sens!I3687-Sens!I3688-min_cash))</f>
        <v>22.271</v>
      </c>
      <c r="J3689" s="6" t="n">
        <f aca="false">MAX(0,MIN(bb_target,Sens!I3691+Sens!J3687-Sens!J3688-min_cash))</f>
        <v>22.271</v>
      </c>
      <c r="K3689" s="6" t="n">
        <f aca="false">MAX(0,MIN(bb_target,Sens!J3691+Sens!K3687-Sens!K3688-min_cash))</f>
        <v>22.271</v>
      </c>
    </row>
    <row r="3690" customFormat="false" ht="15" hidden="false" customHeight="false" outlineLevel="0" collapsed="false">
      <c r="A3690" s="1" t="s">
        <v>971</v>
      </c>
      <c r="B3690" s="0" t="s">
        <v>98</v>
      </c>
      <c r="F3690" s="6" t="n">
        <f aca="false">MAX(0,min_cash-(Sens!E3691+Sens!F3687-Sens!F3688-Sens!F3689))</f>
        <v>30.1481832934106</v>
      </c>
      <c r="G3690" s="6" t="n">
        <f aca="false">MAX(0,min_cash-(Sens!F3691+Sens!G3687-Sens!G3688-Sens!G3689))</f>
        <v>15.8279941995189</v>
      </c>
      <c r="H3690" s="6" t="n">
        <f aca="false">MAX(0,min_cash-(Sens!G3691+Sens!H3687-Sens!H3688-Sens!H3689))</f>
        <v>0</v>
      </c>
      <c r="I3690" s="6" t="n">
        <f aca="false">MAX(0,min_cash-(Sens!H3691+Sens!I3687-Sens!I3688-Sens!I3689))</f>
        <v>0</v>
      </c>
      <c r="J3690" s="6" t="n">
        <f aca="false">MAX(0,min_cash-(Sens!I3691+Sens!J3687-Sens!J3688-Sens!J3689))</f>
        <v>0</v>
      </c>
      <c r="K3690" s="6" t="n">
        <f aca="false">MAX(0,min_cash-(Sens!J3691+Sens!K3687-Sens!K3688-Sens!K3689))</f>
        <v>0</v>
      </c>
    </row>
    <row r="3691" customFormat="false" ht="15" hidden="false" customHeight="false" outlineLevel="0" collapsed="false">
      <c r="A3691" s="1" t="s">
        <v>972</v>
      </c>
      <c r="B3691" s="0" t="s">
        <v>98</v>
      </c>
      <c r="E3691" s="6" t="n">
        <f aca="false">cash_open</f>
        <v>76.843</v>
      </c>
      <c r="F3691" s="6" t="n">
        <f aca="false">Sens!E3691+Sens!F3687-Sens!F3688-Sens!F3689+Sens!F3690</f>
        <v>50</v>
      </c>
      <c r="G3691" s="6" t="n">
        <f aca="false">Sens!F3691+Sens!G3687-Sens!G3688-Sens!G3689+Sens!G3690</f>
        <v>50</v>
      </c>
      <c r="H3691" s="6" t="n">
        <f aca="false">Sens!G3691+Sens!H3687-Sens!H3688-Sens!H3689+Sens!H3690</f>
        <v>64.2998538118641</v>
      </c>
      <c r="I3691" s="6" t="n">
        <f aca="false">Sens!H3691+Sens!I3687-Sens!I3688-Sens!I3689+Sens!I3690</f>
        <v>164.864482220643</v>
      </c>
      <c r="J3691" s="6" t="n">
        <f aca="false">Sens!I3691+Sens!J3687-Sens!J3688-Sens!J3689+Sens!J3690</f>
        <v>349.175166510147</v>
      </c>
      <c r="K3691" s="6" t="n">
        <f aca="false">Sens!J3691+Sens!K3687-Sens!K3688-Sens!K3689+Sens!K3690</f>
        <v>577.585282061476</v>
      </c>
    </row>
    <row r="3692" customFormat="false" ht="15" hidden="false" customHeight="false" outlineLevel="0" collapsed="false">
      <c r="A3692" s="1" t="s">
        <v>973</v>
      </c>
      <c r="B3692" s="0" t="s">
        <v>98</v>
      </c>
      <c r="E3692" s="6" t="n">
        <f aca="false">debt_face</f>
        <v>46.136</v>
      </c>
      <c r="F3692" s="6" t="n">
        <f aca="false">Sens!E3692-Sens!F3688+Sens!F3690</f>
        <v>67.0341832934107</v>
      </c>
      <c r="G3692" s="6" t="n">
        <f aca="false">Sens!F3692-Sens!G3688+Sens!G3690</f>
        <v>82.8621774929296</v>
      </c>
      <c r="H3692" s="6" t="n">
        <f aca="false">Sens!G3692-Sens!H3688+Sens!H3690</f>
        <v>80.8611774929296</v>
      </c>
      <c r="I3692" s="6" t="n">
        <f aca="false">Sens!H3692-Sens!I3688+Sens!I3690</f>
        <v>80.8611774929296</v>
      </c>
      <c r="J3692" s="6" t="n">
        <f aca="false">Sens!I3692-Sens!J3688+Sens!J3690</f>
        <v>80.3611774929296</v>
      </c>
      <c r="K3692" s="6" t="n">
        <f aca="false">Sens!J3692-Sens!K3688+Sens!K3690</f>
        <v>80.3611774929296</v>
      </c>
    </row>
    <row r="3693" customFormat="false" ht="15" hidden="false" customHeight="false" outlineLevel="0" collapsed="false">
      <c r="A3693" s="1" t="s">
        <v>974</v>
      </c>
      <c r="B3693" s="0" t="s">
        <v>98</v>
      </c>
      <c r="E3693" s="6" t="n">
        <f aca="false">Sens!E3691-Sens!E3692</f>
        <v>30.707</v>
      </c>
      <c r="F3693" s="6" t="n">
        <f aca="false">Sens!F3691-Sens!F3692</f>
        <v>-17.0341832934107</v>
      </c>
      <c r="G3693" s="6" t="n">
        <f aca="false">Sens!G3691-Sens!G3692</f>
        <v>-32.8621774929296</v>
      </c>
      <c r="H3693" s="6" t="n">
        <f aca="false">Sens!H3691-Sens!H3692</f>
        <v>-16.5613236810655</v>
      </c>
      <c r="I3693" s="6" t="n">
        <f aca="false">Sens!I3691-Sens!I3692</f>
        <v>84.0033047277133</v>
      </c>
      <c r="J3693" s="6" t="n">
        <f aca="false">Sens!J3691-Sens!J3692</f>
        <v>268.813989017217</v>
      </c>
      <c r="K3693" s="6" t="n">
        <f aca="false">Sens!K3691-Sens!K3692</f>
        <v>497.224104568546</v>
      </c>
    </row>
    <row r="3694" customFormat="false" ht="15" hidden="false" customHeight="false" outlineLevel="0" collapsed="false">
      <c r="A3694" s="1" t="s">
        <v>975</v>
      </c>
      <c r="B3694" s="0" t="s">
        <v>75</v>
      </c>
      <c r="F3694" s="29" t="n">
        <f aca="false">px*(1+bb_g)^(Sens!F3556-base_fy-mid_yr)</f>
        <v>553.494156066711</v>
      </c>
      <c r="G3694" s="29" t="n">
        <f aca="false">px*(1+bb_g)^(Sens!G3556-base_fy-mid_yr)</f>
        <v>597.773688552047</v>
      </c>
      <c r="H3694" s="29" t="n">
        <f aca="false">px*(1+bb_g)^(Sens!H3556-base_fy-mid_yr)</f>
        <v>645.595583636211</v>
      </c>
      <c r="I3694" s="29" t="n">
        <f aca="false">px*(1+bb_g)^(Sens!I3556-base_fy-mid_yr)</f>
        <v>697.243230327108</v>
      </c>
      <c r="J3694" s="29" t="n">
        <f aca="false">px*(1+bb_g)^(Sens!J3556-base_fy-mid_yr)</f>
        <v>753.022688753277</v>
      </c>
      <c r="K3694" s="29" t="n">
        <f aca="false">px*(1+bb_g)^(Sens!K3556-base_fy-mid_yr)</f>
        <v>813.264503853539</v>
      </c>
    </row>
    <row r="3695" customFormat="false" ht="15" hidden="false" customHeight="false" outlineLevel="0" collapsed="false">
      <c r="A3695" s="1" t="s">
        <v>976</v>
      </c>
      <c r="B3695" s="1" t="s">
        <v>81</v>
      </c>
      <c r="E3695" s="14" t="n">
        <f aca="false">sh_out26</f>
        <v>7.427</v>
      </c>
      <c r="F3695" s="14" t="n">
        <f aca="false">Sens!E3695+sh_iss-Sens!F3689/Sens!F3694</f>
        <v>7.472</v>
      </c>
      <c r="G3695" s="14" t="n">
        <f aca="false">Sens!F3695+sh_iss-Sens!G3689/Sens!G3694</f>
        <v>7.517</v>
      </c>
      <c r="H3695" s="14" t="n">
        <f aca="false">Sens!G3695+sh_iss-Sens!H3689/Sens!H3694</f>
        <v>7.5275031716999</v>
      </c>
      <c r="I3695" s="14" t="n">
        <f aca="false">Sens!H3695+sh_iss-Sens!I3689/Sens!I3694</f>
        <v>7.54056166401463</v>
      </c>
      <c r="J3695" s="14" t="n">
        <f aca="false">Sens!I3695+sh_iss-Sens!J3689/Sens!J3694</f>
        <v>7.55598619393567</v>
      </c>
      <c r="K3695" s="14" t="n">
        <f aca="false">Sens!J3695+sh_iss-Sens!K3689/Sens!K3694</f>
        <v>7.57360149941811</v>
      </c>
    </row>
    <row r="3696" customFormat="false" ht="15" hidden="false" customHeight="false" outlineLevel="0" collapsed="false">
      <c r="A3696" s="1" t="s">
        <v>977</v>
      </c>
      <c r="B3696" s="1" t="s">
        <v>81</v>
      </c>
      <c r="E3696" s="14" t="n">
        <f aca="false">sh_dil26</f>
        <v>7.453</v>
      </c>
      <c r="F3696" s="14" t="n">
        <f aca="false">(Sens!E3695+Sens!F3695)/2+dil_gap</f>
        <v>7.4735</v>
      </c>
      <c r="G3696" s="14" t="n">
        <f aca="false">(Sens!F3695+Sens!G3695)/2+dil_gap</f>
        <v>7.5185</v>
      </c>
      <c r="H3696" s="14" t="n">
        <f aca="false">(Sens!G3695+Sens!H3695)/2+dil_gap</f>
        <v>7.54625158584995</v>
      </c>
      <c r="I3696" s="14" t="n">
        <f aca="false">(Sens!H3695+Sens!I3695)/2+dil_gap</f>
        <v>7.55803241785726</v>
      </c>
      <c r="J3696" s="14" t="n">
        <f aca="false">(Sens!I3695+Sens!J3695)/2+dil_gap</f>
        <v>7.57227392897515</v>
      </c>
      <c r="K3696" s="14" t="n">
        <f aca="false">(Sens!J3695+Sens!K3695)/2+dil_gap</f>
        <v>7.58879384667689</v>
      </c>
    </row>
    <row r="3697" customFormat="false" ht="17.15" hidden="false" customHeight="false" outlineLevel="0" collapsed="false">
      <c r="A3697" s="1" t="s">
        <v>978</v>
      </c>
      <c r="B3697" s="0" t="s">
        <v>98</v>
      </c>
      <c r="C3697" s="6" t="n">
        <f aca="false">SUM(Sens!F3687:J3687)</f>
        <v>304.919989017217</v>
      </c>
    </row>
    <row r="3698" customFormat="false" ht="15" hidden="false" customHeight="false" outlineLevel="0" collapsed="false">
      <c r="A3698" s="23" t="s">
        <v>945</v>
      </c>
      <c r="B3698" s="30" t="s">
        <v>98</v>
      </c>
      <c r="C3698" s="24" t="n">
        <f aca="false">Sens!$C$3697-(Sens!F3687+Sens!G3687+Sens!H3687+Sens!I3687+Sens!J3687)</f>
        <v>0</v>
      </c>
      <c r="D3698" s="30"/>
      <c r="E3698" s="30"/>
      <c r="F3698" s="30"/>
      <c r="G3698" s="30"/>
      <c r="H3698" s="30"/>
      <c r="I3698" s="30"/>
      <c r="J3698" s="30"/>
      <c r="K3698" s="30"/>
    </row>
    <row r="3699" customFormat="false" ht="17.15" hidden="false" customHeight="false" outlineLevel="0" collapsed="false">
      <c r="A3699" s="1" t="s">
        <v>939</v>
      </c>
      <c r="B3699" s="1" t="s">
        <v>979</v>
      </c>
      <c r="C3699" s="32" t="str">
        <f aca="false">IF(SUM(Sens!F3690:J3690)&gt;0.05,"需要舉債 "&amp;TEXT(SUM(Sens!F3690:J3690),"0.0")&amp;" 十億美元","不需舉債")&amp;"；"&amp;IF(SUM(Sens!F3689:J3689)&lt;COUNT(Sens!F3689:J3689)*bb_target-0.05,"回購較每年 "&amp;TEXT(bb_target,"0.0")&amp;" 的目標少 "&amp;TEXT(COUNT(Sens!F3689:J3689)*bb_target-SUM(Sens!F3689:J3689),"0.0")&amp;" 十億美元（"&amp;TEXT(COUNTIF(Sens!F3689:J3689,"&lt;"&amp;(bb_target-0.05)),"0")&amp;" 年減少）","回購不減")</f>
        <v>需要舉債 46.0 十億美元；回購較每年 22.3 的目標少 44.5 十億美元（2 年減少）</v>
      </c>
    </row>
    <row r="3700" customFormat="false" ht="17.15" hidden="false" customHeight="false" outlineLevel="0" collapsed="false">
      <c r="A3700" s="3" t="s">
        <v>1356</v>
      </c>
    </row>
    <row r="3701" customFormat="false" ht="15" hidden="false" customHeight="false" outlineLevel="0" collapsed="false">
      <c r="A3701" s="4" t="s">
        <v>43</v>
      </c>
      <c r="B3701" s="4" t="s">
        <v>65</v>
      </c>
      <c r="C3701" s="20" t="s">
        <v>799</v>
      </c>
      <c r="D3701" s="20" t="s">
        <v>800</v>
      </c>
      <c r="E3701" s="20" t="s">
        <v>801</v>
      </c>
      <c r="F3701" s="20" t="s">
        <v>802</v>
      </c>
      <c r="G3701" s="20" t="s">
        <v>803</v>
      </c>
      <c r="H3701" s="20" t="s">
        <v>804</v>
      </c>
      <c r="I3701" s="20" t="s">
        <v>805</v>
      </c>
      <c r="J3701" s="20" t="s">
        <v>806</v>
      </c>
      <c r="K3701" s="20" t="s">
        <v>807</v>
      </c>
      <c r="L3701" s="4" t="s">
        <v>47</v>
      </c>
    </row>
    <row r="3702" customFormat="false" ht="15" hidden="false" customHeight="false" outlineLevel="0" collapsed="false">
      <c r="A3702" s="1" t="s">
        <v>1057</v>
      </c>
      <c r="B3702" s="1" t="s">
        <v>235</v>
      </c>
      <c r="F3702" s="36" t="n">
        <f aca="false">Sens!F3556-base_fy-mid_yr</f>
        <v>0.5</v>
      </c>
      <c r="G3702" s="36" t="n">
        <f aca="false">Sens!G3556-base_fy-mid_yr</f>
        <v>1.5</v>
      </c>
      <c r="H3702" s="36" t="n">
        <f aca="false">Sens!H3556-base_fy-mid_yr</f>
        <v>2.5</v>
      </c>
      <c r="I3702" s="36" t="n">
        <f aca="false">Sens!I3556-base_fy-mid_yr</f>
        <v>3.5</v>
      </c>
      <c r="J3702" s="36" t="n">
        <f aca="false">Sens!J3556-base_fy-mid_yr</f>
        <v>4.5</v>
      </c>
      <c r="K3702" s="36" t="n">
        <f aca="false">Sens!K3556-base_fy-mid_yr</f>
        <v>5.5</v>
      </c>
    </row>
    <row r="3703" customFormat="false" ht="15" hidden="false" customHeight="false" outlineLevel="0" collapsed="false">
      <c r="A3703" s="1" t="s">
        <v>1058</v>
      </c>
      <c r="B3703" s="0" t="s">
        <v>185</v>
      </c>
      <c r="F3703" s="14" t="n">
        <f aca="false">1/(1+wacc)^Sens!F3702</f>
        <v>0.952193373608246</v>
      </c>
      <c r="G3703" s="14" t="n">
        <f aca="false">1/(1+wacc)^Sens!G3702</f>
        <v>0.863327280626589</v>
      </c>
      <c r="H3703" s="14" t="n">
        <f aca="false">1/(1+wacc)^Sens!H3702</f>
        <v>0.782754862754115</v>
      </c>
      <c r="I3703" s="14" t="n">
        <f aca="false">1/(1+wacc)^Sens!I3702</f>
        <v>0.709702089711011</v>
      </c>
      <c r="J3703" s="14" t="n">
        <f aca="false">1/(1+wacc)^Sens!J3702</f>
        <v>0.643467169744551</v>
      </c>
      <c r="K3703" s="14" t="n">
        <f aca="false">1/(1+wacc)^Sens!K3702</f>
        <v>0.583413807767797</v>
      </c>
    </row>
    <row r="3704" customFormat="false" ht="17.15" hidden="false" customHeight="false" outlineLevel="0" collapsed="false">
      <c r="A3704" s="1" t="s">
        <v>1059</v>
      </c>
      <c r="B3704" s="0" t="s">
        <v>98</v>
      </c>
      <c r="F3704" s="6" t="n">
        <f aca="false">Sens!F3677-Sens!F3675-Sens!F3681+Sens!F3660*(1-tax_f)</f>
        <v>-22.0478021589266</v>
      </c>
      <c r="G3704" s="6" t="n">
        <f aca="false">Sens!G3677-Sens!G3675-Sens!G3681+Sens!G3660*(1-tax_f)</f>
        <v>22.5930910267231</v>
      </c>
      <c r="H3704" s="6" t="n">
        <f aca="false">Sens!H3677-Sens!H3675-Sens!H3681+Sens!H3660*(1-tax_f)</f>
        <v>90.2074482141997</v>
      </c>
      <c r="I3704" s="6" t="n">
        <f aca="false">Sens!I3677-Sens!I3675-Sens!I3681+Sens!I3660*(1-tax_f)</f>
        <v>187.639137315457</v>
      </c>
      <c r="J3704" s="6" t="n">
        <f aca="false">Sens!J3677-Sens!J3675-Sens!J3681+Sens!J3660*(1-tax_f)</f>
        <v>281.970447762478</v>
      </c>
      <c r="K3704" s="6" t="n">
        <f aca="false">Sens!K3677-Sens!K3675-Sens!K3681+Sens!K3660*(1-tax_f)</f>
        <v>332.013183738876</v>
      </c>
      <c r="L3704" s="1" t="s">
        <v>1060</v>
      </c>
    </row>
    <row r="3705" customFormat="false" ht="15" hidden="false" customHeight="false" outlineLevel="0" collapsed="false">
      <c r="A3705" s="1" t="s">
        <v>1061</v>
      </c>
      <c r="B3705" s="0" t="s">
        <v>98</v>
      </c>
      <c r="F3705" s="6" t="n">
        <f aca="false">Sens!F3704*Sens!F3703</f>
        <v>-20.9937711183555</v>
      </c>
      <c r="G3705" s="6" t="n">
        <f aca="false">Sens!G3704*Sens!G3703</f>
        <v>19.5052318370498</v>
      </c>
      <c r="H3705" s="6" t="n">
        <f aca="false">Sens!H3704*Sens!H3703</f>
        <v>70.6103187463049</v>
      </c>
      <c r="I3705" s="6" t="n">
        <f aca="false">Sens!I3704*Sens!I3703</f>
        <v>133.167887864351</v>
      </c>
      <c r="J3705" s="6" t="n">
        <f aca="false">Sens!J3704*Sens!J3703</f>
        <v>181.438725973326</v>
      </c>
      <c r="K3705" s="6" t="n">
        <f aca="false">Sens!K3704*Sens!K3703</f>
        <v>193.701075754207</v>
      </c>
    </row>
    <row r="3706" customFormat="false" ht="17.15" hidden="false" customHeight="false" outlineLevel="0" collapsed="false">
      <c r="A3706" s="1" t="s">
        <v>1062</v>
      </c>
      <c r="B3706" s="0" t="s">
        <v>98</v>
      </c>
      <c r="C3706" s="6" t="n">
        <f aca="false">SUM(Sens!F3705:K3705)</f>
        <v>577.429469056883</v>
      </c>
    </row>
    <row r="3707" customFormat="false" ht="17.15" hidden="false" customHeight="false" outlineLevel="0" collapsed="false">
      <c r="A3707" s="1" t="s">
        <v>1063</v>
      </c>
      <c r="B3707" s="0" t="s">
        <v>98</v>
      </c>
      <c r="C3707" s="6" t="n">
        <f aca="false">Sens!K3646*(1+g_tv)*(1-tax_f)</f>
        <v>333.258962703023</v>
      </c>
    </row>
    <row r="3708" customFormat="false" ht="17.15" hidden="false" customHeight="false" outlineLevel="0" collapsed="false">
      <c r="A3708" s="1" t="s">
        <v>1064</v>
      </c>
      <c r="B3708" s="0" t="s">
        <v>98</v>
      </c>
      <c r="C3708" s="6" t="n">
        <f aca="false">Sens!$C$3707*(1-g_tv/(wacc+ronic_prem))</f>
        <v>236.131404476436</v>
      </c>
    </row>
    <row r="3709" customFormat="false" ht="17.15" hidden="false" customHeight="false" outlineLevel="0" collapsed="false">
      <c r="A3709" s="1" t="s">
        <v>1065</v>
      </c>
      <c r="B3709" s="0" t="s">
        <v>98</v>
      </c>
      <c r="C3709" s="6" t="n">
        <f aca="false">Sens!$C$3708/(wacc-g_tv)</f>
        <v>3237.58527421954</v>
      </c>
    </row>
    <row r="3710" customFormat="false" ht="15" hidden="false" customHeight="false" outlineLevel="0" collapsed="false">
      <c r="A3710" s="1" t="s">
        <v>1066</v>
      </c>
      <c r="B3710" s="0" t="s">
        <v>98</v>
      </c>
      <c r="C3710" s="6" t="n">
        <f aca="false">Sens!$C$3709/(1+wacc)^(Sens!K3702+mid_yr)</f>
        <v>1798.55231318827</v>
      </c>
    </row>
    <row r="3711" customFormat="false" ht="17.15" hidden="false" customHeight="false" outlineLevel="0" collapsed="false">
      <c r="A3711" s="0" t="s">
        <v>986</v>
      </c>
      <c r="B3711" s="0" t="s">
        <v>98</v>
      </c>
      <c r="C3711" s="6" t="n">
        <f aca="false">Sens!$C$3706+Sens!$C$3710</f>
        <v>2375.98178224515</v>
      </c>
    </row>
    <row r="3712" customFormat="false" ht="15" hidden="false" customHeight="false" outlineLevel="0" collapsed="false">
      <c r="A3712" s="1" t="s">
        <v>987</v>
      </c>
      <c r="B3712" s="0" t="s">
        <v>129</v>
      </c>
      <c r="C3712" s="7" t="n">
        <f aca="false">Sens!$C$3710/Sens!$C$3711</f>
        <v>0.756972265792691</v>
      </c>
    </row>
    <row r="3713" customFormat="false" ht="17.15" hidden="false" customHeight="false" outlineLevel="0" collapsed="false">
      <c r="A3713" s="1" t="s">
        <v>1067</v>
      </c>
      <c r="B3713" s="0" t="s">
        <v>98</v>
      </c>
      <c r="C3713" s="6" t="n">
        <f aca="false">Sens!$C$3711+Sens!E3693-Sens!E3682+oai_v</f>
        <v>2510.49478224515</v>
      </c>
    </row>
    <row r="3714" customFormat="false" ht="17.15" hidden="false" customHeight="false" outlineLevel="0" collapsed="false">
      <c r="A3714" s="0" t="s">
        <v>994</v>
      </c>
      <c r="B3714" s="0" t="s">
        <v>75</v>
      </c>
      <c r="C3714" s="5" t="n">
        <f aca="false">Sens!$C$3713/sh_dil26</f>
        <v>336.843523714632</v>
      </c>
    </row>
    <row r="3715" customFormat="false" ht="15" hidden="false" customHeight="false" outlineLevel="0" collapsed="false">
      <c r="A3715" s="1" t="s">
        <v>1068</v>
      </c>
      <c r="B3715" s="0" t="s">
        <v>75</v>
      </c>
      <c r="C3715" s="8" t="n">
        <f aca="false">dps_27+Sens!G3685*roll_div_q/q_per_yr</f>
        <v>4.8895</v>
      </c>
    </row>
    <row r="3716" customFormat="false" ht="17.15" hidden="false" customHeight="false" outlineLevel="0" collapsed="false">
      <c r="A3716" s="0" t="s">
        <v>1069</v>
      </c>
      <c r="B3716" s="0" t="s">
        <v>75</v>
      </c>
      <c r="C3716" s="5" t="n">
        <f aca="false">Sens!$C$3714*(1+wacc)^t_roll-Sens!$C$3715</f>
        <v>378.685467499358</v>
      </c>
    </row>
    <row r="3717" customFormat="false" ht="17.15" hidden="false" customHeight="false" outlineLevel="0" collapsed="false">
      <c r="A3717" s="1" t="s">
        <v>1070</v>
      </c>
      <c r="B3717" s="0" t="s">
        <v>129</v>
      </c>
      <c r="F3717" s="7" t="n">
        <f aca="false">Sens!F3672/(Sens!F3617-Sens!F3573)</f>
        <v>0.0681773598226415</v>
      </c>
      <c r="G3717" s="7" t="n">
        <f aca="false">Sens!G3672/(Sens!G3617-Sens!G3573)</f>
        <v>0.0650385409375172</v>
      </c>
      <c r="H3717" s="7" t="n">
        <f aca="false">Sens!H3672/(Sens!H3617-Sens!H3573)</f>
        <v>0.063382542471986</v>
      </c>
      <c r="I3717" s="7" t="n">
        <f aca="false">Sens!I3672/(Sens!I3617-Sens!I3573)</f>
        <v>0.0630998138876076</v>
      </c>
      <c r="J3717" s="7" t="n">
        <f aca="false">Sens!J3672/(Sens!J3617-Sens!J3573)</f>
        <v>0.0638399980286975</v>
      </c>
      <c r="K3717" s="7" t="n">
        <f aca="false">Sens!K3672/(Sens!K3617-Sens!K3573)</f>
        <v>0.0651531082402687</v>
      </c>
    </row>
    <row r="3718" customFormat="false" ht="17.15" hidden="false" customHeight="false" outlineLevel="0" collapsed="false">
      <c r="A3718" s="0" t="s">
        <v>1071</v>
      </c>
      <c r="B3718" s="0" t="s">
        <v>98</v>
      </c>
      <c r="F3718" s="6" t="n">
        <f aca="false">Sens!F3602*(al_m365+Sens!F3717+sbc_r)</f>
        <v>84.944046606333</v>
      </c>
      <c r="G3718" s="6" t="n">
        <f aca="false">Sens!G3602*(al_m365+Sens!G3717+sbc_r)</f>
        <v>99.4236143320739</v>
      </c>
      <c r="H3718" s="6" t="n">
        <f aca="false">Sens!H3602*(al_m365+Sens!H3717+sbc_r)</f>
        <v>114.068697186163</v>
      </c>
      <c r="I3718" s="6" t="n">
        <f aca="false">Sens!I3602*(al_m365+Sens!I3717+sbc_r)</f>
        <v>127.196415789369</v>
      </c>
      <c r="J3718" s="6" t="n">
        <f aca="false">Sens!J3602*(al_m365+Sens!J3717+sbc_r)</f>
        <v>138.619575691419</v>
      </c>
      <c r="K3718" s="6" t="n">
        <f aca="false">Sens!K3602*(al_m365+Sens!K3717+sbc_r)</f>
        <v>149.659768267063</v>
      </c>
      <c r="L3718" s="11" t="s">
        <v>1072</v>
      </c>
    </row>
    <row r="3719" customFormat="false" ht="17.15" hidden="false" customHeight="false" outlineLevel="0" collapsed="false">
      <c r="A3719" s="0" t="s">
        <v>1073</v>
      </c>
      <c r="B3719" s="0" t="s">
        <v>98</v>
      </c>
      <c r="F3719" s="6" t="n">
        <f aca="false">Sens!F3603*(al_lic+Sens!F3717+sbc_r)</f>
        <v>33.4285095904825</v>
      </c>
      <c r="G3719" s="6" t="n">
        <f aca="false">Sens!G3603*(al_lic+Sens!G3717+sbc_r)</f>
        <v>34.7161826947861</v>
      </c>
      <c r="H3719" s="6" t="n">
        <f aca="false">Sens!H3603*(al_lic+Sens!H3717+sbc_r)</f>
        <v>35.9223654002493</v>
      </c>
      <c r="I3719" s="6" t="n">
        <f aca="false">Sens!I3603*(al_lic+Sens!I3717+sbc_r)</f>
        <v>37.0298325864501</v>
      </c>
      <c r="J3719" s="6" t="n">
        <f aca="false">Sens!J3603*(al_lic+Sens!J3717+sbc_r)</f>
        <v>38.0103325842314</v>
      </c>
      <c r="K3719" s="6" t="n">
        <f aca="false">Sens!K3603*(al_lic+Sens!K3717+sbc_r)</f>
        <v>38.8303473189322</v>
      </c>
    </row>
    <row r="3720" customFormat="false" ht="17.15" hidden="false" customHeight="false" outlineLevel="0" collapsed="false">
      <c r="A3720" s="0" t="s">
        <v>1074</v>
      </c>
      <c r="B3720" s="0" t="s">
        <v>98</v>
      </c>
      <c r="F3720" s="6" t="n">
        <f aca="false">Sens!F3605*(al_ind+Sens!F3717+sbc_r)</f>
        <v>9.06719306746208</v>
      </c>
      <c r="G3720" s="6" t="n">
        <f aca="false">Sens!G3605*(al_ind+Sens!G3717+sbc_r)</f>
        <v>9.83485541633448</v>
      </c>
      <c r="H3720" s="6" t="n">
        <f aca="false">Sens!H3605*(al_ind+Sens!H3717+sbc_r)</f>
        <v>10.6498544617516</v>
      </c>
      <c r="I3720" s="6" t="n">
        <f aca="false">Sens!I3605*(al_ind+Sens!I3717+sbc_r)</f>
        <v>11.5103515303299</v>
      </c>
      <c r="J3720" s="6" t="n">
        <f aca="false">Sens!J3605*(al_ind+Sens!J3717+sbc_r)</f>
        <v>12.4055032067278</v>
      </c>
      <c r="K3720" s="6" t="n">
        <f aca="false">Sens!K3605*(al_ind+Sens!K3717+sbc_r)</f>
        <v>13.3173308472897</v>
      </c>
    </row>
    <row r="3721" customFormat="false" ht="17.15" hidden="false" customHeight="false" outlineLevel="0" collapsed="false">
      <c r="A3721" s="0" t="s">
        <v>1075</v>
      </c>
      <c r="B3721" s="0" t="s">
        <v>98</v>
      </c>
      <c r="F3721" s="6" t="n">
        <f aca="false">Sens!F3607*(al_fro+Sens!F3717+sbc_r)</f>
        <v>3.56887902446295</v>
      </c>
      <c r="G3721" s="6" t="n">
        <f aca="false">Sens!G3607*(al_fro+Sens!G3717+sbc_r)</f>
        <v>3.77600302676241</v>
      </c>
      <c r="H3721" s="6" t="n">
        <f aca="false">Sens!H3607*(al_fro+Sens!H3717+sbc_r)</f>
        <v>4.01322967965482</v>
      </c>
      <c r="I3721" s="6" t="n">
        <f aca="false">Sens!I3607*(al_fro+Sens!I3717+sbc_r)</f>
        <v>4.28368437397841</v>
      </c>
      <c r="J3721" s="6" t="n">
        <f aca="false">Sens!J3607*(al_fro+Sens!J3717+sbc_r)</f>
        <v>4.58803182845156</v>
      </c>
      <c r="K3721" s="6" t="n">
        <f aca="false">Sens!K3607*(al_fro+Sens!K3717+sbc_r)</f>
        <v>4.92526073140255</v>
      </c>
    </row>
    <row r="3722" customFormat="false" ht="17.15" hidden="false" customHeight="false" outlineLevel="0" collapsed="false">
      <c r="A3722" s="0" t="s">
        <v>1076</v>
      </c>
      <c r="B3722" s="0" t="s">
        <v>98</v>
      </c>
      <c r="F3722" s="6" t="n">
        <f aca="false">Sens!F3610*(al_srch+Sens!F3717+sbc_r)</f>
        <v>11.1981144415922</v>
      </c>
      <c r="G3722" s="6" t="n">
        <f aca="false">Sens!G3610*(al_srch+Sens!G3717+sbc_r)</f>
        <v>12.2607925441521</v>
      </c>
      <c r="H3722" s="6" t="n">
        <f aca="false">Sens!H3610*(al_srch+Sens!H3717+sbc_r)</f>
        <v>13.3712787172501</v>
      </c>
      <c r="I3722" s="6" t="n">
        <f aca="false">Sens!I3610*(al_srch+Sens!I3717+sbc_r)</f>
        <v>14.5205713773955</v>
      </c>
      <c r="J3722" s="6" t="n">
        <f aca="false">Sens!J3610*(al_srch+Sens!J3717+sbc_r)</f>
        <v>15.6873363367184</v>
      </c>
      <c r="K3722" s="6" t="n">
        <f aca="false">Sens!K3610*(al_srch+Sens!K3717+sbc_r)</f>
        <v>16.8403848378749</v>
      </c>
    </row>
    <row r="3723" customFormat="false" ht="17.15" hidden="false" customHeight="false" outlineLevel="0" collapsed="false">
      <c r="A3723" s="0" t="s">
        <v>1077</v>
      </c>
      <c r="B3723" s="0" t="s">
        <v>98</v>
      </c>
      <c r="F3723" s="6" t="n">
        <f aca="false">Sens!F3579-Sens!F3580+Sens!F3660</f>
        <v>49.4934599949786</v>
      </c>
      <c r="G3723" s="6" t="n">
        <f aca="false">Sens!G3579-Sens!G3580+Sens!G3660</f>
        <v>103.187416735747</v>
      </c>
      <c r="H3723" s="6" t="n">
        <f aca="false">Sens!H3579-Sens!H3580+Sens!H3660</f>
        <v>165.841237841212</v>
      </c>
      <c r="I3723" s="6" t="n">
        <f aca="false">Sens!I3579-Sens!I3580+Sens!I3660</f>
        <v>216.014089346306</v>
      </c>
      <c r="J3723" s="6" t="n">
        <f aca="false">Sens!J3579-Sens!J3580+Sens!J3660</f>
        <v>251.290025037793</v>
      </c>
      <c r="K3723" s="6" t="n">
        <f aca="false">Sens!K3579-Sens!K3580+Sens!K3660</f>
        <v>272.835227303661</v>
      </c>
    </row>
    <row r="3724" customFormat="false" ht="17.15" hidden="false" customHeight="false" outlineLevel="0" collapsed="false">
      <c r="A3724" s="0" t="s">
        <v>1078</v>
      </c>
      <c r="B3724" s="0" t="s">
        <v>98</v>
      </c>
      <c r="F3724" s="6" t="n">
        <f aca="false">Sens!F3639+Sens!F3660+Sens!F3590+Sens!F3717*(Sens!F3609-Sens!F3573)+sbc_r*Sens!F3609</f>
        <v>241.727169859282</v>
      </c>
      <c r="G3724" s="6" t="n">
        <f aca="false">Sens!G3639+Sens!G3660+Sens!G3590+Sens!G3717*(Sens!G3609-Sens!G3573)+sbc_r*Sens!G3609</f>
        <v>324.998162253491</v>
      </c>
      <c r="H3724" s="6" t="n">
        <f aca="false">Sens!H3639+Sens!H3660+Sens!H3590+Sens!H3717*(Sens!H3609-Sens!H3573)+sbc_r*Sens!H3609</f>
        <v>417.979122008175</v>
      </c>
      <c r="I3724" s="6" t="n">
        <f aca="false">Sens!I3639+Sens!I3660+Sens!I3590+Sens!I3717*(Sens!I3609-Sens!I3573)+sbc_r*Sens!I3609</f>
        <v>496.334883299871</v>
      </c>
      <c r="J3724" s="6" t="n">
        <f aca="false">Sens!J3639+Sens!J3660+Sens!J3590+Sens!J3717*(Sens!J3609-Sens!J3573)+sbc_r*Sens!J3609</f>
        <v>556.748358632673</v>
      </c>
      <c r="K3724" s="6" t="n">
        <f aca="false">Sens!K3639+Sens!K3660+Sens!K3590+Sens!K3717*(Sens!K3609-Sens!K3573)+sbc_r*Sens!K3609</f>
        <v>600.944840956043</v>
      </c>
    </row>
    <row r="3725" customFormat="false" ht="17.15" hidden="false" customHeight="false" outlineLevel="0" collapsed="false">
      <c r="A3725" s="0" t="s">
        <v>1079</v>
      </c>
      <c r="B3725" s="0" t="s">
        <v>98</v>
      </c>
      <c r="F3725" s="6" t="n">
        <f aca="false">Sens!F3724-Sens!F3718-Sens!F3719-Sens!F3720-Sens!F3721-Sens!F3723</f>
        <v>61.2250815755627</v>
      </c>
      <c r="G3725" s="6" t="n">
        <f aca="false">Sens!G3724-Sens!G3718-Sens!G3719-Sens!G3720-Sens!G3721-Sens!G3723</f>
        <v>74.0600900477862</v>
      </c>
      <c r="H3725" s="6" t="n">
        <f aca="false">Sens!H3724-Sens!H3718-Sens!H3719-Sens!H3720-Sens!H3721-Sens!H3723</f>
        <v>87.4837374391447</v>
      </c>
      <c r="I3725" s="6" t="n">
        <f aca="false">Sens!I3724-Sens!I3718-Sens!I3719-Sens!I3720-Sens!I3721-Sens!I3723</f>
        <v>100.300509673438</v>
      </c>
      <c r="J3725" s="6" t="n">
        <f aca="false">Sens!J3724-Sens!J3718-Sens!J3719-Sens!J3720-Sens!J3721-Sens!J3723</f>
        <v>111.83489028405</v>
      </c>
      <c r="K3725" s="6" t="n">
        <f aca="false">Sens!K3724-Sens!K3718-Sens!K3719-Sens!K3720-Sens!K3721-Sens!K3723</f>
        <v>121.376906487695</v>
      </c>
    </row>
    <row r="3726" customFormat="false" ht="17.15" hidden="false" customHeight="false" outlineLevel="0" collapsed="false">
      <c r="A3726" s="0" t="s">
        <v>1080</v>
      </c>
      <c r="B3726" s="0" t="s">
        <v>98</v>
      </c>
      <c r="F3726" s="6" t="n">
        <f aca="false">Sens!F3641+Sens!F3717*Sens!F3616+sbc_r*Sens!F3616</f>
        <v>26.1717931813002</v>
      </c>
      <c r="G3726" s="6" t="n">
        <f aca="false">Sens!G3641+Sens!G3717*Sens!G3616+sbc_r*Sens!G3616</f>
        <v>26.7581197754446</v>
      </c>
      <c r="H3726" s="6" t="n">
        <f aca="false">Sens!H3641+Sens!H3717*Sens!H3616+sbc_r*Sens!H3616</f>
        <v>27.6201174920951</v>
      </c>
      <c r="I3726" s="6" t="n">
        <f aca="false">Sens!I3641+Sens!I3717*Sens!I3616+sbc_r*Sens!I3616</f>
        <v>28.7296306530919</v>
      </c>
      <c r="J3726" s="6" t="n">
        <f aca="false">Sens!J3641+Sens!J3717*Sens!J3616+sbc_r*Sens!J3616</f>
        <v>30.04749983899</v>
      </c>
      <c r="K3726" s="6" t="n">
        <f aca="false">Sens!K3641+Sens!K3717*Sens!K3616+sbc_r*Sens!K3616</f>
        <v>31.5292329023825</v>
      </c>
    </row>
    <row r="3727" customFormat="false" ht="17.15" hidden="false" customHeight="false" outlineLevel="0" collapsed="false">
      <c r="A3727" s="0" t="s">
        <v>1081</v>
      </c>
      <c r="B3727" s="0" t="s">
        <v>98</v>
      </c>
      <c r="F3727" s="6" t="n">
        <f aca="false">(Sens!F3726-Sens!F3722)*Sens!F3612/(Sens!F3612+Sens!F3614)</f>
        <v>8.20842484359027</v>
      </c>
      <c r="G3727" s="6" t="n">
        <f aca="false">(Sens!G3726-Sens!G3722)*Sens!G3612/(Sens!G3612+Sens!G3614)</f>
        <v>7.80559384110416</v>
      </c>
      <c r="H3727" s="6" t="n">
        <f aca="false">(Sens!H3726-Sens!H3722)*Sens!H3612/(Sens!H3612+Sens!H3614)</f>
        <v>7.56817041839156</v>
      </c>
      <c r="I3727" s="6" t="n">
        <f aca="false">(Sens!I3726-Sens!I3722)*Sens!I3612/(Sens!I3612+Sens!I3614)</f>
        <v>7.47875608696462</v>
      </c>
      <c r="J3727" s="6" t="n">
        <f aca="false">(Sens!J3726-Sens!J3722)*Sens!J3612/(Sens!J3612+Sens!J3614)</f>
        <v>7.52410955955578</v>
      </c>
      <c r="K3727" s="6" t="n">
        <f aca="false">(Sens!K3726-Sens!K3722)*Sens!K3612/(Sens!K3612+Sens!K3614)</f>
        <v>7.6963261681206</v>
      </c>
    </row>
    <row r="3728" customFormat="false" ht="17.15" hidden="false" customHeight="false" outlineLevel="0" collapsed="false">
      <c r="A3728" s="0" t="s">
        <v>1082</v>
      </c>
      <c r="B3728" s="0" t="s">
        <v>98</v>
      </c>
      <c r="F3728" s="6" t="n">
        <f aca="false">Sens!F3726-Sens!F3722-Sens!F3727</f>
        <v>6.76525389611778</v>
      </c>
      <c r="G3728" s="6" t="n">
        <f aca="false">Sens!G3726-Sens!G3722-Sens!G3727</f>
        <v>6.69173339018827</v>
      </c>
      <c r="H3728" s="6" t="n">
        <f aca="false">Sens!H3726-Sens!H3722-Sens!H3727</f>
        <v>6.68066835645346</v>
      </c>
      <c r="I3728" s="6" t="n">
        <f aca="false">Sens!I3726-Sens!I3722-Sens!I3727</f>
        <v>6.73030318873177</v>
      </c>
      <c r="J3728" s="6" t="n">
        <f aca="false">Sens!J3726-Sens!J3722-Sens!J3727</f>
        <v>6.83605394271588</v>
      </c>
      <c r="K3728" s="6" t="n">
        <f aca="false">Sens!K3726-Sens!K3722-Sens!K3727</f>
        <v>6.99252189638696</v>
      </c>
    </row>
    <row r="3729" customFormat="false" ht="17.15" hidden="false" customHeight="false" outlineLevel="0" collapsed="false">
      <c r="A3729" s="0" t="s">
        <v>1083</v>
      </c>
      <c r="B3729" s="0" t="s">
        <v>98</v>
      </c>
      <c r="F3729" s="6" t="n">
        <f aca="false">Sens!F3723-tax_f*(Sens!F3723-Sens!F3590)-Sens!F3587</f>
        <v>-148.333363548957</v>
      </c>
      <c r="G3729" s="6" t="n">
        <f aca="false">Sens!G3723-tax_f*(Sens!G3723-Sens!G3590)-Sens!G3587</f>
        <v>-124.362472738004</v>
      </c>
      <c r="H3729" s="6" t="n">
        <f aca="false">Sens!H3723-tax_f*(Sens!H3723-Sens!H3590)-Sens!H3587</f>
        <v>-73.1102025104003</v>
      </c>
      <c r="I3729" s="6" t="n">
        <f aca="false">Sens!I3723-tax_f*(Sens!I3723-Sens!I3590)-Sens!I3587</f>
        <v>8.5977806317344</v>
      </c>
      <c r="J3729" s="6" t="n">
        <f aca="false">Sens!J3723-tax_f*(Sens!J3723-Sens!J3590)-Sens!J3587</f>
        <v>88.3179805834492</v>
      </c>
      <c r="K3729" s="6" t="n">
        <f aca="false">Sens!K3723-tax_f*(Sens!K3723-Sens!K3590)-Sens!K3587</f>
        <v>124.536234410059</v>
      </c>
    </row>
    <row r="3730" customFormat="false" ht="17.15" hidden="false" customHeight="false" outlineLevel="0" collapsed="false">
      <c r="A3730" s="0" t="s">
        <v>1084</v>
      </c>
      <c r="B3730" s="0" t="s">
        <v>98</v>
      </c>
      <c r="G3730" s="6" t="n">
        <f aca="false">Sens!G3729/(1+wacc)^(Sens!G3702-(Sens!F3702+mid_yr))</f>
        <v>-118.417122466663</v>
      </c>
      <c r="H3730" s="6" t="n">
        <f aca="false">Sens!H3729/(1+wacc)^(Sens!H3702-(Sens!F3702+mid_yr))</f>
        <v>-63.1180323193631</v>
      </c>
      <c r="I3730" s="6" t="n">
        <f aca="false">Sens!I3729/(1+wacc)^(Sens!I3702-(Sens!F3702+mid_yr))</f>
        <v>6.72995459838325</v>
      </c>
      <c r="J3730" s="6" t="n">
        <f aca="false">Sens!J3729/(1+wacc)^(Sens!J3702-(Sens!F3702+mid_yr))</f>
        <v>62.6794553791304</v>
      </c>
      <c r="K3730" s="6" t="n">
        <f aca="false">Sens!K3729/(1+wacc)^(Sens!K3702-(Sens!F3702+mid_yr))</f>
        <v>80.1349782864845</v>
      </c>
      <c r="L3730" s="1" t="s">
        <v>1085</v>
      </c>
    </row>
    <row r="3731" customFormat="false" ht="17.15" hidden="false" customHeight="false" outlineLevel="0" collapsed="false">
      <c r="A3731" s="0" t="s">
        <v>1086</v>
      </c>
      <c r="B3731" s="0" t="s">
        <v>98</v>
      </c>
      <c r="C3731" s="6" t="n">
        <f aca="false">(Sens!K3723-Sens!K3590)*(1-tax_f)*(1+g_tv)*(1-g_tv/(wacc+ronic_prem))/(wacc-g_tv)/(1+wacc)^(Sens!K3702+mid_yr-(Sens!F3702+mid_yr))</f>
        <v>545.909184924876</v>
      </c>
    </row>
    <row r="3732" customFormat="false" ht="17.15" hidden="false" customHeight="false" outlineLevel="0" collapsed="false">
      <c r="A3732" s="1" t="s">
        <v>1087</v>
      </c>
      <c r="B3732" s="0" t="s">
        <v>98</v>
      </c>
      <c r="C3732" s="6" t="n">
        <f aca="false">(SUM(Sens!G3730:K3730)+Sens!$C$3731)*(1+wacc)^(t_roll-(Sens!F3702+mid_yr))</f>
        <v>530.599147026623</v>
      </c>
      <c r="L3732" s="11" t="s">
        <v>1088</v>
      </c>
    </row>
    <row r="3733" customFormat="false" ht="17.15" hidden="false" customHeight="false" outlineLevel="0" collapsed="false">
      <c r="A3733" s="1" t="s">
        <v>1089</v>
      </c>
      <c r="B3733" s="0" t="s">
        <v>98</v>
      </c>
      <c r="C3733" s="6" t="n">
        <f aca="false">(w_ntm28*Sens!G3579+(1-w_ntm28)*Sens!H3579)*m_ai</f>
        <v>625.268621639857</v>
      </c>
    </row>
    <row r="3734" customFormat="false" ht="17.15" hidden="false" customHeight="false" outlineLevel="0" collapsed="false">
      <c r="A3734" s="1" t="s">
        <v>1090</v>
      </c>
      <c r="B3734" s="0" t="s">
        <v>98</v>
      </c>
      <c r="C3734" s="6" t="n">
        <f aca="false">(w_ntm28*Sens!G3725+(1-w_ntm28)*Sens!H3725)*m_cloud</f>
        <v>1083.48509437803</v>
      </c>
    </row>
    <row r="3735" customFormat="false" ht="17.15" hidden="false" customHeight="false" outlineLevel="0" collapsed="false">
      <c r="A3735" s="1" t="s">
        <v>1091</v>
      </c>
      <c r="B3735" s="0" t="s">
        <v>98</v>
      </c>
      <c r="C3735" s="6" t="n">
        <f aca="false">(w_ntm28*Sens!G3718+(1-w_ntm28)*Sens!H3718)*m_sw</f>
        <v>1124.90844188024</v>
      </c>
    </row>
    <row r="3736" customFormat="false" ht="17.15" hidden="false" customHeight="false" outlineLevel="0" collapsed="false">
      <c r="A3736" s="1" t="s">
        <v>1092</v>
      </c>
      <c r="B3736" s="0" t="s">
        <v>98</v>
      </c>
      <c r="C3736" s="6" t="n">
        <f aca="false">(w_ntm28*Sens!G3719+(1-w_ntm28)*Sens!H3719)*m_sw</f>
        <v>379.14616828134</v>
      </c>
    </row>
    <row r="3737" customFormat="false" ht="17.15" hidden="false" customHeight="false" outlineLevel="0" collapsed="false">
      <c r="A3737" s="1" t="s">
        <v>1093</v>
      </c>
      <c r="B3737" s="0" t="s">
        <v>98</v>
      </c>
      <c r="C3737" s="6" t="n">
        <f aca="false">(w_ntm28*Sens!G3720+(1-w_ntm28)*Sens!H3720)*m_sw</f>
        <v>109.062013245671</v>
      </c>
    </row>
    <row r="3738" customFormat="false" ht="17.15" hidden="false" customHeight="false" outlineLevel="0" collapsed="false">
      <c r="A3738" s="1" t="s">
        <v>1094</v>
      </c>
      <c r="B3738" s="0" t="s">
        <v>98</v>
      </c>
      <c r="C3738" s="6" t="n">
        <f aca="false">(w_ntm28*Sens!G3721+(1-w_ntm28)*Sens!H3721)*m_sw</f>
        <v>41.609111172448</v>
      </c>
    </row>
    <row r="3739" customFormat="false" ht="17.15" hidden="false" customHeight="false" outlineLevel="0" collapsed="false">
      <c r="A3739" s="1" t="s">
        <v>1095</v>
      </c>
      <c r="B3739" s="0" t="s">
        <v>98</v>
      </c>
      <c r="C3739" s="6" t="n">
        <f aca="false">(w_ntm28*Sens!G3722+(1-w_ntm28)*Sens!H3722)*m_ads</f>
        <v>114.966369190532</v>
      </c>
    </row>
    <row r="3740" customFormat="false" ht="17.15" hidden="false" customHeight="false" outlineLevel="0" collapsed="false">
      <c r="A3740" s="1" t="s">
        <v>1096</v>
      </c>
      <c r="B3740" s="0" t="s">
        <v>98</v>
      </c>
      <c r="C3740" s="6" t="n">
        <f aca="false">(w_ntm28*Sens!G3727+(1-w_ntm28)*Sens!H3727)*m_game</f>
        <v>97.6152211068291</v>
      </c>
    </row>
    <row r="3741" customFormat="false" ht="17.15" hidden="false" customHeight="false" outlineLevel="0" collapsed="false">
      <c r="A3741" s="1" t="s">
        <v>1097</v>
      </c>
      <c r="B3741" s="0" t="s">
        <v>98</v>
      </c>
      <c r="C3741" s="6" t="n">
        <f aca="false">(w_ntm28*Sens!G3728+(1-w_ntm28)*Sens!H3728)*m_pc</f>
        <v>96.7776202313644</v>
      </c>
    </row>
    <row r="3742" customFormat="false" ht="17.15" hidden="false" customHeight="false" outlineLevel="0" collapsed="false">
      <c r="A3742" s="1" t="s">
        <v>1098</v>
      </c>
      <c r="B3742" s="0" t="s">
        <v>98</v>
      </c>
      <c r="C3742" s="6" t="n">
        <f aca="false">Sens!$C$3732+Sens!$C$3734+Sens!$C$3735+Sens!$C$3736+Sens!$C$3737+Sens!$C$3738+Sens!$C$3739+Sens!$C$3740+Sens!$C$3741</f>
        <v>3578.16918651307</v>
      </c>
    </row>
    <row r="3743" customFormat="false" ht="17.15" hidden="false" customHeight="false" outlineLevel="0" collapsed="false">
      <c r="A3743" s="1" t="s">
        <v>1099</v>
      </c>
      <c r="B3743" s="0" t="s">
        <v>98</v>
      </c>
      <c r="C3743" s="6" t="n">
        <f aca="false">(Sens!G3704-Sens!G3729)*t_stub</f>
        <v>47.9115399671301</v>
      </c>
      <c r="L3743" s="1" t="s">
        <v>1100</v>
      </c>
    </row>
    <row r="3744" customFormat="false" ht="17.15" hidden="false" customHeight="false" outlineLevel="0" collapsed="false">
      <c r="A3744" s="1" t="s">
        <v>1014</v>
      </c>
      <c r="B3744" s="0" t="s">
        <v>98</v>
      </c>
      <c r="C3744" s="6" t="n">
        <f aca="false">Sens!F3693+oai_v-Sens!F3682+Sens!$C$3743</f>
        <v>138.80762667372</v>
      </c>
      <c r="L3744" s="1" t="s">
        <v>1101</v>
      </c>
    </row>
    <row r="3745" customFormat="false" ht="17.15" hidden="false" customHeight="false" outlineLevel="0" collapsed="false">
      <c r="A3745" s="1" t="s">
        <v>1102</v>
      </c>
      <c r="B3745" s="0" t="s">
        <v>75</v>
      </c>
      <c r="C3745" s="5" t="n">
        <f aca="false">(Sens!$C$3742+Sens!$C$3744)/(Sens!F3695+dil_gap)-Sens!G3685*roll_div_q/q_per_yr</f>
        <v>494.821867821077</v>
      </c>
      <c r="L3745" s="1" t="s">
        <v>1103</v>
      </c>
    </row>
    <row r="3746" customFormat="false" ht="17.15" hidden="false" customHeight="false" outlineLevel="0" collapsed="false">
      <c r="A3746" s="1" t="s">
        <v>1104</v>
      </c>
      <c r="B3746" s="0" t="s">
        <v>75</v>
      </c>
      <c r="C3746" s="5" t="n">
        <f aca="false">w_dcf*Sens!$C$3716+(1-w_dcf)*Sens!$C$3745</f>
        <v>436.753667660217</v>
      </c>
    </row>
    <row r="3747" customFormat="false" ht="17.15" hidden="false" customHeight="false" outlineLevel="0" collapsed="false">
      <c r="A3747" s="3" t="s">
        <v>1357</v>
      </c>
    </row>
    <row r="3748" customFormat="false" ht="15" hidden="false" customHeight="false" outlineLevel="0" collapsed="false">
      <c r="A3748" s="4" t="s">
        <v>43</v>
      </c>
      <c r="B3748" s="4" t="s">
        <v>65</v>
      </c>
      <c r="C3748" s="20" t="s">
        <v>799</v>
      </c>
      <c r="D3748" s="20" t="s">
        <v>800</v>
      </c>
      <c r="E3748" s="20" t="s">
        <v>801</v>
      </c>
      <c r="F3748" s="20" t="s">
        <v>802</v>
      </c>
      <c r="G3748" s="20" t="s">
        <v>803</v>
      </c>
      <c r="H3748" s="20" t="s">
        <v>804</v>
      </c>
      <c r="I3748" s="20" t="s">
        <v>805</v>
      </c>
      <c r="J3748" s="20" t="s">
        <v>806</v>
      </c>
      <c r="K3748" s="20" t="s">
        <v>807</v>
      </c>
      <c r="L3748" s="4" t="s">
        <v>47</v>
      </c>
    </row>
    <row r="3749" customFormat="false" ht="17.15" hidden="false" customHeight="false" outlineLevel="0" collapsed="false">
      <c r="A3749" s="1" t="s">
        <v>808</v>
      </c>
      <c r="B3749" s="1" t="s">
        <v>235</v>
      </c>
      <c r="C3749" s="28" t="n">
        <v>2024</v>
      </c>
      <c r="D3749" s="28" t="n">
        <v>2025</v>
      </c>
      <c r="E3749" s="28" t="n">
        <v>2026</v>
      </c>
      <c r="F3749" s="28" t="n">
        <v>2027</v>
      </c>
      <c r="G3749" s="28" t="n">
        <v>2028</v>
      </c>
      <c r="H3749" s="28" t="n">
        <v>2029</v>
      </c>
      <c r="I3749" s="28" t="n">
        <v>2030</v>
      </c>
      <c r="J3749" s="28" t="n">
        <v>2031</v>
      </c>
      <c r="K3749" s="28" t="n">
        <v>2032</v>
      </c>
    </row>
    <row r="3750" customFormat="false" ht="17.15" hidden="false" customHeight="false" outlineLevel="0" collapsed="false">
      <c r="A3750" s="1" t="s">
        <v>809</v>
      </c>
      <c r="B3750" s="0" t="s">
        <v>399</v>
      </c>
      <c r="F3750" s="29" t="n">
        <f aca="false">pace*1.2</f>
        <v>3032.64</v>
      </c>
      <c r="G3750" s="29" t="n">
        <f aca="false">pace*1.2</f>
        <v>3032.64</v>
      </c>
      <c r="H3750" s="29" t="n">
        <f aca="false">pace*1.2</f>
        <v>3032.64</v>
      </c>
      <c r="I3750" s="29" t="n">
        <f aca="false">pace*1.2+(g_tv*Sens!H3751-pace*1.2)*MIN(1,(Sens!I3749-pace_y0)/(pace_y1-pace_y0))</f>
        <v>2145.2392</v>
      </c>
      <c r="J3750" s="29" t="n">
        <f aca="false">pace*1.2+(g_tv*Sens!I3751-pace*1.2)*MIN(1,(Sens!J3749-pace_y0)/(pace_y1-pace_y0))</f>
        <v>1300.743184</v>
      </c>
      <c r="K3750" s="29" t="n">
        <f aca="false">pace*1.2+(g_tv*Sens!J3751-pace*1.2)*MIN(1,(Sens!K3749-pace_y0)/(pace_y1-pace_y0))</f>
        <v>473.81707152</v>
      </c>
      <c r="L3750" s="11" t="s">
        <v>810</v>
      </c>
    </row>
    <row r="3751" customFormat="false" ht="17.15" hidden="false" customHeight="false" outlineLevel="0" collapsed="false">
      <c r="A3751" s="1" t="s">
        <v>811</v>
      </c>
      <c r="B3751" s="0" t="s">
        <v>399</v>
      </c>
      <c r="C3751" s="29" t="n">
        <f aca="false">mw_ext_24</f>
        <v>640</v>
      </c>
      <c r="D3751" s="29" t="n">
        <f aca="false">mw_ext_25</f>
        <v>1630</v>
      </c>
      <c r="E3751" s="29" t="n">
        <f aca="false">mw_ext_26</f>
        <v>3250</v>
      </c>
      <c r="F3751" s="29" t="n">
        <f aca="false">Sens!E3751+Sens!F3750</f>
        <v>6282.64</v>
      </c>
      <c r="G3751" s="29" t="n">
        <f aca="false">Sens!F3751+Sens!G3750</f>
        <v>9315.28</v>
      </c>
      <c r="H3751" s="29" t="n">
        <f aca="false">Sens!G3751+Sens!H3750</f>
        <v>12347.92</v>
      </c>
      <c r="I3751" s="29" t="n">
        <f aca="false">Sens!H3751+Sens!I3750</f>
        <v>14493.1592</v>
      </c>
      <c r="J3751" s="29" t="n">
        <f aca="false">Sens!I3751+Sens!J3750</f>
        <v>15793.902384</v>
      </c>
      <c r="K3751" s="29" t="n">
        <f aca="false">Sens!J3751+Sens!K3750</f>
        <v>16267.71945552</v>
      </c>
      <c r="L3751" s="1" t="s">
        <v>812</v>
      </c>
    </row>
    <row r="3752" customFormat="false" ht="17.15" hidden="false" customHeight="false" outlineLevel="0" collapsed="false">
      <c r="A3752" s="1" t="s">
        <v>813</v>
      </c>
      <c r="B3752" s="0" t="s">
        <v>399</v>
      </c>
      <c r="C3752" s="29" t="n">
        <f aca="false">rent_ext_24</f>
        <v>150</v>
      </c>
      <c r="D3752" s="29" t="n">
        <f aca="false">rent_ext_25</f>
        <v>400</v>
      </c>
      <c r="E3752" s="29" t="n">
        <f aca="false">rent_ext_26</f>
        <v>550</v>
      </c>
      <c r="F3752" s="29" t="n">
        <f aca="false">rent_ext_f</f>
        <v>756</v>
      </c>
      <c r="G3752" s="29" t="n">
        <f aca="false">rent_ext_f</f>
        <v>756</v>
      </c>
      <c r="H3752" s="29" t="n">
        <f aca="false">rent_ext_f</f>
        <v>756</v>
      </c>
      <c r="I3752" s="29" t="n">
        <f aca="false">rent_ext_f</f>
        <v>756</v>
      </c>
      <c r="J3752" s="29" t="n">
        <f aca="false">rent_ext_f</f>
        <v>756</v>
      </c>
      <c r="K3752" s="29" t="n">
        <f aca="false">rent_ext_f</f>
        <v>756</v>
      </c>
      <c r="L3752" s="1" t="s">
        <v>814</v>
      </c>
    </row>
    <row r="3753" customFormat="false" ht="17.15" hidden="false" customHeight="false" outlineLevel="0" collapsed="false">
      <c r="A3753" s="1" t="s">
        <v>815</v>
      </c>
      <c r="B3753" s="0" t="s">
        <v>399</v>
      </c>
      <c r="C3753" s="29" t="n">
        <f aca="false">Sens!C3751-Sens!C3752</f>
        <v>490</v>
      </c>
      <c r="D3753" s="29" t="n">
        <f aca="false">Sens!D3751-Sens!D3752</f>
        <v>1230</v>
      </c>
      <c r="E3753" s="29" t="n">
        <f aca="false">Sens!E3751-Sens!E3752</f>
        <v>2700</v>
      </c>
      <c r="F3753" s="29" t="n">
        <f aca="false">Sens!F3751-Sens!F3752</f>
        <v>5526.64</v>
      </c>
      <c r="G3753" s="29" t="n">
        <f aca="false">Sens!G3751-Sens!G3752</f>
        <v>8559.28</v>
      </c>
      <c r="H3753" s="29" t="n">
        <f aca="false">Sens!H3751-Sens!H3752</f>
        <v>11591.92</v>
      </c>
      <c r="I3753" s="29" t="n">
        <f aca="false">Sens!I3751-Sens!I3752</f>
        <v>13737.1592</v>
      </c>
      <c r="J3753" s="29" t="n">
        <f aca="false">Sens!J3751-Sens!J3752</f>
        <v>15037.902384</v>
      </c>
      <c r="K3753" s="29" t="n">
        <f aca="false">Sens!K3751-Sens!K3752</f>
        <v>15511.71945552</v>
      </c>
    </row>
    <row r="3754" customFormat="false" ht="17.15" hidden="false" customHeight="false" outlineLevel="0" collapsed="false">
      <c r="A3754" s="1" t="s">
        <v>816</v>
      </c>
      <c r="B3754" s="0" t="s">
        <v>399</v>
      </c>
      <c r="C3754" s="29" t="n">
        <f aca="false">Sens!C3753/ext_sh</f>
        <v>816.666666666667</v>
      </c>
      <c r="D3754" s="29" t="n">
        <f aca="false">Sens!D3753/ext_sh</f>
        <v>2050</v>
      </c>
      <c r="E3754" s="29" t="n">
        <f aca="false">Sens!E3753/ext_sh</f>
        <v>4500</v>
      </c>
      <c r="F3754" s="29" t="n">
        <f aca="false">Sens!F3753/ext_sh</f>
        <v>9211.06666666667</v>
      </c>
      <c r="G3754" s="29" t="n">
        <f aca="false">Sens!G3753/ext_sh</f>
        <v>14265.4666666667</v>
      </c>
      <c r="H3754" s="29" t="n">
        <f aca="false">Sens!H3753/ext_sh</f>
        <v>19319.8666666667</v>
      </c>
      <c r="I3754" s="29" t="n">
        <f aca="false">Sens!I3753/ext_sh</f>
        <v>22895.2653333333</v>
      </c>
      <c r="J3754" s="29" t="n">
        <f aca="false">Sens!J3753/ext_sh</f>
        <v>25063.17064</v>
      </c>
      <c r="K3754" s="29" t="n">
        <f aca="false">Sens!K3753/ext_sh</f>
        <v>25852.8657592</v>
      </c>
      <c r="L3754" s="1" t="s">
        <v>817</v>
      </c>
    </row>
    <row r="3755" customFormat="false" ht="17.15" hidden="false" customHeight="false" outlineLevel="0" collapsed="false">
      <c r="A3755" s="1" t="s">
        <v>818</v>
      </c>
      <c r="B3755" s="0" t="s">
        <v>399</v>
      </c>
      <c r="C3755" s="29" t="n">
        <f aca="false">Sens!C3754-Sens!C3753</f>
        <v>326.666666666667</v>
      </c>
      <c r="D3755" s="29" t="n">
        <f aca="false">Sens!D3754-Sens!D3753</f>
        <v>820</v>
      </c>
      <c r="E3755" s="29" t="n">
        <f aca="false">Sens!E3754-Sens!E3753</f>
        <v>1800</v>
      </c>
      <c r="F3755" s="29" t="n">
        <f aca="false">Sens!F3754-Sens!F3753</f>
        <v>3684.42666666667</v>
      </c>
      <c r="G3755" s="29" t="n">
        <f aca="false">Sens!G3754-Sens!G3753</f>
        <v>5706.18666666667</v>
      </c>
      <c r="H3755" s="29" t="n">
        <f aca="false">Sens!H3754-Sens!H3753</f>
        <v>7727.94666666667</v>
      </c>
      <c r="I3755" s="29" t="n">
        <f aca="false">Sens!I3754-Sens!I3753</f>
        <v>9158.10613333334</v>
      </c>
      <c r="J3755" s="29" t="n">
        <f aca="false">Sens!J3754-Sens!J3753</f>
        <v>10025.268256</v>
      </c>
      <c r="K3755" s="29" t="n">
        <f aca="false">Sens!K3754-Sens!K3753</f>
        <v>10341.14630368</v>
      </c>
    </row>
    <row r="3756" customFormat="false" ht="17.15" hidden="false" customHeight="false" outlineLevel="0" collapsed="false">
      <c r="A3756" s="1" t="s">
        <v>819</v>
      </c>
      <c r="B3756" s="0" t="s">
        <v>399</v>
      </c>
      <c r="C3756" s="29" t="n">
        <f aca="false">Sens!C3754</f>
        <v>816.666666666667</v>
      </c>
      <c r="D3756" s="29" t="n">
        <f aca="false">Sens!D3754-Sens!C3754</f>
        <v>1233.33333333333</v>
      </c>
      <c r="E3756" s="29" t="n">
        <f aca="false">Sens!E3754-Sens!D3754</f>
        <v>2450</v>
      </c>
      <c r="F3756" s="29" t="n">
        <f aca="false">Sens!F3754-Sens!E3754</f>
        <v>4711.06666666667</v>
      </c>
      <c r="G3756" s="29" t="n">
        <f aca="false">Sens!G3754-Sens!F3754</f>
        <v>5054.4</v>
      </c>
      <c r="H3756" s="29" t="n">
        <f aca="false">Sens!H3754-Sens!G3754</f>
        <v>5054.4</v>
      </c>
      <c r="I3756" s="29" t="n">
        <f aca="false">Sens!I3754-Sens!H3754</f>
        <v>3575.39866666667</v>
      </c>
      <c r="J3756" s="29" t="n">
        <f aca="false">Sens!J3754-Sens!I3754</f>
        <v>2167.90530666667</v>
      </c>
      <c r="K3756" s="29" t="n">
        <f aca="false">Sens!K3754-Sens!J3754</f>
        <v>789.695119199998</v>
      </c>
    </row>
    <row r="3757" customFormat="false" ht="17.15" hidden="false" customHeight="false" outlineLevel="0" collapsed="false">
      <c r="A3757" s="1" t="s">
        <v>820</v>
      </c>
      <c r="B3757" s="0" t="s">
        <v>399</v>
      </c>
      <c r="D3757" s="29" t="n">
        <f aca="false">Sens!D3751-Sens!C3751</f>
        <v>990</v>
      </c>
      <c r="E3757" s="29" t="n">
        <f aca="false">Sens!E3751-Sens!D3751</f>
        <v>1620</v>
      </c>
      <c r="F3757" s="29" t="n">
        <f aca="false">Sens!F3751-Sens!E3751</f>
        <v>3032.64</v>
      </c>
      <c r="G3757" s="29" t="n">
        <f aca="false">Sens!G3751-Sens!F3751</f>
        <v>3032.64</v>
      </c>
      <c r="H3757" s="29" t="n">
        <f aca="false">Sens!H3751-Sens!G3751</f>
        <v>3032.64</v>
      </c>
      <c r="I3757" s="29" t="n">
        <f aca="false">Sens!I3751-Sens!H3751</f>
        <v>2145.2392</v>
      </c>
      <c r="J3757" s="29" t="n">
        <f aca="false">Sens!J3751-Sens!I3751</f>
        <v>1300.743184</v>
      </c>
      <c r="K3757" s="29" t="n">
        <f aca="false">Sens!K3751-Sens!J3751</f>
        <v>473.817071519999</v>
      </c>
    </row>
    <row r="3758" customFormat="false" ht="17.15" hidden="false" customHeight="false" outlineLevel="0" collapsed="false">
      <c r="A3758" s="1" t="s">
        <v>821</v>
      </c>
      <c r="B3758" s="0" t="s">
        <v>399</v>
      </c>
      <c r="F3758" s="29" t="n">
        <f aca="false">Sens!F3775*ext_sh</f>
        <v>0</v>
      </c>
      <c r="G3758" s="29" t="n">
        <f aca="false">Sens!G3775*ext_sh</f>
        <v>0</v>
      </c>
      <c r="H3758" s="29" t="n">
        <f aca="false">Sens!H3775*ext_sh</f>
        <v>0</v>
      </c>
      <c r="I3758" s="29" t="n">
        <f aca="false">Sens!I3775*ext_sh</f>
        <v>490</v>
      </c>
      <c r="J3758" s="29" t="n">
        <f aca="false">Sens!J3775*ext_sh</f>
        <v>740</v>
      </c>
      <c r="K3758" s="29" t="n">
        <f aca="false">Sens!K3775*ext_sh</f>
        <v>1470</v>
      </c>
      <c r="L3758" s="1" t="s">
        <v>822</v>
      </c>
    </row>
    <row r="3759" customFormat="false" ht="17.15" hidden="false" customHeight="false" outlineLevel="0" collapsed="false">
      <c r="A3759" s="1" t="s">
        <v>823</v>
      </c>
      <c r="B3759" s="0" t="s">
        <v>399</v>
      </c>
      <c r="C3759" s="29" t="n">
        <f aca="false">mix_h*Sens!C3751</f>
        <v>128</v>
      </c>
      <c r="D3759" s="29" t="n">
        <f aca="false">mix_h*Sens!D3751</f>
        <v>326</v>
      </c>
      <c r="E3759" s="29" t="n">
        <f aca="false">mix_h*Sens!E3751</f>
        <v>650</v>
      </c>
      <c r="F3759" s="29" t="n">
        <f aca="false">Sens!E3759-Sens!F3758*mix_h</f>
        <v>650</v>
      </c>
      <c r="G3759" s="29" t="n">
        <f aca="false">Sens!F3759-Sens!G3758*mix_h</f>
        <v>650</v>
      </c>
      <c r="H3759" s="29" t="n">
        <f aca="false">Sens!G3759-Sens!H3758*mix_h</f>
        <v>650</v>
      </c>
      <c r="I3759" s="29" t="n">
        <f aca="false">Sens!H3759-Sens!I3758*mix_h</f>
        <v>552</v>
      </c>
      <c r="J3759" s="29" t="n">
        <f aca="false">Sens!I3759-Sens!J3758*mix_h</f>
        <v>404</v>
      </c>
      <c r="K3759" s="29" t="n">
        <f aca="false">Sens!J3759-Sens!K3758*mix_h</f>
        <v>110</v>
      </c>
    </row>
    <row r="3760" customFormat="false" ht="17.15" hidden="false" customHeight="false" outlineLevel="0" collapsed="false">
      <c r="A3760" s="1" t="s">
        <v>824</v>
      </c>
      <c r="B3760" s="0" t="s">
        <v>399</v>
      </c>
      <c r="C3760" s="29" t="n">
        <f aca="false">mix_g2*Sens!C3751</f>
        <v>288</v>
      </c>
      <c r="D3760" s="29" t="n">
        <f aca="false">mix_g2*Sens!D3751</f>
        <v>733.5</v>
      </c>
      <c r="E3760" s="29" t="n">
        <f aca="false">mix_g2*Sens!E3751</f>
        <v>1462.5</v>
      </c>
      <c r="F3760" s="29" t="n">
        <f aca="false">Sens!E3760-Sens!F3758*mix_g2</f>
        <v>1462.5</v>
      </c>
      <c r="G3760" s="29" t="n">
        <f aca="false">Sens!F3760-Sens!G3758*mix_g2</f>
        <v>1462.5</v>
      </c>
      <c r="H3760" s="29" t="n">
        <f aca="false">Sens!G3760-Sens!H3758*mix_g2</f>
        <v>1462.5</v>
      </c>
      <c r="I3760" s="29" t="n">
        <f aca="false">Sens!H3760-Sens!I3758*mix_g2</f>
        <v>1242</v>
      </c>
      <c r="J3760" s="29" t="n">
        <f aca="false">Sens!I3760-Sens!J3758*mix_g2</f>
        <v>909</v>
      </c>
      <c r="K3760" s="29" t="n">
        <f aca="false">Sens!J3760-Sens!K3758*mix_g2</f>
        <v>247.5</v>
      </c>
    </row>
    <row r="3761" customFormat="false" ht="17.15" hidden="false" customHeight="false" outlineLevel="0" collapsed="false">
      <c r="A3761" s="1" t="s">
        <v>825</v>
      </c>
      <c r="B3761" s="0" t="s">
        <v>399</v>
      </c>
      <c r="C3761" s="29" t="n">
        <f aca="false">mix_g3*Sens!C3751</f>
        <v>224</v>
      </c>
      <c r="D3761" s="29" t="n">
        <f aca="false">mix_g3*Sens!D3751</f>
        <v>570.5</v>
      </c>
      <c r="E3761" s="29" t="n">
        <f aca="false">mix_g3*Sens!E3751</f>
        <v>1137.5</v>
      </c>
      <c r="F3761" s="29" t="n">
        <f aca="false">Sens!E3761+(Sens!F3757+Sens!F3758)*a_g3_27-Sens!F3758*mix_g3</f>
        <v>3260.348</v>
      </c>
      <c r="G3761" s="29" t="n">
        <f aca="false">Sens!F3761+(Sens!G3757+Sens!G3758)*a_g3_28-Sens!G3758*mix_g3</f>
        <v>4170.14</v>
      </c>
      <c r="H3761" s="29" t="n">
        <f aca="false">Sens!G3761+(Sens!H3757+Sens!H3758)*a_g3_29-Sens!H3758*mix_g3</f>
        <v>4473.404</v>
      </c>
      <c r="I3761" s="29" t="n">
        <f aca="false">Sens!H3761+(Sens!I3757+Sens!I3758)*a_g3_29-Sens!I3758*mix_g3</f>
        <v>4565.42792</v>
      </c>
      <c r="J3761" s="29" t="n">
        <f aca="false">Sens!I3761+(Sens!J3757+Sens!J3758)*a_g3_29-Sens!J3758*mix_g3</f>
        <v>4510.5022384</v>
      </c>
      <c r="K3761" s="29" t="n">
        <f aca="false">Sens!J3761+(Sens!K3757+Sens!K3758)*a_g3_29-Sens!K3758*mix_g3</f>
        <v>4190.383945552</v>
      </c>
    </row>
    <row r="3762" customFormat="false" ht="17.15" hidden="false" customHeight="false" outlineLevel="0" collapsed="false">
      <c r="A3762" s="1" t="s">
        <v>826</v>
      </c>
      <c r="B3762" s="0" t="s">
        <v>399</v>
      </c>
      <c r="C3762" s="29" t="n">
        <v>0</v>
      </c>
      <c r="D3762" s="29" t="n">
        <v>0</v>
      </c>
      <c r="E3762" s="29" t="n">
        <v>0</v>
      </c>
      <c r="F3762" s="29" t="n">
        <f aca="false">Sens!E3762+(Sens!F3757+Sens!F3758)*(1-a_g3_27)</f>
        <v>909.792</v>
      </c>
      <c r="G3762" s="29" t="n">
        <f aca="false">Sens!F3762+(Sens!G3757+Sens!G3758)*(1-a_g3_28)</f>
        <v>3032.64</v>
      </c>
      <c r="H3762" s="29" t="n">
        <f aca="false">Sens!G3762+(Sens!H3757+Sens!H3758)*(1-a_g3_29)</f>
        <v>5762.016</v>
      </c>
      <c r="I3762" s="29" t="n">
        <f aca="false">Sens!H3762+(Sens!I3757+Sens!I3758)*(1-a_g3_29)</f>
        <v>8133.73128</v>
      </c>
      <c r="J3762" s="29" t="n">
        <f aca="false">Sens!I3762+(Sens!J3757+Sens!J3758)*(1-a_g3_29)</f>
        <v>9970.4001456</v>
      </c>
      <c r="K3762" s="29" t="n">
        <f aca="false">Sens!J3762+(Sens!K3757+Sens!K3758)*(1-a_g3_29)</f>
        <v>11719.835509968</v>
      </c>
    </row>
    <row r="3763" customFormat="false" ht="17.15" hidden="false" customHeight="false" outlineLevel="0" collapsed="false">
      <c r="A3763" s="1" t="s">
        <v>827</v>
      </c>
      <c r="B3763" s="0" t="s">
        <v>346</v>
      </c>
      <c r="C3763" s="14" t="n">
        <f aca="false">(Sens!C3759*tk_hold_h100+Sens!C3760*tk_hold_gb200+Sens!C3761*tk_hold_gb300+Sens!C3762*tk_hold_vr200)/Sens!C3751</f>
        <v>9.7235358126469</v>
      </c>
      <c r="D3763" s="14" t="n">
        <f aca="false">(Sens!D3759*tk_hold_h100+Sens!D3760*tk_hold_gb200+Sens!D3761*tk_hold_gb300+Sens!D3762*tk_hold_vr200)/Sens!D3751</f>
        <v>9.7235358126469</v>
      </c>
      <c r="E3763" s="14" t="n">
        <f aca="false">(Sens!E3759*tk_hold_h100+Sens!E3760*tk_hold_gb200+Sens!E3761*tk_hold_gb300+Sens!E3762*tk_hold_vr200)/Sens!E3751</f>
        <v>9.7235358126469</v>
      </c>
      <c r="F3763" s="14" t="n">
        <f aca="false">(Sens!F3759*tk_hold_h100+Sens!F3760*tk_hold_gb200+Sens!F3761*tk_hold_gb300+Sens!F3762*tk_hold_vr200)/Sens!F3751</f>
        <v>10.4787673542193</v>
      </c>
      <c r="G3763" s="14" t="n">
        <f aca="false">(Sens!G3759*tk_hold_h100+Sens!G3760*tk_hold_gb200+Sens!G3761*tk_hold_gb300+Sens!G3762*tk_hold_vr200)/Sens!G3751</f>
        <v>10.9166347377517</v>
      </c>
      <c r="H3763" s="14" t="n">
        <f aca="false">(Sens!H3759*tk_hold_h100+Sens!H3760*tk_hold_gb200+Sens!H3761*tk_hold_gb300+Sens!H3762*tk_hold_vr200)/Sens!H3751</f>
        <v>11.2051967403931</v>
      </c>
      <c r="I3763" s="14" t="n">
        <f aca="false">(Sens!I3759*tk_hold_h100+Sens!I3760*tk_hold_gb200+Sens!I3761*tk_hold_gb300+Sens!I3762*tk_hold_vr200)/Sens!I3751</f>
        <v>11.4164554595671</v>
      </c>
      <c r="J3763" s="14" t="n">
        <f aca="false">(Sens!J3759*tk_hold_h100+Sens!J3760*tk_hold_gb200+Sens!J3761*tk_hold_gb300+Sens!J3762*tk_hold_vr200)/Sens!J3751</f>
        <v>11.5830061749449</v>
      </c>
      <c r="K3763" s="14" t="n">
        <f aca="false">(Sens!K3759*tk_hold_h100+Sens!K3760*tk_hold_gb200+Sens!K3761*tk_hold_gb300+Sens!K3762*tk_hold_vr200)/Sens!K3751</f>
        <v>11.8118007996124</v>
      </c>
    </row>
    <row r="3764" customFormat="false" ht="17.15" hidden="false" customHeight="false" outlineLevel="0" collapsed="false">
      <c r="A3764" s="0" t="s">
        <v>828</v>
      </c>
      <c r="B3764" s="0" t="s">
        <v>185</v>
      </c>
      <c r="C3764" s="14" t="n">
        <f aca="false">k_B</f>
        <v>1.17213932619116</v>
      </c>
      <c r="D3764" s="14" t="n">
        <f aca="false">k_B</f>
        <v>1.17213932619116</v>
      </c>
      <c r="E3764" s="14" t="n">
        <f aca="false">k_B</f>
        <v>1.17213932619116</v>
      </c>
      <c r="F3764" s="14" t="n">
        <f aca="false">(k_B+((ls_B*k_long+(1-ls_B)*k_spot)-k_B)*MIN(1,(Sens!F3749-base_fy)/k_ramp))</f>
        <v>1.17213932619116</v>
      </c>
      <c r="G3764" s="14" t="n">
        <f aca="false">(k_B+((ls_B*k_long+(1-ls_B)*k_spot)-k_B)*MIN(1,(Sens!G3749-base_fy)/k_ramp))</f>
        <v>1.17213932619116</v>
      </c>
      <c r="H3764" s="14" t="n">
        <f aca="false">(k_B+((ls_B*k_long+(1-ls_B)*k_spot)-k_B)*MIN(1,(Sens!H3749-base_fy)/k_ramp))</f>
        <v>1.17213932619116</v>
      </c>
      <c r="I3764" s="14" t="n">
        <f aca="false">(k_B+((ls_B*k_long+(1-ls_B)*k_spot)-k_B)*MIN(1,(Sens!I3749-base_fy)/k_ramp))</f>
        <v>1.17213932619116</v>
      </c>
      <c r="J3764" s="14" t="n">
        <f aca="false">(k_B+((ls_B*k_long+(1-ls_B)*k_spot)-k_B)*MIN(1,(Sens!J3749-base_fy)/k_ramp))</f>
        <v>1.17213932619116</v>
      </c>
      <c r="K3764" s="14" t="n">
        <f aca="false">(k_B+((ls_B*k_long+(1-ls_B)*k_spot)-k_B)*MIN(1,(Sens!K3749-base_fy)/k_ramp))</f>
        <v>1.17213932619116</v>
      </c>
      <c r="L3764" s="1" t="s">
        <v>829</v>
      </c>
    </row>
    <row r="3765" customFormat="false" ht="17.15" hidden="false" customHeight="false" outlineLevel="0" collapsed="false">
      <c r="A3765" s="1" t="s">
        <v>830</v>
      </c>
      <c r="B3765" s="0" t="s">
        <v>346</v>
      </c>
      <c r="C3765" s="14" t="n">
        <f aca="false">Sens!C3763*Sens!C3764*chip_f</f>
        <v>11.3973387156315</v>
      </c>
      <c r="D3765" s="14" t="n">
        <f aca="false">Sens!D3763*Sens!D3764*chip_f</f>
        <v>11.3973387156315</v>
      </c>
      <c r="E3765" s="14" t="n">
        <f aca="false">Sens!E3763*Sens!E3764*chip_f</f>
        <v>11.3973387156315</v>
      </c>
      <c r="F3765" s="14" t="n">
        <f aca="false">Sens!F3763*Sens!F3764*chip_f</f>
        <v>12.2825753058885</v>
      </c>
      <c r="G3765" s="14" t="n">
        <f aca="false">Sens!G3763*Sens!G3764*chip_f</f>
        <v>12.7958168857832</v>
      </c>
      <c r="H3765" s="14" t="n">
        <f aca="false">Sens!H3763*Sens!H3764*chip_f</f>
        <v>13.1340517571237</v>
      </c>
      <c r="I3765" s="14" t="n">
        <f aca="false">Sens!I3763*Sens!I3764*chip_f</f>
        <v>13.3816764098683</v>
      </c>
      <c r="J3765" s="14" t="n">
        <f aca="false">Sens!J3763*Sens!J3764*chip_f</f>
        <v>13.5768970531679</v>
      </c>
      <c r="K3765" s="14" t="n">
        <f aca="false">Sens!K3763*Sens!K3764*chip_f</f>
        <v>13.8450762303618</v>
      </c>
      <c r="L3765" s="1" t="s">
        <v>831</v>
      </c>
    </row>
    <row r="3766" customFormat="false" ht="17.15" hidden="false" customHeight="false" outlineLevel="0" collapsed="false">
      <c r="A3766" s="0" t="s">
        <v>832</v>
      </c>
      <c r="B3766" s="0" t="s">
        <v>98</v>
      </c>
      <c r="D3766" s="6" t="n">
        <f aca="false">(Sens!C3751+Sens!D3751)/2*Sens!D3765/1000</f>
        <v>12.9359794422418</v>
      </c>
      <c r="E3766" s="6" t="n">
        <f aca="false">(Sens!D3751+Sens!E3751)/2*Sens!E3765/1000</f>
        <v>27.8095064661409</v>
      </c>
      <c r="F3766" s="6" t="n">
        <f aca="false">(Sens!E3751+Sens!F3751)/2*Sens!F3765/1000</f>
        <v>58.5426843319625</v>
      </c>
      <c r="G3766" s="6" t="n">
        <f aca="false">(Sens!F3751+Sens!G3751)/2*Sens!G3765/1000</f>
        <v>99.7940640595479</v>
      </c>
      <c r="H3766" s="6" t="n">
        <f aca="false">(Sens!G3751+Sens!H3751)/2*Sens!H3765/1000</f>
        <v>142.262795012461</v>
      </c>
      <c r="I3766" s="6" t="n">
        <f aca="false">(Sens!H3751+Sens!I3751)/2*Sens!I3765/1000</f>
        <v>179.589318173023</v>
      </c>
      <c r="J3766" s="6" t="n">
        <f aca="false">(Sens!I3751+Sens!J3751)/2*Sens!J3765/1000</f>
        <v>205.602158584462</v>
      </c>
      <c r="K3766" s="6" t="n">
        <f aca="false">(Sens!J3751+Sens!K3751)/2*Sens!K3765/1000</f>
        <v>221.947799218594</v>
      </c>
      <c r="L3766" s="11" t="s">
        <v>833</v>
      </c>
    </row>
    <row r="3767" customFormat="false" ht="17.15" hidden="false" customHeight="false" outlineLevel="0" collapsed="false">
      <c r="A3767" s="1" t="s">
        <v>834</v>
      </c>
      <c r="B3767" s="0" t="s">
        <v>346</v>
      </c>
      <c r="C3767" s="14" t="n">
        <f aca="false">(Sens!C3759*tk_opex_h100+Sens!C3760*tk_opex_gb200+Sens!C3761*tk_opex_gb300+Sens!C3762*tk_opex_vr200)/Sens!C3751</f>
        <v>1.88636041306092</v>
      </c>
      <c r="D3767" s="14" t="n">
        <f aca="false">(Sens!D3759*tk_opex_h100+Sens!D3760*tk_opex_gb200+Sens!D3761*tk_opex_gb300+Sens!D3762*tk_opex_vr200)/Sens!D3751</f>
        <v>1.88636041306092</v>
      </c>
      <c r="E3767" s="14" t="n">
        <f aca="false">(Sens!E3759*tk_opex_h100+Sens!E3760*tk_opex_gb200+Sens!E3761*tk_opex_gb300+Sens!E3762*tk_opex_vr200)/Sens!E3751</f>
        <v>1.88636041306092</v>
      </c>
      <c r="F3767" s="14" t="n">
        <f aca="false">(Sens!F3759*tk_opex_h100+Sens!F3760*tk_opex_gb200+Sens!F3761*tk_opex_gb300+Sens!F3762*tk_opex_vr200)/Sens!F3751</f>
        <v>1.94888600845409</v>
      </c>
      <c r="G3767" s="14" t="n">
        <f aca="false">(Sens!G3759*tk_opex_h100+Sens!G3760*tk_opex_gb200+Sens!G3761*tk_opex_gb300+Sens!G3762*tk_opex_vr200)/Sens!G3751</f>
        <v>1.98513703526054</v>
      </c>
      <c r="H3767" s="14" t="n">
        <f aca="false">(Sens!H3759*tk_opex_h100+Sens!H3760*tk_opex_gb200+Sens!H3761*tk_opex_gb300+Sens!H3762*tk_opex_vr200)/Sens!H3751</f>
        <v>2.00902707431457</v>
      </c>
      <c r="I3767" s="14" t="n">
        <f aca="false">(Sens!I3759*tk_opex_h100+Sens!I3760*tk_opex_gb200+Sens!I3761*tk_opex_gb300+Sens!I3762*tk_opex_vr200)/Sens!I3751</f>
        <v>2.02651717698011</v>
      </c>
      <c r="J3767" s="14" t="n">
        <f aca="false">(Sens!J3759*tk_opex_h100+Sens!J3760*tk_opex_gb200+Sens!J3761*tk_opex_gb300+Sens!J3762*tk_opex_vr200)/Sens!J3751</f>
        <v>2.04030590542818</v>
      </c>
      <c r="K3767" s="14" t="n">
        <f aca="false">(Sens!K3759*tk_opex_h100+Sens!K3760*tk_opex_gb200+Sens!K3761*tk_opex_gb300+Sens!K3762*tk_opex_vr200)/Sens!K3751</f>
        <v>2.0592478051538</v>
      </c>
    </row>
    <row r="3768" customFormat="false" ht="17.15" hidden="false" customHeight="false" outlineLevel="0" collapsed="false">
      <c r="A3768" s="0" t="s">
        <v>835</v>
      </c>
      <c r="B3768" s="0" t="s">
        <v>98</v>
      </c>
      <c r="D3768" s="6" t="n">
        <f aca="false">(Sens!C3754+Sens!D3754)/2*Sens!D3767/1000</f>
        <v>2.70378325872065</v>
      </c>
      <c r="E3768" s="6" t="n">
        <f aca="false">(Sens!D3754+Sens!E3754)/2*Sens!E3767/1000</f>
        <v>6.17783035277451</v>
      </c>
      <c r="F3768" s="6" t="n">
        <f aca="false">(Sens!E3754+Sens!F3754)/2*Sens!F3767/1000</f>
        <v>13.360652993824</v>
      </c>
      <c r="G3768" s="6" t="n">
        <f aca="false">(Sens!F3754+Sens!G3754)/2*Sens!G3767/1000</f>
        <v>23.3020678897643</v>
      </c>
      <c r="H3768" s="6" t="n">
        <f aca="false">(Sens!G3754+Sens!H3754)/2*Sens!H3767/1000</f>
        <v>33.7369219832732</v>
      </c>
      <c r="I3768" s="6" t="n">
        <f aca="false">(Sens!H3754+Sens!I3754)/2*Sens!I3767/1000</f>
        <v>42.7748450632413</v>
      </c>
      <c r="J3768" s="6" t="n">
        <f aca="false">(Sens!I3754+Sens!J3754)/2*Sens!J3767/1000</f>
        <v>48.9249400657455</v>
      </c>
      <c r="K3768" s="6" t="n">
        <f aca="false">(Sens!J3754+Sens!K3754)/2*Sens!K3767/1000</f>
        <v>52.4243681010918</v>
      </c>
    </row>
    <row r="3769" customFormat="false" ht="17.15" hidden="false" customHeight="false" outlineLevel="0" collapsed="false">
      <c r="A3769" s="0" t="s">
        <v>836</v>
      </c>
      <c r="B3769" s="0" t="s">
        <v>98</v>
      </c>
      <c r="D3769" s="6" t="n">
        <f aca="false">(Sens!C3752+Sens!D3752)/2*rent_mw/1000</f>
        <v>2.44475</v>
      </c>
      <c r="E3769" s="6" t="n">
        <f aca="false">(Sens!D3752+Sens!E3752)/2*rent_mw/1000</f>
        <v>4.22275</v>
      </c>
      <c r="F3769" s="6" t="n">
        <f aca="false">(Sens!E3752+Sens!F3752)/2*rent_mw/1000</f>
        <v>5.80517</v>
      </c>
      <c r="G3769" s="6" t="n">
        <f aca="false">(Sens!F3752+Sens!G3752)/2*rent_mw/1000</f>
        <v>6.72084</v>
      </c>
      <c r="H3769" s="6" t="n">
        <f aca="false">(Sens!G3752+Sens!H3752)/2*rent_mw/1000</f>
        <v>6.72084</v>
      </c>
      <c r="I3769" s="6" t="n">
        <f aca="false">(Sens!H3752+Sens!I3752)/2*rent_mw/1000</f>
        <v>6.72084</v>
      </c>
      <c r="J3769" s="6" t="n">
        <f aca="false">(Sens!I3752+Sens!J3752)/2*rent_mw/1000</f>
        <v>6.72084</v>
      </c>
      <c r="K3769" s="6" t="n">
        <f aca="false">(Sens!J3752+Sens!K3752)/2*rent_mw/1000</f>
        <v>6.72084</v>
      </c>
    </row>
    <row r="3770" customFormat="false" ht="17.15" hidden="false" customHeight="false" outlineLevel="0" collapsed="false">
      <c r="A3770" s="0" t="s">
        <v>837</v>
      </c>
      <c r="B3770" s="0" t="s">
        <v>98</v>
      </c>
      <c r="D3770" s="6" t="n">
        <f aca="false">(Sens!C3754+Sens!D3754)/2*(1-self_build)*fac_rent/1000</f>
        <v>0.853242375631075</v>
      </c>
      <c r="E3770" s="6" t="n">
        <f aca="false">(Sens!D3754+Sens!E3754)/2*(1-self_build)*fac_rent/1000</f>
        <v>1.94955961408728</v>
      </c>
      <c r="F3770" s="6" t="n">
        <f aca="false">(Sens!E3754+Sens!F3754)/2*(1-self_build)*fac_rent/1000</f>
        <v>4.0809987541056</v>
      </c>
      <c r="G3770" s="6" t="n">
        <f aca="false">(Sens!F3754+Sens!G3754)/2*(1-self_build)*fac_rent/1000</f>
        <v>6.98761851380772</v>
      </c>
      <c r="H3770" s="6" t="n">
        <f aca="false">(Sens!G3754+Sens!H3754)/2*(1-self_build)*fac_rent/1000</f>
        <v>9.99642893012612</v>
      </c>
      <c r="I3770" s="6" t="n">
        <f aca="false">(Sens!H3754+Sens!I3754)/2*(1-self_build)*fac_rent/1000</f>
        <v>12.5650254122998</v>
      </c>
      <c r="J3770" s="6" t="n">
        <f aca="false">(Sens!I3754+Sens!J3754)/2*(1-self_build)*fac_rent/1000</f>
        <v>14.2744778516643</v>
      </c>
      <c r="K3770" s="6" t="n">
        <f aca="false">(Sens!J3754+Sens!K3754)/2*(1-self_build)*fac_rent/1000</f>
        <v>15.1547859959204</v>
      </c>
      <c r="L3770" s="11" t="s">
        <v>838</v>
      </c>
    </row>
    <row r="3771" customFormat="false" ht="17.15" hidden="false" customHeight="false" outlineLevel="0" collapsed="false">
      <c r="A3771" s="1" t="s">
        <v>839</v>
      </c>
      <c r="B3771" s="0" t="s">
        <v>129</v>
      </c>
      <c r="D3771" s="7" t="n">
        <f aca="false">(Sens!C3753+Sens!D3753)/(Sens!C3754+Sens!D3754)</f>
        <v>0.6</v>
      </c>
      <c r="E3771" s="7" t="n">
        <f aca="false">(Sens!D3753+Sens!E3753)/(Sens!D3754+Sens!E3754)</f>
        <v>0.6</v>
      </c>
      <c r="F3771" s="7" t="n">
        <f aca="false">(Sens!E3753+Sens!F3753)/(Sens!E3754+Sens!F3754)</f>
        <v>0.6</v>
      </c>
      <c r="G3771" s="7" t="n">
        <f aca="false">(Sens!F3753+Sens!G3753)/(Sens!F3754+Sens!G3754)</f>
        <v>0.6</v>
      </c>
      <c r="H3771" s="7" t="n">
        <f aca="false">(Sens!G3753+Sens!H3753)/(Sens!G3754+Sens!H3754)</f>
        <v>0.6</v>
      </c>
      <c r="I3771" s="7" t="n">
        <f aca="false">(Sens!H3753+Sens!I3753)/(Sens!H3754+Sens!I3754)</f>
        <v>0.6</v>
      </c>
      <c r="J3771" s="7" t="n">
        <f aca="false">(Sens!I3753+Sens!J3753)/(Sens!I3754+Sens!J3754)</f>
        <v>0.6</v>
      </c>
      <c r="K3771" s="7" t="n">
        <f aca="false">(Sens!J3753+Sens!K3753)/(Sens!J3754+Sens!K3754)</f>
        <v>0.6</v>
      </c>
    </row>
    <row r="3772" customFormat="false" ht="17.15" hidden="false" customHeight="false" outlineLevel="0" collapsed="false">
      <c r="A3772" s="0" t="s">
        <v>840</v>
      </c>
      <c r="B3772" s="0" t="s">
        <v>98</v>
      </c>
      <c r="D3772" s="6" t="n">
        <f aca="false">Sens!D3766-Sens!D3771*(Sens!D3768+Sens!D3770)-Sens!D3769</f>
        <v>8.35701406163072</v>
      </c>
      <c r="E3772" s="6" t="n">
        <f aca="false">Sens!E3766-Sens!E3771*(Sens!E3768+Sens!E3770)-Sens!E3769</f>
        <v>18.7103224860238</v>
      </c>
      <c r="F3772" s="6" t="n">
        <f aca="false">Sens!F3766-Sens!F3771*(Sens!F3768+Sens!F3770)-Sens!F3769</f>
        <v>42.2725232832047</v>
      </c>
      <c r="G3772" s="6" t="n">
        <f aca="false">Sens!G3766-Sens!G3771*(Sens!G3768+Sens!G3770)-Sens!G3769</f>
        <v>74.8994122174047</v>
      </c>
      <c r="H3772" s="6" t="n">
        <f aca="false">Sens!H3766-Sens!H3771*(Sens!H3768+Sens!H3770)-Sens!H3769</f>
        <v>109.301944464422</v>
      </c>
      <c r="I3772" s="6" t="n">
        <f aca="false">Sens!I3766-Sens!I3771*(Sens!I3768+Sens!I3770)-Sens!I3769</f>
        <v>139.664555887698</v>
      </c>
      <c r="J3772" s="6" t="n">
        <f aca="false">Sens!J3766-Sens!J3771*(Sens!J3768+Sens!J3770)-Sens!J3769</f>
        <v>160.961667834016</v>
      </c>
      <c r="K3772" s="6" t="n">
        <f aca="false">Sens!K3766-Sens!K3771*(Sens!K3768+Sens!K3770)-Sens!K3769</f>
        <v>174.679466760387</v>
      </c>
    </row>
    <row r="3773" customFormat="false" ht="17.15" hidden="false" customHeight="false" outlineLevel="0" collapsed="false">
      <c r="A3773" s="1" t="s">
        <v>841</v>
      </c>
      <c r="B3773" s="0" t="s">
        <v>98</v>
      </c>
      <c r="D3773" s="6" t="n">
        <f aca="false">(1-Sens!D3771)*(Sens!D3768+Sens!D3770)</f>
        <v>1.42281025374069</v>
      </c>
      <c r="E3773" s="6" t="n">
        <f aca="false">(1-Sens!E3771)*(Sens!E3768+Sens!E3770)</f>
        <v>3.25095598674472</v>
      </c>
      <c r="F3773" s="6" t="n">
        <f aca="false">(1-Sens!F3771)*(Sens!F3768+Sens!F3770)</f>
        <v>6.97666069917183</v>
      </c>
      <c r="G3773" s="6" t="n">
        <f aca="false">(1-Sens!G3771)*(Sens!G3768+Sens!G3770)</f>
        <v>12.1158745614288</v>
      </c>
      <c r="H3773" s="6" t="n">
        <f aca="false">(1-Sens!H3771)*(Sens!H3768+Sens!H3770)</f>
        <v>17.4933403653597</v>
      </c>
      <c r="I3773" s="6" t="n">
        <f aca="false">(1-Sens!I3771)*(Sens!I3768+Sens!I3770)</f>
        <v>22.1359481902164</v>
      </c>
      <c r="J3773" s="6" t="n">
        <f aca="false">(1-Sens!J3771)*(Sens!J3768+Sens!J3770)</f>
        <v>25.279767166964</v>
      </c>
      <c r="K3773" s="6" t="n">
        <f aca="false">(1-Sens!K3771)*(Sens!K3768+Sens!K3770)</f>
        <v>27.0316616388049</v>
      </c>
    </row>
    <row r="3774" customFormat="false" ht="17.15" hidden="false" customHeight="false" outlineLevel="0" collapsed="false">
      <c r="A3774" s="1" t="s">
        <v>842</v>
      </c>
      <c r="B3774" s="0" t="s">
        <v>357</v>
      </c>
      <c r="C3774" s="8" t="n">
        <f aca="false">cxit_open</f>
        <v>27.5918995</v>
      </c>
      <c r="D3774" s="8" t="n">
        <f aca="false">cxit_open</f>
        <v>27.5918995</v>
      </c>
      <c r="E3774" s="8" t="n">
        <f aca="false">cxit_open</f>
        <v>27.5918995</v>
      </c>
      <c r="F3774" s="8" t="n">
        <f aca="false">(a_g3_27*tk_cxit_gb300+(1-a_g3_27)*tk_cxit_vr200)</f>
        <v>33.8419624</v>
      </c>
      <c r="G3774" s="8" t="n">
        <f aca="false">(a_g3_28*tk_cxit_gb300+(1-a_g3_28)*tk_cxit_vr200)</f>
        <v>35.9816136</v>
      </c>
      <c r="H3774" s="8" t="n">
        <f aca="false">(a_g3_29*tk_cxit_gb300+(1-a_g3_29)*tk_cxit_vr200)</f>
        <v>37.0514392</v>
      </c>
      <c r="I3774" s="8" t="n">
        <f aca="false">(a_g3_29*tk_cxit_gb300+(1-a_g3_29)*tk_cxit_vr200)</f>
        <v>37.0514392</v>
      </c>
      <c r="J3774" s="8" t="n">
        <f aca="false">(a_g3_29*tk_cxit_gb300+(1-a_g3_29)*tk_cxit_vr200)</f>
        <v>37.0514392</v>
      </c>
      <c r="K3774" s="8" t="n">
        <f aca="false">(a_g3_29*tk_cxit_gb300+(1-a_g3_29)*tk_cxit_vr200)</f>
        <v>37.0514392</v>
      </c>
      <c r="L3774" s="11" t="s">
        <v>843</v>
      </c>
    </row>
    <row r="3775" customFormat="false" ht="17.15" hidden="false" customHeight="false" outlineLevel="0" collapsed="false">
      <c r="A3775" s="0" t="s">
        <v>844</v>
      </c>
      <c r="B3775" s="0" t="s">
        <v>399</v>
      </c>
      <c r="F3775" s="29" t="n">
        <f aca="false">Sens!C3756*IF(Sens!F3749-Sens!C3749=life_it,1,0)+Sens!D3756*IF(Sens!F3749-Sens!D3749=life_it,1,0)+Sens!E3756*IF(Sens!F3749-Sens!E3749=life_it,1,0)</f>
        <v>0</v>
      </c>
      <c r="G3775" s="29" t="n">
        <f aca="false">Sens!C3756*IF(Sens!G3749-Sens!C3749=life_it,1,0)+Sens!D3756*IF(Sens!G3749-Sens!D3749=life_it,1,0)+Sens!E3756*IF(Sens!G3749-Sens!E3749=life_it,1,0)+Sens!F3756*IF(Sens!G3749-Sens!F3749=life_it,1,0)</f>
        <v>0</v>
      </c>
      <c r="H3775" s="29" t="n">
        <f aca="false">Sens!C3756*IF(Sens!H3749-Sens!C3749=life_it,1,0)+Sens!D3756*IF(Sens!H3749-Sens!D3749=life_it,1,0)+Sens!E3756*IF(Sens!H3749-Sens!E3749=life_it,1,0)+Sens!F3756*IF(Sens!H3749-Sens!F3749=life_it,1,0)+Sens!G3756*IF(Sens!H3749-Sens!G3749=life_it,1,0)</f>
        <v>0</v>
      </c>
      <c r="I3775" s="29" t="n">
        <f aca="false">Sens!C3756*IF(Sens!I3749-Sens!C3749=life_it,1,0)+Sens!D3756*IF(Sens!I3749-Sens!D3749=life_it,1,0)+Sens!E3756*IF(Sens!I3749-Sens!E3749=life_it,1,0)+Sens!F3756*IF(Sens!I3749-Sens!F3749=life_it,1,0)+Sens!G3756*IF(Sens!I3749-Sens!G3749=life_it,1,0)+Sens!H3756*IF(Sens!I3749-Sens!H3749=life_it,1,0)</f>
        <v>816.666666666667</v>
      </c>
      <c r="J3775" s="29" t="n">
        <f aca="false">Sens!C3756*IF(Sens!J3749-Sens!C3749=life_it,1,0)+Sens!D3756*IF(Sens!J3749-Sens!D3749=life_it,1,0)+Sens!E3756*IF(Sens!J3749-Sens!E3749=life_it,1,0)+Sens!F3756*IF(Sens!J3749-Sens!F3749=life_it,1,0)+Sens!G3756*IF(Sens!J3749-Sens!G3749=life_it,1,0)+Sens!H3756*IF(Sens!J3749-Sens!H3749=life_it,1,0)+Sens!I3756*IF(Sens!J3749-Sens!I3749=life_it,1,0)</f>
        <v>1233.33333333333</v>
      </c>
      <c r="K3775" s="29" t="n">
        <f aca="false">Sens!C3756*IF(Sens!K3749-Sens!C3749=life_it,1,0)+Sens!D3756*IF(Sens!K3749-Sens!D3749=life_it,1,0)+Sens!E3756*IF(Sens!K3749-Sens!E3749=life_it,1,0)+Sens!F3756*IF(Sens!K3749-Sens!F3749=life_it,1,0)+Sens!G3756*IF(Sens!K3749-Sens!G3749=life_it,1,0)+Sens!H3756*IF(Sens!K3749-Sens!H3749=life_it,1,0)+Sens!I3756*IF(Sens!K3749-Sens!I3749=life_it,1,0)+Sens!J3756*IF(Sens!K3749-Sens!J3749=life_it,1,0)</f>
        <v>2450</v>
      </c>
      <c r="L3775" s="1" t="s">
        <v>845</v>
      </c>
    </row>
    <row r="3776" customFormat="false" ht="17.15" hidden="false" customHeight="false" outlineLevel="0" collapsed="false">
      <c r="A3776" s="0" t="s">
        <v>846</v>
      </c>
      <c r="B3776" s="0" t="s">
        <v>98</v>
      </c>
      <c r="C3776" s="6" t="n">
        <f aca="false">Sens!C3756*Sens!C3774/1000</f>
        <v>22.5333845916667</v>
      </c>
      <c r="D3776" s="6" t="n">
        <f aca="false">Sens!D3756*Sens!D3774/1000</f>
        <v>34.0300093833333</v>
      </c>
      <c r="E3776" s="6" t="n">
        <f aca="false">Sens!E3756*Sens!E3774/1000</f>
        <v>67.600153775</v>
      </c>
      <c r="F3776" s="6" t="n">
        <f aca="false">(Sens!F3756+Sens!F3775)*Sens!F3774/1000</f>
        <v>159.431740997227</v>
      </c>
      <c r="G3776" s="6" t="n">
        <f aca="false">(Sens!G3756+Sens!G3775)*Sens!G3774/1000</f>
        <v>181.86546777984</v>
      </c>
      <c r="H3776" s="6" t="n">
        <f aca="false">(Sens!H3756+Sens!H3775)*Sens!H3774/1000</f>
        <v>187.27279429248</v>
      </c>
      <c r="I3776" s="6" t="n">
        <f aca="false">(Sens!I3756+Sens!I3775)*Sens!I3774/1000</f>
        <v>162.732341660428</v>
      </c>
      <c r="J3776" s="6" t="n">
        <f aca="false">(Sens!J3756+Sens!J3775)*Sens!J3774/1000</f>
        <v>126.020786674651</v>
      </c>
      <c r="K3776" s="6" t="n">
        <f aca="false">(Sens!K3756+Sens!K3775)*Sens!K3774/1000</f>
        <v>120.035366735575</v>
      </c>
    </row>
    <row r="3777" customFormat="false" ht="17.15" hidden="false" customHeight="false" outlineLevel="0" collapsed="false">
      <c r="A3777" s="0" t="s">
        <v>847</v>
      </c>
      <c r="B3777" s="0" t="s">
        <v>98</v>
      </c>
      <c r="C3777" s="6" t="n">
        <f aca="false">Sens!C3756*self_build*tk_cxfac/1000</f>
        <v>6.2083</v>
      </c>
      <c r="D3777" s="6" t="n">
        <f aca="false">Sens!D3756*self_build*tk_cxfac/1000</f>
        <v>9.3758</v>
      </c>
      <c r="E3777" s="6" t="n">
        <f aca="false">Sens!E3756*self_build*tk_cxfac/1000</f>
        <v>18.6249</v>
      </c>
      <c r="F3777" s="6" t="n">
        <f aca="false">Sens!F3756*self_build*tk_cxfac/1000</f>
        <v>35.8135288</v>
      </c>
      <c r="G3777" s="6" t="n">
        <f aca="false">Sens!G3756*self_build*tk_cxfac/1000</f>
        <v>38.4235488</v>
      </c>
      <c r="H3777" s="6" t="n">
        <f aca="false">Sens!H3756*self_build*tk_cxfac/1000</f>
        <v>38.4235488</v>
      </c>
      <c r="I3777" s="6" t="n">
        <f aca="false">Sens!I3756*self_build*tk_cxfac/1000</f>
        <v>27.180180664</v>
      </c>
      <c r="J3777" s="6" t="n">
        <f aca="false">Sens!J3756*self_build*tk_cxfac/1000</f>
        <v>16.48041614128</v>
      </c>
      <c r="K3777" s="6" t="n">
        <f aca="false">Sens!K3756*self_build*tk_cxfac/1000</f>
        <v>6.00326229615838</v>
      </c>
    </row>
    <row r="3778" customFormat="false" ht="17.15" hidden="false" customHeight="false" outlineLevel="0" collapsed="false">
      <c r="A3778" s="0" t="s">
        <v>848</v>
      </c>
      <c r="B3778" s="0" t="s">
        <v>98</v>
      </c>
      <c r="F3778" s="6" t="n">
        <f aca="false">MAX(0,capex_floor27-Sens!F3776-Sens!F3777-Sens!F3872)</f>
        <v>0</v>
      </c>
    </row>
    <row r="3779" customFormat="false" ht="17.15" hidden="false" customHeight="false" outlineLevel="0" collapsed="false">
      <c r="A3779" s="0" t="s">
        <v>849</v>
      </c>
      <c r="B3779" s="0" t="s">
        <v>98</v>
      </c>
      <c r="C3779" s="6" t="n">
        <f aca="false">Sens!C3776</f>
        <v>22.5333845916667</v>
      </c>
      <c r="D3779" s="6" t="n">
        <f aca="false">Sens!D3776</f>
        <v>34.0300093833333</v>
      </c>
      <c r="E3779" s="6" t="n">
        <f aca="false">Sens!E3776</f>
        <v>67.600153775</v>
      </c>
      <c r="F3779" s="6" t="n">
        <f aca="false">Sens!F3776</f>
        <v>159.431740997227</v>
      </c>
      <c r="G3779" s="6" t="n">
        <f aca="false">Sens!G3776</f>
        <v>181.86546777984</v>
      </c>
      <c r="H3779" s="6" t="n">
        <f aca="false">Sens!H3776</f>
        <v>187.27279429248</v>
      </c>
      <c r="I3779" s="6" t="n">
        <f aca="false">Sens!I3776</f>
        <v>162.732341660428</v>
      </c>
      <c r="J3779" s="6" t="n">
        <f aca="false">Sens!J3776</f>
        <v>126.020786674651</v>
      </c>
      <c r="K3779" s="6" t="n">
        <f aca="false">Sens!K3776</f>
        <v>120.035366735575</v>
      </c>
    </row>
    <row r="3780" customFormat="false" ht="17.15" hidden="false" customHeight="false" outlineLevel="0" collapsed="false">
      <c r="A3780" s="0" t="s">
        <v>850</v>
      </c>
      <c r="B3780" s="0" t="s">
        <v>98</v>
      </c>
      <c r="C3780" s="6" t="n">
        <f aca="false">Sens!C3779+Sens!C3777</f>
        <v>28.7416845916667</v>
      </c>
      <c r="D3780" s="6" t="n">
        <f aca="false">Sens!D3779+Sens!D3777</f>
        <v>43.4058093833333</v>
      </c>
      <c r="E3780" s="6" t="n">
        <f aca="false">Sens!E3779+Sens!E3777</f>
        <v>86.225053775</v>
      </c>
      <c r="F3780" s="6" t="n">
        <f aca="false">Sens!F3779+Sens!F3777</f>
        <v>195.245269797227</v>
      </c>
      <c r="G3780" s="6" t="n">
        <f aca="false">Sens!G3779+Sens!G3777</f>
        <v>220.28901657984</v>
      </c>
      <c r="H3780" s="6" t="n">
        <f aca="false">Sens!H3779+Sens!H3777</f>
        <v>225.69634309248</v>
      </c>
      <c r="I3780" s="6" t="n">
        <f aca="false">Sens!I3779+Sens!I3777</f>
        <v>189.912522324428</v>
      </c>
      <c r="J3780" s="6" t="n">
        <f aca="false">Sens!J3779+Sens!J3777</f>
        <v>142.501202815931</v>
      </c>
      <c r="K3780" s="6" t="n">
        <f aca="false">Sens!K3779+Sens!K3777</f>
        <v>126.038629031734</v>
      </c>
      <c r="L3780" s="11" t="s">
        <v>851</v>
      </c>
    </row>
    <row r="3781" customFormat="false" ht="17.15" hidden="false" customHeight="false" outlineLevel="0" collapsed="false">
      <c r="A3781" s="0" t="s">
        <v>852</v>
      </c>
      <c r="B3781" s="0" t="s">
        <v>98</v>
      </c>
      <c r="E3781" s="6" t="n">
        <f aca="false">(Sens!C3779*IF(2&lt;life_it,1,IF(2=life_it,0.5,0))+Sens!D3779*IF(1&lt;life_it,1,IF(1=life_it,0.5,0))+Sens!E3779*0.5)/life_it</f>
        <v>15.0605784770833</v>
      </c>
      <c r="F3781" s="6" t="n">
        <f aca="false">(Sens!C3779*IF(3&lt;life_it,1,IF(3=life_it,0.5,0))+Sens!D3779*IF(2&lt;life_it,1,IF(2=life_it,0.5,0))+Sens!E3779*IF(1&lt;life_it,1,IF(1=life_it,0.5,0))+Sens!F3779*0.5)/life_it</f>
        <v>33.9799030414356</v>
      </c>
      <c r="G3781" s="6" t="n">
        <f aca="false">(Sens!C3779*IF(4&lt;life_it,1,IF(4=life_it,0.5,0))+Sens!D3779*IF(3&lt;life_it,1,IF(3=life_it,0.5,0))+Sens!E3779*IF(2&lt;life_it,1,IF(2=life_it,0.5,0))+Sens!F3779*IF(1&lt;life_it,1,IF(1=life_it,0.5,0))+Sens!G3779*0.5)/life_it</f>
        <v>62.4213371061911</v>
      </c>
      <c r="H3781" s="6" t="n">
        <f aca="false">(Sens!C3779*IF(5&lt;life_it,1,IF(5=life_it,0.5,0))+Sens!D3779*IF(4&lt;life_it,1,IF(4=life_it,0.5,0))+Sens!E3779*IF(3&lt;life_it,1,IF(3=life_it,0.5,0))+Sens!F3779*IF(2&lt;life_it,1,IF(2=life_it,0.5,0))+Sens!G3779*IF(1&lt;life_it,1,IF(1=life_it,0.5,0))+Sens!H3779*0.5)/life_it</f>
        <v>93.1828589455511</v>
      </c>
      <c r="I3781" s="6" t="n">
        <f aca="false">(Sens!C3779*IF(6&lt;life_it,1,IF(6=life_it,0.5,0))+Sens!D3779*IF(5&lt;life_it,1,IF(5=life_it,0.5,0))+Sens!E3779*IF(4&lt;life_it,1,IF(4=life_it,0.5,0))+Sens!F3779*IF(3&lt;life_it,1,IF(3=life_it,0.5,0))+Sens!G3779*IF(2&lt;life_it,1,IF(2=life_it,0.5,0))+Sens!H3779*IF(1&lt;life_it,1,IF(1=life_it,0.5,0))+Sens!I3779*0.5)/life_it</f>
        <v>120.472171558988</v>
      </c>
      <c r="J3781" s="6" t="n">
        <f aca="false">(Sens!C3779*IF(7&lt;life_it,1,IF(7=life_it,0.5,0))+Sens!D3779*IF(6&lt;life_it,1,IF(6=life_it,0.5,0))+Sens!E3779*IF(5&lt;life_it,1,IF(5=life_it,0.5,0))+Sens!F3779*IF(4&lt;life_it,1,IF(4=life_it,0.5,0))+Sens!G3779*IF(3&lt;life_it,1,IF(3=life_it,0.5,0))+Sens!H3779*IF(2&lt;life_it,1,IF(2=life_it,0.5,0))+Sens!I3779*IF(1&lt;life_it,1,IF(1=life_it,0.5,0))+Sens!J3779*0.5)/life_it</f>
        <v>139.821316088994</v>
      </c>
      <c r="K3781" s="6" t="n">
        <f aca="false">(Sens!C3779*IF(8&lt;life_it,1,IF(8=life_it,0.5,0))+Sens!D3779*IF(7&lt;life_it,1,IF(7=life_it,0.5,0))+Sens!E3779*IF(6&lt;life_it,1,IF(6=life_it,0.5,0))+Sens!F3779*IF(5&lt;life_it,1,IF(5=life_it,0.5,0))+Sens!G3779*IF(4&lt;life_it,1,IF(4=life_it,0.5,0))+Sens!H3779*IF(3&lt;life_it,1,IF(3=life_it,0.5,0))+Sens!I3779*IF(2&lt;life_it,1,IF(2=life_it,0.5,0))+Sens!J3779*IF(1&lt;life_it,1,IF(1=life_it,0.5,0))+Sens!K3779*0.5)/life_it</f>
        <v>151.856815276652</v>
      </c>
    </row>
    <row r="3782" customFormat="false" ht="17.15" hidden="false" customHeight="false" outlineLevel="0" collapsed="false">
      <c r="A3782" s="0" t="s">
        <v>853</v>
      </c>
      <c r="B3782" s="0" t="s">
        <v>98</v>
      </c>
      <c r="E3782" s="6" t="n">
        <f aca="false">(Sens!C3777*IF(2&lt;life_fac,1,IF(2=life_fac,0.5,0))+Sens!D3777*IF(1&lt;life_fac,1,IF(1=life_fac,0.5,0))+Sens!E3777*0.5)/life_fac</f>
        <v>1.2448275</v>
      </c>
      <c r="F3782" s="6" t="n">
        <f aca="false">(Sens!C3777*IF(3&lt;life_fac,1,IF(3=life_fac,0.5,0))+Sens!D3777*IF(2&lt;life_fac,1,IF(2=life_fac,0.5,0))+Sens!E3777*IF(1&lt;life_fac,1,IF(1=life_fac,0.5,0))+Sens!F3777*0.5)/life_fac</f>
        <v>2.60578822</v>
      </c>
      <c r="G3782" s="6" t="n">
        <f aca="false">(Sens!C3777*IF(4&lt;life_fac,1,IF(4=life_fac,0.5,0))+Sens!D3777*IF(3&lt;life_fac,1,IF(3=life_fac,0.5,0))+Sens!E3777*IF(2&lt;life_fac,1,IF(2=life_fac,0.5,0))+Sens!F3777*IF(1&lt;life_fac,1,IF(1=life_fac,0.5,0))+Sens!G3777*0.5)/life_fac</f>
        <v>4.46171516</v>
      </c>
      <c r="H3782" s="6" t="n">
        <f aca="false">(Sens!C3777*IF(5&lt;life_fac,1,IF(5=life_fac,0.5,0))+Sens!D3777*IF(4&lt;life_fac,1,IF(4=life_fac,0.5,0))+Sens!E3777*IF(3&lt;life_fac,1,IF(3=life_fac,0.5,0))+Sens!F3777*IF(2&lt;life_fac,1,IF(2=life_fac,0.5,0))+Sens!G3777*IF(1&lt;life_fac,1,IF(1=life_fac,0.5,0))+Sens!H3777*0.5)/life_fac</f>
        <v>6.3828926</v>
      </c>
      <c r="I3782" s="6" t="n">
        <f aca="false">(Sens!C3777*IF(6&lt;life_fac,1,IF(6=life_fac,0.5,0))+Sens!D3777*IF(5&lt;life_fac,1,IF(5=life_fac,0.5,0))+Sens!E3777*IF(4&lt;life_fac,1,IF(4=life_fac,0.5,0))+Sens!F3777*IF(3&lt;life_fac,1,IF(3=life_fac,0.5,0))+Sens!G3777*IF(2&lt;life_fac,1,IF(2=life_fac,0.5,0))+Sens!H3777*IF(1&lt;life_fac,1,IF(1=life_fac,0.5,0))+Sens!I3777*0.5)/life_fac</f>
        <v>8.0229858366</v>
      </c>
      <c r="J3782" s="6" t="n">
        <f aca="false">(Sens!C3777*IF(7&lt;life_fac,1,IF(7=life_fac,0.5,0))+Sens!D3777*IF(6&lt;life_fac,1,IF(6=life_fac,0.5,0))+Sens!E3777*IF(5&lt;life_fac,1,IF(5=life_fac,0.5,0))+Sens!F3777*IF(4&lt;life_fac,1,IF(4=life_fac,0.5,0))+Sens!G3777*IF(3&lt;life_fac,1,IF(3=life_fac,0.5,0))+Sens!H3777*IF(2&lt;life_fac,1,IF(2=life_fac,0.5,0))+Sens!I3777*IF(1&lt;life_fac,1,IF(1=life_fac,0.5,0))+Sens!J3777*0.5)/life_fac</f>
        <v>9.114500756732</v>
      </c>
      <c r="K3782" s="6" t="n">
        <f aca="false">(Sens!C3777*IF(8&lt;life_fac,1,IF(8=life_fac,0.5,0))+Sens!D3777*IF(7&lt;life_fac,1,IF(7=life_fac,0.5,0))+Sens!E3777*IF(6&lt;life_fac,1,IF(6=life_fac,0.5,0))+Sens!F3777*IF(5&lt;life_fac,1,IF(5=life_fac,0.5,0))+Sens!G3777*IF(4&lt;life_fac,1,IF(4=life_fac,0.5,0))+Sens!H3777*IF(3&lt;life_fac,1,IF(3=life_fac,0.5,0))+Sens!I3777*IF(2&lt;life_fac,1,IF(2=life_fac,0.5,0))+Sens!J3777*IF(1&lt;life_fac,1,IF(1=life_fac,0.5,0))+Sens!K3777*0.5)/life_fac</f>
        <v>9.67659271766796</v>
      </c>
    </row>
    <row r="3783" customFormat="false" ht="17.15" hidden="false" customHeight="false" outlineLevel="0" collapsed="false">
      <c r="A3783" s="0" t="s">
        <v>854</v>
      </c>
      <c r="B3783" s="0" t="s">
        <v>98</v>
      </c>
      <c r="E3783" s="6" t="n">
        <f aca="false">Sens!E3781+Sens!E3782</f>
        <v>16.3054059770833</v>
      </c>
      <c r="F3783" s="6" t="n">
        <f aca="false">Sens!F3781+Sens!F3782</f>
        <v>36.5856912614356</v>
      </c>
      <c r="G3783" s="6" t="n">
        <f aca="false">Sens!G3781+Sens!G3782</f>
        <v>66.8830522661911</v>
      </c>
      <c r="H3783" s="6" t="n">
        <f aca="false">Sens!H3781+Sens!H3782</f>
        <v>99.5657515455511</v>
      </c>
      <c r="I3783" s="6" t="n">
        <f aca="false">Sens!I3781+Sens!I3782</f>
        <v>128.495157395588</v>
      </c>
      <c r="J3783" s="6" t="n">
        <f aca="false">Sens!J3781+Sens!J3782</f>
        <v>148.935816845726</v>
      </c>
      <c r="K3783" s="6" t="n">
        <f aca="false">Sens!K3781+Sens!K3782</f>
        <v>161.53340799432</v>
      </c>
    </row>
    <row r="3784" customFormat="false" ht="17.15" hidden="false" customHeight="false" outlineLevel="0" collapsed="false">
      <c r="A3784" s="0" t="s">
        <v>855</v>
      </c>
      <c r="B3784" s="0" t="s">
        <v>98</v>
      </c>
      <c r="E3784" s="6" t="n">
        <f aca="false">Sens!E3772-Sens!E3771*Sens!E3783</f>
        <v>8.92707889977379</v>
      </c>
      <c r="F3784" s="6" t="n">
        <f aca="false">Sens!F3772-Sens!F3771*Sens!F3783</f>
        <v>20.3211085263434</v>
      </c>
      <c r="G3784" s="6" t="n">
        <f aca="false">Sens!G3772-Sens!G3771*Sens!G3783</f>
        <v>34.76958085769</v>
      </c>
      <c r="H3784" s="6" t="n">
        <f aca="false">Sens!H3772-Sens!H3771*Sens!H3783</f>
        <v>49.5624935370911</v>
      </c>
      <c r="I3784" s="6" t="n">
        <f aca="false">Sens!I3772-Sens!I3771*Sens!I3783</f>
        <v>62.5674614503454</v>
      </c>
      <c r="J3784" s="6" t="n">
        <f aca="false">Sens!J3772-Sens!J3771*Sens!J3783</f>
        <v>71.6001777265802</v>
      </c>
      <c r="K3784" s="6" t="n">
        <f aca="false">Sens!K3772-Sens!K3771*Sens!K3783</f>
        <v>77.7594219637945</v>
      </c>
    </row>
    <row r="3785" customFormat="false" ht="17.15" hidden="false" customHeight="false" outlineLevel="0" collapsed="false">
      <c r="A3785" s="3" t="s">
        <v>1358</v>
      </c>
    </row>
    <row r="3786" customFormat="false" ht="15" hidden="false" customHeight="false" outlineLevel="0" collapsed="false">
      <c r="A3786" s="4" t="s">
        <v>43</v>
      </c>
      <c r="B3786" s="4" t="s">
        <v>65</v>
      </c>
      <c r="C3786" s="20" t="s">
        <v>799</v>
      </c>
      <c r="D3786" s="20" t="s">
        <v>800</v>
      </c>
      <c r="E3786" s="20" t="s">
        <v>801</v>
      </c>
      <c r="F3786" s="20" t="s">
        <v>802</v>
      </c>
      <c r="G3786" s="20" t="s">
        <v>803</v>
      </c>
      <c r="H3786" s="20" t="s">
        <v>804</v>
      </c>
      <c r="I3786" s="20" t="s">
        <v>805</v>
      </c>
      <c r="J3786" s="20" t="s">
        <v>806</v>
      </c>
      <c r="K3786" s="20" t="s">
        <v>807</v>
      </c>
      <c r="L3786" s="4" t="s">
        <v>47</v>
      </c>
    </row>
    <row r="3787" customFormat="false" ht="17.15" hidden="false" customHeight="false" outlineLevel="0" collapsed="false">
      <c r="A3787" s="0" t="s">
        <v>874</v>
      </c>
      <c r="B3787" s="0" t="s">
        <v>98</v>
      </c>
      <c r="D3787" s="6" t="n">
        <f aca="false">Sens!D3766</f>
        <v>12.9359794422418</v>
      </c>
      <c r="E3787" s="6" t="n">
        <f aca="false">Sens!E3766</f>
        <v>27.8095064661409</v>
      </c>
      <c r="F3787" s="6" t="n">
        <f aca="false">Sens!F3766</f>
        <v>58.5426843319625</v>
      </c>
      <c r="G3787" s="6" t="n">
        <f aca="false">Sens!G3766</f>
        <v>99.7940640595479</v>
      </c>
      <c r="H3787" s="6" t="n">
        <f aca="false">Sens!H3766</f>
        <v>142.262795012461</v>
      </c>
      <c r="I3787" s="6" t="n">
        <f aca="false">Sens!I3766</f>
        <v>179.589318173023</v>
      </c>
      <c r="J3787" s="6" t="n">
        <f aca="false">Sens!J3766</f>
        <v>205.602158584462</v>
      </c>
      <c r="K3787" s="6" t="n">
        <f aca="false">Sens!K3766</f>
        <v>221.947799218594</v>
      </c>
    </row>
    <row r="3788" customFormat="false" ht="17.15" hidden="false" customHeight="false" outlineLevel="0" collapsed="false">
      <c r="A3788" s="0" t="s">
        <v>875</v>
      </c>
      <c r="B3788" s="0" t="s">
        <v>98</v>
      </c>
      <c r="D3788" s="6" t="n">
        <f aca="false">Q!L6-Sens!D3787</f>
        <v>59.6740205577583</v>
      </c>
      <c r="E3788" s="6" t="n">
        <f aca="false">Q!M6-Sens!E3787</f>
        <v>74.1284935338591</v>
      </c>
      <c r="F3788" s="6" t="n">
        <f aca="false">Sens!E3788*(1+Sens!F3789)</f>
        <v>90.0799497373663</v>
      </c>
      <c r="G3788" s="6" t="n">
        <f aca="false">Sens!F3788*(1+Sens!G3789)</f>
        <v>107.02842520331</v>
      </c>
      <c r="H3788" s="6" t="n">
        <f aca="false">Sens!G3788*(1+Sens!H3789)</f>
        <v>124.271982585636</v>
      </c>
      <c r="I3788" s="6" t="n">
        <f aca="false">Sens!H3788*(1+Sens!I3789)</f>
        <v>140.933702381855</v>
      </c>
      <c r="J3788" s="6" t="n">
        <f aca="false">Sens!I3788*(1+Sens!J3789)</f>
        <v>156.018867314332</v>
      </c>
      <c r="K3788" s="6" t="n">
        <f aca="false">Sens!J3788*(1+Sens!K3789)</f>
        <v>168.500376699478</v>
      </c>
    </row>
    <row r="3789" customFormat="false" ht="15" hidden="false" customHeight="false" outlineLevel="0" collapsed="false">
      <c r="A3789" s="1" t="s">
        <v>876</v>
      </c>
      <c r="B3789" s="0" t="s">
        <v>129</v>
      </c>
      <c r="E3789" s="7" t="n">
        <f aca="false">Sens!E3788/Sens!D3788-1</f>
        <v>0.242223883039864</v>
      </c>
      <c r="F3789" s="7" t="n">
        <f aca="false">Sens!$E$3789+(glt_azo-Sens!$E$3789)*MIN(1,(Sens!F3749-base_fy)/n_conv)</f>
        <v>0.215186569199887</v>
      </c>
      <c r="G3789" s="7" t="n">
        <f aca="false">Sens!$E$3789+(glt_azo-Sens!$E$3789)*MIN(1,(Sens!G3749-base_fy)/n_conv)</f>
        <v>0.18814925535991</v>
      </c>
      <c r="H3789" s="7" t="n">
        <f aca="false">Sens!$E$3789+(glt_azo-Sens!$E$3789)*MIN(1,(Sens!H3749-base_fy)/n_conv)</f>
        <v>0.161111941519932</v>
      </c>
      <c r="I3789" s="7" t="n">
        <f aca="false">Sens!$E$3789+(glt_azo-Sens!$E$3789)*MIN(1,(Sens!I3749-base_fy)/n_conv)</f>
        <v>0.134074627679955</v>
      </c>
      <c r="J3789" s="7" t="n">
        <f aca="false">Sens!$E$3789+(glt_azo-Sens!$E$3789)*MIN(1,(Sens!J3749-base_fy)/n_conv)</f>
        <v>0.107037313839977</v>
      </c>
      <c r="K3789" s="7" t="n">
        <f aca="false">Sens!$E$3789+(glt_azo-Sens!$E$3789)*MIN(1,(Sens!K3749-base_fy)/n_conv)</f>
        <v>0.08</v>
      </c>
    </row>
    <row r="3790" customFormat="false" ht="15" hidden="false" customHeight="false" outlineLevel="0" collapsed="false">
      <c r="A3790" s="0" t="s">
        <v>877</v>
      </c>
      <c r="B3790" s="0" t="s">
        <v>98</v>
      </c>
      <c r="D3790" s="6" t="n">
        <f aca="false">Sens!D3787+Sens!D3788</f>
        <v>72.61</v>
      </c>
      <c r="E3790" s="6" t="n">
        <f aca="false">Sens!E3787+Sens!E3788</f>
        <v>101.938</v>
      </c>
      <c r="F3790" s="6" t="n">
        <f aca="false">Sens!F3787+Sens!F3788</f>
        <v>148.622634069329</v>
      </c>
      <c r="G3790" s="6" t="n">
        <f aca="false">Sens!G3787+Sens!G3788</f>
        <v>206.822489262858</v>
      </c>
      <c r="H3790" s="6" t="n">
        <f aca="false">Sens!H3787+Sens!H3788</f>
        <v>266.534777598097</v>
      </c>
      <c r="I3790" s="6" t="n">
        <f aca="false">Sens!I3787+Sens!I3788</f>
        <v>320.523020554878</v>
      </c>
      <c r="J3790" s="6" t="n">
        <f aca="false">Sens!J3787+Sens!J3788</f>
        <v>361.621025898793</v>
      </c>
      <c r="K3790" s="6" t="n">
        <f aca="false">Sens!K3787+Sens!K3788</f>
        <v>390.448175918072</v>
      </c>
    </row>
    <row r="3791" customFormat="false" ht="17.15" hidden="false" customHeight="false" outlineLevel="0" collapsed="false">
      <c r="A3791" s="0" t="s">
        <v>878</v>
      </c>
      <c r="B3791" s="1" t="s">
        <v>528</v>
      </c>
      <c r="C3791" s="29" t="n">
        <f aca="false">cop_s24</f>
        <v>1</v>
      </c>
      <c r="D3791" s="29" t="n">
        <f aca="false">cop_s25</f>
        <v>5</v>
      </c>
      <c r="E3791" s="29" t="n">
        <f aca="false">cop_s26</f>
        <v>30</v>
      </c>
      <c r="F3791" s="29" t="n">
        <f aca="false">Sens!E3791+cop_add_B</f>
        <v>50</v>
      </c>
      <c r="G3791" s="29" t="n">
        <f aca="false">Sens!F3791+cop_add_B</f>
        <v>70</v>
      </c>
      <c r="H3791" s="29" t="n">
        <f aca="false">Sens!G3791+cop_add_B</f>
        <v>90</v>
      </c>
      <c r="I3791" s="29" t="n">
        <f aca="false">Sens!H3791+cop_add_B*cop_tail</f>
        <v>100</v>
      </c>
      <c r="J3791" s="29" t="n">
        <f aca="false">Sens!I3791+cop_add_B*cop_tail</f>
        <v>110</v>
      </c>
      <c r="K3791" s="29" t="n">
        <f aca="false">Sens!J3791+cop_add_B*cop_tail</f>
        <v>120</v>
      </c>
      <c r="L3791" s="11" t="s">
        <v>879</v>
      </c>
    </row>
    <row r="3792" customFormat="false" ht="17.15" hidden="false" customHeight="false" outlineLevel="0" collapsed="false">
      <c r="A3792" s="0" t="s">
        <v>880</v>
      </c>
      <c r="B3792" s="0" t="s">
        <v>98</v>
      </c>
      <c r="D3792" s="6" t="n">
        <f aca="false">(Sens!C3791+Sens!D3791)/2*cop_px*12/1000</f>
        <v>0.9</v>
      </c>
      <c r="E3792" s="6" t="n">
        <f aca="false">(Sens!D3791+Sens!E3791)/2*cop_px*12/1000</f>
        <v>5.25</v>
      </c>
      <c r="F3792" s="6" t="n">
        <f aca="false">(Sens!E3791+Sens!F3791)/2*cop_px*12/1000</f>
        <v>12</v>
      </c>
      <c r="G3792" s="6" t="n">
        <f aca="false">(Sens!F3791+Sens!G3791)/2*cop_px*12/1000</f>
        <v>18</v>
      </c>
      <c r="H3792" s="6" t="n">
        <f aca="false">(Sens!G3791+Sens!H3791)/2*cop_px*12/1000</f>
        <v>24</v>
      </c>
      <c r="I3792" s="6" t="n">
        <f aca="false">(Sens!H3791+Sens!I3791)/2*cop_px*12/1000</f>
        <v>28.5</v>
      </c>
      <c r="J3792" s="6" t="n">
        <f aca="false">(Sens!I3791+Sens!J3791)/2*cop_px*12/1000</f>
        <v>31.5</v>
      </c>
      <c r="K3792" s="6" t="n">
        <f aca="false">(Sens!J3791+Sens!K3791)/2*cop_px*12/1000</f>
        <v>34.5</v>
      </c>
      <c r="L3792" s="1" t="s">
        <v>881</v>
      </c>
    </row>
    <row r="3793" customFormat="false" ht="17.15" hidden="false" customHeight="false" outlineLevel="0" collapsed="false">
      <c r="A3793" s="0" t="s">
        <v>882</v>
      </c>
      <c r="B3793" s="0" t="s">
        <v>98</v>
      </c>
      <c r="D3793" s="6" t="n">
        <f aca="false">Q!L7-Sens!D3792</f>
        <v>83.705</v>
      </c>
      <c r="E3793" s="6" t="n">
        <f aca="false">Q!M7-Sens!E3792</f>
        <v>95.049</v>
      </c>
      <c r="F3793" s="6" t="n">
        <f aca="false">Sens!E3793*(1+Sens!F3794)</f>
        <v>106.89238776686</v>
      </c>
      <c r="G3793" s="6" t="n">
        <f aca="false">Sens!F3793*(1+Sens!G3794)</f>
        <v>119.044168448684</v>
      </c>
      <c r="H3793" s="6" t="n">
        <f aca="false">Sens!G3793*(1+Sens!H3794)</f>
        <v>131.277359388781</v>
      </c>
      <c r="I3793" s="6" t="n">
        <f aca="false">Sens!H3793*(1+Sens!I3794)</f>
        <v>143.334028071957</v>
      </c>
      <c r="J3793" s="6" t="n">
        <f aca="false">Sens!I3793*(1+Sens!J3794)</f>
        <v>154.932702785465</v>
      </c>
      <c r="K3793" s="6" t="n">
        <f aca="false">Sens!J3793*(1+Sens!K3794)</f>
        <v>165.777991980448</v>
      </c>
    </row>
    <row r="3794" customFormat="false" ht="15" hidden="false" customHeight="false" outlineLevel="0" collapsed="false">
      <c r="A3794" s="1" t="s">
        <v>876</v>
      </c>
      <c r="B3794" s="0" t="s">
        <v>129</v>
      </c>
      <c r="E3794" s="7" t="n">
        <f aca="false">Sens!E3793/Sens!D3793-1</f>
        <v>0.135523564900544</v>
      </c>
      <c r="F3794" s="7" t="n">
        <f aca="false">Sens!$E$3794+(glt_m365b-Sens!$E$3794)*MIN(1,(Sens!F3749-base_fy)/n_conv)</f>
        <v>0.124602970750453</v>
      </c>
      <c r="G3794" s="7" t="n">
        <f aca="false">Sens!$E$3794+(glt_m365b-Sens!$E$3794)*MIN(1,(Sens!G3749-base_fy)/n_conv)</f>
        <v>0.113682376600363</v>
      </c>
      <c r="H3794" s="7" t="n">
        <f aca="false">Sens!$E$3794+(glt_m365b-Sens!$E$3794)*MIN(1,(Sens!H3749-base_fy)/n_conv)</f>
        <v>0.102761782450272</v>
      </c>
      <c r="I3794" s="7" t="n">
        <f aca="false">Sens!$E$3794+(glt_m365b-Sens!$E$3794)*MIN(1,(Sens!I3749-base_fy)/n_conv)</f>
        <v>0.0918411883001813</v>
      </c>
      <c r="J3794" s="7" t="n">
        <f aca="false">Sens!$E$3794+(glt_m365b-Sens!$E$3794)*MIN(1,(Sens!J3749-base_fy)/n_conv)</f>
        <v>0.0809205941500906</v>
      </c>
      <c r="K3794" s="7" t="n">
        <f aca="false">Sens!$E$3794+(glt_m365b-Sens!$E$3794)*MIN(1,(Sens!K3749-base_fy)/n_conv)</f>
        <v>0.07</v>
      </c>
    </row>
    <row r="3795" customFormat="false" ht="15" hidden="false" customHeight="false" outlineLevel="0" collapsed="false">
      <c r="A3795" s="0" t="s">
        <v>883</v>
      </c>
      <c r="B3795" s="0" t="s">
        <v>98</v>
      </c>
      <c r="D3795" s="6" t="n">
        <f aca="false">Sens!D3793+Sens!D3792</f>
        <v>84.605</v>
      </c>
      <c r="E3795" s="6" t="n">
        <f aca="false">Sens!E3793+Sens!E3792</f>
        <v>100.299</v>
      </c>
      <c r="F3795" s="6" t="n">
        <f aca="false">Sens!F3793+Sens!F3792</f>
        <v>118.89238776686</v>
      </c>
      <c r="G3795" s="6" t="n">
        <f aca="false">Sens!G3793+Sens!G3792</f>
        <v>137.044168448684</v>
      </c>
      <c r="H3795" s="6" t="n">
        <f aca="false">Sens!H3793+Sens!H3792</f>
        <v>155.277359388781</v>
      </c>
      <c r="I3795" s="6" t="n">
        <f aca="false">Sens!I3793+Sens!I3792</f>
        <v>171.834028071957</v>
      </c>
      <c r="J3795" s="6" t="n">
        <f aca="false">Sens!J3793+Sens!J3792</f>
        <v>186.432702785465</v>
      </c>
      <c r="K3795" s="6" t="n">
        <f aca="false">Sens!K3793+Sens!K3792</f>
        <v>200.277991980448</v>
      </c>
    </row>
    <row r="3796" customFormat="false" ht="15" hidden="false" customHeight="false" outlineLevel="0" collapsed="false">
      <c r="A3796" s="0" t="s">
        <v>884</v>
      </c>
      <c r="B3796" s="0" t="s">
        <v>98</v>
      </c>
      <c r="D3796" s="6" t="n">
        <f aca="false">Q!L8</f>
        <v>35.391</v>
      </c>
      <c r="E3796" s="6" t="n">
        <f aca="false">Q!M8</f>
        <v>37.285</v>
      </c>
      <c r="F3796" s="6" t="n">
        <f aca="false">Sens!E3796*(1+Sens!F3797)</f>
        <v>39.0720834331704</v>
      </c>
      <c r="G3796" s="6" t="n">
        <f aca="false">Sens!F3796*(1+Sens!G3797)</f>
        <v>40.726562953769</v>
      </c>
      <c r="H3796" s="6" t="n">
        <f aca="false">Sens!G3796*(1+Sens!H3797)</f>
        <v>42.2235987259198</v>
      </c>
      <c r="I3796" s="6" t="n">
        <f aca="false">Sens!H3796*(1+Sens!I3797)</f>
        <v>43.5397988077414</v>
      </c>
      <c r="J3796" s="6" t="n">
        <f aca="false">Sens!I3796*(1+Sens!J3797)</f>
        <v>44.653811225693</v>
      </c>
      <c r="K3796" s="6" t="n">
        <f aca="false">Sens!J3796*(1+Sens!K3797)</f>
        <v>45.5468874502068</v>
      </c>
    </row>
    <row r="3797" customFormat="false" ht="15" hidden="false" customHeight="false" outlineLevel="0" collapsed="false">
      <c r="A3797" s="1" t="s">
        <v>876</v>
      </c>
      <c r="B3797" s="0" t="s">
        <v>129</v>
      </c>
      <c r="E3797" s="7" t="n">
        <f aca="false">Sens!E3796/Sens!D3796-1</f>
        <v>0.0535164307309768</v>
      </c>
      <c r="F3797" s="7" t="n">
        <f aca="false">Sens!$E$3797+(glt_lic-Sens!$E$3797)*MIN(1,(Sens!F3749-base_fy)/n_conv)</f>
        <v>0.0479303589424807</v>
      </c>
      <c r="G3797" s="7" t="n">
        <f aca="false">Sens!$E$3797+(glt_lic-Sens!$E$3797)*MIN(1,(Sens!G3749-base_fy)/n_conv)</f>
        <v>0.0423442871539845</v>
      </c>
      <c r="H3797" s="7" t="n">
        <f aca="false">Sens!$E$3797+(glt_lic-Sens!$E$3797)*MIN(1,(Sens!H3749-base_fy)/n_conv)</f>
        <v>0.0367582153654884</v>
      </c>
      <c r="I3797" s="7" t="n">
        <f aca="false">Sens!$E$3797+(glt_lic-Sens!$E$3797)*MIN(1,(Sens!I3749-base_fy)/n_conv)</f>
        <v>0.0311721435769923</v>
      </c>
      <c r="J3797" s="7" t="n">
        <f aca="false">Sens!$E$3797+(glt_lic-Sens!$E$3797)*MIN(1,(Sens!J3749-base_fy)/n_conv)</f>
        <v>0.0255860717884961</v>
      </c>
      <c r="K3797" s="7" t="n">
        <f aca="false">Sens!$E$3797+(glt_lic-Sens!$E$3797)*MIN(1,(Sens!K3749-base_fy)/n_conv)</f>
        <v>0.02</v>
      </c>
    </row>
    <row r="3798" customFormat="false" ht="15" hidden="false" customHeight="false" outlineLevel="0" collapsed="false">
      <c r="A3798" s="0" t="s">
        <v>885</v>
      </c>
      <c r="B3798" s="0" t="s">
        <v>98</v>
      </c>
      <c r="D3798" s="6" t="n">
        <f aca="false">Q!L9</f>
        <v>18.417</v>
      </c>
      <c r="E3798" s="6" t="n">
        <f aca="false">Q!M9</f>
        <v>20.345</v>
      </c>
      <c r="F3798" s="6" t="n">
        <f aca="false">Sens!E3798*(1+Sens!F3799)</f>
        <v>22.3572203267814</v>
      </c>
      <c r="G3798" s="6" t="n">
        <f aca="false">Sens!F3798*(1+Sens!G3799)</f>
        <v>24.4392124437232</v>
      </c>
      <c r="H3798" s="6" t="n">
        <f aca="false">Sens!G3798*(1+Sens!H3799)</f>
        <v>26.5738052080665</v>
      </c>
      <c r="I3798" s="6" t="n">
        <f aca="false">Sens!H3798*(1+Sens!I3799)</f>
        <v>28.7412169166967</v>
      </c>
      <c r="J3798" s="6" t="n">
        <f aca="false">Sens!I3798*(1+Sens!J3799)</f>
        <v>30.9192545395413</v>
      </c>
      <c r="K3798" s="6" t="n">
        <f aca="false">Sens!J3798*(1+Sens!K3799)</f>
        <v>33.0836023573092</v>
      </c>
    </row>
    <row r="3799" customFormat="false" ht="15" hidden="false" customHeight="false" outlineLevel="0" collapsed="false">
      <c r="A3799" s="1" t="s">
        <v>876</v>
      </c>
      <c r="B3799" s="0" t="s">
        <v>129</v>
      </c>
      <c r="E3799" s="7" t="n">
        <f aca="false">Sens!E3798/Sens!D3798-1</f>
        <v>0.104685888038225</v>
      </c>
      <c r="F3799" s="7" t="n">
        <f aca="false">Sens!$E$3799+(glt_ind-Sens!$E$3799)*MIN(1,(Sens!F3749-base_fy)/n_conv)</f>
        <v>0.0989049066985211</v>
      </c>
      <c r="G3799" s="7" t="n">
        <f aca="false">Sens!$E$3799+(glt_ind-Sens!$E$3799)*MIN(1,(Sens!G3749-base_fy)/n_conv)</f>
        <v>0.0931239253588169</v>
      </c>
      <c r="H3799" s="7" t="n">
        <f aca="false">Sens!$E$3799+(glt_ind-Sens!$E$3799)*MIN(1,(Sens!H3749-base_fy)/n_conv)</f>
        <v>0.0873429440191127</v>
      </c>
      <c r="I3799" s="7" t="n">
        <f aca="false">Sens!$E$3799+(glt_ind-Sens!$E$3799)*MIN(1,(Sens!I3749-base_fy)/n_conv)</f>
        <v>0.0815619626794085</v>
      </c>
      <c r="J3799" s="7" t="n">
        <f aca="false">Sens!$E$3799+(glt_ind-Sens!$E$3799)*MIN(1,(Sens!J3749-base_fy)/n_conv)</f>
        <v>0.0757809813397042</v>
      </c>
      <c r="K3799" s="7" t="n">
        <f aca="false">Sens!$E$3799+(glt_ind-Sens!$E$3799)*MIN(1,(Sens!K3749-base_fy)/n_conv)</f>
        <v>0.07</v>
      </c>
    </row>
    <row r="3800" customFormat="false" ht="15" hidden="false" customHeight="false" outlineLevel="0" collapsed="false">
      <c r="A3800" s="0" t="s">
        <v>886</v>
      </c>
      <c r="B3800" s="0" t="s">
        <v>98</v>
      </c>
      <c r="D3800" s="6" t="n">
        <f aca="false">Q!L10</f>
        <v>7.76</v>
      </c>
      <c r="E3800" s="6" t="n">
        <f aca="false">Q!M10</f>
        <v>8.26</v>
      </c>
      <c r="F3800" s="6" t="n">
        <f aca="false">Sens!E3800*(1+Sens!F3801)</f>
        <v>8.79988041237113</v>
      </c>
      <c r="G3800" s="6" t="n">
        <f aca="false">Sens!F3800*(1+Sens!G3801)</f>
        <v>9.38321269125306</v>
      </c>
      <c r="H3800" s="6" t="n">
        <f aca="false">Sens!G3800*(1+Sens!H3801)</f>
        <v>10.0139193587476</v>
      </c>
      <c r="I3800" s="6" t="n">
        <f aca="false">Sens!H3800*(1+Sens!I3801)</f>
        <v>10.6963111830911</v>
      </c>
      <c r="J3800" s="6" t="n">
        <f aca="false">Sens!I3800*(1+Sens!J3801)</f>
        <v>11.4351285534696</v>
      </c>
      <c r="K3800" s="6" t="n">
        <f aca="false">Sens!J3800*(1+Sens!K3801)</f>
        <v>12.2355875522124</v>
      </c>
    </row>
    <row r="3801" customFormat="false" ht="15" hidden="false" customHeight="false" outlineLevel="0" collapsed="false">
      <c r="A3801" s="1" t="s">
        <v>876</v>
      </c>
      <c r="B3801" s="0" t="s">
        <v>129</v>
      </c>
      <c r="E3801" s="7" t="n">
        <f aca="false">Sens!E3800/Sens!D3800-1</f>
        <v>0.0644329896907216</v>
      </c>
      <c r="F3801" s="7" t="n">
        <f aca="false">Sens!$E$3801+(glt_fro-Sens!$E$3801)*MIN(1,(Sens!F3749-base_fy)/n_conv)</f>
        <v>0.065360824742268</v>
      </c>
      <c r="G3801" s="7" t="n">
        <f aca="false">Sens!$E$3801+(glt_fro-Sens!$E$3801)*MIN(1,(Sens!G3749-base_fy)/n_conv)</f>
        <v>0.0662886597938144</v>
      </c>
      <c r="H3801" s="7" t="n">
        <f aca="false">Sens!$E$3801+(glt_fro-Sens!$E$3801)*MIN(1,(Sens!H3749-base_fy)/n_conv)</f>
        <v>0.0672164948453608</v>
      </c>
      <c r="I3801" s="7" t="n">
        <f aca="false">Sens!$E$3801+(glt_fro-Sens!$E$3801)*MIN(1,(Sens!I3749-base_fy)/n_conv)</f>
        <v>0.0681443298969072</v>
      </c>
      <c r="J3801" s="7" t="n">
        <f aca="false">Sens!$E$3801+(glt_fro-Sens!$E$3801)*MIN(1,(Sens!J3749-base_fy)/n_conv)</f>
        <v>0.0690721649484536</v>
      </c>
      <c r="K3801" s="7" t="n">
        <f aca="false">Sens!$E$3801+(glt_fro-Sens!$E$3801)*MIN(1,(Sens!K3749-base_fy)/n_conv)</f>
        <v>0.07</v>
      </c>
    </row>
    <row r="3802" customFormat="false" ht="15" hidden="false" customHeight="false" outlineLevel="0" collapsed="false">
      <c r="A3802" s="0" t="s">
        <v>715</v>
      </c>
      <c r="B3802" s="0" t="s">
        <v>98</v>
      </c>
      <c r="D3802" s="6" t="n">
        <f aca="false">Sens!D3790+Sens!D3795+Sens!D3796+Sens!D3798+Sens!D3800</f>
        <v>218.783</v>
      </c>
      <c r="E3802" s="6" t="n">
        <f aca="false">Sens!E3790+Sens!E3795+Sens!E3796+Sens!E3798+Sens!E3800</f>
        <v>268.127</v>
      </c>
      <c r="F3802" s="6" t="n">
        <f aca="false">Sens!F3790+Sens!F3795+Sens!F3796+Sens!F3798+Sens!F3800</f>
        <v>337.744206008512</v>
      </c>
      <c r="G3802" s="6" t="n">
        <f aca="false">Sens!G3790+Sens!G3795+Sens!G3796+Sens!G3798+Sens!G3800</f>
        <v>418.415645800287</v>
      </c>
      <c r="H3802" s="6" t="n">
        <f aca="false">Sens!H3790+Sens!H3795+Sens!H3796+Sens!H3798+Sens!H3800</f>
        <v>500.623460279612</v>
      </c>
      <c r="I3802" s="6" t="n">
        <f aca="false">Sens!I3790+Sens!I3795+Sens!I3796+Sens!I3798+Sens!I3800</f>
        <v>575.334375534364</v>
      </c>
      <c r="J3802" s="6" t="n">
        <f aca="false">Sens!J3790+Sens!J3795+Sens!J3796+Sens!J3798+Sens!J3800</f>
        <v>635.061923002962</v>
      </c>
      <c r="K3802" s="6" t="n">
        <f aca="false">Sens!K3790+Sens!K3795+Sens!K3796+Sens!K3798+Sens!K3800</f>
        <v>681.592245258248</v>
      </c>
    </row>
    <row r="3803" customFormat="false" ht="15" hidden="false" customHeight="false" outlineLevel="0" collapsed="false">
      <c r="A3803" s="0" t="s">
        <v>887</v>
      </c>
      <c r="B3803" s="0" t="s">
        <v>98</v>
      </c>
      <c r="D3803" s="6" t="n">
        <f aca="false">Q!L13</f>
        <v>22.171</v>
      </c>
      <c r="E3803" s="6" t="n">
        <f aca="false">Q!M13</f>
        <v>24.835</v>
      </c>
      <c r="F3803" s="6" t="n">
        <f aca="false">Sens!E3803*(1+Sens!F3804)</f>
        <v>27.6114901218559</v>
      </c>
      <c r="G3803" s="6" t="n">
        <f aca="false">Sens!F3803*(1+Sens!G3804)</f>
        <v>30.4675667338515</v>
      </c>
      <c r="H3803" s="6" t="n">
        <f aca="false">Sens!G3803*(1+Sens!H3804)</f>
        <v>33.3643766955789</v>
      </c>
      <c r="I3803" s="6" t="n">
        <f aca="false">Sens!H3803*(1+Sens!I3804)</f>
        <v>36.2577016533691</v>
      </c>
      <c r="J3803" s="6" t="n">
        <f aca="false">Sens!I3803*(1+Sens!J3804)</f>
        <v>39.0988367952171</v>
      </c>
      <c r="K3803" s="6" t="n">
        <f aca="false">Sens!J3803*(1+Sens!K3804)</f>
        <v>41.8357553708823</v>
      </c>
    </row>
    <row r="3804" customFormat="false" ht="15" hidden="false" customHeight="false" outlineLevel="0" collapsed="false">
      <c r="A3804" s="1" t="s">
        <v>876</v>
      </c>
      <c r="B3804" s="0" t="s">
        <v>129</v>
      </c>
      <c r="E3804" s="7" t="n">
        <f aca="false">Sens!E3803/Sens!D3803-1</f>
        <v>0.120156961796942</v>
      </c>
      <c r="F3804" s="7" t="n">
        <f aca="false">Sens!$E$3804+(glt_srch-Sens!$E$3804)*MIN(1,(Sens!F3749-base_fy)/n_conv)</f>
        <v>0.111797468164118</v>
      </c>
      <c r="G3804" s="7" t="n">
        <f aca="false">Sens!$E$3804+(glt_srch-Sens!$E$3804)*MIN(1,(Sens!G3749-base_fy)/n_conv)</f>
        <v>0.103437974531295</v>
      </c>
      <c r="H3804" s="7" t="n">
        <f aca="false">Sens!$E$3804+(glt_srch-Sens!$E$3804)*MIN(1,(Sens!H3749-base_fy)/n_conv)</f>
        <v>0.095078480898471</v>
      </c>
      <c r="I3804" s="7" t="n">
        <f aca="false">Sens!$E$3804+(glt_srch-Sens!$E$3804)*MIN(1,(Sens!I3749-base_fy)/n_conv)</f>
        <v>0.0867189872656474</v>
      </c>
      <c r="J3804" s="7" t="n">
        <f aca="false">Sens!$E$3804+(glt_srch-Sens!$E$3804)*MIN(1,(Sens!J3749-base_fy)/n_conv)</f>
        <v>0.0783594936328237</v>
      </c>
      <c r="K3804" s="7" t="n">
        <f aca="false">Sens!$E$3804+(glt_srch-Sens!$E$3804)*MIN(1,(Sens!K3749-base_fy)/n_conv)</f>
        <v>0.07</v>
      </c>
    </row>
    <row r="3805" customFormat="false" ht="15" hidden="false" customHeight="false" outlineLevel="0" collapsed="false">
      <c r="A3805" s="0" t="s">
        <v>888</v>
      </c>
      <c r="B3805" s="0" t="s">
        <v>98</v>
      </c>
      <c r="D3805" s="6" t="n">
        <f aca="false">Q!L14</f>
        <v>23.455</v>
      </c>
      <c r="E3805" s="6" t="n">
        <f aca="false">Q!M14</f>
        <v>21.79</v>
      </c>
      <c r="F3805" s="6" t="n">
        <f aca="false">Sens!E3805*(1+Sens!F3806)</f>
        <v>20.5736277908051</v>
      </c>
      <c r="G3805" s="6" t="n">
        <f aca="false">Sens!F3805*(1+Sens!G3806)</f>
        <v>19.7371452817919</v>
      </c>
      <c r="H3805" s="6" t="n">
        <f aca="false">Sens!G3805*(1+Sens!H3806)</f>
        <v>19.2339764043138</v>
      </c>
      <c r="I3805" s="6" t="n">
        <f aca="false">Sens!H3805*(1+Sens!I3806)</f>
        <v>19.0353086852681</v>
      </c>
      <c r="J3805" s="6" t="n">
        <f aca="false">Sens!I3805*(1+Sens!J3806)</f>
        <v>19.1273539319129</v>
      </c>
      <c r="K3805" s="6" t="n">
        <f aca="false">Sens!J3805*(1+Sens!K3806)</f>
        <v>19.5099010105511</v>
      </c>
    </row>
    <row r="3806" customFormat="false" ht="15" hidden="false" customHeight="false" outlineLevel="0" collapsed="false">
      <c r="A3806" s="1" t="s">
        <v>876</v>
      </c>
      <c r="B3806" s="0" t="s">
        <v>129</v>
      </c>
      <c r="E3806" s="7" t="n">
        <f aca="false">Sens!E3805/Sens!D3805-1</f>
        <v>-0.0709869963760392</v>
      </c>
      <c r="F3806" s="7" t="n">
        <f aca="false">Sens!$E$3806+(glt_xbox-Sens!$E$3806)*MIN(1,(Sens!F3749-base_fy)/n_conv)</f>
        <v>-0.0558224969800327</v>
      </c>
      <c r="G3806" s="7" t="n">
        <f aca="false">Sens!$E$3806+(glt_xbox-Sens!$E$3806)*MIN(1,(Sens!G3749-base_fy)/n_conv)</f>
        <v>-0.0406579975840262</v>
      </c>
      <c r="H3806" s="7" t="n">
        <f aca="false">Sens!$E$3806+(glt_xbox-Sens!$E$3806)*MIN(1,(Sens!H3749-base_fy)/n_conv)</f>
        <v>-0.0254934981880196</v>
      </c>
      <c r="I3806" s="7" t="n">
        <f aca="false">Sens!$E$3806+(glt_xbox-Sens!$E$3806)*MIN(1,(Sens!I3749-base_fy)/n_conv)</f>
        <v>-0.0103289987920131</v>
      </c>
      <c r="J3806" s="7" t="n">
        <f aca="false">Sens!$E$3806+(glt_xbox-Sens!$E$3806)*MIN(1,(Sens!J3749-base_fy)/n_conv)</f>
        <v>0.00483550060399347</v>
      </c>
      <c r="K3806" s="7" t="n">
        <f aca="false">Sens!$E$3806+(glt_xbox-Sens!$E$3806)*MIN(1,(Sens!K3749-base_fy)/n_conv)</f>
        <v>0.02</v>
      </c>
    </row>
    <row r="3807" customFormat="false" ht="15" hidden="false" customHeight="false" outlineLevel="0" collapsed="false">
      <c r="A3807" s="0" t="s">
        <v>889</v>
      </c>
      <c r="B3807" s="0" t="s">
        <v>98</v>
      </c>
      <c r="D3807" s="6" t="n">
        <f aca="false">Q!L15</f>
        <v>17.315</v>
      </c>
      <c r="E3807" s="6" t="n">
        <f aca="false">Q!M15</f>
        <v>17.087</v>
      </c>
      <c r="F3807" s="6" t="n">
        <f aca="false">Sens!E3807*(1+Sens!F3808)</f>
        <v>16.9564585436519</v>
      </c>
      <c r="G3807" s="6" t="n">
        <f aca="false">Sens!F3807*(1+Sens!G3808)</f>
        <v>16.9206490624268</v>
      </c>
      <c r="H3807" s="6" t="n">
        <f aca="false">Sens!G3807*(1+Sens!H3808)</f>
        <v>16.9784519149849</v>
      </c>
      <c r="I3807" s="6" t="n">
        <f aca="false">Sens!H3807*(1+Sens!I3808)</f>
        <v>17.1303084701817</v>
      </c>
      <c r="J3807" s="6" t="n">
        <f aca="false">Sens!I3807*(1+Sens!J3808)</f>
        <v>17.3782189407267</v>
      </c>
      <c r="K3807" s="6" t="n">
        <f aca="false">Sens!J3807*(1+Sens!K3808)</f>
        <v>17.7257833195413</v>
      </c>
    </row>
    <row r="3808" customFormat="false" ht="15" hidden="false" customHeight="false" outlineLevel="0" collapsed="false">
      <c r="A3808" s="1" t="s">
        <v>876</v>
      </c>
      <c r="B3808" s="0" t="s">
        <v>129</v>
      </c>
      <c r="E3808" s="7" t="n">
        <f aca="false">Sens!E3807/Sens!D3807-1</f>
        <v>-0.0131677736066995</v>
      </c>
      <c r="F3808" s="7" t="n">
        <f aca="false">Sens!$E$3808+(glt_win-Sens!$E$3808)*MIN(1,(Sens!F3749-base_fy)/n_conv)</f>
        <v>-0.00763981133891627</v>
      </c>
      <c r="G3808" s="7" t="n">
        <f aca="false">Sens!$E$3808+(glt_win-Sens!$E$3808)*MIN(1,(Sens!G3749-base_fy)/n_conv)</f>
        <v>-0.00211184907113301</v>
      </c>
      <c r="H3808" s="7" t="n">
        <f aca="false">Sens!$E$3808+(glt_win-Sens!$E$3808)*MIN(1,(Sens!H3749-base_fy)/n_conv)</f>
        <v>0.00341611319665024</v>
      </c>
      <c r="I3808" s="7" t="n">
        <f aca="false">Sens!$E$3808+(glt_win-Sens!$E$3808)*MIN(1,(Sens!I3749-base_fy)/n_conv)</f>
        <v>0.00894407546443349</v>
      </c>
      <c r="J3808" s="7" t="n">
        <f aca="false">Sens!$E$3808+(glt_win-Sens!$E$3808)*MIN(1,(Sens!J3749-base_fy)/n_conv)</f>
        <v>0.0144720377322168</v>
      </c>
      <c r="K3808" s="7" t="n">
        <f aca="false">Sens!$E$3808+(glt_win-Sens!$E$3808)*MIN(1,(Sens!K3749-base_fy)/n_conv)</f>
        <v>0.02</v>
      </c>
    </row>
    <row r="3809" customFormat="false" ht="15" hidden="false" customHeight="false" outlineLevel="0" collapsed="false">
      <c r="A3809" s="0" t="s">
        <v>729</v>
      </c>
      <c r="B3809" s="0" t="s">
        <v>98</v>
      </c>
      <c r="D3809" s="6" t="n">
        <f aca="false">Sens!D3803+Sens!D3805+Sens!D3807</f>
        <v>62.941</v>
      </c>
      <c r="E3809" s="6" t="n">
        <f aca="false">Sens!E3803+Sens!E3805+Sens!E3807</f>
        <v>63.712</v>
      </c>
      <c r="F3809" s="6" t="n">
        <f aca="false">Sens!F3803+Sens!F3805+Sens!F3807</f>
        <v>65.1415764563129</v>
      </c>
      <c r="G3809" s="6" t="n">
        <f aca="false">Sens!G3803+Sens!G3805+Sens!G3807</f>
        <v>67.1253610780702</v>
      </c>
      <c r="H3809" s="6" t="n">
        <f aca="false">Sens!H3803+Sens!H3805+Sens!H3807</f>
        <v>69.5768050148776</v>
      </c>
      <c r="I3809" s="6" t="n">
        <f aca="false">Sens!I3803+Sens!I3805+Sens!I3807</f>
        <v>72.4233188088189</v>
      </c>
      <c r="J3809" s="6" t="n">
        <f aca="false">Sens!J3803+Sens!J3805+Sens!J3807</f>
        <v>75.6044096678567</v>
      </c>
      <c r="K3809" s="6" t="n">
        <f aca="false">Sens!K3803+Sens!K3805+Sens!K3807</f>
        <v>79.0714397009747</v>
      </c>
    </row>
    <row r="3810" customFormat="false" ht="15" hidden="false" customHeight="false" outlineLevel="0" collapsed="false">
      <c r="A3810" s="1" t="s">
        <v>890</v>
      </c>
      <c r="B3810" s="0" t="s">
        <v>98</v>
      </c>
      <c r="D3810" s="6" t="n">
        <f aca="false">Sens!D3802+Sens!D3809</f>
        <v>281.724</v>
      </c>
      <c r="E3810" s="6" t="n">
        <f aca="false">Sens!E3802+Sens!E3809</f>
        <v>331.839</v>
      </c>
      <c r="F3810" s="6" t="n">
        <f aca="false">Sens!F3802+Sens!F3809</f>
        <v>402.885782464824</v>
      </c>
      <c r="G3810" s="6" t="n">
        <f aca="false">Sens!G3802+Sens!G3809</f>
        <v>485.541006878357</v>
      </c>
      <c r="H3810" s="6" t="n">
        <f aca="false">Sens!H3802+Sens!H3809</f>
        <v>570.20026529449</v>
      </c>
      <c r="I3810" s="6" t="n">
        <f aca="false">Sens!I3802+Sens!I3809</f>
        <v>647.757694343183</v>
      </c>
      <c r="J3810" s="6" t="n">
        <f aca="false">Sens!J3802+Sens!J3809</f>
        <v>710.666332670819</v>
      </c>
      <c r="K3810" s="6" t="n">
        <f aca="false">Sens!K3802+Sens!K3809</f>
        <v>760.663684959223</v>
      </c>
    </row>
    <row r="3811" customFormat="false" ht="15" hidden="false" customHeight="false" outlineLevel="0" collapsed="false">
      <c r="A3811" s="23" t="s">
        <v>891</v>
      </c>
      <c r="B3811" s="30" t="s">
        <v>98</v>
      </c>
      <c r="C3811" s="30"/>
      <c r="D3811" s="24" t="n">
        <f aca="false">(Sens!D3790+Sens!D3795+Sens!D3796+Sens!D3798+Sens!D3800-Sens!D3802)+(Sens!D3803+Sens!D3805+Sens!D3807-Sens!D3809)+(Sens!D3802-Q!L5)+(Sens!D3809-Q!L12)+(Sens!D3790-Q!L6)+(Sens!D3795-Q!L7)</f>
        <v>0</v>
      </c>
      <c r="E3811" s="24" t="n">
        <f aca="false">(Sens!E3790+Sens!E3795+Sens!E3796+Sens!E3798+Sens!E3800-Sens!E3802)+(Sens!E3803+Sens!E3805+Sens!E3807-Sens!E3809)+(Sens!E3802-Q!M5)+(Sens!E3809-Q!M12)+(Sens!E3790-Q!M6)+(Sens!E3795-Q!M7)</f>
        <v>0</v>
      </c>
      <c r="F3811" s="24" t="n">
        <f aca="false">(Sens!F3790+Sens!F3795+Sens!F3796+Sens!F3798+Sens!F3800-Sens!F3802)+(Sens!F3803+Sens!F3805+Sens!F3807-Sens!F3809)</f>
        <v>0</v>
      </c>
      <c r="G3811" s="24" t="n">
        <f aca="false">(Sens!G3790+Sens!G3795+Sens!G3796+Sens!G3798+Sens!G3800-Sens!G3802)+(Sens!G3803+Sens!G3805+Sens!G3807-Sens!G3809)</f>
        <v>0</v>
      </c>
      <c r="H3811" s="24" t="n">
        <f aca="false">(Sens!H3790+Sens!H3795+Sens!H3796+Sens!H3798+Sens!H3800-Sens!H3802)+(Sens!H3803+Sens!H3805+Sens!H3807-Sens!H3809)</f>
        <v>0</v>
      </c>
      <c r="I3811" s="24" t="n">
        <f aca="false">(Sens!I3790+Sens!I3795+Sens!I3796+Sens!I3798+Sens!I3800-Sens!I3802)+(Sens!I3803+Sens!I3805+Sens!I3807-Sens!I3809)</f>
        <v>0</v>
      </c>
      <c r="J3811" s="24" t="n">
        <f aca="false">(Sens!J3790+Sens!J3795+Sens!J3796+Sens!J3798+Sens!J3800-Sens!J3802)+(Sens!J3803+Sens!J3805+Sens!J3807-Sens!J3809)</f>
        <v>0</v>
      </c>
      <c r="K3811" s="24" t="n">
        <f aca="false">(Sens!K3790+Sens!K3795+Sens!K3796+Sens!K3798+Sens!K3800-Sens!K3802)+(Sens!K3803+Sens!K3805+Sens!K3807-Sens!K3809)</f>
        <v>0</v>
      </c>
    </row>
    <row r="3812" customFormat="false" ht="17.15" hidden="false" customHeight="false" outlineLevel="0" collapsed="false">
      <c r="A3812" s="3" t="s">
        <v>1359</v>
      </c>
    </row>
    <row r="3813" customFormat="false" ht="15" hidden="false" customHeight="false" outlineLevel="0" collapsed="false">
      <c r="A3813" s="4" t="s">
        <v>43</v>
      </c>
      <c r="B3813" s="4" t="s">
        <v>65</v>
      </c>
      <c r="C3813" s="20" t="s">
        <v>799</v>
      </c>
      <c r="D3813" s="20" t="s">
        <v>800</v>
      </c>
      <c r="E3813" s="20" t="s">
        <v>801</v>
      </c>
      <c r="F3813" s="20" t="s">
        <v>802</v>
      </c>
      <c r="G3813" s="20" t="s">
        <v>803</v>
      </c>
      <c r="H3813" s="20" t="s">
        <v>804</v>
      </c>
      <c r="I3813" s="20" t="s">
        <v>805</v>
      </c>
      <c r="J3813" s="20" t="s">
        <v>806</v>
      </c>
      <c r="K3813" s="20" t="s">
        <v>807</v>
      </c>
      <c r="L3813" s="4" t="s">
        <v>47</v>
      </c>
    </row>
    <row r="3814" customFormat="false" ht="15" hidden="false" customHeight="false" outlineLevel="0" collapsed="false">
      <c r="A3814" s="0" t="s">
        <v>877</v>
      </c>
      <c r="B3814" s="0" t="s">
        <v>98</v>
      </c>
      <c r="D3814" s="6" t="n">
        <f aca="false">Sens!D3790</f>
        <v>72.61</v>
      </c>
      <c r="E3814" s="6" t="n">
        <f aca="false">Sens!E3790</f>
        <v>101.938</v>
      </c>
      <c r="F3814" s="6" t="n">
        <f aca="false">Sens!F3790</f>
        <v>148.622634069329</v>
      </c>
      <c r="G3814" s="6" t="n">
        <f aca="false">Sens!G3790</f>
        <v>206.822489262858</v>
      </c>
      <c r="H3814" s="6" t="n">
        <f aca="false">Sens!H3790</f>
        <v>266.534777598097</v>
      </c>
      <c r="I3814" s="6" t="n">
        <f aca="false">Sens!I3790</f>
        <v>320.523020554878</v>
      </c>
      <c r="J3814" s="6" t="n">
        <f aca="false">Sens!J3790</f>
        <v>361.621025898793</v>
      </c>
      <c r="K3814" s="6" t="n">
        <f aca="false">Sens!K3790</f>
        <v>390.448175918072</v>
      </c>
    </row>
    <row r="3815" customFormat="false" ht="17.15" hidden="false" customHeight="false" outlineLevel="0" collapsed="false">
      <c r="A3815" s="0" t="s">
        <v>874</v>
      </c>
      <c r="B3815" s="0" t="s">
        <v>98</v>
      </c>
      <c r="D3815" s="6" t="n">
        <f aca="false">Sens!D3787</f>
        <v>12.9359794422418</v>
      </c>
      <c r="E3815" s="6" t="n">
        <f aca="false">Sens!E3787</f>
        <v>27.8095064661409</v>
      </c>
      <c r="F3815" s="6" t="n">
        <f aca="false">Sens!F3787</f>
        <v>58.5426843319625</v>
      </c>
      <c r="G3815" s="6" t="n">
        <f aca="false">Sens!G3787</f>
        <v>99.7940640595479</v>
      </c>
      <c r="H3815" s="6" t="n">
        <f aca="false">Sens!H3787</f>
        <v>142.262795012461</v>
      </c>
      <c r="I3815" s="6" t="n">
        <f aca="false">Sens!I3787</f>
        <v>179.589318173023</v>
      </c>
      <c r="J3815" s="6" t="n">
        <f aca="false">Sens!J3787</f>
        <v>205.602158584462</v>
      </c>
      <c r="K3815" s="6" t="n">
        <f aca="false">Sens!K3787</f>
        <v>221.947799218594</v>
      </c>
    </row>
    <row r="3816" customFormat="false" ht="17.15" hidden="false" customHeight="false" outlineLevel="0" collapsed="false">
      <c r="A3816" s="0" t="s">
        <v>902</v>
      </c>
      <c r="B3816" s="0" t="s">
        <v>98</v>
      </c>
      <c r="D3816" s="6" t="n">
        <f aca="false">Sens!D3788</f>
        <v>59.6740205577583</v>
      </c>
      <c r="E3816" s="6" t="n">
        <f aca="false">Sens!E3788</f>
        <v>74.1284935338591</v>
      </c>
      <c r="F3816" s="6" t="n">
        <f aca="false">Sens!F3788</f>
        <v>90.0799497373663</v>
      </c>
      <c r="G3816" s="6" t="n">
        <f aca="false">Sens!G3788</f>
        <v>107.02842520331</v>
      </c>
      <c r="H3816" s="6" t="n">
        <f aca="false">Sens!H3788</f>
        <v>124.271982585636</v>
      </c>
      <c r="I3816" s="6" t="n">
        <f aca="false">Sens!I3788</f>
        <v>140.933702381855</v>
      </c>
      <c r="J3816" s="6" t="n">
        <f aca="false">Sens!J3788</f>
        <v>156.018867314332</v>
      </c>
      <c r="K3816" s="6" t="n">
        <f aca="false">Sens!K3788</f>
        <v>168.500376699478</v>
      </c>
    </row>
    <row r="3817" customFormat="false" ht="15" hidden="false" customHeight="false" outlineLevel="0" collapsed="false">
      <c r="A3817" s="0" t="s">
        <v>883</v>
      </c>
      <c r="B3817" s="0" t="s">
        <v>98</v>
      </c>
      <c r="D3817" s="6" t="n">
        <f aca="false">Sens!D3795</f>
        <v>84.605</v>
      </c>
      <c r="E3817" s="6" t="n">
        <f aca="false">Sens!E3795</f>
        <v>100.299</v>
      </c>
      <c r="F3817" s="6" t="n">
        <f aca="false">Sens!F3795</f>
        <v>118.89238776686</v>
      </c>
      <c r="G3817" s="6" t="n">
        <f aca="false">Sens!G3795</f>
        <v>137.044168448684</v>
      </c>
      <c r="H3817" s="6" t="n">
        <f aca="false">Sens!H3795</f>
        <v>155.277359388781</v>
      </c>
      <c r="I3817" s="6" t="n">
        <f aca="false">Sens!I3795</f>
        <v>171.834028071957</v>
      </c>
      <c r="J3817" s="6" t="n">
        <f aca="false">Sens!J3795</f>
        <v>186.432702785465</v>
      </c>
      <c r="K3817" s="6" t="n">
        <f aca="false">Sens!K3795</f>
        <v>200.277991980448</v>
      </c>
    </row>
    <row r="3818" customFormat="false" ht="17.15" hidden="false" customHeight="false" outlineLevel="0" collapsed="false">
      <c r="A3818" s="0" t="s">
        <v>903</v>
      </c>
      <c r="B3818" s="0" t="s">
        <v>98</v>
      </c>
      <c r="D3818" s="6" t="n">
        <f aca="false">Sens!D3793</f>
        <v>83.705</v>
      </c>
      <c r="E3818" s="6" t="n">
        <f aca="false">Sens!E3793</f>
        <v>95.049</v>
      </c>
      <c r="F3818" s="6" t="n">
        <f aca="false">Sens!F3793</f>
        <v>106.89238776686</v>
      </c>
      <c r="G3818" s="6" t="n">
        <f aca="false">Sens!G3793</f>
        <v>119.044168448684</v>
      </c>
      <c r="H3818" s="6" t="n">
        <f aca="false">Sens!H3793</f>
        <v>131.277359388781</v>
      </c>
      <c r="I3818" s="6" t="n">
        <f aca="false">Sens!I3793</f>
        <v>143.334028071957</v>
      </c>
      <c r="J3818" s="6" t="n">
        <f aca="false">Sens!J3793</f>
        <v>154.932702785465</v>
      </c>
      <c r="K3818" s="6" t="n">
        <f aca="false">Sens!K3793</f>
        <v>165.777991980448</v>
      </c>
    </row>
    <row r="3819" customFormat="false" ht="17.15" hidden="false" customHeight="false" outlineLevel="0" collapsed="false">
      <c r="A3819" s="0" t="s">
        <v>904</v>
      </c>
      <c r="B3819" s="0" t="s">
        <v>98</v>
      </c>
      <c r="D3819" s="6" t="n">
        <f aca="false">Sens!D3792</f>
        <v>0.9</v>
      </c>
      <c r="E3819" s="6" t="n">
        <f aca="false">Sens!E3792</f>
        <v>5.25</v>
      </c>
      <c r="F3819" s="6" t="n">
        <f aca="false">Sens!F3792</f>
        <v>12</v>
      </c>
      <c r="G3819" s="6" t="n">
        <f aca="false">Sens!G3792</f>
        <v>18</v>
      </c>
      <c r="H3819" s="6" t="n">
        <f aca="false">Sens!H3792</f>
        <v>24</v>
      </c>
      <c r="I3819" s="6" t="n">
        <f aca="false">Sens!I3792</f>
        <v>28.5</v>
      </c>
      <c r="J3819" s="6" t="n">
        <f aca="false">Sens!J3792</f>
        <v>31.5</v>
      </c>
      <c r="K3819" s="6" t="n">
        <f aca="false">Sens!K3792</f>
        <v>34.5</v>
      </c>
    </row>
    <row r="3820" customFormat="false" ht="15" hidden="false" customHeight="false" outlineLevel="0" collapsed="false">
      <c r="A3820" s="0" t="s">
        <v>884</v>
      </c>
      <c r="B3820" s="0" t="s">
        <v>98</v>
      </c>
      <c r="D3820" s="6" t="n">
        <f aca="false">Sens!D3796</f>
        <v>35.391</v>
      </c>
      <c r="E3820" s="6" t="n">
        <f aca="false">Sens!E3796</f>
        <v>37.285</v>
      </c>
      <c r="F3820" s="6" t="n">
        <f aca="false">Sens!F3796</f>
        <v>39.0720834331704</v>
      </c>
      <c r="G3820" s="6" t="n">
        <f aca="false">Sens!G3796</f>
        <v>40.726562953769</v>
      </c>
      <c r="H3820" s="6" t="n">
        <f aca="false">Sens!H3796</f>
        <v>42.2235987259198</v>
      </c>
      <c r="I3820" s="6" t="n">
        <f aca="false">Sens!I3796</f>
        <v>43.5397988077414</v>
      </c>
      <c r="J3820" s="6" t="n">
        <f aca="false">Sens!J3796</f>
        <v>44.653811225693</v>
      </c>
      <c r="K3820" s="6" t="n">
        <f aca="false">Sens!K3796</f>
        <v>45.5468874502068</v>
      </c>
    </row>
    <row r="3821" customFormat="false" ht="15" hidden="false" customHeight="false" outlineLevel="0" collapsed="false">
      <c r="A3821" s="0" t="s">
        <v>885</v>
      </c>
      <c r="B3821" s="0" t="s">
        <v>98</v>
      </c>
      <c r="D3821" s="6" t="n">
        <f aca="false">Sens!D3798</f>
        <v>18.417</v>
      </c>
      <c r="E3821" s="6" t="n">
        <f aca="false">Sens!E3798</f>
        <v>20.345</v>
      </c>
      <c r="F3821" s="6" t="n">
        <f aca="false">Sens!F3798</f>
        <v>22.3572203267814</v>
      </c>
      <c r="G3821" s="6" t="n">
        <f aca="false">Sens!G3798</f>
        <v>24.4392124437232</v>
      </c>
      <c r="H3821" s="6" t="n">
        <f aca="false">Sens!H3798</f>
        <v>26.5738052080665</v>
      </c>
      <c r="I3821" s="6" t="n">
        <f aca="false">Sens!I3798</f>
        <v>28.7412169166967</v>
      </c>
      <c r="J3821" s="6" t="n">
        <f aca="false">Sens!J3798</f>
        <v>30.9192545395413</v>
      </c>
      <c r="K3821" s="6" t="n">
        <f aca="false">Sens!K3798</f>
        <v>33.0836023573092</v>
      </c>
    </row>
    <row r="3822" customFormat="false" ht="15" hidden="false" customHeight="false" outlineLevel="0" collapsed="false">
      <c r="A3822" s="0" t="s">
        <v>886</v>
      </c>
      <c r="B3822" s="0" t="s">
        <v>98</v>
      </c>
      <c r="D3822" s="6" t="n">
        <f aca="false">Sens!D3800</f>
        <v>7.76</v>
      </c>
      <c r="E3822" s="6" t="n">
        <f aca="false">Sens!E3800</f>
        <v>8.26</v>
      </c>
      <c r="F3822" s="6" t="n">
        <f aca="false">Sens!F3800</f>
        <v>8.79988041237113</v>
      </c>
      <c r="G3822" s="6" t="n">
        <f aca="false">Sens!G3800</f>
        <v>9.38321269125306</v>
      </c>
      <c r="H3822" s="6" t="n">
        <f aca="false">Sens!H3800</f>
        <v>10.0139193587476</v>
      </c>
      <c r="I3822" s="6" t="n">
        <f aca="false">Sens!I3800</f>
        <v>10.6963111830911</v>
      </c>
      <c r="J3822" s="6" t="n">
        <f aca="false">Sens!J3800</f>
        <v>11.4351285534696</v>
      </c>
      <c r="K3822" s="6" t="n">
        <f aca="false">Sens!K3800</f>
        <v>12.2355875522124</v>
      </c>
    </row>
    <row r="3823" customFormat="false" ht="15" hidden="false" customHeight="false" outlineLevel="0" collapsed="false">
      <c r="A3823" s="0" t="s">
        <v>715</v>
      </c>
      <c r="B3823" s="0" t="s">
        <v>98</v>
      </c>
      <c r="D3823" s="6" t="n">
        <f aca="false">Sens!D3802</f>
        <v>218.783</v>
      </c>
      <c r="E3823" s="6" t="n">
        <f aca="false">Sens!E3802</f>
        <v>268.127</v>
      </c>
      <c r="F3823" s="6" t="n">
        <f aca="false">Sens!F3802</f>
        <v>337.744206008512</v>
      </c>
      <c r="G3823" s="6" t="n">
        <f aca="false">Sens!G3802</f>
        <v>418.415645800287</v>
      </c>
      <c r="H3823" s="6" t="n">
        <f aca="false">Sens!H3802</f>
        <v>500.623460279612</v>
      </c>
      <c r="I3823" s="6" t="n">
        <f aca="false">Sens!I3802</f>
        <v>575.334375534364</v>
      </c>
      <c r="J3823" s="6" t="n">
        <f aca="false">Sens!J3802</f>
        <v>635.061923002962</v>
      </c>
      <c r="K3823" s="6" t="n">
        <f aca="false">Sens!K3802</f>
        <v>681.592245258248</v>
      </c>
    </row>
    <row r="3824" customFormat="false" ht="15" hidden="false" customHeight="false" outlineLevel="0" collapsed="false">
      <c r="A3824" s="0" t="s">
        <v>887</v>
      </c>
      <c r="B3824" s="0" t="s">
        <v>98</v>
      </c>
      <c r="D3824" s="6" t="n">
        <f aca="false">Sens!D3803</f>
        <v>22.171</v>
      </c>
      <c r="E3824" s="6" t="n">
        <f aca="false">Sens!E3803</f>
        <v>24.835</v>
      </c>
      <c r="F3824" s="6" t="n">
        <f aca="false">Sens!F3803</f>
        <v>27.6114901218559</v>
      </c>
      <c r="G3824" s="6" t="n">
        <f aca="false">Sens!G3803</f>
        <v>30.4675667338515</v>
      </c>
      <c r="H3824" s="6" t="n">
        <f aca="false">Sens!H3803</f>
        <v>33.3643766955789</v>
      </c>
      <c r="I3824" s="6" t="n">
        <f aca="false">Sens!I3803</f>
        <v>36.2577016533691</v>
      </c>
      <c r="J3824" s="6" t="n">
        <f aca="false">Sens!J3803</f>
        <v>39.0988367952171</v>
      </c>
      <c r="K3824" s="6" t="n">
        <f aca="false">Sens!K3803</f>
        <v>41.8357553708823</v>
      </c>
    </row>
    <row r="3825" customFormat="false" ht="15" hidden="false" customHeight="false" outlineLevel="0" collapsed="false">
      <c r="A3825" s="0" t="s">
        <v>888</v>
      </c>
      <c r="B3825" s="0" t="s">
        <v>98</v>
      </c>
      <c r="D3825" s="6" t="n">
        <f aca="false">Sens!D3805</f>
        <v>23.455</v>
      </c>
      <c r="E3825" s="6" t="n">
        <f aca="false">Sens!E3805</f>
        <v>21.79</v>
      </c>
      <c r="F3825" s="6" t="n">
        <f aca="false">Sens!F3805</f>
        <v>20.5736277908051</v>
      </c>
      <c r="G3825" s="6" t="n">
        <f aca="false">Sens!G3805</f>
        <v>19.7371452817919</v>
      </c>
      <c r="H3825" s="6" t="n">
        <f aca="false">Sens!H3805</f>
        <v>19.2339764043138</v>
      </c>
      <c r="I3825" s="6" t="n">
        <f aca="false">Sens!I3805</f>
        <v>19.0353086852681</v>
      </c>
      <c r="J3825" s="6" t="n">
        <f aca="false">Sens!J3805</f>
        <v>19.1273539319129</v>
      </c>
      <c r="K3825" s="6" t="n">
        <f aca="false">Sens!K3805</f>
        <v>19.5099010105511</v>
      </c>
    </row>
    <row r="3826" customFormat="false" ht="15" hidden="false" customHeight="false" outlineLevel="0" collapsed="false">
      <c r="A3826" s="0" t="s">
        <v>889</v>
      </c>
      <c r="B3826" s="0" t="s">
        <v>98</v>
      </c>
      <c r="D3826" s="6" t="n">
        <f aca="false">Sens!D3807</f>
        <v>17.315</v>
      </c>
      <c r="E3826" s="6" t="n">
        <f aca="false">Sens!E3807</f>
        <v>17.087</v>
      </c>
      <c r="F3826" s="6" t="n">
        <f aca="false">Sens!F3807</f>
        <v>16.9564585436519</v>
      </c>
      <c r="G3826" s="6" t="n">
        <f aca="false">Sens!G3807</f>
        <v>16.9206490624268</v>
      </c>
      <c r="H3826" s="6" t="n">
        <f aca="false">Sens!H3807</f>
        <v>16.9784519149849</v>
      </c>
      <c r="I3826" s="6" t="n">
        <f aca="false">Sens!I3807</f>
        <v>17.1303084701817</v>
      </c>
      <c r="J3826" s="6" t="n">
        <f aca="false">Sens!J3807</f>
        <v>17.3782189407267</v>
      </c>
      <c r="K3826" s="6" t="n">
        <f aca="false">Sens!K3807</f>
        <v>17.7257833195413</v>
      </c>
    </row>
    <row r="3827" customFormat="false" ht="15" hidden="false" customHeight="false" outlineLevel="0" collapsed="false">
      <c r="A3827" s="0" t="s">
        <v>729</v>
      </c>
      <c r="B3827" s="0" t="s">
        <v>98</v>
      </c>
      <c r="D3827" s="6" t="n">
        <f aca="false">Sens!D3809</f>
        <v>62.941</v>
      </c>
      <c r="E3827" s="6" t="n">
        <f aca="false">Sens!E3809</f>
        <v>63.712</v>
      </c>
      <c r="F3827" s="6" t="n">
        <f aca="false">Sens!F3809</f>
        <v>65.1415764563129</v>
      </c>
      <c r="G3827" s="6" t="n">
        <f aca="false">Sens!G3809</f>
        <v>67.1253610780702</v>
      </c>
      <c r="H3827" s="6" t="n">
        <f aca="false">Sens!H3809</f>
        <v>69.5768050148776</v>
      </c>
      <c r="I3827" s="6" t="n">
        <f aca="false">Sens!I3809</f>
        <v>72.4233188088189</v>
      </c>
      <c r="J3827" s="6" t="n">
        <f aca="false">Sens!J3809</f>
        <v>75.6044096678567</v>
      </c>
      <c r="K3827" s="6" t="n">
        <f aca="false">Sens!K3809</f>
        <v>79.0714397009747</v>
      </c>
    </row>
    <row r="3828" customFormat="false" ht="15" hidden="false" customHeight="false" outlineLevel="0" collapsed="false">
      <c r="A3828" s="1" t="s">
        <v>905</v>
      </c>
      <c r="B3828" s="0" t="s">
        <v>98</v>
      </c>
      <c r="D3828" s="6" t="n">
        <f aca="false">Sens!D3810</f>
        <v>281.724</v>
      </c>
      <c r="E3828" s="6" t="n">
        <f aca="false">Sens!E3810</f>
        <v>331.839</v>
      </c>
      <c r="F3828" s="6" t="n">
        <f aca="false">Sens!F3810</f>
        <v>402.885782464824</v>
      </c>
      <c r="G3828" s="6" t="n">
        <f aca="false">Sens!G3810</f>
        <v>485.541006878357</v>
      </c>
      <c r="H3828" s="6" t="n">
        <f aca="false">Sens!H3810</f>
        <v>570.20026529449</v>
      </c>
      <c r="I3828" s="6" t="n">
        <f aca="false">Sens!I3810</f>
        <v>647.757694343183</v>
      </c>
      <c r="J3828" s="6" t="n">
        <f aca="false">Sens!J3810</f>
        <v>710.666332670819</v>
      </c>
      <c r="K3828" s="6" t="n">
        <f aca="false">Sens!K3810</f>
        <v>760.663684959223</v>
      </c>
    </row>
    <row r="3829" customFormat="false" ht="15" hidden="false" customHeight="false" outlineLevel="0" collapsed="false">
      <c r="A3829" s="1" t="s">
        <v>906</v>
      </c>
      <c r="B3829" s="0" t="s">
        <v>129</v>
      </c>
      <c r="E3829" s="7" t="n">
        <f aca="false">Sens!E3828/Sens!D3828-1</f>
        <v>0.177886867998467</v>
      </c>
      <c r="F3829" s="7" t="n">
        <f aca="false">Sens!F3828/Sens!E3828-1</f>
        <v>0.214100158404601</v>
      </c>
      <c r="G3829" s="7" t="n">
        <f aca="false">Sens!G3828/Sens!F3828-1</f>
        <v>0.205157957939976</v>
      </c>
      <c r="H3829" s="7" t="n">
        <f aca="false">Sens!H3828/Sens!G3828-1</f>
        <v>0.174360676475968</v>
      </c>
      <c r="I3829" s="7" t="n">
        <f aca="false">Sens!I3828/Sens!H3828-1</f>
        <v>0.136017876120483</v>
      </c>
      <c r="J3829" s="7" t="n">
        <f aca="false">Sens!J3828/Sens!I3828-1</f>
        <v>0.0971175470040924</v>
      </c>
      <c r="K3829" s="7" t="n">
        <f aca="false">Sens!K3828/Sens!J3828-1</f>
        <v>0.0703527801865951</v>
      </c>
    </row>
    <row r="3830" customFormat="false" ht="17.15" hidden="false" customHeight="false" outlineLevel="0" collapsed="false">
      <c r="A3830" s="23" t="s">
        <v>907</v>
      </c>
      <c r="B3830" s="30" t="s">
        <v>98</v>
      </c>
      <c r="C3830" s="30"/>
      <c r="D3830" s="24" t="n">
        <f aca="false">(Sens!D3823+Sens!D3827-Sens!D3828)+(Sens!D3815+Sens!D3816-Sens!D3814)+(Sens!D3818+Sens!D3819-Sens!D3817)+(Sens!D3828-Q!L18)</f>
        <v>0</v>
      </c>
      <c r="E3830" s="24" t="n">
        <f aca="false">(Sens!E3823+Sens!E3827-Sens!E3828)+(Sens!E3815+Sens!E3816-Sens!E3814)+(Sens!E3818+Sens!E3819-Sens!E3817)+(Sens!E3828-Q!M18)</f>
        <v>0</v>
      </c>
      <c r="F3830" s="24" t="n">
        <f aca="false">(Sens!F3823+Sens!F3827-Sens!F3828)+(Sens!F3815+Sens!F3816-Sens!F3814)+(Sens!F3818+Sens!F3819-Sens!F3817)</f>
        <v>0</v>
      </c>
      <c r="G3830" s="24" t="n">
        <f aca="false">(Sens!G3823+Sens!G3827-Sens!G3828)+(Sens!G3815+Sens!G3816-Sens!G3814)+(Sens!G3818+Sens!G3819-Sens!G3817)</f>
        <v>0</v>
      </c>
      <c r="H3830" s="24" t="n">
        <f aca="false">(Sens!H3823+Sens!H3827-Sens!H3828)+(Sens!H3815+Sens!H3816-Sens!H3814)+(Sens!H3818+Sens!H3819-Sens!H3817)</f>
        <v>0</v>
      </c>
      <c r="I3830" s="24" t="n">
        <f aca="false">(Sens!I3823+Sens!I3827-Sens!I3828)+(Sens!I3815+Sens!I3816-Sens!I3814)+(Sens!I3818+Sens!I3819-Sens!I3817)</f>
        <v>0</v>
      </c>
      <c r="J3830" s="24" t="n">
        <f aca="false">(Sens!J3823+Sens!J3827-Sens!J3828)+(Sens!J3815+Sens!J3816-Sens!J3814)+(Sens!J3818+Sens!J3819-Sens!J3817)</f>
        <v>0</v>
      </c>
      <c r="K3830" s="24" t="n">
        <f aca="false">(Sens!K3823+Sens!K3827-Sens!K3828)+(Sens!K3815+Sens!K3816-Sens!K3814)+(Sens!K3818+Sens!K3819-Sens!K3817)</f>
        <v>0</v>
      </c>
    </row>
    <row r="3831" customFormat="false" ht="17.15" hidden="false" customHeight="false" outlineLevel="0" collapsed="false">
      <c r="A3831" s="0" t="s">
        <v>908</v>
      </c>
      <c r="B3831" s="0" t="s">
        <v>129</v>
      </c>
      <c r="E3831" s="7" t="n">
        <f aca="false">(Q!M21+Sens!E3768+Sens!E3769+Sens!E3770+Sens!E3783-Sens!E3766)/(Q!M5-Sens!E3766)</f>
        <v>0.570957350878296</v>
      </c>
      <c r="F3831" s="7" t="n">
        <f aca="false">Sens!$E$3831+dm_seg</f>
        <v>0.570957350878296</v>
      </c>
      <c r="G3831" s="7" t="n">
        <f aca="false">Sens!$E$3831+dm_seg</f>
        <v>0.570957350878296</v>
      </c>
      <c r="H3831" s="7" t="n">
        <f aca="false">Sens!$E$3831+dm_seg</f>
        <v>0.570957350878296</v>
      </c>
      <c r="I3831" s="7" t="n">
        <f aca="false">Sens!$E$3831+dm_seg</f>
        <v>0.570957350878296</v>
      </c>
      <c r="J3831" s="7" t="n">
        <f aca="false">Sens!$E$3831+dm_seg</f>
        <v>0.570957350878296</v>
      </c>
      <c r="K3831" s="7" t="n">
        <f aca="false">Sens!$E$3831+dm_seg</f>
        <v>0.570957350878296</v>
      </c>
      <c r="L3831" s="11" t="s">
        <v>909</v>
      </c>
    </row>
    <row r="3832" customFormat="false" ht="17.15" hidden="false" customHeight="false" outlineLevel="0" collapsed="false">
      <c r="A3832" s="0" t="s">
        <v>743</v>
      </c>
      <c r="B3832" s="0" t="s">
        <v>98</v>
      </c>
      <c r="D3832" s="6" t="n">
        <f aca="false">Q!L21</f>
        <v>110.814</v>
      </c>
      <c r="E3832" s="6" t="n">
        <f aca="false">Q!M21</f>
        <v>136.365</v>
      </c>
      <c r="F3832" s="6" t="n">
        <f aca="false">Sens!F3831*(Sens!F3802-Sens!F3766)+Sens!F3766-(Sens!F3768+Sens!F3769+Sens!F3770)-Sens!F3783-Sens!F3866</f>
        <v>158.122332500229</v>
      </c>
      <c r="G3832" s="6" t="n">
        <f aca="false">Sens!G3831*(Sens!G3802-Sens!G3766)+Sens!G3766-(Sens!G3768+Sens!G3769+Sens!G3770)-Sens!G3783-Sens!G3866</f>
        <v>177.81981963313</v>
      </c>
      <c r="H3832" s="6" t="n">
        <f aca="false">Sens!H3831*(Sens!H3802-Sens!H3766)+Sens!H3766-(Sens!H3768+Sens!H3769+Sens!H3770)-Sens!H3783-Sens!H3866</f>
        <v>196.851508653427</v>
      </c>
      <c r="I3832" s="6" t="n">
        <f aca="false">Sens!I3831*(Sens!I3802-Sens!I3766)+Sens!I3766-(Sens!I3768+Sens!I3769+Sens!I3770)-Sens!I3783-Sens!I3866</f>
        <v>214.986999876104</v>
      </c>
      <c r="J3832" s="6" t="n">
        <f aca="false">Sens!J3831*(Sens!J3802-Sens!J3766)+Sens!J3766-(Sens!J3768+Sens!J3769+Sens!J3770)-Sens!J3783-Sens!J3866</f>
        <v>231.94929322253</v>
      </c>
      <c r="K3832" s="6" t="n">
        <f aca="false">Sens!K3831*(Sens!K3802-Sens!K3766)+Sens!K3766-(Sens!K3768+Sens!K3769+Sens!K3770)-Sens!K3783-Sens!K3866</f>
        <v>248.551772383984</v>
      </c>
      <c r="L3832" s="1" t="s">
        <v>910</v>
      </c>
    </row>
    <row r="3833" customFormat="false" ht="17.15" hidden="false" customHeight="false" outlineLevel="0" collapsed="false">
      <c r="A3833" s="0" t="s">
        <v>911</v>
      </c>
      <c r="B3833" s="0" t="s">
        <v>129</v>
      </c>
      <c r="E3833" s="7" t="n">
        <f aca="false">Q!M22/Q!M12</f>
        <v>0.296207935710698</v>
      </c>
      <c r="F3833" s="7" t="n">
        <f aca="false">Sens!$E$3833+dm_seg</f>
        <v>0.296207935710698</v>
      </c>
      <c r="G3833" s="7" t="n">
        <f aca="false">Sens!$E$3833+dm_seg</f>
        <v>0.296207935710698</v>
      </c>
      <c r="H3833" s="7" t="n">
        <f aca="false">Sens!$E$3833+dm_seg</f>
        <v>0.296207935710698</v>
      </c>
      <c r="I3833" s="7" t="n">
        <f aca="false">Sens!$E$3833+dm_seg</f>
        <v>0.296207935710698</v>
      </c>
      <c r="J3833" s="7" t="n">
        <f aca="false">Sens!$E$3833+dm_seg</f>
        <v>0.296207935710698</v>
      </c>
      <c r="K3833" s="7" t="n">
        <f aca="false">Sens!$E$3833+dm_seg</f>
        <v>0.296207935710698</v>
      </c>
      <c r="L3833" s="11" t="s">
        <v>912</v>
      </c>
    </row>
    <row r="3834" customFormat="false" ht="17.15" hidden="false" customHeight="false" outlineLevel="0" collapsed="false">
      <c r="A3834" s="0" t="s">
        <v>745</v>
      </c>
      <c r="B3834" s="0" t="s">
        <v>98</v>
      </c>
      <c r="D3834" s="6" t="n">
        <f aca="false">Q!L22</f>
        <v>17.714</v>
      </c>
      <c r="E3834" s="6" t="n">
        <f aca="false">Q!M22</f>
        <v>18.872</v>
      </c>
      <c r="F3834" s="6" t="n">
        <f aca="false">Sens!F3809*Sens!F3833</f>
        <v>19.2954518910651</v>
      </c>
      <c r="G3834" s="6" t="n">
        <f aca="false">Sens!G3809*Sens!G3833</f>
        <v>19.8830646387704</v>
      </c>
      <c r="H3834" s="6" t="n">
        <f aca="false">Sens!H3809*Sens!H3833</f>
        <v>20.6092017868026</v>
      </c>
      <c r="I3834" s="6" t="n">
        <f aca="false">Sens!I3809*Sens!I3833</f>
        <v>21.452361761678</v>
      </c>
      <c r="J3834" s="6" t="n">
        <f aca="false">Sens!J3809*Sens!J3833</f>
        <v>22.3946261183418</v>
      </c>
      <c r="K3834" s="6" t="n">
        <f aca="false">Sens!K3809*Sens!K3833</f>
        <v>23.4215879274986</v>
      </c>
    </row>
    <row r="3835" customFormat="false" ht="15" hidden="false" customHeight="false" outlineLevel="0" collapsed="false">
      <c r="A3835" s="1" t="s">
        <v>913</v>
      </c>
      <c r="B3835" s="0" t="s">
        <v>98</v>
      </c>
      <c r="D3835" s="6" t="n">
        <f aca="false">Sens!D3832+Sens!D3834</f>
        <v>128.528</v>
      </c>
      <c r="E3835" s="6" t="n">
        <f aca="false">Sens!E3832+Sens!E3834</f>
        <v>155.237</v>
      </c>
      <c r="F3835" s="6" t="n">
        <f aca="false">Sens!F3832+Sens!F3834</f>
        <v>177.417784391294</v>
      </c>
      <c r="G3835" s="6" t="n">
        <f aca="false">Sens!G3832+Sens!G3834</f>
        <v>197.7028842719</v>
      </c>
      <c r="H3835" s="6" t="n">
        <f aca="false">Sens!H3832+Sens!H3834</f>
        <v>217.46071044023</v>
      </c>
      <c r="I3835" s="6" t="n">
        <f aca="false">Sens!I3832+Sens!I3834</f>
        <v>236.439361637782</v>
      </c>
      <c r="J3835" s="6" t="n">
        <f aca="false">Sens!J3832+Sens!J3834</f>
        <v>254.343919340872</v>
      </c>
      <c r="K3835" s="6" t="n">
        <f aca="false">Sens!K3832+Sens!K3834</f>
        <v>271.973360311483</v>
      </c>
    </row>
    <row r="3836" customFormat="false" ht="15" hidden="false" customHeight="false" outlineLevel="0" collapsed="false">
      <c r="A3836" s="23" t="s">
        <v>914</v>
      </c>
      <c r="B3836" s="30" t="s">
        <v>98</v>
      </c>
      <c r="C3836" s="30"/>
      <c r="D3836" s="24" t="n">
        <f aca="false">Sens!D3835-Q!L23</f>
        <v>0</v>
      </c>
      <c r="E3836" s="24" t="n">
        <f aca="false">Sens!E3835-Q!M23</f>
        <v>0</v>
      </c>
      <c r="F3836" s="30"/>
      <c r="G3836" s="30"/>
      <c r="H3836" s="30"/>
      <c r="I3836" s="30"/>
      <c r="J3836" s="30"/>
      <c r="K3836" s="30"/>
    </row>
    <row r="3837" customFormat="false" ht="15" hidden="false" customHeight="false" outlineLevel="0" collapsed="false">
      <c r="A3837" s="1" t="s">
        <v>915</v>
      </c>
      <c r="B3837" s="0" t="s">
        <v>129</v>
      </c>
      <c r="D3837" s="7" t="n">
        <f aca="false">Sens!D3835/Sens!D3828</f>
        <v>0.456219562408598</v>
      </c>
      <c r="E3837" s="7" t="n">
        <f aca="false">Sens!E3835/Sens!E3828</f>
        <v>0.467808184089272</v>
      </c>
      <c r="F3837" s="7" t="n">
        <f aca="false">Sens!F3835/Sens!F3828</f>
        <v>0.440367449319918</v>
      </c>
      <c r="G3837" s="7" t="n">
        <f aca="false">Sens!G3835/Sens!G3828</f>
        <v>0.40718061187658</v>
      </c>
      <c r="H3837" s="7" t="n">
        <f aca="false">Sens!H3835/Sens!H3828</f>
        <v>0.381376024663753</v>
      </c>
      <c r="I3837" s="7" t="n">
        <f aca="false">Sens!I3835/Sens!I3828</f>
        <v>0.365012046483722</v>
      </c>
      <c r="J3837" s="7" t="n">
        <f aca="false">Sens!J3835/Sens!J3828</f>
        <v>0.357894989037962</v>
      </c>
      <c r="K3837" s="7" t="n">
        <f aca="false">Sens!K3835/Sens!K3828</f>
        <v>0.357547449272622</v>
      </c>
    </row>
    <row r="3838" customFormat="false" ht="17.15" hidden="false" customHeight="false" outlineLevel="0" collapsed="false">
      <c r="A3838" s="1" t="s">
        <v>916</v>
      </c>
      <c r="B3838" s="0" t="s">
        <v>98</v>
      </c>
      <c r="F3838" s="6" t="n">
        <f aca="false">Sens!F3853</f>
        <v>11.1538682031825</v>
      </c>
      <c r="G3838" s="6" t="n">
        <f aca="false">Sens!G3853</f>
        <v>29.6764501315774</v>
      </c>
      <c r="H3838" s="6" t="n">
        <f aca="false">Sens!H3853</f>
        <v>49.8817954594536</v>
      </c>
      <c r="I3838" s="6" t="n">
        <f aca="false">Sens!I3853</f>
        <v>68.1591197795955</v>
      </c>
      <c r="J3838" s="6" t="n">
        <f aca="false">Sens!J3853</f>
        <v>80.9392034542308</v>
      </c>
      <c r="K3838" s="6" t="n">
        <f aca="false">Sens!K3853</f>
        <v>88.1080543299505</v>
      </c>
      <c r="L3838" s="1" t="s">
        <v>917</v>
      </c>
    </row>
    <row r="3839" customFormat="false" ht="17.15" hidden="false" customHeight="false" outlineLevel="0" collapsed="false">
      <c r="A3839" s="1" t="s">
        <v>918</v>
      </c>
      <c r="B3839" s="0" t="s">
        <v>98</v>
      </c>
      <c r="D3839" s="6" t="n">
        <f aca="false">Sens!D3835</f>
        <v>128.528</v>
      </c>
      <c r="E3839" s="6" t="n">
        <f aca="false">Sens!E3835</f>
        <v>155.237</v>
      </c>
      <c r="F3839" s="6" t="n">
        <f aca="false">Sens!F3835+Sens!F3838</f>
        <v>188.571652594476</v>
      </c>
      <c r="G3839" s="6" t="n">
        <f aca="false">Sens!G3835+Sens!G3838</f>
        <v>227.379334403478</v>
      </c>
      <c r="H3839" s="6" t="n">
        <f aca="false">Sens!H3835+Sens!H3838</f>
        <v>267.342505899684</v>
      </c>
      <c r="I3839" s="6" t="n">
        <f aca="false">Sens!I3835+Sens!I3838</f>
        <v>304.598481417378</v>
      </c>
      <c r="J3839" s="6" t="n">
        <f aca="false">Sens!J3835+Sens!J3838</f>
        <v>335.283122795102</v>
      </c>
      <c r="K3839" s="6" t="n">
        <f aca="false">Sens!K3835+Sens!K3838</f>
        <v>360.081414641434</v>
      </c>
    </row>
    <row r="3840" customFormat="false" ht="17.15" hidden="false" customHeight="false" outlineLevel="0" collapsed="false">
      <c r="A3840" s="1" t="s">
        <v>919</v>
      </c>
      <c r="B3840" s="0" t="s">
        <v>98</v>
      </c>
      <c r="E3840" s="6" t="n">
        <f aca="false">Sens!E3783</f>
        <v>16.3054059770833</v>
      </c>
      <c r="F3840" s="6" t="n">
        <f aca="false">Sens!F3783</f>
        <v>36.5856912614356</v>
      </c>
      <c r="G3840" s="6" t="n">
        <f aca="false">Sens!G3783</f>
        <v>66.8830522661911</v>
      </c>
      <c r="H3840" s="6" t="n">
        <f aca="false">Sens!H3783</f>
        <v>99.5657515455511</v>
      </c>
      <c r="I3840" s="6" t="n">
        <f aca="false">Sens!I3783</f>
        <v>128.495157395588</v>
      </c>
      <c r="J3840" s="6" t="n">
        <f aca="false">Sens!J3783</f>
        <v>148.935816845726</v>
      </c>
      <c r="K3840" s="6" t="n">
        <f aca="false">Sens!K3783</f>
        <v>161.53340799432</v>
      </c>
    </row>
    <row r="3841" customFormat="false" ht="17.15" hidden="false" customHeight="false" outlineLevel="0" collapsed="false">
      <c r="A3841" s="1" t="s">
        <v>920</v>
      </c>
      <c r="B3841" s="0" t="s">
        <v>98</v>
      </c>
      <c r="E3841" s="6" t="n">
        <f aca="false">Sens!E3865</f>
        <v>22.2285940229167</v>
      </c>
      <c r="F3841" s="6" t="n">
        <f aca="false">Sens!F3865</f>
        <v>23.5636693435813</v>
      </c>
      <c r="G3841" s="6" t="n">
        <f aca="false">Sens!G3865</f>
        <v>25.3225917662621</v>
      </c>
      <c r="H3841" s="6" t="n">
        <f aca="false">Sens!H3865</f>
        <v>27.4714839540448</v>
      </c>
      <c r="I3841" s="6" t="n">
        <f aca="false">Sens!I3865</f>
        <v>29.9441755898047</v>
      </c>
      <c r="J3841" s="6" t="n">
        <f aca="false">Sens!J3865</f>
        <v>32.6578493558616</v>
      </c>
      <c r="K3841" s="6" t="n">
        <f aca="false">Sens!K3865</f>
        <v>35.5289346944749</v>
      </c>
    </row>
    <row r="3842" customFormat="false" ht="17.15" hidden="false" customHeight="false" outlineLevel="0" collapsed="false">
      <c r="A3842" s="1" t="s">
        <v>921</v>
      </c>
      <c r="B3842" s="0" t="s">
        <v>98</v>
      </c>
      <c r="D3842" s="6" t="n">
        <f aca="false">Q!L27</f>
        <v>-4.901</v>
      </c>
      <c r="E3842" s="6" t="n">
        <f aca="false">Q!M27</f>
        <v>10.697</v>
      </c>
      <c r="F3842" s="6" t="n">
        <f aca="false">oie_f</f>
        <v>-0.4</v>
      </c>
      <c r="G3842" s="6" t="n">
        <f aca="false">oie_f</f>
        <v>-0.4</v>
      </c>
      <c r="H3842" s="6" t="n">
        <f aca="false">oie_f</f>
        <v>-0.4</v>
      </c>
      <c r="I3842" s="6" t="n">
        <f aca="false">oie_f</f>
        <v>-0.4</v>
      </c>
      <c r="J3842" s="6" t="n">
        <f aca="false">oie_f</f>
        <v>-0.4</v>
      </c>
      <c r="K3842" s="6" t="n">
        <f aca="false">oie_f</f>
        <v>-0.4</v>
      </c>
      <c r="L3842" s="11" t="s">
        <v>922</v>
      </c>
    </row>
    <row r="3843" customFormat="false" ht="15" hidden="false" customHeight="false" outlineLevel="0" collapsed="false">
      <c r="A3843" s="1" t="s">
        <v>923</v>
      </c>
      <c r="B3843" s="0" t="s">
        <v>98</v>
      </c>
      <c r="D3843" s="6" t="n">
        <f aca="false">Sens!D3835+Sens!D3842</f>
        <v>123.627</v>
      </c>
      <c r="E3843" s="6" t="n">
        <f aca="false">Sens!E3835+Sens!E3842</f>
        <v>165.934</v>
      </c>
      <c r="F3843" s="6" t="n">
        <f aca="false">Sens!F3835+Sens!F3842</f>
        <v>177.017784391294</v>
      </c>
      <c r="G3843" s="6" t="n">
        <f aca="false">Sens!G3835+Sens!G3842</f>
        <v>197.3028842719</v>
      </c>
      <c r="H3843" s="6" t="n">
        <f aca="false">Sens!H3835+Sens!H3842</f>
        <v>217.06071044023</v>
      </c>
      <c r="I3843" s="6" t="n">
        <f aca="false">Sens!I3835+Sens!I3842</f>
        <v>236.039361637782</v>
      </c>
      <c r="J3843" s="6" t="n">
        <f aca="false">Sens!J3835+Sens!J3842</f>
        <v>253.943919340872</v>
      </c>
      <c r="K3843" s="6" t="n">
        <f aca="false">Sens!K3835+Sens!K3842</f>
        <v>271.573360311483</v>
      </c>
    </row>
    <row r="3844" customFormat="false" ht="15" hidden="false" customHeight="false" outlineLevel="0" collapsed="false">
      <c r="A3844" s="1" t="s">
        <v>924</v>
      </c>
      <c r="B3844" s="0" t="s">
        <v>98</v>
      </c>
      <c r="D3844" s="6" t="n">
        <f aca="false">Q!L29</f>
        <v>21.795</v>
      </c>
      <c r="E3844" s="6" t="n">
        <f aca="false">Q!M29</f>
        <v>32.185</v>
      </c>
      <c r="F3844" s="6" t="n">
        <f aca="false">Sens!F3843*tax_f</f>
        <v>35.4035568782588</v>
      </c>
      <c r="G3844" s="6" t="n">
        <f aca="false">Sens!G3843*tax_f</f>
        <v>39.46057685438</v>
      </c>
      <c r="H3844" s="6" t="n">
        <f aca="false">Sens!H3843*tax_f</f>
        <v>43.412142088046</v>
      </c>
      <c r="I3844" s="6" t="n">
        <f aca="false">Sens!I3843*tax_f</f>
        <v>47.2078723275565</v>
      </c>
      <c r="J3844" s="6" t="n">
        <f aca="false">Sens!J3843*tax_f</f>
        <v>50.7887838681743</v>
      </c>
      <c r="K3844" s="6" t="n">
        <f aca="false">Sens!K3843*tax_f</f>
        <v>54.3146720622966</v>
      </c>
    </row>
    <row r="3845" customFormat="false" ht="15" hidden="false" customHeight="false" outlineLevel="0" collapsed="false">
      <c r="A3845" s="1" t="s">
        <v>925</v>
      </c>
      <c r="B3845" s="0" t="s">
        <v>98</v>
      </c>
      <c r="D3845" s="6" t="n">
        <f aca="false">Sens!D3843-Sens!D3844</f>
        <v>101.832</v>
      </c>
      <c r="E3845" s="6" t="n">
        <f aca="false">Sens!E3843-Sens!E3844</f>
        <v>133.749</v>
      </c>
      <c r="F3845" s="6" t="n">
        <f aca="false">Sens!F3843-Sens!F3844</f>
        <v>141.614227513035</v>
      </c>
      <c r="G3845" s="6" t="n">
        <f aca="false">Sens!G3843-Sens!G3844</f>
        <v>157.84230741752</v>
      </c>
      <c r="H3845" s="6" t="n">
        <f aca="false">Sens!H3843-Sens!H3844</f>
        <v>173.648568352184</v>
      </c>
      <c r="I3845" s="6" t="n">
        <f aca="false">Sens!I3843-Sens!I3844</f>
        <v>188.831489310226</v>
      </c>
      <c r="J3845" s="6" t="n">
        <f aca="false">Sens!J3843-Sens!J3844</f>
        <v>203.155135472697</v>
      </c>
      <c r="K3845" s="6" t="n">
        <f aca="false">Sens!K3843-Sens!K3844</f>
        <v>217.258688249187</v>
      </c>
    </row>
    <row r="3846" customFormat="false" ht="17.15" hidden="false" customHeight="false" outlineLevel="0" collapsed="false">
      <c r="A3846" s="1" t="s">
        <v>926</v>
      </c>
      <c r="B3846" s="1" t="s">
        <v>81</v>
      </c>
      <c r="D3846" s="14" t="n">
        <f aca="false">Q!L31</f>
        <v>7.465</v>
      </c>
      <c r="E3846" s="14" t="n">
        <f aca="false">Q!M31</f>
        <v>7.453</v>
      </c>
      <c r="F3846" s="14" t="n">
        <f aca="false">Sens!F3889</f>
        <v>7.4735</v>
      </c>
      <c r="G3846" s="14" t="n">
        <f aca="false">Sens!G3889</f>
        <v>7.5185</v>
      </c>
      <c r="H3846" s="14" t="n">
        <f aca="false">Sens!H3889</f>
        <v>7.55600476918945</v>
      </c>
      <c r="I3846" s="14" t="n">
        <f aca="false">Sens!I3889</f>
        <v>7.57753878453626</v>
      </c>
      <c r="J3846" s="14" t="n">
        <f aca="false">Sens!J3889</f>
        <v>7.59178029565414</v>
      </c>
      <c r="K3846" s="14" t="n">
        <f aca="false">Sens!K3889</f>
        <v>7.60830021335588</v>
      </c>
    </row>
    <row r="3847" customFormat="false" ht="17.15" hidden="false" customHeight="false" outlineLevel="0" collapsed="false">
      <c r="A3847" s="0" t="s">
        <v>927</v>
      </c>
      <c r="B3847" s="0" t="s">
        <v>75</v>
      </c>
      <c r="D3847" s="8" t="n">
        <f aca="false">Sens!D3845/Sens!D3846</f>
        <v>13.641259209645</v>
      </c>
      <c r="E3847" s="8" t="n">
        <f aca="false">Sens!E3845/Sens!E3846</f>
        <v>17.9456594659869</v>
      </c>
      <c r="F3847" s="8" t="n">
        <f aca="false">Sens!F3845/Sens!F3846</f>
        <v>18.948849603671</v>
      </c>
      <c r="G3847" s="8" t="n">
        <f aca="false">Sens!G3845/Sens!G3846</f>
        <v>20.9938561438479</v>
      </c>
      <c r="H3847" s="8" t="n">
        <f aca="false">Sens!H3845/Sens!H3846</f>
        <v>22.9815323913317</v>
      </c>
      <c r="I3847" s="8" t="n">
        <f aca="false">Sens!I3845/Sens!I3846</f>
        <v>24.9198974336602</v>
      </c>
      <c r="J3847" s="8" t="n">
        <f aca="false">Sens!J3845/Sens!J3846</f>
        <v>26.7598807606421</v>
      </c>
      <c r="K3847" s="8" t="n">
        <f aca="false">Sens!K3845/Sens!K3846</f>
        <v>28.5554831114318</v>
      </c>
      <c r="L3847" s="1" t="s">
        <v>928</v>
      </c>
    </row>
    <row r="3848" customFormat="false" ht="17.15" hidden="false" customHeight="false" outlineLevel="0" collapsed="false">
      <c r="A3848" s="1" t="s">
        <v>929</v>
      </c>
      <c r="B3848" s="0" t="s">
        <v>98</v>
      </c>
      <c r="D3848" s="6" t="n">
        <f aca="false">Sens!D3845</f>
        <v>101.832</v>
      </c>
      <c r="E3848" s="6" t="n">
        <f aca="false">Sens!E3845</f>
        <v>133.749</v>
      </c>
      <c r="F3848" s="6" t="n">
        <f aca="false">Sens!F3845+Sens!F3838*(1-tax_f)</f>
        <v>150.537322075581</v>
      </c>
      <c r="G3848" s="6" t="n">
        <f aca="false">Sens!G3845+Sens!G3838*(1-tax_f)</f>
        <v>181.583467522782</v>
      </c>
      <c r="H3848" s="6" t="n">
        <f aca="false">Sens!H3845+Sens!H3838*(1-tax_f)</f>
        <v>213.554004719747</v>
      </c>
      <c r="I3848" s="6" t="n">
        <f aca="false">Sens!I3845+Sens!I3838*(1-tax_f)</f>
        <v>243.358785133902</v>
      </c>
      <c r="J3848" s="6" t="n">
        <f aca="false">Sens!J3845+Sens!J3838*(1-tax_f)</f>
        <v>267.906498236082</v>
      </c>
      <c r="K3848" s="6" t="n">
        <f aca="false">Sens!K3845+Sens!K3838*(1-tax_f)</f>
        <v>287.745131713147</v>
      </c>
    </row>
    <row r="3849" customFormat="false" ht="17.15" hidden="false" customHeight="false" outlineLevel="0" collapsed="false">
      <c r="A3849" s="0" t="s">
        <v>930</v>
      </c>
      <c r="B3849" s="0" t="s">
        <v>75</v>
      </c>
      <c r="D3849" s="8" t="n">
        <f aca="false">Sens!D3848/Sens!D3846</f>
        <v>13.641259209645</v>
      </c>
      <c r="E3849" s="8" t="n">
        <f aca="false">Sens!E3848/Sens!E3846</f>
        <v>17.9456594659869</v>
      </c>
      <c r="F3849" s="8" t="n">
        <f aca="false">Sens!F3848/Sens!F3846</f>
        <v>20.1428142203226</v>
      </c>
      <c r="G3849" s="8" t="n">
        <f aca="false">Sens!G3848/Sens!G3846</f>
        <v>24.1515551669591</v>
      </c>
      <c r="H3849" s="8" t="n">
        <f aca="false">Sens!H3848/Sens!H3846</f>
        <v>28.2628202658818</v>
      </c>
      <c r="I3849" s="8" t="n">
        <f aca="false">Sens!I3848/Sens!I3846</f>
        <v>32.115808582931</v>
      </c>
      <c r="J3849" s="8" t="n">
        <f aca="false">Sens!J3848/Sens!J3846</f>
        <v>35.2890215210052</v>
      </c>
      <c r="K3849" s="8" t="n">
        <f aca="false">Sens!K3848/Sens!K3846</f>
        <v>37.819897170728</v>
      </c>
      <c r="L3849" s="1" t="s">
        <v>931</v>
      </c>
    </row>
    <row r="3850" customFormat="false" ht="17.15" hidden="false" customHeight="false" outlineLevel="0" collapsed="false">
      <c r="A3850" s="0" t="s">
        <v>932</v>
      </c>
      <c r="B3850" s="0" t="s">
        <v>129</v>
      </c>
      <c r="E3850" s="7" t="n">
        <f aca="false">Sens!E3849/Sens!D3849-1</f>
        <v>0.315542736208578</v>
      </c>
      <c r="F3850" s="7" t="n">
        <f aca="false">Sens!F3849/Sens!E3849-1</f>
        <v>0.122433770600636</v>
      </c>
      <c r="G3850" s="7" t="n">
        <f aca="false">Sens!G3849/Sens!F3849-1</f>
        <v>0.199015932073283</v>
      </c>
      <c r="H3850" s="7" t="n">
        <f aca="false">Sens!H3849/Sens!G3849-1</f>
        <v>0.170227758440465</v>
      </c>
      <c r="I3850" s="7" t="n">
        <f aca="false">Sens!I3849/Sens!H3849-1</f>
        <v>0.136327099730401</v>
      </c>
      <c r="J3850" s="7" t="n">
        <f aca="false">Sens!J3849/Sens!I3849-1</f>
        <v>0.0988053260399811</v>
      </c>
      <c r="K3850" s="7" t="n">
        <f aca="false">Sens!K3849/Sens!J3849-1</f>
        <v>0.0717184988599449</v>
      </c>
    </row>
    <row r="3851" customFormat="false" ht="17.15" hidden="false" customHeight="false" outlineLevel="0" collapsed="false">
      <c r="A3851" s="0" t="s">
        <v>856</v>
      </c>
      <c r="B3851" s="0" t="s">
        <v>98</v>
      </c>
      <c r="E3851" s="6" t="n">
        <f aca="false">Sens!E3792</f>
        <v>5.25</v>
      </c>
      <c r="F3851" s="6" t="n">
        <f aca="false">Sens!F3792</f>
        <v>12</v>
      </c>
      <c r="G3851" s="6" t="n">
        <f aca="false">Sens!G3792</f>
        <v>18</v>
      </c>
      <c r="H3851" s="6" t="n">
        <f aca="false">Sens!H3792</f>
        <v>24</v>
      </c>
      <c r="I3851" s="6" t="n">
        <f aca="false">Sens!I3792</f>
        <v>28.5</v>
      </c>
      <c r="J3851" s="6" t="n">
        <f aca="false">Sens!J3792</f>
        <v>31.5</v>
      </c>
      <c r="K3851" s="6" t="n">
        <f aca="false">Sens!K3792</f>
        <v>34.5</v>
      </c>
    </row>
    <row r="3852" customFormat="false" ht="17.15" hidden="false" customHeight="false" outlineLevel="0" collapsed="false">
      <c r="A3852" s="1" t="s">
        <v>857</v>
      </c>
      <c r="B3852" s="0" t="s">
        <v>98</v>
      </c>
      <c r="F3852" s="6" t="n">
        <f aca="false">MAX(0,((Sens!E3755+Sens!F3755)/2-(shadow_base*(Sens!$D$3755+Sens!$E$3755)/2+(1-shadow_base)*Sens!$E$3755))*Sens!F3763/1000-(Sens!F3851-Sens!$E$3851)*Sens!F3831)</f>
        <v>11.1538682031825</v>
      </c>
      <c r="G3852" s="6" t="n">
        <f aca="false">MAX(0,((Sens!F3755+Sens!G3755)/2-(shadow_base*(Sens!$D$3755+Sens!$E$3755)/2+(1-shadow_base)*Sens!$E$3755))*Sens!G3763/1000-(Sens!G3851-Sens!$E$3851)*Sens!G3831)</f>
        <v>29.6764501315774</v>
      </c>
      <c r="H3852" s="6" t="n">
        <f aca="false">MAX(0,((Sens!G3755+Sens!H3755)/2-(shadow_base*(Sens!$D$3755+Sens!$E$3755)/2+(1-shadow_base)*Sens!$E$3755))*Sens!H3763/1000-(Sens!H3851-Sens!$E$3851)*Sens!H3831)</f>
        <v>49.8817954594536</v>
      </c>
      <c r="I3852" s="6" t="n">
        <f aca="false">MAX(0,((Sens!H3755+Sens!I3755)/2-(shadow_base*(Sens!$D$3755+Sens!$E$3755)/2+(1-shadow_base)*Sens!$E$3755))*Sens!I3763/1000-(Sens!I3851-Sens!$E$3851)*Sens!I3831)</f>
        <v>68.1591197795955</v>
      </c>
      <c r="J3852" s="6" t="n">
        <f aca="false">MAX(0,((Sens!I3755+Sens!J3755)/2-(shadow_base*(Sens!$D$3755+Sens!$E$3755)/2+(1-shadow_base)*Sens!$E$3755))*Sens!J3763/1000-(Sens!J3851-Sens!$E$3851)*Sens!J3831)</f>
        <v>80.9392034542308</v>
      </c>
      <c r="K3852" s="6" t="n">
        <f aca="false">MAX(0,((Sens!J3755+Sens!K3755)/2-(shadow_base*(Sens!$D$3755+Sens!$E$3755)/2+(1-shadow_base)*Sens!$E$3755))*Sens!K3763/1000-(Sens!K3851-Sens!$E$3851)*Sens!K3831)</f>
        <v>88.1080543299505</v>
      </c>
      <c r="L3852" s="1" t="s">
        <v>858</v>
      </c>
    </row>
    <row r="3853" customFormat="false" ht="17.15" hidden="false" customHeight="false" outlineLevel="0" collapsed="false">
      <c r="A3853" s="1" t="s">
        <v>859</v>
      </c>
      <c r="B3853" s="0" t="s">
        <v>98</v>
      </c>
      <c r="F3853" s="6" t="n">
        <f aca="false">IF(internal_ai_reading=2,1,0)*Sens!F3852</f>
        <v>11.1538682031825</v>
      </c>
      <c r="G3853" s="6" t="n">
        <f aca="false">IF(internal_ai_reading=2,1,0)*Sens!G3852</f>
        <v>29.6764501315774</v>
      </c>
      <c r="H3853" s="6" t="n">
        <f aca="false">IF(internal_ai_reading=2,1,0)*Sens!H3852</f>
        <v>49.8817954594536</v>
      </c>
      <c r="I3853" s="6" t="n">
        <f aca="false">IF(internal_ai_reading=2,1,0)*Sens!I3852</f>
        <v>68.1591197795955</v>
      </c>
      <c r="J3853" s="6" t="n">
        <f aca="false">IF(internal_ai_reading=2,1,0)*Sens!J3852</f>
        <v>80.9392034542308</v>
      </c>
      <c r="K3853" s="6" t="n">
        <f aca="false">IF(internal_ai_reading=2,1,0)*Sens!K3852</f>
        <v>88.1080543299505</v>
      </c>
    </row>
    <row r="3854" customFormat="false" ht="17.15" hidden="false" customHeight="false" outlineLevel="0" collapsed="false">
      <c r="A3854" s="0" t="s">
        <v>860</v>
      </c>
      <c r="B3854" s="0" t="s">
        <v>98</v>
      </c>
      <c r="F3854" s="6" t="n">
        <f aca="false">Sens!F3772+Sens!F3851*Sens!F3831+Sens!F3853-Sens!F3773-Sens!F3783</f>
        <v>16.7155277363193</v>
      </c>
      <c r="G3854" s="6" t="n">
        <f aca="false">Sens!G3772+Sens!G3851*Sens!G3831+Sens!G3853-Sens!G3773-Sens!G3783</f>
        <v>35.8541678371715</v>
      </c>
      <c r="H3854" s="6" t="n">
        <f aca="false">Sens!H3772+Sens!H3851*Sens!H3831+Sens!H3853-Sens!H3773-Sens!H3783</f>
        <v>55.8276244340437</v>
      </c>
      <c r="I3854" s="6" t="n">
        <f aca="false">Sens!I3772+Sens!I3851*Sens!I3831+Sens!I3853-Sens!I3773-Sens!I3783</f>
        <v>73.4648545815208</v>
      </c>
      <c r="J3854" s="6" t="n">
        <f aca="false">Sens!J3772+Sens!J3851*Sens!J3831+Sens!J3853-Sens!J3773-Sens!J3783</f>
        <v>85.6704438282228</v>
      </c>
      <c r="K3854" s="6" t="n">
        <f aca="false">Sens!K3772+Sens!K3851*Sens!K3831+Sens!K3853-Sens!K3773-Sens!K3783</f>
        <v>93.9204800625134</v>
      </c>
    </row>
    <row r="3855" customFormat="false" ht="17.15" hidden="false" customHeight="false" outlineLevel="0" collapsed="false">
      <c r="A3855" s="0" t="s">
        <v>861</v>
      </c>
      <c r="B3855" s="0" t="s">
        <v>98</v>
      </c>
      <c r="E3855" s="6" t="n">
        <f aca="false">Sens!E3754*(cxit_open+self_build*tk_cxfac)/1000*ai_net_open</f>
        <v>126.6980382</v>
      </c>
      <c r="F3855" s="6" t="n">
        <f aca="false">Sens!E3855+Sens!F3780-Sens!F3783</f>
        <v>285.357616735791</v>
      </c>
      <c r="G3855" s="6" t="n">
        <f aca="false">Sens!F3855+Sens!G3780-Sens!G3783</f>
        <v>438.76358104944</v>
      </c>
      <c r="H3855" s="6" t="n">
        <f aca="false">Sens!G3855+Sens!H3780-Sens!H3783</f>
        <v>564.894172596369</v>
      </c>
      <c r="I3855" s="6" t="n">
        <f aca="false">Sens!H3855+Sens!I3780-Sens!I3783</f>
        <v>626.311537525209</v>
      </c>
      <c r="J3855" s="6" t="n">
        <f aca="false">Sens!I3855+Sens!J3780-Sens!J3783</f>
        <v>619.876923495413</v>
      </c>
      <c r="K3855" s="6" t="n">
        <f aca="false">Sens!J3855+Sens!K3780-Sens!K3783</f>
        <v>584.382144532827</v>
      </c>
      <c r="L3855" s="1" t="s">
        <v>862</v>
      </c>
    </row>
    <row r="3856" customFormat="false" ht="17.15" hidden="false" customHeight="false" outlineLevel="0" collapsed="false">
      <c r="A3856" s="0" t="s">
        <v>863</v>
      </c>
      <c r="B3856" s="0" t="s">
        <v>129</v>
      </c>
      <c r="F3856" s="7" t="n">
        <f aca="false">Sens!F3854*(1-tax_f)/((Sens!E3855+Sens!F3855)/2)</f>
        <v>0.0649059030200142</v>
      </c>
      <c r="G3856" s="7" t="n">
        <f aca="false">Sens!G3854*(1-tax_f)/((Sens!F3855+Sens!G3855)/2)</f>
        <v>0.079222468165459</v>
      </c>
      <c r="H3856" s="7" t="n">
        <f aca="false">Sens!H3854*(1-tax_f)/((Sens!G3855+Sens!H3855)/2)</f>
        <v>0.0889986639070917</v>
      </c>
      <c r="I3856" s="7" t="n">
        <f aca="false">Sens!I3854*(1-tax_f)/((Sens!H3855+Sens!I3855)/2)</f>
        <v>0.0986762960684905</v>
      </c>
      <c r="J3856" s="7" t="n">
        <f aca="false">Sens!J3854*(1-tax_f)/((Sens!I3855+Sens!J3855)/2)</f>
        <v>0.109993563905169</v>
      </c>
      <c r="K3856" s="7" t="n">
        <f aca="false">Sens!K3854*(1-tax_f)/((Sens!J3855+Sens!K3855)/2)</f>
        <v>0.124784418975616</v>
      </c>
    </row>
    <row r="3857" customFormat="false" ht="17.15" hidden="false" customHeight="false" outlineLevel="0" collapsed="false">
      <c r="A3857" s="1" t="s">
        <v>864</v>
      </c>
      <c r="B3857" s="0" t="s">
        <v>129</v>
      </c>
      <c r="F3857" s="7" t="n">
        <f aca="false">(Sens!F3854-Sens!F3853)*(1-tax_f)/((Sens!E3855+Sens!F3855)/2)</f>
        <v>0.0215957605396912</v>
      </c>
      <c r="G3857" s="7" t="n">
        <f aca="false">(Sens!G3854-Sens!G3853)*(1-tax_f)/((Sens!F3855+Sens!G3855)/2)</f>
        <v>0.0136501297837744</v>
      </c>
      <c r="H3857" s="7" t="n">
        <f aca="false">(Sens!H3854-Sens!H3853)*(1-tax_f)/((Sens!G3855+Sens!H3855)/2)</f>
        <v>0.00947865577163804</v>
      </c>
      <c r="I3857" s="7" t="n">
        <f aca="false">(Sens!I3854-Sens!I3853)*(1-tax_f)/((Sens!H3855+Sens!I3855)/2)</f>
        <v>0.00712654045472469</v>
      </c>
      <c r="J3857" s="7" t="n">
        <f aca="false">(Sens!J3854-Sens!J3853)*(1-tax_f)/((Sens!I3855+Sens!J3855)/2)</f>
        <v>0.00607451026483383</v>
      </c>
      <c r="K3857" s="7" t="n">
        <f aca="false">(Sens!K3854-Sens!K3853)*(1-tax_f)/((Sens!J3855+Sens!K3855)/2)</f>
        <v>0.00772249212731894</v>
      </c>
    </row>
    <row r="3858" customFormat="false" ht="17.15" hidden="false" customHeight="false" outlineLevel="0" collapsed="false">
      <c r="A3858" s="1" t="s">
        <v>865</v>
      </c>
      <c r="B3858" s="0" t="s">
        <v>129</v>
      </c>
      <c r="F3858" s="7" t="n">
        <f aca="false">(Sens!F3854-Sens!F3853+Sens!F3852)*(1-tax_f)/((Sens!E3855+Sens!F3855)/2)</f>
        <v>0.0649059030200142</v>
      </c>
      <c r="G3858" s="7" t="n">
        <f aca="false">(Sens!G3854-Sens!G3853+Sens!G3852)*(1-tax_f)/((Sens!F3855+Sens!G3855)/2)</f>
        <v>0.079222468165459</v>
      </c>
      <c r="H3858" s="7" t="n">
        <f aca="false">(Sens!H3854-Sens!H3853+Sens!H3852)*(1-tax_f)/((Sens!G3855+Sens!H3855)/2)</f>
        <v>0.0889986639070917</v>
      </c>
      <c r="I3858" s="7" t="n">
        <f aca="false">(Sens!I3854-Sens!I3853+Sens!I3852)*(1-tax_f)/((Sens!H3855+Sens!I3855)/2)</f>
        <v>0.0986762960684905</v>
      </c>
      <c r="J3858" s="7" t="n">
        <f aca="false">(Sens!J3854-Sens!J3853+Sens!J3852)*(1-tax_f)/((Sens!I3855+Sens!J3855)/2)</f>
        <v>0.109993563905169</v>
      </c>
      <c r="K3858" s="7" t="n">
        <f aca="false">(Sens!K3854-Sens!K3853+Sens!K3852)*(1-tax_f)/((Sens!J3855+Sens!K3855)/2)</f>
        <v>0.124784418975616</v>
      </c>
    </row>
    <row r="3859" customFormat="false" ht="17.15" hidden="false" customHeight="false" outlineLevel="0" collapsed="false">
      <c r="A3859" s="1" t="s">
        <v>866</v>
      </c>
      <c r="B3859" s="0" t="s">
        <v>129</v>
      </c>
      <c r="F3859" s="7" t="n">
        <f aca="false">Sens!F3784*(1-tax_f)/(Sens!F3771*(Sens!E3855+Sens!F3855)/2)</f>
        <v>0.131510445464848</v>
      </c>
      <c r="G3859" s="7" t="n">
        <f aca="false">Sens!G3784*(1-tax_f)/(Sens!G3771*(Sens!F3855+Sens!G3855)/2)</f>
        <v>0.128043320055758</v>
      </c>
      <c r="H3859" s="7" t="n">
        <f aca="false">Sens!H3784*(1-tax_f)/(Sens!H3771*(Sens!G3855+Sens!H3855)/2)</f>
        <v>0.131684978223049</v>
      </c>
      <c r="I3859" s="7" t="n">
        <f aca="false">Sens!I3784*(1-tax_f)/(Sens!I3771*(Sens!H3855+Sens!I3855)/2)</f>
        <v>0.140065282133813</v>
      </c>
      <c r="J3859" s="7" t="n">
        <f aca="false">Sens!J3784*(1-tax_f)/(Sens!J3771*(Sens!I3855+Sens!J3855)/2)</f>
        <v>0.153214231428934</v>
      </c>
      <c r="K3859" s="7" t="n">
        <f aca="false">Sens!K3784*(1-tax_f)/(Sens!K3771*(Sens!J3855+Sens!K3855)/2)</f>
        <v>0.172187583282749</v>
      </c>
    </row>
    <row r="3860" customFormat="false" ht="17.15" hidden="false" customHeight="false" outlineLevel="0" collapsed="false">
      <c r="A3860" s="0" t="s">
        <v>867</v>
      </c>
      <c r="B3860" s="0" t="s">
        <v>209</v>
      </c>
      <c r="F3860" s="7" t="n">
        <f aca="false">Sens!F3856-wacc</f>
        <v>-0.0380285170728615</v>
      </c>
      <c r="G3860" s="7" t="n">
        <f aca="false">Sens!G3856-wacc</f>
        <v>-0.0237119519274168</v>
      </c>
      <c r="H3860" s="7" t="n">
        <f aca="false">Sens!H3856-wacc</f>
        <v>-0.0139357561857841</v>
      </c>
      <c r="I3860" s="7" t="n">
        <f aca="false">Sens!I3856-wacc</f>
        <v>-0.00425812402438519</v>
      </c>
      <c r="J3860" s="7" t="n">
        <f aca="false">Sens!J3856-wacc</f>
        <v>0.00705914381229365</v>
      </c>
      <c r="K3860" s="7" t="n">
        <f aca="false">Sens!K3856-wacc</f>
        <v>0.0218499988827408</v>
      </c>
    </row>
    <row r="3861" customFormat="false" ht="17.15" hidden="false" customHeight="false" outlineLevel="0" collapsed="false">
      <c r="A3861" s="0" t="s">
        <v>868</v>
      </c>
      <c r="B3861" s="0" t="s">
        <v>98</v>
      </c>
      <c r="F3861" s="6" t="n">
        <f aca="false">Sens!F3854*(1-tax_f)-wacc*(Sens!E3855+Sens!F3855)/2</f>
        <v>-7.83493275434743</v>
      </c>
      <c r="G3861" s="6" t="n">
        <f aca="false">Sens!G3854*(1-tax_f)-wacc*(Sens!F3855+Sens!G3855)/2</f>
        <v>-8.58516351575343</v>
      </c>
      <c r="H3861" s="6" t="n">
        <f aca="false">Sens!H3854*(1-tax_f)-wacc*(Sens!G3855+Sens!H3855)/2</f>
        <v>-6.99336487438987</v>
      </c>
      <c r="I3861" s="6" t="n">
        <f aca="false">Sens!I3854*(1-tax_f)-wacc*(Sens!H3855+Sens!I3855)/2</f>
        <v>-2.53615082612676</v>
      </c>
      <c r="J3861" s="6" t="n">
        <f aca="false">Sens!J3854*(1-tax_f)-wacc*(Sens!I3855+Sens!J3855)/2</f>
        <v>4.39851178178273</v>
      </c>
      <c r="K3861" s="6" t="n">
        <f aca="false">Sens!K3854*(1-tax_f)-wacc*(Sens!J3855+Sens!K3855)/2</f>
        <v>13.1565296454737</v>
      </c>
    </row>
    <row r="3862" customFormat="false" ht="17.15" hidden="false" customHeight="false" outlineLevel="0" collapsed="false">
      <c r="A3862" s="3" t="s">
        <v>1360</v>
      </c>
    </row>
    <row r="3863" customFormat="false" ht="15" hidden="false" customHeight="false" outlineLevel="0" collapsed="false">
      <c r="A3863" s="4" t="s">
        <v>43</v>
      </c>
      <c r="B3863" s="4" t="s">
        <v>65</v>
      </c>
      <c r="C3863" s="20" t="s">
        <v>799</v>
      </c>
      <c r="D3863" s="20" t="s">
        <v>800</v>
      </c>
      <c r="E3863" s="20" t="s">
        <v>801</v>
      </c>
      <c r="F3863" s="20" t="s">
        <v>802</v>
      </c>
      <c r="G3863" s="20" t="s">
        <v>803</v>
      </c>
      <c r="H3863" s="20" t="s">
        <v>804</v>
      </c>
      <c r="I3863" s="20" t="s">
        <v>805</v>
      </c>
      <c r="J3863" s="20" t="s">
        <v>806</v>
      </c>
      <c r="K3863" s="20" t="s">
        <v>807</v>
      </c>
      <c r="L3863" s="4" t="s">
        <v>47</v>
      </c>
    </row>
    <row r="3864" customFormat="false" ht="15" hidden="false" customHeight="false" outlineLevel="0" collapsed="false">
      <c r="A3864" s="1" t="s">
        <v>925</v>
      </c>
      <c r="B3864" s="0" t="s">
        <v>98</v>
      </c>
      <c r="F3864" s="6" t="n">
        <f aca="false">Sens!F3845</f>
        <v>141.614227513035</v>
      </c>
      <c r="G3864" s="6" t="n">
        <f aca="false">Sens!G3845</f>
        <v>157.84230741752</v>
      </c>
      <c r="H3864" s="6" t="n">
        <f aca="false">Sens!H3845</f>
        <v>173.648568352184</v>
      </c>
      <c r="I3864" s="6" t="n">
        <f aca="false">Sens!I3845</f>
        <v>188.831489310226</v>
      </c>
      <c r="J3864" s="6" t="n">
        <f aca="false">Sens!J3845</f>
        <v>203.155135472697</v>
      </c>
      <c r="K3864" s="6" t="n">
        <f aca="false">Sens!K3845</f>
        <v>217.258688249187</v>
      </c>
    </row>
    <row r="3865" customFormat="false" ht="17.15" hidden="false" customHeight="false" outlineLevel="0" collapsed="false">
      <c r="A3865" s="1" t="s">
        <v>947</v>
      </c>
      <c r="B3865" s="0" t="s">
        <v>98</v>
      </c>
      <c r="E3865" s="6" t="n">
        <f aca="false">Q!M38-Sens!E3783</f>
        <v>22.2285940229167</v>
      </c>
      <c r="F3865" s="6" t="n">
        <f aca="false">Sens!E3865*(1-1/life_nonai)+(Sens!F3872+Sens!F3873)/life_nonai</f>
        <v>23.5636693435813</v>
      </c>
      <c r="G3865" s="6" t="n">
        <f aca="false">Sens!F3865*(1-1/life_nonai)+(Sens!G3872)/life_nonai</f>
        <v>25.3225917662621</v>
      </c>
      <c r="H3865" s="6" t="n">
        <f aca="false">Sens!G3865*(1-1/life_nonai)+(Sens!H3872)/life_nonai</f>
        <v>27.4714839540448</v>
      </c>
      <c r="I3865" s="6" t="n">
        <f aca="false">Sens!H3865*(1-1/life_nonai)+(Sens!I3872)/life_nonai</f>
        <v>29.9441755898047</v>
      </c>
      <c r="J3865" s="6" t="n">
        <f aca="false">Sens!I3865*(1-1/life_nonai)+(Sens!J3872)/life_nonai</f>
        <v>32.6578493558616</v>
      </c>
      <c r="K3865" s="6" t="n">
        <f aca="false">Sens!J3865*(1-1/life_nonai)+(Sens!K3872)/life_nonai</f>
        <v>35.5289346944749</v>
      </c>
      <c r="L3865" s="11" t="s">
        <v>948</v>
      </c>
    </row>
    <row r="3866" customFormat="false" ht="17.15" hidden="false" customHeight="false" outlineLevel="0" collapsed="false">
      <c r="A3866" s="1" t="s">
        <v>949</v>
      </c>
      <c r="B3866" s="0" t="s">
        <v>98</v>
      </c>
      <c r="F3866" s="6" t="n">
        <f aca="false">Sens!$F$3873/life_nonai*(1-1/life_nonai)^(Sens!F3749-2027)</f>
        <v>0</v>
      </c>
      <c r="G3866" s="6" t="n">
        <f aca="false">Sens!$F$3873/life_nonai*(1-1/life_nonai)^(Sens!G3749-2027)</f>
        <v>0</v>
      </c>
      <c r="H3866" s="6" t="n">
        <f aca="false">Sens!$F$3873/life_nonai*(1-1/life_nonai)^(Sens!H3749-2027)</f>
        <v>0</v>
      </c>
      <c r="I3866" s="6" t="n">
        <f aca="false">Sens!$F$3873/life_nonai*(1-1/life_nonai)^(Sens!I3749-2027)</f>
        <v>0</v>
      </c>
      <c r="J3866" s="6" t="n">
        <f aca="false">Sens!$F$3873/life_nonai*(1-1/life_nonai)^(Sens!J3749-2027)</f>
        <v>0</v>
      </c>
      <c r="K3866" s="6" t="n">
        <f aca="false">Sens!$F$3873/life_nonai*(1-1/life_nonai)^(Sens!K3749-2027)</f>
        <v>0</v>
      </c>
      <c r="L3866" s="1" t="s">
        <v>950</v>
      </c>
    </row>
    <row r="3867" customFormat="false" ht="17.15" hidden="false" customHeight="false" outlineLevel="0" collapsed="false">
      <c r="A3867" s="1" t="s">
        <v>951</v>
      </c>
      <c r="B3867" s="0" t="s">
        <v>98</v>
      </c>
      <c r="E3867" s="6" t="n">
        <f aca="false">Sens!E3783+Sens!E3865</f>
        <v>38.534</v>
      </c>
      <c r="F3867" s="6" t="n">
        <f aca="false">Sens!F3783+Sens!F3865</f>
        <v>60.1493606050168</v>
      </c>
      <c r="G3867" s="6" t="n">
        <f aca="false">Sens!G3783+Sens!G3865</f>
        <v>92.2056440324532</v>
      </c>
      <c r="H3867" s="6" t="n">
        <f aca="false">Sens!H3783+Sens!H3865</f>
        <v>127.037235499596</v>
      </c>
      <c r="I3867" s="6" t="n">
        <f aca="false">Sens!I3783+Sens!I3865</f>
        <v>158.439332985393</v>
      </c>
      <c r="J3867" s="6" t="n">
        <f aca="false">Sens!J3783+Sens!J3865</f>
        <v>181.593666201588</v>
      </c>
      <c r="K3867" s="6" t="n">
        <f aca="false">Sens!K3783+Sens!K3865</f>
        <v>197.062342688795</v>
      </c>
    </row>
    <row r="3868" customFormat="false" ht="17.15" hidden="false" customHeight="false" outlineLevel="0" collapsed="false">
      <c r="A3868" s="1" t="s">
        <v>952</v>
      </c>
      <c r="B3868" s="0" t="s">
        <v>98</v>
      </c>
      <c r="F3868" s="6" t="n">
        <f aca="false">Sens!F3810*sbc_r</f>
        <v>15.0609124650091</v>
      </c>
      <c r="G3868" s="6" t="n">
        <f aca="false">Sens!G3810*sbc_r</f>
        <v>18.1507785110431</v>
      </c>
      <c r="H3868" s="6" t="n">
        <f aca="false">Sens!H3810*sbc_r</f>
        <v>21.315560530794</v>
      </c>
      <c r="I3868" s="6" t="n">
        <f aca="false">Sens!I3810*sbc_r</f>
        <v>24.2148578025102</v>
      </c>
      <c r="J3868" s="6" t="n">
        <f aca="false">Sens!J3810*sbc_r</f>
        <v>26.5665453933429</v>
      </c>
      <c r="K3868" s="6" t="n">
        <f aca="false">Sens!K3810*sbc_r</f>
        <v>28.4355757217179</v>
      </c>
    </row>
    <row r="3869" customFormat="false" ht="17.15" hidden="false" customHeight="false" outlineLevel="0" collapsed="false">
      <c r="A3869" s="1" t="s">
        <v>953</v>
      </c>
      <c r="B3869" s="0" t="s">
        <v>98</v>
      </c>
      <c r="F3869" s="6" t="n">
        <f aca="false">wc27</f>
        <v>-4.895</v>
      </c>
      <c r="G3869" s="6" t="n">
        <f aca="false">wc_f</f>
        <v>0</v>
      </c>
      <c r="H3869" s="6" t="n">
        <f aca="false">wc_f</f>
        <v>0</v>
      </c>
      <c r="I3869" s="6" t="n">
        <f aca="false">wc_f</f>
        <v>0</v>
      </c>
      <c r="J3869" s="6" t="n">
        <f aca="false">wc_f</f>
        <v>0</v>
      </c>
      <c r="K3869" s="6" t="n">
        <f aca="false">wc_f</f>
        <v>0</v>
      </c>
      <c r="L3869" s="11" t="s">
        <v>954</v>
      </c>
    </row>
    <row r="3870" customFormat="false" ht="15" hidden="false" customHeight="false" outlineLevel="0" collapsed="false">
      <c r="A3870" s="1" t="s">
        <v>767</v>
      </c>
      <c r="B3870" s="0" t="s">
        <v>98</v>
      </c>
      <c r="E3870" s="6" t="n">
        <f aca="false">Q!M35</f>
        <v>182.935</v>
      </c>
      <c r="F3870" s="6" t="n">
        <f aca="false">Sens!F3864+Sens!F3867+Sens!F3868+Sens!F3869</f>
        <v>211.929500583061</v>
      </c>
      <c r="G3870" s="6" t="n">
        <f aca="false">Sens!G3864+Sens!G3867+Sens!G3868+Sens!G3869</f>
        <v>268.198729961016</v>
      </c>
      <c r="H3870" s="6" t="n">
        <f aca="false">Sens!H3864+Sens!H3867+Sens!H3868+Sens!H3869</f>
        <v>322.001364382574</v>
      </c>
      <c r="I3870" s="6" t="n">
        <f aca="false">Sens!I3864+Sens!I3867+Sens!I3868+Sens!I3869</f>
        <v>371.485680098129</v>
      </c>
      <c r="J3870" s="6" t="n">
        <f aca="false">Sens!J3864+Sens!J3867+Sens!J3868+Sens!J3869</f>
        <v>411.315347067628</v>
      </c>
      <c r="K3870" s="6" t="n">
        <f aca="false">Sens!K3864+Sens!K3867+Sens!K3868+Sens!K3869</f>
        <v>442.756606659699</v>
      </c>
    </row>
    <row r="3871" customFormat="false" ht="17.15" hidden="false" customHeight="false" outlineLevel="0" collapsed="false">
      <c r="A3871" s="0" t="s">
        <v>955</v>
      </c>
      <c r="B3871" s="0" t="s">
        <v>98</v>
      </c>
      <c r="F3871" s="6" t="n">
        <f aca="false">Sens!F3780</f>
        <v>195.245269797227</v>
      </c>
      <c r="G3871" s="6" t="n">
        <f aca="false">Sens!G3780</f>
        <v>220.28901657984</v>
      </c>
      <c r="H3871" s="6" t="n">
        <f aca="false">Sens!H3780</f>
        <v>225.69634309248</v>
      </c>
      <c r="I3871" s="6" t="n">
        <f aca="false">Sens!I3780</f>
        <v>189.912522324428</v>
      </c>
      <c r="J3871" s="6" t="n">
        <f aca="false">Sens!J3780</f>
        <v>142.501202815931</v>
      </c>
      <c r="K3871" s="6" t="n">
        <f aca="false">Sens!K3780</f>
        <v>126.038629031734</v>
      </c>
    </row>
    <row r="3872" customFormat="false" ht="17.15" hidden="false" customHeight="false" outlineLevel="0" collapsed="false">
      <c r="A3872" s="1" t="s">
        <v>956</v>
      </c>
      <c r="B3872" s="0" t="s">
        <v>98</v>
      </c>
      <c r="E3872" s="6" t="n">
        <f aca="false">Sens!E3788*cx_azo+Sens!E3795*cx_m365+Sens!E3796*cx_lic+(Sens!E3798+Sens!E3800)*cx_ind+Sens!E3803*cx_srch+(Sens!E3805+Sens!E3807)*cx_dev</f>
        <v>30.1846587067718</v>
      </c>
      <c r="F3872" s="6" t="n">
        <f aca="false">Sens!F3788*cx_azo+Sens!F3795*cx_m365+Sens!F3796*cx_lic+(Sens!F3798+Sens!F3800)*cx_ind+Sens!F3803*cx_srch+(Sens!F3805+Sens!F3807)*cx_dev</f>
        <v>35.5793472295625</v>
      </c>
      <c r="G3872" s="6" t="n">
        <f aca="false">Sens!G3788*cx_azo+Sens!G3795*cx_m365+Sens!G3796*cx_lic+(Sens!G3798+Sens!G3800)*cx_ind+Sens!G3803*cx_srch+(Sens!G3805+Sens!G3807)*cx_dev</f>
        <v>41.1528935703892</v>
      </c>
      <c r="H3872" s="6" t="n">
        <f aca="false">Sens!H3788*cx_azo+Sens!H3795*cx_m365+Sens!H3796*cx_lic+(Sens!H3798+Sens!H3800)*cx_ind+Sens!H3803*cx_srch+(Sens!H3805+Sens!H3807)*cx_dev</f>
        <v>46.8115136440897</v>
      </c>
      <c r="I3872" s="6" t="n">
        <f aca="false">Sens!I3788*cx_azo+Sens!I3795*cx_m365+Sens!I3796*cx_lic+(Sens!I3798+Sens!I3800)*cx_ind+Sens!I3803*cx_srch+(Sens!I3805+Sens!I3807)*cx_dev</f>
        <v>52.1984003116439</v>
      </c>
      <c r="J3872" s="6" t="n">
        <f aca="false">Sens!J3788*cx_azo+Sens!J3795*cx_m365+Sens!J3796*cx_lic+(Sens!J3798+Sens!J3800)*cx_ind+Sens!J3803*cx_srch+(Sens!J3805+Sens!J3807)*cx_dev</f>
        <v>57.0809132503738</v>
      </c>
      <c r="K3872" s="6" t="n">
        <f aca="false">Sens!K3788*cx_azo+Sens!K3795*cx_m365+Sens!K3796*cx_lic+(Sens!K3798+Sens!K3800)*cx_ind+Sens!K3803*cx_srch+(Sens!K3805+Sens!K3807)*cx_dev</f>
        <v>61.368702741994</v>
      </c>
    </row>
    <row r="3873" customFormat="false" ht="17.15" hidden="false" customHeight="false" outlineLevel="0" collapsed="false">
      <c r="A3873" s="0" t="s">
        <v>957</v>
      </c>
      <c r="B3873" s="0" t="s">
        <v>98</v>
      </c>
      <c r="F3873" s="6" t="n">
        <f aca="false">Sens!F3778</f>
        <v>0</v>
      </c>
      <c r="L3873" s="1" t="s">
        <v>958</v>
      </c>
    </row>
    <row r="3874" customFormat="false" ht="17.15" hidden="false" customHeight="false" outlineLevel="0" collapsed="false">
      <c r="A3874" s="1" t="s">
        <v>959</v>
      </c>
      <c r="B3874" s="0" t="s">
        <v>98</v>
      </c>
      <c r="E3874" s="6" t="n">
        <f aca="false">Q!M42</f>
        <v>145.3</v>
      </c>
      <c r="F3874" s="6" t="n">
        <f aca="false">Sens!F3871+Sens!F3872+Sens!F3873</f>
        <v>230.824617026789</v>
      </c>
      <c r="G3874" s="6" t="n">
        <f aca="false">Sens!G3871+Sens!G3872</f>
        <v>261.441910150229</v>
      </c>
      <c r="H3874" s="6" t="n">
        <f aca="false">Sens!H3871+Sens!H3872</f>
        <v>272.50785673657</v>
      </c>
      <c r="I3874" s="6" t="n">
        <f aca="false">Sens!I3871+Sens!I3872</f>
        <v>242.110922636072</v>
      </c>
      <c r="J3874" s="6" t="n">
        <f aca="false">Sens!J3871+Sens!J3872</f>
        <v>199.582116066304</v>
      </c>
      <c r="K3874" s="6" t="n">
        <f aca="false">Sens!K3871+Sens!K3872</f>
        <v>187.407331773728</v>
      </c>
      <c r="L3874" s="1" t="s">
        <v>960</v>
      </c>
    </row>
    <row r="3875" customFormat="false" ht="15" hidden="false" customHeight="false" outlineLevel="0" collapsed="false">
      <c r="A3875" s="1" t="s">
        <v>961</v>
      </c>
      <c r="B3875" s="0" t="s">
        <v>98</v>
      </c>
      <c r="E3875" s="6" t="n">
        <f aca="false">fl_liab</f>
        <v>66.594</v>
      </c>
      <c r="F3875" s="6" t="n">
        <f aca="false">Sens!E3875-Sens!F3876</f>
        <v>62.46973</v>
      </c>
      <c r="G3875" s="6" t="n">
        <f aca="false">Sens!F3875-Sens!G3876</f>
        <v>57.98686785</v>
      </c>
      <c r="H3875" s="6" t="n">
        <f aca="false">Sens!G3875-Sens!H3876</f>
        <v>53.92827690325</v>
      </c>
      <c r="I3875" s="6" t="n">
        <f aca="false">Sens!H3875-Sens!I3876</f>
        <v>49.7850493638962</v>
      </c>
      <c r="J3875" s="6" t="n">
        <f aca="false">Sens!I3875-Sens!J3876</f>
        <v>45.4823765852716</v>
      </c>
      <c r="K3875" s="6" t="n">
        <f aca="false">Sens!J3875-Sens!K3876</f>
        <v>40.9860835316088</v>
      </c>
    </row>
    <row r="3876" customFormat="false" ht="15" hidden="false" customHeight="false" outlineLevel="0" collapsed="false">
      <c r="A3876" s="1" t="s">
        <v>962</v>
      </c>
      <c r="B3876" s="0" t="s">
        <v>98</v>
      </c>
      <c r="F3876" s="6" t="n">
        <f aca="false">fl_pay_27-Sens!E3875*fl_rate</f>
        <v>4.12427</v>
      </c>
      <c r="G3876" s="6" t="n">
        <f aca="false">fl_pay_28-Sens!F3875*fl_rate</f>
        <v>4.48286215</v>
      </c>
      <c r="H3876" s="6" t="n">
        <f aca="false">fl_pay_29-Sens!G3875*fl_rate</f>
        <v>4.05859094675</v>
      </c>
      <c r="I3876" s="6" t="n">
        <f aca="false">fl_pay_30-Sens!H3875*fl_rate</f>
        <v>4.14322753935375</v>
      </c>
      <c r="J3876" s="6" t="n">
        <f aca="false">fl_pay_31-Sens!I3875*fl_rate</f>
        <v>4.30267277862467</v>
      </c>
      <c r="K3876" s="6" t="n">
        <f aca="false">fl_pay_32-Sens!J3875*fl_rate</f>
        <v>4.49629305366278</v>
      </c>
    </row>
    <row r="3877" customFormat="false" ht="17.15" hidden="false" customHeight="false" outlineLevel="0" collapsed="false">
      <c r="A3877" s="1" t="s">
        <v>963</v>
      </c>
      <c r="B3877" s="0" t="s">
        <v>98</v>
      </c>
      <c r="E3877" s="6" t="n">
        <f aca="false">Q!M35-Q!M36-Q!M43</f>
        <v>63.886</v>
      </c>
      <c r="F3877" s="6" t="n">
        <f aca="false">Sens!F3870-Sens!F3874-Sens!F3876</f>
        <v>-23.0193864437281</v>
      </c>
      <c r="G3877" s="6" t="n">
        <f aca="false">Sens!G3870-Sens!G3874-Sens!G3876</f>
        <v>2.27395766078708</v>
      </c>
      <c r="H3877" s="6" t="n">
        <f aca="false">Sens!H3870-Sens!H3874-Sens!H3876</f>
        <v>45.4349166992542</v>
      </c>
      <c r="I3877" s="6" t="n">
        <f aca="false">Sens!I3870-Sens!I3874-Sens!I3876</f>
        <v>125.231529922703</v>
      </c>
      <c r="J3877" s="6" t="n">
        <f aca="false">Sens!J3870-Sens!J3874-Sens!J3876</f>
        <v>207.430558222699</v>
      </c>
      <c r="K3877" s="6" t="n">
        <f aca="false">Sens!K3870-Sens!K3874-Sens!K3876</f>
        <v>250.852981832309</v>
      </c>
      <c r="L3877" s="11" t="s">
        <v>964</v>
      </c>
    </row>
    <row r="3878" customFormat="false" ht="15" hidden="false" customHeight="false" outlineLevel="0" collapsed="false">
      <c r="A3878" s="1" t="s">
        <v>965</v>
      </c>
      <c r="B3878" s="0" t="s">
        <v>75</v>
      </c>
      <c r="F3878" s="8" t="n">
        <f aca="false">dps_27</f>
        <v>3.85</v>
      </c>
      <c r="G3878" s="8" t="n">
        <f aca="false">Sens!F3878*(1+dps_g)</f>
        <v>4.158</v>
      </c>
      <c r="H3878" s="8" t="n">
        <f aca="false">Sens!G3878*(1+dps_g)</f>
        <v>4.49064</v>
      </c>
      <c r="I3878" s="8" t="n">
        <f aca="false">Sens!H3878*(1+dps_g)</f>
        <v>4.8498912</v>
      </c>
      <c r="J3878" s="8" t="n">
        <f aca="false">Sens!I3878*(1+dps_g)</f>
        <v>5.237882496</v>
      </c>
      <c r="K3878" s="8" t="n">
        <f aca="false">Sens!J3878*(1+dps_g)</f>
        <v>5.65691309568</v>
      </c>
    </row>
    <row r="3879" customFormat="false" ht="17.15" hidden="false" customHeight="false" outlineLevel="0" collapsed="false">
      <c r="A3879" s="1" t="s">
        <v>966</v>
      </c>
      <c r="B3879" s="0" t="s">
        <v>98</v>
      </c>
      <c r="E3879" s="6" t="n">
        <f aca="false">Q!M41</f>
        <v>26.445</v>
      </c>
      <c r="F3879" s="6" t="n">
        <f aca="false">Sens!F3878*Sens!E3888</f>
        <v>28.59395</v>
      </c>
      <c r="G3879" s="6" t="n">
        <f aca="false">Sens!G3878*Sens!F3888</f>
        <v>31.068576</v>
      </c>
      <c r="H3879" s="6" t="n">
        <f aca="false">Sens!H3878*Sens!G3888</f>
        <v>33.75614088</v>
      </c>
      <c r="I3879" s="6" t="n">
        <f aca="false">Sens!I3878*Sens!H3888</f>
        <v>36.6021751464999</v>
      </c>
      <c r="J3879" s="6" t="n">
        <f aca="false">Sens!J3878*Sens!I3888</f>
        <v>39.5987480065393</v>
      </c>
      <c r="K3879" s="6" t="n">
        <f aca="false">Sens!K3878*Sens!J3888</f>
        <v>42.8539030723675</v>
      </c>
      <c r="L3879" s="1" t="s">
        <v>967</v>
      </c>
    </row>
    <row r="3880" customFormat="false" ht="15" hidden="false" customHeight="false" outlineLevel="0" collapsed="false">
      <c r="A3880" s="1" t="s">
        <v>968</v>
      </c>
      <c r="B3880" s="0" t="s">
        <v>98</v>
      </c>
      <c r="E3880" s="6" t="n">
        <f aca="false">Sens!E3877-Sens!E3879</f>
        <v>37.441</v>
      </c>
      <c r="F3880" s="6" t="n">
        <f aca="false">Sens!F3877-Sens!F3879</f>
        <v>-51.6133364437281</v>
      </c>
      <c r="G3880" s="6" t="n">
        <f aca="false">Sens!G3877-Sens!G3879</f>
        <v>-28.7946183392129</v>
      </c>
      <c r="H3880" s="6" t="n">
        <f aca="false">Sens!H3877-Sens!H3879</f>
        <v>11.6787758192542</v>
      </c>
      <c r="I3880" s="6" t="n">
        <f aca="false">Sens!I3877-Sens!I3879</f>
        <v>88.6293547762034</v>
      </c>
      <c r="J3880" s="6" t="n">
        <f aca="false">Sens!J3877-Sens!J3879</f>
        <v>167.83181021616</v>
      </c>
      <c r="K3880" s="6" t="n">
        <f aca="false">Sens!K3877-Sens!K3879</f>
        <v>207.999078759941</v>
      </c>
    </row>
    <row r="3881" customFormat="false" ht="15" hidden="false" customHeight="false" outlineLevel="0" collapsed="false">
      <c r="A3881" s="1" t="s">
        <v>969</v>
      </c>
      <c r="B3881" s="0" t="s">
        <v>98</v>
      </c>
      <c r="F3881" s="6" t="n">
        <f aca="false">debt_mat_27</f>
        <v>9.25</v>
      </c>
      <c r="G3881" s="6" t="n">
        <f aca="false">debt_mat_28</f>
        <v>0</v>
      </c>
      <c r="H3881" s="6" t="n">
        <f aca="false">debt_mat_29</f>
        <v>2.001</v>
      </c>
      <c r="I3881" s="6" t="n">
        <f aca="false">debt_mat_30</f>
        <v>0</v>
      </c>
      <c r="J3881" s="6" t="n">
        <f aca="false">debt_mat_31</f>
        <v>0.5</v>
      </c>
      <c r="K3881" s="6" t="n">
        <f aca="false">debt_mat_32</f>
        <v>0</v>
      </c>
    </row>
    <row r="3882" customFormat="false" ht="15" hidden="false" customHeight="false" outlineLevel="0" collapsed="false">
      <c r="A3882" s="1" t="s">
        <v>970</v>
      </c>
      <c r="B3882" s="0" t="s">
        <v>98</v>
      </c>
      <c r="E3882" s="6" t="n">
        <f aca="false">Q!M40</f>
        <v>22.271</v>
      </c>
      <c r="F3882" s="6" t="n">
        <f aca="false">MAX(0,MIN(bb_target,Sens!E3884+Sens!F3880-Sens!F3881-min_cash))</f>
        <v>0</v>
      </c>
      <c r="G3882" s="6" t="n">
        <f aca="false">MAX(0,MIN(bb_target,Sens!F3884+Sens!G3880-Sens!G3881-min_cash))</f>
        <v>0</v>
      </c>
      <c r="H3882" s="6" t="n">
        <f aca="false">MAX(0,MIN(bb_target,Sens!G3884+Sens!H3880-Sens!H3881-min_cash))</f>
        <v>9.67777581925422</v>
      </c>
      <c r="I3882" s="6" t="n">
        <f aca="false">MAX(0,MIN(bb_target,Sens!H3884+Sens!I3880-Sens!I3881-min_cash))</f>
        <v>22.271</v>
      </c>
      <c r="J3882" s="6" t="n">
        <f aca="false">MAX(0,MIN(bb_target,Sens!I3884+Sens!J3880-Sens!J3881-min_cash))</f>
        <v>22.271</v>
      </c>
      <c r="K3882" s="6" t="n">
        <f aca="false">MAX(0,MIN(bb_target,Sens!J3884+Sens!K3880-Sens!K3881-min_cash))</f>
        <v>22.271</v>
      </c>
    </row>
    <row r="3883" customFormat="false" ht="15" hidden="false" customHeight="false" outlineLevel="0" collapsed="false">
      <c r="A3883" s="1" t="s">
        <v>971</v>
      </c>
      <c r="B3883" s="0" t="s">
        <v>98</v>
      </c>
      <c r="F3883" s="6" t="n">
        <f aca="false">MAX(0,min_cash-(Sens!E3884+Sens!F3880-Sens!F3881-Sens!F3882))</f>
        <v>34.0203364437281</v>
      </c>
      <c r="G3883" s="6" t="n">
        <f aca="false">MAX(0,min_cash-(Sens!F3884+Sens!G3880-Sens!G3881-Sens!G3882))</f>
        <v>28.7946183392129</v>
      </c>
      <c r="H3883" s="6" t="n">
        <f aca="false">MAX(0,min_cash-(Sens!G3884+Sens!H3880-Sens!H3881-Sens!H3882))</f>
        <v>0</v>
      </c>
      <c r="I3883" s="6" t="n">
        <f aca="false">MAX(0,min_cash-(Sens!H3884+Sens!I3880-Sens!I3881-Sens!I3882))</f>
        <v>0</v>
      </c>
      <c r="J3883" s="6" t="n">
        <f aca="false">MAX(0,min_cash-(Sens!I3884+Sens!J3880-Sens!J3881-Sens!J3882))</f>
        <v>0</v>
      </c>
      <c r="K3883" s="6" t="n">
        <f aca="false">MAX(0,min_cash-(Sens!J3884+Sens!K3880-Sens!K3881-Sens!K3882))</f>
        <v>0</v>
      </c>
    </row>
    <row r="3884" customFormat="false" ht="15" hidden="false" customHeight="false" outlineLevel="0" collapsed="false">
      <c r="A3884" s="1" t="s">
        <v>972</v>
      </c>
      <c r="B3884" s="0" t="s">
        <v>98</v>
      </c>
      <c r="E3884" s="6" t="n">
        <f aca="false">cash_open</f>
        <v>76.843</v>
      </c>
      <c r="F3884" s="6" t="n">
        <f aca="false">Sens!E3884+Sens!F3880-Sens!F3881-Sens!F3882+Sens!F3883</f>
        <v>50</v>
      </c>
      <c r="G3884" s="6" t="n">
        <f aca="false">Sens!F3884+Sens!G3880-Sens!G3881-Sens!G3882+Sens!G3883</f>
        <v>50</v>
      </c>
      <c r="H3884" s="6" t="n">
        <f aca="false">Sens!G3884+Sens!H3880-Sens!H3881-Sens!H3882+Sens!H3883</f>
        <v>50</v>
      </c>
      <c r="I3884" s="6" t="n">
        <f aca="false">Sens!H3884+Sens!I3880-Sens!I3881-Sens!I3882+Sens!I3883</f>
        <v>116.358354776203</v>
      </c>
      <c r="J3884" s="6" t="n">
        <f aca="false">Sens!I3884+Sens!J3880-Sens!J3881-Sens!J3882+Sens!J3883</f>
        <v>261.419164992363</v>
      </c>
      <c r="K3884" s="6" t="n">
        <f aca="false">Sens!J3884+Sens!K3880-Sens!K3881-Sens!K3882+Sens!K3883</f>
        <v>447.147243752304</v>
      </c>
    </row>
    <row r="3885" customFormat="false" ht="15" hidden="false" customHeight="false" outlineLevel="0" collapsed="false">
      <c r="A3885" s="1" t="s">
        <v>973</v>
      </c>
      <c r="B3885" s="0" t="s">
        <v>98</v>
      </c>
      <c r="E3885" s="6" t="n">
        <f aca="false">debt_face</f>
        <v>46.136</v>
      </c>
      <c r="F3885" s="6" t="n">
        <f aca="false">Sens!E3885-Sens!F3881+Sens!F3883</f>
        <v>70.9063364437281</v>
      </c>
      <c r="G3885" s="6" t="n">
        <f aca="false">Sens!F3885-Sens!G3881+Sens!G3883</f>
        <v>99.700954782941</v>
      </c>
      <c r="H3885" s="6" t="n">
        <f aca="false">Sens!G3885-Sens!H3881+Sens!H3883</f>
        <v>97.699954782941</v>
      </c>
      <c r="I3885" s="6" t="n">
        <f aca="false">Sens!H3885-Sens!I3881+Sens!I3883</f>
        <v>97.699954782941</v>
      </c>
      <c r="J3885" s="6" t="n">
        <f aca="false">Sens!I3885-Sens!J3881+Sens!J3883</f>
        <v>97.199954782941</v>
      </c>
      <c r="K3885" s="6" t="n">
        <f aca="false">Sens!J3885-Sens!K3881+Sens!K3883</f>
        <v>97.199954782941</v>
      </c>
    </row>
    <row r="3886" customFormat="false" ht="15" hidden="false" customHeight="false" outlineLevel="0" collapsed="false">
      <c r="A3886" s="1" t="s">
        <v>974</v>
      </c>
      <c r="B3886" s="0" t="s">
        <v>98</v>
      </c>
      <c r="E3886" s="6" t="n">
        <f aca="false">Sens!E3884-Sens!E3885</f>
        <v>30.707</v>
      </c>
      <c r="F3886" s="6" t="n">
        <f aca="false">Sens!F3884-Sens!F3885</f>
        <v>-20.9063364437281</v>
      </c>
      <c r="G3886" s="6" t="n">
        <f aca="false">Sens!G3884-Sens!G3885</f>
        <v>-49.700954782941</v>
      </c>
      <c r="H3886" s="6" t="n">
        <f aca="false">Sens!H3884-Sens!H3885</f>
        <v>-47.699954782941</v>
      </c>
      <c r="I3886" s="6" t="n">
        <f aca="false">Sens!I3884-Sens!I3885</f>
        <v>18.6583999932624</v>
      </c>
      <c r="J3886" s="6" t="n">
        <f aca="false">Sens!J3884-Sens!J3885</f>
        <v>164.219210209422</v>
      </c>
      <c r="K3886" s="6" t="n">
        <f aca="false">Sens!K3884-Sens!K3885</f>
        <v>349.947288969363</v>
      </c>
    </row>
    <row r="3887" customFormat="false" ht="15" hidden="false" customHeight="false" outlineLevel="0" collapsed="false">
      <c r="A3887" s="1" t="s">
        <v>975</v>
      </c>
      <c r="B3887" s="0" t="s">
        <v>75</v>
      </c>
      <c r="F3887" s="29" t="n">
        <f aca="false">px*(1+bb_g)^(Sens!F3749-base_fy-mid_yr)</f>
        <v>553.494156066711</v>
      </c>
      <c r="G3887" s="29" t="n">
        <f aca="false">px*(1+bb_g)^(Sens!G3749-base_fy-mid_yr)</f>
        <v>597.773688552047</v>
      </c>
      <c r="H3887" s="29" t="n">
        <f aca="false">px*(1+bb_g)^(Sens!H3749-base_fy-mid_yr)</f>
        <v>645.595583636211</v>
      </c>
      <c r="I3887" s="29" t="n">
        <f aca="false">px*(1+bb_g)^(Sens!I3749-base_fy-mid_yr)</f>
        <v>697.243230327108</v>
      </c>
      <c r="J3887" s="29" t="n">
        <f aca="false">px*(1+bb_g)^(Sens!J3749-base_fy-mid_yr)</f>
        <v>753.022688753277</v>
      </c>
      <c r="K3887" s="29" t="n">
        <f aca="false">px*(1+bb_g)^(Sens!K3749-base_fy-mid_yr)</f>
        <v>813.264503853539</v>
      </c>
    </row>
    <row r="3888" customFormat="false" ht="15" hidden="false" customHeight="false" outlineLevel="0" collapsed="false">
      <c r="A3888" s="1" t="s">
        <v>976</v>
      </c>
      <c r="B3888" s="1" t="s">
        <v>81</v>
      </c>
      <c r="E3888" s="14" t="n">
        <f aca="false">sh_out26</f>
        <v>7.427</v>
      </c>
      <c r="F3888" s="14" t="n">
        <f aca="false">Sens!E3888+sh_iss-Sens!F3882/Sens!F3887</f>
        <v>7.472</v>
      </c>
      <c r="G3888" s="14" t="n">
        <f aca="false">Sens!F3888+sh_iss-Sens!G3882/Sens!G3887</f>
        <v>7.517</v>
      </c>
      <c r="H3888" s="14" t="n">
        <f aca="false">Sens!G3888+sh_iss-Sens!H3882/Sens!H3887</f>
        <v>7.54700953837889</v>
      </c>
      <c r="I3888" s="14" t="n">
        <f aca="false">Sens!H3888+sh_iss-Sens!I3882/Sens!I3887</f>
        <v>7.56006803069362</v>
      </c>
      <c r="J3888" s="14" t="n">
        <f aca="false">Sens!I3888+sh_iss-Sens!J3882/Sens!J3887</f>
        <v>7.57549256061466</v>
      </c>
      <c r="K3888" s="14" t="n">
        <f aca="false">Sens!J3888+sh_iss-Sens!K3882/Sens!K3887</f>
        <v>7.5931078660971</v>
      </c>
    </row>
    <row r="3889" customFormat="false" ht="15" hidden="false" customHeight="false" outlineLevel="0" collapsed="false">
      <c r="A3889" s="1" t="s">
        <v>977</v>
      </c>
      <c r="B3889" s="1" t="s">
        <v>81</v>
      </c>
      <c r="E3889" s="14" t="n">
        <f aca="false">sh_dil26</f>
        <v>7.453</v>
      </c>
      <c r="F3889" s="14" t="n">
        <f aca="false">(Sens!E3888+Sens!F3888)/2+dil_gap</f>
        <v>7.4735</v>
      </c>
      <c r="G3889" s="14" t="n">
        <f aca="false">(Sens!F3888+Sens!G3888)/2+dil_gap</f>
        <v>7.5185</v>
      </c>
      <c r="H3889" s="14" t="n">
        <f aca="false">(Sens!G3888+Sens!H3888)/2+dil_gap</f>
        <v>7.55600476918945</v>
      </c>
      <c r="I3889" s="14" t="n">
        <f aca="false">(Sens!H3888+Sens!I3888)/2+dil_gap</f>
        <v>7.57753878453626</v>
      </c>
      <c r="J3889" s="14" t="n">
        <f aca="false">(Sens!I3888+Sens!J3888)/2+dil_gap</f>
        <v>7.59178029565414</v>
      </c>
      <c r="K3889" s="14" t="n">
        <f aca="false">(Sens!J3888+Sens!K3888)/2+dil_gap</f>
        <v>7.60830021335588</v>
      </c>
    </row>
    <row r="3890" customFormat="false" ht="17.15" hidden="false" customHeight="false" outlineLevel="0" collapsed="false">
      <c r="A3890" s="1" t="s">
        <v>978</v>
      </c>
      <c r="B3890" s="0" t="s">
        <v>98</v>
      </c>
      <c r="C3890" s="6" t="n">
        <f aca="false">SUM(Sens!F3880:J3880)</f>
        <v>187.731986028676</v>
      </c>
    </row>
    <row r="3891" customFormat="false" ht="15" hidden="false" customHeight="false" outlineLevel="0" collapsed="false">
      <c r="A3891" s="23" t="s">
        <v>945</v>
      </c>
      <c r="B3891" s="30" t="s">
        <v>98</v>
      </c>
      <c r="C3891" s="24" t="n">
        <f aca="false">Sens!$C$3890-(Sens!F3880+Sens!G3880+Sens!H3880+Sens!I3880+Sens!J3880)</f>
        <v>0</v>
      </c>
      <c r="D3891" s="30"/>
      <c r="E3891" s="30"/>
      <c r="F3891" s="30"/>
      <c r="G3891" s="30"/>
      <c r="H3891" s="30"/>
      <c r="I3891" s="30"/>
      <c r="J3891" s="30"/>
      <c r="K3891" s="30"/>
    </row>
    <row r="3892" customFormat="false" ht="17.15" hidden="false" customHeight="false" outlineLevel="0" collapsed="false">
      <c r="A3892" s="1" t="s">
        <v>939</v>
      </c>
      <c r="B3892" s="1" t="s">
        <v>979</v>
      </c>
      <c r="C3892" s="32" t="str">
        <f aca="false">IF(SUM(Sens!F3883:J3883)&gt;0.05,"需要舉債 "&amp;TEXT(SUM(Sens!F3883:J3883),"0.0")&amp;" 十億美元","不需舉債")&amp;"；"&amp;IF(SUM(Sens!F3882:J3882)&lt;COUNT(Sens!F3882:J3882)*bb_target-0.05,"回購較每年 "&amp;TEXT(bb_target,"0.0")&amp;" 的目標少 "&amp;TEXT(COUNT(Sens!F3882:J3882)*bb_target-SUM(Sens!F3882:J3882),"0.0")&amp;" 十億美元（"&amp;TEXT(COUNTIF(Sens!F3882:J3882,"&lt;"&amp;(bb_target-0.05)),"0")&amp;" 年減少）","回購不減")</f>
        <v>需要舉債 62.8 十億美元；回購較每年 22.3 的目標少 57.1 十億美元（3 年減少）</v>
      </c>
    </row>
    <row r="3893" customFormat="false" ht="17.15" hidden="false" customHeight="false" outlineLevel="0" collapsed="false">
      <c r="A3893" s="3" t="s">
        <v>1361</v>
      </c>
    </row>
    <row r="3894" customFormat="false" ht="15" hidden="false" customHeight="false" outlineLevel="0" collapsed="false">
      <c r="A3894" s="4" t="s">
        <v>43</v>
      </c>
      <c r="B3894" s="4" t="s">
        <v>65</v>
      </c>
      <c r="C3894" s="20" t="s">
        <v>799</v>
      </c>
      <c r="D3894" s="20" t="s">
        <v>800</v>
      </c>
      <c r="E3894" s="20" t="s">
        <v>801</v>
      </c>
      <c r="F3894" s="20" t="s">
        <v>802</v>
      </c>
      <c r="G3894" s="20" t="s">
        <v>803</v>
      </c>
      <c r="H3894" s="20" t="s">
        <v>804</v>
      </c>
      <c r="I3894" s="20" t="s">
        <v>805</v>
      </c>
      <c r="J3894" s="20" t="s">
        <v>806</v>
      </c>
      <c r="K3894" s="20" t="s">
        <v>807</v>
      </c>
      <c r="L3894" s="4" t="s">
        <v>47</v>
      </c>
    </row>
    <row r="3895" customFormat="false" ht="15" hidden="false" customHeight="false" outlineLevel="0" collapsed="false">
      <c r="A3895" s="1" t="s">
        <v>1057</v>
      </c>
      <c r="B3895" s="1" t="s">
        <v>235</v>
      </c>
      <c r="F3895" s="36" t="n">
        <f aca="false">Sens!F3749-base_fy-mid_yr</f>
        <v>0.5</v>
      </c>
      <c r="G3895" s="36" t="n">
        <f aca="false">Sens!G3749-base_fy-mid_yr</f>
        <v>1.5</v>
      </c>
      <c r="H3895" s="36" t="n">
        <f aca="false">Sens!H3749-base_fy-mid_yr</f>
        <v>2.5</v>
      </c>
      <c r="I3895" s="36" t="n">
        <f aca="false">Sens!I3749-base_fy-mid_yr</f>
        <v>3.5</v>
      </c>
      <c r="J3895" s="36" t="n">
        <f aca="false">Sens!J3749-base_fy-mid_yr</f>
        <v>4.5</v>
      </c>
      <c r="K3895" s="36" t="n">
        <f aca="false">Sens!K3749-base_fy-mid_yr</f>
        <v>5.5</v>
      </c>
    </row>
    <row r="3896" customFormat="false" ht="15" hidden="false" customHeight="false" outlineLevel="0" collapsed="false">
      <c r="A3896" s="1" t="s">
        <v>1058</v>
      </c>
      <c r="B3896" s="0" t="s">
        <v>185</v>
      </c>
      <c r="F3896" s="14" t="n">
        <f aca="false">1/(1+wacc)^Sens!F3895</f>
        <v>0.952193373608246</v>
      </c>
      <c r="G3896" s="14" t="n">
        <f aca="false">1/(1+wacc)^Sens!G3895</f>
        <v>0.863327280626589</v>
      </c>
      <c r="H3896" s="14" t="n">
        <f aca="false">1/(1+wacc)^Sens!H3895</f>
        <v>0.782754862754115</v>
      </c>
      <c r="I3896" s="14" t="n">
        <f aca="false">1/(1+wacc)^Sens!I3895</f>
        <v>0.709702089711011</v>
      </c>
      <c r="J3896" s="14" t="n">
        <f aca="false">1/(1+wacc)^Sens!J3895</f>
        <v>0.643467169744551</v>
      </c>
      <c r="K3896" s="14" t="n">
        <f aca="false">1/(1+wacc)^Sens!K3895</f>
        <v>0.583413807767797</v>
      </c>
    </row>
    <row r="3897" customFormat="false" ht="17.15" hidden="false" customHeight="false" outlineLevel="0" collapsed="false">
      <c r="A3897" s="1" t="s">
        <v>1059</v>
      </c>
      <c r="B3897" s="0" t="s">
        <v>98</v>
      </c>
      <c r="F3897" s="6" t="n">
        <f aca="false">Sens!F3870-Sens!F3868-Sens!F3874+Sens!F3853*(1-tax_f)</f>
        <v>-25.0329343461912</v>
      </c>
      <c r="G3897" s="6" t="n">
        <f aca="false">Sens!G3870-Sens!G3868-Sens!G3874+Sens!G3853*(1-tax_f)</f>
        <v>12.347201405006</v>
      </c>
      <c r="H3897" s="6" t="n">
        <f aca="false">Sens!H3870-Sens!H3868-Sens!H3874+Sens!H3853*(1-tax_f)</f>
        <v>68.0833834827731</v>
      </c>
      <c r="I3897" s="6" t="n">
        <f aca="false">Sens!I3870-Sens!I3868-Sens!I3874+Sens!I3853*(1-tax_f)</f>
        <v>159.687195483223</v>
      </c>
      <c r="J3897" s="6" t="n">
        <f aca="false">Sens!J3870-Sens!J3868-Sens!J3874+Sens!J3853*(1-tax_f)</f>
        <v>249.918048371365</v>
      </c>
      <c r="K3897" s="6" t="n">
        <f aca="false">Sens!K3870-Sens!K3868-Sens!K3874+Sens!K3853*(1-tax_f)</f>
        <v>297.400142628214</v>
      </c>
      <c r="L3897" s="1" t="s">
        <v>1060</v>
      </c>
    </row>
    <row r="3898" customFormat="false" ht="15" hidden="false" customHeight="false" outlineLevel="0" collapsed="false">
      <c r="A3898" s="1" t="s">
        <v>1061</v>
      </c>
      <c r="B3898" s="0" t="s">
        <v>98</v>
      </c>
      <c r="F3898" s="6" t="n">
        <f aca="false">Sens!F3897*Sens!F3896</f>
        <v>-23.8361942064135</v>
      </c>
      <c r="G3898" s="6" t="n">
        <f aca="false">Sens!G3897*Sens!G3896</f>
        <v>10.6596758123326</v>
      </c>
      <c r="H3898" s="6" t="n">
        <f aca="false">Sens!H3897*Sens!H3896</f>
        <v>53.2925994938939</v>
      </c>
      <c r="I3898" s="6" t="n">
        <f aca="false">Sens!I3897*Sens!I3896</f>
        <v>113.330336334534</v>
      </c>
      <c r="J3898" s="6" t="n">
        <f aca="false">Sens!J3897*Sens!J3896</f>
        <v>160.814059253604</v>
      </c>
      <c r="K3898" s="6" t="n">
        <f aca="false">Sens!K3897*Sens!K3896</f>
        <v>173.507349641412</v>
      </c>
    </row>
    <row r="3899" customFormat="false" ht="17.15" hidden="false" customHeight="false" outlineLevel="0" collapsed="false">
      <c r="A3899" s="1" t="s">
        <v>1062</v>
      </c>
      <c r="B3899" s="0" t="s">
        <v>98</v>
      </c>
      <c r="C3899" s="6" t="n">
        <f aca="false">SUM(Sens!F3898:K3898)</f>
        <v>487.767826329364</v>
      </c>
    </row>
    <row r="3900" customFormat="false" ht="17.15" hidden="false" customHeight="false" outlineLevel="0" collapsed="false">
      <c r="A3900" s="1" t="s">
        <v>1063</v>
      </c>
      <c r="B3900" s="0" t="s">
        <v>98</v>
      </c>
      <c r="C3900" s="6" t="n">
        <f aca="false">Sens!K3839*(1+g_tv)*(1-tax_f)</f>
        <v>296.707085664541</v>
      </c>
    </row>
    <row r="3901" customFormat="false" ht="17.15" hidden="false" customHeight="false" outlineLevel="0" collapsed="false">
      <c r="A3901" s="1" t="s">
        <v>1064</v>
      </c>
      <c r="B3901" s="0" t="s">
        <v>98</v>
      </c>
      <c r="C3901" s="6" t="n">
        <f aca="false">Sens!$C$3900*(1-g_tv/(wacc+ronic_prem))</f>
        <v>210.232487936154</v>
      </c>
    </row>
    <row r="3902" customFormat="false" ht="17.15" hidden="false" customHeight="false" outlineLevel="0" collapsed="false">
      <c r="A3902" s="1" t="s">
        <v>1065</v>
      </c>
      <c r="B3902" s="0" t="s">
        <v>98</v>
      </c>
      <c r="C3902" s="6" t="n">
        <f aca="false">Sens!$C$3901/(wacc-g_tv)</f>
        <v>2882.48659094624</v>
      </c>
    </row>
    <row r="3903" customFormat="false" ht="15" hidden="false" customHeight="false" outlineLevel="0" collapsed="false">
      <c r="A3903" s="1" t="s">
        <v>1066</v>
      </c>
      <c r="B3903" s="0" t="s">
        <v>98</v>
      </c>
      <c r="C3903" s="6" t="n">
        <f aca="false">Sens!$C$3902/(1+wacc)^(Sens!K3895+mid_yr)</f>
        <v>1601.28691193478</v>
      </c>
    </row>
    <row r="3904" customFormat="false" ht="17.15" hidden="false" customHeight="false" outlineLevel="0" collapsed="false">
      <c r="A3904" s="0" t="s">
        <v>986</v>
      </c>
      <c r="B3904" s="0" t="s">
        <v>98</v>
      </c>
      <c r="C3904" s="6" t="n">
        <f aca="false">Sens!$C$3899+Sens!$C$3903</f>
        <v>2089.05473826414</v>
      </c>
    </row>
    <row r="3905" customFormat="false" ht="15" hidden="false" customHeight="false" outlineLevel="0" collapsed="false">
      <c r="A3905" s="1" t="s">
        <v>987</v>
      </c>
      <c r="B3905" s="0" t="s">
        <v>129</v>
      </c>
      <c r="C3905" s="7" t="n">
        <f aca="false">Sens!$C$3903/Sens!$C$3904</f>
        <v>0.766512663648697</v>
      </c>
    </row>
    <row r="3906" customFormat="false" ht="17.15" hidden="false" customHeight="false" outlineLevel="0" collapsed="false">
      <c r="A3906" s="1" t="s">
        <v>1067</v>
      </c>
      <c r="B3906" s="0" t="s">
        <v>98</v>
      </c>
      <c r="C3906" s="6" t="n">
        <f aca="false">Sens!$C$3904+Sens!E3886-Sens!E3875+oai_v</f>
        <v>2223.56773826414</v>
      </c>
    </row>
    <row r="3907" customFormat="false" ht="17.15" hidden="false" customHeight="false" outlineLevel="0" collapsed="false">
      <c r="A3907" s="0" t="s">
        <v>994</v>
      </c>
      <c r="B3907" s="0" t="s">
        <v>75</v>
      </c>
      <c r="C3907" s="5" t="n">
        <f aca="false">Sens!$C$3906/sh_dil26</f>
        <v>298.345329164651</v>
      </c>
    </row>
    <row r="3908" customFormat="false" ht="15" hidden="false" customHeight="false" outlineLevel="0" collapsed="false">
      <c r="A3908" s="1" t="s">
        <v>1068</v>
      </c>
      <c r="B3908" s="0" t="s">
        <v>75</v>
      </c>
      <c r="C3908" s="8" t="n">
        <f aca="false">dps_27+Sens!G3878*roll_div_q/q_per_yr</f>
        <v>4.8895</v>
      </c>
    </row>
    <row r="3909" customFormat="false" ht="17.15" hidden="false" customHeight="false" outlineLevel="0" collapsed="false">
      <c r="A3909" s="0" t="s">
        <v>1069</v>
      </c>
      <c r="B3909" s="0" t="s">
        <v>75</v>
      </c>
      <c r="C3909" s="5" t="n">
        <f aca="false">Sens!$C$3907*(1+wacc)^t_roll-Sens!$C$3908</f>
        <v>334.846287928836</v>
      </c>
    </row>
    <row r="3910" customFormat="false" ht="17.15" hidden="false" customHeight="false" outlineLevel="0" collapsed="false">
      <c r="A3910" s="1" t="s">
        <v>1070</v>
      </c>
      <c r="B3910" s="0" t="s">
        <v>129</v>
      </c>
      <c r="F3910" s="7" t="n">
        <f aca="false">Sens!F3865/(Sens!F3810-Sens!F3766)</f>
        <v>0.0684307874075333</v>
      </c>
      <c r="G3910" s="7" t="n">
        <f aca="false">Sens!G3865/(Sens!G3810-Sens!G3766)</f>
        <v>0.0656456058503526</v>
      </c>
      <c r="H3910" s="7" t="n">
        <f aca="false">Sens!H3865/(Sens!H3810-Sens!H3766)</f>
        <v>0.0641950889132003</v>
      </c>
      <c r="I3910" s="7" t="n">
        <f aca="false">Sens!I3865/(Sens!I3810-Sens!I3766)</f>
        <v>0.063960269667854</v>
      </c>
      <c r="J3910" s="7" t="n">
        <f aca="false">Sens!J3865/(Sens!J3810-Sens!J3766)</f>
        <v>0.0646607917002597</v>
      </c>
      <c r="K3910" s="7" t="n">
        <f aca="false">Sens!K3865/(Sens!K3810-Sens!K3766)</f>
        <v>0.0659511546529383</v>
      </c>
    </row>
    <row r="3911" customFormat="false" ht="17.15" hidden="false" customHeight="false" outlineLevel="0" collapsed="false">
      <c r="A3911" s="0" t="s">
        <v>1071</v>
      </c>
      <c r="B3911" s="0" t="s">
        <v>98</v>
      </c>
      <c r="F3911" s="6" t="n">
        <f aca="false">Sens!F3795*(al_m365+Sens!F3910+sbc_r)</f>
        <v>83.9158372980923</v>
      </c>
      <c r="G3911" s="6" t="n">
        <f aca="false">Sens!G3795*(al_m365+Sens!G3910+sbc_r)</f>
        <v>96.3459139664276</v>
      </c>
      <c r="H3911" s="6" t="n">
        <f aca="false">Sens!H3795*(al_m365+Sens!H3910+sbc_r)</f>
        <v>108.939128787393</v>
      </c>
      <c r="I3911" s="6" t="n">
        <f aca="false">Sens!I3795*(al_m365+Sens!I3910+sbc_r)</f>
        <v>120.51456797186</v>
      </c>
      <c r="J3911" s="6" t="n">
        <f aca="false">Sens!J3795*(al_m365+Sens!J3910+sbc_r)</f>
        <v>130.883844402211</v>
      </c>
      <c r="K3911" s="6" t="n">
        <f aca="false">Sens!K3795*(al_m365+Sens!K3910+sbc_r)</f>
        <v>140.862269296832</v>
      </c>
      <c r="L3911" s="11" t="s">
        <v>1072</v>
      </c>
    </row>
    <row r="3912" customFormat="false" ht="17.15" hidden="false" customHeight="false" outlineLevel="0" collapsed="false">
      <c r="A3912" s="0" t="s">
        <v>1073</v>
      </c>
      <c r="B3912" s="0" t="s">
        <v>98</v>
      </c>
      <c r="F3912" s="6" t="n">
        <f aca="false">Sens!F3796*(al_lic+Sens!F3910+sbc_r)</f>
        <v>33.4384115342236</v>
      </c>
      <c r="G3912" s="6" t="n">
        <f aca="false">Sens!G3796*(al_lic+Sens!G3910+sbc_r)</f>
        <v>34.7409063621757</v>
      </c>
      <c r="H3912" s="6" t="n">
        <f aca="false">Sens!H3796*(al_lic+Sens!H3910+sbc_r)</f>
        <v>35.9566740351293</v>
      </c>
      <c r="I3912" s="6" t="n">
        <f aca="false">Sens!I3796*(al_lic+Sens!I3910+sbc_r)</f>
        <v>37.0672966580049</v>
      </c>
      <c r="J3912" s="6" t="n">
        <f aca="false">Sens!J3796*(al_lic+Sens!J3910+sbc_r)</f>
        <v>38.0469841498966</v>
      </c>
      <c r="K3912" s="6" t="n">
        <f aca="false">Sens!K3796*(al_lic+Sens!K3910+sbc_r)</f>
        <v>38.8666958490701</v>
      </c>
    </row>
    <row r="3913" customFormat="false" ht="17.15" hidden="false" customHeight="false" outlineLevel="0" collapsed="false">
      <c r="A3913" s="0" t="s">
        <v>1074</v>
      </c>
      <c r="B3913" s="0" t="s">
        <v>98</v>
      </c>
      <c r="F3913" s="6" t="n">
        <f aca="false">Sens!F3798*(al_ind+Sens!F3910+sbc_r)</f>
        <v>9.07285900381439</v>
      </c>
      <c r="G3913" s="6" t="n">
        <f aca="false">Sens!G3798*(al_ind+Sens!G3910+sbc_r)</f>
        <v>9.84969160470639</v>
      </c>
      <c r="H3913" s="6" t="n">
        <f aca="false">Sens!H3798*(al_ind+Sens!H3910+sbc_r)</f>
        <v>10.6714469126029</v>
      </c>
      <c r="I3913" s="6" t="n">
        <f aca="false">Sens!I3798*(al_ind+Sens!I3910+sbc_r)</f>
        <v>11.5350820765572</v>
      </c>
      <c r="J3913" s="6" t="n">
        <f aca="false">Sens!J3798*(al_ind+Sens!J3910+sbc_r)</f>
        <v>12.4308815351832</v>
      </c>
      <c r="K3913" s="6" t="n">
        <f aca="false">Sens!K3798*(al_ind+Sens!K3910+sbc_r)</f>
        <v>13.3437330974691</v>
      </c>
    </row>
    <row r="3914" customFormat="false" ht="17.15" hidden="false" customHeight="false" outlineLevel="0" collapsed="false">
      <c r="A3914" s="0" t="s">
        <v>1075</v>
      </c>
      <c r="B3914" s="0" t="s">
        <v>98</v>
      </c>
      <c r="F3914" s="6" t="n">
        <f aca="false">Sens!F3800*(al_fro+Sens!F3910+sbc_r)</f>
        <v>3.5711091569032</v>
      </c>
      <c r="G3914" s="6" t="n">
        <f aca="false">Sens!G3800*(al_fro+Sens!G3910+sbc_r)</f>
        <v>3.78169924595694</v>
      </c>
      <c r="H3914" s="6" t="n">
        <f aca="false">Sens!H3800*(al_fro+Sens!H3910+sbc_r)</f>
        <v>4.02136645419237</v>
      </c>
      <c r="I3914" s="6" t="n">
        <f aca="false">Sens!I3800*(al_fro+Sens!I3910+sbc_r)</f>
        <v>4.29288807676321</v>
      </c>
      <c r="J3914" s="6" t="n">
        <f aca="false">Sens!J3800*(al_fro+Sens!J3910+sbc_r)</f>
        <v>4.59741770960175</v>
      </c>
      <c r="K3914" s="6" t="n">
        <f aca="false">Sens!K3800*(al_fro+Sens!K3910+sbc_r)</f>
        <v>4.9350252981555</v>
      </c>
    </row>
    <row r="3915" customFormat="false" ht="17.15" hidden="false" customHeight="false" outlineLevel="0" collapsed="false">
      <c r="A3915" s="0" t="s">
        <v>1076</v>
      </c>
      <c r="B3915" s="0" t="s">
        <v>98</v>
      </c>
      <c r="F3915" s="6" t="n">
        <f aca="false">Sens!F3803*(al_srch+Sens!F3910+sbc_r)</f>
        <v>11.205111954849</v>
      </c>
      <c r="G3915" s="6" t="n">
        <f aca="false">Sens!G3803*(al_srch+Sens!G3910+sbc_r)</f>
        <v>12.2792883348957</v>
      </c>
      <c r="H3915" s="6" t="n">
        <f aca="false">Sens!H3803*(al_srch+Sens!H3910+sbc_r)</f>
        <v>13.3983888227975</v>
      </c>
      <c r="I3915" s="6" t="n">
        <f aca="false">Sens!I3803*(al_srch+Sens!I3910+sbc_r)</f>
        <v>14.5517695263616</v>
      </c>
      <c r="J3915" s="6" t="n">
        <f aca="false">Sens!J3803*(al_srch+Sens!J3910+sbc_r)</f>
        <v>15.7194284145253</v>
      </c>
      <c r="K3915" s="6" t="n">
        <f aca="false">Sens!K3803*(al_srch+Sens!K3910+sbc_r)</f>
        <v>16.87377171237</v>
      </c>
    </row>
    <row r="3916" customFormat="false" ht="17.15" hidden="false" customHeight="false" outlineLevel="0" collapsed="false">
      <c r="A3916" s="0" t="s">
        <v>1077</v>
      </c>
      <c r="B3916" s="0" t="s">
        <v>98</v>
      </c>
      <c r="F3916" s="6" t="n">
        <f aca="false">Sens!F3772-Sens!F3773+Sens!F3853</f>
        <v>46.4497307872153</v>
      </c>
      <c r="G3916" s="6" t="n">
        <f aca="false">Sens!G3772-Sens!G3773+Sens!G3853</f>
        <v>92.4599877875533</v>
      </c>
      <c r="H3916" s="6" t="n">
        <f aca="false">Sens!H3772-Sens!H3773+Sens!H3853</f>
        <v>141.690399558516</v>
      </c>
      <c r="I3916" s="6" t="n">
        <f aca="false">Sens!I3772-Sens!I3773+Sens!I3853</f>
        <v>185.687727477077</v>
      </c>
      <c r="J3916" s="6" t="n">
        <f aca="false">Sens!J3772-Sens!J3773+Sens!J3853</f>
        <v>216.621104121283</v>
      </c>
      <c r="K3916" s="6" t="n">
        <f aca="false">Sens!K3772-Sens!K3773+Sens!K3853</f>
        <v>235.755859451532</v>
      </c>
    </row>
    <row r="3917" customFormat="false" ht="17.15" hidden="false" customHeight="false" outlineLevel="0" collapsed="false">
      <c r="A3917" s="0" t="s">
        <v>1078</v>
      </c>
      <c r="B3917" s="0" t="s">
        <v>98</v>
      </c>
      <c r="F3917" s="6" t="n">
        <f aca="false">Sens!F3832+Sens!F3853+Sens!F3783+Sens!F3910*(Sens!F3802-Sens!F3766)+sbc_r*Sens!F3802</f>
        <v>237.593623810805</v>
      </c>
      <c r="G3917" s="6" t="n">
        <f aca="false">Sens!G3832+Sens!G3853+Sens!G3783+Sens!G3910*(Sens!G3802-Sens!G3766)+sbc_r*Sens!G3802</f>
        <v>310.936887720057</v>
      </c>
      <c r="H3917" s="6" t="n">
        <f aca="false">Sens!H3832+Sens!H3853+Sens!H3783+Sens!H3910*(Sens!H3802-Sens!H3766)+sbc_r*Sens!H3802</f>
        <v>388.018650052673</v>
      </c>
      <c r="I3917" s="6" t="n">
        <f aca="false">Sens!I3832+Sens!I3853+Sens!I3783+Sens!I3910*(Sens!I3802-Sens!I3766)+sbc_r*Sens!I3802</f>
        <v>458.460724488895</v>
      </c>
      <c r="J3917" s="6" t="n">
        <f aca="false">Sens!J3832+Sens!J3853+Sens!J3783+Sens!J3910*(Sens!J3802-Sens!J3766)+sbc_r*Sens!J3802</f>
        <v>513.333778930046</v>
      </c>
      <c r="K3917" s="6" t="n">
        <f aca="false">Sens!K3832+Sens!K3853+Sens!K3783+Sens!K3910*(Sens!K3802-Sens!K3766)+sbc_r*Sens!K3802</f>
        <v>553.986997470766</v>
      </c>
    </row>
    <row r="3918" customFormat="false" ht="17.15" hidden="false" customHeight="false" outlineLevel="0" collapsed="false">
      <c r="A3918" s="0" t="s">
        <v>1079</v>
      </c>
      <c r="B3918" s="0" t="s">
        <v>98</v>
      </c>
      <c r="F3918" s="6" t="n">
        <f aca="false">Sens!F3917-Sens!F3911-Sens!F3912-Sens!F3913-Sens!F3914-Sens!F3916</f>
        <v>61.1456760305559</v>
      </c>
      <c r="G3918" s="6" t="n">
        <f aca="false">Sens!G3917-Sens!G3911-Sens!G3912-Sens!G3913-Sens!G3914-Sens!G3916</f>
        <v>73.7586887532373</v>
      </c>
      <c r="H3918" s="6" t="n">
        <f aca="false">Sens!H3917-Sens!H3911-Sens!H3912-Sens!H3913-Sens!H3914-Sens!H3916</f>
        <v>86.7396343048389</v>
      </c>
      <c r="I3918" s="6" t="n">
        <f aca="false">Sens!I3917-Sens!I3911-Sens!I3912-Sens!I3913-Sens!I3914-Sens!I3916</f>
        <v>99.3631622286328</v>
      </c>
      <c r="J3918" s="6" t="n">
        <f aca="false">Sens!J3917-Sens!J3911-Sens!J3912-Sens!J3913-Sens!J3914-Sens!J3916</f>
        <v>110.75354701187</v>
      </c>
      <c r="K3918" s="6" t="n">
        <f aca="false">Sens!K3917-Sens!K3911-Sens!K3912-Sens!K3913-Sens!K3914-Sens!K3916</f>
        <v>120.223414477707</v>
      </c>
    </row>
    <row r="3919" customFormat="false" ht="17.15" hidden="false" customHeight="false" outlineLevel="0" collapsed="false">
      <c r="A3919" s="0" t="s">
        <v>1080</v>
      </c>
      <c r="B3919" s="0" t="s">
        <v>98</v>
      </c>
      <c r="F3919" s="6" t="n">
        <f aca="false">Sens!F3834+Sens!F3910*Sens!F3809+sbc_r*Sens!F3809</f>
        <v>26.1883018536976</v>
      </c>
      <c r="G3919" s="6" t="n">
        <f aca="false">Sens!G3834+Sens!G3910*Sens!G3809+sbc_r*Sens!G3809</f>
        <v>26.7988692269165</v>
      </c>
      <c r="H3919" s="6" t="n">
        <f aca="false">Sens!H3834+Sens!H3910*Sens!H3809+sbc_r*Sens!H3809</f>
        <v>27.676651877401</v>
      </c>
      <c r="I3919" s="6" t="n">
        <f aca="false">Sens!I3834+Sens!I3910*Sens!I3809+sbc_r*Sens!I3809</f>
        <v>28.7919477163856</v>
      </c>
      <c r="J3919" s="6" t="n">
        <f aca="false">Sens!J3834+Sens!J3910*Sens!J3809+sbc_r*Sens!J3809</f>
        <v>30.1095554599876</v>
      </c>
      <c r="K3919" s="6" t="n">
        <f aca="false">Sens!K3834+Sens!K3910*Sens!K3809+sbc_r*Sens!K3809</f>
        <v>31.5923355811805</v>
      </c>
    </row>
    <row r="3920" customFormat="false" ht="17.15" hidden="false" customHeight="false" outlineLevel="0" collapsed="false">
      <c r="A3920" s="0" t="s">
        <v>1081</v>
      </c>
      <c r="B3920" s="0" t="s">
        <v>98</v>
      </c>
      <c r="F3920" s="6" t="n">
        <f aca="false">(Sens!F3919-Sens!F3915)*Sens!F3805/(Sens!F3805+Sens!F3807)</f>
        <v>8.21363876839376</v>
      </c>
      <c r="G3920" s="6" t="n">
        <f aca="false">(Sens!G3919-Sens!G3915)*Sens!G3805/(Sens!G3805+Sens!G3807)</f>
        <v>7.81757556948427</v>
      </c>
      <c r="H3920" s="6" t="n">
        <f aca="false">(Sens!H3919-Sens!H3915)*Sens!H3805/(Sens!H3805+Sens!H3807)</f>
        <v>7.58379891746928</v>
      </c>
      <c r="I3920" s="6" t="n">
        <f aca="false">(Sens!I3919-Sens!I3915)*Sens!I3805/(Sens!I3805+Sens!I3807)</f>
        <v>7.49513512835163</v>
      </c>
      <c r="J3920" s="6" t="n">
        <f aca="false">(Sens!J3919-Sens!J3915)*Sens!J3805/(Sens!J3805+Sens!J3807)</f>
        <v>7.53980917061682</v>
      </c>
      <c r="K3920" s="6" t="n">
        <f aca="false">(Sens!K3919-Sens!K3915)*Sens!K3805/(Sens!K3805+Sens!K3807)</f>
        <v>7.71189597463361</v>
      </c>
    </row>
    <row r="3921" customFormat="false" ht="17.15" hidden="false" customHeight="false" outlineLevel="0" collapsed="false">
      <c r="A3921" s="0" t="s">
        <v>1082</v>
      </c>
      <c r="B3921" s="0" t="s">
        <v>98</v>
      </c>
      <c r="F3921" s="6" t="n">
        <f aca="false">Sens!F3919-Sens!F3915-Sens!F3920</f>
        <v>6.76955113045481</v>
      </c>
      <c r="G3921" s="6" t="n">
        <f aca="false">Sens!G3919-Sens!G3915-Sens!G3920</f>
        <v>6.70200532253647</v>
      </c>
      <c r="H3921" s="6" t="n">
        <f aca="false">Sens!H3919-Sens!H3915-Sens!H3920</f>
        <v>6.69446413713431</v>
      </c>
      <c r="I3921" s="6" t="n">
        <f aca="false">Sens!I3919-Sens!I3915-Sens!I3920</f>
        <v>6.74504306167234</v>
      </c>
      <c r="J3921" s="6" t="n">
        <f aca="false">Sens!J3919-Sens!J3915-Sens!J3920</f>
        <v>6.85031787484545</v>
      </c>
      <c r="K3921" s="6" t="n">
        <f aca="false">Sens!K3919-Sens!K3915-Sens!K3920</f>
        <v>7.00666789417688</v>
      </c>
    </row>
    <row r="3922" customFormat="false" ht="17.15" hidden="false" customHeight="false" outlineLevel="0" collapsed="false">
      <c r="A3922" s="0" t="s">
        <v>1083</v>
      </c>
      <c r="B3922" s="0" t="s">
        <v>98</v>
      </c>
      <c r="F3922" s="6" t="n">
        <f aca="false">Sens!F3916-tax_f*(Sens!F3916-Sens!F3783)-Sens!F3780</f>
        <v>-150.768346915167</v>
      </c>
      <c r="G3922" s="6" t="n">
        <f aca="false">Sens!G3916-tax_f*(Sens!G3916-Sens!G3783)-Sens!G3780</f>
        <v>-132.944415896559</v>
      </c>
      <c r="H3922" s="6" t="n">
        <f aca="false">Sens!H3916-tax_f*(Sens!H3916-Sens!H3783)-Sens!H3780</f>
        <v>-92.4308731365572</v>
      </c>
      <c r="I3922" s="6" t="n">
        <f aca="false">Sens!I3916-tax_f*(Sens!I3916-Sens!I3783)-Sens!I3780</f>
        <v>-15.6633088636484</v>
      </c>
      <c r="J3922" s="6" t="n">
        <f aca="false">Sens!J3916-tax_f*(Sens!J3916-Sens!J3783)-Sens!J3780</f>
        <v>60.5828438502409</v>
      </c>
      <c r="K3922" s="6" t="n">
        <f aca="false">Sens!K3916-tax_f*(Sens!K3916-Sens!K3783)-Sens!K3780</f>
        <v>94.872740128356</v>
      </c>
    </row>
    <row r="3923" customFormat="false" ht="17.15" hidden="false" customHeight="false" outlineLevel="0" collapsed="false">
      <c r="A3923" s="0" t="s">
        <v>1084</v>
      </c>
      <c r="B3923" s="0" t="s">
        <v>98</v>
      </c>
      <c r="G3923" s="6" t="n">
        <f aca="false">Sens!G3922/(1+wacc)^(Sens!G3895-(Sens!F3895+mid_yr))</f>
        <v>-126.588791874922</v>
      </c>
      <c r="H3923" s="6" t="n">
        <f aca="false">Sens!H3922/(1+wacc)^(Sens!H3895-(Sens!F3895+mid_yr))</f>
        <v>-79.7980943509252</v>
      </c>
      <c r="I3923" s="6" t="n">
        <f aca="false">Sens!I3922/(1+wacc)^(Sens!I3895-(Sens!F3895+mid_yr))</f>
        <v>-12.2605311798405</v>
      </c>
      <c r="J3923" s="6" t="n">
        <f aca="false">Sens!J3922/(1+wacc)^(Sens!J3895-(Sens!F3895+mid_yr))</f>
        <v>42.9957708811518</v>
      </c>
      <c r="K3923" s="6" t="n">
        <f aca="false">Sens!K3922/(1+wacc)^(Sens!K3895-(Sens!F3895+mid_yr))</f>
        <v>61.0474935763035</v>
      </c>
      <c r="L3923" s="1" t="s">
        <v>1085</v>
      </c>
    </row>
    <row r="3924" customFormat="false" ht="17.15" hidden="false" customHeight="false" outlineLevel="0" collapsed="false">
      <c r="A3924" s="0" t="s">
        <v>1086</v>
      </c>
      <c r="B3924" s="0" t="s">
        <v>98</v>
      </c>
      <c r="C3924" s="6" t="n">
        <f aca="false">(Sens!K3916-Sens!K3783)*(1-tax_f)*(1+g_tv)*(1-g_tv/(wacc+ronic_prem))/(wacc-g_tv)/(1+wacc)^(Sens!K3895+mid_yr-(Sens!F3895+mid_yr))</f>
        <v>364.043626865787</v>
      </c>
    </row>
    <row r="3925" customFormat="false" ht="17.15" hidden="false" customHeight="false" outlineLevel="0" collapsed="false">
      <c r="A3925" s="1" t="s">
        <v>1087</v>
      </c>
      <c r="B3925" s="0" t="s">
        <v>98</v>
      </c>
      <c r="C3925" s="6" t="n">
        <f aca="false">(SUM(Sens!G3923:K3923)+Sens!$C$3924)*(1+wacc)^(t_roll-(Sens!F3895+mid_yr))</f>
        <v>257.535763179587</v>
      </c>
      <c r="L3925" s="11" t="s">
        <v>1088</v>
      </c>
    </row>
    <row r="3926" customFormat="false" ht="17.15" hidden="false" customHeight="false" outlineLevel="0" collapsed="false">
      <c r="A3926" s="1" t="s">
        <v>1089</v>
      </c>
      <c r="B3926" s="0" t="s">
        <v>98</v>
      </c>
      <c r="C3926" s="6" t="n">
        <f aca="false">(w_ntm28*Sens!G3772+(1-w_ntm28)*Sens!H3772)*m_ai</f>
        <v>516.127960512341</v>
      </c>
    </row>
    <row r="3927" customFormat="false" ht="17.15" hidden="false" customHeight="false" outlineLevel="0" collapsed="false">
      <c r="A3927" s="1" t="s">
        <v>1090</v>
      </c>
      <c r="B3927" s="0" t="s">
        <v>98</v>
      </c>
      <c r="C3927" s="6" t="n">
        <f aca="false">(w_ntm28*Sens!G3918+(1-w_ntm28)*Sens!H3918)*m_cloud</f>
        <v>1077.34180944023</v>
      </c>
    </row>
    <row r="3928" customFormat="false" ht="17.15" hidden="false" customHeight="false" outlineLevel="0" collapsed="false">
      <c r="A3928" s="1" t="s">
        <v>1091</v>
      </c>
      <c r="B3928" s="0" t="s">
        <v>98</v>
      </c>
      <c r="C3928" s="6" t="n">
        <f aca="false">(w_ntm28*Sens!G3911+(1-w_ntm28)*Sens!H3911)*m_sw</f>
        <v>1084.50516663972</v>
      </c>
    </row>
    <row r="3929" customFormat="false" ht="17.15" hidden="false" customHeight="false" outlineLevel="0" collapsed="false">
      <c r="A3929" s="1" t="s">
        <v>1092</v>
      </c>
      <c r="B3929" s="0" t="s">
        <v>98</v>
      </c>
      <c r="C3929" s="6" t="n">
        <f aca="false">(w_ntm28*Sens!G3912+(1-w_ntm28)*Sens!H3912)*m_sw</f>
        <v>379.446649868791</v>
      </c>
    </row>
    <row r="3930" customFormat="false" ht="17.15" hidden="false" customHeight="false" outlineLevel="0" collapsed="false">
      <c r="A3930" s="1" t="s">
        <v>1093</v>
      </c>
      <c r="B3930" s="0" t="s">
        <v>98</v>
      </c>
      <c r="C3930" s="6" t="n">
        <f aca="false">(w_ntm28*Sens!G3913+(1-w_ntm28)*Sens!H3913)*m_sw</f>
        <v>109.245833616811</v>
      </c>
    </row>
    <row r="3931" customFormat="false" ht="17.15" hidden="false" customHeight="false" outlineLevel="0" collapsed="false">
      <c r="A3931" s="1" t="s">
        <v>1094</v>
      </c>
      <c r="B3931" s="0" t="s">
        <v>98</v>
      </c>
      <c r="C3931" s="6" t="n">
        <f aca="false">(w_ntm28*Sens!G3914+(1-w_ntm28)*Sens!H3914)*m_sw</f>
        <v>41.6791515554452</v>
      </c>
    </row>
    <row r="3932" customFormat="false" ht="17.15" hidden="false" customHeight="false" outlineLevel="0" collapsed="false">
      <c r="A3932" s="1" t="s">
        <v>1095</v>
      </c>
      <c r="B3932" s="0" t="s">
        <v>98</v>
      </c>
      <c r="C3932" s="6" t="n">
        <f aca="false">(w_ntm28*Sens!G3915+(1-w_ntm28)*Sens!H3915)*m_ads</f>
        <v>115.160236299351</v>
      </c>
    </row>
    <row r="3933" customFormat="false" ht="17.15" hidden="false" customHeight="false" outlineLevel="0" collapsed="false">
      <c r="A3933" s="1" t="s">
        <v>1096</v>
      </c>
      <c r="B3933" s="0" t="s">
        <v>98</v>
      </c>
      <c r="C3933" s="6" t="n">
        <f aca="false">(w_ntm28*Sens!G3920+(1-w_ntm28)*Sens!H3920)*m_game</f>
        <v>97.7814405506301</v>
      </c>
    </row>
    <row r="3934" customFormat="false" ht="17.15" hidden="false" customHeight="false" outlineLevel="0" collapsed="false">
      <c r="A3934" s="1" t="s">
        <v>1097</v>
      </c>
      <c r="B3934" s="0" t="s">
        <v>98</v>
      </c>
      <c r="C3934" s="6" t="n">
        <f aca="false">(w_ntm28*Sens!G3921+(1-w_ntm28)*Sens!H3921)*m_pc</f>
        <v>96.9427395583992</v>
      </c>
    </row>
    <row r="3935" customFormat="false" ht="17.15" hidden="false" customHeight="false" outlineLevel="0" collapsed="false">
      <c r="A3935" s="1" t="s">
        <v>1098</v>
      </c>
      <c r="B3935" s="0" t="s">
        <v>98</v>
      </c>
      <c r="C3935" s="6" t="n">
        <f aca="false">Sens!$C$3925+Sens!$C$3927+Sens!$C$3928+Sens!$C$3929+Sens!$C$3930+Sens!$C$3931+Sens!$C$3932+Sens!$C$3933+Sens!$C$3934</f>
        <v>3259.63879070896</v>
      </c>
    </row>
    <row r="3936" customFormat="false" ht="17.15" hidden="false" customHeight="false" outlineLevel="0" collapsed="false">
      <c r="A3936" s="1" t="s">
        <v>1099</v>
      </c>
      <c r="B3936" s="0" t="s">
        <v>98</v>
      </c>
      <c r="C3936" s="6" t="n">
        <f aca="false">(Sens!G3897-Sens!G3922)*t_stub</f>
        <v>47.369047832565</v>
      </c>
      <c r="L3936" s="1" t="s">
        <v>1100</v>
      </c>
    </row>
    <row r="3937" customFormat="false" ht="17.15" hidden="false" customHeight="false" outlineLevel="0" collapsed="false">
      <c r="A3937" s="1" t="s">
        <v>1014</v>
      </c>
      <c r="B3937" s="0" t="s">
        <v>98</v>
      </c>
      <c r="C3937" s="6" t="n">
        <f aca="false">Sens!F3886+oai_v-Sens!F3875+Sens!$C$3936</f>
        <v>134.392981388837</v>
      </c>
      <c r="L3937" s="1" t="s">
        <v>1101</v>
      </c>
    </row>
    <row r="3938" customFormat="false" ht="17.15" hidden="false" customHeight="false" outlineLevel="0" collapsed="false">
      <c r="A3938" s="1" t="s">
        <v>1102</v>
      </c>
      <c r="B3938" s="0" t="s">
        <v>75</v>
      </c>
      <c r="C3938" s="5" t="n">
        <f aca="false">(Sens!$C$3935+Sens!$C$3937)/(Sens!F3888+dil_gap)-Sens!G3878*roll_div_q/q_per_yr</f>
        <v>451.739551773986</v>
      </c>
      <c r="L3938" s="1" t="s">
        <v>1103</v>
      </c>
    </row>
    <row r="3939" customFormat="false" ht="17.15" hidden="false" customHeight="false" outlineLevel="0" collapsed="false">
      <c r="A3939" s="1" t="s">
        <v>1104</v>
      </c>
      <c r="B3939" s="0" t="s">
        <v>75</v>
      </c>
      <c r="C3939" s="5" t="n">
        <f aca="false">w_dcf*Sens!$C$3909+(1-w_dcf)*Sens!$C$3938</f>
        <v>393.292919851411</v>
      </c>
    </row>
    <row r="3940" customFormat="false" ht="17.15" hidden="false" customHeight="false" outlineLevel="0" collapsed="false">
      <c r="A3940" s="3" t="s">
        <v>1362</v>
      </c>
    </row>
    <row r="3941" customFormat="false" ht="15" hidden="false" customHeight="false" outlineLevel="0" collapsed="false">
      <c r="A3941" s="4" t="s">
        <v>43</v>
      </c>
      <c r="B3941" s="4" t="s">
        <v>65</v>
      </c>
      <c r="C3941" s="20" t="s">
        <v>799</v>
      </c>
      <c r="D3941" s="20" t="s">
        <v>800</v>
      </c>
      <c r="E3941" s="20" t="s">
        <v>801</v>
      </c>
      <c r="F3941" s="20" t="s">
        <v>802</v>
      </c>
      <c r="G3941" s="20" t="s">
        <v>803</v>
      </c>
      <c r="H3941" s="20" t="s">
        <v>804</v>
      </c>
      <c r="I3941" s="20" t="s">
        <v>805</v>
      </c>
      <c r="J3941" s="20" t="s">
        <v>806</v>
      </c>
      <c r="K3941" s="20" t="s">
        <v>807</v>
      </c>
      <c r="L3941" s="4" t="s">
        <v>47</v>
      </c>
    </row>
    <row r="3942" customFormat="false" ht="17.15" hidden="false" customHeight="false" outlineLevel="0" collapsed="false">
      <c r="A3942" s="1" t="s">
        <v>808</v>
      </c>
      <c r="B3942" s="1" t="s">
        <v>235</v>
      </c>
      <c r="C3942" s="28" t="n">
        <v>2024</v>
      </c>
      <c r="D3942" s="28" t="n">
        <v>2025</v>
      </c>
      <c r="E3942" s="28" t="n">
        <v>2026</v>
      </c>
      <c r="F3942" s="28" t="n">
        <v>2027</v>
      </c>
      <c r="G3942" s="28" t="n">
        <v>2028</v>
      </c>
      <c r="H3942" s="28" t="n">
        <v>2029</v>
      </c>
      <c r="I3942" s="28" t="n">
        <v>2030</v>
      </c>
      <c r="J3942" s="28" t="n">
        <v>2031</v>
      </c>
      <c r="K3942" s="28" t="n">
        <v>2032</v>
      </c>
    </row>
    <row r="3943" customFormat="false" ht="17.15" hidden="false" customHeight="false" outlineLevel="0" collapsed="false">
      <c r="A3943" s="1" t="s">
        <v>809</v>
      </c>
      <c r="B3943" s="0" t="s">
        <v>399</v>
      </c>
      <c r="F3943" s="29" t="n">
        <f aca="false">pace*1.2</f>
        <v>3032.64</v>
      </c>
      <c r="G3943" s="29" t="n">
        <f aca="false">pace*1.2</f>
        <v>3032.64</v>
      </c>
      <c r="H3943" s="29" t="n">
        <f aca="false">pace*1.2</f>
        <v>3032.64</v>
      </c>
      <c r="I3943" s="29" t="n">
        <f aca="false">pace*1.2+(g_tv*Sens!H3944-pace*1.2)*MIN(1,(Sens!I3942-pace_y0)/(pace_y1-pace_y0))</f>
        <v>2145.2392</v>
      </c>
      <c r="J3943" s="29" t="n">
        <f aca="false">pace*1.2+(g_tv*Sens!I3944-pace*1.2)*MIN(1,(Sens!J3942-pace_y0)/(pace_y1-pace_y0))</f>
        <v>1300.743184</v>
      </c>
      <c r="K3943" s="29" t="n">
        <f aca="false">pace*1.2+(g_tv*Sens!J3944-pace*1.2)*MIN(1,(Sens!K3942-pace_y0)/(pace_y1-pace_y0))</f>
        <v>473.81707152</v>
      </c>
      <c r="L3943" s="11" t="s">
        <v>810</v>
      </c>
    </row>
    <row r="3944" customFormat="false" ht="17.15" hidden="false" customHeight="false" outlineLevel="0" collapsed="false">
      <c r="A3944" s="1" t="s">
        <v>811</v>
      </c>
      <c r="B3944" s="0" t="s">
        <v>399</v>
      </c>
      <c r="C3944" s="29" t="n">
        <f aca="false">mw_ext_24</f>
        <v>640</v>
      </c>
      <c r="D3944" s="29" t="n">
        <f aca="false">mw_ext_25</f>
        <v>1630</v>
      </c>
      <c r="E3944" s="29" t="n">
        <f aca="false">mw_ext_26</f>
        <v>3250</v>
      </c>
      <c r="F3944" s="29" t="n">
        <f aca="false">Sens!E3944+Sens!F3943</f>
        <v>6282.64</v>
      </c>
      <c r="G3944" s="29" t="n">
        <f aca="false">Sens!F3944+Sens!G3943</f>
        <v>9315.28</v>
      </c>
      <c r="H3944" s="29" t="n">
        <f aca="false">Sens!G3944+Sens!H3943</f>
        <v>12347.92</v>
      </c>
      <c r="I3944" s="29" t="n">
        <f aca="false">Sens!H3944+Sens!I3943</f>
        <v>14493.1592</v>
      </c>
      <c r="J3944" s="29" t="n">
        <f aca="false">Sens!I3944+Sens!J3943</f>
        <v>15793.902384</v>
      </c>
      <c r="K3944" s="29" t="n">
        <f aca="false">Sens!J3944+Sens!K3943</f>
        <v>16267.71945552</v>
      </c>
      <c r="L3944" s="1" t="s">
        <v>812</v>
      </c>
    </row>
    <row r="3945" customFormat="false" ht="17.15" hidden="false" customHeight="false" outlineLevel="0" collapsed="false">
      <c r="A3945" s="1" t="s">
        <v>813</v>
      </c>
      <c r="B3945" s="0" t="s">
        <v>399</v>
      </c>
      <c r="C3945" s="29" t="n">
        <f aca="false">rent_ext_24</f>
        <v>150</v>
      </c>
      <c r="D3945" s="29" t="n">
        <f aca="false">rent_ext_25</f>
        <v>400</v>
      </c>
      <c r="E3945" s="29" t="n">
        <f aca="false">rent_ext_26</f>
        <v>550</v>
      </c>
      <c r="F3945" s="29" t="n">
        <f aca="false">rent_ext_f</f>
        <v>756</v>
      </c>
      <c r="G3945" s="29" t="n">
        <f aca="false">rent_ext_f</f>
        <v>756</v>
      </c>
      <c r="H3945" s="29" t="n">
        <f aca="false">rent_ext_f</f>
        <v>756</v>
      </c>
      <c r="I3945" s="29" t="n">
        <f aca="false">rent_ext_f</f>
        <v>756</v>
      </c>
      <c r="J3945" s="29" t="n">
        <f aca="false">rent_ext_f</f>
        <v>756</v>
      </c>
      <c r="K3945" s="29" t="n">
        <f aca="false">rent_ext_f</f>
        <v>756</v>
      </c>
      <c r="L3945" s="1" t="s">
        <v>814</v>
      </c>
    </row>
    <row r="3946" customFormat="false" ht="17.15" hidden="false" customHeight="false" outlineLevel="0" collapsed="false">
      <c r="A3946" s="1" t="s">
        <v>815</v>
      </c>
      <c r="B3946" s="0" t="s">
        <v>399</v>
      </c>
      <c r="C3946" s="29" t="n">
        <f aca="false">Sens!C3944-Sens!C3945</f>
        <v>490</v>
      </c>
      <c r="D3946" s="29" t="n">
        <f aca="false">Sens!D3944-Sens!D3945</f>
        <v>1230</v>
      </c>
      <c r="E3946" s="29" t="n">
        <f aca="false">Sens!E3944-Sens!E3945</f>
        <v>2700</v>
      </c>
      <c r="F3946" s="29" t="n">
        <f aca="false">Sens!F3944-Sens!F3945</f>
        <v>5526.64</v>
      </c>
      <c r="G3946" s="29" t="n">
        <f aca="false">Sens!G3944-Sens!G3945</f>
        <v>8559.28</v>
      </c>
      <c r="H3946" s="29" t="n">
        <f aca="false">Sens!H3944-Sens!H3945</f>
        <v>11591.92</v>
      </c>
      <c r="I3946" s="29" t="n">
        <f aca="false">Sens!I3944-Sens!I3945</f>
        <v>13737.1592</v>
      </c>
      <c r="J3946" s="29" t="n">
        <f aca="false">Sens!J3944-Sens!J3945</f>
        <v>15037.902384</v>
      </c>
      <c r="K3946" s="29" t="n">
        <f aca="false">Sens!K3944-Sens!K3945</f>
        <v>15511.71945552</v>
      </c>
    </row>
    <row r="3947" customFormat="false" ht="17.15" hidden="false" customHeight="false" outlineLevel="0" collapsed="false">
      <c r="A3947" s="1" t="s">
        <v>816</v>
      </c>
      <c r="B3947" s="0" t="s">
        <v>399</v>
      </c>
      <c r="C3947" s="29" t="n">
        <f aca="false">Sens!C3946/ext_sh</f>
        <v>816.666666666667</v>
      </c>
      <c r="D3947" s="29" t="n">
        <f aca="false">Sens!D3946/ext_sh</f>
        <v>2050</v>
      </c>
      <c r="E3947" s="29" t="n">
        <f aca="false">Sens!E3946/ext_sh</f>
        <v>4500</v>
      </c>
      <c r="F3947" s="29" t="n">
        <f aca="false">Sens!F3946/ext_sh</f>
        <v>9211.06666666667</v>
      </c>
      <c r="G3947" s="29" t="n">
        <f aca="false">Sens!G3946/ext_sh</f>
        <v>14265.4666666667</v>
      </c>
      <c r="H3947" s="29" t="n">
        <f aca="false">Sens!H3946/ext_sh</f>
        <v>19319.8666666667</v>
      </c>
      <c r="I3947" s="29" t="n">
        <f aca="false">Sens!I3946/ext_sh</f>
        <v>22895.2653333333</v>
      </c>
      <c r="J3947" s="29" t="n">
        <f aca="false">Sens!J3946/ext_sh</f>
        <v>25063.17064</v>
      </c>
      <c r="K3947" s="29" t="n">
        <f aca="false">Sens!K3946/ext_sh</f>
        <v>25852.8657592</v>
      </c>
      <c r="L3947" s="1" t="s">
        <v>817</v>
      </c>
    </row>
    <row r="3948" customFormat="false" ht="17.15" hidden="false" customHeight="false" outlineLevel="0" collapsed="false">
      <c r="A3948" s="1" t="s">
        <v>818</v>
      </c>
      <c r="B3948" s="0" t="s">
        <v>399</v>
      </c>
      <c r="C3948" s="29" t="n">
        <f aca="false">Sens!C3947-Sens!C3946</f>
        <v>326.666666666667</v>
      </c>
      <c r="D3948" s="29" t="n">
        <f aca="false">Sens!D3947-Sens!D3946</f>
        <v>820</v>
      </c>
      <c r="E3948" s="29" t="n">
        <f aca="false">Sens!E3947-Sens!E3946</f>
        <v>1800</v>
      </c>
      <c r="F3948" s="29" t="n">
        <f aca="false">Sens!F3947-Sens!F3946</f>
        <v>3684.42666666667</v>
      </c>
      <c r="G3948" s="29" t="n">
        <f aca="false">Sens!G3947-Sens!G3946</f>
        <v>5706.18666666667</v>
      </c>
      <c r="H3948" s="29" t="n">
        <f aca="false">Sens!H3947-Sens!H3946</f>
        <v>7727.94666666667</v>
      </c>
      <c r="I3948" s="29" t="n">
        <f aca="false">Sens!I3947-Sens!I3946</f>
        <v>9158.10613333334</v>
      </c>
      <c r="J3948" s="29" t="n">
        <f aca="false">Sens!J3947-Sens!J3946</f>
        <v>10025.268256</v>
      </c>
      <c r="K3948" s="29" t="n">
        <f aca="false">Sens!K3947-Sens!K3946</f>
        <v>10341.14630368</v>
      </c>
    </row>
    <row r="3949" customFormat="false" ht="17.15" hidden="false" customHeight="false" outlineLevel="0" collapsed="false">
      <c r="A3949" s="1" t="s">
        <v>819</v>
      </c>
      <c r="B3949" s="0" t="s">
        <v>399</v>
      </c>
      <c r="C3949" s="29" t="n">
        <f aca="false">Sens!C3947</f>
        <v>816.666666666667</v>
      </c>
      <c r="D3949" s="29" t="n">
        <f aca="false">Sens!D3947-Sens!C3947</f>
        <v>1233.33333333333</v>
      </c>
      <c r="E3949" s="29" t="n">
        <f aca="false">Sens!E3947-Sens!D3947</f>
        <v>2450</v>
      </c>
      <c r="F3949" s="29" t="n">
        <f aca="false">Sens!F3947-Sens!E3947</f>
        <v>4711.06666666667</v>
      </c>
      <c r="G3949" s="29" t="n">
        <f aca="false">Sens!G3947-Sens!F3947</f>
        <v>5054.4</v>
      </c>
      <c r="H3949" s="29" t="n">
        <f aca="false">Sens!H3947-Sens!G3947</f>
        <v>5054.4</v>
      </c>
      <c r="I3949" s="29" t="n">
        <f aca="false">Sens!I3947-Sens!H3947</f>
        <v>3575.39866666667</v>
      </c>
      <c r="J3949" s="29" t="n">
        <f aca="false">Sens!J3947-Sens!I3947</f>
        <v>2167.90530666667</v>
      </c>
      <c r="K3949" s="29" t="n">
        <f aca="false">Sens!K3947-Sens!J3947</f>
        <v>789.695119199998</v>
      </c>
    </row>
    <row r="3950" customFormat="false" ht="17.15" hidden="false" customHeight="false" outlineLevel="0" collapsed="false">
      <c r="A3950" s="1" t="s">
        <v>820</v>
      </c>
      <c r="B3950" s="0" t="s">
        <v>399</v>
      </c>
      <c r="D3950" s="29" t="n">
        <f aca="false">Sens!D3944-Sens!C3944</f>
        <v>990</v>
      </c>
      <c r="E3950" s="29" t="n">
        <f aca="false">Sens!E3944-Sens!D3944</f>
        <v>1620</v>
      </c>
      <c r="F3950" s="29" t="n">
        <f aca="false">Sens!F3944-Sens!E3944</f>
        <v>3032.64</v>
      </c>
      <c r="G3950" s="29" t="n">
        <f aca="false">Sens!G3944-Sens!F3944</f>
        <v>3032.64</v>
      </c>
      <c r="H3950" s="29" t="n">
        <f aca="false">Sens!H3944-Sens!G3944</f>
        <v>3032.64</v>
      </c>
      <c r="I3950" s="29" t="n">
        <f aca="false">Sens!I3944-Sens!H3944</f>
        <v>2145.2392</v>
      </c>
      <c r="J3950" s="29" t="n">
        <f aca="false">Sens!J3944-Sens!I3944</f>
        <v>1300.743184</v>
      </c>
      <c r="K3950" s="29" t="n">
        <f aca="false">Sens!K3944-Sens!J3944</f>
        <v>473.817071519999</v>
      </c>
    </row>
    <row r="3951" customFormat="false" ht="17.15" hidden="false" customHeight="false" outlineLevel="0" collapsed="false">
      <c r="A3951" s="1" t="s">
        <v>821</v>
      </c>
      <c r="B3951" s="0" t="s">
        <v>399</v>
      </c>
      <c r="F3951" s="29" t="n">
        <f aca="false">Sens!F3968*ext_sh</f>
        <v>0</v>
      </c>
      <c r="G3951" s="29" t="n">
        <f aca="false">Sens!G3968*ext_sh</f>
        <v>0</v>
      </c>
      <c r="H3951" s="29" t="n">
        <f aca="false">Sens!H3968*ext_sh</f>
        <v>0</v>
      </c>
      <c r="I3951" s="29" t="n">
        <f aca="false">Sens!I3968*ext_sh</f>
        <v>490</v>
      </c>
      <c r="J3951" s="29" t="n">
        <f aca="false">Sens!J3968*ext_sh</f>
        <v>740</v>
      </c>
      <c r="K3951" s="29" t="n">
        <f aca="false">Sens!K3968*ext_sh</f>
        <v>1470</v>
      </c>
      <c r="L3951" s="1" t="s">
        <v>822</v>
      </c>
    </row>
    <row r="3952" customFormat="false" ht="17.15" hidden="false" customHeight="false" outlineLevel="0" collapsed="false">
      <c r="A3952" s="1" t="s">
        <v>823</v>
      </c>
      <c r="B3952" s="0" t="s">
        <v>399</v>
      </c>
      <c r="C3952" s="29" t="n">
        <f aca="false">mix_h*Sens!C3944</f>
        <v>128</v>
      </c>
      <c r="D3952" s="29" t="n">
        <f aca="false">mix_h*Sens!D3944</f>
        <v>326</v>
      </c>
      <c r="E3952" s="29" t="n">
        <f aca="false">mix_h*Sens!E3944</f>
        <v>650</v>
      </c>
      <c r="F3952" s="29" t="n">
        <f aca="false">Sens!E3952-Sens!F3951*mix_h</f>
        <v>650</v>
      </c>
      <c r="G3952" s="29" t="n">
        <f aca="false">Sens!F3952-Sens!G3951*mix_h</f>
        <v>650</v>
      </c>
      <c r="H3952" s="29" t="n">
        <f aca="false">Sens!G3952-Sens!H3951*mix_h</f>
        <v>650</v>
      </c>
      <c r="I3952" s="29" t="n">
        <f aca="false">Sens!H3952-Sens!I3951*mix_h</f>
        <v>552</v>
      </c>
      <c r="J3952" s="29" t="n">
        <f aca="false">Sens!I3952-Sens!J3951*mix_h</f>
        <v>404</v>
      </c>
      <c r="K3952" s="29" t="n">
        <f aca="false">Sens!J3952-Sens!K3951*mix_h</f>
        <v>110</v>
      </c>
    </row>
    <row r="3953" customFormat="false" ht="17.15" hidden="false" customHeight="false" outlineLevel="0" collapsed="false">
      <c r="A3953" s="1" t="s">
        <v>824</v>
      </c>
      <c r="B3953" s="0" t="s">
        <v>399</v>
      </c>
      <c r="C3953" s="29" t="n">
        <f aca="false">mix_g2*Sens!C3944</f>
        <v>288</v>
      </c>
      <c r="D3953" s="29" t="n">
        <f aca="false">mix_g2*Sens!D3944</f>
        <v>733.5</v>
      </c>
      <c r="E3953" s="29" t="n">
        <f aca="false">mix_g2*Sens!E3944</f>
        <v>1462.5</v>
      </c>
      <c r="F3953" s="29" t="n">
        <f aca="false">Sens!E3953-Sens!F3951*mix_g2</f>
        <v>1462.5</v>
      </c>
      <c r="G3953" s="29" t="n">
        <f aca="false">Sens!F3953-Sens!G3951*mix_g2</f>
        <v>1462.5</v>
      </c>
      <c r="H3953" s="29" t="n">
        <f aca="false">Sens!G3953-Sens!H3951*mix_g2</f>
        <v>1462.5</v>
      </c>
      <c r="I3953" s="29" t="n">
        <f aca="false">Sens!H3953-Sens!I3951*mix_g2</f>
        <v>1242</v>
      </c>
      <c r="J3953" s="29" t="n">
        <f aca="false">Sens!I3953-Sens!J3951*mix_g2</f>
        <v>909</v>
      </c>
      <c r="K3953" s="29" t="n">
        <f aca="false">Sens!J3953-Sens!K3951*mix_g2</f>
        <v>247.5</v>
      </c>
    </row>
    <row r="3954" customFormat="false" ht="17.15" hidden="false" customHeight="false" outlineLevel="0" collapsed="false">
      <c r="A3954" s="1" t="s">
        <v>825</v>
      </c>
      <c r="B3954" s="0" t="s">
        <v>399</v>
      </c>
      <c r="C3954" s="29" t="n">
        <f aca="false">mix_g3*Sens!C3944</f>
        <v>224</v>
      </c>
      <c r="D3954" s="29" t="n">
        <f aca="false">mix_g3*Sens!D3944</f>
        <v>570.5</v>
      </c>
      <c r="E3954" s="29" t="n">
        <f aca="false">mix_g3*Sens!E3944</f>
        <v>1137.5</v>
      </c>
      <c r="F3954" s="29" t="n">
        <f aca="false">Sens!E3954+(Sens!F3950+Sens!F3951)*a_g3_27-Sens!F3951*mix_g3</f>
        <v>3260.348</v>
      </c>
      <c r="G3954" s="29" t="n">
        <f aca="false">Sens!F3954+(Sens!G3950+Sens!G3951)*a_g3_28-Sens!G3951*mix_g3</f>
        <v>4170.14</v>
      </c>
      <c r="H3954" s="29" t="n">
        <f aca="false">Sens!G3954+(Sens!H3950+Sens!H3951)*a_g3_29-Sens!H3951*mix_g3</f>
        <v>4473.404</v>
      </c>
      <c r="I3954" s="29" t="n">
        <f aca="false">Sens!H3954+(Sens!I3950+Sens!I3951)*a_g3_29-Sens!I3951*mix_g3</f>
        <v>4565.42792</v>
      </c>
      <c r="J3954" s="29" t="n">
        <f aca="false">Sens!I3954+(Sens!J3950+Sens!J3951)*a_g3_29-Sens!J3951*mix_g3</f>
        <v>4510.5022384</v>
      </c>
      <c r="K3954" s="29" t="n">
        <f aca="false">Sens!J3954+(Sens!K3950+Sens!K3951)*a_g3_29-Sens!K3951*mix_g3</f>
        <v>4190.383945552</v>
      </c>
    </row>
    <row r="3955" customFormat="false" ht="17.15" hidden="false" customHeight="false" outlineLevel="0" collapsed="false">
      <c r="A3955" s="1" t="s">
        <v>826</v>
      </c>
      <c r="B3955" s="0" t="s">
        <v>399</v>
      </c>
      <c r="C3955" s="29" t="n">
        <v>0</v>
      </c>
      <c r="D3955" s="29" t="n">
        <v>0</v>
      </c>
      <c r="E3955" s="29" t="n">
        <v>0</v>
      </c>
      <c r="F3955" s="29" t="n">
        <f aca="false">Sens!E3955+(Sens!F3950+Sens!F3951)*(1-a_g3_27)</f>
        <v>909.792</v>
      </c>
      <c r="G3955" s="29" t="n">
        <f aca="false">Sens!F3955+(Sens!G3950+Sens!G3951)*(1-a_g3_28)</f>
        <v>3032.64</v>
      </c>
      <c r="H3955" s="29" t="n">
        <f aca="false">Sens!G3955+(Sens!H3950+Sens!H3951)*(1-a_g3_29)</f>
        <v>5762.016</v>
      </c>
      <c r="I3955" s="29" t="n">
        <f aca="false">Sens!H3955+(Sens!I3950+Sens!I3951)*(1-a_g3_29)</f>
        <v>8133.73128</v>
      </c>
      <c r="J3955" s="29" t="n">
        <f aca="false">Sens!I3955+(Sens!J3950+Sens!J3951)*(1-a_g3_29)</f>
        <v>9970.4001456</v>
      </c>
      <c r="K3955" s="29" t="n">
        <f aca="false">Sens!J3955+(Sens!K3950+Sens!K3951)*(1-a_g3_29)</f>
        <v>11719.835509968</v>
      </c>
    </row>
    <row r="3956" customFormat="false" ht="17.15" hidden="false" customHeight="false" outlineLevel="0" collapsed="false">
      <c r="A3956" s="1" t="s">
        <v>827</v>
      </c>
      <c r="B3956" s="0" t="s">
        <v>346</v>
      </c>
      <c r="C3956" s="14" t="n">
        <f aca="false">(Sens!C3952*tk_hold_h100+Sens!C3953*tk_hold_gb200+Sens!C3954*tk_hold_gb300+Sens!C3955*tk_hold_vr200)/Sens!C3944</f>
        <v>9.7235358126469</v>
      </c>
      <c r="D3956" s="14" t="n">
        <f aca="false">(Sens!D3952*tk_hold_h100+Sens!D3953*tk_hold_gb200+Sens!D3954*tk_hold_gb300+Sens!D3955*tk_hold_vr200)/Sens!D3944</f>
        <v>9.7235358126469</v>
      </c>
      <c r="E3956" s="14" t="n">
        <f aca="false">(Sens!E3952*tk_hold_h100+Sens!E3953*tk_hold_gb200+Sens!E3954*tk_hold_gb300+Sens!E3955*tk_hold_vr200)/Sens!E3944</f>
        <v>9.7235358126469</v>
      </c>
      <c r="F3956" s="14" t="n">
        <f aca="false">(Sens!F3952*tk_hold_h100+Sens!F3953*tk_hold_gb200+Sens!F3954*tk_hold_gb300+Sens!F3955*tk_hold_vr200)/Sens!F3944</f>
        <v>10.4787673542193</v>
      </c>
      <c r="G3956" s="14" t="n">
        <f aca="false">(Sens!G3952*tk_hold_h100+Sens!G3953*tk_hold_gb200+Sens!G3954*tk_hold_gb300+Sens!G3955*tk_hold_vr200)/Sens!G3944</f>
        <v>10.9166347377517</v>
      </c>
      <c r="H3956" s="14" t="n">
        <f aca="false">(Sens!H3952*tk_hold_h100+Sens!H3953*tk_hold_gb200+Sens!H3954*tk_hold_gb300+Sens!H3955*tk_hold_vr200)/Sens!H3944</f>
        <v>11.2051967403931</v>
      </c>
      <c r="I3956" s="14" t="n">
        <f aca="false">(Sens!I3952*tk_hold_h100+Sens!I3953*tk_hold_gb200+Sens!I3954*tk_hold_gb300+Sens!I3955*tk_hold_vr200)/Sens!I3944</f>
        <v>11.4164554595671</v>
      </c>
      <c r="J3956" s="14" t="n">
        <f aca="false">(Sens!J3952*tk_hold_h100+Sens!J3953*tk_hold_gb200+Sens!J3954*tk_hold_gb300+Sens!J3955*tk_hold_vr200)/Sens!J3944</f>
        <v>11.5830061749449</v>
      </c>
      <c r="K3956" s="14" t="n">
        <f aca="false">(Sens!K3952*tk_hold_h100+Sens!K3953*tk_hold_gb200+Sens!K3954*tk_hold_gb300+Sens!K3955*tk_hold_vr200)/Sens!K3944</f>
        <v>11.8118007996124</v>
      </c>
    </row>
    <row r="3957" customFormat="false" ht="17.15" hidden="false" customHeight="false" outlineLevel="0" collapsed="false">
      <c r="A3957" s="0" t="s">
        <v>828</v>
      </c>
      <c r="B3957" s="0" t="s">
        <v>185</v>
      </c>
      <c r="C3957" s="14" t="n">
        <f aca="false">k_B</f>
        <v>1.17213932619116</v>
      </c>
      <c r="D3957" s="14" t="n">
        <f aca="false">k_B</f>
        <v>1.17213932619116</v>
      </c>
      <c r="E3957" s="14" t="n">
        <f aca="false">k_B</f>
        <v>1.17213932619116</v>
      </c>
      <c r="F3957" s="14" t="n">
        <f aca="false">(k_B+((ls_C*k_long+(1-ls_C)*k_spot)-k_B)*MIN(1,(Sens!F3942-base_fy)/k_ramp))</f>
        <v>1.07843258004497</v>
      </c>
      <c r="G3957" s="14" t="n">
        <f aca="false">(k_B+((ls_C*k_long+(1-ls_C)*k_spot)-k_B)*MIN(1,(Sens!G3942-base_fy)/k_ramp))</f>
        <v>0.984725833898784</v>
      </c>
      <c r="H3957" s="14" t="n">
        <f aca="false">(k_B+((ls_C*k_long+(1-ls_C)*k_spot)-k_B)*MIN(1,(Sens!H3942-base_fy)/k_ramp))</f>
        <v>0.891019087752599</v>
      </c>
      <c r="I3957" s="14" t="n">
        <f aca="false">(k_B+((ls_C*k_long+(1-ls_C)*k_spot)-k_B)*MIN(1,(Sens!I3942-base_fy)/k_ramp))</f>
        <v>0.891019087752599</v>
      </c>
      <c r="J3957" s="14" t="n">
        <f aca="false">(k_B+((ls_C*k_long+(1-ls_C)*k_spot)-k_B)*MIN(1,(Sens!J3942-base_fy)/k_ramp))</f>
        <v>0.891019087752599</v>
      </c>
      <c r="K3957" s="14" t="n">
        <f aca="false">(k_B+((ls_C*k_long+(1-ls_C)*k_spot)-k_B)*MIN(1,(Sens!K3942-base_fy)/k_ramp))</f>
        <v>0.891019087752599</v>
      </c>
      <c r="L3957" s="1" t="s">
        <v>829</v>
      </c>
    </row>
    <row r="3958" customFormat="false" ht="17.15" hidden="false" customHeight="false" outlineLevel="0" collapsed="false">
      <c r="A3958" s="1" t="s">
        <v>830</v>
      </c>
      <c r="B3958" s="0" t="s">
        <v>346</v>
      </c>
      <c r="C3958" s="14" t="n">
        <f aca="false">Sens!C3956*Sens!C3957*chip_f</f>
        <v>11.3973387156315</v>
      </c>
      <c r="D3958" s="14" t="n">
        <f aca="false">Sens!D3956*Sens!D3957*chip_f</f>
        <v>11.3973387156315</v>
      </c>
      <c r="E3958" s="14" t="n">
        <f aca="false">Sens!E3956*Sens!E3957*chip_f</f>
        <v>11.3973387156315</v>
      </c>
      <c r="F3958" s="14" t="n">
        <f aca="false">Sens!F3956*Sens!F3957*chip_f</f>
        <v>11.3006441135017</v>
      </c>
      <c r="G3958" s="14" t="n">
        <f aca="false">Sens!G3956*Sens!G3957*chip_f</f>
        <v>10.749892245501</v>
      </c>
      <c r="H3958" s="14" t="n">
        <f aca="false">Sens!H3956*Sens!H3957*chip_f</f>
        <v>9.98404417771349</v>
      </c>
      <c r="I3958" s="14" t="n">
        <f aca="false">Sens!I3956*Sens!I3957*chip_f</f>
        <v>10.1722797289516</v>
      </c>
      <c r="J3958" s="14" t="n">
        <f aca="false">Sens!J3956*Sens!J3957*chip_f</f>
        <v>10.3206795954321</v>
      </c>
      <c r="K3958" s="14" t="n">
        <f aca="false">Sens!K3956*Sens!K3957*chip_f</f>
        <v>10.5245399731861</v>
      </c>
      <c r="L3958" s="1" t="s">
        <v>831</v>
      </c>
    </row>
    <row r="3959" customFormat="false" ht="17.15" hidden="false" customHeight="false" outlineLevel="0" collapsed="false">
      <c r="A3959" s="0" t="s">
        <v>832</v>
      </c>
      <c r="B3959" s="0" t="s">
        <v>98</v>
      </c>
      <c r="D3959" s="6" t="n">
        <f aca="false">(Sens!C3944+Sens!D3944)/2*Sens!D3958/1000</f>
        <v>12.9359794422418</v>
      </c>
      <c r="E3959" s="6" t="n">
        <f aca="false">(Sens!D3944+Sens!E3944)/2*Sens!E3958/1000</f>
        <v>27.8095064661409</v>
      </c>
      <c r="F3959" s="6" t="n">
        <f aca="false">(Sens!E3944+Sens!F3944)/2*Sens!F3958/1000</f>
        <v>53.8624860510656</v>
      </c>
      <c r="G3959" s="6" t="n">
        <f aca="false">(Sens!F3944+Sens!G3944)/2*Sens!G3958/1000</f>
        <v>83.8379796269722</v>
      </c>
      <c r="H3959" s="6" t="n">
        <f aca="false">(Sens!G3944+Sens!H3944)/2*Sens!H3958/1000</f>
        <v>108.143172915321</v>
      </c>
      <c r="I3959" s="6" t="n">
        <f aca="false">(Sens!H3944+Sens!I3944)/2*Sens!I3958/1000</f>
        <v>136.517482924672</v>
      </c>
      <c r="J3959" s="6" t="n">
        <f aca="false">(Sens!I3944+Sens!J3944)/2*Sens!J3958/1000</f>
        <v>156.291529247792</v>
      </c>
      <c r="K3959" s="6" t="n">
        <f aca="false">(Sens!J3944+Sens!K3944)/2*Sens!K3958/1000</f>
        <v>168.716910327602</v>
      </c>
      <c r="L3959" s="11" t="s">
        <v>833</v>
      </c>
    </row>
    <row r="3960" customFormat="false" ht="17.15" hidden="false" customHeight="false" outlineLevel="0" collapsed="false">
      <c r="A3960" s="1" t="s">
        <v>834</v>
      </c>
      <c r="B3960" s="0" t="s">
        <v>346</v>
      </c>
      <c r="C3960" s="14" t="n">
        <f aca="false">(Sens!C3952*tk_opex_h100+Sens!C3953*tk_opex_gb200+Sens!C3954*tk_opex_gb300+Sens!C3955*tk_opex_vr200)/Sens!C3944</f>
        <v>1.88636041306092</v>
      </c>
      <c r="D3960" s="14" t="n">
        <f aca="false">(Sens!D3952*tk_opex_h100+Sens!D3953*tk_opex_gb200+Sens!D3954*tk_opex_gb300+Sens!D3955*tk_opex_vr200)/Sens!D3944</f>
        <v>1.88636041306092</v>
      </c>
      <c r="E3960" s="14" t="n">
        <f aca="false">(Sens!E3952*tk_opex_h100+Sens!E3953*tk_opex_gb200+Sens!E3954*tk_opex_gb300+Sens!E3955*tk_opex_vr200)/Sens!E3944</f>
        <v>1.88636041306092</v>
      </c>
      <c r="F3960" s="14" t="n">
        <f aca="false">(Sens!F3952*tk_opex_h100+Sens!F3953*tk_opex_gb200+Sens!F3954*tk_opex_gb300+Sens!F3955*tk_opex_vr200)/Sens!F3944</f>
        <v>1.94888600845409</v>
      </c>
      <c r="G3960" s="14" t="n">
        <f aca="false">(Sens!G3952*tk_opex_h100+Sens!G3953*tk_opex_gb200+Sens!G3954*tk_opex_gb300+Sens!G3955*tk_opex_vr200)/Sens!G3944</f>
        <v>1.98513703526054</v>
      </c>
      <c r="H3960" s="14" t="n">
        <f aca="false">(Sens!H3952*tk_opex_h100+Sens!H3953*tk_opex_gb200+Sens!H3954*tk_opex_gb300+Sens!H3955*tk_opex_vr200)/Sens!H3944</f>
        <v>2.00902707431457</v>
      </c>
      <c r="I3960" s="14" t="n">
        <f aca="false">(Sens!I3952*tk_opex_h100+Sens!I3953*tk_opex_gb200+Sens!I3954*tk_opex_gb300+Sens!I3955*tk_opex_vr200)/Sens!I3944</f>
        <v>2.02651717698011</v>
      </c>
      <c r="J3960" s="14" t="n">
        <f aca="false">(Sens!J3952*tk_opex_h100+Sens!J3953*tk_opex_gb200+Sens!J3954*tk_opex_gb300+Sens!J3955*tk_opex_vr200)/Sens!J3944</f>
        <v>2.04030590542818</v>
      </c>
      <c r="K3960" s="14" t="n">
        <f aca="false">(Sens!K3952*tk_opex_h100+Sens!K3953*tk_opex_gb200+Sens!K3954*tk_opex_gb300+Sens!K3955*tk_opex_vr200)/Sens!K3944</f>
        <v>2.0592478051538</v>
      </c>
    </row>
    <row r="3961" customFormat="false" ht="17.15" hidden="false" customHeight="false" outlineLevel="0" collapsed="false">
      <c r="A3961" s="0" t="s">
        <v>835</v>
      </c>
      <c r="B3961" s="0" t="s">
        <v>98</v>
      </c>
      <c r="D3961" s="6" t="n">
        <f aca="false">(Sens!C3947+Sens!D3947)/2*Sens!D3960/1000</f>
        <v>2.70378325872065</v>
      </c>
      <c r="E3961" s="6" t="n">
        <f aca="false">(Sens!D3947+Sens!E3947)/2*Sens!E3960/1000</f>
        <v>6.17783035277451</v>
      </c>
      <c r="F3961" s="6" t="n">
        <f aca="false">(Sens!E3947+Sens!F3947)/2*Sens!F3960/1000</f>
        <v>13.360652993824</v>
      </c>
      <c r="G3961" s="6" t="n">
        <f aca="false">(Sens!F3947+Sens!G3947)/2*Sens!G3960/1000</f>
        <v>23.3020678897643</v>
      </c>
      <c r="H3961" s="6" t="n">
        <f aca="false">(Sens!G3947+Sens!H3947)/2*Sens!H3960/1000</f>
        <v>33.7369219832732</v>
      </c>
      <c r="I3961" s="6" t="n">
        <f aca="false">(Sens!H3947+Sens!I3947)/2*Sens!I3960/1000</f>
        <v>42.7748450632413</v>
      </c>
      <c r="J3961" s="6" t="n">
        <f aca="false">(Sens!I3947+Sens!J3947)/2*Sens!J3960/1000</f>
        <v>48.9249400657455</v>
      </c>
      <c r="K3961" s="6" t="n">
        <f aca="false">(Sens!J3947+Sens!K3947)/2*Sens!K3960/1000</f>
        <v>52.4243681010918</v>
      </c>
    </row>
    <row r="3962" customFormat="false" ht="17.15" hidden="false" customHeight="false" outlineLevel="0" collapsed="false">
      <c r="A3962" s="0" t="s">
        <v>836</v>
      </c>
      <c r="B3962" s="0" t="s">
        <v>98</v>
      </c>
      <c r="D3962" s="6" t="n">
        <f aca="false">(Sens!C3945+Sens!D3945)/2*rent_mw/1000</f>
        <v>2.44475</v>
      </c>
      <c r="E3962" s="6" t="n">
        <f aca="false">(Sens!D3945+Sens!E3945)/2*rent_mw/1000</f>
        <v>4.22275</v>
      </c>
      <c r="F3962" s="6" t="n">
        <f aca="false">(Sens!E3945+Sens!F3945)/2*rent_mw/1000</f>
        <v>5.80517</v>
      </c>
      <c r="G3962" s="6" t="n">
        <f aca="false">(Sens!F3945+Sens!G3945)/2*rent_mw/1000</f>
        <v>6.72084</v>
      </c>
      <c r="H3962" s="6" t="n">
        <f aca="false">(Sens!G3945+Sens!H3945)/2*rent_mw/1000</f>
        <v>6.72084</v>
      </c>
      <c r="I3962" s="6" t="n">
        <f aca="false">(Sens!H3945+Sens!I3945)/2*rent_mw/1000</f>
        <v>6.72084</v>
      </c>
      <c r="J3962" s="6" t="n">
        <f aca="false">(Sens!I3945+Sens!J3945)/2*rent_mw/1000</f>
        <v>6.72084</v>
      </c>
      <c r="K3962" s="6" t="n">
        <f aca="false">(Sens!J3945+Sens!K3945)/2*rent_mw/1000</f>
        <v>6.72084</v>
      </c>
    </row>
    <row r="3963" customFormat="false" ht="17.15" hidden="false" customHeight="false" outlineLevel="0" collapsed="false">
      <c r="A3963" s="0" t="s">
        <v>837</v>
      </c>
      <c r="B3963" s="0" t="s">
        <v>98</v>
      </c>
      <c r="D3963" s="6" t="n">
        <f aca="false">(Sens!C3947+Sens!D3947)/2*(1-self_build)*fac_rent/1000</f>
        <v>0.853242375631075</v>
      </c>
      <c r="E3963" s="6" t="n">
        <f aca="false">(Sens!D3947+Sens!E3947)/2*(1-self_build)*fac_rent/1000</f>
        <v>1.94955961408728</v>
      </c>
      <c r="F3963" s="6" t="n">
        <f aca="false">(Sens!E3947+Sens!F3947)/2*(1-self_build)*fac_rent/1000</f>
        <v>4.0809987541056</v>
      </c>
      <c r="G3963" s="6" t="n">
        <f aca="false">(Sens!F3947+Sens!G3947)/2*(1-self_build)*fac_rent/1000</f>
        <v>6.98761851380772</v>
      </c>
      <c r="H3963" s="6" t="n">
        <f aca="false">(Sens!G3947+Sens!H3947)/2*(1-self_build)*fac_rent/1000</f>
        <v>9.99642893012612</v>
      </c>
      <c r="I3963" s="6" t="n">
        <f aca="false">(Sens!H3947+Sens!I3947)/2*(1-self_build)*fac_rent/1000</f>
        <v>12.5650254122998</v>
      </c>
      <c r="J3963" s="6" t="n">
        <f aca="false">(Sens!I3947+Sens!J3947)/2*(1-self_build)*fac_rent/1000</f>
        <v>14.2744778516643</v>
      </c>
      <c r="K3963" s="6" t="n">
        <f aca="false">(Sens!J3947+Sens!K3947)/2*(1-self_build)*fac_rent/1000</f>
        <v>15.1547859959204</v>
      </c>
      <c r="L3963" s="11" t="s">
        <v>838</v>
      </c>
    </row>
    <row r="3964" customFormat="false" ht="17.15" hidden="false" customHeight="false" outlineLevel="0" collapsed="false">
      <c r="A3964" s="1" t="s">
        <v>839</v>
      </c>
      <c r="B3964" s="0" t="s">
        <v>129</v>
      </c>
      <c r="D3964" s="7" t="n">
        <f aca="false">(Sens!C3946+Sens!D3946)/(Sens!C3947+Sens!D3947)</f>
        <v>0.6</v>
      </c>
      <c r="E3964" s="7" t="n">
        <f aca="false">(Sens!D3946+Sens!E3946)/(Sens!D3947+Sens!E3947)</f>
        <v>0.6</v>
      </c>
      <c r="F3964" s="7" t="n">
        <f aca="false">(Sens!E3946+Sens!F3946)/(Sens!E3947+Sens!F3947)</f>
        <v>0.6</v>
      </c>
      <c r="G3964" s="7" t="n">
        <f aca="false">(Sens!F3946+Sens!G3946)/(Sens!F3947+Sens!G3947)</f>
        <v>0.6</v>
      </c>
      <c r="H3964" s="7" t="n">
        <f aca="false">(Sens!G3946+Sens!H3946)/(Sens!G3947+Sens!H3947)</f>
        <v>0.6</v>
      </c>
      <c r="I3964" s="7" t="n">
        <f aca="false">(Sens!H3946+Sens!I3946)/(Sens!H3947+Sens!I3947)</f>
        <v>0.6</v>
      </c>
      <c r="J3964" s="7" t="n">
        <f aca="false">(Sens!I3946+Sens!J3946)/(Sens!I3947+Sens!J3947)</f>
        <v>0.6</v>
      </c>
      <c r="K3964" s="7" t="n">
        <f aca="false">(Sens!J3946+Sens!K3946)/(Sens!J3947+Sens!K3947)</f>
        <v>0.6</v>
      </c>
    </row>
    <row r="3965" customFormat="false" ht="17.15" hidden="false" customHeight="false" outlineLevel="0" collapsed="false">
      <c r="A3965" s="0" t="s">
        <v>840</v>
      </c>
      <c r="B3965" s="0" t="s">
        <v>98</v>
      </c>
      <c r="D3965" s="6" t="n">
        <f aca="false">Sens!D3959-Sens!D3964*(Sens!D3961+Sens!D3963)-Sens!D3962</f>
        <v>8.35701406163072</v>
      </c>
      <c r="E3965" s="6" t="n">
        <f aca="false">Sens!E3959-Sens!E3964*(Sens!E3961+Sens!E3963)-Sens!E3962</f>
        <v>18.7103224860238</v>
      </c>
      <c r="F3965" s="6" t="n">
        <f aca="false">Sens!F3959-Sens!F3964*(Sens!F3961+Sens!F3963)-Sens!F3962</f>
        <v>37.5923250023078</v>
      </c>
      <c r="G3965" s="6" t="n">
        <f aca="false">Sens!G3959-Sens!G3964*(Sens!G3961+Sens!G3963)-Sens!G3962</f>
        <v>58.943327784829</v>
      </c>
      <c r="H3965" s="6" t="n">
        <f aca="false">Sens!H3959-Sens!H3964*(Sens!H3961+Sens!H3963)-Sens!H3962</f>
        <v>75.1823223672818</v>
      </c>
      <c r="I3965" s="6" t="n">
        <f aca="false">Sens!I3959-Sens!I3964*(Sens!I3961+Sens!I3963)-Sens!I3962</f>
        <v>96.5927206393478</v>
      </c>
      <c r="J3965" s="6" t="n">
        <f aca="false">Sens!J3959-Sens!J3964*(Sens!J3961+Sens!J3963)-Sens!J3962</f>
        <v>111.651038497346</v>
      </c>
      <c r="K3965" s="6" t="n">
        <f aca="false">Sens!K3959-Sens!K3964*(Sens!K3961+Sens!K3963)-Sens!K3962</f>
        <v>121.448577869394</v>
      </c>
    </row>
    <row r="3966" customFormat="false" ht="17.15" hidden="false" customHeight="false" outlineLevel="0" collapsed="false">
      <c r="A3966" s="1" t="s">
        <v>841</v>
      </c>
      <c r="B3966" s="0" t="s">
        <v>98</v>
      </c>
      <c r="D3966" s="6" t="n">
        <f aca="false">(1-Sens!D3964)*(Sens!D3961+Sens!D3963)</f>
        <v>1.42281025374069</v>
      </c>
      <c r="E3966" s="6" t="n">
        <f aca="false">(1-Sens!E3964)*(Sens!E3961+Sens!E3963)</f>
        <v>3.25095598674472</v>
      </c>
      <c r="F3966" s="6" t="n">
        <f aca="false">(1-Sens!F3964)*(Sens!F3961+Sens!F3963)</f>
        <v>6.97666069917183</v>
      </c>
      <c r="G3966" s="6" t="n">
        <f aca="false">(1-Sens!G3964)*(Sens!G3961+Sens!G3963)</f>
        <v>12.1158745614288</v>
      </c>
      <c r="H3966" s="6" t="n">
        <f aca="false">(1-Sens!H3964)*(Sens!H3961+Sens!H3963)</f>
        <v>17.4933403653597</v>
      </c>
      <c r="I3966" s="6" t="n">
        <f aca="false">(1-Sens!I3964)*(Sens!I3961+Sens!I3963)</f>
        <v>22.1359481902164</v>
      </c>
      <c r="J3966" s="6" t="n">
        <f aca="false">(1-Sens!J3964)*(Sens!J3961+Sens!J3963)</f>
        <v>25.279767166964</v>
      </c>
      <c r="K3966" s="6" t="n">
        <f aca="false">(1-Sens!K3964)*(Sens!K3961+Sens!K3963)</f>
        <v>27.0316616388049</v>
      </c>
    </row>
    <row r="3967" customFormat="false" ht="17.15" hidden="false" customHeight="false" outlineLevel="0" collapsed="false">
      <c r="A3967" s="1" t="s">
        <v>842</v>
      </c>
      <c r="B3967" s="0" t="s">
        <v>357</v>
      </c>
      <c r="C3967" s="8" t="n">
        <f aca="false">cxit_open</f>
        <v>27.5918995</v>
      </c>
      <c r="D3967" s="8" t="n">
        <f aca="false">cxit_open</f>
        <v>27.5918995</v>
      </c>
      <c r="E3967" s="8" t="n">
        <f aca="false">cxit_open</f>
        <v>27.5918995</v>
      </c>
      <c r="F3967" s="8" t="n">
        <f aca="false">(a_g3_27*tk_cxit_gb300+(1-a_g3_27)*tk_cxit_vr200)</f>
        <v>33.8419624</v>
      </c>
      <c r="G3967" s="8" t="n">
        <f aca="false">(a_g3_28*tk_cxit_gb300+(1-a_g3_28)*tk_cxit_vr200)</f>
        <v>35.9816136</v>
      </c>
      <c r="H3967" s="8" t="n">
        <f aca="false">(a_g3_29*tk_cxit_gb300+(1-a_g3_29)*tk_cxit_vr200)</f>
        <v>37.0514392</v>
      </c>
      <c r="I3967" s="8" t="n">
        <f aca="false">(a_g3_29*tk_cxit_gb300+(1-a_g3_29)*tk_cxit_vr200)</f>
        <v>37.0514392</v>
      </c>
      <c r="J3967" s="8" t="n">
        <f aca="false">(a_g3_29*tk_cxit_gb300+(1-a_g3_29)*tk_cxit_vr200)</f>
        <v>37.0514392</v>
      </c>
      <c r="K3967" s="8" t="n">
        <f aca="false">(a_g3_29*tk_cxit_gb300+(1-a_g3_29)*tk_cxit_vr200)</f>
        <v>37.0514392</v>
      </c>
      <c r="L3967" s="11" t="s">
        <v>843</v>
      </c>
    </row>
    <row r="3968" customFormat="false" ht="17.15" hidden="false" customHeight="false" outlineLevel="0" collapsed="false">
      <c r="A3968" s="0" t="s">
        <v>844</v>
      </c>
      <c r="B3968" s="0" t="s">
        <v>399</v>
      </c>
      <c r="F3968" s="29" t="n">
        <f aca="false">Sens!C3949*IF(Sens!F3942-Sens!C3942=life_it,1,0)+Sens!D3949*IF(Sens!F3942-Sens!D3942=life_it,1,0)+Sens!E3949*IF(Sens!F3942-Sens!E3942=life_it,1,0)</f>
        <v>0</v>
      </c>
      <c r="G3968" s="29" t="n">
        <f aca="false">Sens!C3949*IF(Sens!G3942-Sens!C3942=life_it,1,0)+Sens!D3949*IF(Sens!G3942-Sens!D3942=life_it,1,0)+Sens!E3949*IF(Sens!G3942-Sens!E3942=life_it,1,0)+Sens!F3949*IF(Sens!G3942-Sens!F3942=life_it,1,0)</f>
        <v>0</v>
      </c>
      <c r="H3968" s="29" t="n">
        <f aca="false">Sens!C3949*IF(Sens!H3942-Sens!C3942=life_it,1,0)+Sens!D3949*IF(Sens!H3942-Sens!D3942=life_it,1,0)+Sens!E3949*IF(Sens!H3942-Sens!E3942=life_it,1,0)+Sens!F3949*IF(Sens!H3942-Sens!F3942=life_it,1,0)+Sens!G3949*IF(Sens!H3942-Sens!G3942=life_it,1,0)</f>
        <v>0</v>
      </c>
      <c r="I3968" s="29" t="n">
        <f aca="false">Sens!C3949*IF(Sens!I3942-Sens!C3942=life_it,1,0)+Sens!D3949*IF(Sens!I3942-Sens!D3942=life_it,1,0)+Sens!E3949*IF(Sens!I3942-Sens!E3942=life_it,1,0)+Sens!F3949*IF(Sens!I3942-Sens!F3942=life_it,1,0)+Sens!G3949*IF(Sens!I3942-Sens!G3942=life_it,1,0)+Sens!H3949*IF(Sens!I3942-Sens!H3942=life_it,1,0)</f>
        <v>816.666666666667</v>
      </c>
      <c r="J3968" s="29" t="n">
        <f aca="false">Sens!C3949*IF(Sens!J3942-Sens!C3942=life_it,1,0)+Sens!D3949*IF(Sens!J3942-Sens!D3942=life_it,1,0)+Sens!E3949*IF(Sens!J3942-Sens!E3942=life_it,1,0)+Sens!F3949*IF(Sens!J3942-Sens!F3942=life_it,1,0)+Sens!G3949*IF(Sens!J3942-Sens!G3942=life_it,1,0)+Sens!H3949*IF(Sens!J3942-Sens!H3942=life_it,1,0)+Sens!I3949*IF(Sens!J3942-Sens!I3942=life_it,1,0)</f>
        <v>1233.33333333333</v>
      </c>
      <c r="K3968" s="29" t="n">
        <f aca="false">Sens!C3949*IF(Sens!K3942-Sens!C3942=life_it,1,0)+Sens!D3949*IF(Sens!K3942-Sens!D3942=life_it,1,0)+Sens!E3949*IF(Sens!K3942-Sens!E3942=life_it,1,0)+Sens!F3949*IF(Sens!K3942-Sens!F3942=life_it,1,0)+Sens!G3949*IF(Sens!K3942-Sens!G3942=life_it,1,0)+Sens!H3949*IF(Sens!K3942-Sens!H3942=life_it,1,0)+Sens!I3949*IF(Sens!K3942-Sens!I3942=life_it,1,0)+Sens!J3949*IF(Sens!K3942-Sens!J3942=life_it,1,0)</f>
        <v>2450</v>
      </c>
      <c r="L3968" s="1" t="s">
        <v>845</v>
      </c>
    </row>
    <row r="3969" customFormat="false" ht="17.15" hidden="false" customHeight="false" outlineLevel="0" collapsed="false">
      <c r="A3969" s="0" t="s">
        <v>846</v>
      </c>
      <c r="B3969" s="0" t="s">
        <v>98</v>
      </c>
      <c r="C3969" s="6" t="n">
        <f aca="false">Sens!C3949*Sens!C3967/1000</f>
        <v>22.5333845916667</v>
      </c>
      <c r="D3969" s="6" t="n">
        <f aca="false">Sens!D3949*Sens!D3967/1000</f>
        <v>34.0300093833333</v>
      </c>
      <c r="E3969" s="6" t="n">
        <f aca="false">Sens!E3949*Sens!E3967/1000</f>
        <v>67.600153775</v>
      </c>
      <c r="F3969" s="6" t="n">
        <f aca="false">(Sens!F3949+Sens!F3968)*Sens!F3967/1000</f>
        <v>159.431740997227</v>
      </c>
      <c r="G3969" s="6" t="n">
        <f aca="false">(Sens!G3949+Sens!G3968)*Sens!G3967/1000</f>
        <v>181.86546777984</v>
      </c>
      <c r="H3969" s="6" t="n">
        <f aca="false">(Sens!H3949+Sens!H3968)*Sens!H3967/1000</f>
        <v>187.27279429248</v>
      </c>
      <c r="I3969" s="6" t="n">
        <f aca="false">(Sens!I3949+Sens!I3968)*Sens!I3967/1000</f>
        <v>162.732341660428</v>
      </c>
      <c r="J3969" s="6" t="n">
        <f aca="false">(Sens!J3949+Sens!J3968)*Sens!J3967/1000</f>
        <v>126.020786674651</v>
      </c>
      <c r="K3969" s="6" t="n">
        <f aca="false">(Sens!K3949+Sens!K3968)*Sens!K3967/1000</f>
        <v>120.035366735575</v>
      </c>
    </row>
    <row r="3970" customFormat="false" ht="17.15" hidden="false" customHeight="false" outlineLevel="0" collapsed="false">
      <c r="A3970" s="0" t="s">
        <v>847</v>
      </c>
      <c r="B3970" s="0" t="s">
        <v>98</v>
      </c>
      <c r="C3970" s="6" t="n">
        <f aca="false">Sens!C3949*self_build*tk_cxfac/1000</f>
        <v>6.2083</v>
      </c>
      <c r="D3970" s="6" t="n">
        <f aca="false">Sens!D3949*self_build*tk_cxfac/1000</f>
        <v>9.3758</v>
      </c>
      <c r="E3970" s="6" t="n">
        <f aca="false">Sens!E3949*self_build*tk_cxfac/1000</f>
        <v>18.6249</v>
      </c>
      <c r="F3970" s="6" t="n">
        <f aca="false">Sens!F3949*self_build*tk_cxfac/1000</f>
        <v>35.8135288</v>
      </c>
      <c r="G3970" s="6" t="n">
        <f aca="false">Sens!G3949*self_build*tk_cxfac/1000</f>
        <v>38.4235488</v>
      </c>
      <c r="H3970" s="6" t="n">
        <f aca="false">Sens!H3949*self_build*tk_cxfac/1000</f>
        <v>38.4235488</v>
      </c>
      <c r="I3970" s="6" t="n">
        <f aca="false">Sens!I3949*self_build*tk_cxfac/1000</f>
        <v>27.180180664</v>
      </c>
      <c r="J3970" s="6" t="n">
        <f aca="false">Sens!J3949*self_build*tk_cxfac/1000</f>
        <v>16.48041614128</v>
      </c>
      <c r="K3970" s="6" t="n">
        <f aca="false">Sens!K3949*self_build*tk_cxfac/1000</f>
        <v>6.00326229615838</v>
      </c>
    </row>
    <row r="3971" customFormat="false" ht="17.15" hidden="false" customHeight="false" outlineLevel="0" collapsed="false">
      <c r="A3971" s="0" t="s">
        <v>848</v>
      </c>
      <c r="B3971" s="0" t="s">
        <v>98</v>
      </c>
      <c r="F3971" s="6" t="n">
        <f aca="false">MAX(0,capex_floor27-Sens!F3969-Sens!F3970-Sens!F4065)</f>
        <v>0</v>
      </c>
    </row>
    <row r="3972" customFormat="false" ht="17.15" hidden="false" customHeight="false" outlineLevel="0" collapsed="false">
      <c r="A3972" s="0" t="s">
        <v>849</v>
      </c>
      <c r="B3972" s="0" t="s">
        <v>98</v>
      </c>
      <c r="C3972" s="6" t="n">
        <f aca="false">Sens!C3969</f>
        <v>22.5333845916667</v>
      </c>
      <c r="D3972" s="6" t="n">
        <f aca="false">Sens!D3969</f>
        <v>34.0300093833333</v>
      </c>
      <c r="E3972" s="6" t="n">
        <f aca="false">Sens!E3969</f>
        <v>67.600153775</v>
      </c>
      <c r="F3972" s="6" t="n">
        <f aca="false">Sens!F3969</f>
        <v>159.431740997227</v>
      </c>
      <c r="G3972" s="6" t="n">
        <f aca="false">Sens!G3969</f>
        <v>181.86546777984</v>
      </c>
      <c r="H3972" s="6" t="n">
        <f aca="false">Sens!H3969</f>
        <v>187.27279429248</v>
      </c>
      <c r="I3972" s="6" t="n">
        <f aca="false">Sens!I3969</f>
        <v>162.732341660428</v>
      </c>
      <c r="J3972" s="6" t="n">
        <f aca="false">Sens!J3969</f>
        <v>126.020786674651</v>
      </c>
      <c r="K3972" s="6" t="n">
        <f aca="false">Sens!K3969</f>
        <v>120.035366735575</v>
      </c>
    </row>
    <row r="3973" customFormat="false" ht="17.15" hidden="false" customHeight="false" outlineLevel="0" collapsed="false">
      <c r="A3973" s="0" t="s">
        <v>850</v>
      </c>
      <c r="B3973" s="0" t="s">
        <v>98</v>
      </c>
      <c r="C3973" s="6" t="n">
        <f aca="false">Sens!C3972+Sens!C3970</f>
        <v>28.7416845916667</v>
      </c>
      <c r="D3973" s="6" t="n">
        <f aca="false">Sens!D3972+Sens!D3970</f>
        <v>43.4058093833333</v>
      </c>
      <c r="E3973" s="6" t="n">
        <f aca="false">Sens!E3972+Sens!E3970</f>
        <v>86.225053775</v>
      </c>
      <c r="F3973" s="6" t="n">
        <f aca="false">Sens!F3972+Sens!F3970</f>
        <v>195.245269797227</v>
      </c>
      <c r="G3973" s="6" t="n">
        <f aca="false">Sens!G3972+Sens!G3970</f>
        <v>220.28901657984</v>
      </c>
      <c r="H3973" s="6" t="n">
        <f aca="false">Sens!H3972+Sens!H3970</f>
        <v>225.69634309248</v>
      </c>
      <c r="I3973" s="6" t="n">
        <f aca="false">Sens!I3972+Sens!I3970</f>
        <v>189.912522324428</v>
      </c>
      <c r="J3973" s="6" t="n">
        <f aca="false">Sens!J3972+Sens!J3970</f>
        <v>142.501202815931</v>
      </c>
      <c r="K3973" s="6" t="n">
        <f aca="false">Sens!K3972+Sens!K3970</f>
        <v>126.038629031734</v>
      </c>
      <c r="L3973" s="11" t="s">
        <v>851</v>
      </c>
    </row>
    <row r="3974" customFormat="false" ht="17.15" hidden="false" customHeight="false" outlineLevel="0" collapsed="false">
      <c r="A3974" s="0" t="s">
        <v>852</v>
      </c>
      <c r="B3974" s="0" t="s">
        <v>98</v>
      </c>
      <c r="E3974" s="6" t="n">
        <f aca="false">(Sens!C3972*IF(2&lt;life_it,1,IF(2=life_it,0.5,0))+Sens!D3972*IF(1&lt;life_it,1,IF(1=life_it,0.5,0))+Sens!E3972*0.5)/life_it</f>
        <v>15.0605784770833</v>
      </c>
      <c r="F3974" s="6" t="n">
        <f aca="false">(Sens!C3972*IF(3&lt;life_it,1,IF(3=life_it,0.5,0))+Sens!D3972*IF(2&lt;life_it,1,IF(2=life_it,0.5,0))+Sens!E3972*IF(1&lt;life_it,1,IF(1=life_it,0.5,0))+Sens!F3972*0.5)/life_it</f>
        <v>33.9799030414356</v>
      </c>
      <c r="G3974" s="6" t="n">
        <f aca="false">(Sens!C3972*IF(4&lt;life_it,1,IF(4=life_it,0.5,0))+Sens!D3972*IF(3&lt;life_it,1,IF(3=life_it,0.5,0))+Sens!E3972*IF(2&lt;life_it,1,IF(2=life_it,0.5,0))+Sens!F3972*IF(1&lt;life_it,1,IF(1=life_it,0.5,0))+Sens!G3972*0.5)/life_it</f>
        <v>62.4213371061911</v>
      </c>
      <c r="H3974" s="6" t="n">
        <f aca="false">(Sens!C3972*IF(5&lt;life_it,1,IF(5=life_it,0.5,0))+Sens!D3972*IF(4&lt;life_it,1,IF(4=life_it,0.5,0))+Sens!E3972*IF(3&lt;life_it,1,IF(3=life_it,0.5,0))+Sens!F3972*IF(2&lt;life_it,1,IF(2=life_it,0.5,0))+Sens!G3972*IF(1&lt;life_it,1,IF(1=life_it,0.5,0))+Sens!H3972*0.5)/life_it</f>
        <v>93.1828589455511</v>
      </c>
      <c r="I3974" s="6" t="n">
        <f aca="false">(Sens!C3972*IF(6&lt;life_it,1,IF(6=life_it,0.5,0))+Sens!D3972*IF(5&lt;life_it,1,IF(5=life_it,0.5,0))+Sens!E3972*IF(4&lt;life_it,1,IF(4=life_it,0.5,0))+Sens!F3972*IF(3&lt;life_it,1,IF(3=life_it,0.5,0))+Sens!G3972*IF(2&lt;life_it,1,IF(2=life_it,0.5,0))+Sens!H3972*IF(1&lt;life_it,1,IF(1=life_it,0.5,0))+Sens!I3972*0.5)/life_it</f>
        <v>120.472171558988</v>
      </c>
      <c r="J3974" s="6" t="n">
        <f aca="false">(Sens!C3972*IF(7&lt;life_it,1,IF(7=life_it,0.5,0))+Sens!D3972*IF(6&lt;life_it,1,IF(6=life_it,0.5,0))+Sens!E3972*IF(5&lt;life_it,1,IF(5=life_it,0.5,0))+Sens!F3972*IF(4&lt;life_it,1,IF(4=life_it,0.5,0))+Sens!G3972*IF(3&lt;life_it,1,IF(3=life_it,0.5,0))+Sens!H3972*IF(2&lt;life_it,1,IF(2=life_it,0.5,0))+Sens!I3972*IF(1&lt;life_it,1,IF(1=life_it,0.5,0))+Sens!J3972*0.5)/life_it</f>
        <v>139.821316088994</v>
      </c>
      <c r="K3974" s="6" t="n">
        <f aca="false">(Sens!C3972*IF(8&lt;life_it,1,IF(8=life_it,0.5,0))+Sens!D3972*IF(7&lt;life_it,1,IF(7=life_it,0.5,0))+Sens!E3972*IF(6&lt;life_it,1,IF(6=life_it,0.5,0))+Sens!F3972*IF(5&lt;life_it,1,IF(5=life_it,0.5,0))+Sens!G3972*IF(4&lt;life_it,1,IF(4=life_it,0.5,0))+Sens!H3972*IF(3&lt;life_it,1,IF(3=life_it,0.5,0))+Sens!I3972*IF(2&lt;life_it,1,IF(2=life_it,0.5,0))+Sens!J3972*IF(1&lt;life_it,1,IF(1=life_it,0.5,0))+Sens!K3972*0.5)/life_it</f>
        <v>151.856815276652</v>
      </c>
    </row>
    <row r="3975" customFormat="false" ht="17.15" hidden="false" customHeight="false" outlineLevel="0" collapsed="false">
      <c r="A3975" s="0" t="s">
        <v>853</v>
      </c>
      <c r="B3975" s="0" t="s">
        <v>98</v>
      </c>
      <c r="E3975" s="6" t="n">
        <f aca="false">(Sens!C3970*IF(2&lt;life_fac,1,IF(2=life_fac,0.5,0))+Sens!D3970*IF(1&lt;life_fac,1,IF(1=life_fac,0.5,0))+Sens!E3970*0.5)/life_fac</f>
        <v>1.2448275</v>
      </c>
      <c r="F3975" s="6" t="n">
        <f aca="false">(Sens!C3970*IF(3&lt;life_fac,1,IF(3=life_fac,0.5,0))+Sens!D3970*IF(2&lt;life_fac,1,IF(2=life_fac,0.5,0))+Sens!E3970*IF(1&lt;life_fac,1,IF(1=life_fac,0.5,0))+Sens!F3970*0.5)/life_fac</f>
        <v>2.60578822</v>
      </c>
      <c r="G3975" s="6" t="n">
        <f aca="false">(Sens!C3970*IF(4&lt;life_fac,1,IF(4=life_fac,0.5,0))+Sens!D3970*IF(3&lt;life_fac,1,IF(3=life_fac,0.5,0))+Sens!E3970*IF(2&lt;life_fac,1,IF(2=life_fac,0.5,0))+Sens!F3970*IF(1&lt;life_fac,1,IF(1=life_fac,0.5,0))+Sens!G3970*0.5)/life_fac</f>
        <v>4.46171516</v>
      </c>
      <c r="H3975" s="6" t="n">
        <f aca="false">(Sens!C3970*IF(5&lt;life_fac,1,IF(5=life_fac,0.5,0))+Sens!D3970*IF(4&lt;life_fac,1,IF(4=life_fac,0.5,0))+Sens!E3970*IF(3&lt;life_fac,1,IF(3=life_fac,0.5,0))+Sens!F3970*IF(2&lt;life_fac,1,IF(2=life_fac,0.5,0))+Sens!G3970*IF(1&lt;life_fac,1,IF(1=life_fac,0.5,0))+Sens!H3970*0.5)/life_fac</f>
        <v>6.3828926</v>
      </c>
      <c r="I3975" s="6" t="n">
        <f aca="false">(Sens!C3970*IF(6&lt;life_fac,1,IF(6=life_fac,0.5,0))+Sens!D3970*IF(5&lt;life_fac,1,IF(5=life_fac,0.5,0))+Sens!E3970*IF(4&lt;life_fac,1,IF(4=life_fac,0.5,0))+Sens!F3970*IF(3&lt;life_fac,1,IF(3=life_fac,0.5,0))+Sens!G3970*IF(2&lt;life_fac,1,IF(2=life_fac,0.5,0))+Sens!H3970*IF(1&lt;life_fac,1,IF(1=life_fac,0.5,0))+Sens!I3970*0.5)/life_fac</f>
        <v>8.0229858366</v>
      </c>
      <c r="J3975" s="6" t="n">
        <f aca="false">(Sens!C3970*IF(7&lt;life_fac,1,IF(7=life_fac,0.5,0))+Sens!D3970*IF(6&lt;life_fac,1,IF(6=life_fac,0.5,0))+Sens!E3970*IF(5&lt;life_fac,1,IF(5=life_fac,0.5,0))+Sens!F3970*IF(4&lt;life_fac,1,IF(4=life_fac,0.5,0))+Sens!G3970*IF(3&lt;life_fac,1,IF(3=life_fac,0.5,0))+Sens!H3970*IF(2&lt;life_fac,1,IF(2=life_fac,0.5,0))+Sens!I3970*IF(1&lt;life_fac,1,IF(1=life_fac,0.5,0))+Sens!J3970*0.5)/life_fac</f>
        <v>9.114500756732</v>
      </c>
      <c r="K3975" s="6" t="n">
        <f aca="false">(Sens!C3970*IF(8&lt;life_fac,1,IF(8=life_fac,0.5,0))+Sens!D3970*IF(7&lt;life_fac,1,IF(7=life_fac,0.5,0))+Sens!E3970*IF(6&lt;life_fac,1,IF(6=life_fac,0.5,0))+Sens!F3970*IF(5&lt;life_fac,1,IF(5=life_fac,0.5,0))+Sens!G3970*IF(4&lt;life_fac,1,IF(4=life_fac,0.5,0))+Sens!H3970*IF(3&lt;life_fac,1,IF(3=life_fac,0.5,0))+Sens!I3970*IF(2&lt;life_fac,1,IF(2=life_fac,0.5,0))+Sens!J3970*IF(1&lt;life_fac,1,IF(1=life_fac,0.5,0))+Sens!K3970*0.5)/life_fac</f>
        <v>9.67659271766796</v>
      </c>
    </row>
    <row r="3976" customFormat="false" ht="17.15" hidden="false" customHeight="false" outlineLevel="0" collapsed="false">
      <c r="A3976" s="0" t="s">
        <v>854</v>
      </c>
      <c r="B3976" s="0" t="s">
        <v>98</v>
      </c>
      <c r="E3976" s="6" t="n">
        <f aca="false">Sens!E3974+Sens!E3975</f>
        <v>16.3054059770833</v>
      </c>
      <c r="F3976" s="6" t="n">
        <f aca="false">Sens!F3974+Sens!F3975</f>
        <v>36.5856912614356</v>
      </c>
      <c r="G3976" s="6" t="n">
        <f aca="false">Sens!G3974+Sens!G3975</f>
        <v>66.8830522661911</v>
      </c>
      <c r="H3976" s="6" t="n">
        <f aca="false">Sens!H3974+Sens!H3975</f>
        <v>99.5657515455511</v>
      </c>
      <c r="I3976" s="6" t="n">
        <f aca="false">Sens!I3974+Sens!I3975</f>
        <v>128.495157395588</v>
      </c>
      <c r="J3976" s="6" t="n">
        <f aca="false">Sens!J3974+Sens!J3975</f>
        <v>148.935816845726</v>
      </c>
      <c r="K3976" s="6" t="n">
        <f aca="false">Sens!K3974+Sens!K3975</f>
        <v>161.53340799432</v>
      </c>
    </row>
    <row r="3977" customFormat="false" ht="17.15" hidden="false" customHeight="false" outlineLevel="0" collapsed="false">
      <c r="A3977" s="0" t="s">
        <v>855</v>
      </c>
      <c r="B3977" s="0" t="s">
        <v>98</v>
      </c>
      <c r="E3977" s="6" t="n">
        <f aca="false">Sens!E3965-Sens!E3964*Sens!E3976</f>
        <v>8.92707889977379</v>
      </c>
      <c r="F3977" s="6" t="n">
        <f aca="false">Sens!F3965-Sens!F3964*Sens!F3976</f>
        <v>15.6409102454465</v>
      </c>
      <c r="G3977" s="6" t="n">
        <f aca="false">Sens!G3965-Sens!G3964*Sens!G3976</f>
        <v>18.8134964251143</v>
      </c>
      <c r="H3977" s="6" t="n">
        <f aca="false">Sens!H3965-Sens!H3964*Sens!H3976</f>
        <v>15.4428714399511</v>
      </c>
      <c r="I3977" s="6" t="n">
        <f aca="false">Sens!I3965-Sens!I3964*Sens!I3976</f>
        <v>19.495626201995</v>
      </c>
      <c r="J3977" s="6" t="n">
        <f aca="false">Sens!J3965-Sens!J3964*Sens!J3976</f>
        <v>22.2895483899106</v>
      </c>
      <c r="K3977" s="6" t="n">
        <f aca="false">Sens!K3965-Sens!K3964*Sens!K3976</f>
        <v>24.5285330728023</v>
      </c>
    </row>
    <row r="3978" customFormat="false" ht="17.15" hidden="false" customHeight="false" outlineLevel="0" collapsed="false">
      <c r="A3978" s="3" t="s">
        <v>1363</v>
      </c>
    </row>
    <row r="3979" customFormat="false" ht="15" hidden="false" customHeight="false" outlineLevel="0" collapsed="false">
      <c r="A3979" s="4" t="s">
        <v>43</v>
      </c>
      <c r="B3979" s="4" t="s">
        <v>65</v>
      </c>
      <c r="C3979" s="20" t="s">
        <v>799</v>
      </c>
      <c r="D3979" s="20" t="s">
        <v>800</v>
      </c>
      <c r="E3979" s="20" t="s">
        <v>801</v>
      </c>
      <c r="F3979" s="20" t="s">
        <v>802</v>
      </c>
      <c r="G3979" s="20" t="s">
        <v>803</v>
      </c>
      <c r="H3979" s="20" t="s">
        <v>804</v>
      </c>
      <c r="I3979" s="20" t="s">
        <v>805</v>
      </c>
      <c r="J3979" s="20" t="s">
        <v>806</v>
      </c>
      <c r="K3979" s="20" t="s">
        <v>807</v>
      </c>
      <c r="L3979" s="4" t="s">
        <v>47</v>
      </c>
    </row>
    <row r="3980" customFormat="false" ht="17.15" hidden="false" customHeight="false" outlineLevel="0" collapsed="false">
      <c r="A3980" s="0" t="s">
        <v>874</v>
      </c>
      <c r="B3980" s="0" t="s">
        <v>98</v>
      </c>
      <c r="D3980" s="6" t="n">
        <f aca="false">Sens!D3959</f>
        <v>12.9359794422418</v>
      </c>
      <c r="E3980" s="6" t="n">
        <f aca="false">Sens!E3959</f>
        <v>27.8095064661409</v>
      </c>
      <c r="F3980" s="6" t="n">
        <f aca="false">Sens!F3959</f>
        <v>53.8624860510656</v>
      </c>
      <c r="G3980" s="6" t="n">
        <f aca="false">Sens!G3959</f>
        <v>83.8379796269722</v>
      </c>
      <c r="H3980" s="6" t="n">
        <f aca="false">Sens!H3959</f>
        <v>108.143172915321</v>
      </c>
      <c r="I3980" s="6" t="n">
        <f aca="false">Sens!I3959</f>
        <v>136.517482924672</v>
      </c>
      <c r="J3980" s="6" t="n">
        <f aca="false">Sens!J3959</f>
        <v>156.291529247792</v>
      </c>
      <c r="K3980" s="6" t="n">
        <f aca="false">Sens!K3959</f>
        <v>168.716910327602</v>
      </c>
    </row>
    <row r="3981" customFormat="false" ht="17.15" hidden="false" customHeight="false" outlineLevel="0" collapsed="false">
      <c r="A3981" s="0" t="s">
        <v>875</v>
      </c>
      <c r="B3981" s="0" t="s">
        <v>98</v>
      </c>
      <c r="D3981" s="6" t="n">
        <f aca="false">Q!L6-Sens!D3980</f>
        <v>59.6740205577583</v>
      </c>
      <c r="E3981" s="6" t="n">
        <f aca="false">Q!M6-Sens!E3980</f>
        <v>74.1284935338591</v>
      </c>
      <c r="F3981" s="6" t="n">
        <f aca="false">Sens!E3981*(1+Sens!F3982)</f>
        <v>90.0799497373663</v>
      </c>
      <c r="G3981" s="6" t="n">
        <f aca="false">Sens!F3981*(1+Sens!G3982)</f>
        <v>107.02842520331</v>
      </c>
      <c r="H3981" s="6" t="n">
        <f aca="false">Sens!G3981*(1+Sens!H3982)</f>
        <v>124.271982585636</v>
      </c>
      <c r="I3981" s="6" t="n">
        <f aca="false">Sens!H3981*(1+Sens!I3982)</f>
        <v>140.933702381855</v>
      </c>
      <c r="J3981" s="6" t="n">
        <f aca="false">Sens!I3981*(1+Sens!J3982)</f>
        <v>156.018867314332</v>
      </c>
      <c r="K3981" s="6" t="n">
        <f aca="false">Sens!J3981*(1+Sens!K3982)</f>
        <v>168.500376699478</v>
      </c>
    </row>
    <row r="3982" customFormat="false" ht="15" hidden="false" customHeight="false" outlineLevel="0" collapsed="false">
      <c r="A3982" s="1" t="s">
        <v>876</v>
      </c>
      <c r="B3982" s="0" t="s">
        <v>129</v>
      </c>
      <c r="E3982" s="7" t="n">
        <f aca="false">Sens!E3981/Sens!D3981-1</f>
        <v>0.242223883039864</v>
      </c>
      <c r="F3982" s="7" t="n">
        <f aca="false">Sens!$E$3982+(glt_azo-Sens!$E$3982)*MIN(1,(Sens!F3942-base_fy)/n_conv)</f>
        <v>0.215186569199887</v>
      </c>
      <c r="G3982" s="7" t="n">
        <f aca="false">Sens!$E$3982+(glt_azo-Sens!$E$3982)*MIN(1,(Sens!G3942-base_fy)/n_conv)</f>
        <v>0.18814925535991</v>
      </c>
      <c r="H3982" s="7" t="n">
        <f aca="false">Sens!$E$3982+(glt_azo-Sens!$E$3982)*MIN(1,(Sens!H3942-base_fy)/n_conv)</f>
        <v>0.161111941519932</v>
      </c>
      <c r="I3982" s="7" t="n">
        <f aca="false">Sens!$E$3982+(glt_azo-Sens!$E$3982)*MIN(1,(Sens!I3942-base_fy)/n_conv)</f>
        <v>0.134074627679955</v>
      </c>
      <c r="J3982" s="7" t="n">
        <f aca="false">Sens!$E$3982+(glt_azo-Sens!$E$3982)*MIN(1,(Sens!J3942-base_fy)/n_conv)</f>
        <v>0.107037313839977</v>
      </c>
      <c r="K3982" s="7" t="n">
        <f aca="false">Sens!$E$3982+(glt_azo-Sens!$E$3982)*MIN(1,(Sens!K3942-base_fy)/n_conv)</f>
        <v>0.08</v>
      </c>
    </row>
    <row r="3983" customFormat="false" ht="15" hidden="false" customHeight="false" outlineLevel="0" collapsed="false">
      <c r="A3983" s="0" t="s">
        <v>877</v>
      </c>
      <c r="B3983" s="0" t="s">
        <v>98</v>
      </c>
      <c r="D3983" s="6" t="n">
        <f aca="false">Sens!D3980+Sens!D3981</f>
        <v>72.61</v>
      </c>
      <c r="E3983" s="6" t="n">
        <f aca="false">Sens!E3980+Sens!E3981</f>
        <v>101.938</v>
      </c>
      <c r="F3983" s="6" t="n">
        <f aca="false">Sens!F3980+Sens!F3981</f>
        <v>143.942435788432</v>
      </c>
      <c r="G3983" s="6" t="n">
        <f aca="false">Sens!G3980+Sens!G3981</f>
        <v>190.866404830282</v>
      </c>
      <c r="H3983" s="6" t="n">
        <f aca="false">Sens!H3980+Sens!H3981</f>
        <v>232.415155500957</v>
      </c>
      <c r="I3983" s="6" t="n">
        <f aca="false">Sens!I3980+Sens!I3981</f>
        <v>277.451185306527</v>
      </c>
      <c r="J3983" s="6" t="n">
        <f aca="false">Sens!J3980+Sens!J3981</f>
        <v>312.310396562124</v>
      </c>
      <c r="K3983" s="6" t="n">
        <f aca="false">Sens!K3980+Sens!K3981</f>
        <v>337.21728702708</v>
      </c>
    </row>
    <row r="3984" customFormat="false" ht="17.15" hidden="false" customHeight="false" outlineLevel="0" collapsed="false">
      <c r="A3984" s="0" t="s">
        <v>878</v>
      </c>
      <c r="B3984" s="1" t="s">
        <v>528</v>
      </c>
      <c r="C3984" s="29" t="n">
        <f aca="false">cop_s24</f>
        <v>1</v>
      </c>
      <c r="D3984" s="29" t="n">
        <f aca="false">cop_s25</f>
        <v>5</v>
      </c>
      <c r="E3984" s="29" t="n">
        <f aca="false">cop_s26</f>
        <v>30</v>
      </c>
      <c r="F3984" s="29" t="n">
        <f aca="false">Sens!E3984+cop_add_C</f>
        <v>40</v>
      </c>
      <c r="G3984" s="29" t="n">
        <f aca="false">Sens!F3984+cop_add_C</f>
        <v>50</v>
      </c>
      <c r="H3984" s="29" t="n">
        <f aca="false">Sens!G3984+cop_add_C</f>
        <v>60</v>
      </c>
      <c r="I3984" s="29" t="n">
        <f aca="false">Sens!H3984+cop_add_C*cop_tail</f>
        <v>65</v>
      </c>
      <c r="J3984" s="29" t="n">
        <f aca="false">Sens!I3984+cop_add_C*cop_tail</f>
        <v>70</v>
      </c>
      <c r="K3984" s="29" t="n">
        <f aca="false">Sens!J3984+cop_add_C*cop_tail</f>
        <v>75</v>
      </c>
      <c r="L3984" s="11" t="s">
        <v>879</v>
      </c>
    </row>
    <row r="3985" customFormat="false" ht="17.15" hidden="false" customHeight="false" outlineLevel="0" collapsed="false">
      <c r="A3985" s="0" t="s">
        <v>880</v>
      </c>
      <c r="B3985" s="0" t="s">
        <v>98</v>
      </c>
      <c r="D3985" s="6" t="n">
        <f aca="false">(Sens!C3984+Sens!D3984)/2*cop_px*12/1000</f>
        <v>0.9</v>
      </c>
      <c r="E3985" s="6" t="n">
        <f aca="false">(Sens!D3984+Sens!E3984)/2*cop_px*12/1000</f>
        <v>5.25</v>
      </c>
      <c r="F3985" s="6" t="n">
        <f aca="false">(Sens!E3984+Sens!F3984)/2*cop_px*12/1000</f>
        <v>10.5</v>
      </c>
      <c r="G3985" s="6" t="n">
        <f aca="false">(Sens!F3984+Sens!G3984)/2*cop_px*12/1000</f>
        <v>13.5</v>
      </c>
      <c r="H3985" s="6" t="n">
        <f aca="false">(Sens!G3984+Sens!H3984)/2*cop_px*12/1000</f>
        <v>16.5</v>
      </c>
      <c r="I3985" s="6" t="n">
        <f aca="false">(Sens!H3984+Sens!I3984)/2*cop_px*12/1000</f>
        <v>18.75</v>
      </c>
      <c r="J3985" s="6" t="n">
        <f aca="false">(Sens!I3984+Sens!J3984)/2*cop_px*12/1000</f>
        <v>20.25</v>
      </c>
      <c r="K3985" s="6" t="n">
        <f aca="false">(Sens!J3984+Sens!K3984)/2*cop_px*12/1000</f>
        <v>21.75</v>
      </c>
      <c r="L3985" s="1" t="s">
        <v>881</v>
      </c>
    </row>
    <row r="3986" customFormat="false" ht="17.15" hidden="false" customHeight="false" outlineLevel="0" collapsed="false">
      <c r="A3986" s="0" t="s">
        <v>882</v>
      </c>
      <c r="B3986" s="0" t="s">
        <v>98</v>
      </c>
      <c r="D3986" s="6" t="n">
        <f aca="false">Q!L7-Sens!D3985</f>
        <v>83.705</v>
      </c>
      <c r="E3986" s="6" t="n">
        <f aca="false">Q!M7-Sens!E3985</f>
        <v>95.049</v>
      </c>
      <c r="F3986" s="6" t="n">
        <f aca="false">Sens!E3986*(1+Sens!F3987)</f>
        <v>106.89238776686</v>
      </c>
      <c r="G3986" s="6" t="n">
        <f aca="false">Sens!F3986*(1+Sens!G3987)</f>
        <v>119.044168448684</v>
      </c>
      <c r="H3986" s="6" t="n">
        <f aca="false">Sens!G3986*(1+Sens!H3987)</f>
        <v>131.277359388781</v>
      </c>
      <c r="I3986" s="6" t="n">
        <f aca="false">Sens!H3986*(1+Sens!I3987)</f>
        <v>143.334028071957</v>
      </c>
      <c r="J3986" s="6" t="n">
        <f aca="false">Sens!I3986*(1+Sens!J3987)</f>
        <v>154.932702785465</v>
      </c>
      <c r="K3986" s="6" t="n">
        <f aca="false">Sens!J3986*(1+Sens!K3987)</f>
        <v>165.777991980448</v>
      </c>
    </row>
    <row r="3987" customFormat="false" ht="15" hidden="false" customHeight="false" outlineLevel="0" collapsed="false">
      <c r="A3987" s="1" t="s">
        <v>876</v>
      </c>
      <c r="B3987" s="0" t="s">
        <v>129</v>
      </c>
      <c r="E3987" s="7" t="n">
        <f aca="false">Sens!E3986/Sens!D3986-1</f>
        <v>0.135523564900544</v>
      </c>
      <c r="F3987" s="7" t="n">
        <f aca="false">Sens!$E$3987+(glt_m365b-Sens!$E$3987)*MIN(1,(Sens!F3942-base_fy)/n_conv)</f>
        <v>0.124602970750453</v>
      </c>
      <c r="G3987" s="7" t="n">
        <f aca="false">Sens!$E$3987+(glt_m365b-Sens!$E$3987)*MIN(1,(Sens!G3942-base_fy)/n_conv)</f>
        <v>0.113682376600363</v>
      </c>
      <c r="H3987" s="7" t="n">
        <f aca="false">Sens!$E$3987+(glt_m365b-Sens!$E$3987)*MIN(1,(Sens!H3942-base_fy)/n_conv)</f>
        <v>0.102761782450272</v>
      </c>
      <c r="I3987" s="7" t="n">
        <f aca="false">Sens!$E$3987+(glt_m365b-Sens!$E$3987)*MIN(1,(Sens!I3942-base_fy)/n_conv)</f>
        <v>0.0918411883001813</v>
      </c>
      <c r="J3987" s="7" t="n">
        <f aca="false">Sens!$E$3987+(glt_m365b-Sens!$E$3987)*MIN(1,(Sens!J3942-base_fy)/n_conv)</f>
        <v>0.0809205941500906</v>
      </c>
      <c r="K3987" s="7" t="n">
        <f aca="false">Sens!$E$3987+(glt_m365b-Sens!$E$3987)*MIN(1,(Sens!K3942-base_fy)/n_conv)</f>
        <v>0.07</v>
      </c>
    </row>
    <row r="3988" customFormat="false" ht="15" hidden="false" customHeight="false" outlineLevel="0" collapsed="false">
      <c r="A3988" s="0" t="s">
        <v>883</v>
      </c>
      <c r="B3988" s="0" t="s">
        <v>98</v>
      </c>
      <c r="D3988" s="6" t="n">
        <f aca="false">Sens!D3986+Sens!D3985</f>
        <v>84.605</v>
      </c>
      <c r="E3988" s="6" t="n">
        <f aca="false">Sens!E3986+Sens!E3985</f>
        <v>100.299</v>
      </c>
      <c r="F3988" s="6" t="n">
        <f aca="false">Sens!F3986+Sens!F3985</f>
        <v>117.39238776686</v>
      </c>
      <c r="G3988" s="6" t="n">
        <f aca="false">Sens!G3986+Sens!G3985</f>
        <v>132.544168448684</v>
      </c>
      <c r="H3988" s="6" t="n">
        <f aca="false">Sens!H3986+Sens!H3985</f>
        <v>147.777359388781</v>
      </c>
      <c r="I3988" s="6" t="n">
        <f aca="false">Sens!I3986+Sens!I3985</f>
        <v>162.084028071957</v>
      </c>
      <c r="J3988" s="6" t="n">
        <f aca="false">Sens!J3986+Sens!J3985</f>
        <v>175.182702785465</v>
      </c>
      <c r="K3988" s="6" t="n">
        <f aca="false">Sens!K3986+Sens!K3985</f>
        <v>187.527991980448</v>
      </c>
    </row>
    <row r="3989" customFormat="false" ht="15" hidden="false" customHeight="false" outlineLevel="0" collapsed="false">
      <c r="A3989" s="0" t="s">
        <v>884</v>
      </c>
      <c r="B3989" s="0" t="s">
        <v>98</v>
      </c>
      <c r="D3989" s="6" t="n">
        <f aca="false">Q!L8</f>
        <v>35.391</v>
      </c>
      <c r="E3989" s="6" t="n">
        <f aca="false">Q!M8</f>
        <v>37.285</v>
      </c>
      <c r="F3989" s="6" t="n">
        <f aca="false">Sens!E3989*(1+Sens!F3990)</f>
        <v>39.0720834331704</v>
      </c>
      <c r="G3989" s="6" t="n">
        <f aca="false">Sens!F3989*(1+Sens!G3990)</f>
        <v>40.726562953769</v>
      </c>
      <c r="H3989" s="6" t="n">
        <f aca="false">Sens!G3989*(1+Sens!H3990)</f>
        <v>42.2235987259198</v>
      </c>
      <c r="I3989" s="6" t="n">
        <f aca="false">Sens!H3989*(1+Sens!I3990)</f>
        <v>43.5397988077414</v>
      </c>
      <c r="J3989" s="6" t="n">
        <f aca="false">Sens!I3989*(1+Sens!J3990)</f>
        <v>44.653811225693</v>
      </c>
      <c r="K3989" s="6" t="n">
        <f aca="false">Sens!J3989*(1+Sens!K3990)</f>
        <v>45.5468874502068</v>
      </c>
    </row>
    <row r="3990" customFormat="false" ht="15" hidden="false" customHeight="false" outlineLevel="0" collapsed="false">
      <c r="A3990" s="1" t="s">
        <v>876</v>
      </c>
      <c r="B3990" s="0" t="s">
        <v>129</v>
      </c>
      <c r="E3990" s="7" t="n">
        <f aca="false">Sens!E3989/Sens!D3989-1</f>
        <v>0.0535164307309768</v>
      </c>
      <c r="F3990" s="7" t="n">
        <f aca="false">Sens!$E$3990+(glt_lic-Sens!$E$3990)*MIN(1,(Sens!F3942-base_fy)/n_conv)</f>
        <v>0.0479303589424807</v>
      </c>
      <c r="G3990" s="7" t="n">
        <f aca="false">Sens!$E$3990+(glt_lic-Sens!$E$3990)*MIN(1,(Sens!G3942-base_fy)/n_conv)</f>
        <v>0.0423442871539845</v>
      </c>
      <c r="H3990" s="7" t="n">
        <f aca="false">Sens!$E$3990+(glt_lic-Sens!$E$3990)*MIN(1,(Sens!H3942-base_fy)/n_conv)</f>
        <v>0.0367582153654884</v>
      </c>
      <c r="I3990" s="7" t="n">
        <f aca="false">Sens!$E$3990+(glt_lic-Sens!$E$3990)*MIN(1,(Sens!I3942-base_fy)/n_conv)</f>
        <v>0.0311721435769923</v>
      </c>
      <c r="J3990" s="7" t="n">
        <f aca="false">Sens!$E$3990+(glt_lic-Sens!$E$3990)*MIN(1,(Sens!J3942-base_fy)/n_conv)</f>
        <v>0.0255860717884961</v>
      </c>
      <c r="K3990" s="7" t="n">
        <f aca="false">Sens!$E$3990+(glt_lic-Sens!$E$3990)*MIN(1,(Sens!K3942-base_fy)/n_conv)</f>
        <v>0.02</v>
      </c>
    </row>
    <row r="3991" customFormat="false" ht="15" hidden="false" customHeight="false" outlineLevel="0" collapsed="false">
      <c r="A3991" s="0" t="s">
        <v>885</v>
      </c>
      <c r="B3991" s="0" t="s">
        <v>98</v>
      </c>
      <c r="D3991" s="6" t="n">
        <f aca="false">Q!L9</f>
        <v>18.417</v>
      </c>
      <c r="E3991" s="6" t="n">
        <f aca="false">Q!M9</f>
        <v>20.345</v>
      </c>
      <c r="F3991" s="6" t="n">
        <f aca="false">Sens!E3991*(1+Sens!F3992)</f>
        <v>22.3572203267814</v>
      </c>
      <c r="G3991" s="6" t="n">
        <f aca="false">Sens!F3991*(1+Sens!G3992)</f>
        <v>24.4392124437232</v>
      </c>
      <c r="H3991" s="6" t="n">
        <f aca="false">Sens!G3991*(1+Sens!H3992)</f>
        <v>26.5738052080665</v>
      </c>
      <c r="I3991" s="6" t="n">
        <f aca="false">Sens!H3991*(1+Sens!I3992)</f>
        <v>28.7412169166967</v>
      </c>
      <c r="J3991" s="6" t="n">
        <f aca="false">Sens!I3991*(1+Sens!J3992)</f>
        <v>30.9192545395413</v>
      </c>
      <c r="K3991" s="6" t="n">
        <f aca="false">Sens!J3991*(1+Sens!K3992)</f>
        <v>33.0836023573092</v>
      </c>
    </row>
    <row r="3992" customFormat="false" ht="15" hidden="false" customHeight="false" outlineLevel="0" collapsed="false">
      <c r="A3992" s="1" t="s">
        <v>876</v>
      </c>
      <c r="B3992" s="0" t="s">
        <v>129</v>
      </c>
      <c r="E3992" s="7" t="n">
        <f aca="false">Sens!E3991/Sens!D3991-1</f>
        <v>0.104685888038225</v>
      </c>
      <c r="F3992" s="7" t="n">
        <f aca="false">Sens!$E$3992+(glt_ind-Sens!$E$3992)*MIN(1,(Sens!F3942-base_fy)/n_conv)</f>
        <v>0.0989049066985211</v>
      </c>
      <c r="G3992" s="7" t="n">
        <f aca="false">Sens!$E$3992+(glt_ind-Sens!$E$3992)*MIN(1,(Sens!G3942-base_fy)/n_conv)</f>
        <v>0.0931239253588169</v>
      </c>
      <c r="H3992" s="7" t="n">
        <f aca="false">Sens!$E$3992+(glt_ind-Sens!$E$3992)*MIN(1,(Sens!H3942-base_fy)/n_conv)</f>
        <v>0.0873429440191127</v>
      </c>
      <c r="I3992" s="7" t="n">
        <f aca="false">Sens!$E$3992+(glt_ind-Sens!$E$3992)*MIN(1,(Sens!I3942-base_fy)/n_conv)</f>
        <v>0.0815619626794085</v>
      </c>
      <c r="J3992" s="7" t="n">
        <f aca="false">Sens!$E$3992+(glt_ind-Sens!$E$3992)*MIN(1,(Sens!J3942-base_fy)/n_conv)</f>
        <v>0.0757809813397042</v>
      </c>
      <c r="K3992" s="7" t="n">
        <f aca="false">Sens!$E$3992+(glt_ind-Sens!$E$3992)*MIN(1,(Sens!K3942-base_fy)/n_conv)</f>
        <v>0.07</v>
      </c>
    </row>
    <row r="3993" customFormat="false" ht="15" hidden="false" customHeight="false" outlineLevel="0" collapsed="false">
      <c r="A3993" s="0" t="s">
        <v>886</v>
      </c>
      <c r="B3993" s="0" t="s">
        <v>98</v>
      </c>
      <c r="D3993" s="6" t="n">
        <f aca="false">Q!L10</f>
        <v>7.76</v>
      </c>
      <c r="E3993" s="6" t="n">
        <f aca="false">Q!M10</f>
        <v>8.26</v>
      </c>
      <c r="F3993" s="6" t="n">
        <f aca="false">Sens!E3993*(1+Sens!F3994)</f>
        <v>8.79988041237113</v>
      </c>
      <c r="G3993" s="6" t="n">
        <f aca="false">Sens!F3993*(1+Sens!G3994)</f>
        <v>9.38321269125306</v>
      </c>
      <c r="H3993" s="6" t="n">
        <f aca="false">Sens!G3993*(1+Sens!H3994)</f>
        <v>10.0139193587476</v>
      </c>
      <c r="I3993" s="6" t="n">
        <f aca="false">Sens!H3993*(1+Sens!I3994)</f>
        <v>10.6963111830911</v>
      </c>
      <c r="J3993" s="6" t="n">
        <f aca="false">Sens!I3993*(1+Sens!J3994)</f>
        <v>11.4351285534696</v>
      </c>
      <c r="K3993" s="6" t="n">
        <f aca="false">Sens!J3993*(1+Sens!K3994)</f>
        <v>12.2355875522124</v>
      </c>
    </row>
    <row r="3994" customFormat="false" ht="15" hidden="false" customHeight="false" outlineLevel="0" collapsed="false">
      <c r="A3994" s="1" t="s">
        <v>876</v>
      </c>
      <c r="B3994" s="0" t="s">
        <v>129</v>
      </c>
      <c r="E3994" s="7" t="n">
        <f aca="false">Sens!E3993/Sens!D3993-1</f>
        <v>0.0644329896907216</v>
      </c>
      <c r="F3994" s="7" t="n">
        <f aca="false">Sens!$E$3994+(glt_fro-Sens!$E$3994)*MIN(1,(Sens!F3942-base_fy)/n_conv)</f>
        <v>0.065360824742268</v>
      </c>
      <c r="G3994" s="7" t="n">
        <f aca="false">Sens!$E$3994+(glt_fro-Sens!$E$3994)*MIN(1,(Sens!G3942-base_fy)/n_conv)</f>
        <v>0.0662886597938144</v>
      </c>
      <c r="H3994" s="7" t="n">
        <f aca="false">Sens!$E$3994+(glt_fro-Sens!$E$3994)*MIN(1,(Sens!H3942-base_fy)/n_conv)</f>
        <v>0.0672164948453608</v>
      </c>
      <c r="I3994" s="7" t="n">
        <f aca="false">Sens!$E$3994+(glt_fro-Sens!$E$3994)*MIN(1,(Sens!I3942-base_fy)/n_conv)</f>
        <v>0.0681443298969072</v>
      </c>
      <c r="J3994" s="7" t="n">
        <f aca="false">Sens!$E$3994+(glt_fro-Sens!$E$3994)*MIN(1,(Sens!J3942-base_fy)/n_conv)</f>
        <v>0.0690721649484536</v>
      </c>
      <c r="K3994" s="7" t="n">
        <f aca="false">Sens!$E$3994+(glt_fro-Sens!$E$3994)*MIN(1,(Sens!K3942-base_fy)/n_conv)</f>
        <v>0.07</v>
      </c>
    </row>
    <row r="3995" customFormat="false" ht="15" hidden="false" customHeight="false" outlineLevel="0" collapsed="false">
      <c r="A3995" s="0" t="s">
        <v>715</v>
      </c>
      <c r="B3995" s="0" t="s">
        <v>98</v>
      </c>
      <c r="D3995" s="6" t="n">
        <f aca="false">Sens!D3983+Sens!D3988+Sens!D3989+Sens!D3991+Sens!D3993</f>
        <v>218.783</v>
      </c>
      <c r="E3995" s="6" t="n">
        <f aca="false">Sens!E3983+Sens!E3988+Sens!E3989+Sens!E3991+Sens!E3993</f>
        <v>268.127</v>
      </c>
      <c r="F3995" s="6" t="n">
        <f aca="false">Sens!F3983+Sens!F3988+Sens!F3989+Sens!F3991+Sens!F3993</f>
        <v>331.564007727615</v>
      </c>
      <c r="G3995" s="6" t="n">
        <f aca="false">Sens!G3983+Sens!G3988+Sens!G3989+Sens!G3991+Sens!G3993</f>
        <v>397.959561367711</v>
      </c>
      <c r="H3995" s="6" t="n">
        <f aca="false">Sens!H3983+Sens!H3988+Sens!H3989+Sens!H3991+Sens!H3993</f>
        <v>459.003838182472</v>
      </c>
      <c r="I3995" s="6" t="n">
        <f aca="false">Sens!I3983+Sens!I3988+Sens!I3989+Sens!I3991+Sens!I3993</f>
        <v>522.512540286013</v>
      </c>
      <c r="J3995" s="6" t="n">
        <f aca="false">Sens!J3983+Sens!J3988+Sens!J3989+Sens!J3991+Sens!J3993</f>
        <v>574.501293666293</v>
      </c>
      <c r="K3995" s="6" t="n">
        <f aca="false">Sens!K3983+Sens!K3988+Sens!K3989+Sens!K3991+Sens!K3993</f>
        <v>615.611356367256</v>
      </c>
    </row>
    <row r="3996" customFormat="false" ht="15" hidden="false" customHeight="false" outlineLevel="0" collapsed="false">
      <c r="A3996" s="0" t="s">
        <v>887</v>
      </c>
      <c r="B3996" s="0" t="s">
        <v>98</v>
      </c>
      <c r="D3996" s="6" t="n">
        <f aca="false">Q!L13</f>
        <v>22.171</v>
      </c>
      <c r="E3996" s="6" t="n">
        <f aca="false">Q!M13</f>
        <v>24.835</v>
      </c>
      <c r="F3996" s="6" t="n">
        <f aca="false">Sens!E3996*(1+Sens!F3997)</f>
        <v>27.6114901218559</v>
      </c>
      <c r="G3996" s="6" t="n">
        <f aca="false">Sens!F3996*(1+Sens!G3997)</f>
        <v>30.4675667338515</v>
      </c>
      <c r="H3996" s="6" t="n">
        <f aca="false">Sens!G3996*(1+Sens!H3997)</f>
        <v>33.3643766955789</v>
      </c>
      <c r="I3996" s="6" t="n">
        <f aca="false">Sens!H3996*(1+Sens!I3997)</f>
        <v>36.2577016533691</v>
      </c>
      <c r="J3996" s="6" t="n">
        <f aca="false">Sens!I3996*(1+Sens!J3997)</f>
        <v>39.0988367952171</v>
      </c>
      <c r="K3996" s="6" t="n">
        <f aca="false">Sens!J3996*(1+Sens!K3997)</f>
        <v>41.8357553708823</v>
      </c>
    </row>
    <row r="3997" customFormat="false" ht="15" hidden="false" customHeight="false" outlineLevel="0" collapsed="false">
      <c r="A3997" s="1" t="s">
        <v>876</v>
      </c>
      <c r="B3997" s="0" t="s">
        <v>129</v>
      </c>
      <c r="E3997" s="7" t="n">
        <f aca="false">Sens!E3996/Sens!D3996-1</f>
        <v>0.120156961796942</v>
      </c>
      <c r="F3997" s="7" t="n">
        <f aca="false">Sens!$E$3997+(glt_srch-Sens!$E$3997)*MIN(1,(Sens!F3942-base_fy)/n_conv)</f>
        <v>0.111797468164118</v>
      </c>
      <c r="G3997" s="7" t="n">
        <f aca="false">Sens!$E$3997+(glt_srch-Sens!$E$3997)*MIN(1,(Sens!G3942-base_fy)/n_conv)</f>
        <v>0.103437974531295</v>
      </c>
      <c r="H3997" s="7" t="n">
        <f aca="false">Sens!$E$3997+(glt_srch-Sens!$E$3997)*MIN(1,(Sens!H3942-base_fy)/n_conv)</f>
        <v>0.095078480898471</v>
      </c>
      <c r="I3997" s="7" t="n">
        <f aca="false">Sens!$E$3997+(glt_srch-Sens!$E$3997)*MIN(1,(Sens!I3942-base_fy)/n_conv)</f>
        <v>0.0867189872656474</v>
      </c>
      <c r="J3997" s="7" t="n">
        <f aca="false">Sens!$E$3997+(glt_srch-Sens!$E$3997)*MIN(1,(Sens!J3942-base_fy)/n_conv)</f>
        <v>0.0783594936328237</v>
      </c>
      <c r="K3997" s="7" t="n">
        <f aca="false">Sens!$E$3997+(glt_srch-Sens!$E$3997)*MIN(1,(Sens!K3942-base_fy)/n_conv)</f>
        <v>0.07</v>
      </c>
    </row>
    <row r="3998" customFormat="false" ht="15" hidden="false" customHeight="false" outlineLevel="0" collapsed="false">
      <c r="A3998" s="0" t="s">
        <v>888</v>
      </c>
      <c r="B3998" s="0" t="s">
        <v>98</v>
      </c>
      <c r="D3998" s="6" t="n">
        <f aca="false">Q!L14</f>
        <v>23.455</v>
      </c>
      <c r="E3998" s="6" t="n">
        <f aca="false">Q!M14</f>
        <v>21.79</v>
      </c>
      <c r="F3998" s="6" t="n">
        <f aca="false">Sens!E3998*(1+Sens!F3999)</f>
        <v>20.5736277908051</v>
      </c>
      <c r="G3998" s="6" t="n">
        <f aca="false">Sens!F3998*(1+Sens!G3999)</f>
        <v>19.7371452817919</v>
      </c>
      <c r="H3998" s="6" t="n">
        <f aca="false">Sens!G3998*(1+Sens!H3999)</f>
        <v>19.2339764043138</v>
      </c>
      <c r="I3998" s="6" t="n">
        <f aca="false">Sens!H3998*(1+Sens!I3999)</f>
        <v>19.0353086852681</v>
      </c>
      <c r="J3998" s="6" t="n">
        <f aca="false">Sens!I3998*(1+Sens!J3999)</f>
        <v>19.1273539319129</v>
      </c>
      <c r="K3998" s="6" t="n">
        <f aca="false">Sens!J3998*(1+Sens!K3999)</f>
        <v>19.5099010105511</v>
      </c>
    </row>
    <row r="3999" customFormat="false" ht="15" hidden="false" customHeight="false" outlineLevel="0" collapsed="false">
      <c r="A3999" s="1" t="s">
        <v>876</v>
      </c>
      <c r="B3999" s="0" t="s">
        <v>129</v>
      </c>
      <c r="E3999" s="7" t="n">
        <f aca="false">Sens!E3998/Sens!D3998-1</f>
        <v>-0.0709869963760392</v>
      </c>
      <c r="F3999" s="7" t="n">
        <f aca="false">Sens!$E$3999+(glt_xbox-Sens!$E$3999)*MIN(1,(Sens!F3942-base_fy)/n_conv)</f>
        <v>-0.0558224969800327</v>
      </c>
      <c r="G3999" s="7" t="n">
        <f aca="false">Sens!$E$3999+(glt_xbox-Sens!$E$3999)*MIN(1,(Sens!G3942-base_fy)/n_conv)</f>
        <v>-0.0406579975840262</v>
      </c>
      <c r="H3999" s="7" t="n">
        <f aca="false">Sens!$E$3999+(glt_xbox-Sens!$E$3999)*MIN(1,(Sens!H3942-base_fy)/n_conv)</f>
        <v>-0.0254934981880196</v>
      </c>
      <c r="I3999" s="7" t="n">
        <f aca="false">Sens!$E$3999+(glt_xbox-Sens!$E$3999)*MIN(1,(Sens!I3942-base_fy)/n_conv)</f>
        <v>-0.0103289987920131</v>
      </c>
      <c r="J3999" s="7" t="n">
        <f aca="false">Sens!$E$3999+(glt_xbox-Sens!$E$3999)*MIN(1,(Sens!J3942-base_fy)/n_conv)</f>
        <v>0.00483550060399347</v>
      </c>
      <c r="K3999" s="7" t="n">
        <f aca="false">Sens!$E$3999+(glt_xbox-Sens!$E$3999)*MIN(1,(Sens!K3942-base_fy)/n_conv)</f>
        <v>0.02</v>
      </c>
    </row>
    <row r="4000" customFormat="false" ht="15" hidden="false" customHeight="false" outlineLevel="0" collapsed="false">
      <c r="A4000" s="0" t="s">
        <v>889</v>
      </c>
      <c r="B4000" s="0" t="s">
        <v>98</v>
      </c>
      <c r="D4000" s="6" t="n">
        <f aca="false">Q!L15</f>
        <v>17.315</v>
      </c>
      <c r="E4000" s="6" t="n">
        <f aca="false">Q!M15</f>
        <v>17.087</v>
      </c>
      <c r="F4000" s="6" t="n">
        <f aca="false">Sens!E4000*(1+Sens!F4001)</f>
        <v>16.9564585436519</v>
      </c>
      <c r="G4000" s="6" t="n">
        <f aca="false">Sens!F4000*(1+Sens!G4001)</f>
        <v>16.9206490624268</v>
      </c>
      <c r="H4000" s="6" t="n">
        <f aca="false">Sens!G4000*(1+Sens!H4001)</f>
        <v>16.9784519149849</v>
      </c>
      <c r="I4000" s="6" t="n">
        <f aca="false">Sens!H4000*(1+Sens!I4001)</f>
        <v>17.1303084701817</v>
      </c>
      <c r="J4000" s="6" t="n">
        <f aca="false">Sens!I4000*(1+Sens!J4001)</f>
        <v>17.3782189407267</v>
      </c>
      <c r="K4000" s="6" t="n">
        <f aca="false">Sens!J4000*(1+Sens!K4001)</f>
        <v>17.7257833195413</v>
      </c>
    </row>
    <row r="4001" customFormat="false" ht="15" hidden="false" customHeight="false" outlineLevel="0" collapsed="false">
      <c r="A4001" s="1" t="s">
        <v>876</v>
      </c>
      <c r="B4001" s="0" t="s">
        <v>129</v>
      </c>
      <c r="E4001" s="7" t="n">
        <f aca="false">Sens!E4000/Sens!D4000-1</f>
        <v>-0.0131677736066995</v>
      </c>
      <c r="F4001" s="7" t="n">
        <f aca="false">Sens!$E$4001+(glt_win-Sens!$E$4001)*MIN(1,(Sens!F3942-base_fy)/n_conv)</f>
        <v>-0.00763981133891627</v>
      </c>
      <c r="G4001" s="7" t="n">
        <f aca="false">Sens!$E$4001+(glt_win-Sens!$E$4001)*MIN(1,(Sens!G3942-base_fy)/n_conv)</f>
        <v>-0.00211184907113301</v>
      </c>
      <c r="H4001" s="7" t="n">
        <f aca="false">Sens!$E$4001+(glt_win-Sens!$E$4001)*MIN(1,(Sens!H3942-base_fy)/n_conv)</f>
        <v>0.00341611319665024</v>
      </c>
      <c r="I4001" s="7" t="n">
        <f aca="false">Sens!$E$4001+(glt_win-Sens!$E$4001)*MIN(1,(Sens!I3942-base_fy)/n_conv)</f>
        <v>0.00894407546443349</v>
      </c>
      <c r="J4001" s="7" t="n">
        <f aca="false">Sens!$E$4001+(glt_win-Sens!$E$4001)*MIN(1,(Sens!J3942-base_fy)/n_conv)</f>
        <v>0.0144720377322168</v>
      </c>
      <c r="K4001" s="7" t="n">
        <f aca="false">Sens!$E$4001+(glt_win-Sens!$E$4001)*MIN(1,(Sens!K3942-base_fy)/n_conv)</f>
        <v>0.02</v>
      </c>
    </row>
    <row r="4002" customFormat="false" ht="15" hidden="false" customHeight="false" outlineLevel="0" collapsed="false">
      <c r="A4002" s="0" t="s">
        <v>729</v>
      </c>
      <c r="B4002" s="0" t="s">
        <v>98</v>
      </c>
      <c r="D4002" s="6" t="n">
        <f aca="false">Sens!D3996+Sens!D3998+Sens!D4000</f>
        <v>62.941</v>
      </c>
      <c r="E4002" s="6" t="n">
        <f aca="false">Sens!E3996+Sens!E3998+Sens!E4000</f>
        <v>63.712</v>
      </c>
      <c r="F4002" s="6" t="n">
        <f aca="false">Sens!F3996+Sens!F3998+Sens!F4000</f>
        <v>65.1415764563129</v>
      </c>
      <c r="G4002" s="6" t="n">
        <f aca="false">Sens!G3996+Sens!G3998+Sens!G4000</f>
        <v>67.1253610780702</v>
      </c>
      <c r="H4002" s="6" t="n">
        <f aca="false">Sens!H3996+Sens!H3998+Sens!H4000</f>
        <v>69.5768050148776</v>
      </c>
      <c r="I4002" s="6" t="n">
        <f aca="false">Sens!I3996+Sens!I3998+Sens!I4000</f>
        <v>72.4233188088189</v>
      </c>
      <c r="J4002" s="6" t="n">
        <f aca="false">Sens!J3996+Sens!J3998+Sens!J4000</f>
        <v>75.6044096678567</v>
      </c>
      <c r="K4002" s="6" t="n">
        <f aca="false">Sens!K3996+Sens!K3998+Sens!K4000</f>
        <v>79.0714397009747</v>
      </c>
    </row>
    <row r="4003" customFormat="false" ht="15" hidden="false" customHeight="false" outlineLevel="0" collapsed="false">
      <c r="A4003" s="1" t="s">
        <v>890</v>
      </c>
      <c r="B4003" s="0" t="s">
        <v>98</v>
      </c>
      <c r="D4003" s="6" t="n">
        <f aca="false">Sens!D3995+Sens!D4002</f>
        <v>281.724</v>
      </c>
      <c r="E4003" s="6" t="n">
        <f aca="false">Sens!E3995+Sens!E4002</f>
        <v>331.839</v>
      </c>
      <c r="F4003" s="6" t="n">
        <f aca="false">Sens!F3995+Sens!F4002</f>
        <v>396.705584183928</v>
      </c>
      <c r="G4003" s="6" t="n">
        <f aca="false">Sens!G3995+Sens!G4002</f>
        <v>465.084922445781</v>
      </c>
      <c r="H4003" s="6" t="n">
        <f aca="false">Sens!H3995+Sens!H4002</f>
        <v>528.58064319735</v>
      </c>
      <c r="I4003" s="6" t="n">
        <f aca="false">Sens!I3995+Sens!I4002</f>
        <v>594.935859094832</v>
      </c>
      <c r="J4003" s="6" t="n">
        <f aca="false">Sens!J3995+Sens!J4002</f>
        <v>650.105703334149</v>
      </c>
      <c r="K4003" s="6" t="n">
        <f aca="false">Sens!K3995+Sens!K4002</f>
        <v>694.682796068231</v>
      </c>
    </row>
    <row r="4004" customFormat="false" ht="15" hidden="false" customHeight="false" outlineLevel="0" collapsed="false">
      <c r="A4004" s="23" t="s">
        <v>891</v>
      </c>
      <c r="B4004" s="30" t="s">
        <v>98</v>
      </c>
      <c r="C4004" s="30"/>
      <c r="D4004" s="24" t="n">
        <f aca="false">(Sens!D3983+Sens!D3988+Sens!D3989+Sens!D3991+Sens!D3993-Sens!D3995)+(Sens!D3996+Sens!D3998+Sens!D4000-Sens!D4002)+(Sens!D3995-Q!L5)+(Sens!D4002-Q!L12)+(Sens!D3983-Q!L6)+(Sens!D3988-Q!L7)</f>
        <v>0</v>
      </c>
      <c r="E4004" s="24" t="n">
        <f aca="false">(Sens!E3983+Sens!E3988+Sens!E3989+Sens!E3991+Sens!E3993-Sens!E3995)+(Sens!E3996+Sens!E3998+Sens!E4000-Sens!E4002)+(Sens!E3995-Q!M5)+(Sens!E4002-Q!M12)+(Sens!E3983-Q!M6)+(Sens!E3988-Q!M7)</f>
        <v>0</v>
      </c>
      <c r="F4004" s="24" t="n">
        <f aca="false">(Sens!F3983+Sens!F3988+Sens!F3989+Sens!F3991+Sens!F3993-Sens!F3995)+(Sens!F3996+Sens!F3998+Sens!F4000-Sens!F4002)</f>
        <v>0</v>
      </c>
      <c r="G4004" s="24" t="n">
        <f aca="false">(Sens!G3983+Sens!G3988+Sens!G3989+Sens!G3991+Sens!G3993-Sens!G3995)+(Sens!G3996+Sens!G3998+Sens!G4000-Sens!G4002)</f>
        <v>0</v>
      </c>
      <c r="H4004" s="24" t="n">
        <f aca="false">(Sens!H3983+Sens!H3988+Sens!H3989+Sens!H3991+Sens!H3993-Sens!H3995)+(Sens!H3996+Sens!H3998+Sens!H4000-Sens!H4002)</f>
        <v>0</v>
      </c>
      <c r="I4004" s="24" t="n">
        <f aca="false">(Sens!I3983+Sens!I3988+Sens!I3989+Sens!I3991+Sens!I3993-Sens!I3995)+(Sens!I3996+Sens!I3998+Sens!I4000-Sens!I4002)</f>
        <v>0</v>
      </c>
      <c r="J4004" s="24" t="n">
        <f aca="false">(Sens!J3983+Sens!J3988+Sens!J3989+Sens!J3991+Sens!J3993-Sens!J3995)+(Sens!J3996+Sens!J3998+Sens!J4000-Sens!J4002)</f>
        <v>0</v>
      </c>
      <c r="K4004" s="24" t="n">
        <f aca="false">(Sens!K3983+Sens!K3988+Sens!K3989+Sens!K3991+Sens!K3993-Sens!K3995)+(Sens!K3996+Sens!K3998+Sens!K4000-Sens!K4002)</f>
        <v>0</v>
      </c>
    </row>
    <row r="4005" customFormat="false" ht="17.15" hidden="false" customHeight="false" outlineLevel="0" collapsed="false">
      <c r="A4005" s="3" t="s">
        <v>1364</v>
      </c>
    </row>
    <row r="4006" customFormat="false" ht="15" hidden="false" customHeight="false" outlineLevel="0" collapsed="false">
      <c r="A4006" s="4" t="s">
        <v>43</v>
      </c>
      <c r="B4006" s="4" t="s">
        <v>65</v>
      </c>
      <c r="C4006" s="20" t="s">
        <v>799</v>
      </c>
      <c r="D4006" s="20" t="s">
        <v>800</v>
      </c>
      <c r="E4006" s="20" t="s">
        <v>801</v>
      </c>
      <c r="F4006" s="20" t="s">
        <v>802</v>
      </c>
      <c r="G4006" s="20" t="s">
        <v>803</v>
      </c>
      <c r="H4006" s="20" t="s">
        <v>804</v>
      </c>
      <c r="I4006" s="20" t="s">
        <v>805</v>
      </c>
      <c r="J4006" s="20" t="s">
        <v>806</v>
      </c>
      <c r="K4006" s="20" t="s">
        <v>807</v>
      </c>
      <c r="L4006" s="4" t="s">
        <v>47</v>
      </c>
    </row>
    <row r="4007" customFormat="false" ht="15" hidden="false" customHeight="false" outlineLevel="0" collapsed="false">
      <c r="A4007" s="0" t="s">
        <v>877</v>
      </c>
      <c r="B4007" s="0" t="s">
        <v>98</v>
      </c>
      <c r="D4007" s="6" t="n">
        <f aca="false">Sens!D3983</f>
        <v>72.61</v>
      </c>
      <c r="E4007" s="6" t="n">
        <f aca="false">Sens!E3983</f>
        <v>101.938</v>
      </c>
      <c r="F4007" s="6" t="n">
        <f aca="false">Sens!F3983</f>
        <v>143.942435788432</v>
      </c>
      <c r="G4007" s="6" t="n">
        <f aca="false">Sens!G3983</f>
        <v>190.866404830282</v>
      </c>
      <c r="H4007" s="6" t="n">
        <f aca="false">Sens!H3983</f>
        <v>232.415155500957</v>
      </c>
      <c r="I4007" s="6" t="n">
        <f aca="false">Sens!I3983</f>
        <v>277.451185306527</v>
      </c>
      <c r="J4007" s="6" t="n">
        <f aca="false">Sens!J3983</f>
        <v>312.310396562124</v>
      </c>
      <c r="K4007" s="6" t="n">
        <f aca="false">Sens!K3983</f>
        <v>337.21728702708</v>
      </c>
    </row>
    <row r="4008" customFormat="false" ht="17.15" hidden="false" customHeight="false" outlineLevel="0" collapsed="false">
      <c r="A4008" s="0" t="s">
        <v>874</v>
      </c>
      <c r="B4008" s="0" t="s">
        <v>98</v>
      </c>
      <c r="D4008" s="6" t="n">
        <f aca="false">Sens!D3980</f>
        <v>12.9359794422418</v>
      </c>
      <c r="E4008" s="6" t="n">
        <f aca="false">Sens!E3980</f>
        <v>27.8095064661409</v>
      </c>
      <c r="F4008" s="6" t="n">
        <f aca="false">Sens!F3980</f>
        <v>53.8624860510656</v>
      </c>
      <c r="G4008" s="6" t="n">
        <f aca="false">Sens!G3980</f>
        <v>83.8379796269722</v>
      </c>
      <c r="H4008" s="6" t="n">
        <f aca="false">Sens!H3980</f>
        <v>108.143172915321</v>
      </c>
      <c r="I4008" s="6" t="n">
        <f aca="false">Sens!I3980</f>
        <v>136.517482924672</v>
      </c>
      <c r="J4008" s="6" t="n">
        <f aca="false">Sens!J3980</f>
        <v>156.291529247792</v>
      </c>
      <c r="K4008" s="6" t="n">
        <f aca="false">Sens!K3980</f>
        <v>168.716910327602</v>
      </c>
    </row>
    <row r="4009" customFormat="false" ht="17.15" hidden="false" customHeight="false" outlineLevel="0" collapsed="false">
      <c r="A4009" s="0" t="s">
        <v>902</v>
      </c>
      <c r="B4009" s="0" t="s">
        <v>98</v>
      </c>
      <c r="D4009" s="6" t="n">
        <f aca="false">Sens!D3981</f>
        <v>59.6740205577583</v>
      </c>
      <c r="E4009" s="6" t="n">
        <f aca="false">Sens!E3981</f>
        <v>74.1284935338591</v>
      </c>
      <c r="F4009" s="6" t="n">
        <f aca="false">Sens!F3981</f>
        <v>90.0799497373663</v>
      </c>
      <c r="G4009" s="6" t="n">
        <f aca="false">Sens!G3981</f>
        <v>107.02842520331</v>
      </c>
      <c r="H4009" s="6" t="n">
        <f aca="false">Sens!H3981</f>
        <v>124.271982585636</v>
      </c>
      <c r="I4009" s="6" t="n">
        <f aca="false">Sens!I3981</f>
        <v>140.933702381855</v>
      </c>
      <c r="J4009" s="6" t="n">
        <f aca="false">Sens!J3981</f>
        <v>156.018867314332</v>
      </c>
      <c r="K4009" s="6" t="n">
        <f aca="false">Sens!K3981</f>
        <v>168.500376699478</v>
      </c>
    </row>
    <row r="4010" customFormat="false" ht="15" hidden="false" customHeight="false" outlineLevel="0" collapsed="false">
      <c r="A4010" s="0" t="s">
        <v>883</v>
      </c>
      <c r="B4010" s="0" t="s">
        <v>98</v>
      </c>
      <c r="D4010" s="6" t="n">
        <f aca="false">Sens!D3988</f>
        <v>84.605</v>
      </c>
      <c r="E4010" s="6" t="n">
        <f aca="false">Sens!E3988</f>
        <v>100.299</v>
      </c>
      <c r="F4010" s="6" t="n">
        <f aca="false">Sens!F3988</f>
        <v>117.39238776686</v>
      </c>
      <c r="G4010" s="6" t="n">
        <f aca="false">Sens!G3988</f>
        <v>132.544168448684</v>
      </c>
      <c r="H4010" s="6" t="n">
        <f aca="false">Sens!H3988</f>
        <v>147.777359388781</v>
      </c>
      <c r="I4010" s="6" t="n">
        <f aca="false">Sens!I3988</f>
        <v>162.084028071957</v>
      </c>
      <c r="J4010" s="6" t="n">
        <f aca="false">Sens!J3988</f>
        <v>175.182702785465</v>
      </c>
      <c r="K4010" s="6" t="n">
        <f aca="false">Sens!K3988</f>
        <v>187.527991980448</v>
      </c>
    </row>
    <row r="4011" customFormat="false" ht="17.15" hidden="false" customHeight="false" outlineLevel="0" collapsed="false">
      <c r="A4011" s="0" t="s">
        <v>903</v>
      </c>
      <c r="B4011" s="0" t="s">
        <v>98</v>
      </c>
      <c r="D4011" s="6" t="n">
        <f aca="false">Sens!D3986</f>
        <v>83.705</v>
      </c>
      <c r="E4011" s="6" t="n">
        <f aca="false">Sens!E3986</f>
        <v>95.049</v>
      </c>
      <c r="F4011" s="6" t="n">
        <f aca="false">Sens!F3986</f>
        <v>106.89238776686</v>
      </c>
      <c r="G4011" s="6" t="n">
        <f aca="false">Sens!G3986</f>
        <v>119.044168448684</v>
      </c>
      <c r="H4011" s="6" t="n">
        <f aca="false">Sens!H3986</f>
        <v>131.277359388781</v>
      </c>
      <c r="I4011" s="6" t="n">
        <f aca="false">Sens!I3986</f>
        <v>143.334028071957</v>
      </c>
      <c r="J4011" s="6" t="n">
        <f aca="false">Sens!J3986</f>
        <v>154.932702785465</v>
      </c>
      <c r="K4011" s="6" t="n">
        <f aca="false">Sens!K3986</f>
        <v>165.777991980448</v>
      </c>
    </row>
    <row r="4012" customFormat="false" ht="17.15" hidden="false" customHeight="false" outlineLevel="0" collapsed="false">
      <c r="A4012" s="0" t="s">
        <v>904</v>
      </c>
      <c r="B4012" s="0" t="s">
        <v>98</v>
      </c>
      <c r="D4012" s="6" t="n">
        <f aca="false">Sens!D3985</f>
        <v>0.9</v>
      </c>
      <c r="E4012" s="6" t="n">
        <f aca="false">Sens!E3985</f>
        <v>5.25</v>
      </c>
      <c r="F4012" s="6" t="n">
        <f aca="false">Sens!F3985</f>
        <v>10.5</v>
      </c>
      <c r="G4012" s="6" t="n">
        <f aca="false">Sens!G3985</f>
        <v>13.5</v>
      </c>
      <c r="H4012" s="6" t="n">
        <f aca="false">Sens!H3985</f>
        <v>16.5</v>
      </c>
      <c r="I4012" s="6" t="n">
        <f aca="false">Sens!I3985</f>
        <v>18.75</v>
      </c>
      <c r="J4012" s="6" t="n">
        <f aca="false">Sens!J3985</f>
        <v>20.25</v>
      </c>
      <c r="K4012" s="6" t="n">
        <f aca="false">Sens!K3985</f>
        <v>21.75</v>
      </c>
    </row>
    <row r="4013" customFormat="false" ht="15" hidden="false" customHeight="false" outlineLevel="0" collapsed="false">
      <c r="A4013" s="0" t="s">
        <v>884</v>
      </c>
      <c r="B4013" s="0" t="s">
        <v>98</v>
      </c>
      <c r="D4013" s="6" t="n">
        <f aca="false">Sens!D3989</f>
        <v>35.391</v>
      </c>
      <c r="E4013" s="6" t="n">
        <f aca="false">Sens!E3989</f>
        <v>37.285</v>
      </c>
      <c r="F4013" s="6" t="n">
        <f aca="false">Sens!F3989</f>
        <v>39.0720834331704</v>
      </c>
      <c r="G4013" s="6" t="n">
        <f aca="false">Sens!G3989</f>
        <v>40.726562953769</v>
      </c>
      <c r="H4013" s="6" t="n">
        <f aca="false">Sens!H3989</f>
        <v>42.2235987259198</v>
      </c>
      <c r="I4013" s="6" t="n">
        <f aca="false">Sens!I3989</f>
        <v>43.5397988077414</v>
      </c>
      <c r="J4013" s="6" t="n">
        <f aca="false">Sens!J3989</f>
        <v>44.653811225693</v>
      </c>
      <c r="K4013" s="6" t="n">
        <f aca="false">Sens!K3989</f>
        <v>45.5468874502068</v>
      </c>
    </row>
    <row r="4014" customFormat="false" ht="15" hidden="false" customHeight="false" outlineLevel="0" collapsed="false">
      <c r="A4014" s="0" t="s">
        <v>885</v>
      </c>
      <c r="B4014" s="0" t="s">
        <v>98</v>
      </c>
      <c r="D4014" s="6" t="n">
        <f aca="false">Sens!D3991</f>
        <v>18.417</v>
      </c>
      <c r="E4014" s="6" t="n">
        <f aca="false">Sens!E3991</f>
        <v>20.345</v>
      </c>
      <c r="F4014" s="6" t="n">
        <f aca="false">Sens!F3991</f>
        <v>22.3572203267814</v>
      </c>
      <c r="G4014" s="6" t="n">
        <f aca="false">Sens!G3991</f>
        <v>24.4392124437232</v>
      </c>
      <c r="H4014" s="6" t="n">
        <f aca="false">Sens!H3991</f>
        <v>26.5738052080665</v>
      </c>
      <c r="I4014" s="6" t="n">
        <f aca="false">Sens!I3991</f>
        <v>28.7412169166967</v>
      </c>
      <c r="J4014" s="6" t="n">
        <f aca="false">Sens!J3991</f>
        <v>30.9192545395413</v>
      </c>
      <c r="K4014" s="6" t="n">
        <f aca="false">Sens!K3991</f>
        <v>33.0836023573092</v>
      </c>
    </row>
    <row r="4015" customFormat="false" ht="15" hidden="false" customHeight="false" outlineLevel="0" collapsed="false">
      <c r="A4015" s="0" t="s">
        <v>886</v>
      </c>
      <c r="B4015" s="0" t="s">
        <v>98</v>
      </c>
      <c r="D4015" s="6" t="n">
        <f aca="false">Sens!D3993</f>
        <v>7.76</v>
      </c>
      <c r="E4015" s="6" t="n">
        <f aca="false">Sens!E3993</f>
        <v>8.26</v>
      </c>
      <c r="F4015" s="6" t="n">
        <f aca="false">Sens!F3993</f>
        <v>8.79988041237113</v>
      </c>
      <c r="G4015" s="6" t="n">
        <f aca="false">Sens!G3993</f>
        <v>9.38321269125306</v>
      </c>
      <c r="H4015" s="6" t="n">
        <f aca="false">Sens!H3993</f>
        <v>10.0139193587476</v>
      </c>
      <c r="I4015" s="6" t="n">
        <f aca="false">Sens!I3993</f>
        <v>10.6963111830911</v>
      </c>
      <c r="J4015" s="6" t="n">
        <f aca="false">Sens!J3993</f>
        <v>11.4351285534696</v>
      </c>
      <c r="K4015" s="6" t="n">
        <f aca="false">Sens!K3993</f>
        <v>12.2355875522124</v>
      </c>
    </row>
    <row r="4016" customFormat="false" ht="15" hidden="false" customHeight="false" outlineLevel="0" collapsed="false">
      <c r="A4016" s="0" t="s">
        <v>715</v>
      </c>
      <c r="B4016" s="0" t="s">
        <v>98</v>
      </c>
      <c r="D4016" s="6" t="n">
        <f aca="false">Sens!D3995</f>
        <v>218.783</v>
      </c>
      <c r="E4016" s="6" t="n">
        <f aca="false">Sens!E3995</f>
        <v>268.127</v>
      </c>
      <c r="F4016" s="6" t="n">
        <f aca="false">Sens!F3995</f>
        <v>331.564007727615</v>
      </c>
      <c r="G4016" s="6" t="n">
        <f aca="false">Sens!G3995</f>
        <v>397.959561367711</v>
      </c>
      <c r="H4016" s="6" t="n">
        <f aca="false">Sens!H3995</f>
        <v>459.003838182472</v>
      </c>
      <c r="I4016" s="6" t="n">
        <f aca="false">Sens!I3995</f>
        <v>522.512540286013</v>
      </c>
      <c r="J4016" s="6" t="n">
        <f aca="false">Sens!J3995</f>
        <v>574.501293666293</v>
      </c>
      <c r="K4016" s="6" t="n">
        <f aca="false">Sens!K3995</f>
        <v>615.611356367256</v>
      </c>
    </row>
    <row r="4017" customFormat="false" ht="15" hidden="false" customHeight="false" outlineLevel="0" collapsed="false">
      <c r="A4017" s="0" t="s">
        <v>887</v>
      </c>
      <c r="B4017" s="0" t="s">
        <v>98</v>
      </c>
      <c r="D4017" s="6" t="n">
        <f aca="false">Sens!D3996</f>
        <v>22.171</v>
      </c>
      <c r="E4017" s="6" t="n">
        <f aca="false">Sens!E3996</f>
        <v>24.835</v>
      </c>
      <c r="F4017" s="6" t="n">
        <f aca="false">Sens!F3996</f>
        <v>27.6114901218559</v>
      </c>
      <c r="G4017" s="6" t="n">
        <f aca="false">Sens!G3996</f>
        <v>30.4675667338515</v>
      </c>
      <c r="H4017" s="6" t="n">
        <f aca="false">Sens!H3996</f>
        <v>33.3643766955789</v>
      </c>
      <c r="I4017" s="6" t="n">
        <f aca="false">Sens!I3996</f>
        <v>36.2577016533691</v>
      </c>
      <c r="J4017" s="6" t="n">
        <f aca="false">Sens!J3996</f>
        <v>39.0988367952171</v>
      </c>
      <c r="K4017" s="6" t="n">
        <f aca="false">Sens!K3996</f>
        <v>41.8357553708823</v>
      </c>
    </row>
    <row r="4018" customFormat="false" ht="15" hidden="false" customHeight="false" outlineLevel="0" collapsed="false">
      <c r="A4018" s="0" t="s">
        <v>888</v>
      </c>
      <c r="B4018" s="0" t="s">
        <v>98</v>
      </c>
      <c r="D4018" s="6" t="n">
        <f aca="false">Sens!D3998</f>
        <v>23.455</v>
      </c>
      <c r="E4018" s="6" t="n">
        <f aca="false">Sens!E3998</f>
        <v>21.79</v>
      </c>
      <c r="F4018" s="6" t="n">
        <f aca="false">Sens!F3998</f>
        <v>20.5736277908051</v>
      </c>
      <c r="G4018" s="6" t="n">
        <f aca="false">Sens!G3998</f>
        <v>19.7371452817919</v>
      </c>
      <c r="H4018" s="6" t="n">
        <f aca="false">Sens!H3998</f>
        <v>19.2339764043138</v>
      </c>
      <c r="I4018" s="6" t="n">
        <f aca="false">Sens!I3998</f>
        <v>19.0353086852681</v>
      </c>
      <c r="J4018" s="6" t="n">
        <f aca="false">Sens!J3998</f>
        <v>19.1273539319129</v>
      </c>
      <c r="K4018" s="6" t="n">
        <f aca="false">Sens!K3998</f>
        <v>19.5099010105511</v>
      </c>
    </row>
    <row r="4019" customFormat="false" ht="15" hidden="false" customHeight="false" outlineLevel="0" collapsed="false">
      <c r="A4019" s="0" t="s">
        <v>889</v>
      </c>
      <c r="B4019" s="0" t="s">
        <v>98</v>
      </c>
      <c r="D4019" s="6" t="n">
        <f aca="false">Sens!D4000</f>
        <v>17.315</v>
      </c>
      <c r="E4019" s="6" t="n">
        <f aca="false">Sens!E4000</f>
        <v>17.087</v>
      </c>
      <c r="F4019" s="6" t="n">
        <f aca="false">Sens!F4000</f>
        <v>16.9564585436519</v>
      </c>
      <c r="G4019" s="6" t="n">
        <f aca="false">Sens!G4000</f>
        <v>16.9206490624268</v>
      </c>
      <c r="H4019" s="6" t="n">
        <f aca="false">Sens!H4000</f>
        <v>16.9784519149849</v>
      </c>
      <c r="I4019" s="6" t="n">
        <f aca="false">Sens!I4000</f>
        <v>17.1303084701817</v>
      </c>
      <c r="J4019" s="6" t="n">
        <f aca="false">Sens!J4000</f>
        <v>17.3782189407267</v>
      </c>
      <c r="K4019" s="6" t="n">
        <f aca="false">Sens!K4000</f>
        <v>17.7257833195413</v>
      </c>
    </row>
    <row r="4020" customFormat="false" ht="15" hidden="false" customHeight="false" outlineLevel="0" collapsed="false">
      <c r="A4020" s="0" t="s">
        <v>729</v>
      </c>
      <c r="B4020" s="0" t="s">
        <v>98</v>
      </c>
      <c r="D4020" s="6" t="n">
        <f aca="false">Sens!D4002</f>
        <v>62.941</v>
      </c>
      <c r="E4020" s="6" t="n">
        <f aca="false">Sens!E4002</f>
        <v>63.712</v>
      </c>
      <c r="F4020" s="6" t="n">
        <f aca="false">Sens!F4002</f>
        <v>65.1415764563129</v>
      </c>
      <c r="G4020" s="6" t="n">
        <f aca="false">Sens!G4002</f>
        <v>67.1253610780702</v>
      </c>
      <c r="H4020" s="6" t="n">
        <f aca="false">Sens!H4002</f>
        <v>69.5768050148776</v>
      </c>
      <c r="I4020" s="6" t="n">
        <f aca="false">Sens!I4002</f>
        <v>72.4233188088189</v>
      </c>
      <c r="J4020" s="6" t="n">
        <f aca="false">Sens!J4002</f>
        <v>75.6044096678567</v>
      </c>
      <c r="K4020" s="6" t="n">
        <f aca="false">Sens!K4002</f>
        <v>79.0714397009747</v>
      </c>
    </row>
    <row r="4021" customFormat="false" ht="15" hidden="false" customHeight="false" outlineLevel="0" collapsed="false">
      <c r="A4021" s="1" t="s">
        <v>905</v>
      </c>
      <c r="B4021" s="0" t="s">
        <v>98</v>
      </c>
      <c r="D4021" s="6" t="n">
        <f aca="false">Sens!D4003</f>
        <v>281.724</v>
      </c>
      <c r="E4021" s="6" t="n">
        <f aca="false">Sens!E4003</f>
        <v>331.839</v>
      </c>
      <c r="F4021" s="6" t="n">
        <f aca="false">Sens!F4003</f>
        <v>396.705584183928</v>
      </c>
      <c r="G4021" s="6" t="n">
        <f aca="false">Sens!G4003</f>
        <v>465.084922445781</v>
      </c>
      <c r="H4021" s="6" t="n">
        <f aca="false">Sens!H4003</f>
        <v>528.58064319735</v>
      </c>
      <c r="I4021" s="6" t="n">
        <f aca="false">Sens!I4003</f>
        <v>594.935859094832</v>
      </c>
      <c r="J4021" s="6" t="n">
        <f aca="false">Sens!J4003</f>
        <v>650.105703334149</v>
      </c>
      <c r="K4021" s="6" t="n">
        <f aca="false">Sens!K4003</f>
        <v>694.682796068231</v>
      </c>
    </row>
    <row r="4022" customFormat="false" ht="15" hidden="false" customHeight="false" outlineLevel="0" collapsed="false">
      <c r="A4022" s="1" t="s">
        <v>906</v>
      </c>
      <c r="B4022" s="0" t="s">
        <v>129</v>
      </c>
      <c r="E4022" s="7" t="n">
        <f aca="false">Sens!E4021/Sens!D4021-1</f>
        <v>0.177886867998467</v>
      </c>
      <c r="F4022" s="7" t="n">
        <f aca="false">Sens!F4021/Sens!E4021-1</f>
        <v>0.19547607178158</v>
      </c>
      <c r="G4022" s="7" t="n">
        <f aca="false">Sens!G4021/Sens!F4021-1</f>
        <v>0.172367975113127</v>
      </c>
      <c r="H4022" s="7" t="n">
        <f aca="false">Sens!H4021/Sens!G4021-1</f>
        <v>0.136525003686764</v>
      </c>
      <c r="I4022" s="7" t="n">
        <f aca="false">Sens!I4021/Sens!H4021-1</f>
        <v>0.125534706485095</v>
      </c>
      <c r="J4022" s="7" t="n">
        <f aca="false">Sens!J4021/Sens!I4021-1</f>
        <v>0.0927324238334797</v>
      </c>
      <c r="K4022" s="7" t="n">
        <f aca="false">Sens!K4021/Sens!J4021-1</f>
        <v>0.0685689919430979</v>
      </c>
    </row>
    <row r="4023" customFormat="false" ht="17.15" hidden="false" customHeight="false" outlineLevel="0" collapsed="false">
      <c r="A4023" s="23" t="s">
        <v>907</v>
      </c>
      <c r="B4023" s="30" t="s">
        <v>98</v>
      </c>
      <c r="C4023" s="30"/>
      <c r="D4023" s="24" t="n">
        <f aca="false">(Sens!D4016+Sens!D4020-Sens!D4021)+(Sens!D4008+Sens!D4009-Sens!D4007)+(Sens!D4011+Sens!D4012-Sens!D4010)+(Sens!D4021-Q!L18)</f>
        <v>0</v>
      </c>
      <c r="E4023" s="24" t="n">
        <f aca="false">(Sens!E4016+Sens!E4020-Sens!E4021)+(Sens!E4008+Sens!E4009-Sens!E4007)+(Sens!E4011+Sens!E4012-Sens!E4010)+(Sens!E4021-Q!M18)</f>
        <v>0</v>
      </c>
      <c r="F4023" s="24" t="n">
        <f aca="false">(Sens!F4016+Sens!F4020-Sens!F4021)+(Sens!F4008+Sens!F4009-Sens!F4007)+(Sens!F4011+Sens!F4012-Sens!F4010)</f>
        <v>0</v>
      </c>
      <c r="G4023" s="24" t="n">
        <f aca="false">(Sens!G4016+Sens!G4020-Sens!G4021)+(Sens!G4008+Sens!G4009-Sens!G4007)+(Sens!G4011+Sens!G4012-Sens!G4010)</f>
        <v>0</v>
      </c>
      <c r="H4023" s="24" t="n">
        <f aca="false">(Sens!H4016+Sens!H4020-Sens!H4021)+(Sens!H4008+Sens!H4009-Sens!H4007)+(Sens!H4011+Sens!H4012-Sens!H4010)</f>
        <v>0</v>
      </c>
      <c r="I4023" s="24" t="n">
        <f aca="false">(Sens!I4016+Sens!I4020-Sens!I4021)+(Sens!I4008+Sens!I4009-Sens!I4007)+(Sens!I4011+Sens!I4012-Sens!I4010)</f>
        <v>0</v>
      </c>
      <c r="J4023" s="24" t="n">
        <f aca="false">(Sens!J4016+Sens!J4020-Sens!J4021)+(Sens!J4008+Sens!J4009-Sens!J4007)+(Sens!J4011+Sens!J4012-Sens!J4010)</f>
        <v>0</v>
      </c>
      <c r="K4023" s="24" t="n">
        <f aca="false">(Sens!K4016+Sens!K4020-Sens!K4021)+(Sens!K4008+Sens!K4009-Sens!K4007)+(Sens!K4011+Sens!K4012-Sens!K4010)</f>
        <v>0</v>
      </c>
    </row>
    <row r="4024" customFormat="false" ht="17.15" hidden="false" customHeight="false" outlineLevel="0" collapsed="false">
      <c r="A4024" s="0" t="s">
        <v>908</v>
      </c>
      <c r="B4024" s="0" t="s">
        <v>129</v>
      </c>
      <c r="E4024" s="7" t="n">
        <f aca="false">(Q!M21+Sens!E3961+Sens!E3962+Sens!E3963+Sens!E3976-Sens!E3959)/(Q!M5-Sens!E3959)</f>
        <v>0.570957350878296</v>
      </c>
      <c r="F4024" s="7" t="n">
        <f aca="false">Sens!$E$4024+dm_seg</f>
        <v>0.570957350878296</v>
      </c>
      <c r="G4024" s="7" t="n">
        <f aca="false">Sens!$E$4024+dm_seg</f>
        <v>0.570957350878296</v>
      </c>
      <c r="H4024" s="7" t="n">
        <f aca="false">Sens!$E$4024+dm_seg</f>
        <v>0.570957350878296</v>
      </c>
      <c r="I4024" s="7" t="n">
        <f aca="false">Sens!$E$4024+dm_seg</f>
        <v>0.570957350878296</v>
      </c>
      <c r="J4024" s="7" t="n">
        <f aca="false">Sens!$E$4024+dm_seg</f>
        <v>0.570957350878296</v>
      </c>
      <c r="K4024" s="7" t="n">
        <f aca="false">Sens!$E$4024+dm_seg</f>
        <v>0.570957350878296</v>
      </c>
      <c r="L4024" s="11" t="s">
        <v>909</v>
      </c>
    </row>
    <row r="4025" customFormat="false" ht="17.15" hidden="false" customHeight="false" outlineLevel="0" collapsed="false">
      <c r="A4025" s="0" t="s">
        <v>743</v>
      </c>
      <c r="B4025" s="0" t="s">
        <v>98</v>
      </c>
      <c r="D4025" s="6" t="n">
        <f aca="false">Q!L21</f>
        <v>110.814</v>
      </c>
      <c r="E4025" s="6" t="n">
        <f aca="false">Q!M21</f>
        <v>136.365</v>
      </c>
      <c r="F4025" s="6" t="n">
        <f aca="false">Sens!F4024*(Sens!F3995-Sens!F3959)+Sens!F3959-(Sens!F3961+Sens!F3962+Sens!F3963)-Sens!F3976-Sens!F4059</f>
        <v>152.585698193015</v>
      </c>
      <c r="G4025" s="6" t="n">
        <f aca="false">Sens!G4024*(Sens!G3995-Sens!G3959)+Sens!G3959-(Sens!G3961+Sens!G3962+Sens!G3963)-Sens!G3976-Sens!G4059</f>
        <v>159.294427121602</v>
      </c>
      <c r="H4025" s="6" t="n">
        <f aca="false">Sens!H4024*(Sens!H3995-Sens!H3959)+Sens!H3959-(Sens!H3961+Sens!H3962+Sens!H3963)-Sens!H3976-Sens!H4059</f>
        <v>158.4497064247</v>
      </c>
      <c r="I4025" s="6" t="n">
        <f aca="false">Sens!I4024*(Sens!I3995-Sens!I3959)+Sens!I3959-(Sens!I3961+Sens!I3962+Sens!I3963)-Sens!I3976-Sens!I4059</f>
        <v>166.348330456691</v>
      </c>
      <c r="J4025" s="6" t="n">
        <f aca="false">Sens!J4024*(Sens!J3995-Sens!J3959)+Sens!J3959-(Sens!J3961+Sens!J3962+Sens!J3963)-Sens!J3976-Sens!J4059</f>
        <v>176.215393688479</v>
      </c>
      <c r="K4025" s="6" t="n">
        <f aca="false">Sens!K4024*(Sens!K3995-Sens!K3959)+Sens!K3959-(Sens!K3961+Sens!K3962+Sens!K3963)-Sens!K3976-Sens!K4059</f>
        <v>188.041177269294</v>
      </c>
      <c r="L4025" s="1" t="s">
        <v>910</v>
      </c>
    </row>
    <row r="4026" customFormat="false" ht="17.15" hidden="false" customHeight="false" outlineLevel="0" collapsed="false">
      <c r="A4026" s="0" t="s">
        <v>911</v>
      </c>
      <c r="B4026" s="0" t="s">
        <v>129</v>
      </c>
      <c r="E4026" s="7" t="n">
        <f aca="false">Q!M22/Q!M12</f>
        <v>0.296207935710698</v>
      </c>
      <c r="F4026" s="7" t="n">
        <f aca="false">Sens!$E$4026+dm_seg</f>
        <v>0.296207935710698</v>
      </c>
      <c r="G4026" s="7" t="n">
        <f aca="false">Sens!$E$4026+dm_seg</f>
        <v>0.296207935710698</v>
      </c>
      <c r="H4026" s="7" t="n">
        <f aca="false">Sens!$E$4026+dm_seg</f>
        <v>0.296207935710698</v>
      </c>
      <c r="I4026" s="7" t="n">
        <f aca="false">Sens!$E$4026+dm_seg</f>
        <v>0.296207935710698</v>
      </c>
      <c r="J4026" s="7" t="n">
        <f aca="false">Sens!$E$4026+dm_seg</f>
        <v>0.296207935710698</v>
      </c>
      <c r="K4026" s="7" t="n">
        <f aca="false">Sens!$E$4026+dm_seg</f>
        <v>0.296207935710698</v>
      </c>
      <c r="L4026" s="11" t="s">
        <v>912</v>
      </c>
    </row>
    <row r="4027" customFormat="false" ht="17.15" hidden="false" customHeight="false" outlineLevel="0" collapsed="false">
      <c r="A4027" s="0" t="s">
        <v>745</v>
      </c>
      <c r="B4027" s="0" t="s">
        <v>98</v>
      </c>
      <c r="D4027" s="6" t="n">
        <f aca="false">Q!L22</f>
        <v>17.714</v>
      </c>
      <c r="E4027" s="6" t="n">
        <f aca="false">Q!M22</f>
        <v>18.872</v>
      </c>
      <c r="F4027" s="6" t="n">
        <f aca="false">Sens!F4002*Sens!F4026</f>
        <v>19.2954518910651</v>
      </c>
      <c r="G4027" s="6" t="n">
        <f aca="false">Sens!G4002*Sens!G4026</f>
        <v>19.8830646387704</v>
      </c>
      <c r="H4027" s="6" t="n">
        <f aca="false">Sens!H4002*Sens!H4026</f>
        <v>20.6092017868026</v>
      </c>
      <c r="I4027" s="6" t="n">
        <f aca="false">Sens!I4002*Sens!I4026</f>
        <v>21.452361761678</v>
      </c>
      <c r="J4027" s="6" t="n">
        <f aca="false">Sens!J4002*Sens!J4026</f>
        <v>22.3946261183418</v>
      </c>
      <c r="K4027" s="6" t="n">
        <f aca="false">Sens!K4002*Sens!K4026</f>
        <v>23.4215879274986</v>
      </c>
    </row>
    <row r="4028" customFormat="false" ht="15" hidden="false" customHeight="false" outlineLevel="0" collapsed="false">
      <c r="A4028" s="1" t="s">
        <v>913</v>
      </c>
      <c r="B4028" s="0" t="s">
        <v>98</v>
      </c>
      <c r="D4028" s="6" t="n">
        <f aca="false">Sens!D4025+Sens!D4027</f>
        <v>128.528</v>
      </c>
      <c r="E4028" s="6" t="n">
        <f aca="false">Sens!E4025+Sens!E4027</f>
        <v>155.237</v>
      </c>
      <c r="F4028" s="6" t="n">
        <f aca="false">Sens!F4025+Sens!F4027</f>
        <v>171.88115008408</v>
      </c>
      <c r="G4028" s="6" t="n">
        <f aca="false">Sens!G4025+Sens!G4027</f>
        <v>179.177491760372</v>
      </c>
      <c r="H4028" s="6" t="n">
        <f aca="false">Sens!H4025+Sens!H4027</f>
        <v>179.058908211503</v>
      </c>
      <c r="I4028" s="6" t="n">
        <f aca="false">Sens!I4025+Sens!I4027</f>
        <v>187.800692218369</v>
      </c>
      <c r="J4028" s="6" t="n">
        <f aca="false">Sens!J4025+Sens!J4027</f>
        <v>198.610019806821</v>
      </c>
      <c r="K4028" s="6" t="n">
        <f aca="false">Sens!K4025+Sens!K4027</f>
        <v>211.462765196793</v>
      </c>
    </row>
    <row r="4029" customFormat="false" ht="15" hidden="false" customHeight="false" outlineLevel="0" collapsed="false">
      <c r="A4029" s="23" t="s">
        <v>914</v>
      </c>
      <c r="B4029" s="30" t="s">
        <v>98</v>
      </c>
      <c r="C4029" s="30"/>
      <c r="D4029" s="24" t="n">
        <f aca="false">Sens!D4028-Q!L23</f>
        <v>0</v>
      </c>
      <c r="E4029" s="24" t="n">
        <f aca="false">Sens!E4028-Q!M23</f>
        <v>0</v>
      </c>
      <c r="F4029" s="30"/>
      <c r="G4029" s="30"/>
      <c r="H4029" s="30"/>
      <c r="I4029" s="30"/>
      <c r="J4029" s="30"/>
      <c r="K4029" s="30"/>
    </row>
    <row r="4030" customFormat="false" ht="15" hidden="false" customHeight="false" outlineLevel="0" collapsed="false">
      <c r="A4030" s="1" t="s">
        <v>915</v>
      </c>
      <c r="B4030" s="0" t="s">
        <v>129</v>
      </c>
      <c r="D4030" s="7" t="n">
        <f aca="false">Sens!D4028/Sens!D4021</f>
        <v>0.456219562408598</v>
      </c>
      <c r="E4030" s="7" t="n">
        <f aca="false">Sens!E4028/Sens!E4021</f>
        <v>0.467808184089272</v>
      </c>
      <c r="F4030" s="7" t="n">
        <f aca="false">Sens!F4028/Sens!F4021</f>
        <v>0.43327131489127</v>
      </c>
      <c r="G4030" s="7" t="n">
        <f aca="false">Sens!G4028/Sens!G4021</f>
        <v>0.385257580095515</v>
      </c>
      <c r="H4030" s="7" t="n">
        <f aca="false">Sens!H4028/Sens!H4021</f>
        <v>0.338754191088775</v>
      </c>
      <c r="I4030" s="7" t="n">
        <f aca="false">Sens!I4028/Sens!I4021</f>
        <v>0.315665444177627</v>
      </c>
      <c r="J4030" s="7" t="n">
        <f aca="false">Sens!J4028/Sens!J4021</f>
        <v>0.305504195376574</v>
      </c>
      <c r="K4030" s="7" t="n">
        <f aca="false">Sens!K4028/Sens!K4021</f>
        <v>0.304401903132812</v>
      </c>
    </row>
    <row r="4031" customFormat="false" ht="17.15" hidden="false" customHeight="false" outlineLevel="0" collapsed="false">
      <c r="A4031" s="1" t="s">
        <v>916</v>
      </c>
      <c r="B4031" s="0" t="s">
        <v>98</v>
      </c>
      <c r="F4031" s="6" t="n">
        <f aca="false">Sens!F4046</f>
        <v>12.0103042294999</v>
      </c>
      <c r="G4031" s="6" t="n">
        <f aca="false">Sens!G4046</f>
        <v>32.2457582105298</v>
      </c>
      <c r="H4031" s="6" t="n">
        <f aca="false">Sens!H4046</f>
        <v>54.1639755910409</v>
      </c>
      <c r="I4031" s="6" t="n">
        <f aca="false">Sens!I4046</f>
        <v>73.7259539506589</v>
      </c>
      <c r="J4031" s="6" t="n">
        <f aca="false">Sens!J4046</f>
        <v>87.3624736516116</v>
      </c>
      <c r="K4031" s="6" t="n">
        <f aca="false">Sens!K4046</f>
        <v>95.3877605536488</v>
      </c>
      <c r="L4031" s="1" t="s">
        <v>917</v>
      </c>
    </row>
    <row r="4032" customFormat="false" ht="17.15" hidden="false" customHeight="false" outlineLevel="0" collapsed="false">
      <c r="A4032" s="1" t="s">
        <v>918</v>
      </c>
      <c r="B4032" s="0" t="s">
        <v>98</v>
      </c>
      <c r="D4032" s="6" t="n">
        <f aca="false">Sens!D4028</f>
        <v>128.528</v>
      </c>
      <c r="E4032" s="6" t="n">
        <f aca="false">Sens!E4028</f>
        <v>155.237</v>
      </c>
      <c r="F4032" s="6" t="n">
        <f aca="false">Sens!F4028+Sens!F4031</f>
        <v>183.89145431358</v>
      </c>
      <c r="G4032" s="6" t="n">
        <f aca="false">Sens!G4028+Sens!G4031</f>
        <v>211.423249970902</v>
      </c>
      <c r="H4032" s="6" t="n">
        <f aca="false">Sens!H4028+Sens!H4031</f>
        <v>233.222883802544</v>
      </c>
      <c r="I4032" s="6" t="n">
        <f aca="false">Sens!I4028+Sens!I4031</f>
        <v>261.526646169027</v>
      </c>
      <c r="J4032" s="6" t="n">
        <f aca="false">Sens!J4028+Sens!J4031</f>
        <v>285.972493458433</v>
      </c>
      <c r="K4032" s="6" t="n">
        <f aca="false">Sens!K4028+Sens!K4031</f>
        <v>306.850525750442</v>
      </c>
    </row>
    <row r="4033" customFormat="false" ht="17.15" hidden="false" customHeight="false" outlineLevel="0" collapsed="false">
      <c r="A4033" s="1" t="s">
        <v>919</v>
      </c>
      <c r="B4033" s="0" t="s">
        <v>98</v>
      </c>
      <c r="E4033" s="6" t="n">
        <f aca="false">Sens!E3976</f>
        <v>16.3054059770833</v>
      </c>
      <c r="F4033" s="6" t="n">
        <f aca="false">Sens!F3976</f>
        <v>36.5856912614356</v>
      </c>
      <c r="G4033" s="6" t="n">
        <f aca="false">Sens!G3976</f>
        <v>66.8830522661911</v>
      </c>
      <c r="H4033" s="6" t="n">
        <f aca="false">Sens!H3976</f>
        <v>99.5657515455511</v>
      </c>
      <c r="I4033" s="6" t="n">
        <f aca="false">Sens!I3976</f>
        <v>128.495157395588</v>
      </c>
      <c r="J4033" s="6" t="n">
        <f aca="false">Sens!J3976</f>
        <v>148.935816845726</v>
      </c>
      <c r="K4033" s="6" t="n">
        <f aca="false">Sens!K3976</f>
        <v>161.53340799432</v>
      </c>
    </row>
    <row r="4034" customFormat="false" ht="17.15" hidden="false" customHeight="false" outlineLevel="0" collapsed="false">
      <c r="A4034" s="1" t="s">
        <v>920</v>
      </c>
      <c r="B4034" s="0" t="s">
        <v>98</v>
      </c>
      <c r="E4034" s="6" t="n">
        <f aca="false">Sens!E4058</f>
        <v>22.2285940229167</v>
      </c>
      <c r="F4034" s="6" t="n">
        <f aca="false">Sens!F4058</f>
        <v>23.5486693435813</v>
      </c>
      <c r="G4034" s="6" t="n">
        <f aca="false">Sens!G4058</f>
        <v>25.264091766262</v>
      </c>
      <c r="H4034" s="6" t="n">
        <f aca="false">Sens!H4058</f>
        <v>27.3438339540448</v>
      </c>
      <c r="I4034" s="6" t="n">
        <f aca="false">Sens!I4058</f>
        <v>29.7317905898047</v>
      </c>
      <c r="J4034" s="6" t="n">
        <f aca="false">Sens!J4058</f>
        <v>32.3542028558616</v>
      </c>
      <c r="K4034" s="6" t="n">
        <f aca="false">Sens!K4058</f>
        <v>35.1281528444749</v>
      </c>
    </row>
    <row r="4035" customFormat="false" ht="17.15" hidden="false" customHeight="false" outlineLevel="0" collapsed="false">
      <c r="A4035" s="1" t="s">
        <v>921</v>
      </c>
      <c r="B4035" s="0" t="s">
        <v>98</v>
      </c>
      <c r="D4035" s="6" t="n">
        <f aca="false">Q!L27</f>
        <v>-4.901</v>
      </c>
      <c r="E4035" s="6" t="n">
        <f aca="false">Q!M27</f>
        <v>10.697</v>
      </c>
      <c r="F4035" s="6" t="n">
        <f aca="false">oie_f</f>
        <v>-0.4</v>
      </c>
      <c r="G4035" s="6" t="n">
        <f aca="false">oie_f</f>
        <v>-0.4</v>
      </c>
      <c r="H4035" s="6" t="n">
        <f aca="false">oie_f</f>
        <v>-0.4</v>
      </c>
      <c r="I4035" s="6" t="n">
        <f aca="false">oie_f</f>
        <v>-0.4</v>
      </c>
      <c r="J4035" s="6" t="n">
        <f aca="false">oie_f</f>
        <v>-0.4</v>
      </c>
      <c r="K4035" s="6" t="n">
        <f aca="false">oie_f</f>
        <v>-0.4</v>
      </c>
      <c r="L4035" s="11" t="s">
        <v>922</v>
      </c>
    </row>
    <row r="4036" customFormat="false" ht="15" hidden="false" customHeight="false" outlineLevel="0" collapsed="false">
      <c r="A4036" s="1" t="s">
        <v>923</v>
      </c>
      <c r="B4036" s="0" t="s">
        <v>98</v>
      </c>
      <c r="D4036" s="6" t="n">
        <f aca="false">Sens!D4028+Sens!D4035</f>
        <v>123.627</v>
      </c>
      <c r="E4036" s="6" t="n">
        <f aca="false">Sens!E4028+Sens!E4035</f>
        <v>165.934</v>
      </c>
      <c r="F4036" s="6" t="n">
        <f aca="false">Sens!F4028+Sens!F4035</f>
        <v>171.48115008408</v>
      </c>
      <c r="G4036" s="6" t="n">
        <f aca="false">Sens!G4028+Sens!G4035</f>
        <v>178.777491760372</v>
      </c>
      <c r="H4036" s="6" t="n">
        <f aca="false">Sens!H4028+Sens!H4035</f>
        <v>178.658908211503</v>
      </c>
      <c r="I4036" s="6" t="n">
        <f aca="false">Sens!I4028+Sens!I4035</f>
        <v>187.400692218369</v>
      </c>
      <c r="J4036" s="6" t="n">
        <f aca="false">Sens!J4028+Sens!J4035</f>
        <v>198.210019806821</v>
      </c>
      <c r="K4036" s="6" t="n">
        <f aca="false">Sens!K4028+Sens!K4035</f>
        <v>211.062765196793</v>
      </c>
    </row>
    <row r="4037" customFormat="false" ht="15" hidden="false" customHeight="false" outlineLevel="0" collapsed="false">
      <c r="A4037" s="1" t="s">
        <v>924</v>
      </c>
      <c r="B4037" s="0" t="s">
        <v>98</v>
      </c>
      <c r="D4037" s="6" t="n">
        <f aca="false">Q!L29</f>
        <v>21.795</v>
      </c>
      <c r="E4037" s="6" t="n">
        <f aca="false">Q!M29</f>
        <v>32.185</v>
      </c>
      <c r="F4037" s="6" t="n">
        <f aca="false">Sens!F4036*tax_f</f>
        <v>34.2962300168159</v>
      </c>
      <c r="G4037" s="6" t="n">
        <f aca="false">Sens!G4036*tax_f</f>
        <v>35.7554983520744</v>
      </c>
      <c r="H4037" s="6" t="n">
        <f aca="false">Sens!H4036*tax_f</f>
        <v>35.7317816423006</v>
      </c>
      <c r="I4037" s="6" t="n">
        <f aca="false">Sens!I4036*tax_f</f>
        <v>37.4801384436737</v>
      </c>
      <c r="J4037" s="6" t="n">
        <f aca="false">Sens!J4036*tax_f</f>
        <v>39.6420039613642</v>
      </c>
      <c r="K4037" s="6" t="n">
        <f aca="false">Sens!K4036*tax_f</f>
        <v>42.2125530393585</v>
      </c>
    </row>
    <row r="4038" customFormat="false" ht="15" hidden="false" customHeight="false" outlineLevel="0" collapsed="false">
      <c r="A4038" s="1" t="s">
        <v>925</v>
      </c>
      <c r="B4038" s="0" t="s">
        <v>98</v>
      </c>
      <c r="D4038" s="6" t="n">
        <f aca="false">Sens!D4036-Sens!D4037</f>
        <v>101.832</v>
      </c>
      <c r="E4038" s="6" t="n">
        <f aca="false">Sens!E4036-Sens!E4037</f>
        <v>133.749</v>
      </c>
      <c r="F4038" s="6" t="n">
        <f aca="false">Sens!F4036-Sens!F4037</f>
        <v>137.184920067264</v>
      </c>
      <c r="G4038" s="6" t="n">
        <f aca="false">Sens!G4036-Sens!G4037</f>
        <v>143.021993408298</v>
      </c>
      <c r="H4038" s="6" t="n">
        <f aca="false">Sens!H4036-Sens!H4037</f>
        <v>142.927126569202</v>
      </c>
      <c r="I4038" s="6" t="n">
        <f aca="false">Sens!I4036-Sens!I4037</f>
        <v>149.920553774695</v>
      </c>
      <c r="J4038" s="6" t="n">
        <f aca="false">Sens!J4036-Sens!J4037</f>
        <v>158.568015845457</v>
      </c>
      <c r="K4038" s="6" t="n">
        <f aca="false">Sens!K4036-Sens!K4037</f>
        <v>168.850212157434</v>
      </c>
    </row>
    <row r="4039" customFormat="false" ht="17.15" hidden="false" customHeight="false" outlineLevel="0" collapsed="false">
      <c r="A4039" s="1" t="s">
        <v>926</v>
      </c>
      <c r="B4039" s="1" t="s">
        <v>81</v>
      </c>
      <c r="D4039" s="14" t="n">
        <f aca="false">Q!L31</f>
        <v>7.465</v>
      </c>
      <c r="E4039" s="14" t="n">
        <f aca="false">Q!M31</f>
        <v>7.453</v>
      </c>
      <c r="F4039" s="14" t="n">
        <f aca="false">Sens!F4082</f>
        <v>7.4735</v>
      </c>
      <c r="G4039" s="14" t="n">
        <f aca="false">Sens!G4082</f>
        <v>7.5185</v>
      </c>
      <c r="H4039" s="14" t="n">
        <f aca="false">Sens!H4082</f>
        <v>7.5635</v>
      </c>
      <c r="I4039" s="14" t="n">
        <f aca="false">Sens!I4082</f>
        <v>7.59252924615736</v>
      </c>
      <c r="J4039" s="14" t="n">
        <f aca="false">Sens!J4082</f>
        <v>7.60677075727524</v>
      </c>
      <c r="K4039" s="14" t="n">
        <f aca="false">Sens!K4082</f>
        <v>7.62329067497699</v>
      </c>
    </row>
    <row r="4040" customFormat="false" ht="17.15" hidden="false" customHeight="false" outlineLevel="0" collapsed="false">
      <c r="A4040" s="0" t="s">
        <v>927</v>
      </c>
      <c r="B4040" s="0" t="s">
        <v>75</v>
      </c>
      <c r="D4040" s="8" t="n">
        <f aca="false">Sens!D4038/Sens!D4039</f>
        <v>13.641259209645</v>
      </c>
      <c r="E4040" s="8" t="n">
        <f aca="false">Sens!E4038/Sens!E4039</f>
        <v>17.9456594659869</v>
      </c>
      <c r="F4040" s="8" t="n">
        <f aca="false">Sens!F4038/Sens!F4039</f>
        <v>18.3561811824799</v>
      </c>
      <c r="G4040" s="8" t="n">
        <f aca="false">Sens!G4038/Sens!G4039</f>
        <v>19.0226765190261</v>
      </c>
      <c r="H4040" s="8" t="n">
        <f aca="false">Sens!H4038/Sens!H4039</f>
        <v>18.8969559819134</v>
      </c>
      <c r="I4040" s="8" t="n">
        <f aca="false">Sens!I4038/Sens!I4039</f>
        <v>19.7457986547198</v>
      </c>
      <c r="J4040" s="8" t="n">
        <f aca="false">Sens!J4038/Sens!J4039</f>
        <v>20.8456414561724</v>
      </c>
      <c r="K4040" s="8" t="n">
        <f aca="false">Sens!K4038/Sens!K4039</f>
        <v>22.1492554011715</v>
      </c>
      <c r="L4040" s="1" t="s">
        <v>928</v>
      </c>
    </row>
    <row r="4041" customFormat="false" ht="17.15" hidden="false" customHeight="false" outlineLevel="0" collapsed="false">
      <c r="A4041" s="1" t="s">
        <v>929</v>
      </c>
      <c r="B4041" s="0" t="s">
        <v>98</v>
      </c>
      <c r="D4041" s="6" t="n">
        <f aca="false">Sens!D4038</f>
        <v>101.832</v>
      </c>
      <c r="E4041" s="6" t="n">
        <f aca="false">Sens!E4038</f>
        <v>133.749</v>
      </c>
      <c r="F4041" s="6" t="n">
        <f aca="false">Sens!F4038+Sens!F4031*(1-tax_f)</f>
        <v>146.793163450864</v>
      </c>
      <c r="G4041" s="6" t="n">
        <f aca="false">Sens!G4038+Sens!G4031*(1-tax_f)</f>
        <v>168.818599976721</v>
      </c>
      <c r="H4041" s="6" t="n">
        <f aca="false">Sens!H4038+Sens!H4031*(1-tax_f)</f>
        <v>186.258307042035</v>
      </c>
      <c r="I4041" s="6" t="n">
        <f aca="false">Sens!I4038+Sens!I4031*(1-tax_f)</f>
        <v>208.901316935222</v>
      </c>
      <c r="J4041" s="6" t="n">
        <f aca="false">Sens!J4038+Sens!J4031*(1-tax_f)</f>
        <v>228.457994766746</v>
      </c>
      <c r="K4041" s="6" t="n">
        <f aca="false">Sens!K4038+Sens!K4031*(1-tax_f)</f>
        <v>245.160420600353</v>
      </c>
    </row>
    <row r="4042" customFormat="false" ht="17.15" hidden="false" customHeight="false" outlineLevel="0" collapsed="false">
      <c r="A4042" s="0" t="s">
        <v>930</v>
      </c>
      <c r="B4042" s="0" t="s">
        <v>75</v>
      </c>
      <c r="D4042" s="8" t="n">
        <f aca="false">Sens!D4041/Sens!D4039</f>
        <v>13.641259209645</v>
      </c>
      <c r="E4042" s="8" t="n">
        <f aca="false">Sens!E4041/Sens!E4039</f>
        <v>17.9456594659869</v>
      </c>
      <c r="F4042" s="8" t="n">
        <f aca="false">Sens!F4041/Sens!F4039</f>
        <v>19.6418229010321</v>
      </c>
      <c r="G4042" s="8" t="n">
        <f aca="false">Sens!G4041/Sens!G4039</f>
        <v>22.4537607204524</v>
      </c>
      <c r="H4042" s="8" t="n">
        <f aca="false">Sens!H4041/Sens!H4039</f>
        <v>24.6259413025762</v>
      </c>
      <c r="I4042" s="8" t="n">
        <f aca="false">Sens!I4041/Sens!I4039</f>
        <v>27.5140615416067</v>
      </c>
      <c r="J4042" s="8" t="n">
        <f aca="false">Sens!J4041/Sens!J4039</f>
        <v>30.0335059457714</v>
      </c>
      <c r="K4042" s="8" t="n">
        <f aca="false">Sens!K4041/Sens!K4039</f>
        <v>32.1593956013088</v>
      </c>
      <c r="L4042" s="1" t="s">
        <v>931</v>
      </c>
    </row>
    <row r="4043" customFormat="false" ht="17.15" hidden="false" customHeight="false" outlineLevel="0" collapsed="false">
      <c r="A4043" s="0" t="s">
        <v>932</v>
      </c>
      <c r="B4043" s="0" t="s">
        <v>129</v>
      </c>
      <c r="E4043" s="7" t="n">
        <f aca="false">Sens!E4042/Sens!D4042-1</f>
        <v>0.315542736208578</v>
      </c>
      <c r="F4043" s="7" t="n">
        <f aca="false">Sens!F4042/Sens!E4042-1</f>
        <v>0.0945166399852895</v>
      </c>
      <c r="G4043" s="7" t="n">
        <f aca="false">Sens!G4042/Sens!F4042-1</f>
        <v>0.143160735823177</v>
      </c>
      <c r="H4043" s="7" t="n">
        <f aca="false">Sens!H4042/Sens!G4042-1</f>
        <v>0.0967401679018158</v>
      </c>
      <c r="I4043" s="7" t="n">
        <f aca="false">Sens!I4042/Sens!H4042-1</f>
        <v>0.117279587551374</v>
      </c>
      <c r="J4043" s="7" t="n">
        <f aca="false">Sens!J4042/Sens!I4042-1</f>
        <v>0.0915693381129816</v>
      </c>
      <c r="K4043" s="7" t="n">
        <f aca="false">Sens!K4042/Sens!J4042-1</f>
        <v>0.070783932431195</v>
      </c>
    </row>
    <row r="4044" customFormat="false" ht="17.15" hidden="false" customHeight="false" outlineLevel="0" collapsed="false">
      <c r="A4044" s="0" t="s">
        <v>856</v>
      </c>
      <c r="B4044" s="0" t="s">
        <v>98</v>
      </c>
      <c r="E4044" s="6" t="n">
        <f aca="false">Sens!E3985</f>
        <v>5.25</v>
      </c>
      <c r="F4044" s="6" t="n">
        <f aca="false">Sens!F3985</f>
        <v>10.5</v>
      </c>
      <c r="G4044" s="6" t="n">
        <f aca="false">Sens!G3985</f>
        <v>13.5</v>
      </c>
      <c r="H4044" s="6" t="n">
        <f aca="false">Sens!H3985</f>
        <v>16.5</v>
      </c>
      <c r="I4044" s="6" t="n">
        <f aca="false">Sens!I3985</f>
        <v>18.75</v>
      </c>
      <c r="J4044" s="6" t="n">
        <f aca="false">Sens!J3985</f>
        <v>20.25</v>
      </c>
      <c r="K4044" s="6" t="n">
        <f aca="false">Sens!K3985</f>
        <v>21.75</v>
      </c>
    </row>
    <row r="4045" customFormat="false" ht="17.15" hidden="false" customHeight="false" outlineLevel="0" collapsed="false">
      <c r="A4045" s="1" t="s">
        <v>857</v>
      </c>
      <c r="B4045" s="0" t="s">
        <v>98</v>
      </c>
      <c r="F4045" s="6" t="n">
        <f aca="false">MAX(0,((Sens!E3948+Sens!F3948)/2-(shadow_base*(Sens!$D$3948+Sens!$E$3948)/2+(1-shadow_base)*Sens!$E$3948))*Sens!F3956/1000-(Sens!F4044-Sens!$E$4044)*Sens!F4024)</f>
        <v>12.0103042294999</v>
      </c>
      <c r="G4045" s="6" t="n">
        <f aca="false">MAX(0,((Sens!F3948+Sens!G3948)/2-(shadow_base*(Sens!$D$3948+Sens!$E$3948)/2+(1-shadow_base)*Sens!$E$3948))*Sens!G3956/1000-(Sens!G4044-Sens!$E$4044)*Sens!G4024)</f>
        <v>32.2457582105298</v>
      </c>
      <c r="H4045" s="6" t="n">
        <f aca="false">MAX(0,((Sens!G3948+Sens!H3948)/2-(shadow_base*(Sens!$D$3948+Sens!$E$3948)/2+(1-shadow_base)*Sens!$E$3948))*Sens!H3956/1000-(Sens!H4044-Sens!$E$4044)*Sens!H4024)</f>
        <v>54.1639755910409</v>
      </c>
      <c r="I4045" s="6" t="n">
        <f aca="false">MAX(0,((Sens!H3948+Sens!I3948)/2-(shadow_base*(Sens!$D$3948+Sens!$E$3948)/2+(1-shadow_base)*Sens!$E$3948))*Sens!I3956/1000-(Sens!I4044-Sens!$E$4044)*Sens!I4024)</f>
        <v>73.7259539506589</v>
      </c>
      <c r="J4045" s="6" t="n">
        <f aca="false">MAX(0,((Sens!I3948+Sens!J3948)/2-(shadow_base*(Sens!$D$3948+Sens!$E$3948)/2+(1-shadow_base)*Sens!$E$3948))*Sens!J3956/1000-(Sens!J4044-Sens!$E$4044)*Sens!J4024)</f>
        <v>87.3624736516116</v>
      </c>
      <c r="K4045" s="6" t="n">
        <f aca="false">MAX(0,((Sens!J3948+Sens!K3948)/2-(shadow_base*(Sens!$D$3948+Sens!$E$3948)/2+(1-shadow_base)*Sens!$E$3948))*Sens!K3956/1000-(Sens!K4044-Sens!$E$4044)*Sens!K4024)</f>
        <v>95.3877605536488</v>
      </c>
      <c r="L4045" s="1" t="s">
        <v>858</v>
      </c>
    </row>
    <row r="4046" customFormat="false" ht="17.15" hidden="false" customHeight="false" outlineLevel="0" collapsed="false">
      <c r="A4046" s="1" t="s">
        <v>859</v>
      </c>
      <c r="B4046" s="0" t="s">
        <v>98</v>
      </c>
      <c r="F4046" s="6" t="n">
        <f aca="false">IF(internal_ai_reading=2,1,0)*Sens!F4045</f>
        <v>12.0103042294999</v>
      </c>
      <c r="G4046" s="6" t="n">
        <f aca="false">IF(internal_ai_reading=2,1,0)*Sens!G4045</f>
        <v>32.2457582105298</v>
      </c>
      <c r="H4046" s="6" t="n">
        <f aca="false">IF(internal_ai_reading=2,1,0)*Sens!H4045</f>
        <v>54.1639755910409</v>
      </c>
      <c r="I4046" s="6" t="n">
        <f aca="false">IF(internal_ai_reading=2,1,0)*Sens!I4045</f>
        <v>73.7259539506589</v>
      </c>
      <c r="J4046" s="6" t="n">
        <f aca="false">IF(internal_ai_reading=2,1,0)*Sens!J4045</f>
        <v>87.3624736516116</v>
      </c>
      <c r="K4046" s="6" t="n">
        <f aca="false">IF(internal_ai_reading=2,1,0)*Sens!K4045</f>
        <v>95.3877605536488</v>
      </c>
    </row>
    <row r="4047" customFormat="false" ht="17.15" hidden="false" customHeight="false" outlineLevel="0" collapsed="false">
      <c r="A4047" s="0" t="s">
        <v>860</v>
      </c>
      <c r="B4047" s="0" t="s">
        <v>98</v>
      </c>
      <c r="F4047" s="6" t="n">
        <f aca="false">Sens!F3965+Sens!F4044*Sens!F4024+Sens!F4046-Sens!F3966-Sens!F3976</f>
        <v>12.0353294554225</v>
      </c>
      <c r="G4047" s="6" t="n">
        <f aca="false">Sens!G3965+Sens!G4044*Sens!G4024+Sens!G4046-Sens!G3966-Sens!G3976</f>
        <v>19.8980834045959</v>
      </c>
      <c r="H4047" s="6" t="n">
        <f aca="false">Sens!H3965+Sens!H4044*Sens!H4024+Sens!H4046-Sens!H3966-Sens!H3976</f>
        <v>21.7080023369037</v>
      </c>
      <c r="I4047" s="6" t="n">
        <f aca="false">Sens!I3965+Sens!I4044*Sens!I4024+Sens!I4046-Sens!I3966-Sens!I3976</f>
        <v>30.3930193331705</v>
      </c>
      <c r="J4047" s="6" t="n">
        <f aca="false">Sens!J3965+Sens!J4044*Sens!J4024+Sens!J4046-Sens!J3966-Sens!J3976</f>
        <v>36.3598144915532</v>
      </c>
      <c r="K4047" s="6" t="n">
        <f aca="false">Sens!K3965+Sens!K4044*Sens!K4024+Sens!K4046-Sens!K3966-Sens!K3976</f>
        <v>40.6895911715211</v>
      </c>
    </row>
    <row r="4048" customFormat="false" ht="17.15" hidden="false" customHeight="false" outlineLevel="0" collapsed="false">
      <c r="A4048" s="0" t="s">
        <v>861</v>
      </c>
      <c r="B4048" s="0" t="s">
        <v>98</v>
      </c>
      <c r="E4048" s="6" t="n">
        <f aca="false">Sens!E3947*(cxit_open+self_build*tk_cxfac)/1000*ai_net_open</f>
        <v>126.6980382</v>
      </c>
      <c r="F4048" s="6" t="n">
        <f aca="false">Sens!E4048+Sens!F3973-Sens!F3976</f>
        <v>285.357616735791</v>
      </c>
      <c r="G4048" s="6" t="n">
        <f aca="false">Sens!F4048+Sens!G3973-Sens!G3976</f>
        <v>438.76358104944</v>
      </c>
      <c r="H4048" s="6" t="n">
        <f aca="false">Sens!G4048+Sens!H3973-Sens!H3976</f>
        <v>564.894172596369</v>
      </c>
      <c r="I4048" s="6" t="n">
        <f aca="false">Sens!H4048+Sens!I3973-Sens!I3976</f>
        <v>626.311537525209</v>
      </c>
      <c r="J4048" s="6" t="n">
        <f aca="false">Sens!I4048+Sens!J3973-Sens!J3976</f>
        <v>619.876923495413</v>
      </c>
      <c r="K4048" s="6" t="n">
        <f aca="false">Sens!J4048+Sens!K3973-Sens!K3976</f>
        <v>584.382144532827</v>
      </c>
      <c r="L4048" s="1" t="s">
        <v>862</v>
      </c>
    </row>
    <row r="4049" customFormat="false" ht="17.15" hidden="false" customHeight="false" outlineLevel="0" collapsed="false">
      <c r="A4049" s="0" t="s">
        <v>863</v>
      </c>
      <c r="B4049" s="0" t="s">
        <v>129</v>
      </c>
      <c r="F4049" s="7" t="n">
        <f aca="false">Sens!F4047*(1-tax_f)/((Sens!E4048+Sens!F4048)/2)</f>
        <v>0.046732830621331</v>
      </c>
      <c r="G4049" s="7" t="n">
        <f aca="false">Sens!G4047*(1-tax_f)/((Sens!F4048+Sens!G4048)/2)</f>
        <v>0.0439663050118248</v>
      </c>
      <c r="H4049" s="7" t="n">
        <f aca="false">Sens!H4047*(1-tax_f)/((Sens!G4048+Sens!H4048)/2)</f>
        <v>0.0346062227017908</v>
      </c>
      <c r="I4049" s="7" t="n">
        <f aca="false">Sens!I4047*(1-tax_f)/((Sens!H4048+Sens!I4048)/2)</f>
        <v>0.040823201668593</v>
      </c>
      <c r="J4049" s="7" t="n">
        <f aca="false">Sens!J4047*(1-tax_f)/((Sens!I4048+Sens!J4048)/2)</f>
        <v>0.0466829095326717</v>
      </c>
      <c r="K4049" s="7" t="n">
        <f aca="false">Sens!K4047*(1-tax_f)/((Sens!J4048+Sens!K4048)/2)</f>
        <v>0.0540609139701385</v>
      </c>
    </row>
    <row r="4050" customFormat="false" ht="17.15" hidden="false" customHeight="false" outlineLevel="0" collapsed="false">
      <c r="A4050" s="1" t="s">
        <v>864</v>
      </c>
      <c r="B4050" s="0" t="s">
        <v>129</v>
      </c>
      <c r="F4050" s="7" t="n">
        <f aca="false">(Sens!F4047-Sens!F4046)*(1-tax_f)/((Sens!E4048+Sens!F4048)/2)</f>
        <v>9.71722168995102E-005</v>
      </c>
      <c r="G4050" s="7" t="n">
        <f aca="false">(Sens!G4047-Sens!G4046)*(1-tax_f)/((Sens!F4048+Sens!G4048)/2)</f>
        <v>-0.0272831119292185</v>
      </c>
      <c r="H4050" s="7" t="n">
        <f aca="false">(Sens!H4047-Sens!H4046)*(1-tax_f)/((Sens!G4048+Sens!H4048)/2)</f>
        <v>-0.051740303921316</v>
      </c>
      <c r="I4050" s="7" t="n">
        <f aca="false">(Sens!I4047-Sens!I4046)*(1-tax_f)/((Sens!H4048+Sens!I4048)/2)</f>
        <v>-0.0582037970426663</v>
      </c>
      <c r="J4050" s="7" t="n">
        <f aca="false">(Sens!J4047-Sens!J4046)*(1-tax_f)/((Sens!I4048+Sens!J4048)/2)</f>
        <v>-0.0654830767645369</v>
      </c>
      <c r="K4050" s="7" t="n">
        <f aca="false">(Sens!K4047-Sens!K4046)*(1-tax_f)/((Sens!J4048+Sens!K4048)/2)</f>
        <v>-0.0726729599426624</v>
      </c>
    </row>
    <row r="4051" customFormat="false" ht="17.15" hidden="false" customHeight="false" outlineLevel="0" collapsed="false">
      <c r="A4051" s="1" t="s">
        <v>865</v>
      </c>
      <c r="B4051" s="0" t="s">
        <v>129</v>
      </c>
      <c r="F4051" s="7" t="n">
        <f aca="false">(Sens!F4047-Sens!F4046+Sens!F4045)*(1-tax_f)/((Sens!E4048+Sens!F4048)/2)</f>
        <v>0.046732830621331</v>
      </c>
      <c r="G4051" s="7" t="n">
        <f aca="false">(Sens!G4047-Sens!G4046+Sens!G4045)*(1-tax_f)/((Sens!F4048+Sens!G4048)/2)</f>
        <v>0.0439663050118248</v>
      </c>
      <c r="H4051" s="7" t="n">
        <f aca="false">(Sens!H4047-Sens!H4046+Sens!H4045)*(1-tax_f)/((Sens!G4048+Sens!H4048)/2)</f>
        <v>0.0346062227017908</v>
      </c>
      <c r="I4051" s="7" t="n">
        <f aca="false">(Sens!I4047-Sens!I4046+Sens!I4045)*(1-tax_f)/((Sens!H4048+Sens!I4048)/2)</f>
        <v>0.040823201668593</v>
      </c>
      <c r="J4051" s="7" t="n">
        <f aca="false">(Sens!J4047-Sens!J4046+Sens!J4045)*(1-tax_f)/((Sens!I4048+Sens!J4048)/2)</f>
        <v>0.0466829095326717</v>
      </c>
      <c r="K4051" s="7" t="n">
        <f aca="false">(Sens!K4047-Sens!K4046+Sens!K4045)*(1-tax_f)/((Sens!J4048+Sens!K4048)/2)</f>
        <v>0.0540609139701385</v>
      </c>
    </row>
    <row r="4052" customFormat="false" ht="17.15" hidden="false" customHeight="false" outlineLevel="0" collapsed="false">
      <c r="A4052" s="1" t="s">
        <v>866</v>
      </c>
      <c r="B4052" s="0" t="s">
        <v>129</v>
      </c>
      <c r="F4052" s="7" t="n">
        <f aca="false">Sens!F3977*(1-tax_f)/(Sens!F3964*(Sens!E4048+Sens!F4048)/2)</f>
        <v>0.101221991467043</v>
      </c>
      <c r="G4052" s="7" t="n">
        <f aca="false">Sens!G3977*(1-tax_f)/(Sens!G3964*(Sens!F4048+Sens!G4048)/2)</f>
        <v>0.0692830481330347</v>
      </c>
      <c r="H4052" s="7" t="n">
        <f aca="false">Sens!H3977*(1-tax_f)/(Sens!H3964*(Sens!G4048+Sens!H4048)/2)</f>
        <v>0.041030909547548</v>
      </c>
      <c r="I4052" s="7" t="n">
        <f aca="false">Sens!I3977*(1-tax_f)/(Sens!I3964*(Sens!H4048+Sens!I4048)/2)</f>
        <v>0.0436434581339837</v>
      </c>
      <c r="J4052" s="7" t="n">
        <f aca="false">Sens!J3977*(1-tax_f)/(Sens!J3964*(Sens!I4048+Sens!J4048)/2)</f>
        <v>0.0476964741414378</v>
      </c>
      <c r="K4052" s="7" t="n">
        <f aca="false">Sens!K3977*(1-tax_f)/(Sens!K3964*(Sens!J4048+Sens!K4048)/2)</f>
        <v>0.0543150749402861</v>
      </c>
    </row>
    <row r="4053" customFormat="false" ht="17.15" hidden="false" customHeight="false" outlineLevel="0" collapsed="false">
      <c r="A4053" s="0" t="s">
        <v>867</v>
      </c>
      <c r="B4053" s="0" t="s">
        <v>209</v>
      </c>
      <c r="F4053" s="7" t="n">
        <f aca="false">Sens!F4049-wacc</f>
        <v>-0.0562015894715448</v>
      </c>
      <c r="G4053" s="7" t="n">
        <f aca="false">Sens!G4049-wacc</f>
        <v>-0.058968115081051</v>
      </c>
      <c r="H4053" s="7" t="n">
        <f aca="false">Sens!H4049-wacc</f>
        <v>-0.0683281973910849</v>
      </c>
      <c r="I4053" s="7" t="n">
        <f aca="false">Sens!I4049-wacc</f>
        <v>-0.0621112184242827</v>
      </c>
      <c r="J4053" s="7" t="n">
        <f aca="false">Sens!J4049-wacc</f>
        <v>-0.0562515105602041</v>
      </c>
      <c r="K4053" s="7" t="n">
        <f aca="false">Sens!K4049-wacc</f>
        <v>-0.0488735061227373</v>
      </c>
    </row>
    <row r="4054" customFormat="false" ht="17.15" hidden="false" customHeight="false" outlineLevel="0" collapsed="false">
      <c r="A4054" s="0" t="s">
        <v>868</v>
      </c>
      <c r="B4054" s="0" t="s">
        <v>98</v>
      </c>
      <c r="F4054" s="6" t="n">
        <f aca="false">Sens!F4047*(1-tax_f)-wacc*(Sens!E4048+Sens!F4048)/2</f>
        <v>-11.5790913790649</v>
      </c>
      <c r="G4054" s="6" t="n">
        <f aca="false">Sens!G4047*(1-tax_f)-wacc*(Sens!F4048+Sens!G4048)/2</f>
        <v>-21.350031061814</v>
      </c>
      <c r="H4054" s="6" t="n">
        <f aca="false">Sens!H4047*(1-tax_f)-wacc*(Sens!G4048+Sens!H4048)/2</f>
        <v>-34.2890625521019</v>
      </c>
      <c r="I4054" s="6" t="n">
        <f aca="false">Sens!I4047*(1-tax_f)-wacc*(Sens!H4048+Sens!I4048)/2</f>
        <v>-36.9936190248071</v>
      </c>
      <c r="J4054" s="6" t="n">
        <f aca="false">Sens!J4047*(1-tax_f)-wacc*(Sens!I4048+Sens!J4048)/2</f>
        <v>-35.049991687553</v>
      </c>
      <c r="K4054" s="6" t="n">
        <f aca="false">Sens!K4047*(1-tax_f)-wacc*(Sens!J4048+Sens!K4048)/2</f>
        <v>-29.42818146732</v>
      </c>
    </row>
    <row r="4055" customFormat="false" ht="17.15" hidden="false" customHeight="false" outlineLevel="0" collapsed="false">
      <c r="A4055" s="3" t="s">
        <v>1365</v>
      </c>
    </row>
    <row r="4056" customFormat="false" ht="15" hidden="false" customHeight="false" outlineLevel="0" collapsed="false">
      <c r="A4056" s="4" t="s">
        <v>43</v>
      </c>
      <c r="B4056" s="4" t="s">
        <v>65</v>
      </c>
      <c r="C4056" s="20" t="s">
        <v>799</v>
      </c>
      <c r="D4056" s="20" t="s">
        <v>800</v>
      </c>
      <c r="E4056" s="20" t="s">
        <v>801</v>
      </c>
      <c r="F4056" s="20" t="s">
        <v>802</v>
      </c>
      <c r="G4056" s="20" t="s">
        <v>803</v>
      </c>
      <c r="H4056" s="20" t="s">
        <v>804</v>
      </c>
      <c r="I4056" s="20" t="s">
        <v>805</v>
      </c>
      <c r="J4056" s="20" t="s">
        <v>806</v>
      </c>
      <c r="K4056" s="20" t="s">
        <v>807</v>
      </c>
      <c r="L4056" s="4" t="s">
        <v>47</v>
      </c>
    </row>
    <row r="4057" customFormat="false" ht="15" hidden="false" customHeight="false" outlineLevel="0" collapsed="false">
      <c r="A4057" s="1" t="s">
        <v>925</v>
      </c>
      <c r="B4057" s="0" t="s">
        <v>98</v>
      </c>
      <c r="F4057" s="6" t="n">
        <f aca="false">Sens!F4038</f>
        <v>137.184920067264</v>
      </c>
      <c r="G4057" s="6" t="n">
        <f aca="false">Sens!G4038</f>
        <v>143.021993408298</v>
      </c>
      <c r="H4057" s="6" t="n">
        <f aca="false">Sens!H4038</f>
        <v>142.927126569202</v>
      </c>
      <c r="I4057" s="6" t="n">
        <f aca="false">Sens!I4038</f>
        <v>149.920553774695</v>
      </c>
      <c r="J4057" s="6" t="n">
        <f aca="false">Sens!J4038</f>
        <v>158.568015845457</v>
      </c>
      <c r="K4057" s="6" t="n">
        <f aca="false">Sens!K4038</f>
        <v>168.850212157434</v>
      </c>
    </row>
    <row r="4058" customFormat="false" ht="17.15" hidden="false" customHeight="false" outlineLevel="0" collapsed="false">
      <c r="A4058" s="1" t="s">
        <v>947</v>
      </c>
      <c r="B4058" s="0" t="s">
        <v>98</v>
      </c>
      <c r="E4058" s="6" t="n">
        <f aca="false">Q!M38-Sens!E3976</f>
        <v>22.2285940229167</v>
      </c>
      <c r="F4058" s="6" t="n">
        <f aca="false">Sens!E4058*(1-1/life_nonai)+(Sens!F4065+Sens!F4066)/life_nonai</f>
        <v>23.5486693435813</v>
      </c>
      <c r="G4058" s="6" t="n">
        <f aca="false">Sens!F4058*(1-1/life_nonai)+(Sens!G4065)/life_nonai</f>
        <v>25.264091766262</v>
      </c>
      <c r="H4058" s="6" t="n">
        <f aca="false">Sens!G4058*(1-1/life_nonai)+(Sens!H4065)/life_nonai</f>
        <v>27.3438339540448</v>
      </c>
      <c r="I4058" s="6" t="n">
        <f aca="false">Sens!H4058*(1-1/life_nonai)+(Sens!I4065)/life_nonai</f>
        <v>29.7317905898047</v>
      </c>
      <c r="J4058" s="6" t="n">
        <f aca="false">Sens!I4058*(1-1/life_nonai)+(Sens!J4065)/life_nonai</f>
        <v>32.3542028558616</v>
      </c>
      <c r="K4058" s="6" t="n">
        <f aca="false">Sens!J4058*(1-1/life_nonai)+(Sens!K4065)/life_nonai</f>
        <v>35.1281528444749</v>
      </c>
      <c r="L4058" s="11" t="s">
        <v>948</v>
      </c>
    </row>
    <row r="4059" customFormat="false" ht="17.15" hidden="false" customHeight="false" outlineLevel="0" collapsed="false">
      <c r="A4059" s="1" t="s">
        <v>949</v>
      </c>
      <c r="B4059" s="0" t="s">
        <v>98</v>
      </c>
      <c r="F4059" s="6" t="n">
        <f aca="false">Sens!$F$4066/life_nonai*(1-1/life_nonai)^(Sens!F3942-2027)</f>
        <v>0</v>
      </c>
      <c r="G4059" s="6" t="n">
        <f aca="false">Sens!$F$4066/life_nonai*(1-1/life_nonai)^(Sens!G3942-2027)</f>
        <v>0</v>
      </c>
      <c r="H4059" s="6" t="n">
        <f aca="false">Sens!$F$4066/life_nonai*(1-1/life_nonai)^(Sens!H3942-2027)</f>
        <v>0</v>
      </c>
      <c r="I4059" s="6" t="n">
        <f aca="false">Sens!$F$4066/life_nonai*(1-1/life_nonai)^(Sens!I3942-2027)</f>
        <v>0</v>
      </c>
      <c r="J4059" s="6" t="n">
        <f aca="false">Sens!$F$4066/life_nonai*(1-1/life_nonai)^(Sens!J3942-2027)</f>
        <v>0</v>
      </c>
      <c r="K4059" s="6" t="n">
        <f aca="false">Sens!$F$4066/life_nonai*(1-1/life_nonai)^(Sens!K3942-2027)</f>
        <v>0</v>
      </c>
      <c r="L4059" s="1" t="s">
        <v>950</v>
      </c>
    </row>
    <row r="4060" customFormat="false" ht="17.15" hidden="false" customHeight="false" outlineLevel="0" collapsed="false">
      <c r="A4060" s="1" t="s">
        <v>951</v>
      </c>
      <c r="B4060" s="0" t="s">
        <v>98</v>
      </c>
      <c r="E4060" s="6" t="n">
        <f aca="false">Sens!E3976+Sens!E4058</f>
        <v>38.534</v>
      </c>
      <c r="F4060" s="6" t="n">
        <f aca="false">Sens!F3976+Sens!F4058</f>
        <v>60.1343606050168</v>
      </c>
      <c r="G4060" s="6" t="n">
        <f aca="false">Sens!G3976+Sens!G4058</f>
        <v>92.1471440324532</v>
      </c>
      <c r="H4060" s="6" t="n">
        <f aca="false">Sens!H3976+Sens!H4058</f>
        <v>126.909585499596</v>
      </c>
      <c r="I4060" s="6" t="n">
        <f aca="false">Sens!I3976+Sens!I4058</f>
        <v>158.226947985393</v>
      </c>
      <c r="J4060" s="6" t="n">
        <f aca="false">Sens!J3976+Sens!J4058</f>
        <v>181.290019701588</v>
      </c>
      <c r="K4060" s="6" t="n">
        <f aca="false">Sens!K3976+Sens!K4058</f>
        <v>196.661560838795</v>
      </c>
    </row>
    <row r="4061" customFormat="false" ht="17.15" hidden="false" customHeight="false" outlineLevel="0" collapsed="false">
      <c r="A4061" s="1" t="s">
        <v>952</v>
      </c>
      <c r="B4061" s="0" t="s">
        <v>98</v>
      </c>
      <c r="F4061" s="6" t="n">
        <f aca="false">Sens!F4003*sbc_r</f>
        <v>14.8298806704505</v>
      </c>
      <c r="G4061" s="6" t="n">
        <f aca="false">Sens!G4003*sbc_r</f>
        <v>17.3860771727854</v>
      </c>
      <c r="H4061" s="6" t="n">
        <f aca="false">Sens!H4003*sbc_r</f>
        <v>19.7597114228982</v>
      </c>
      <c r="I4061" s="6" t="n">
        <f aca="false">Sens!I4003*sbc_r</f>
        <v>22.2402409966019</v>
      </c>
      <c r="J4061" s="6" t="n">
        <f aca="false">Sens!J4003*sbc_r</f>
        <v>24.3026324508576</v>
      </c>
      <c r="K4061" s="6" t="n">
        <f aca="false">Sens!K4003*sbc_r</f>
        <v>25.9690394595765</v>
      </c>
    </row>
    <row r="4062" customFormat="false" ht="17.15" hidden="false" customHeight="false" outlineLevel="0" collapsed="false">
      <c r="A4062" s="1" t="s">
        <v>953</v>
      </c>
      <c r="B4062" s="0" t="s">
        <v>98</v>
      </c>
      <c r="F4062" s="6" t="n">
        <f aca="false">wc27</f>
        <v>-4.895</v>
      </c>
      <c r="G4062" s="6" t="n">
        <f aca="false">wc_f</f>
        <v>0</v>
      </c>
      <c r="H4062" s="6" t="n">
        <f aca="false">wc_f</f>
        <v>0</v>
      </c>
      <c r="I4062" s="6" t="n">
        <f aca="false">wc_f</f>
        <v>0</v>
      </c>
      <c r="J4062" s="6" t="n">
        <f aca="false">wc_f</f>
        <v>0</v>
      </c>
      <c r="K4062" s="6" t="n">
        <f aca="false">wc_f</f>
        <v>0</v>
      </c>
      <c r="L4062" s="11" t="s">
        <v>954</v>
      </c>
    </row>
    <row r="4063" customFormat="false" ht="15" hidden="false" customHeight="false" outlineLevel="0" collapsed="false">
      <c r="A4063" s="1" t="s">
        <v>767</v>
      </c>
      <c r="B4063" s="0" t="s">
        <v>98</v>
      </c>
      <c r="E4063" s="6" t="n">
        <f aca="false">Q!M35</f>
        <v>182.935</v>
      </c>
      <c r="F4063" s="6" t="n">
        <f aca="false">Sens!F4057+Sens!F4060+Sens!F4061+Sens!F4062</f>
        <v>207.254161342731</v>
      </c>
      <c r="G4063" s="6" t="n">
        <f aca="false">Sens!G4057+Sens!G4060+Sens!G4061+Sens!G4062</f>
        <v>252.555214613536</v>
      </c>
      <c r="H4063" s="6" t="n">
        <f aca="false">Sens!H4057+Sens!H4060+Sens!H4061+Sens!H4062</f>
        <v>289.596423491696</v>
      </c>
      <c r="I4063" s="6" t="n">
        <f aca="false">Sens!I4057+Sens!I4060+Sens!I4061+Sens!I4062</f>
        <v>330.387742756689</v>
      </c>
      <c r="J4063" s="6" t="n">
        <f aca="false">Sens!J4057+Sens!J4060+Sens!J4061+Sens!J4062</f>
        <v>364.160667997902</v>
      </c>
      <c r="K4063" s="6" t="n">
        <f aca="false">Sens!K4057+Sens!K4060+Sens!K4061+Sens!K4062</f>
        <v>391.480812455806</v>
      </c>
    </row>
    <row r="4064" customFormat="false" ht="17.15" hidden="false" customHeight="false" outlineLevel="0" collapsed="false">
      <c r="A4064" s="0" t="s">
        <v>955</v>
      </c>
      <c r="B4064" s="0" t="s">
        <v>98</v>
      </c>
      <c r="F4064" s="6" t="n">
        <f aca="false">Sens!F3973</f>
        <v>195.245269797227</v>
      </c>
      <c r="G4064" s="6" t="n">
        <f aca="false">Sens!G3973</f>
        <v>220.28901657984</v>
      </c>
      <c r="H4064" s="6" t="n">
        <f aca="false">Sens!H3973</f>
        <v>225.69634309248</v>
      </c>
      <c r="I4064" s="6" t="n">
        <f aca="false">Sens!I3973</f>
        <v>189.912522324428</v>
      </c>
      <c r="J4064" s="6" t="n">
        <f aca="false">Sens!J3973</f>
        <v>142.501202815931</v>
      </c>
      <c r="K4064" s="6" t="n">
        <f aca="false">Sens!K3973</f>
        <v>126.038629031734</v>
      </c>
    </row>
    <row r="4065" customFormat="false" ht="17.15" hidden="false" customHeight="false" outlineLevel="0" collapsed="false">
      <c r="A4065" s="1" t="s">
        <v>956</v>
      </c>
      <c r="B4065" s="0" t="s">
        <v>98</v>
      </c>
      <c r="E4065" s="6" t="n">
        <f aca="false">Sens!E3981*cx_azo+Sens!E3988*cx_m365+Sens!E3989*cx_lic+(Sens!E3991+Sens!E3993)*cx_ind+Sens!E3996*cx_srch+(Sens!E3998+Sens!E4000)*cx_dev</f>
        <v>30.1846587067718</v>
      </c>
      <c r="F4065" s="6" t="n">
        <f aca="false">Sens!F3981*cx_azo+Sens!F3988*cx_m365+Sens!F3989*cx_lic+(Sens!F3991+Sens!F3993)*cx_ind+Sens!F3996*cx_srch+(Sens!F3998+Sens!F4000)*cx_dev</f>
        <v>35.4293472295625</v>
      </c>
      <c r="G4065" s="6" t="n">
        <f aca="false">Sens!G3981*cx_azo+Sens!G3988*cx_m365+Sens!G3989*cx_lic+(Sens!G3991+Sens!G3993)*cx_ind+Sens!G3996*cx_srch+(Sens!G3998+Sens!G4000)*cx_dev</f>
        <v>40.7028935703892</v>
      </c>
      <c r="H4065" s="6" t="n">
        <f aca="false">Sens!H3981*cx_azo+Sens!H3988*cx_m365+Sens!H3989*cx_lic+(Sens!H3991+Sens!H3993)*cx_ind+Sens!H3996*cx_srch+(Sens!H3998+Sens!H4000)*cx_dev</f>
        <v>46.0615136440897</v>
      </c>
      <c r="I4065" s="6" t="n">
        <f aca="false">Sens!I3981*cx_azo+Sens!I3988*cx_m365+Sens!I3989*cx_lic+(Sens!I3991+Sens!I3993)*cx_ind+Sens!I3996*cx_srch+(Sens!I3998+Sens!I4000)*cx_dev</f>
        <v>51.2234003116439</v>
      </c>
      <c r="J4065" s="6" t="n">
        <f aca="false">Sens!J3981*cx_azo+Sens!J3988*cx_m365+Sens!J3989*cx_lic+(Sens!J3991+Sens!J3993)*cx_ind+Sens!J3996*cx_srch+(Sens!J3998+Sens!J4000)*cx_dev</f>
        <v>55.9559132503738</v>
      </c>
      <c r="K4065" s="6" t="n">
        <f aca="false">Sens!K3981*cx_azo+Sens!K3988*cx_m365+Sens!K3989*cx_lic+(Sens!K3991+Sens!K3993)*cx_ind+Sens!K3996*cx_srch+(Sens!K3998+Sens!K4000)*cx_dev</f>
        <v>60.093702741994</v>
      </c>
    </row>
    <row r="4066" customFormat="false" ht="17.15" hidden="false" customHeight="false" outlineLevel="0" collapsed="false">
      <c r="A4066" s="0" t="s">
        <v>957</v>
      </c>
      <c r="B4066" s="0" t="s">
        <v>98</v>
      </c>
      <c r="F4066" s="6" t="n">
        <f aca="false">Sens!F3971</f>
        <v>0</v>
      </c>
      <c r="L4066" s="1" t="s">
        <v>958</v>
      </c>
    </row>
    <row r="4067" customFormat="false" ht="17.15" hidden="false" customHeight="false" outlineLevel="0" collapsed="false">
      <c r="A4067" s="1" t="s">
        <v>959</v>
      </c>
      <c r="B4067" s="0" t="s">
        <v>98</v>
      </c>
      <c r="E4067" s="6" t="n">
        <f aca="false">Q!M42</f>
        <v>145.3</v>
      </c>
      <c r="F4067" s="6" t="n">
        <f aca="false">Sens!F4064+Sens!F4065+Sens!F4066</f>
        <v>230.674617026789</v>
      </c>
      <c r="G4067" s="6" t="n">
        <f aca="false">Sens!G4064+Sens!G4065</f>
        <v>260.991910150229</v>
      </c>
      <c r="H4067" s="6" t="n">
        <f aca="false">Sens!H4064+Sens!H4065</f>
        <v>271.75785673657</v>
      </c>
      <c r="I4067" s="6" t="n">
        <f aca="false">Sens!I4064+Sens!I4065</f>
        <v>241.135922636072</v>
      </c>
      <c r="J4067" s="6" t="n">
        <f aca="false">Sens!J4064+Sens!J4065</f>
        <v>198.457116066304</v>
      </c>
      <c r="K4067" s="6" t="n">
        <f aca="false">Sens!K4064+Sens!K4065</f>
        <v>186.132331773728</v>
      </c>
      <c r="L4067" s="1" t="s">
        <v>960</v>
      </c>
    </row>
    <row r="4068" customFormat="false" ht="15" hidden="false" customHeight="false" outlineLevel="0" collapsed="false">
      <c r="A4068" s="1" t="s">
        <v>961</v>
      </c>
      <c r="B4068" s="0" t="s">
        <v>98</v>
      </c>
      <c r="E4068" s="6" t="n">
        <f aca="false">fl_liab</f>
        <v>66.594</v>
      </c>
      <c r="F4068" s="6" t="n">
        <f aca="false">Sens!E4068-Sens!F4069</f>
        <v>62.46973</v>
      </c>
      <c r="G4068" s="6" t="n">
        <f aca="false">Sens!F4068-Sens!G4069</f>
        <v>57.98686785</v>
      </c>
      <c r="H4068" s="6" t="n">
        <f aca="false">Sens!G4068-Sens!H4069</f>
        <v>53.92827690325</v>
      </c>
      <c r="I4068" s="6" t="n">
        <f aca="false">Sens!H4068-Sens!I4069</f>
        <v>49.7850493638962</v>
      </c>
      <c r="J4068" s="6" t="n">
        <f aca="false">Sens!I4068-Sens!J4069</f>
        <v>45.4823765852716</v>
      </c>
      <c r="K4068" s="6" t="n">
        <f aca="false">Sens!J4068-Sens!K4069</f>
        <v>40.9860835316088</v>
      </c>
    </row>
    <row r="4069" customFormat="false" ht="15" hidden="false" customHeight="false" outlineLevel="0" collapsed="false">
      <c r="A4069" s="1" t="s">
        <v>962</v>
      </c>
      <c r="B4069" s="0" t="s">
        <v>98</v>
      </c>
      <c r="F4069" s="6" t="n">
        <f aca="false">fl_pay_27-Sens!E4068*fl_rate</f>
        <v>4.12427</v>
      </c>
      <c r="G4069" s="6" t="n">
        <f aca="false">fl_pay_28-Sens!F4068*fl_rate</f>
        <v>4.48286215</v>
      </c>
      <c r="H4069" s="6" t="n">
        <f aca="false">fl_pay_29-Sens!G4068*fl_rate</f>
        <v>4.05859094675</v>
      </c>
      <c r="I4069" s="6" t="n">
        <f aca="false">fl_pay_30-Sens!H4068*fl_rate</f>
        <v>4.14322753935375</v>
      </c>
      <c r="J4069" s="6" t="n">
        <f aca="false">fl_pay_31-Sens!I4068*fl_rate</f>
        <v>4.30267277862467</v>
      </c>
      <c r="K4069" s="6" t="n">
        <f aca="false">fl_pay_32-Sens!J4068*fl_rate</f>
        <v>4.49629305366278</v>
      </c>
    </row>
    <row r="4070" customFormat="false" ht="17.15" hidden="false" customHeight="false" outlineLevel="0" collapsed="false">
      <c r="A4070" s="1" t="s">
        <v>963</v>
      </c>
      <c r="B4070" s="0" t="s">
        <v>98</v>
      </c>
      <c r="E4070" s="6" t="n">
        <f aca="false">Q!M35-Q!M36-Q!M43</f>
        <v>63.886</v>
      </c>
      <c r="F4070" s="6" t="n">
        <f aca="false">Sens!F4063-Sens!F4067-Sens!F4069</f>
        <v>-27.5447256840581</v>
      </c>
      <c r="G4070" s="6" t="n">
        <f aca="false">Sens!G4063-Sens!G4067-Sens!G4069</f>
        <v>-12.9195576866931</v>
      </c>
      <c r="H4070" s="6" t="n">
        <f aca="false">Sens!H4063-Sens!H4067-Sens!H4069</f>
        <v>13.7799758083766</v>
      </c>
      <c r="I4070" s="6" t="n">
        <f aca="false">Sens!I4063-Sens!I4067-Sens!I4069</f>
        <v>85.1085925812639</v>
      </c>
      <c r="J4070" s="6" t="n">
        <f aca="false">Sens!J4063-Sens!J4067-Sens!J4069</f>
        <v>161.400879152973</v>
      </c>
      <c r="K4070" s="6" t="n">
        <f aca="false">Sens!K4063-Sens!K4067-Sens!K4069</f>
        <v>200.852187628415</v>
      </c>
      <c r="L4070" s="11" t="s">
        <v>964</v>
      </c>
    </row>
    <row r="4071" customFormat="false" ht="15" hidden="false" customHeight="false" outlineLevel="0" collapsed="false">
      <c r="A4071" s="1" t="s">
        <v>965</v>
      </c>
      <c r="B4071" s="0" t="s">
        <v>75</v>
      </c>
      <c r="F4071" s="8" t="n">
        <f aca="false">dps_27</f>
        <v>3.85</v>
      </c>
      <c r="G4071" s="8" t="n">
        <f aca="false">Sens!F4071*(1+dps_g)</f>
        <v>4.158</v>
      </c>
      <c r="H4071" s="8" t="n">
        <f aca="false">Sens!G4071*(1+dps_g)</f>
        <v>4.49064</v>
      </c>
      <c r="I4071" s="8" t="n">
        <f aca="false">Sens!H4071*(1+dps_g)</f>
        <v>4.8498912</v>
      </c>
      <c r="J4071" s="8" t="n">
        <f aca="false">Sens!I4071*(1+dps_g)</f>
        <v>5.237882496</v>
      </c>
      <c r="K4071" s="8" t="n">
        <f aca="false">Sens!J4071*(1+dps_g)</f>
        <v>5.65691309568</v>
      </c>
    </row>
    <row r="4072" customFormat="false" ht="17.15" hidden="false" customHeight="false" outlineLevel="0" collapsed="false">
      <c r="A4072" s="1" t="s">
        <v>966</v>
      </c>
      <c r="B4072" s="0" t="s">
        <v>98</v>
      </c>
      <c r="E4072" s="6" t="n">
        <f aca="false">Q!M41</f>
        <v>26.445</v>
      </c>
      <c r="F4072" s="6" t="n">
        <f aca="false">Sens!F4071*Sens!E4081</f>
        <v>28.59395</v>
      </c>
      <c r="G4072" s="6" t="n">
        <f aca="false">Sens!G4071*Sens!F4081</f>
        <v>31.068576</v>
      </c>
      <c r="H4072" s="6" t="n">
        <f aca="false">Sens!H4071*Sens!G4081</f>
        <v>33.75614088</v>
      </c>
      <c r="I4072" s="6" t="n">
        <f aca="false">Sens!I4071*Sens!H4081</f>
        <v>36.6748772544</v>
      </c>
      <c r="J4072" s="6" t="n">
        <f aca="false">Sens!J4071*Sens!I4081</f>
        <v>39.6772662830715</v>
      </c>
      <c r="K4072" s="6" t="n">
        <f aca="false">Sens!K4071*Sens!J4081</f>
        <v>42.9387028110222</v>
      </c>
      <c r="L4072" s="1" t="s">
        <v>967</v>
      </c>
    </row>
    <row r="4073" customFormat="false" ht="15" hidden="false" customHeight="false" outlineLevel="0" collapsed="false">
      <c r="A4073" s="1" t="s">
        <v>968</v>
      </c>
      <c r="B4073" s="0" t="s">
        <v>98</v>
      </c>
      <c r="E4073" s="6" t="n">
        <f aca="false">Sens!E4070-Sens!E4072</f>
        <v>37.441</v>
      </c>
      <c r="F4073" s="6" t="n">
        <f aca="false">Sens!F4070-Sens!F4072</f>
        <v>-56.1386756840581</v>
      </c>
      <c r="G4073" s="6" t="n">
        <f aca="false">Sens!G4070-Sens!G4072</f>
        <v>-43.9881336866931</v>
      </c>
      <c r="H4073" s="6" t="n">
        <f aca="false">Sens!H4070-Sens!H4072</f>
        <v>-19.9761650716234</v>
      </c>
      <c r="I4073" s="6" t="n">
        <f aca="false">Sens!I4070-Sens!I4072</f>
        <v>48.4337153268639</v>
      </c>
      <c r="J4073" s="6" t="n">
        <f aca="false">Sens!J4070-Sens!J4072</f>
        <v>121.723612869902</v>
      </c>
      <c r="K4073" s="6" t="n">
        <f aca="false">Sens!K4070-Sens!K4072</f>
        <v>157.913484817393</v>
      </c>
    </row>
    <row r="4074" customFormat="false" ht="15" hidden="false" customHeight="false" outlineLevel="0" collapsed="false">
      <c r="A4074" s="1" t="s">
        <v>969</v>
      </c>
      <c r="B4074" s="0" t="s">
        <v>98</v>
      </c>
      <c r="F4074" s="6" t="n">
        <f aca="false">debt_mat_27</f>
        <v>9.25</v>
      </c>
      <c r="G4074" s="6" t="n">
        <f aca="false">debt_mat_28</f>
        <v>0</v>
      </c>
      <c r="H4074" s="6" t="n">
        <f aca="false">debt_mat_29</f>
        <v>2.001</v>
      </c>
      <c r="I4074" s="6" t="n">
        <f aca="false">debt_mat_30</f>
        <v>0</v>
      </c>
      <c r="J4074" s="6" t="n">
        <f aca="false">debt_mat_31</f>
        <v>0.5</v>
      </c>
      <c r="K4074" s="6" t="n">
        <f aca="false">debt_mat_32</f>
        <v>0</v>
      </c>
    </row>
    <row r="4075" customFormat="false" ht="15" hidden="false" customHeight="false" outlineLevel="0" collapsed="false">
      <c r="A4075" s="1" t="s">
        <v>970</v>
      </c>
      <c r="B4075" s="0" t="s">
        <v>98</v>
      </c>
      <c r="E4075" s="6" t="n">
        <f aca="false">Q!M40</f>
        <v>22.271</v>
      </c>
      <c r="F4075" s="6" t="n">
        <f aca="false">MAX(0,MIN(bb_target,Sens!E4077+Sens!F4073-Sens!F4074-min_cash))</f>
        <v>0</v>
      </c>
      <c r="G4075" s="6" t="n">
        <f aca="false">MAX(0,MIN(bb_target,Sens!F4077+Sens!G4073-Sens!G4074-min_cash))</f>
        <v>0</v>
      </c>
      <c r="H4075" s="6" t="n">
        <f aca="false">MAX(0,MIN(bb_target,Sens!G4077+Sens!H4073-Sens!H4074-min_cash))</f>
        <v>0</v>
      </c>
      <c r="I4075" s="6" t="n">
        <f aca="false">MAX(0,MIN(bb_target,Sens!H4077+Sens!I4073-Sens!I4074-min_cash))</f>
        <v>22.271</v>
      </c>
      <c r="J4075" s="6" t="n">
        <f aca="false">MAX(0,MIN(bb_target,Sens!I4077+Sens!J4073-Sens!J4074-min_cash))</f>
        <v>22.271</v>
      </c>
      <c r="K4075" s="6" t="n">
        <f aca="false">MAX(0,MIN(bb_target,Sens!J4077+Sens!K4073-Sens!K4074-min_cash))</f>
        <v>22.271</v>
      </c>
    </row>
    <row r="4076" customFormat="false" ht="15" hidden="false" customHeight="false" outlineLevel="0" collapsed="false">
      <c r="A4076" s="1" t="s">
        <v>971</v>
      </c>
      <c r="B4076" s="0" t="s">
        <v>98</v>
      </c>
      <c r="F4076" s="6" t="n">
        <f aca="false">MAX(0,min_cash-(Sens!E4077+Sens!F4073-Sens!F4074-Sens!F4075))</f>
        <v>38.5456756840581</v>
      </c>
      <c r="G4076" s="6" t="n">
        <f aca="false">MAX(0,min_cash-(Sens!F4077+Sens!G4073-Sens!G4074-Sens!G4075))</f>
        <v>43.9881336866931</v>
      </c>
      <c r="H4076" s="6" t="n">
        <f aca="false">MAX(0,min_cash-(Sens!G4077+Sens!H4073-Sens!H4074-Sens!H4075))</f>
        <v>21.9771650716234</v>
      </c>
      <c r="I4076" s="6" t="n">
        <f aca="false">MAX(0,min_cash-(Sens!H4077+Sens!I4073-Sens!I4074-Sens!I4075))</f>
        <v>0</v>
      </c>
      <c r="J4076" s="6" t="n">
        <f aca="false">MAX(0,min_cash-(Sens!I4077+Sens!J4073-Sens!J4074-Sens!J4075))</f>
        <v>0</v>
      </c>
      <c r="K4076" s="6" t="n">
        <f aca="false">MAX(0,min_cash-(Sens!J4077+Sens!K4073-Sens!K4074-Sens!K4075))</f>
        <v>0</v>
      </c>
    </row>
    <row r="4077" customFormat="false" ht="15" hidden="false" customHeight="false" outlineLevel="0" collapsed="false">
      <c r="A4077" s="1" t="s">
        <v>972</v>
      </c>
      <c r="B4077" s="0" t="s">
        <v>98</v>
      </c>
      <c r="E4077" s="6" t="n">
        <f aca="false">cash_open</f>
        <v>76.843</v>
      </c>
      <c r="F4077" s="6" t="n">
        <f aca="false">Sens!E4077+Sens!F4073-Sens!F4074-Sens!F4075+Sens!F4076</f>
        <v>50</v>
      </c>
      <c r="G4077" s="6" t="n">
        <f aca="false">Sens!F4077+Sens!G4073-Sens!G4074-Sens!G4075+Sens!G4076</f>
        <v>50</v>
      </c>
      <c r="H4077" s="6" t="n">
        <f aca="false">Sens!G4077+Sens!H4073-Sens!H4074-Sens!H4075+Sens!H4076</f>
        <v>50</v>
      </c>
      <c r="I4077" s="6" t="n">
        <f aca="false">Sens!H4077+Sens!I4073-Sens!I4074-Sens!I4075+Sens!I4076</f>
        <v>76.1627153268639</v>
      </c>
      <c r="J4077" s="6" t="n">
        <f aca="false">Sens!I4077+Sens!J4073-Sens!J4074-Sens!J4075+Sens!J4076</f>
        <v>175.115328196766</v>
      </c>
      <c r="K4077" s="6" t="n">
        <f aca="false">Sens!J4077+Sens!K4073-Sens!K4074-Sens!K4075+Sens!K4076</f>
        <v>310.757813014159</v>
      </c>
    </row>
    <row r="4078" customFormat="false" ht="15" hidden="false" customHeight="false" outlineLevel="0" collapsed="false">
      <c r="A4078" s="1" t="s">
        <v>973</v>
      </c>
      <c r="B4078" s="0" t="s">
        <v>98</v>
      </c>
      <c r="E4078" s="6" t="n">
        <f aca="false">debt_face</f>
        <v>46.136</v>
      </c>
      <c r="F4078" s="6" t="n">
        <f aca="false">Sens!E4078-Sens!F4074+Sens!F4076</f>
        <v>75.4316756840581</v>
      </c>
      <c r="G4078" s="6" t="n">
        <f aca="false">Sens!F4078-Sens!G4074+Sens!G4076</f>
        <v>119.419809370751</v>
      </c>
      <c r="H4078" s="6" t="n">
        <f aca="false">Sens!G4078-Sens!H4074+Sens!H4076</f>
        <v>139.395974442375</v>
      </c>
      <c r="I4078" s="6" t="n">
        <f aca="false">Sens!H4078-Sens!I4074+Sens!I4076</f>
        <v>139.395974442375</v>
      </c>
      <c r="J4078" s="6" t="n">
        <f aca="false">Sens!I4078-Sens!J4074+Sens!J4076</f>
        <v>138.895974442375</v>
      </c>
      <c r="K4078" s="6" t="n">
        <f aca="false">Sens!J4078-Sens!K4074+Sens!K4076</f>
        <v>138.895974442375</v>
      </c>
    </row>
    <row r="4079" customFormat="false" ht="15" hidden="false" customHeight="false" outlineLevel="0" collapsed="false">
      <c r="A4079" s="1" t="s">
        <v>974</v>
      </c>
      <c r="B4079" s="0" t="s">
        <v>98</v>
      </c>
      <c r="E4079" s="6" t="n">
        <f aca="false">Sens!E4077-Sens!E4078</f>
        <v>30.707</v>
      </c>
      <c r="F4079" s="6" t="n">
        <f aca="false">Sens!F4077-Sens!F4078</f>
        <v>-25.4316756840581</v>
      </c>
      <c r="G4079" s="6" t="n">
        <f aca="false">Sens!G4077-Sens!G4078</f>
        <v>-69.4198093707512</v>
      </c>
      <c r="H4079" s="6" t="n">
        <f aca="false">Sens!H4077-Sens!H4078</f>
        <v>-89.3959744423746</v>
      </c>
      <c r="I4079" s="6" t="n">
        <f aca="false">Sens!I4077-Sens!I4078</f>
        <v>-63.2332591155107</v>
      </c>
      <c r="J4079" s="6" t="n">
        <f aca="false">Sens!J4077-Sens!J4078</f>
        <v>36.2193537543911</v>
      </c>
      <c r="K4079" s="6" t="n">
        <f aca="false">Sens!K4077-Sens!K4078</f>
        <v>171.861838571784</v>
      </c>
    </row>
    <row r="4080" customFormat="false" ht="15" hidden="false" customHeight="false" outlineLevel="0" collapsed="false">
      <c r="A4080" s="1" t="s">
        <v>975</v>
      </c>
      <c r="B4080" s="0" t="s">
        <v>75</v>
      </c>
      <c r="F4080" s="29" t="n">
        <f aca="false">px*(1+bb_g)^(Sens!F3942-base_fy-mid_yr)</f>
        <v>553.494156066711</v>
      </c>
      <c r="G4080" s="29" t="n">
        <f aca="false">px*(1+bb_g)^(Sens!G3942-base_fy-mid_yr)</f>
        <v>597.773688552047</v>
      </c>
      <c r="H4080" s="29" t="n">
        <f aca="false">px*(1+bb_g)^(Sens!H3942-base_fy-mid_yr)</f>
        <v>645.595583636211</v>
      </c>
      <c r="I4080" s="29" t="n">
        <f aca="false">px*(1+bb_g)^(Sens!I3942-base_fy-mid_yr)</f>
        <v>697.243230327108</v>
      </c>
      <c r="J4080" s="29" t="n">
        <f aca="false">px*(1+bb_g)^(Sens!J3942-base_fy-mid_yr)</f>
        <v>753.022688753277</v>
      </c>
      <c r="K4080" s="29" t="n">
        <f aca="false">px*(1+bb_g)^(Sens!K3942-base_fy-mid_yr)</f>
        <v>813.264503853539</v>
      </c>
    </row>
    <row r="4081" customFormat="false" ht="15" hidden="false" customHeight="false" outlineLevel="0" collapsed="false">
      <c r="A4081" s="1" t="s">
        <v>976</v>
      </c>
      <c r="B4081" s="1" t="s">
        <v>81</v>
      </c>
      <c r="E4081" s="14" t="n">
        <f aca="false">sh_out26</f>
        <v>7.427</v>
      </c>
      <c r="F4081" s="14" t="n">
        <f aca="false">Sens!E4081+sh_iss-Sens!F4075/Sens!F4080</f>
        <v>7.472</v>
      </c>
      <c r="G4081" s="14" t="n">
        <f aca="false">Sens!F4081+sh_iss-Sens!G4075/Sens!G4080</f>
        <v>7.517</v>
      </c>
      <c r="H4081" s="14" t="n">
        <f aca="false">Sens!G4081+sh_iss-Sens!H4075/Sens!H4080</f>
        <v>7.562</v>
      </c>
      <c r="I4081" s="14" t="n">
        <f aca="false">Sens!H4081+sh_iss-Sens!I4075/Sens!I4080</f>
        <v>7.57505849231472</v>
      </c>
      <c r="J4081" s="14" t="n">
        <f aca="false">Sens!I4081+sh_iss-Sens!J4075/Sens!J4080</f>
        <v>7.59048302223576</v>
      </c>
      <c r="K4081" s="14" t="n">
        <f aca="false">Sens!J4081+sh_iss-Sens!K4075/Sens!K4080</f>
        <v>7.60809832771821</v>
      </c>
    </row>
    <row r="4082" customFormat="false" ht="15" hidden="false" customHeight="false" outlineLevel="0" collapsed="false">
      <c r="A4082" s="1" t="s">
        <v>977</v>
      </c>
      <c r="B4082" s="1" t="s">
        <v>81</v>
      </c>
      <c r="E4082" s="14" t="n">
        <f aca="false">sh_dil26</f>
        <v>7.453</v>
      </c>
      <c r="F4082" s="14" t="n">
        <f aca="false">(Sens!E4081+Sens!F4081)/2+dil_gap</f>
        <v>7.4735</v>
      </c>
      <c r="G4082" s="14" t="n">
        <f aca="false">(Sens!F4081+Sens!G4081)/2+dil_gap</f>
        <v>7.5185</v>
      </c>
      <c r="H4082" s="14" t="n">
        <f aca="false">(Sens!G4081+Sens!H4081)/2+dil_gap</f>
        <v>7.5635</v>
      </c>
      <c r="I4082" s="14" t="n">
        <f aca="false">(Sens!H4081+Sens!I4081)/2+dil_gap</f>
        <v>7.59252924615736</v>
      </c>
      <c r="J4082" s="14" t="n">
        <f aca="false">(Sens!I4081+Sens!J4081)/2+dil_gap</f>
        <v>7.60677075727524</v>
      </c>
      <c r="K4082" s="14" t="n">
        <f aca="false">(Sens!J4081+Sens!K4081)/2+dil_gap</f>
        <v>7.62329067497699</v>
      </c>
    </row>
    <row r="4083" customFormat="false" ht="17.15" hidden="false" customHeight="false" outlineLevel="0" collapsed="false">
      <c r="A4083" s="1" t="s">
        <v>978</v>
      </c>
      <c r="B4083" s="0" t="s">
        <v>98</v>
      </c>
      <c r="C4083" s="6" t="n">
        <f aca="false">SUM(Sens!F4073:J4073)</f>
        <v>50.0543537543911</v>
      </c>
    </row>
    <row r="4084" customFormat="false" ht="15" hidden="false" customHeight="false" outlineLevel="0" collapsed="false">
      <c r="A4084" s="23" t="s">
        <v>945</v>
      </c>
      <c r="B4084" s="30" t="s">
        <v>98</v>
      </c>
      <c r="C4084" s="24" t="n">
        <f aca="false">Sens!$C$4083-(Sens!F4073+Sens!G4073+Sens!H4073+Sens!I4073+Sens!J4073)</f>
        <v>0</v>
      </c>
      <c r="D4084" s="30"/>
      <c r="E4084" s="30"/>
      <c r="F4084" s="30"/>
      <c r="G4084" s="30"/>
      <c r="H4084" s="30"/>
      <c r="I4084" s="30"/>
      <c r="J4084" s="30"/>
      <c r="K4084" s="30"/>
    </row>
    <row r="4085" customFormat="false" ht="17.15" hidden="false" customHeight="false" outlineLevel="0" collapsed="false">
      <c r="A4085" s="1" t="s">
        <v>939</v>
      </c>
      <c r="B4085" s="1" t="s">
        <v>979</v>
      </c>
      <c r="C4085" s="32" t="str">
        <f aca="false">IF(SUM(Sens!F4076:J4076)&gt;0.05,"需要舉債 "&amp;TEXT(SUM(Sens!F4076:J4076),"0.0")&amp;" 十億美元","不需舉債")&amp;"；"&amp;IF(SUM(Sens!F4075:J4075)&lt;COUNT(Sens!F4075:J4075)*bb_target-0.05,"回購較每年 "&amp;TEXT(bb_target,"0.0")&amp;" 的目標少 "&amp;TEXT(COUNT(Sens!F4075:J4075)*bb_target-SUM(Sens!F4075:J4075),"0.0")&amp;" 十億美元（"&amp;TEXT(COUNTIF(Sens!F4075:J4075,"&lt;"&amp;(bb_target-0.05)),"0")&amp;" 年減少）","回購不減")</f>
        <v>需要舉債 104.5 十億美元；回購較每年 22.3 的目標少 66.8 十億美元（3 年減少）</v>
      </c>
    </row>
    <row r="4086" customFormat="false" ht="17.15" hidden="false" customHeight="false" outlineLevel="0" collapsed="false">
      <c r="A4086" s="3" t="s">
        <v>1366</v>
      </c>
    </row>
    <row r="4087" customFormat="false" ht="15" hidden="false" customHeight="false" outlineLevel="0" collapsed="false">
      <c r="A4087" s="4" t="s">
        <v>43</v>
      </c>
      <c r="B4087" s="4" t="s">
        <v>65</v>
      </c>
      <c r="C4087" s="20" t="s">
        <v>799</v>
      </c>
      <c r="D4087" s="20" t="s">
        <v>800</v>
      </c>
      <c r="E4087" s="20" t="s">
        <v>801</v>
      </c>
      <c r="F4087" s="20" t="s">
        <v>802</v>
      </c>
      <c r="G4087" s="20" t="s">
        <v>803</v>
      </c>
      <c r="H4087" s="20" t="s">
        <v>804</v>
      </c>
      <c r="I4087" s="20" t="s">
        <v>805</v>
      </c>
      <c r="J4087" s="20" t="s">
        <v>806</v>
      </c>
      <c r="K4087" s="20" t="s">
        <v>807</v>
      </c>
      <c r="L4087" s="4" t="s">
        <v>47</v>
      </c>
    </row>
    <row r="4088" customFormat="false" ht="15" hidden="false" customHeight="false" outlineLevel="0" collapsed="false">
      <c r="A4088" s="1" t="s">
        <v>1057</v>
      </c>
      <c r="B4088" s="1" t="s">
        <v>235</v>
      </c>
      <c r="F4088" s="36" t="n">
        <f aca="false">Sens!F3942-base_fy-mid_yr</f>
        <v>0.5</v>
      </c>
      <c r="G4088" s="36" t="n">
        <f aca="false">Sens!G3942-base_fy-mid_yr</f>
        <v>1.5</v>
      </c>
      <c r="H4088" s="36" t="n">
        <f aca="false">Sens!H3942-base_fy-mid_yr</f>
        <v>2.5</v>
      </c>
      <c r="I4088" s="36" t="n">
        <f aca="false">Sens!I3942-base_fy-mid_yr</f>
        <v>3.5</v>
      </c>
      <c r="J4088" s="36" t="n">
        <f aca="false">Sens!J3942-base_fy-mid_yr</f>
        <v>4.5</v>
      </c>
      <c r="K4088" s="36" t="n">
        <f aca="false">Sens!K3942-base_fy-mid_yr</f>
        <v>5.5</v>
      </c>
    </row>
    <row r="4089" customFormat="false" ht="15" hidden="false" customHeight="false" outlineLevel="0" collapsed="false">
      <c r="A4089" s="1" t="s">
        <v>1058</v>
      </c>
      <c r="B4089" s="0" t="s">
        <v>185</v>
      </c>
      <c r="F4089" s="14" t="n">
        <f aca="false">1/(1+wacc)^Sens!F4088</f>
        <v>0.952193373608246</v>
      </c>
      <c r="G4089" s="14" t="n">
        <f aca="false">1/(1+wacc)^Sens!G4088</f>
        <v>0.863327280626589</v>
      </c>
      <c r="H4089" s="14" t="n">
        <f aca="false">1/(1+wacc)^Sens!H4088</f>
        <v>0.782754862754115</v>
      </c>
      <c r="I4089" s="14" t="n">
        <f aca="false">1/(1+wacc)^Sens!I4088</f>
        <v>0.709702089711011</v>
      </c>
      <c r="J4089" s="14" t="n">
        <f aca="false">1/(1+wacc)^Sens!J4088</f>
        <v>0.643467169744551</v>
      </c>
      <c r="K4089" s="14" t="n">
        <f aca="false">1/(1+wacc)^Sens!K4088</f>
        <v>0.583413807767797</v>
      </c>
    </row>
    <row r="4090" customFormat="false" ht="17.15" hidden="false" customHeight="false" outlineLevel="0" collapsed="false">
      <c r="A4090" s="1" t="s">
        <v>1059</v>
      </c>
      <c r="B4090" s="0" t="s">
        <v>98</v>
      </c>
      <c r="F4090" s="6" t="n">
        <f aca="false">Sens!F4063-Sens!F4061-Sens!F4067+Sens!F4046*(1-tax_f)</f>
        <v>-28.6420929709087</v>
      </c>
      <c r="G4090" s="6" t="n">
        <f aca="false">Sens!G4063-Sens!G4061-Sens!G4067+Sens!G4046*(1-tax_f)</f>
        <v>-0.0261661410546061</v>
      </c>
      <c r="H4090" s="6" t="n">
        <f aca="false">Sens!H4063-Sens!H4061-Sens!H4067+Sens!H4046*(1-tax_f)</f>
        <v>41.4100358050611</v>
      </c>
      <c r="I4090" s="6" t="n">
        <f aca="false">Sens!I4063-Sens!I4061-Sens!I4067+Sens!I4046*(1-tax_f)</f>
        <v>125.992342284543</v>
      </c>
      <c r="J4090" s="6" t="n">
        <f aca="false">Sens!J4063-Sens!J4061-Sens!J4067+Sens!J4046*(1-tax_f)</f>
        <v>211.29089840203</v>
      </c>
      <c r="K4090" s="6" t="n">
        <f aca="false">Sens!K4063-Sens!K4061-Sens!K4067+Sens!K4046*(1-tax_f)</f>
        <v>255.68964966542</v>
      </c>
      <c r="L4090" s="1" t="s">
        <v>1060</v>
      </c>
    </row>
    <row r="4091" customFormat="false" ht="15" hidden="false" customHeight="false" outlineLevel="0" collapsed="false">
      <c r="A4091" s="1" t="s">
        <v>1061</v>
      </c>
      <c r="B4091" s="0" t="s">
        <v>98</v>
      </c>
      <c r="F4091" s="6" t="n">
        <f aca="false">Sens!F4090*Sens!F4089</f>
        <v>-27.2728111331706</v>
      </c>
      <c r="G4091" s="6" t="n">
        <f aca="false">Sens!G4090*Sens!G4089</f>
        <v>-0.0225899434011649</v>
      </c>
      <c r="H4091" s="6" t="n">
        <f aca="false">Sens!H4090*Sens!H4089</f>
        <v>32.4139068932336</v>
      </c>
      <c r="I4091" s="6" t="n">
        <f aca="false">Sens!I4090*Sens!I4089</f>
        <v>89.417028606925</v>
      </c>
      <c r="J4091" s="6" t="n">
        <f aca="false">Sens!J4090*Sens!J4089</f>
        <v>135.958756387538</v>
      </c>
      <c r="K4091" s="6" t="n">
        <f aca="false">Sens!K4090*Sens!K4089</f>
        <v>149.172872118117</v>
      </c>
    </row>
    <row r="4092" customFormat="false" ht="17.15" hidden="false" customHeight="false" outlineLevel="0" collapsed="false">
      <c r="A4092" s="1" t="s">
        <v>1062</v>
      </c>
      <c r="B4092" s="0" t="s">
        <v>98</v>
      </c>
      <c r="C4092" s="6" t="n">
        <f aca="false">SUM(Sens!F4091:K4091)</f>
        <v>379.667162929241</v>
      </c>
    </row>
    <row r="4093" customFormat="false" ht="17.15" hidden="false" customHeight="false" outlineLevel="0" collapsed="false">
      <c r="A4093" s="1" t="s">
        <v>1063</v>
      </c>
      <c r="B4093" s="0" t="s">
        <v>98</v>
      </c>
      <c r="C4093" s="6" t="n">
        <f aca="false">Sens!K4032*(1+g_tv)*(1-tax_f)</f>
        <v>252.844833218364</v>
      </c>
    </row>
    <row r="4094" customFormat="false" ht="17.15" hidden="false" customHeight="false" outlineLevel="0" collapsed="false">
      <c r="A4094" s="1" t="s">
        <v>1064</v>
      </c>
      <c r="B4094" s="0" t="s">
        <v>98</v>
      </c>
      <c r="C4094" s="6" t="n">
        <f aca="false">Sens!$C$4093*(1-g_tv/(wacc+ronic_prem))</f>
        <v>179.153788087816</v>
      </c>
    </row>
    <row r="4095" customFormat="false" ht="17.15" hidden="false" customHeight="false" outlineLevel="0" collapsed="false">
      <c r="A4095" s="1" t="s">
        <v>1065</v>
      </c>
      <c r="B4095" s="0" t="s">
        <v>98</v>
      </c>
      <c r="C4095" s="6" t="n">
        <f aca="false">Sens!$C$4094/(wacc-g_tv)</f>
        <v>2456.36817101827</v>
      </c>
    </row>
    <row r="4096" customFormat="false" ht="15" hidden="false" customHeight="false" outlineLevel="0" collapsed="false">
      <c r="A4096" s="1" t="s">
        <v>1066</v>
      </c>
      <c r="B4096" s="0" t="s">
        <v>98</v>
      </c>
      <c r="C4096" s="6" t="n">
        <f aca="false">Sens!$C$4095/(1+wacc)^(Sens!K4088+mid_yr)</f>
        <v>1364.56843043059</v>
      </c>
    </row>
    <row r="4097" customFormat="false" ht="17.15" hidden="false" customHeight="false" outlineLevel="0" collapsed="false">
      <c r="A4097" s="0" t="s">
        <v>986</v>
      </c>
      <c r="B4097" s="0" t="s">
        <v>98</v>
      </c>
      <c r="C4097" s="6" t="n">
        <f aca="false">Sens!$C$4092+Sens!$C$4096</f>
        <v>1744.23559335983</v>
      </c>
    </row>
    <row r="4098" customFormat="false" ht="15" hidden="false" customHeight="false" outlineLevel="0" collapsed="false">
      <c r="A4098" s="1" t="s">
        <v>987</v>
      </c>
      <c r="B4098" s="0" t="s">
        <v>129</v>
      </c>
      <c r="C4098" s="7" t="n">
        <f aca="false">Sens!$C$4096/Sens!$C$4097</f>
        <v>0.782330343231955</v>
      </c>
    </row>
    <row r="4099" customFormat="false" ht="17.15" hidden="false" customHeight="false" outlineLevel="0" collapsed="false">
      <c r="A4099" s="1" t="s">
        <v>1067</v>
      </c>
      <c r="B4099" s="0" t="s">
        <v>98</v>
      </c>
      <c r="C4099" s="6" t="n">
        <f aca="false">Sens!$C$4097+Sens!E4079-Sens!E4068+oai_v</f>
        <v>1878.74859335983</v>
      </c>
    </row>
    <row r="4100" customFormat="false" ht="17.15" hidden="false" customHeight="false" outlineLevel="0" collapsed="false">
      <c r="A4100" s="0" t="s">
        <v>994</v>
      </c>
      <c r="B4100" s="0" t="s">
        <v>75</v>
      </c>
      <c r="C4100" s="5" t="n">
        <f aca="false">Sens!$C$4099/sh_dil26</f>
        <v>252.079510715126</v>
      </c>
    </row>
    <row r="4101" customFormat="false" ht="15" hidden="false" customHeight="false" outlineLevel="0" collapsed="false">
      <c r="A4101" s="1" t="s">
        <v>1068</v>
      </c>
      <c r="B4101" s="0" t="s">
        <v>75</v>
      </c>
      <c r="C4101" s="8" t="n">
        <f aca="false">dps_27+Sens!G4071*roll_div_q/q_per_yr</f>
        <v>4.8895</v>
      </c>
    </row>
    <row r="4102" customFormat="false" ht="17.15" hidden="false" customHeight="false" outlineLevel="0" collapsed="false">
      <c r="A4102" s="0" t="s">
        <v>1069</v>
      </c>
      <c r="B4102" s="0" t="s">
        <v>75</v>
      </c>
      <c r="C4102" s="5" t="n">
        <f aca="false">Sens!$C$4100*(1+wacc)^t_roll-Sens!$C$4101</f>
        <v>282.161855666626</v>
      </c>
    </row>
    <row r="4103" customFormat="false" ht="17.15" hidden="false" customHeight="false" outlineLevel="0" collapsed="false">
      <c r="A4103" s="1" t="s">
        <v>1070</v>
      </c>
      <c r="B4103" s="0" t="s">
        <v>129</v>
      </c>
      <c r="F4103" s="7" t="n">
        <f aca="false">Sens!F4058/(Sens!F4003-Sens!F3959)</f>
        <v>0.0686864325746334</v>
      </c>
      <c r="G4103" s="7" t="n">
        <f aca="false">Sens!G4058/(Sens!G4003-Sens!G3959)</f>
        <v>0.066267001590801</v>
      </c>
      <c r="H4103" s="7" t="n">
        <f aca="false">Sens!H4058/(Sens!H4003-Sens!H3959)</f>
        <v>0.0650366246750144</v>
      </c>
      <c r="I4103" s="7" t="n">
        <f aca="false">Sens!I4058/(Sens!I4003-Sens!I3959)</f>
        <v>0.0648573271390164</v>
      </c>
      <c r="J4103" s="7" t="n">
        <f aca="false">Sens!J4058/(Sens!J4003-Sens!J3959)</f>
        <v>0.0655189837669657</v>
      </c>
      <c r="K4103" s="7" t="n">
        <f aca="false">Sens!K4058/(Sens!K4003-Sens!K3959)</f>
        <v>0.0667878921367872</v>
      </c>
    </row>
    <row r="4104" customFormat="false" ht="17.15" hidden="false" customHeight="false" outlineLevel="0" collapsed="false">
      <c r="A4104" s="0" t="s">
        <v>1071</v>
      </c>
      <c r="B4104" s="0" t="s">
        <v>98</v>
      </c>
      <c r="F4104" s="6" t="n">
        <f aca="false">Sens!F3988*(al_m365+Sens!F4103+sbc_r)</f>
        <v>82.8871280343675</v>
      </c>
      <c r="G4104" s="6" t="n">
        <f aca="false">Sens!G3988*(al_m365+Sens!G4103+sbc_r)</f>
        <v>93.2646494841949</v>
      </c>
      <c r="H4104" s="6" t="n">
        <f aca="false">Sens!H3988*(al_m365+Sens!H4103+sbc_r)</f>
        <v>103.801656157254</v>
      </c>
      <c r="I4104" s="6" t="n">
        <f aca="false">Sens!I3988*(al_m365+Sens!I4103+sbc_r)</f>
        <v>113.821873816133</v>
      </c>
      <c r="J4104" s="6" t="n">
        <f aca="false">Sens!J3988*(al_m365+Sens!J4103+sbc_r)</f>
        <v>123.136196807334</v>
      </c>
      <c r="K4104" s="6" t="n">
        <f aca="false">Sens!K3988*(al_m365+Sens!K4103+sbc_r)</f>
        <v>132.051675801964</v>
      </c>
      <c r="L4104" s="11" t="s">
        <v>1072</v>
      </c>
    </row>
    <row r="4105" customFormat="false" ht="17.15" hidden="false" customHeight="false" outlineLevel="0" collapsed="false">
      <c r="A4105" s="0" t="s">
        <v>1073</v>
      </c>
      <c r="B4105" s="0" t="s">
        <v>98</v>
      </c>
      <c r="F4105" s="6" t="n">
        <f aca="false">Sens!F3989*(al_lic+Sens!F4103+sbc_r)</f>
        <v>33.4484001235218</v>
      </c>
      <c r="G4105" s="6" t="n">
        <f aca="false">Sens!G3989*(al_lic+Sens!G4103+sbc_r)</f>
        <v>34.7662136749183</v>
      </c>
      <c r="H4105" s="6" t="n">
        <f aca="false">Sens!H3989*(al_lic+Sens!H4103+sbc_r)</f>
        <v>35.9922067034497</v>
      </c>
      <c r="I4105" s="6" t="n">
        <f aca="false">Sens!I3989*(al_lic+Sens!I4103+sbc_r)</f>
        <v>37.1063543598183</v>
      </c>
      <c r="J4105" s="6" t="n">
        <f aca="false">Sens!J3989*(al_lic+Sens!J4103+sbc_r)</f>
        <v>38.0853056964387</v>
      </c>
      <c r="K4105" s="6" t="n">
        <f aca="false">Sens!K3989*(al_lic+Sens!K4103+sbc_r)</f>
        <v>38.9048066370724</v>
      </c>
    </row>
    <row r="4106" customFormat="false" ht="17.15" hidden="false" customHeight="false" outlineLevel="0" collapsed="false">
      <c r="A4106" s="0" t="s">
        <v>1074</v>
      </c>
      <c r="B4106" s="0" t="s">
        <v>98</v>
      </c>
      <c r="F4106" s="6" t="n">
        <f aca="false">Sens!F3991*(al_ind+Sens!F4103+sbc_r)</f>
        <v>9.07857451914073</v>
      </c>
      <c r="G4106" s="6" t="n">
        <f aca="false">Sens!G3991*(al_ind+Sens!G4103+sbc_r)</f>
        <v>9.86487802721884</v>
      </c>
      <c r="H4106" s="6" t="n">
        <f aca="false">Sens!H3991*(al_ind+Sens!H4103+sbc_r)</f>
        <v>10.693809720013</v>
      </c>
      <c r="I4106" s="6" t="n">
        <f aca="false">Sens!I3991*(al_ind+Sens!I4103+sbc_r)</f>
        <v>11.5608645999226</v>
      </c>
      <c r="J4106" s="6" t="n">
        <f aca="false">Sens!J3991*(al_ind+Sens!J4103+sbc_r)</f>
        <v>12.4574161941375</v>
      </c>
      <c r="K4106" s="6" t="n">
        <f aca="false">Sens!K3991*(al_ind+Sens!K4103+sbc_r)</f>
        <v>13.3714153876622</v>
      </c>
    </row>
    <row r="4107" customFormat="false" ht="17.15" hidden="false" customHeight="false" outlineLevel="0" collapsed="false">
      <c r="A4107" s="0" t="s">
        <v>1075</v>
      </c>
      <c r="B4107" s="0" t="s">
        <v>98</v>
      </c>
      <c r="F4107" s="6" t="n">
        <f aca="false">Sens!F3993*(al_fro+Sens!F4103+sbc_r)</f>
        <v>3.57335880380168</v>
      </c>
      <c r="G4107" s="6" t="n">
        <f aca="false">Sens!G3993*(al_fro+Sens!G4103+sbc_r)</f>
        <v>3.78752993435501</v>
      </c>
      <c r="H4107" s="6" t="n">
        <f aca="false">Sens!H3993*(al_fro+Sens!H4103+sbc_r)</f>
        <v>4.02979352544868</v>
      </c>
      <c r="I4107" s="6" t="n">
        <f aca="false">Sens!I3993*(al_fro+Sens!I4103+sbc_r)</f>
        <v>4.30248328262388</v>
      </c>
      <c r="J4107" s="6" t="n">
        <f aca="false">Sens!J3993*(al_fro+Sens!J4103+sbc_r)</f>
        <v>4.6072312462081</v>
      </c>
      <c r="K4107" s="6" t="n">
        <f aca="false">Sens!K3993*(al_fro+Sens!K4103+sbc_r)</f>
        <v>4.94526327289735</v>
      </c>
    </row>
    <row r="4108" customFormat="false" ht="17.15" hidden="false" customHeight="false" outlineLevel="0" collapsed="false">
      <c r="A4108" s="0" t="s">
        <v>1076</v>
      </c>
      <c r="B4108" s="0" t="s">
        <v>98</v>
      </c>
      <c r="F4108" s="6" t="n">
        <f aca="false">Sens!F3996*(al_srch+Sens!F4103+sbc_r)</f>
        <v>11.2121706988551</v>
      </c>
      <c r="G4108" s="6" t="n">
        <f aca="false">Sens!G3996*(al_srch+Sens!G4103+sbc_r)</f>
        <v>12.298220751086</v>
      </c>
      <c r="H4108" s="6" t="n">
        <f aca="false">Sens!H3996*(al_srch+Sens!H4103+sbc_r)</f>
        <v>13.4264661389574</v>
      </c>
      <c r="I4108" s="6" t="n">
        <f aca="false">Sens!I3996*(al_srch+Sens!I4103+sbc_r)</f>
        <v>14.5842947685169</v>
      </c>
      <c r="J4108" s="6" t="n">
        <f aca="false">Sens!J3996*(al_srch+Sens!J4103+sbc_r)</f>
        <v>15.7529827260804</v>
      </c>
      <c r="K4108" s="6" t="n">
        <f aca="false">Sens!K3996*(al_srch+Sens!K4103+sbc_r)</f>
        <v>16.908777257054</v>
      </c>
    </row>
    <row r="4109" customFormat="false" ht="17.15" hidden="false" customHeight="false" outlineLevel="0" collapsed="false">
      <c r="A4109" s="0" t="s">
        <v>1077</v>
      </c>
      <c r="B4109" s="0" t="s">
        <v>98</v>
      </c>
      <c r="F4109" s="6" t="n">
        <f aca="false">Sens!F3965-Sens!F3966+Sens!F4046</f>
        <v>42.6259685326359</v>
      </c>
      <c r="G4109" s="6" t="n">
        <f aca="false">Sens!G3965-Sens!G3966+Sens!G4046</f>
        <v>79.07321143393</v>
      </c>
      <c r="H4109" s="6" t="n">
        <f aca="false">Sens!H3965-Sens!H3966+Sens!H4046</f>
        <v>111.852957592963</v>
      </c>
      <c r="I4109" s="6" t="n">
        <f aca="false">Sens!I3965-Sens!I3966+Sens!I4046</f>
        <v>148.18272639979</v>
      </c>
      <c r="J4109" s="6" t="n">
        <f aca="false">Sens!J3965-Sens!J3966+Sens!J4046</f>
        <v>173.733744981994</v>
      </c>
      <c r="K4109" s="6" t="n">
        <f aca="false">Sens!K3965-Sens!K3966+Sens!K4046</f>
        <v>189.804676784238</v>
      </c>
    </row>
    <row r="4110" customFormat="false" ht="17.15" hidden="false" customHeight="false" outlineLevel="0" collapsed="false">
      <c r="A4110" s="0" t="s">
        <v>1078</v>
      </c>
      <c r="B4110" s="0" t="s">
        <v>98</v>
      </c>
      <c r="F4110" s="6" t="n">
        <f aca="false">Sens!F4025+Sens!F4046+Sens!F3976+Sens!F4103*(Sens!F3995-Sens!F3959)+sbc_r*Sens!F3995</f>
        <v>232.650740606151</v>
      </c>
      <c r="G4110" s="6" t="n">
        <f aca="false">Sens!G4025+Sens!G4046+Sens!G3976+Sens!G4103*(Sens!G3995-Sens!G3959)+sbc_r*Sens!G3995</f>
        <v>294.115890535774</v>
      </c>
      <c r="H4110" s="6" t="n">
        <f aca="false">Sens!H4025+Sens!H4046+Sens!H3976+Sens!H4103*(Sens!H3995-Sens!H3959)+sbc_r*Sens!H3995</f>
        <v>352.156977478024</v>
      </c>
      <c r="I4110" s="6" t="n">
        <f aca="false">Sens!I4025+Sens!I4046+Sens!I3976+Sens!I4103*(Sens!I3995-Sens!I3959)+sbc_r*Sens!I3995</f>
        <v>413.136919555413</v>
      </c>
      <c r="J4110" s="6" t="n">
        <f aca="false">Sens!J4025+Sens!J4046+Sens!J3976+Sens!J4103*(Sens!J3995-Sens!J3959)+sbc_r*Sens!J3995</f>
        <v>461.390707046306</v>
      </c>
      <c r="K4110" s="6" t="n">
        <f aca="false">Sens!K4025+Sens!K4046+Sens!K3976+Sens!K4103*(Sens!K3995-Sens!K3959)+sbc_r*Sens!K3995</f>
        <v>497.822628430133</v>
      </c>
    </row>
    <row r="4111" customFormat="false" ht="17.15" hidden="false" customHeight="false" outlineLevel="0" collapsed="false">
      <c r="A4111" s="0" t="s">
        <v>1079</v>
      </c>
      <c r="B4111" s="0" t="s">
        <v>98</v>
      </c>
      <c r="F4111" s="6" t="n">
        <f aca="false">Sens!F4110-Sens!F4104-Sens!F4105-Sens!F4106-Sens!F4107-Sens!F4109</f>
        <v>61.0373105926833</v>
      </c>
      <c r="G4111" s="6" t="n">
        <f aca="false">Sens!G4110-Sens!G4104-Sens!G4105-Sens!G4106-Sens!G4107-Sens!G4109</f>
        <v>73.3594079811569</v>
      </c>
      <c r="H4111" s="6" t="n">
        <f aca="false">Sens!H4110-Sens!H4104-Sens!H4105-Sens!H4106-Sens!H4107-Sens!H4109</f>
        <v>85.7865537788956</v>
      </c>
      <c r="I4111" s="6" t="n">
        <f aca="false">Sens!I4110-Sens!I4104-Sens!I4105-Sens!I4106-Sens!I4107-Sens!I4109</f>
        <v>98.1626170971242</v>
      </c>
      <c r="J4111" s="6" t="n">
        <f aca="false">Sens!J4110-Sens!J4104-Sens!J4105-Sens!J4106-Sens!J4107-Sens!J4109</f>
        <v>109.370812120193</v>
      </c>
      <c r="K4111" s="6" t="n">
        <f aca="false">Sens!K4110-Sens!K4104-Sens!K4105-Sens!K4106-Sens!K4107-Sens!K4109</f>
        <v>118.744790546298</v>
      </c>
    </row>
    <row r="4112" customFormat="false" ht="17.15" hidden="false" customHeight="false" outlineLevel="0" collapsed="false">
      <c r="A4112" s="0" t="s">
        <v>1080</v>
      </c>
      <c r="B4112" s="0" t="s">
        <v>98</v>
      </c>
      <c r="F4112" s="6" t="n">
        <f aca="false">Sens!F4027+Sens!F4103*Sens!F4002+sbc_r*Sens!F4002</f>
        <v>26.2049549828959</v>
      </c>
      <c r="G4112" s="6" t="n">
        <f aca="false">Sens!G4027+Sens!G4103*Sens!G4002+sbc_r*Sens!G4002</f>
        <v>26.8405806403664</v>
      </c>
      <c r="H4112" s="6" t="n">
        <f aca="false">Sens!H4027+Sens!H4103*Sens!H4002+sbc_r*Sens!H4002</f>
        <v>27.7352032470138</v>
      </c>
      <c r="I4112" s="6" t="n">
        <f aca="false">Sens!I4027+Sens!I4103*Sens!I4002+sbc_r*Sens!I4002</f>
        <v>28.8569155956094</v>
      </c>
      <c r="J4112" s="6" t="n">
        <f aca="false">Sens!J4027+Sens!J4103*Sens!J4002+sbc_r*Sens!J4002</f>
        <v>30.1744385645725</v>
      </c>
      <c r="K4112" s="6" t="n">
        <f aca="false">Sens!K4027+Sens!K4103*Sens!K4002+sbc_r*Sens!K4002</f>
        <v>31.6584976186802</v>
      </c>
    </row>
    <row r="4113" customFormat="false" ht="17.15" hidden="false" customHeight="false" outlineLevel="0" collapsed="false">
      <c r="A4113" s="0" t="s">
        <v>1081</v>
      </c>
      <c r="B4113" s="0" t="s">
        <v>98</v>
      </c>
      <c r="F4113" s="6" t="n">
        <f aca="false">(Sens!F4112-Sens!F4108)*Sens!F3998/(Sens!F3998+Sens!F4000)</f>
        <v>8.21889831690819</v>
      </c>
      <c r="G4113" s="6" t="n">
        <f aca="false">(Sens!G4112-Sens!G4108)*Sens!G3998/(Sens!G3998+Sens!G4000)</f>
        <v>7.82984014749099</v>
      </c>
      <c r="H4113" s="6" t="n">
        <f aca="false">(Sens!H4112-Sens!H4108)*Sens!H3998/(Sens!H3998+Sens!H4000)</f>
        <v>7.5999849964554</v>
      </c>
      <c r="I4113" s="6" t="n">
        <f aca="false">(Sens!I4112-Sens!I4108)*Sens!I3998/(Sens!I3998+Sens!I4000)</f>
        <v>7.51221089422364</v>
      </c>
      <c r="J4113" s="6" t="n">
        <f aca="false">(Sens!J4112-Sens!J4108)*Sens!J3998/(Sens!J3998+Sens!J4000)</f>
        <v>7.55622411401827</v>
      </c>
      <c r="K4113" s="6" t="n">
        <f aca="false">(Sens!K4112-Sens!K4108)*Sens!K3998/(Sens!K3998+Sens!K4000)</f>
        <v>7.72822064011532</v>
      </c>
    </row>
    <row r="4114" customFormat="false" ht="17.15" hidden="false" customHeight="false" outlineLevel="0" collapsed="false">
      <c r="A4114" s="0" t="s">
        <v>1082</v>
      </c>
      <c r="B4114" s="0" t="s">
        <v>98</v>
      </c>
      <c r="F4114" s="6" t="n">
        <f aca="false">Sens!F4112-Sens!F4108-Sens!F4113</f>
        <v>6.77388596713263</v>
      </c>
      <c r="G4114" s="6" t="n">
        <f aca="false">Sens!G4112-Sens!G4108-Sens!G4113</f>
        <v>6.71251974178949</v>
      </c>
      <c r="H4114" s="6" t="n">
        <f aca="false">Sens!H4112-Sens!H4108-Sens!H4113</f>
        <v>6.70875211160101</v>
      </c>
      <c r="I4114" s="6" t="n">
        <f aca="false">Sens!I4112-Sens!I4108-Sens!I4113</f>
        <v>6.76040993286883</v>
      </c>
      <c r="J4114" s="6" t="n">
        <f aca="false">Sens!J4112-Sens!J4108-Sens!J4113</f>
        <v>6.86523172447386</v>
      </c>
      <c r="K4114" s="6" t="n">
        <f aca="false">Sens!K4112-Sens!K4108-Sens!K4113</f>
        <v>7.02149972151092</v>
      </c>
    </row>
    <row r="4115" customFormat="false" ht="17.15" hidden="false" customHeight="false" outlineLevel="0" collapsed="false">
      <c r="A4115" s="0" t="s">
        <v>1083</v>
      </c>
      <c r="B4115" s="0" t="s">
        <v>98</v>
      </c>
      <c r="F4115" s="6" t="n">
        <f aca="false">Sens!F4109-tax_f*(Sens!F4109-Sens!F3976)-Sens!F3973</f>
        <v>-153.827356718831</v>
      </c>
      <c r="G4115" s="6" t="n">
        <f aca="false">Sens!G4109-tax_f*(Sens!G4109-Sens!G3976)-Sens!G3973</f>
        <v>-143.653836979458</v>
      </c>
      <c r="H4115" s="6" t="n">
        <f aca="false">Sens!H4109-tax_f*(Sens!H4109-Sens!H3976)-Sens!H3973</f>
        <v>-116.300826708999</v>
      </c>
      <c r="I4115" s="6" t="n">
        <f aca="false">Sens!I4109-tax_f*(Sens!I4109-Sens!I3976)-Sens!I3973</f>
        <v>-45.667309725478</v>
      </c>
      <c r="J4115" s="6" t="n">
        <f aca="false">Sens!J4109-tax_f*(Sens!J4109-Sens!J3976)-Sens!J3973</f>
        <v>26.2729565388098</v>
      </c>
      <c r="K4115" s="6" t="n">
        <f aca="false">Sens!K4109-tax_f*(Sens!K4109-Sens!K3976)-Sens!K3973</f>
        <v>58.1117939945208</v>
      </c>
    </row>
    <row r="4116" customFormat="false" ht="17.15" hidden="false" customHeight="false" outlineLevel="0" collapsed="false">
      <c r="A4116" s="0" t="s">
        <v>1084</v>
      </c>
      <c r="B4116" s="0" t="s">
        <v>98</v>
      </c>
      <c r="G4116" s="6" t="n">
        <f aca="false">Sens!G4115/(1+wacc)^(Sens!G4088-(Sens!F4088+mid_yr))</f>
        <v>-136.786231665239</v>
      </c>
      <c r="H4116" s="6" t="n">
        <f aca="false">Sens!H4115/(1+wacc)^(Sens!H4088-(Sens!F4088+mid_yr))</f>
        <v>-100.405676457305</v>
      </c>
      <c r="I4116" s="6" t="n">
        <f aca="false">Sens!I4115/(1+wacc)^(Sens!I4088-(Sens!F4088+mid_yr))</f>
        <v>-35.7463087565162</v>
      </c>
      <c r="J4116" s="6" t="n">
        <f aca="false">Sens!J4115/(1+wacc)^(Sens!J4088-(Sens!F4088+mid_yr))</f>
        <v>18.6459721584799</v>
      </c>
      <c r="K4116" s="6" t="n">
        <f aca="false">Sens!K4115/(1+wacc)^(Sens!K4088-(Sens!F4088+mid_yr))</f>
        <v>37.3930316104327</v>
      </c>
      <c r="L4116" s="1" t="s">
        <v>1085</v>
      </c>
    </row>
    <row r="4117" customFormat="false" ht="17.15" hidden="false" customHeight="false" outlineLevel="0" collapsed="false">
      <c r="A4117" s="0" t="s">
        <v>1086</v>
      </c>
      <c r="B4117" s="0" t="s">
        <v>98</v>
      </c>
      <c r="C4117" s="6" t="n">
        <f aca="false">(Sens!K4109-Sens!K3976)*(1-tax_f)*(1+g_tv)*(1-g_tv/(wacc+ronic_prem))/(wacc-g_tv)/(1+wacc)^(Sens!K4088+mid_yr-(Sens!F4088+mid_yr))</f>
        <v>138.663908619516</v>
      </c>
    </row>
    <row r="4118" customFormat="false" ht="17.15" hidden="false" customHeight="false" outlineLevel="0" collapsed="false">
      <c r="A4118" s="1" t="s">
        <v>1087</v>
      </c>
      <c r="B4118" s="0" t="s">
        <v>98</v>
      </c>
      <c r="C4118" s="6" t="n">
        <f aca="false">(SUM(Sens!G4116:K4116)+Sens!$C$4117)*(1+wacc)^(t_roll-(Sens!F4088+mid_yr))</f>
        <v>-80.7746606146292</v>
      </c>
      <c r="L4118" s="11" t="s">
        <v>1088</v>
      </c>
    </row>
    <row r="4119" customFormat="false" ht="17.15" hidden="false" customHeight="false" outlineLevel="0" collapsed="false">
      <c r="A4119" s="1" t="s">
        <v>1089</v>
      </c>
      <c r="B4119" s="0" t="s">
        <v>98</v>
      </c>
      <c r="C4119" s="6" t="n">
        <f aca="false">(w_ntm28*Sens!G3965+(1-w_ntm28)*Sens!H3965)*m_ai</f>
        <v>385.159167159321</v>
      </c>
    </row>
    <row r="4120" customFormat="false" ht="17.15" hidden="false" customHeight="false" outlineLevel="0" collapsed="false">
      <c r="A4120" s="1" t="s">
        <v>1090</v>
      </c>
      <c r="B4120" s="0" t="s">
        <v>98</v>
      </c>
      <c r="C4120" s="6" t="n">
        <f aca="false">(w_ntm28*Sens!G4111+(1-w_ntm28)*Sens!H4111)*m_cloud</f>
        <v>1069.3494629054</v>
      </c>
    </row>
    <row r="4121" customFormat="false" ht="17.15" hidden="false" customHeight="false" outlineLevel="0" collapsed="false">
      <c r="A4121" s="1" t="s">
        <v>1091</v>
      </c>
      <c r="B4121" s="0" t="s">
        <v>98</v>
      </c>
      <c r="C4121" s="6" t="n">
        <f aca="false">(w_ntm28*Sens!G4104+(1-w_ntm28)*Sens!H4104)*m_sw</f>
        <v>1044.04824539957</v>
      </c>
    </row>
    <row r="4122" customFormat="false" ht="17.15" hidden="false" customHeight="false" outlineLevel="0" collapsed="false">
      <c r="A4122" s="1" t="s">
        <v>1092</v>
      </c>
      <c r="B4122" s="0" t="s">
        <v>98</v>
      </c>
      <c r="C4122" s="6" t="n">
        <f aca="false">(w_ntm28*Sens!G4105+(1-w_ntm28)*Sens!H4105)*m_sw</f>
        <v>379.755670745447</v>
      </c>
    </row>
    <row r="4123" customFormat="false" ht="17.15" hidden="false" customHeight="false" outlineLevel="0" collapsed="false">
      <c r="A4123" s="1" t="s">
        <v>1093</v>
      </c>
      <c r="B4123" s="0" t="s">
        <v>98</v>
      </c>
      <c r="C4123" s="6" t="n">
        <f aca="false">(w_ntm28*Sens!G4106+(1-w_ntm28)*Sens!H4106)*m_sw</f>
        <v>109.434903376969</v>
      </c>
    </row>
    <row r="4124" customFormat="false" ht="17.15" hidden="false" customHeight="false" outlineLevel="0" collapsed="false">
      <c r="A4124" s="1" t="s">
        <v>1094</v>
      </c>
      <c r="B4124" s="0" t="s">
        <v>98</v>
      </c>
      <c r="C4124" s="6" t="n">
        <f aca="false">(w_ntm28*Sens!G4107+(1-w_ntm28)*Sens!H4107)*m_sw</f>
        <v>41.7511882786773</v>
      </c>
    </row>
    <row r="4125" customFormat="false" ht="17.15" hidden="false" customHeight="false" outlineLevel="0" collapsed="false">
      <c r="A4125" s="1" t="s">
        <v>1095</v>
      </c>
      <c r="B4125" s="0" t="s">
        <v>98</v>
      </c>
      <c r="C4125" s="6" t="n">
        <f aca="false">(w_ntm28*Sens!G4108+(1-w_ntm28)*Sens!H4108)*m_ads</f>
        <v>115.359643719254</v>
      </c>
    </row>
    <row r="4126" customFormat="false" ht="17.15" hidden="false" customHeight="false" outlineLevel="0" collapsed="false">
      <c r="A4126" s="1" t="s">
        <v>1096</v>
      </c>
      <c r="B4126" s="0" t="s">
        <v>98</v>
      </c>
      <c r="C4126" s="6" t="n">
        <f aca="false">(w_ntm28*Sens!G4113+(1-w_ntm28)*Sens!H4113)*m_game</f>
        <v>97.9523541428266</v>
      </c>
    </row>
    <row r="4127" customFormat="false" ht="17.15" hidden="false" customHeight="false" outlineLevel="0" collapsed="false">
      <c r="A4127" s="1" t="s">
        <v>1097</v>
      </c>
      <c r="B4127" s="0" t="s">
        <v>98</v>
      </c>
      <c r="C4127" s="6" t="n">
        <f aca="false">(w_ntm28*Sens!G4114+(1-w_ntm28)*Sens!H4114)*m_pc</f>
        <v>97.1125357928949</v>
      </c>
    </row>
    <row r="4128" customFormat="false" ht="17.15" hidden="false" customHeight="false" outlineLevel="0" collapsed="false">
      <c r="A4128" s="1" t="s">
        <v>1098</v>
      </c>
      <c r="B4128" s="0" t="s">
        <v>98</v>
      </c>
      <c r="C4128" s="6" t="n">
        <f aca="false">Sens!$C$4118+Sens!$C$4120+Sens!$C$4121+Sens!$C$4122+Sens!$C$4123+Sens!$C$4124+Sens!$C$4125+Sens!$C$4126+Sens!$C$4127</f>
        <v>2873.98934374641</v>
      </c>
    </row>
    <row r="4129" customFormat="false" ht="17.15" hidden="false" customHeight="false" outlineLevel="0" collapsed="false">
      <c r="A4129" s="1" t="s">
        <v>1099</v>
      </c>
      <c r="B4129" s="0" t="s">
        <v>98</v>
      </c>
      <c r="C4129" s="6" t="n">
        <f aca="false">(Sens!G4090-Sens!G4115)*t_stub</f>
        <v>46.8265556979999</v>
      </c>
      <c r="L4129" s="1" t="s">
        <v>1100</v>
      </c>
    </row>
    <row r="4130" customFormat="false" ht="17.15" hidden="false" customHeight="false" outlineLevel="0" collapsed="false">
      <c r="A4130" s="1" t="s">
        <v>1014</v>
      </c>
      <c r="B4130" s="0" t="s">
        <v>98</v>
      </c>
      <c r="C4130" s="6" t="n">
        <f aca="false">Sens!F4079+oai_v-Sens!F4068+Sens!$C$4129</f>
        <v>129.325150013942</v>
      </c>
      <c r="L4130" s="1" t="s">
        <v>1101</v>
      </c>
    </row>
    <row r="4131" customFormat="false" ht="17.15" hidden="false" customHeight="false" outlineLevel="0" collapsed="false">
      <c r="A4131" s="1" t="s">
        <v>1102</v>
      </c>
      <c r="B4131" s="0" t="s">
        <v>75</v>
      </c>
      <c r="C4131" s="5" t="n">
        <f aca="false">(Sens!$C$4128+Sens!$C$4130)/(Sens!F4081+dil_gap)-Sens!G4071*roll_div_q/q_per_yr</f>
        <v>399.616115496311</v>
      </c>
      <c r="L4131" s="1" t="s">
        <v>1103</v>
      </c>
    </row>
    <row r="4132" customFormat="false" ht="17.15" hidden="false" customHeight="false" outlineLevel="0" collapsed="false">
      <c r="A4132" s="1" t="s">
        <v>1104</v>
      </c>
      <c r="B4132" s="0" t="s">
        <v>75</v>
      </c>
      <c r="C4132" s="5" t="n">
        <f aca="false">w_dcf*Sens!$C$4102+(1-w_dcf)*Sens!$C$4131</f>
        <v>340.888985581469</v>
      </c>
    </row>
    <row r="4133" customFormat="false" ht="17.15" hidden="false" customHeight="false" outlineLevel="0" collapsed="false">
      <c r="A4133" s="3" t="s">
        <v>1367</v>
      </c>
    </row>
    <row r="4134" customFormat="false" ht="15" hidden="false" customHeight="false" outlineLevel="0" collapsed="false">
      <c r="A4134" s="4" t="s">
        <v>43</v>
      </c>
      <c r="B4134" s="4" t="s">
        <v>65</v>
      </c>
      <c r="C4134" s="20" t="s">
        <v>799</v>
      </c>
      <c r="D4134" s="20" t="s">
        <v>800</v>
      </c>
      <c r="E4134" s="20" t="s">
        <v>801</v>
      </c>
      <c r="F4134" s="20" t="s">
        <v>802</v>
      </c>
      <c r="G4134" s="20" t="s">
        <v>803</v>
      </c>
      <c r="H4134" s="20" t="s">
        <v>804</v>
      </c>
      <c r="I4134" s="20" t="s">
        <v>805</v>
      </c>
      <c r="J4134" s="20" t="s">
        <v>806</v>
      </c>
      <c r="K4134" s="20" t="s">
        <v>807</v>
      </c>
      <c r="L4134" s="4" t="s">
        <v>47</v>
      </c>
    </row>
    <row r="4135" customFormat="false" ht="17.15" hidden="false" customHeight="false" outlineLevel="0" collapsed="false">
      <c r="A4135" s="1" t="s">
        <v>808</v>
      </c>
      <c r="B4135" s="1" t="s">
        <v>235</v>
      </c>
      <c r="C4135" s="28" t="n">
        <v>2024</v>
      </c>
      <c r="D4135" s="28" t="n">
        <v>2025</v>
      </c>
      <c r="E4135" s="28" t="n">
        <v>2026</v>
      </c>
      <c r="F4135" s="28" t="n">
        <v>2027</v>
      </c>
      <c r="G4135" s="28" t="n">
        <v>2028</v>
      </c>
      <c r="H4135" s="28" t="n">
        <v>2029</v>
      </c>
      <c r="I4135" s="28" t="n">
        <v>2030</v>
      </c>
      <c r="J4135" s="28" t="n">
        <v>2031</v>
      </c>
      <c r="K4135" s="28" t="n">
        <v>2032</v>
      </c>
    </row>
    <row r="4136" customFormat="false" ht="17.15" hidden="false" customHeight="false" outlineLevel="0" collapsed="false">
      <c r="A4136" s="1" t="s">
        <v>809</v>
      </c>
      <c r="B4136" s="0" t="s">
        <v>399</v>
      </c>
      <c r="F4136" s="29" t="n">
        <f aca="false">pace</f>
        <v>2527.2</v>
      </c>
      <c r="G4136" s="29" t="n">
        <f aca="false">pace</f>
        <v>2527.2</v>
      </c>
      <c r="H4136" s="29" t="n">
        <f aca="false">pace</f>
        <v>2527.2</v>
      </c>
      <c r="I4136" s="29" t="n">
        <f aca="false">pace+(g_tv*Sens!H4137-pace)*MIN(1,(Sens!I4135-pace_y0)/(pace_y1-pace_y0))</f>
        <v>1793.116</v>
      </c>
      <c r="J4136" s="29" t="n">
        <f aca="false">pace+(g_tv*Sens!I4137-pace)*MIN(1,(Sens!J4135-pace_y0)/(pace_y1-pace_y0))</f>
        <v>1094.89432</v>
      </c>
      <c r="K4136" s="29" t="n">
        <f aca="false">pace+(g_tv*Sens!J4137-pace)*MIN(1,(Sens!K4135-pace_y0)/(pace_y1-pace_y0))</f>
        <v>411.5883096</v>
      </c>
      <c r="L4136" s="11" t="s">
        <v>810</v>
      </c>
    </row>
    <row r="4137" customFormat="false" ht="17.15" hidden="false" customHeight="false" outlineLevel="0" collapsed="false">
      <c r="A4137" s="1" t="s">
        <v>811</v>
      </c>
      <c r="B4137" s="0" t="s">
        <v>399</v>
      </c>
      <c r="C4137" s="29" t="n">
        <f aca="false">mw_ext_24</f>
        <v>640</v>
      </c>
      <c r="D4137" s="29" t="n">
        <f aca="false">mw_ext_25</f>
        <v>1630</v>
      </c>
      <c r="E4137" s="29" t="n">
        <f aca="false">mw_ext_26</f>
        <v>3250</v>
      </c>
      <c r="F4137" s="29" t="n">
        <f aca="false">Sens!E4137+Sens!F4136</f>
        <v>5777.2</v>
      </c>
      <c r="G4137" s="29" t="n">
        <f aca="false">Sens!F4137+Sens!G4136</f>
        <v>8304.4</v>
      </c>
      <c r="H4137" s="29" t="n">
        <f aca="false">Sens!G4137+Sens!H4136</f>
        <v>10831.6</v>
      </c>
      <c r="I4137" s="29" t="n">
        <f aca="false">Sens!H4137+Sens!I4136</f>
        <v>12624.716</v>
      </c>
      <c r="J4137" s="29" t="n">
        <f aca="false">Sens!I4137+Sens!J4136</f>
        <v>13719.61032</v>
      </c>
      <c r="K4137" s="29" t="n">
        <f aca="false">Sens!J4137+Sens!K4136</f>
        <v>14131.1986296</v>
      </c>
      <c r="L4137" s="1" t="s">
        <v>812</v>
      </c>
    </row>
    <row r="4138" customFormat="false" ht="17.15" hidden="false" customHeight="false" outlineLevel="0" collapsed="false">
      <c r="A4138" s="1" t="s">
        <v>813</v>
      </c>
      <c r="B4138" s="0" t="s">
        <v>399</v>
      </c>
      <c r="C4138" s="29" t="n">
        <f aca="false">rent_ext_24</f>
        <v>150</v>
      </c>
      <c r="D4138" s="29" t="n">
        <f aca="false">rent_ext_25</f>
        <v>400</v>
      </c>
      <c r="E4138" s="29" t="n">
        <f aca="false">rent_ext_26</f>
        <v>550</v>
      </c>
      <c r="F4138" s="29" t="n">
        <f aca="false">rent_ext_f</f>
        <v>756</v>
      </c>
      <c r="G4138" s="29" t="n">
        <f aca="false">rent_ext_f</f>
        <v>756</v>
      </c>
      <c r="H4138" s="29" t="n">
        <f aca="false">rent_ext_f</f>
        <v>756</v>
      </c>
      <c r="I4138" s="29" t="n">
        <f aca="false">rent_ext_f</f>
        <v>756</v>
      </c>
      <c r="J4138" s="29" t="n">
        <f aca="false">rent_ext_f</f>
        <v>756</v>
      </c>
      <c r="K4138" s="29" t="n">
        <f aca="false">rent_ext_f</f>
        <v>756</v>
      </c>
      <c r="L4138" s="1" t="s">
        <v>814</v>
      </c>
    </row>
    <row r="4139" customFormat="false" ht="17.15" hidden="false" customHeight="false" outlineLevel="0" collapsed="false">
      <c r="A4139" s="1" t="s">
        <v>815</v>
      </c>
      <c r="B4139" s="0" t="s">
        <v>399</v>
      </c>
      <c r="C4139" s="29" t="n">
        <f aca="false">Sens!C4137-Sens!C4138</f>
        <v>490</v>
      </c>
      <c r="D4139" s="29" t="n">
        <f aca="false">Sens!D4137-Sens!D4138</f>
        <v>1230</v>
      </c>
      <c r="E4139" s="29" t="n">
        <f aca="false">Sens!E4137-Sens!E4138</f>
        <v>2700</v>
      </c>
      <c r="F4139" s="29" t="n">
        <f aca="false">Sens!F4137-Sens!F4138</f>
        <v>5021.2</v>
      </c>
      <c r="G4139" s="29" t="n">
        <f aca="false">Sens!G4137-Sens!G4138</f>
        <v>7548.4</v>
      </c>
      <c r="H4139" s="29" t="n">
        <f aca="false">Sens!H4137-Sens!H4138</f>
        <v>10075.6</v>
      </c>
      <c r="I4139" s="29" t="n">
        <f aca="false">Sens!I4137-Sens!I4138</f>
        <v>11868.716</v>
      </c>
      <c r="J4139" s="29" t="n">
        <f aca="false">Sens!J4137-Sens!J4138</f>
        <v>12963.61032</v>
      </c>
      <c r="K4139" s="29" t="n">
        <f aca="false">Sens!K4137-Sens!K4138</f>
        <v>13375.1986296</v>
      </c>
    </row>
    <row r="4140" customFormat="false" ht="17.15" hidden="false" customHeight="false" outlineLevel="0" collapsed="false">
      <c r="A4140" s="1" t="s">
        <v>816</v>
      </c>
      <c r="B4140" s="0" t="s">
        <v>399</v>
      </c>
      <c r="C4140" s="29" t="n">
        <f aca="false">Sens!C4139/ext_sh</f>
        <v>816.666666666667</v>
      </c>
      <c r="D4140" s="29" t="n">
        <f aca="false">Sens!D4139/ext_sh</f>
        <v>2050</v>
      </c>
      <c r="E4140" s="29" t="n">
        <f aca="false">Sens!E4139/ext_sh</f>
        <v>4500</v>
      </c>
      <c r="F4140" s="29" t="n">
        <f aca="false">Sens!F4139/ext_sh</f>
        <v>8368.66666666667</v>
      </c>
      <c r="G4140" s="29" t="n">
        <f aca="false">Sens!G4139/ext_sh</f>
        <v>12580.6666666667</v>
      </c>
      <c r="H4140" s="29" t="n">
        <f aca="false">Sens!H4139/ext_sh</f>
        <v>16792.6666666667</v>
      </c>
      <c r="I4140" s="29" t="n">
        <f aca="false">Sens!I4139/ext_sh</f>
        <v>19781.1933333333</v>
      </c>
      <c r="J4140" s="29" t="n">
        <f aca="false">Sens!J4139/ext_sh</f>
        <v>21606.0172</v>
      </c>
      <c r="K4140" s="29" t="n">
        <f aca="false">Sens!K4139/ext_sh</f>
        <v>22291.997716</v>
      </c>
      <c r="L4140" s="1" t="s">
        <v>817</v>
      </c>
    </row>
    <row r="4141" customFormat="false" ht="17.15" hidden="false" customHeight="false" outlineLevel="0" collapsed="false">
      <c r="A4141" s="1" t="s">
        <v>818</v>
      </c>
      <c r="B4141" s="0" t="s">
        <v>399</v>
      </c>
      <c r="C4141" s="29" t="n">
        <f aca="false">Sens!C4140-Sens!C4139</f>
        <v>326.666666666667</v>
      </c>
      <c r="D4141" s="29" t="n">
        <f aca="false">Sens!D4140-Sens!D4139</f>
        <v>820</v>
      </c>
      <c r="E4141" s="29" t="n">
        <f aca="false">Sens!E4140-Sens!E4139</f>
        <v>1800</v>
      </c>
      <c r="F4141" s="29" t="n">
        <f aca="false">Sens!F4140-Sens!F4139</f>
        <v>3347.46666666667</v>
      </c>
      <c r="G4141" s="29" t="n">
        <f aca="false">Sens!G4140-Sens!G4139</f>
        <v>5032.26666666667</v>
      </c>
      <c r="H4141" s="29" t="n">
        <f aca="false">Sens!H4140-Sens!H4139</f>
        <v>6717.06666666667</v>
      </c>
      <c r="I4141" s="29" t="n">
        <f aca="false">Sens!I4140-Sens!I4139</f>
        <v>7912.47733333333</v>
      </c>
      <c r="J4141" s="29" t="n">
        <f aca="false">Sens!J4140-Sens!J4139</f>
        <v>8642.40688</v>
      </c>
      <c r="K4141" s="29" t="n">
        <f aca="false">Sens!K4140-Sens!K4139</f>
        <v>8916.7990864</v>
      </c>
    </row>
    <row r="4142" customFormat="false" ht="17.15" hidden="false" customHeight="false" outlineLevel="0" collapsed="false">
      <c r="A4142" s="1" t="s">
        <v>819</v>
      </c>
      <c r="B4142" s="0" t="s">
        <v>399</v>
      </c>
      <c r="C4142" s="29" t="n">
        <f aca="false">Sens!C4140</f>
        <v>816.666666666667</v>
      </c>
      <c r="D4142" s="29" t="n">
        <f aca="false">Sens!D4140-Sens!C4140</f>
        <v>1233.33333333333</v>
      </c>
      <c r="E4142" s="29" t="n">
        <f aca="false">Sens!E4140-Sens!D4140</f>
        <v>2450</v>
      </c>
      <c r="F4142" s="29" t="n">
        <f aca="false">Sens!F4140-Sens!E4140</f>
        <v>3868.66666666667</v>
      </c>
      <c r="G4142" s="29" t="n">
        <f aca="false">Sens!G4140-Sens!F4140</f>
        <v>4212</v>
      </c>
      <c r="H4142" s="29" t="n">
        <f aca="false">Sens!H4140-Sens!G4140</f>
        <v>4212</v>
      </c>
      <c r="I4142" s="29" t="n">
        <f aca="false">Sens!I4140-Sens!H4140</f>
        <v>2988.52666666667</v>
      </c>
      <c r="J4142" s="29" t="n">
        <f aca="false">Sens!J4140-Sens!I4140</f>
        <v>1824.82386666667</v>
      </c>
      <c r="K4142" s="29" t="n">
        <f aca="false">Sens!K4140-Sens!J4140</f>
        <v>685.980516</v>
      </c>
    </row>
    <row r="4143" customFormat="false" ht="17.15" hidden="false" customHeight="false" outlineLevel="0" collapsed="false">
      <c r="A4143" s="1" t="s">
        <v>820</v>
      </c>
      <c r="B4143" s="0" t="s">
        <v>399</v>
      </c>
      <c r="D4143" s="29" t="n">
        <f aca="false">Sens!D4137-Sens!C4137</f>
        <v>990</v>
      </c>
      <c r="E4143" s="29" t="n">
        <f aca="false">Sens!E4137-Sens!D4137</f>
        <v>1620</v>
      </c>
      <c r="F4143" s="29" t="n">
        <f aca="false">Sens!F4137-Sens!E4137</f>
        <v>2527.2</v>
      </c>
      <c r="G4143" s="29" t="n">
        <f aca="false">Sens!G4137-Sens!F4137</f>
        <v>2527.2</v>
      </c>
      <c r="H4143" s="29" t="n">
        <f aca="false">Sens!H4137-Sens!G4137</f>
        <v>2527.2</v>
      </c>
      <c r="I4143" s="29" t="n">
        <f aca="false">Sens!I4137-Sens!H4137</f>
        <v>1793.116</v>
      </c>
      <c r="J4143" s="29" t="n">
        <f aca="false">Sens!J4137-Sens!I4137</f>
        <v>1094.89432</v>
      </c>
      <c r="K4143" s="29" t="n">
        <f aca="false">Sens!K4137-Sens!J4137</f>
        <v>411.5883096</v>
      </c>
    </row>
    <row r="4144" customFormat="false" ht="17.15" hidden="false" customHeight="false" outlineLevel="0" collapsed="false">
      <c r="A4144" s="1" t="s">
        <v>821</v>
      </c>
      <c r="B4144" s="0" t="s">
        <v>399</v>
      </c>
      <c r="F4144" s="29" t="n">
        <f aca="false">Sens!F4161*ext_sh</f>
        <v>0</v>
      </c>
      <c r="G4144" s="29" t="n">
        <f aca="false">Sens!G4161*ext_sh</f>
        <v>0</v>
      </c>
      <c r="H4144" s="29" t="n">
        <f aca="false">Sens!H4161*ext_sh</f>
        <v>490</v>
      </c>
      <c r="I4144" s="29" t="n">
        <f aca="false">Sens!I4161*ext_sh</f>
        <v>740</v>
      </c>
      <c r="J4144" s="29" t="n">
        <f aca="false">Sens!J4161*ext_sh</f>
        <v>1470</v>
      </c>
      <c r="K4144" s="29" t="n">
        <f aca="false">Sens!K4161*ext_sh</f>
        <v>2321.2</v>
      </c>
      <c r="L4144" s="1" t="s">
        <v>822</v>
      </c>
    </row>
    <row r="4145" customFormat="false" ht="17.15" hidden="false" customHeight="false" outlineLevel="0" collapsed="false">
      <c r="A4145" s="1" t="s">
        <v>823</v>
      </c>
      <c r="B4145" s="0" t="s">
        <v>399</v>
      </c>
      <c r="C4145" s="29" t="n">
        <f aca="false">mix_h*Sens!C4137</f>
        <v>128</v>
      </c>
      <c r="D4145" s="29" t="n">
        <f aca="false">mix_h*Sens!D4137</f>
        <v>326</v>
      </c>
      <c r="E4145" s="29" t="n">
        <f aca="false">mix_h*Sens!E4137</f>
        <v>650</v>
      </c>
      <c r="F4145" s="29" t="n">
        <f aca="false">Sens!E4145-Sens!F4144*mix_h</f>
        <v>650</v>
      </c>
      <c r="G4145" s="29" t="n">
        <f aca="false">Sens!F4145-Sens!G4144*mix_h</f>
        <v>650</v>
      </c>
      <c r="H4145" s="29" t="n">
        <f aca="false">Sens!G4145-Sens!H4144*mix_h</f>
        <v>552</v>
      </c>
      <c r="I4145" s="29" t="n">
        <f aca="false">Sens!H4145-Sens!I4144*mix_h</f>
        <v>404</v>
      </c>
      <c r="J4145" s="29" t="n">
        <f aca="false">Sens!I4145-Sens!J4144*mix_h</f>
        <v>110</v>
      </c>
      <c r="K4145" s="29" t="n">
        <f aca="false">Sens!J4145-Sens!K4144*mix_h</f>
        <v>-354.24</v>
      </c>
    </row>
    <row r="4146" customFormat="false" ht="17.15" hidden="false" customHeight="false" outlineLevel="0" collapsed="false">
      <c r="A4146" s="1" t="s">
        <v>824</v>
      </c>
      <c r="B4146" s="0" t="s">
        <v>399</v>
      </c>
      <c r="C4146" s="29" t="n">
        <f aca="false">mix_g2*Sens!C4137</f>
        <v>288</v>
      </c>
      <c r="D4146" s="29" t="n">
        <f aca="false">mix_g2*Sens!D4137</f>
        <v>733.5</v>
      </c>
      <c r="E4146" s="29" t="n">
        <f aca="false">mix_g2*Sens!E4137</f>
        <v>1462.5</v>
      </c>
      <c r="F4146" s="29" t="n">
        <f aca="false">Sens!E4146-Sens!F4144*mix_g2</f>
        <v>1462.5</v>
      </c>
      <c r="G4146" s="29" t="n">
        <f aca="false">Sens!F4146-Sens!G4144*mix_g2</f>
        <v>1462.5</v>
      </c>
      <c r="H4146" s="29" t="n">
        <f aca="false">Sens!G4146-Sens!H4144*mix_g2</f>
        <v>1242</v>
      </c>
      <c r="I4146" s="29" t="n">
        <f aca="false">Sens!H4146-Sens!I4144*mix_g2</f>
        <v>909</v>
      </c>
      <c r="J4146" s="29" t="n">
        <f aca="false">Sens!I4146-Sens!J4144*mix_g2</f>
        <v>247.5</v>
      </c>
      <c r="K4146" s="29" t="n">
        <f aca="false">Sens!J4146-Sens!K4144*mix_g2</f>
        <v>-797.04</v>
      </c>
    </row>
    <row r="4147" customFormat="false" ht="17.15" hidden="false" customHeight="false" outlineLevel="0" collapsed="false">
      <c r="A4147" s="1" t="s">
        <v>825</v>
      </c>
      <c r="B4147" s="0" t="s">
        <v>399</v>
      </c>
      <c r="C4147" s="29" t="n">
        <f aca="false">mix_g3*Sens!C4137</f>
        <v>224</v>
      </c>
      <c r="D4147" s="29" t="n">
        <f aca="false">mix_g3*Sens!D4137</f>
        <v>570.5</v>
      </c>
      <c r="E4147" s="29" t="n">
        <f aca="false">mix_g3*Sens!E4137</f>
        <v>1137.5</v>
      </c>
      <c r="F4147" s="29" t="n">
        <f aca="false">Sens!E4147+(Sens!F4143+Sens!F4144)*a_g3_27-Sens!F4144*mix_g3</f>
        <v>2906.54</v>
      </c>
      <c r="G4147" s="29" t="n">
        <f aca="false">Sens!F4147+(Sens!G4143+Sens!G4144)*a_g3_28-Sens!G4144*mix_g3</f>
        <v>3664.7</v>
      </c>
      <c r="H4147" s="29" t="n">
        <f aca="false">Sens!G4147+(Sens!H4143+Sens!H4144)*a_g3_29-Sens!H4144*mix_g3</f>
        <v>3794.92</v>
      </c>
      <c r="I4147" s="29" t="n">
        <f aca="false">Sens!H4147+(Sens!I4143+Sens!I4144)*a_g3_29-Sens!I4144*mix_g3</f>
        <v>3789.2316</v>
      </c>
      <c r="J4147" s="29" t="n">
        <f aca="false">Sens!I4147+(Sens!J4143+Sens!J4144)*a_g3_29-Sens!J4144*mix_g3</f>
        <v>3531.221032</v>
      </c>
      <c r="K4147" s="29" t="n">
        <f aca="false">Sens!J4147+(Sens!K4143+Sens!K4144)*a_g3_29-Sens!K4144*mix_g3</f>
        <v>2992.07986296</v>
      </c>
    </row>
    <row r="4148" customFormat="false" ht="17.15" hidden="false" customHeight="false" outlineLevel="0" collapsed="false">
      <c r="A4148" s="1" t="s">
        <v>826</v>
      </c>
      <c r="B4148" s="0" t="s">
        <v>399</v>
      </c>
      <c r="C4148" s="29" t="n">
        <v>0</v>
      </c>
      <c r="D4148" s="29" t="n">
        <v>0</v>
      </c>
      <c r="E4148" s="29" t="n">
        <v>0</v>
      </c>
      <c r="F4148" s="29" t="n">
        <f aca="false">Sens!E4148+(Sens!F4143+Sens!F4144)*(1-a_g3_27)</f>
        <v>758.16</v>
      </c>
      <c r="G4148" s="29" t="n">
        <f aca="false">Sens!F4148+(Sens!G4143+Sens!G4144)*(1-a_g3_28)</f>
        <v>2527.2</v>
      </c>
      <c r="H4148" s="29" t="n">
        <f aca="false">Sens!G4148+(Sens!H4143+Sens!H4144)*(1-a_g3_29)</f>
        <v>5242.68</v>
      </c>
      <c r="I4148" s="29" t="n">
        <f aca="false">Sens!H4148+(Sens!I4143+Sens!I4144)*(1-a_g3_29)</f>
        <v>7522.4844</v>
      </c>
      <c r="J4148" s="29" t="n">
        <f aca="false">Sens!I4148+(Sens!J4143+Sens!J4144)*(1-a_g3_29)</f>
        <v>9830.889288</v>
      </c>
      <c r="K4148" s="29" t="n">
        <f aca="false">Sens!J4148+(Sens!K4143+Sens!K4144)*(1-a_g3_29)</f>
        <v>12290.39876664</v>
      </c>
    </row>
    <row r="4149" customFormat="false" ht="17.15" hidden="false" customHeight="false" outlineLevel="0" collapsed="false">
      <c r="A4149" s="1" t="s">
        <v>827</v>
      </c>
      <c r="B4149" s="0" t="s">
        <v>346</v>
      </c>
      <c r="C4149" s="14" t="n">
        <f aca="false">(Sens!C4145*tk_hold_h100+Sens!C4146*tk_hold_gb200+Sens!C4147*tk_hold_gb300+Sens!C4148*tk_hold_vr200)/Sens!C4137</f>
        <v>9.7235358126469</v>
      </c>
      <c r="D4149" s="14" t="n">
        <f aca="false">(Sens!D4145*tk_hold_h100+Sens!D4146*tk_hold_gb200+Sens!D4147*tk_hold_gb300+Sens!D4148*tk_hold_vr200)/Sens!D4137</f>
        <v>9.7235358126469</v>
      </c>
      <c r="E4149" s="14" t="n">
        <f aca="false">(Sens!E4145*tk_hold_h100+Sens!E4146*tk_hold_gb200+Sens!E4147*tk_hold_gb300+Sens!E4148*tk_hold_vr200)/Sens!E4137</f>
        <v>9.7235358126469</v>
      </c>
      <c r="F4149" s="14" t="n">
        <f aca="false">(Sens!F4145*tk_hold_h100+Sens!F4146*tk_hold_gb200+Sens!F4147*tk_hold_gb300+Sens!F4148*tk_hold_vr200)/Sens!F4137</f>
        <v>10.4079573161931</v>
      </c>
      <c r="G4149" s="14" t="n">
        <f aca="false">(Sens!G4145*tk_hold_h100+Sens!G4146*tk_hold_gb200+Sens!G4147*tk_hold_gb300+Sens!G4148*tk_hold_vr200)/Sens!G4137</f>
        <v>10.8388131109316</v>
      </c>
      <c r="H4149" s="14" t="n">
        <f aca="false">(Sens!H4145*tk_hold_h100+Sens!H4146*tk_hold_gb200+Sens!H4147*tk_hold_gb300+Sens!H4148*tk_hold_vr200)/Sens!H4137</f>
        <v>11.2382267607101</v>
      </c>
      <c r="I4149" s="14" t="n">
        <f aca="false">(Sens!I4145*tk_hold_h100+Sens!I4146*tk_hold_gb200+Sens!I4147*tk_hold_gb300+Sens!I4148*tk_hold_vr200)/Sens!I4137</f>
        <v>11.4982307132671</v>
      </c>
      <c r="J4149" s="14" t="n">
        <f aca="false">(Sens!J4145*tk_hold_h100+Sens!J4146*tk_hold_gb200+Sens!J4147*tk_hold_gb300+Sens!J4148*tk_hold_vr200)/Sens!J4137</f>
        <v>11.7993064115262</v>
      </c>
      <c r="K4149" s="14" t="n">
        <f aca="false">(Sens!K4145*tk_hold_h100+Sens!K4146*tk_hold_gb200+Sens!K4147*tk_hold_gb300+Sens!K4148*tk_hold_vr200)/Sens!K4137</f>
        <v>12.1967928333904</v>
      </c>
    </row>
    <row r="4150" customFormat="false" ht="17.15" hidden="false" customHeight="false" outlineLevel="0" collapsed="false">
      <c r="A4150" s="0" t="s">
        <v>828</v>
      </c>
      <c r="B4150" s="0" t="s">
        <v>185</v>
      </c>
      <c r="C4150" s="14" t="n">
        <f aca="false">k_B</f>
        <v>1.17213932619116</v>
      </c>
      <c r="D4150" s="14" t="n">
        <f aca="false">k_B</f>
        <v>1.17213932619116</v>
      </c>
      <c r="E4150" s="14" t="n">
        <f aca="false">k_B</f>
        <v>1.17213932619116</v>
      </c>
      <c r="F4150" s="14" t="n">
        <f aca="false">(k_B+((ls_A*k_long+(1-ls_A)*k_spot)-k_B)*MIN(1,(Sens!F4135-base_fy)/k_ramp))</f>
        <v>1.25022828131298</v>
      </c>
      <c r="G4150" s="14" t="n">
        <f aca="false">(k_B+((ls_A*k_long+(1-ls_A)*k_spot)-k_B)*MIN(1,(Sens!G4135-base_fy)/k_ramp))</f>
        <v>1.3283172364348</v>
      </c>
      <c r="H4150" s="14" t="n">
        <f aca="false">(k_B+((ls_A*k_long+(1-ls_A)*k_spot)-k_B)*MIN(1,(Sens!H4135-base_fy)/k_ramp))</f>
        <v>1.40640619155662</v>
      </c>
      <c r="I4150" s="14" t="n">
        <f aca="false">(k_B+((ls_A*k_long+(1-ls_A)*k_spot)-k_B)*MIN(1,(Sens!I4135-base_fy)/k_ramp))</f>
        <v>1.40640619155662</v>
      </c>
      <c r="J4150" s="14" t="n">
        <f aca="false">(k_B+((ls_A*k_long+(1-ls_A)*k_spot)-k_B)*MIN(1,(Sens!J4135-base_fy)/k_ramp))</f>
        <v>1.40640619155662</v>
      </c>
      <c r="K4150" s="14" t="n">
        <f aca="false">(k_B+((ls_A*k_long+(1-ls_A)*k_spot)-k_B)*MIN(1,(Sens!K4135-base_fy)/k_ramp))</f>
        <v>1.40640619155662</v>
      </c>
      <c r="L4150" s="1" t="s">
        <v>829</v>
      </c>
    </row>
    <row r="4151" customFormat="false" ht="17.15" hidden="false" customHeight="false" outlineLevel="0" collapsed="false">
      <c r="A4151" s="1" t="s">
        <v>830</v>
      </c>
      <c r="B4151" s="0" t="s">
        <v>346</v>
      </c>
      <c r="C4151" s="14" t="n">
        <f aca="false">Sens!C4149*Sens!C4150*chip_f</f>
        <v>11.3973387156315</v>
      </c>
      <c r="D4151" s="14" t="n">
        <f aca="false">Sens!D4149*Sens!D4150*chip_f</f>
        <v>11.3973387156315</v>
      </c>
      <c r="E4151" s="14" t="n">
        <f aca="false">Sens!E4149*Sens!E4150*chip_f</f>
        <v>11.3973387156315</v>
      </c>
      <c r="F4151" s="14" t="n">
        <f aca="false">Sens!F4149*Sens!F4150*chip_f</f>
        <v>13.0123225874029</v>
      </c>
      <c r="G4151" s="14" t="n">
        <f aca="false">Sens!G4149*Sens!G4150*chip_f</f>
        <v>14.3973822777458</v>
      </c>
      <c r="H4151" s="14" t="n">
        <f aca="false">Sens!H4149*Sens!H4150*chip_f</f>
        <v>15.80551169838</v>
      </c>
      <c r="I4151" s="14" t="n">
        <f aca="false">Sens!I4149*Sens!I4150*chip_f</f>
        <v>16.1711828670853</v>
      </c>
      <c r="J4151" s="14" t="n">
        <f aca="false">Sens!J4149*Sens!J4150*chip_f</f>
        <v>16.5946175932442</v>
      </c>
      <c r="K4151" s="14" t="n">
        <f aca="false">Sens!K4149*Sens!K4150*chip_f</f>
        <v>17.1536449580136</v>
      </c>
      <c r="L4151" s="1" t="s">
        <v>831</v>
      </c>
    </row>
    <row r="4152" customFormat="false" ht="17.15" hidden="false" customHeight="false" outlineLevel="0" collapsed="false">
      <c r="A4152" s="0" t="s">
        <v>832</v>
      </c>
      <c r="B4152" s="0" t="s">
        <v>98</v>
      </c>
      <c r="D4152" s="6" t="n">
        <f aca="false">(Sens!C4137+Sens!D4137)/2*Sens!D4151/1000</f>
        <v>12.9359794422418</v>
      </c>
      <c r="E4152" s="6" t="n">
        <f aca="false">(Sens!D4137+Sens!E4137)/2*Sens!E4151/1000</f>
        <v>27.8095064661409</v>
      </c>
      <c r="F4152" s="6" t="n">
        <f aca="false">(Sens!E4137+Sens!F4137)/2*Sens!F4151/1000</f>
        <v>58.7324192305018</v>
      </c>
      <c r="G4152" s="6" t="n">
        <f aca="false">(Sens!F4137+Sens!G4137)/2*Sens!G4151/1000</f>
        <v>101.369089141153</v>
      </c>
      <c r="H4152" s="6" t="n">
        <f aca="false">(Sens!G4137+Sens!H4137)/2*Sens!H4151/1000</f>
        <v>151.2271359301</v>
      </c>
      <c r="I4152" s="6" t="n">
        <f aca="false">(Sens!H4137+Sens!I4137)/2*Sens!I4151/1000</f>
        <v>189.658187712069</v>
      </c>
      <c r="J4152" s="6" t="n">
        <f aca="false">(Sens!I4137+Sens!J4137)/2*Sens!J4151/1000</f>
        <v>218.587010516019</v>
      </c>
      <c r="K4152" s="6" t="n">
        <f aca="false">(Sens!J4137+Sens!K4137)/2*Sens!K4151/1000</f>
        <v>238.871444257453</v>
      </c>
      <c r="L4152" s="11" t="s">
        <v>833</v>
      </c>
    </row>
    <row r="4153" customFormat="false" ht="17.15" hidden="false" customHeight="false" outlineLevel="0" collapsed="false">
      <c r="A4153" s="1" t="s">
        <v>834</v>
      </c>
      <c r="B4153" s="0" t="s">
        <v>346</v>
      </c>
      <c r="C4153" s="14" t="n">
        <f aca="false">(Sens!C4145*tk_opex_h100+Sens!C4146*tk_opex_gb200+Sens!C4147*tk_opex_gb300+Sens!C4148*tk_opex_vr200)/Sens!C4137</f>
        <v>1.88636041306092</v>
      </c>
      <c r="D4153" s="14" t="n">
        <f aca="false">(Sens!D4145*tk_opex_h100+Sens!D4146*tk_opex_gb200+Sens!D4147*tk_opex_gb300+Sens!D4148*tk_opex_vr200)/Sens!D4137</f>
        <v>1.88636041306092</v>
      </c>
      <c r="E4153" s="14" t="n">
        <f aca="false">(Sens!E4145*tk_opex_h100+Sens!E4146*tk_opex_gb200+Sens!E4147*tk_opex_gb300+Sens!E4148*tk_opex_vr200)/Sens!E4137</f>
        <v>1.88636041306092</v>
      </c>
      <c r="F4153" s="14" t="n">
        <f aca="false">(Sens!F4145*tk_opex_h100+Sens!F4146*tk_opex_gb200+Sens!F4147*tk_opex_gb300+Sens!F4148*tk_opex_vr200)/Sens!F4137</f>
        <v>1.9430236476499</v>
      </c>
      <c r="G4153" s="14" t="n">
        <f aca="false">(Sens!G4145*tk_opex_h100+Sens!G4146*tk_opex_gb200+Sens!G4147*tk_opex_gb300+Sens!G4148*tk_opex_vr200)/Sens!G4137</f>
        <v>1.9786941852423</v>
      </c>
      <c r="H4153" s="14" t="n">
        <f aca="false">(Sens!H4145*tk_opex_h100+Sens!H4146*tk_opex_gb200+Sens!H4147*tk_opex_gb300+Sens!H4148*tk_opex_vr200)/Sens!H4137</f>
        <v>2.01176162864988</v>
      </c>
      <c r="I4153" s="14" t="n">
        <f aca="false">(Sens!I4145*tk_opex_h100+Sens!I4146*tk_opex_gb200+Sens!I4147*tk_opex_gb300+Sens!I4148*tk_opex_vr200)/Sens!I4137</f>
        <v>2.03328734764244</v>
      </c>
      <c r="J4153" s="14" t="n">
        <f aca="false">(Sens!J4145*tk_opex_h100+Sens!J4146*tk_opex_gb200+Sens!J4147*tk_opex_gb300+Sens!J4148*tk_opex_vr200)/Sens!J4137</f>
        <v>2.0582133951601</v>
      </c>
      <c r="K4153" s="14" t="n">
        <f aca="false">(Sens!K4145*tk_opex_h100+Sens!K4146*tk_opex_gb200+Sens!K4147*tk_opex_gb300+Sens!K4148*tk_opex_vr200)/Sens!K4137</f>
        <v>2.09112128342972</v>
      </c>
    </row>
    <row r="4154" customFormat="false" ht="17.15" hidden="false" customHeight="false" outlineLevel="0" collapsed="false">
      <c r="A4154" s="0" t="s">
        <v>835</v>
      </c>
      <c r="B4154" s="0" t="s">
        <v>98</v>
      </c>
      <c r="D4154" s="6" t="n">
        <f aca="false">(Sens!C4140+Sens!D4140)/2*Sens!D4153/1000</f>
        <v>2.70378325872065</v>
      </c>
      <c r="E4154" s="6" t="n">
        <f aca="false">(Sens!D4140+Sens!E4140)/2*Sens!E4153/1000</f>
        <v>6.17783035277451</v>
      </c>
      <c r="F4154" s="6" t="n">
        <f aca="false">(Sens!E4140+Sens!F4140)/2*Sens!F4153/1000</f>
        <v>12.5020618235287</v>
      </c>
      <c r="G4154" s="6" t="n">
        <f aca="false">(Sens!F4140+Sens!G4140)/2*Sens!G4153/1000</f>
        <v>20.7261620256847</v>
      </c>
      <c r="H4154" s="6" t="n">
        <f aca="false">(Sens!G4140+Sens!H4140)/2*Sens!H4153/1000</f>
        <v>29.5460724527713</v>
      </c>
      <c r="I4154" s="6" t="n">
        <f aca="false">(Sens!H4140+Sens!I4140)/2*Sens!I4153/1000</f>
        <v>37.182583396223</v>
      </c>
      <c r="J4154" s="6" t="n">
        <f aca="false">(Sens!I4140+Sens!J4140)/2*Sens!J4153/1000</f>
        <v>42.5918555540089</v>
      </c>
      <c r="K4154" s="6" t="n">
        <f aca="false">(Sens!J4140+Sens!K4140)/2*Sens!K4153/1000</f>
        <v>45.8980366455815</v>
      </c>
    </row>
    <row r="4155" customFormat="false" ht="17.15" hidden="false" customHeight="false" outlineLevel="0" collapsed="false">
      <c r="A4155" s="0" t="s">
        <v>836</v>
      </c>
      <c r="B4155" s="0" t="s">
        <v>98</v>
      </c>
      <c r="D4155" s="6" t="n">
        <f aca="false">(Sens!C4138+Sens!D4138)/2*rent_mw/1000</f>
        <v>2.44475</v>
      </c>
      <c r="E4155" s="6" t="n">
        <f aca="false">(Sens!D4138+Sens!E4138)/2*rent_mw/1000</f>
        <v>4.22275</v>
      </c>
      <c r="F4155" s="6" t="n">
        <f aca="false">(Sens!E4138+Sens!F4138)/2*rent_mw/1000</f>
        <v>5.80517</v>
      </c>
      <c r="G4155" s="6" t="n">
        <f aca="false">(Sens!F4138+Sens!G4138)/2*rent_mw/1000</f>
        <v>6.72084</v>
      </c>
      <c r="H4155" s="6" t="n">
        <f aca="false">(Sens!G4138+Sens!H4138)/2*rent_mw/1000</f>
        <v>6.72084</v>
      </c>
      <c r="I4155" s="6" t="n">
        <f aca="false">(Sens!H4138+Sens!I4138)/2*rent_mw/1000</f>
        <v>6.72084</v>
      </c>
      <c r="J4155" s="6" t="n">
        <f aca="false">(Sens!I4138+Sens!J4138)/2*rent_mw/1000</f>
        <v>6.72084</v>
      </c>
      <c r="K4155" s="6" t="n">
        <f aca="false">(Sens!J4138+Sens!K4138)/2*rent_mw/1000</f>
        <v>6.72084</v>
      </c>
    </row>
    <row r="4156" customFormat="false" ht="17.15" hidden="false" customHeight="false" outlineLevel="0" collapsed="false">
      <c r="A4156" s="0" t="s">
        <v>837</v>
      </c>
      <c r="B4156" s="0" t="s">
        <v>98</v>
      </c>
      <c r="D4156" s="6" t="n">
        <f aca="false">(Sens!C4140+Sens!D4140)/2*(1-self_build)*fac_rent/1000</f>
        <v>0.853242375631075</v>
      </c>
      <c r="E4156" s="6" t="n">
        <f aca="false">(Sens!D4140+Sens!E4140)/2*(1-self_build)*fac_rent/1000</f>
        <v>1.94955961408728</v>
      </c>
      <c r="F4156" s="6" t="n">
        <f aca="false">(Sens!E4140+Sens!F4140)/2*(1-self_build)*fac_rent/1000</f>
        <v>3.83026455274573</v>
      </c>
      <c r="G4156" s="6" t="n">
        <f aca="false">(Sens!F4140+Sens!G4140)/2*(1-self_build)*fac_rent/1000</f>
        <v>6.23541590972812</v>
      </c>
      <c r="H4156" s="6" t="n">
        <f aca="false">(Sens!G4140+Sens!H4140)/2*(1-self_build)*fac_rent/1000</f>
        <v>8.74275792332679</v>
      </c>
      <c r="I4156" s="6" t="n">
        <f aca="false">(Sens!H4140+Sens!I4140)/2*(1-self_build)*fac_rent/1000</f>
        <v>10.8859420438599</v>
      </c>
      <c r="J4156" s="6" t="n">
        <f aca="false">(Sens!I4140+Sens!J4140)/2*(1-self_build)*fac_rent/1000</f>
        <v>12.3186006405366</v>
      </c>
      <c r="K4156" s="6" t="n">
        <f aca="false">(Sens!J4140+Sens!K4140)/2*(1-self_build)*fac_rent/1000</f>
        <v>13.0659232089824</v>
      </c>
      <c r="L4156" s="11" t="s">
        <v>838</v>
      </c>
    </row>
    <row r="4157" customFormat="false" ht="17.15" hidden="false" customHeight="false" outlineLevel="0" collapsed="false">
      <c r="A4157" s="1" t="s">
        <v>839</v>
      </c>
      <c r="B4157" s="0" t="s">
        <v>129</v>
      </c>
      <c r="D4157" s="7" t="n">
        <f aca="false">(Sens!C4139+Sens!D4139)/(Sens!C4140+Sens!D4140)</f>
        <v>0.6</v>
      </c>
      <c r="E4157" s="7" t="n">
        <f aca="false">(Sens!D4139+Sens!E4139)/(Sens!D4140+Sens!E4140)</f>
        <v>0.6</v>
      </c>
      <c r="F4157" s="7" t="n">
        <f aca="false">(Sens!E4139+Sens!F4139)/(Sens!E4140+Sens!F4140)</f>
        <v>0.6</v>
      </c>
      <c r="G4157" s="7" t="n">
        <f aca="false">(Sens!F4139+Sens!G4139)/(Sens!F4140+Sens!G4140)</f>
        <v>0.6</v>
      </c>
      <c r="H4157" s="7" t="n">
        <f aca="false">(Sens!G4139+Sens!H4139)/(Sens!G4140+Sens!H4140)</f>
        <v>0.6</v>
      </c>
      <c r="I4157" s="7" t="n">
        <f aca="false">(Sens!H4139+Sens!I4139)/(Sens!H4140+Sens!I4140)</f>
        <v>0.6</v>
      </c>
      <c r="J4157" s="7" t="n">
        <f aca="false">(Sens!I4139+Sens!J4139)/(Sens!I4140+Sens!J4140)</f>
        <v>0.6</v>
      </c>
      <c r="K4157" s="7" t="n">
        <f aca="false">(Sens!J4139+Sens!K4139)/(Sens!J4140+Sens!K4140)</f>
        <v>0.6</v>
      </c>
    </row>
    <row r="4158" customFormat="false" ht="17.15" hidden="false" customHeight="false" outlineLevel="0" collapsed="false">
      <c r="A4158" s="0" t="s">
        <v>840</v>
      </c>
      <c r="B4158" s="0" t="s">
        <v>98</v>
      </c>
      <c r="D4158" s="6" t="n">
        <f aca="false">Sens!D4152-Sens!D4157*(Sens!D4154+Sens!D4156)-Sens!D4155</f>
        <v>8.35701406163072</v>
      </c>
      <c r="E4158" s="6" t="n">
        <f aca="false">Sens!E4152-Sens!E4157*(Sens!E4154+Sens!E4156)-Sens!E4155</f>
        <v>18.7103224860238</v>
      </c>
      <c r="F4158" s="6" t="n">
        <f aca="false">Sens!F4152-Sens!F4157*(Sens!F4154+Sens!F4156)-Sens!F4155</f>
        <v>43.1278534047371</v>
      </c>
      <c r="G4158" s="6" t="n">
        <f aca="false">Sens!G4152-Sens!G4157*(Sens!G4154+Sens!G4156)-Sens!G4155</f>
        <v>78.4713023799053</v>
      </c>
      <c r="H4158" s="6" t="n">
        <f aca="false">Sens!H4152-Sens!H4157*(Sens!H4154+Sens!H4156)-Sens!H4155</f>
        <v>121.532997704441</v>
      </c>
      <c r="I4158" s="6" t="n">
        <f aca="false">Sens!I4152-Sens!I4157*(Sens!I4154+Sens!I4156)-Sens!I4155</f>
        <v>154.09623244802</v>
      </c>
      <c r="J4158" s="6" t="n">
        <f aca="false">Sens!J4152-Sens!J4157*(Sens!J4154+Sens!J4156)-Sens!J4155</f>
        <v>178.919896799292</v>
      </c>
      <c r="K4158" s="6" t="n">
        <f aca="false">Sens!K4152-Sens!K4157*(Sens!K4154+Sens!K4156)-Sens!K4155</f>
        <v>196.772228344715</v>
      </c>
    </row>
    <row r="4159" customFormat="false" ht="17.15" hidden="false" customHeight="false" outlineLevel="0" collapsed="false">
      <c r="A4159" s="1" t="s">
        <v>841</v>
      </c>
      <c r="B4159" s="0" t="s">
        <v>98</v>
      </c>
      <c r="D4159" s="6" t="n">
        <f aca="false">(1-Sens!D4157)*(Sens!D4154+Sens!D4156)</f>
        <v>1.42281025374069</v>
      </c>
      <c r="E4159" s="6" t="n">
        <f aca="false">(1-Sens!E4157)*(Sens!E4154+Sens!E4156)</f>
        <v>3.25095598674472</v>
      </c>
      <c r="F4159" s="6" t="n">
        <f aca="false">(1-Sens!F4157)*(Sens!F4154+Sens!F4156)</f>
        <v>6.53293055050977</v>
      </c>
      <c r="G4159" s="6" t="n">
        <f aca="false">(1-Sens!G4157)*(Sens!G4154+Sens!G4156)</f>
        <v>10.7846311741651</v>
      </c>
      <c r="H4159" s="6" t="n">
        <f aca="false">(1-Sens!H4157)*(Sens!H4154+Sens!H4156)</f>
        <v>15.3155321504392</v>
      </c>
      <c r="I4159" s="6" t="n">
        <f aca="false">(1-Sens!I4157)*(Sens!I4154+Sens!I4156)</f>
        <v>19.2274101760331</v>
      </c>
      <c r="J4159" s="6" t="n">
        <f aca="false">(1-Sens!J4157)*(Sens!J4154+Sens!J4156)</f>
        <v>21.9641824778182</v>
      </c>
      <c r="K4159" s="6" t="n">
        <f aca="false">(1-Sens!K4157)*(Sens!K4154+Sens!K4156)</f>
        <v>23.5855839418256</v>
      </c>
    </row>
    <row r="4160" customFormat="false" ht="17.15" hidden="false" customHeight="false" outlineLevel="0" collapsed="false">
      <c r="A4160" s="1" t="s">
        <v>842</v>
      </c>
      <c r="B4160" s="0" t="s">
        <v>357</v>
      </c>
      <c r="C4160" s="8" t="n">
        <f aca="false">cxit_open</f>
        <v>27.5918995</v>
      </c>
      <c r="D4160" s="8" t="n">
        <f aca="false">cxit_open</f>
        <v>27.5918995</v>
      </c>
      <c r="E4160" s="8" t="n">
        <f aca="false">cxit_open</f>
        <v>27.5918995</v>
      </c>
      <c r="F4160" s="8" t="n">
        <f aca="false">(a_g3_27*tk_cxit_gb300+(1-a_g3_27)*tk_cxit_vr200)</f>
        <v>33.8419624</v>
      </c>
      <c r="G4160" s="8" t="n">
        <f aca="false">(a_g3_28*tk_cxit_gb300+(1-a_g3_28)*tk_cxit_vr200)</f>
        <v>35.9816136</v>
      </c>
      <c r="H4160" s="8" t="n">
        <f aca="false">(a_g3_29*tk_cxit_gb300+(1-a_g3_29)*tk_cxit_vr200)</f>
        <v>37.0514392</v>
      </c>
      <c r="I4160" s="8" t="n">
        <f aca="false">(a_g3_29*tk_cxit_gb300+(1-a_g3_29)*tk_cxit_vr200)</f>
        <v>37.0514392</v>
      </c>
      <c r="J4160" s="8" t="n">
        <f aca="false">(a_g3_29*tk_cxit_gb300+(1-a_g3_29)*tk_cxit_vr200)</f>
        <v>37.0514392</v>
      </c>
      <c r="K4160" s="8" t="n">
        <f aca="false">(a_g3_29*tk_cxit_gb300+(1-a_g3_29)*tk_cxit_vr200)</f>
        <v>37.0514392</v>
      </c>
      <c r="L4160" s="11" t="s">
        <v>843</v>
      </c>
    </row>
    <row r="4161" customFormat="false" ht="17.15" hidden="false" customHeight="false" outlineLevel="0" collapsed="false">
      <c r="A4161" s="0" t="s">
        <v>844</v>
      </c>
      <c r="B4161" s="0" t="s">
        <v>399</v>
      </c>
      <c r="F4161" s="29" t="n">
        <f aca="false">Sens!C4142*IF(Sens!F4135-Sens!C4135=life_it_lo,1,0)+Sens!D4142*IF(Sens!F4135-Sens!D4135=life_it_lo,1,0)+Sens!E4142*IF(Sens!F4135-Sens!E4135=life_it_lo,1,0)</f>
        <v>0</v>
      </c>
      <c r="G4161" s="29" t="n">
        <f aca="false">Sens!C4142*IF(Sens!G4135-Sens!C4135=life_it_lo,1,0)+Sens!D4142*IF(Sens!G4135-Sens!D4135=life_it_lo,1,0)+Sens!E4142*IF(Sens!G4135-Sens!E4135=life_it_lo,1,0)+Sens!F4142*IF(Sens!G4135-Sens!F4135=life_it_lo,1,0)</f>
        <v>0</v>
      </c>
      <c r="H4161" s="29" t="n">
        <f aca="false">Sens!C4142*IF(Sens!H4135-Sens!C4135=life_it_lo,1,0)+Sens!D4142*IF(Sens!H4135-Sens!D4135=life_it_lo,1,0)+Sens!E4142*IF(Sens!H4135-Sens!E4135=life_it_lo,1,0)+Sens!F4142*IF(Sens!H4135-Sens!F4135=life_it_lo,1,0)+Sens!G4142*IF(Sens!H4135-Sens!G4135=life_it_lo,1,0)</f>
        <v>816.666666666667</v>
      </c>
      <c r="I4161" s="29" t="n">
        <f aca="false">Sens!C4142*IF(Sens!I4135-Sens!C4135=life_it_lo,1,0)+Sens!D4142*IF(Sens!I4135-Sens!D4135=life_it_lo,1,0)+Sens!E4142*IF(Sens!I4135-Sens!E4135=life_it_lo,1,0)+Sens!F4142*IF(Sens!I4135-Sens!F4135=life_it_lo,1,0)+Sens!G4142*IF(Sens!I4135-Sens!G4135=life_it_lo,1,0)+Sens!H4142*IF(Sens!I4135-Sens!H4135=life_it_lo,1,0)</f>
        <v>1233.33333333333</v>
      </c>
      <c r="J4161" s="29" t="n">
        <f aca="false">Sens!C4142*IF(Sens!J4135-Sens!C4135=life_it_lo,1,0)+Sens!D4142*IF(Sens!J4135-Sens!D4135=life_it_lo,1,0)+Sens!E4142*IF(Sens!J4135-Sens!E4135=life_it_lo,1,0)+Sens!F4142*IF(Sens!J4135-Sens!F4135=life_it_lo,1,0)+Sens!G4142*IF(Sens!J4135-Sens!G4135=life_it_lo,1,0)+Sens!H4142*IF(Sens!J4135-Sens!H4135=life_it_lo,1,0)+Sens!I4142*IF(Sens!J4135-Sens!I4135=life_it_lo,1,0)</f>
        <v>2450</v>
      </c>
      <c r="K4161" s="29" t="n">
        <f aca="false">Sens!C4142*IF(Sens!K4135-Sens!C4135=life_it_lo,1,0)+Sens!D4142*IF(Sens!K4135-Sens!D4135=life_it_lo,1,0)+Sens!E4142*IF(Sens!K4135-Sens!E4135=life_it_lo,1,0)+Sens!F4142*IF(Sens!K4135-Sens!F4135=life_it_lo,1,0)+Sens!G4142*IF(Sens!K4135-Sens!G4135=life_it_lo,1,0)+Sens!H4142*IF(Sens!K4135-Sens!H4135=life_it_lo,1,0)+Sens!I4142*IF(Sens!K4135-Sens!I4135=life_it_lo,1,0)+Sens!J4142*IF(Sens!K4135-Sens!J4135=life_it_lo,1,0)</f>
        <v>3868.66666666667</v>
      </c>
      <c r="L4161" s="1" t="s">
        <v>845</v>
      </c>
    </row>
    <row r="4162" customFormat="false" ht="17.15" hidden="false" customHeight="false" outlineLevel="0" collapsed="false">
      <c r="A4162" s="0" t="s">
        <v>846</v>
      </c>
      <c r="B4162" s="0" t="s">
        <v>98</v>
      </c>
      <c r="C4162" s="6" t="n">
        <f aca="false">Sens!C4142*Sens!C4160/1000</f>
        <v>22.5333845916667</v>
      </c>
      <c r="D4162" s="6" t="n">
        <f aca="false">Sens!D4142*Sens!D4160/1000</f>
        <v>34.0300093833333</v>
      </c>
      <c r="E4162" s="6" t="n">
        <f aca="false">Sens!E4142*Sens!E4160/1000</f>
        <v>67.600153775</v>
      </c>
      <c r="F4162" s="6" t="n">
        <f aca="false">(Sens!F4142+Sens!F4161)*Sens!F4160/1000</f>
        <v>130.923271871467</v>
      </c>
      <c r="G4162" s="6" t="n">
        <f aca="false">(Sens!G4142+Sens!G4161)*Sens!G4160/1000</f>
        <v>151.5545564832</v>
      </c>
      <c r="H4162" s="6" t="n">
        <f aca="false">(Sens!H4142+Sens!H4161)*Sens!H4160/1000</f>
        <v>186.319337257067</v>
      </c>
      <c r="I4162" s="6" t="n">
        <f aca="false">(Sens!I4142+Sens!I4161)*Sens!I4160/1000</f>
        <v>156.425989100912</v>
      </c>
      <c r="J4162" s="6" t="n">
        <f aca="false">(Sens!J4142+Sens!J4161)*Sens!J4160/1000</f>
        <v>158.388376586509</v>
      </c>
      <c r="K4162" s="6" t="n">
        <f aca="false">(Sens!K4142+Sens!K4161)*Sens!K4160/1000</f>
        <v>168.756233166025</v>
      </c>
    </row>
    <row r="4163" customFormat="false" ht="17.15" hidden="false" customHeight="false" outlineLevel="0" collapsed="false">
      <c r="A4163" s="0" t="s">
        <v>847</v>
      </c>
      <c r="B4163" s="0" t="s">
        <v>98</v>
      </c>
      <c r="C4163" s="6" t="n">
        <f aca="false">Sens!C4142*self_build*tk_cxfac/1000</f>
        <v>6.2083</v>
      </c>
      <c r="D4163" s="6" t="n">
        <f aca="false">Sens!D4142*self_build*tk_cxfac/1000</f>
        <v>9.3758</v>
      </c>
      <c r="E4163" s="6" t="n">
        <f aca="false">Sens!E4142*self_build*tk_cxfac/1000</f>
        <v>18.6249</v>
      </c>
      <c r="F4163" s="6" t="n">
        <f aca="false">Sens!F4142*self_build*tk_cxfac/1000</f>
        <v>29.409604</v>
      </c>
      <c r="G4163" s="6" t="n">
        <f aca="false">Sens!G4142*self_build*tk_cxfac/1000</f>
        <v>32.019624</v>
      </c>
      <c r="H4163" s="6" t="n">
        <f aca="false">Sens!H4142*self_build*tk_cxfac/1000</f>
        <v>32.019624</v>
      </c>
      <c r="I4163" s="6" t="n">
        <f aca="false">Sens!I4142*self_build*tk_cxfac/1000</f>
        <v>22.71877972</v>
      </c>
      <c r="J4163" s="6" t="n">
        <f aca="false">Sens!J4142*self_build*tk_cxfac/1000</f>
        <v>13.8723110344</v>
      </c>
      <c r="K4163" s="6" t="n">
        <f aca="false">Sens!K4142*self_build*tk_cxfac/1000</f>
        <v>5.214823882632</v>
      </c>
    </row>
    <row r="4164" customFormat="false" ht="17.15" hidden="false" customHeight="false" outlineLevel="0" collapsed="false">
      <c r="A4164" s="0" t="s">
        <v>848</v>
      </c>
      <c r="B4164" s="0" t="s">
        <v>98</v>
      </c>
      <c r="F4164" s="6" t="n">
        <f aca="false">MAX(0,capex_floor27-Sens!F4162-Sens!F4163-Sens!F4258)</f>
        <v>8.13777689897088</v>
      </c>
    </row>
    <row r="4165" customFormat="false" ht="17.15" hidden="false" customHeight="false" outlineLevel="0" collapsed="false">
      <c r="A4165" s="0" t="s">
        <v>849</v>
      </c>
      <c r="B4165" s="0" t="s">
        <v>98</v>
      </c>
      <c r="C4165" s="6" t="n">
        <f aca="false">Sens!C4162</f>
        <v>22.5333845916667</v>
      </c>
      <c r="D4165" s="6" t="n">
        <f aca="false">Sens!D4162</f>
        <v>34.0300093833333</v>
      </c>
      <c r="E4165" s="6" t="n">
        <f aca="false">Sens!E4162</f>
        <v>67.600153775</v>
      </c>
      <c r="F4165" s="6" t="n">
        <f aca="false">Sens!F4162</f>
        <v>130.923271871467</v>
      </c>
      <c r="G4165" s="6" t="n">
        <f aca="false">Sens!G4162</f>
        <v>151.5545564832</v>
      </c>
      <c r="H4165" s="6" t="n">
        <f aca="false">Sens!H4162</f>
        <v>186.319337257067</v>
      </c>
      <c r="I4165" s="6" t="n">
        <f aca="false">Sens!I4162</f>
        <v>156.425989100912</v>
      </c>
      <c r="J4165" s="6" t="n">
        <f aca="false">Sens!J4162</f>
        <v>158.388376586509</v>
      </c>
      <c r="K4165" s="6" t="n">
        <f aca="false">Sens!K4162</f>
        <v>168.756233166025</v>
      </c>
    </row>
    <row r="4166" customFormat="false" ht="17.15" hidden="false" customHeight="false" outlineLevel="0" collapsed="false">
      <c r="A4166" s="0" t="s">
        <v>850</v>
      </c>
      <c r="B4166" s="0" t="s">
        <v>98</v>
      </c>
      <c r="C4166" s="6" t="n">
        <f aca="false">Sens!C4165+Sens!C4163</f>
        <v>28.7416845916667</v>
      </c>
      <c r="D4166" s="6" t="n">
        <f aca="false">Sens!D4165+Sens!D4163</f>
        <v>43.4058093833333</v>
      </c>
      <c r="E4166" s="6" t="n">
        <f aca="false">Sens!E4165+Sens!E4163</f>
        <v>86.225053775</v>
      </c>
      <c r="F4166" s="6" t="n">
        <f aca="false">Sens!F4165+Sens!F4163</f>
        <v>160.332875871467</v>
      </c>
      <c r="G4166" s="6" t="n">
        <f aca="false">Sens!G4165+Sens!G4163</f>
        <v>183.5741804832</v>
      </c>
      <c r="H4166" s="6" t="n">
        <f aca="false">Sens!H4165+Sens!H4163</f>
        <v>218.338961257067</v>
      </c>
      <c r="I4166" s="6" t="n">
        <f aca="false">Sens!I4165+Sens!I4163</f>
        <v>179.144768820912</v>
      </c>
      <c r="J4166" s="6" t="n">
        <f aca="false">Sens!J4165+Sens!J4163</f>
        <v>172.260687620909</v>
      </c>
      <c r="K4166" s="6" t="n">
        <f aca="false">Sens!K4165+Sens!K4163</f>
        <v>173.971057048657</v>
      </c>
      <c r="L4166" s="11" t="s">
        <v>851</v>
      </c>
    </row>
    <row r="4167" customFormat="false" ht="17.15" hidden="false" customHeight="false" outlineLevel="0" collapsed="false">
      <c r="A4167" s="0" t="s">
        <v>852</v>
      </c>
      <c r="B4167" s="0" t="s">
        <v>98</v>
      </c>
      <c r="E4167" s="6" t="n">
        <f aca="false">(Sens!C4165*IF(2&lt;life_it_lo,1,IF(2=life_it_lo,0.5,0))+Sens!D4165*IF(1&lt;life_it_lo,1,IF(1=life_it_lo,0.5,0))+Sens!E4165*0.5)/life_it_lo</f>
        <v>18.0726941725</v>
      </c>
      <c r="F4167" s="6" t="n">
        <f aca="false">(Sens!C4165*IF(3&lt;life_it_lo,1,IF(3=life_it_lo,0.5,0))+Sens!D4165*IF(2&lt;life_it_lo,1,IF(2=life_it_lo,0.5,0))+Sens!E4165*IF(1&lt;life_it_lo,1,IF(1=life_it_lo,0.5,0))+Sens!F4165*0.5)/life_it_lo</f>
        <v>37.9250367371467</v>
      </c>
      <c r="G4167" s="6" t="n">
        <f aca="false">(Sens!C4165*IF(4&lt;life_it_lo,1,IF(4=life_it_lo,0.5,0))+Sens!D4165*IF(3&lt;life_it_lo,1,IF(3=life_it_lo,0.5,0))+Sens!E4165*IF(2&lt;life_it_lo,1,IF(2=life_it_lo,0.5,0))+Sens!F4165*IF(1&lt;life_it_lo,1,IF(1=life_it_lo,0.5,0))+Sens!G4165*0.5)/life_it_lo</f>
        <v>66.1728195726133</v>
      </c>
      <c r="H4167" s="6" t="n">
        <f aca="false">(Sens!C4165*IF(5&lt;life_it_lo,1,IF(5=life_it_lo,0.5,0))+Sens!D4165*IF(4&lt;life_it_lo,1,IF(4=life_it_lo,0.5,0))+Sens!E4165*IF(3&lt;life_it_lo,1,IF(3=life_it_lo,0.5,0))+Sens!F4165*IF(2&lt;life_it_lo,1,IF(2=life_it_lo,0.5,0))+Sens!G4165*IF(1&lt;life_it_lo,1,IF(1=life_it_lo,0.5,0))+Sens!H4165*0.5)/life_it_lo</f>
        <v>97.7068704874733</v>
      </c>
      <c r="I4167" s="6" t="n">
        <f aca="false">(Sens!C4165*IF(6&lt;life_it_lo,1,IF(6=life_it_lo,0.5,0))+Sens!D4165*IF(5&lt;life_it_lo,1,IF(5=life_it_lo,0.5,0))+Sens!E4165*IF(4&lt;life_it_lo,1,IF(4=life_it_lo,0.5,0))+Sens!F4165*IF(3&lt;life_it_lo,1,IF(3=life_it_lo,0.5,0))+Sens!G4165*IF(2&lt;life_it_lo,1,IF(2=life_it_lo,0.5,0))+Sens!H4165*IF(1&lt;life_it_lo,1,IF(1=life_it_lo,0.5,0))+Sens!I4165*0.5)/life_it_lo</f>
        <v>126.325063725771</v>
      </c>
      <c r="J4167" s="6" t="n">
        <f aca="false">(Sens!C4165*IF(7&lt;life_it_lo,1,IF(7=life_it_lo,0.5,0))+Sens!D4165*IF(6&lt;life_it_lo,1,IF(6=life_it_lo,0.5,0))+Sens!E4165*IF(5&lt;life_it_lo,1,IF(5=life_it_lo,0.5,0))+Sens!F4165*IF(4&lt;life_it_lo,1,IF(4=life_it_lo,0.5,0))+Sens!G4165*IF(3&lt;life_it_lo,1,IF(3=life_it_lo,0.5,0))+Sens!H4165*IF(2&lt;life_it_lo,1,IF(2=life_it_lo,0.5,0))+Sens!I4165*IF(1&lt;life_it_lo,1,IF(1=life_it_lo,0.5,0))+Sens!J4165*0.5)/life_it_lo</f>
        <v>147.64348397868</v>
      </c>
      <c r="K4167" s="6" t="n">
        <f aca="false">(Sens!C4165*IF(8&lt;life_it_lo,1,IF(8=life_it_lo,0.5,0))+Sens!D4165*IF(7&lt;life_it_lo,1,IF(7=life_it_lo,0.5,0))+Sens!E4165*IF(6&lt;life_it_lo,1,IF(6=life_it_lo,0.5,0))+Sens!F4165*IF(5&lt;life_it_lo,1,IF(5=life_it_lo,0.5,0))+Sens!G4165*IF(4&lt;life_it_lo,1,IF(4=life_it_lo,0.5,0))+Sens!H4165*IF(3&lt;life_it_lo,1,IF(3=life_it_lo,0.5,0))+Sens!I4165*IF(2&lt;life_it_lo,1,IF(2=life_it_lo,0.5,0))+Sens!J4165*IF(1&lt;life_it_lo,1,IF(1=life_it_lo,0.5,0))+Sens!K4165*0.5)/life_it_lo</f>
        <v>160.505602389287</v>
      </c>
    </row>
    <row r="4168" customFormat="false" ht="17.15" hidden="false" customHeight="false" outlineLevel="0" collapsed="false">
      <c r="A4168" s="0" t="s">
        <v>853</v>
      </c>
      <c r="B4168" s="0" t="s">
        <v>98</v>
      </c>
      <c r="E4168" s="6" t="n">
        <f aca="false">(Sens!C4163*IF(2&lt;life_fac,1,IF(2=life_fac,0.5,0))+Sens!D4163*IF(1&lt;life_fac,1,IF(1=life_fac,0.5,0))+Sens!E4163*0.5)/life_fac</f>
        <v>1.2448275</v>
      </c>
      <c r="F4168" s="6" t="n">
        <f aca="false">(Sens!C4163*IF(3&lt;life_fac,1,IF(3=life_fac,0.5,0))+Sens!D4163*IF(2&lt;life_fac,1,IF(2=life_fac,0.5,0))+Sens!E4163*IF(1&lt;life_fac,1,IF(1=life_fac,0.5,0))+Sens!F4163*0.5)/life_fac</f>
        <v>2.4456901</v>
      </c>
      <c r="G4168" s="6" t="n">
        <f aca="false">(Sens!C4163*IF(4&lt;life_fac,1,IF(4=life_fac,0.5,0))+Sens!D4163*IF(3&lt;life_fac,1,IF(3=life_fac,0.5,0))+Sens!E4163*IF(2&lt;life_fac,1,IF(2=life_fac,0.5,0))+Sens!F4163*IF(1&lt;life_fac,1,IF(1=life_fac,0.5,0))+Sens!G4163*0.5)/life_fac</f>
        <v>3.9814208</v>
      </c>
      <c r="H4168" s="6" t="n">
        <f aca="false">(Sens!C4163*IF(5&lt;life_fac,1,IF(5=life_fac,0.5,0))+Sens!D4163*IF(4&lt;life_fac,1,IF(4=life_fac,0.5,0))+Sens!E4163*IF(3&lt;life_fac,1,IF(3=life_fac,0.5,0))+Sens!F4163*IF(2&lt;life_fac,1,IF(2=life_fac,0.5,0))+Sens!G4163*IF(1&lt;life_fac,1,IF(1=life_fac,0.5,0))+Sens!H4163*0.5)/life_fac</f>
        <v>5.582402</v>
      </c>
      <c r="I4168" s="6" t="n">
        <f aca="false">(Sens!C4163*IF(6&lt;life_fac,1,IF(6=life_fac,0.5,0))+Sens!D4163*IF(5&lt;life_fac,1,IF(5=life_fac,0.5,0))+Sens!E4163*IF(4&lt;life_fac,1,IF(4=life_fac,0.5,0))+Sens!F4163*IF(3&lt;life_fac,1,IF(3=life_fac,0.5,0))+Sens!G4163*IF(2&lt;life_fac,1,IF(2=life_fac,0.5,0))+Sens!H4163*IF(1&lt;life_fac,1,IF(1=life_fac,0.5,0))+Sens!I4163*0.5)/life_fac</f>
        <v>6.950862093</v>
      </c>
      <c r="J4168" s="6" t="n">
        <f aca="false">(Sens!C4163*IF(7&lt;life_fac,1,IF(7=life_fac,0.5,0))+Sens!D4163*IF(6&lt;life_fac,1,IF(6=life_fac,0.5,0))+Sens!E4163*IF(5&lt;life_fac,1,IF(5=life_fac,0.5,0))+Sens!F4163*IF(4&lt;life_fac,1,IF(4=life_fac,0.5,0))+Sens!G4163*IF(3&lt;life_fac,1,IF(3=life_fac,0.5,0))+Sens!H4163*IF(2&lt;life_fac,1,IF(2=life_fac,0.5,0))+Sens!I4163*IF(1&lt;life_fac,1,IF(1=life_fac,0.5,0))+Sens!J4163*0.5)/life_fac</f>
        <v>7.86563936186</v>
      </c>
      <c r="K4168" s="6" t="n">
        <f aca="false">(Sens!C4163*IF(8&lt;life_fac,1,IF(8=life_fac,0.5,0))+Sens!D4163*IF(7&lt;life_fac,1,IF(7=life_fac,0.5,0))+Sens!E4163*IF(6&lt;life_fac,1,IF(6=life_fac,0.5,0))+Sens!F4163*IF(5&lt;life_fac,1,IF(5=life_fac,0.5,0))+Sens!G4163*IF(4&lt;life_fac,1,IF(4=life_fac,0.5,0))+Sens!H4163*IF(3&lt;life_fac,1,IF(3=life_fac,0.5,0))+Sens!I4163*IF(2&lt;life_fac,1,IF(2=life_fac,0.5,0))+Sens!J4163*IF(1&lt;life_fac,1,IF(1=life_fac,0.5,0))+Sens!K4163*0.5)/life_fac</f>
        <v>8.3428177347858</v>
      </c>
    </row>
    <row r="4169" customFormat="false" ht="17.15" hidden="false" customHeight="false" outlineLevel="0" collapsed="false">
      <c r="A4169" s="0" t="s">
        <v>854</v>
      </c>
      <c r="B4169" s="0" t="s">
        <v>98</v>
      </c>
      <c r="E4169" s="6" t="n">
        <f aca="false">Sens!E4167+Sens!E4168</f>
        <v>19.3175216725</v>
      </c>
      <c r="F4169" s="6" t="n">
        <f aca="false">Sens!F4167+Sens!F4168</f>
        <v>40.3707268371467</v>
      </c>
      <c r="G4169" s="6" t="n">
        <f aca="false">Sens!G4167+Sens!G4168</f>
        <v>70.1542403726133</v>
      </c>
      <c r="H4169" s="6" t="n">
        <f aca="false">Sens!H4167+Sens!H4168</f>
        <v>103.289272487473</v>
      </c>
      <c r="I4169" s="6" t="n">
        <f aca="false">Sens!I4167+Sens!I4168</f>
        <v>133.275925818771</v>
      </c>
      <c r="J4169" s="6" t="n">
        <f aca="false">Sens!J4167+Sens!J4168</f>
        <v>155.50912334054</v>
      </c>
      <c r="K4169" s="6" t="n">
        <f aca="false">Sens!K4167+Sens!K4168</f>
        <v>168.848420124073</v>
      </c>
    </row>
    <row r="4170" customFormat="false" ht="17.15" hidden="false" customHeight="false" outlineLevel="0" collapsed="false">
      <c r="A4170" s="0" t="s">
        <v>855</v>
      </c>
      <c r="B4170" s="0" t="s">
        <v>98</v>
      </c>
      <c r="E4170" s="6" t="n">
        <f aca="false">Sens!E4158-Sens!E4157*Sens!E4169</f>
        <v>7.11980948252379</v>
      </c>
      <c r="F4170" s="6" t="n">
        <f aca="false">Sens!F4158-Sens!F4157*Sens!F4169</f>
        <v>18.9054173024491</v>
      </c>
      <c r="G4170" s="6" t="n">
        <f aca="false">Sens!G4158-Sens!G4157*Sens!G4169</f>
        <v>36.3787581563373</v>
      </c>
      <c r="H4170" s="6" t="n">
        <f aca="false">Sens!H4158-Sens!H4157*Sens!H4169</f>
        <v>59.5594342119569</v>
      </c>
      <c r="I4170" s="6" t="n">
        <f aca="false">Sens!I4158-Sens!I4157*Sens!I4169</f>
        <v>74.1306769567569</v>
      </c>
      <c r="J4170" s="6" t="n">
        <f aca="false">Sens!J4158-Sens!J4157*Sens!J4169</f>
        <v>85.6144227949677</v>
      </c>
      <c r="K4170" s="6" t="n">
        <f aca="false">Sens!K4158-Sens!K4157*Sens!K4169</f>
        <v>95.4631762702714</v>
      </c>
    </row>
    <row r="4171" customFormat="false" ht="17.15" hidden="false" customHeight="false" outlineLevel="0" collapsed="false">
      <c r="A4171" s="3" t="s">
        <v>1368</v>
      </c>
    </row>
    <row r="4172" customFormat="false" ht="15" hidden="false" customHeight="false" outlineLevel="0" collapsed="false">
      <c r="A4172" s="4" t="s">
        <v>43</v>
      </c>
      <c r="B4172" s="4" t="s">
        <v>65</v>
      </c>
      <c r="C4172" s="20" t="s">
        <v>799</v>
      </c>
      <c r="D4172" s="20" t="s">
        <v>800</v>
      </c>
      <c r="E4172" s="20" t="s">
        <v>801</v>
      </c>
      <c r="F4172" s="20" t="s">
        <v>802</v>
      </c>
      <c r="G4172" s="20" t="s">
        <v>803</v>
      </c>
      <c r="H4172" s="20" t="s">
        <v>804</v>
      </c>
      <c r="I4172" s="20" t="s">
        <v>805</v>
      </c>
      <c r="J4172" s="20" t="s">
        <v>806</v>
      </c>
      <c r="K4172" s="20" t="s">
        <v>807</v>
      </c>
      <c r="L4172" s="4" t="s">
        <v>47</v>
      </c>
    </row>
    <row r="4173" customFormat="false" ht="17.15" hidden="false" customHeight="false" outlineLevel="0" collapsed="false">
      <c r="A4173" s="0" t="s">
        <v>874</v>
      </c>
      <c r="B4173" s="0" t="s">
        <v>98</v>
      </c>
      <c r="D4173" s="6" t="n">
        <f aca="false">Sens!D4152</f>
        <v>12.9359794422418</v>
      </c>
      <c r="E4173" s="6" t="n">
        <f aca="false">Sens!E4152</f>
        <v>27.8095064661409</v>
      </c>
      <c r="F4173" s="6" t="n">
        <f aca="false">Sens!F4152</f>
        <v>58.7324192305018</v>
      </c>
      <c r="G4173" s="6" t="n">
        <f aca="false">Sens!G4152</f>
        <v>101.369089141153</v>
      </c>
      <c r="H4173" s="6" t="n">
        <f aca="false">Sens!H4152</f>
        <v>151.2271359301</v>
      </c>
      <c r="I4173" s="6" t="n">
        <f aca="false">Sens!I4152</f>
        <v>189.658187712069</v>
      </c>
      <c r="J4173" s="6" t="n">
        <f aca="false">Sens!J4152</f>
        <v>218.587010516019</v>
      </c>
      <c r="K4173" s="6" t="n">
        <f aca="false">Sens!K4152</f>
        <v>238.871444257453</v>
      </c>
    </row>
    <row r="4174" customFormat="false" ht="17.15" hidden="false" customHeight="false" outlineLevel="0" collapsed="false">
      <c r="A4174" s="0" t="s">
        <v>875</v>
      </c>
      <c r="B4174" s="0" t="s">
        <v>98</v>
      </c>
      <c r="D4174" s="6" t="n">
        <f aca="false">Q!L6-Sens!D4173</f>
        <v>59.6740205577583</v>
      </c>
      <c r="E4174" s="6" t="n">
        <f aca="false">Q!M6-Sens!E4173</f>
        <v>74.1284935338591</v>
      </c>
      <c r="F4174" s="6" t="n">
        <f aca="false">Sens!E4174*(1+Sens!F4175)</f>
        <v>90.0799497373663</v>
      </c>
      <c r="G4174" s="6" t="n">
        <f aca="false">Sens!F4174*(1+Sens!G4175)</f>
        <v>107.02842520331</v>
      </c>
      <c r="H4174" s="6" t="n">
        <f aca="false">Sens!G4174*(1+Sens!H4175)</f>
        <v>124.271982585636</v>
      </c>
      <c r="I4174" s="6" t="n">
        <f aca="false">Sens!H4174*(1+Sens!I4175)</f>
        <v>140.933702381855</v>
      </c>
      <c r="J4174" s="6" t="n">
        <f aca="false">Sens!I4174*(1+Sens!J4175)</f>
        <v>156.018867314332</v>
      </c>
      <c r="K4174" s="6" t="n">
        <f aca="false">Sens!J4174*(1+Sens!K4175)</f>
        <v>168.500376699478</v>
      </c>
    </row>
    <row r="4175" customFormat="false" ht="15" hidden="false" customHeight="false" outlineLevel="0" collapsed="false">
      <c r="A4175" s="1" t="s">
        <v>876</v>
      </c>
      <c r="B4175" s="0" t="s">
        <v>129</v>
      </c>
      <c r="E4175" s="7" t="n">
        <f aca="false">Sens!E4174/Sens!D4174-1</f>
        <v>0.242223883039864</v>
      </c>
      <c r="F4175" s="7" t="n">
        <f aca="false">Sens!$E$4175+(glt_azo-Sens!$E$4175)*MIN(1,(Sens!F4135-base_fy)/n_conv)</f>
        <v>0.215186569199887</v>
      </c>
      <c r="G4175" s="7" t="n">
        <f aca="false">Sens!$E$4175+(glt_azo-Sens!$E$4175)*MIN(1,(Sens!G4135-base_fy)/n_conv)</f>
        <v>0.18814925535991</v>
      </c>
      <c r="H4175" s="7" t="n">
        <f aca="false">Sens!$E$4175+(glt_azo-Sens!$E$4175)*MIN(1,(Sens!H4135-base_fy)/n_conv)</f>
        <v>0.161111941519932</v>
      </c>
      <c r="I4175" s="7" t="n">
        <f aca="false">Sens!$E$4175+(glt_azo-Sens!$E$4175)*MIN(1,(Sens!I4135-base_fy)/n_conv)</f>
        <v>0.134074627679955</v>
      </c>
      <c r="J4175" s="7" t="n">
        <f aca="false">Sens!$E$4175+(glt_azo-Sens!$E$4175)*MIN(1,(Sens!J4135-base_fy)/n_conv)</f>
        <v>0.107037313839977</v>
      </c>
      <c r="K4175" s="7" t="n">
        <f aca="false">Sens!$E$4175+(glt_azo-Sens!$E$4175)*MIN(1,(Sens!K4135-base_fy)/n_conv)</f>
        <v>0.08</v>
      </c>
    </row>
    <row r="4176" customFormat="false" ht="15" hidden="false" customHeight="false" outlineLevel="0" collapsed="false">
      <c r="A4176" s="0" t="s">
        <v>877</v>
      </c>
      <c r="B4176" s="0" t="s">
        <v>98</v>
      </c>
      <c r="D4176" s="6" t="n">
        <f aca="false">Sens!D4173+Sens!D4174</f>
        <v>72.61</v>
      </c>
      <c r="E4176" s="6" t="n">
        <f aca="false">Sens!E4173+Sens!E4174</f>
        <v>101.938</v>
      </c>
      <c r="F4176" s="6" t="n">
        <f aca="false">Sens!F4173+Sens!F4174</f>
        <v>148.812368967868</v>
      </c>
      <c r="G4176" s="6" t="n">
        <f aca="false">Sens!G4173+Sens!G4174</f>
        <v>208.397514344463</v>
      </c>
      <c r="H4176" s="6" t="n">
        <f aca="false">Sens!H4173+Sens!H4174</f>
        <v>275.499118515736</v>
      </c>
      <c r="I4176" s="6" t="n">
        <f aca="false">Sens!I4173+Sens!I4174</f>
        <v>330.591890093924</v>
      </c>
      <c r="J4176" s="6" t="n">
        <f aca="false">Sens!J4173+Sens!J4174</f>
        <v>374.60587783035</v>
      </c>
      <c r="K4176" s="6" t="n">
        <f aca="false">Sens!K4173+Sens!K4174</f>
        <v>407.371820956931</v>
      </c>
    </row>
    <row r="4177" customFormat="false" ht="17.15" hidden="false" customHeight="false" outlineLevel="0" collapsed="false">
      <c r="A4177" s="0" t="s">
        <v>878</v>
      </c>
      <c r="B4177" s="1" t="s">
        <v>528</v>
      </c>
      <c r="C4177" s="29" t="n">
        <f aca="false">cop_s24</f>
        <v>1</v>
      </c>
      <c r="D4177" s="29" t="n">
        <f aca="false">cop_s25</f>
        <v>5</v>
      </c>
      <c r="E4177" s="29" t="n">
        <f aca="false">cop_s26</f>
        <v>30</v>
      </c>
      <c r="F4177" s="29" t="n">
        <f aca="false">Sens!E4177+cop_add_A</f>
        <v>60</v>
      </c>
      <c r="G4177" s="29" t="n">
        <f aca="false">Sens!F4177+cop_add_A</f>
        <v>90</v>
      </c>
      <c r="H4177" s="29" t="n">
        <f aca="false">Sens!G4177+cop_add_A</f>
        <v>120</v>
      </c>
      <c r="I4177" s="29" t="n">
        <f aca="false">Sens!H4177+cop_add_A*cop_tail</f>
        <v>135</v>
      </c>
      <c r="J4177" s="29" t="n">
        <f aca="false">Sens!I4177+cop_add_A*cop_tail</f>
        <v>150</v>
      </c>
      <c r="K4177" s="29" t="n">
        <f aca="false">Sens!J4177+cop_add_A*cop_tail</f>
        <v>165</v>
      </c>
      <c r="L4177" s="11" t="s">
        <v>879</v>
      </c>
    </row>
    <row r="4178" customFormat="false" ht="17.15" hidden="false" customHeight="false" outlineLevel="0" collapsed="false">
      <c r="A4178" s="0" t="s">
        <v>880</v>
      </c>
      <c r="B4178" s="0" t="s">
        <v>98</v>
      </c>
      <c r="D4178" s="6" t="n">
        <f aca="false">(Sens!C4177+Sens!D4177)/2*cop_px*12/1000</f>
        <v>0.9</v>
      </c>
      <c r="E4178" s="6" t="n">
        <f aca="false">(Sens!D4177+Sens!E4177)/2*cop_px*12/1000</f>
        <v>5.25</v>
      </c>
      <c r="F4178" s="6" t="n">
        <f aca="false">(Sens!E4177+Sens!F4177)/2*cop_px*12/1000</f>
        <v>13.5</v>
      </c>
      <c r="G4178" s="6" t="n">
        <f aca="false">(Sens!F4177+Sens!G4177)/2*cop_px*12/1000</f>
        <v>22.5</v>
      </c>
      <c r="H4178" s="6" t="n">
        <f aca="false">(Sens!G4177+Sens!H4177)/2*cop_px*12/1000</f>
        <v>31.5</v>
      </c>
      <c r="I4178" s="6" t="n">
        <f aca="false">(Sens!H4177+Sens!I4177)/2*cop_px*12/1000</f>
        <v>38.25</v>
      </c>
      <c r="J4178" s="6" t="n">
        <f aca="false">(Sens!I4177+Sens!J4177)/2*cop_px*12/1000</f>
        <v>42.75</v>
      </c>
      <c r="K4178" s="6" t="n">
        <f aca="false">(Sens!J4177+Sens!K4177)/2*cop_px*12/1000</f>
        <v>47.25</v>
      </c>
      <c r="L4178" s="1" t="s">
        <v>881</v>
      </c>
    </row>
    <row r="4179" customFormat="false" ht="17.15" hidden="false" customHeight="false" outlineLevel="0" collapsed="false">
      <c r="A4179" s="0" t="s">
        <v>882</v>
      </c>
      <c r="B4179" s="0" t="s">
        <v>98</v>
      </c>
      <c r="D4179" s="6" t="n">
        <f aca="false">Q!L7-Sens!D4178</f>
        <v>83.705</v>
      </c>
      <c r="E4179" s="6" t="n">
        <f aca="false">Q!M7-Sens!E4178</f>
        <v>95.049</v>
      </c>
      <c r="F4179" s="6" t="n">
        <f aca="false">Sens!E4179*(1+Sens!F4180)</f>
        <v>106.89238776686</v>
      </c>
      <c r="G4179" s="6" t="n">
        <f aca="false">Sens!F4179*(1+Sens!G4180)</f>
        <v>119.044168448684</v>
      </c>
      <c r="H4179" s="6" t="n">
        <f aca="false">Sens!G4179*(1+Sens!H4180)</f>
        <v>131.277359388781</v>
      </c>
      <c r="I4179" s="6" t="n">
        <f aca="false">Sens!H4179*(1+Sens!I4180)</f>
        <v>143.334028071957</v>
      </c>
      <c r="J4179" s="6" t="n">
        <f aca="false">Sens!I4179*(1+Sens!J4180)</f>
        <v>154.932702785465</v>
      </c>
      <c r="K4179" s="6" t="n">
        <f aca="false">Sens!J4179*(1+Sens!K4180)</f>
        <v>165.777991980448</v>
      </c>
    </row>
    <row r="4180" customFormat="false" ht="15" hidden="false" customHeight="false" outlineLevel="0" collapsed="false">
      <c r="A4180" s="1" t="s">
        <v>876</v>
      </c>
      <c r="B4180" s="0" t="s">
        <v>129</v>
      </c>
      <c r="E4180" s="7" t="n">
        <f aca="false">Sens!E4179/Sens!D4179-1</f>
        <v>0.135523564900544</v>
      </c>
      <c r="F4180" s="7" t="n">
        <f aca="false">Sens!$E$4180+(glt_m365b-Sens!$E$4180)*MIN(1,(Sens!F4135-base_fy)/n_conv)</f>
        <v>0.124602970750453</v>
      </c>
      <c r="G4180" s="7" t="n">
        <f aca="false">Sens!$E$4180+(glt_m365b-Sens!$E$4180)*MIN(1,(Sens!G4135-base_fy)/n_conv)</f>
        <v>0.113682376600363</v>
      </c>
      <c r="H4180" s="7" t="n">
        <f aca="false">Sens!$E$4180+(glt_m365b-Sens!$E$4180)*MIN(1,(Sens!H4135-base_fy)/n_conv)</f>
        <v>0.102761782450272</v>
      </c>
      <c r="I4180" s="7" t="n">
        <f aca="false">Sens!$E$4180+(glt_m365b-Sens!$E$4180)*MIN(1,(Sens!I4135-base_fy)/n_conv)</f>
        <v>0.0918411883001813</v>
      </c>
      <c r="J4180" s="7" t="n">
        <f aca="false">Sens!$E$4180+(glt_m365b-Sens!$E$4180)*MIN(1,(Sens!J4135-base_fy)/n_conv)</f>
        <v>0.0809205941500906</v>
      </c>
      <c r="K4180" s="7" t="n">
        <f aca="false">Sens!$E$4180+(glt_m365b-Sens!$E$4180)*MIN(1,(Sens!K4135-base_fy)/n_conv)</f>
        <v>0.07</v>
      </c>
    </row>
    <row r="4181" customFormat="false" ht="15" hidden="false" customHeight="false" outlineLevel="0" collapsed="false">
      <c r="A4181" s="0" t="s">
        <v>883</v>
      </c>
      <c r="B4181" s="0" t="s">
        <v>98</v>
      </c>
      <c r="D4181" s="6" t="n">
        <f aca="false">Sens!D4179+Sens!D4178</f>
        <v>84.605</v>
      </c>
      <c r="E4181" s="6" t="n">
        <f aca="false">Sens!E4179+Sens!E4178</f>
        <v>100.299</v>
      </c>
      <c r="F4181" s="6" t="n">
        <f aca="false">Sens!F4179+Sens!F4178</f>
        <v>120.39238776686</v>
      </c>
      <c r="G4181" s="6" t="n">
        <f aca="false">Sens!G4179+Sens!G4178</f>
        <v>141.544168448684</v>
      </c>
      <c r="H4181" s="6" t="n">
        <f aca="false">Sens!H4179+Sens!H4178</f>
        <v>162.777359388781</v>
      </c>
      <c r="I4181" s="6" t="n">
        <f aca="false">Sens!I4179+Sens!I4178</f>
        <v>181.584028071957</v>
      </c>
      <c r="J4181" s="6" t="n">
        <f aca="false">Sens!J4179+Sens!J4178</f>
        <v>197.682702785465</v>
      </c>
      <c r="K4181" s="6" t="n">
        <f aca="false">Sens!K4179+Sens!K4178</f>
        <v>213.027991980448</v>
      </c>
    </row>
    <row r="4182" customFormat="false" ht="15" hidden="false" customHeight="false" outlineLevel="0" collapsed="false">
      <c r="A4182" s="0" t="s">
        <v>884</v>
      </c>
      <c r="B4182" s="0" t="s">
        <v>98</v>
      </c>
      <c r="D4182" s="6" t="n">
        <f aca="false">Q!L8</f>
        <v>35.391</v>
      </c>
      <c r="E4182" s="6" t="n">
        <f aca="false">Q!M8</f>
        <v>37.285</v>
      </c>
      <c r="F4182" s="6" t="n">
        <f aca="false">Sens!E4182*(1+Sens!F4183)</f>
        <v>39.0720834331704</v>
      </c>
      <c r="G4182" s="6" t="n">
        <f aca="false">Sens!F4182*(1+Sens!G4183)</f>
        <v>40.726562953769</v>
      </c>
      <c r="H4182" s="6" t="n">
        <f aca="false">Sens!G4182*(1+Sens!H4183)</f>
        <v>42.2235987259198</v>
      </c>
      <c r="I4182" s="6" t="n">
        <f aca="false">Sens!H4182*(1+Sens!I4183)</f>
        <v>43.5397988077414</v>
      </c>
      <c r="J4182" s="6" t="n">
        <f aca="false">Sens!I4182*(1+Sens!J4183)</f>
        <v>44.653811225693</v>
      </c>
      <c r="K4182" s="6" t="n">
        <f aca="false">Sens!J4182*(1+Sens!K4183)</f>
        <v>45.5468874502068</v>
      </c>
    </row>
    <row r="4183" customFormat="false" ht="15" hidden="false" customHeight="false" outlineLevel="0" collapsed="false">
      <c r="A4183" s="1" t="s">
        <v>876</v>
      </c>
      <c r="B4183" s="0" t="s">
        <v>129</v>
      </c>
      <c r="E4183" s="7" t="n">
        <f aca="false">Sens!E4182/Sens!D4182-1</f>
        <v>0.0535164307309768</v>
      </c>
      <c r="F4183" s="7" t="n">
        <f aca="false">Sens!$E$4183+(glt_lic-Sens!$E$4183)*MIN(1,(Sens!F4135-base_fy)/n_conv)</f>
        <v>0.0479303589424807</v>
      </c>
      <c r="G4183" s="7" t="n">
        <f aca="false">Sens!$E$4183+(glt_lic-Sens!$E$4183)*MIN(1,(Sens!G4135-base_fy)/n_conv)</f>
        <v>0.0423442871539845</v>
      </c>
      <c r="H4183" s="7" t="n">
        <f aca="false">Sens!$E$4183+(glt_lic-Sens!$E$4183)*MIN(1,(Sens!H4135-base_fy)/n_conv)</f>
        <v>0.0367582153654884</v>
      </c>
      <c r="I4183" s="7" t="n">
        <f aca="false">Sens!$E$4183+(glt_lic-Sens!$E$4183)*MIN(1,(Sens!I4135-base_fy)/n_conv)</f>
        <v>0.0311721435769923</v>
      </c>
      <c r="J4183" s="7" t="n">
        <f aca="false">Sens!$E$4183+(glt_lic-Sens!$E$4183)*MIN(1,(Sens!J4135-base_fy)/n_conv)</f>
        <v>0.0255860717884961</v>
      </c>
      <c r="K4183" s="7" t="n">
        <f aca="false">Sens!$E$4183+(glt_lic-Sens!$E$4183)*MIN(1,(Sens!K4135-base_fy)/n_conv)</f>
        <v>0.02</v>
      </c>
    </row>
    <row r="4184" customFormat="false" ht="15" hidden="false" customHeight="false" outlineLevel="0" collapsed="false">
      <c r="A4184" s="0" t="s">
        <v>885</v>
      </c>
      <c r="B4184" s="0" t="s">
        <v>98</v>
      </c>
      <c r="D4184" s="6" t="n">
        <f aca="false">Q!L9</f>
        <v>18.417</v>
      </c>
      <c r="E4184" s="6" t="n">
        <f aca="false">Q!M9</f>
        <v>20.345</v>
      </c>
      <c r="F4184" s="6" t="n">
        <f aca="false">Sens!E4184*(1+Sens!F4185)</f>
        <v>22.3572203267814</v>
      </c>
      <c r="G4184" s="6" t="n">
        <f aca="false">Sens!F4184*(1+Sens!G4185)</f>
        <v>24.4392124437232</v>
      </c>
      <c r="H4184" s="6" t="n">
        <f aca="false">Sens!G4184*(1+Sens!H4185)</f>
        <v>26.5738052080665</v>
      </c>
      <c r="I4184" s="6" t="n">
        <f aca="false">Sens!H4184*(1+Sens!I4185)</f>
        <v>28.7412169166967</v>
      </c>
      <c r="J4184" s="6" t="n">
        <f aca="false">Sens!I4184*(1+Sens!J4185)</f>
        <v>30.9192545395413</v>
      </c>
      <c r="K4184" s="6" t="n">
        <f aca="false">Sens!J4184*(1+Sens!K4185)</f>
        <v>33.0836023573092</v>
      </c>
    </row>
    <row r="4185" customFormat="false" ht="15" hidden="false" customHeight="false" outlineLevel="0" collapsed="false">
      <c r="A4185" s="1" t="s">
        <v>876</v>
      </c>
      <c r="B4185" s="0" t="s">
        <v>129</v>
      </c>
      <c r="E4185" s="7" t="n">
        <f aca="false">Sens!E4184/Sens!D4184-1</f>
        <v>0.104685888038225</v>
      </c>
      <c r="F4185" s="7" t="n">
        <f aca="false">Sens!$E$4185+(glt_ind-Sens!$E$4185)*MIN(1,(Sens!F4135-base_fy)/n_conv)</f>
        <v>0.0989049066985211</v>
      </c>
      <c r="G4185" s="7" t="n">
        <f aca="false">Sens!$E$4185+(glt_ind-Sens!$E$4185)*MIN(1,(Sens!G4135-base_fy)/n_conv)</f>
        <v>0.0931239253588169</v>
      </c>
      <c r="H4185" s="7" t="n">
        <f aca="false">Sens!$E$4185+(glt_ind-Sens!$E$4185)*MIN(1,(Sens!H4135-base_fy)/n_conv)</f>
        <v>0.0873429440191127</v>
      </c>
      <c r="I4185" s="7" t="n">
        <f aca="false">Sens!$E$4185+(glt_ind-Sens!$E$4185)*MIN(1,(Sens!I4135-base_fy)/n_conv)</f>
        <v>0.0815619626794085</v>
      </c>
      <c r="J4185" s="7" t="n">
        <f aca="false">Sens!$E$4185+(glt_ind-Sens!$E$4185)*MIN(1,(Sens!J4135-base_fy)/n_conv)</f>
        <v>0.0757809813397042</v>
      </c>
      <c r="K4185" s="7" t="n">
        <f aca="false">Sens!$E$4185+(glt_ind-Sens!$E$4185)*MIN(1,(Sens!K4135-base_fy)/n_conv)</f>
        <v>0.07</v>
      </c>
    </row>
    <row r="4186" customFormat="false" ht="15" hidden="false" customHeight="false" outlineLevel="0" collapsed="false">
      <c r="A4186" s="0" t="s">
        <v>886</v>
      </c>
      <c r="B4186" s="0" t="s">
        <v>98</v>
      </c>
      <c r="D4186" s="6" t="n">
        <f aca="false">Q!L10</f>
        <v>7.76</v>
      </c>
      <c r="E4186" s="6" t="n">
        <f aca="false">Q!M10</f>
        <v>8.26</v>
      </c>
      <c r="F4186" s="6" t="n">
        <f aca="false">Sens!E4186*(1+Sens!F4187)</f>
        <v>8.79988041237113</v>
      </c>
      <c r="G4186" s="6" t="n">
        <f aca="false">Sens!F4186*(1+Sens!G4187)</f>
        <v>9.38321269125306</v>
      </c>
      <c r="H4186" s="6" t="n">
        <f aca="false">Sens!G4186*(1+Sens!H4187)</f>
        <v>10.0139193587476</v>
      </c>
      <c r="I4186" s="6" t="n">
        <f aca="false">Sens!H4186*(1+Sens!I4187)</f>
        <v>10.6963111830911</v>
      </c>
      <c r="J4186" s="6" t="n">
        <f aca="false">Sens!I4186*(1+Sens!J4187)</f>
        <v>11.4351285534696</v>
      </c>
      <c r="K4186" s="6" t="n">
        <f aca="false">Sens!J4186*(1+Sens!K4187)</f>
        <v>12.2355875522124</v>
      </c>
    </row>
    <row r="4187" customFormat="false" ht="15" hidden="false" customHeight="false" outlineLevel="0" collapsed="false">
      <c r="A4187" s="1" t="s">
        <v>876</v>
      </c>
      <c r="B4187" s="0" t="s">
        <v>129</v>
      </c>
      <c r="E4187" s="7" t="n">
        <f aca="false">Sens!E4186/Sens!D4186-1</f>
        <v>0.0644329896907216</v>
      </c>
      <c r="F4187" s="7" t="n">
        <f aca="false">Sens!$E$4187+(glt_fro-Sens!$E$4187)*MIN(1,(Sens!F4135-base_fy)/n_conv)</f>
        <v>0.065360824742268</v>
      </c>
      <c r="G4187" s="7" t="n">
        <f aca="false">Sens!$E$4187+(glt_fro-Sens!$E$4187)*MIN(1,(Sens!G4135-base_fy)/n_conv)</f>
        <v>0.0662886597938144</v>
      </c>
      <c r="H4187" s="7" t="n">
        <f aca="false">Sens!$E$4187+(glt_fro-Sens!$E$4187)*MIN(1,(Sens!H4135-base_fy)/n_conv)</f>
        <v>0.0672164948453608</v>
      </c>
      <c r="I4187" s="7" t="n">
        <f aca="false">Sens!$E$4187+(glt_fro-Sens!$E$4187)*MIN(1,(Sens!I4135-base_fy)/n_conv)</f>
        <v>0.0681443298969072</v>
      </c>
      <c r="J4187" s="7" t="n">
        <f aca="false">Sens!$E$4187+(glt_fro-Sens!$E$4187)*MIN(1,(Sens!J4135-base_fy)/n_conv)</f>
        <v>0.0690721649484536</v>
      </c>
      <c r="K4187" s="7" t="n">
        <f aca="false">Sens!$E$4187+(glt_fro-Sens!$E$4187)*MIN(1,(Sens!K4135-base_fy)/n_conv)</f>
        <v>0.07</v>
      </c>
    </row>
    <row r="4188" customFormat="false" ht="15" hidden="false" customHeight="false" outlineLevel="0" collapsed="false">
      <c r="A4188" s="0" t="s">
        <v>715</v>
      </c>
      <c r="B4188" s="0" t="s">
        <v>98</v>
      </c>
      <c r="D4188" s="6" t="n">
        <f aca="false">Sens!D4176+Sens!D4181+Sens!D4182+Sens!D4184+Sens!D4186</f>
        <v>218.783</v>
      </c>
      <c r="E4188" s="6" t="n">
        <f aca="false">Sens!E4176+Sens!E4181+Sens!E4182+Sens!E4184+Sens!E4186</f>
        <v>268.127</v>
      </c>
      <c r="F4188" s="6" t="n">
        <f aca="false">Sens!F4176+Sens!F4181+Sens!F4182+Sens!F4184+Sens!F4186</f>
        <v>339.433940907051</v>
      </c>
      <c r="G4188" s="6" t="n">
        <f aca="false">Sens!G4176+Sens!G4181+Sens!G4182+Sens!G4184+Sens!G4186</f>
        <v>424.490670881892</v>
      </c>
      <c r="H4188" s="6" t="n">
        <f aca="false">Sens!H4176+Sens!H4181+Sens!H4182+Sens!H4184+Sens!H4186</f>
        <v>517.087801197251</v>
      </c>
      <c r="I4188" s="6" t="n">
        <f aca="false">Sens!I4176+Sens!I4181+Sens!I4182+Sens!I4184+Sens!I4186</f>
        <v>595.15324507341</v>
      </c>
      <c r="J4188" s="6" t="n">
        <f aca="false">Sens!J4176+Sens!J4181+Sens!J4182+Sens!J4184+Sens!J4186</f>
        <v>659.29677493452</v>
      </c>
      <c r="K4188" s="6" t="n">
        <f aca="false">Sens!K4176+Sens!K4181+Sens!K4182+Sens!K4184+Sens!K4186</f>
        <v>711.265890297108</v>
      </c>
    </row>
    <row r="4189" customFormat="false" ht="15" hidden="false" customHeight="false" outlineLevel="0" collapsed="false">
      <c r="A4189" s="0" t="s">
        <v>887</v>
      </c>
      <c r="B4189" s="0" t="s">
        <v>98</v>
      </c>
      <c r="D4189" s="6" t="n">
        <f aca="false">Q!L13</f>
        <v>22.171</v>
      </c>
      <c r="E4189" s="6" t="n">
        <f aca="false">Q!M13</f>
        <v>24.835</v>
      </c>
      <c r="F4189" s="6" t="n">
        <f aca="false">Sens!E4189*(1+Sens!F4190)</f>
        <v>27.6114901218559</v>
      </c>
      <c r="G4189" s="6" t="n">
        <f aca="false">Sens!F4189*(1+Sens!G4190)</f>
        <v>30.4675667338515</v>
      </c>
      <c r="H4189" s="6" t="n">
        <f aca="false">Sens!G4189*(1+Sens!H4190)</f>
        <v>33.3643766955789</v>
      </c>
      <c r="I4189" s="6" t="n">
        <f aca="false">Sens!H4189*(1+Sens!I4190)</f>
        <v>36.2577016533691</v>
      </c>
      <c r="J4189" s="6" t="n">
        <f aca="false">Sens!I4189*(1+Sens!J4190)</f>
        <v>39.0988367952171</v>
      </c>
      <c r="K4189" s="6" t="n">
        <f aca="false">Sens!J4189*(1+Sens!K4190)</f>
        <v>41.8357553708823</v>
      </c>
    </row>
    <row r="4190" customFormat="false" ht="15" hidden="false" customHeight="false" outlineLevel="0" collapsed="false">
      <c r="A4190" s="1" t="s">
        <v>876</v>
      </c>
      <c r="B4190" s="0" t="s">
        <v>129</v>
      </c>
      <c r="E4190" s="7" t="n">
        <f aca="false">Sens!E4189/Sens!D4189-1</f>
        <v>0.120156961796942</v>
      </c>
      <c r="F4190" s="7" t="n">
        <f aca="false">Sens!$E$4190+(glt_srch-Sens!$E$4190)*MIN(1,(Sens!F4135-base_fy)/n_conv)</f>
        <v>0.111797468164118</v>
      </c>
      <c r="G4190" s="7" t="n">
        <f aca="false">Sens!$E$4190+(glt_srch-Sens!$E$4190)*MIN(1,(Sens!G4135-base_fy)/n_conv)</f>
        <v>0.103437974531295</v>
      </c>
      <c r="H4190" s="7" t="n">
        <f aca="false">Sens!$E$4190+(glt_srch-Sens!$E$4190)*MIN(1,(Sens!H4135-base_fy)/n_conv)</f>
        <v>0.095078480898471</v>
      </c>
      <c r="I4190" s="7" t="n">
        <f aca="false">Sens!$E$4190+(glt_srch-Sens!$E$4190)*MIN(1,(Sens!I4135-base_fy)/n_conv)</f>
        <v>0.0867189872656474</v>
      </c>
      <c r="J4190" s="7" t="n">
        <f aca="false">Sens!$E$4190+(glt_srch-Sens!$E$4190)*MIN(1,(Sens!J4135-base_fy)/n_conv)</f>
        <v>0.0783594936328237</v>
      </c>
      <c r="K4190" s="7" t="n">
        <f aca="false">Sens!$E$4190+(glt_srch-Sens!$E$4190)*MIN(1,(Sens!K4135-base_fy)/n_conv)</f>
        <v>0.07</v>
      </c>
    </row>
    <row r="4191" customFormat="false" ht="15" hidden="false" customHeight="false" outlineLevel="0" collapsed="false">
      <c r="A4191" s="0" t="s">
        <v>888</v>
      </c>
      <c r="B4191" s="0" t="s">
        <v>98</v>
      </c>
      <c r="D4191" s="6" t="n">
        <f aca="false">Q!L14</f>
        <v>23.455</v>
      </c>
      <c r="E4191" s="6" t="n">
        <f aca="false">Q!M14</f>
        <v>21.79</v>
      </c>
      <c r="F4191" s="6" t="n">
        <f aca="false">Sens!E4191*(1+Sens!F4192)</f>
        <v>20.5736277908051</v>
      </c>
      <c r="G4191" s="6" t="n">
        <f aca="false">Sens!F4191*(1+Sens!G4192)</f>
        <v>19.7371452817919</v>
      </c>
      <c r="H4191" s="6" t="n">
        <f aca="false">Sens!G4191*(1+Sens!H4192)</f>
        <v>19.2339764043138</v>
      </c>
      <c r="I4191" s="6" t="n">
        <f aca="false">Sens!H4191*(1+Sens!I4192)</f>
        <v>19.0353086852681</v>
      </c>
      <c r="J4191" s="6" t="n">
        <f aca="false">Sens!I4191*(1+Sens!J4192)</f>
        <v>19.1273539319129</v>
      </c>
      <c r="K4191" s="6" t="n">
        <f aca="false">Sens!J4191*(1+Sens!K4192)</f>
        <v>19.5099010105511</v>
      </c>
    </row>
    <row r="4192" customFormat="false" ht="15" hidden="false" customHeight="false" outlineLevel="0" collapsed="false">
      <c r="A4192" s="1" t="s">
        <v>876</v>
      </c>
      <c r="B4192" s="0" t="s">
        <v>129</v>
      </c>
      <c r="E4192" s="7" t="n">
        <f aca="false">Sens!E4191/Sens!D4191-1</f>
        <v>-0.0709869963760392</v>
      </c>
      <c r="F4192" s="7" t="n">
        <f aca="false">Sens!$E$4192+(glt_xbox-Sens!$E$4192)*MIN(1,(Sens!F4135-base_fy)/n_conv)</f>
        <v>-0.0558224969800327</v>
      </c>
      <c r="G4192" s="7" t="n">
        <f aca="false">Sens!$E$4192+(glt_xbox-Sens!$E$4192)*MIN(1,(Sens!G4135-base_fy)/n_conv)</f>
        <v>-0.0406579975840262</v>
      </c>
      <c r="H4192" s="7" t="n">
        <f aca="false">Sens!$E$4192+(glt_xbox-Sens!$E$4192)*MIN(1,(Sens!H4135-base_fy)/n_conv)</f>
        <v>-0.0254934981880196</v>
      </c>
      <c r="I4192" s="7" t="n">
        <f aca="false">Sens!$E$4192+(glt_xbox-Sens!$E$4192)*MIN(1,(Sens!I4135-base_fy)/n_conv)</f>
        <v>-0.0103289987920131</v>
      </c>
      <c r="J4192" s="7" t="n">
        <f aca="false">Sens!$E$4192+(glt_xbox-Sens!$E$4192)*MIN(1,(Sens!J4135-base_fy)/n_conv)</f>
        <v>0.00483550060399347</v>
      </c>
      <c r="K4192" s="7" t="n">
        <f aca="false">Sens!$E$4192+(glt_xbox-Sens!$E$4192)*MIN(1,(Sens!K4135-base_fy)/n_conv)</f>
        <v>0.02</v>
      </c>
    </row>
    <row r="4193" customFormat="false" ht="15" hidden="false" customHeight="false" outlineLevel="0" collapsed="false">
      <c r="A4193" s="0" t="s">
        <v>889</v>
      </c>
      <c r="B4193" s="0" t="s">
        <v>98</v>
      </c>
      <c r="D4193" s="6" t="n">
        <f aca="false">Q!L15</f>
        <v>17.315</v>
      </c>
      <c r="E4193" s="6" t="n">
        <f aca="false">Q!M15</f>
        <v>17.087</v>
      </c>
      <c r="F4193" s="6" t="n">
        <f aca="false">Sens!E4193*(1+Sens!F4194)</f>
        <v>16.9564585436519</v>
      </c>
      <c r="G4193" s="6" t="n">
        <f aca="false">Sens!F4193*(1+Sens!G4194)</f>
        <v>16.9206490624268</v>
      </c>
      <c r="H4193" s="6" t="n">
        <f aca="false">Sens!G4193*(1+Sens!H4194)</f>
        <v>16.9784519149849</v>
      </c>
      <c r="I4193" s="6" t="n">
        <f aca="false">Sens!H4193*(1+Sens!I4194)</f>
        <v>17.1303084701817</v>
      </c>
      <c r="J4193" s="6" t="n">
        <f aca="false">Sens!I4193*(1+Sens!J4194)</f>
        <v>17.3782189407267</v>
      </c>
      <c r="K4193" s="6" t="n">
        <f aca="false">Sens!J4193*(1+Sens!K4194)</f>
        <v>17.7257833195413</v>
      </c>
    </row>
    <row r="4194" customFormat="false" ht="15" hidden="false" customHeight="false" outlineLevel="0" collapsed="false">
      <c r="A4194" s="1" t="s">
        <v>876</v>
      </c>
      <c r="B4194" s="0" t="s">
        <v>129</v>
      </c>
      <c r="E4194" s="7" t="n">
        <f aca="false">Sens!E4193/Sens!D4193-1</f>
        <v>-0.0131677736066995</v>
      </c>
      <c r="F4194" s="7" t="n">
        <f aca="false">Sens!$E$4194+(glt_win-Sens!$E$4194)*MIN(1,(Sens!F4135-base_fy)/n_conv)</f>
        <v>-0.00763981133891627</v>
      </c>
      <c r="G4194" s="7" t="n">
        <f aca="false">Sens!$E$4194+(glt_win-Sens!$E$4194)*MIN(1,(Sens!G4135-base_fy)/n_conv)</f>
        <v>-0.00211184907113301</v>
      </c>
      <c r="H4194" s="7" t="n">
        <f aca="false">Sens!$E$4194+(glt_win-Sens!$E$4194)*MIN(1,(Sens!H4135-base_fy)/n_conv)</f>
        <v>0.00341611319665024</v>
      </c>
      <c r="I4194" s="7" t="n">
        <f aca="false">Sens!$E$4194+(glt_win-Sens!$E$4194)*MIN(1,(Sens!I4135-base_fy)/n_conv)</f>
        <v>0.00894407546443349</v>
      </c>
      <c r="J4194" s="7" t="n">
        <f aca="false">Sens!$E$4194+(glt_win-Sens!$E$4194)*MIN(1,(Sens!J4135-base_fy)/n_conv)</f>
        <v>0.0144720377322168</v>
      </c>
      <c r="K4194" s="7" t="n">
        <f aca="false">Sens!$E$4194+(glt_win-Sens!$E$4194)*MIN(1,(Sens!K4135-base_fy)/n_conv)</f>
        <v>0.02</v>
      </c>
    </row>
    <row r="4195" customFormat="false" ht="15" hidden="false" customHeight="false" outlineLevel="0" collapsed="false">
      <c r="A4195" s="0" t="s">
        <v>729</v>
      </c>
      <c r="B4195" s="0" t="s">
        <v>98</v>
      </c>
      <c r="D4195" s="6" t="n">
        <f aca="false">Sens!D4189+Sens!D4191+Sens!D4193</f>
        <v>62.941</v>
      </c>
      <c r="E4195" s="6" t="n">
        <f aca="false">Sens!E4189+Sens!E4191+Sens!E4193</f>
        <v>63.712</v>
      </c>
      <c r="F4195" s="6" t="n">
        <f aca="false">Sens!F4189+Sens!F4191+Sens!F4193</f>
        <v>65.1415764563129</v>
      </c>
      <c r="G4195" s="6" t="n">
        <f aca="false">Sens!G4189+Sens!G4191+Sens!G4193</f>
        <v>67.1253610780702</v>
      </c>
      <c r="H4195" s="6" t="n">
        <f aca="false">Sens!H4189+Sens!H4191+Sens!H4193</f>
        <v>69.5768050148776</v>
      </c>
      <c r="I4195" s="6" t="n">
        <f aca="false">Sens!I4189+Sens!I4191+Sens!I4193</f>
        <v>72.4233188088189</v>
      </c>
      <c r="J4195" s="6" t="n">
        <f aca="false">Sens!J4189+Sens!J4191+Sens!J4193</f>
        <v>75.6044096678567</v>
      </c>
      <c r="K4195" s="6" t="n">
        <f aca="false">Sens!K4189+Sens!K4191+Sens!K4193</f>
        <v>79.0714397009747</v>
      </c>
    </row>
    <row r="4196" customFormat="false" ht="15" hidden="false" customHeight="false" outlineLevel="0" collapsed="false">
      <c r="A4196" s="1" t="s">
        <v>890</v>
      </c>
      <c r="B4196" s="0" t="s">
        <v>98</v>
      </c>
      <c r="D4196" s="6" t="n">
        <f aca="false">Sens!D4188+Sens!D4195</f>
        <v>281.724</v>
      </c>
      <c r="E4196" s="6" t="n">
        <f aca="false">Sens!E4188+Sens!E4195</f>
        <v>331.839</v>
      </c>
      <c r="F4196" s="6" t="n">
        <f aca="false">Sens!F4188+Sens!F4195</f>
        <v>404.575517363364</v>
      </c>
      <c r="G4196" s="6" t="n">
        <f aca="false">Sens!G4188+Sens!G4195</f>
        <v>491.616031959962</v>
      </c>
      <c r="H4196" s="6" t="n">
        <f aca="false">Sens!H4188+Sens!H4195</f>
        <v>586.664606212128</v>
      </c>
      <c r="I4196" s="6" t="n">
        <f aca="false">Sens!I4188+Sens!I4195</f>
        <v>667.576563882229</v>
      </c>
      <c r="J4196" s="6" t="n">
        <f aca="false">Sens!J4188+Sens!J4195</f>
        <v>734.901184602376</v>
      </c>
      <c r="K4196" s="6" t="n">
        <f aca="false">Sens!K4188+Sens!K4195</f>
        <v>790.337329998082</v>
      </c>
    </row>
    <row r="4197" customFormat="false" ht="15" hidden="false" customHeight="false" outlineLevel="0" collapsed="false">
      <c r="A4197" s="23" t="s">
        <v>891</v>
      </c>
      <c r="B4197" s="30" t="s">
        <v>98</v>
      </c>
      <c r="C4197" s="30"/>
      <c r="D4197" s="24" t="n">
        <f aca="false">(Sens!D4176+Sens!D4181+Sens!D4182+Sens!D4184+Sens!D4186-Sens!D4188)+(Sens!D4189+Sens!D4191+Sens!D4193-Sens!D4195)+(Sens!D4188-Q!L5)+(Sens!D4195-Q!L12)+(Sens!D4176-Q!L6)+(Sens!D4181-Q!L7)</f>
        <v>0</v>
      </c>
      <c r="E4197" s="24" t="n">
        <f aca="false">(Sens!E4176+Sens!E4181+Sens!E4182+Sens!E4184+Sens!E4186-Sens!E4188)+(Sens!E4189+Sens!E4191+Sens!E4193-Sens!E4195)+(Sens!E4188-Q!M5)+(Sens!E4195-Q!M12)+(Sens!E4176-Q!M6)+(Sens!E4181-Q!M7)</f>
        <v>0</v>
      </c>
      <c r="F4197" s="24" t="n">
        <f aca="false">(Sens!F4176+Sens!F4181+Sens!F4182+Sens!F4184+Sens!F4186-Sens!F4188)+(Sens!F4189+Sens!F4191+Sens!F4193-Sens!F4195)</f>
        <v>0</v>
      </c>
      <c r="G4197" s="24" t="n">
        <f aca="false">(Sens!G4176+Sens!G4181+Sens!G4182+Sens!G4184+Sens!G4186-Sens!G4188)+(Sens!G4189+Sens!G4191+Sens!G4193-Sens!G4195)</f>
        <v>0</v>
      </c>
      <c r="H4197" s="24" t="n">
        <f aca="false">(Sens!H4176+Sens!H4181+Sens!H4182+Sens!H4184+Sens!H4186-Sens!H4188)+(Sens!H4189+Sens!H4191+Sens!H4193-Sens!H4195)</f>
        <v>0</v>
      </c>
      <c r="I4197" s="24" t="n">
        <f aca="false">(Sens!I4176+Sens!I4181+Sens!I4182+Sens!I4184+Sens!I4186-Sens!I4188)+(Sens!I4189+Sens!I4191+Sens!I4193-Sens!I4195)</f>
        <v>0</v>
      </c>
      <c r="J4197" s="24" t="n">
        <f aca="false">(Sens!J4176+Sens!J4181+Sens!J4182+Sens!J4184+Sens!J4186-Sens!J4188)+(Sens!J4189+Sens!J4191+Sens!J4193-Sens!J4195)</f>
        <v>0</v>
      </c>
      <c r="K4197" s="24" t="n">
        <f aca="false">(Sens!K4176+Sens!K4181+Sens!K4182+Sens!K4184+Sens!K4186-Sens!K4188)+(Sens!K4189+Sens!K4191+Sens!K4193-Sens!K4195)</f>
        <v>0</v>
      </c>
    </row>
    <row r="4198" customFormat="false" ht="17.15" hidden="false" customHeight="false" outlineLevel="0" collapsed="false">
      <c r="A4198" s="3" t="s">
        <v>1369</v>
      </c>
    </row>
    <row r="4199" customFormat="false" ht="15" hidden="false" customHeight="false" outlineLevel="0" collapsed="false">
      <c r="A4199" s="4" t="s">
        <v>43</v>
      </c>
      <c r="B4199" s="4" t="s">
        <v>65</v>
      </c>
      <c r="C4199" s="20" t="s">
        <v>799</v>
      </c>
      <c r="D4199" s="20" t="s">
        <v>800</v>
      </c>
      <c r="E4199" s="20" t="s">
        <v>801</v>
      </c>
      <c r="F4199" s="20" t="s">
        <v>802</v>
      </c>
      <c r="G4199" s="20" t="s">
        <v>803</v>
      </c>
      <c r="H4199" s="20" t="s">
        <v>804</v>
      </c>
      <c r="I4199" s="20" t="s">
        <v>805</v>
      </c>
      <c r="J4199" s="20" t="s">
        <v>806</v>
      </c>
      <c r="K4199" s="20" t="s">
        <v>807</v>
      </c>
      <c r="L4199" s="4" t="s">
        <v>47</v>
      </c>
    </row>
    <row r="4200" customFormat="false" ht="15" hidden="false" customHeight="false" outlineLevel="0" collapsed="false">
      <c r="A4200" s="0" t="s">
        <v>877</v>
      </c>
      <c r="B4200" s="0" t="s">
        <v>98</v>
      </c>
      <c r="D4200" s="6" t="n">
        <f aca="false">Sens!D4176</f>
        <v>72.61</v>
      </c>
      <c r="E4200" s="6" t="n">
        <f aca="false">Sens!E4176</f>
        <v>101.938</v>
      </c>
      <c r="F4200" s="6" t="n">
        <f aca="false">Sens!F4176</f>
        <v>148.812368967868</v>
      </c>
      <c r="G4200" s="6" t="n">
        <f aca="false">Sens!G4176</f>
        <v>208.397514344463</v>
      </c>
      <c r="H4200" s="6" t="n">
        <f aca="false">Sens!H4176</f>
        <v>275.499118515736</v>
      </c>
      <c r="I4200" s="6" t="n">
        <f aca="false">Sens!I4176</f>
        <v>330.591890093924</v>
      </c>
      <c r="J4200" s="6" t="n">
        <f aca="false">Sens!J4176</f>
        <v>374.60587783035</v>
      </c>
      <c r="K4200" s="6" t="n">
        <f aca="false">Sens!K4176</f>
        <v>407.371820956931</v>
      </c>
    </row>
    <row r="4201" customFormat="false" ht="17.15" hidden="false" customHeight="false" outlineLevel="0" collapsed="false">
      <c r="A4201" s="0" t="s">
        <v>874</v>
      </c>
      <c r="B4201" s="0" t="s">
        <v>98</v>
      </c>
      <c r="D4201" s="6" t="n">
        <f aca="false">Sens!D4173</f>
        <v>12.9359794422418</v>
      </c>
      <c r="E4201" s="6" t="n">
        <f aca="false">Sens!E4173</f>
        <v>27.8095064661409</v>
      </c>
      <c r="F4201" s="6" t="n">
        <f aca="false">Sens!F4173</f>
        <v>58.7324192305018</v>
      </c>
      <c r="G4201" s="6" t="n">
        <f aca="false">Sens!G4173</f>
        <v>101.369089141153</v>
      </c>
      <c r="H4201" s="6" t="n">
        <f aca="false">Sens!H4173</f>
        <v>151.2271359301</v>
      </c>
      <c r="I4201" s="6" t="n">
        <f aca="false">Sens!I4173</f>
        <v>189.658187712069</v>
      </c>
      <c r="J4201" s="6" t="n">
        <f aca="false">Sens!J4173</f>
        <v>218.587010516019</v>
      </c>
      <c r="K4201" s="6" t="n">
        <f aca="false">Sens!K4173</f>
        <v>238.871444257453</v>
      </c>
    </row>
    <row r="4202" customFormat="false" ht="17.15" hidden="false" customHeight="false" outlineLevel="0" collapsed="false">
      <c r="A4202" s="0" t="s">
        <v>902</v>
      </c>
      <c r="B4202" s="0" t="s">
        <v>98</v>
      </c>
      <c r="D4202" s="6" t="n">
        <f aca="false">Sens!D4174</f>
        <v>59.6740205577583</v>
      </c>
      <c r="E4202" s="6" t="n">
        <f aca="false">Sens!E4174</f>
        <v>74.1284935338591</v>
      </c>
      <c r="F4202" s="6" t="n">
        <f aca="false">Sens!F4174</f>
        <v>90.0799497373663</v>
      </c>
      <c r="G4202" s="6" t="n">
        <f aca="false">Sens!G4174</f>
        <v>107.02842520331</v>
      </c>
      <c r="H4202" s="6" t="n">
        <f aca="false">Sens!H4174</f>
        <v>124.271982585636</v>
      </c>
      <c r="I4202" s="6" t="n">
        <f aca="false">Sens!I4174</f>
        <v>140.933702381855</v>
      </c>
      <c r="J4202" s="6" t="n">
        <f aca="false">Sens!J4174</f>
        <v>156.018867314332</v>
      </c>
      <c r="K4202" s="6" t="n">
        <f aca="false">Sens!K4174</f>
        <v>168.500376699478</v>
      </c>
    </row>
    <row r="4203" customFormat="false" ht="15" hidden="false" customHeight="false" outlineLevel="0" collapsed="false">
      <c r="A4203" s="0" t="s">
        <v>883</v>
      </c>
      <c r="B4203" s="0" t="s">
        <v>98</v>
      </c>
      <c r="D4203" s="6" t="n">
        <f aca="false">Sens!D4181</f>
        <v>84.605</v>
      </c>
      <c r="E4203" s="6" t="n">
        <f aca="false">Sens!E4181</f>
        <v>100.299</v>
      </c>
      <c r="F4203" s="6" t="n">
        <f aca="false">Sens!F4181</f>
        <v>120.39238776686</v>
      </c>
      <c r="G4203" s="6" t="n">
        <f aca="false">Sens!G4181</f>
        <v>141.544168448684</v>
      </c>
      <c r="H4203" s="6" t="n">
        <f aca="false">Sens!H4181</f>
        <v>162.777359388781</v>
      </c>
      <c r="I4203" s="6" t="n">
        <f aca="false">Sens!I4181</f>
        <v>181.584028071957</v>
      </c>
      <c r="J4203" s="6" t="n">
        <f aca="false">Sens!J4181</f>
        <v>197.682702785465</v>
      </c>
      <c r="K4203" s="6" t="n">
        <f aca="false">Sens!K4181</f>
        <v>213.027991980448</v>
      </c>
    </row>
    <row r="4204" customFormat="false" ht="17.15" hidden="false" customHeight="false" outlineLevel="0" collapsed="false">
      <c r="A4204" s="0" t="s">
        <v>903</v>
      </c>
      <c r="B4204" s="0" t="s">
        <v>98</v>
      </c>
      <c r="D4204" s="6" t="n">
        <f aca="false">Sens!D4179</f>
        <v>83.705</v>
      </c>
      <c r="E4204" s="6" t="n">
        <f aca="false">Sens!E4179</f>
        <v>95.049</v>
      </c>
      <c r="F4204" s="6" t="n">
        <f aca="false">Sens!F4179</f>
        <v>106.89238776686</v>
      </c>
      <c r="G4204" s="6" t="n">
        <f aca="false">Sens!G4179</f>
        <v>119.044168448684</v>
      </c>
      <c r="H4204" s="6" t="n">
        <f aca="false">Sens!H4179</f>
        <v>131.277359388781</v>
      </c>
      <c r="I4204" s="6" t="n">
        <f aca="false">Sens!I4179</f>
        <v>143.334028071957</v>
      </c>
      <c r="J4204" s="6" t="n">
        <f aca="false">Sens!J4179</f>
        <v>154.932702785465</v>
      </c>
      <c r="K4204" s="6" t="n">
        <f aca="false">Sens!K4179</f>
        <v>165.777991980448</v>
      </c>
    </row>
    <row r="4205" customFormat="false" ht="17.15" hidden="false" customHeight="false" outlineLevel="0" collapsed="false">
      <c r="A4205" s="0" t="s">
        <v>904</v>
      </c>
      <c r="B4205" s="0" t="s">
        <v>98</v>
      </c>
      <c r="D4205" s="6" t="n">
        <f aca="false">Sens!D4178</f>
        <v>0.9</v>
      </c>
      <c r="E4205" s="6" t="n">
        <f aca="false">Sens!E4178</f>
        <v>5.25</v>
      </c>
      <c r="F4205" s="6" t="n">
        <f aca="false">Sens!F4178</f>
        <v>13.5</v>
      </c>
      <c r="G4205" s="6" t="n">
        <f aca="false">Sens!G4178</f>
        <v>22.5</v>
      </c>
      <c r="H4205" s="6" t="n">
        <f aca="false">Sens!H4178</f>
        <v>31.5</v>
      </c>
      <c r="I4205" s="6" t="n">
        <f aca="false">Sens!I4178</f>
        <v>38.25</v>
      </c>
      <c r="J4205" s="6" t="n">
        <f aca="false">Sens!J4178</f>
        <v>42.75</v>
      </c>
      <c r="K4205" s="6" t="n">
        <f aca="false">Sens!K4178</f>
        <v>47.25</v>
      </c>
    </row>
    <row r="4206" customFormat="false" ht="15" hidden="false" customHeight="false" outlineLevel="0" collapsed="false">
      <c r="A4206" s="0" t="s">
        <v>884</v>
      </c>
      <c r="B4206" s="0" t="s">
        <v>98</v>
      </c>
      <c r="D4206" s="6" t="n">
        <f aca="false">Sens!D4182</f>
        <v>35.391</v>
      </c>
      <c r="E4206" s="6" t="n">
        <f aca="false">Sens!E4182</f>
        <v>37.285</v>
      </c>
      <c r="F4206" s="6" t="n">
        <f aca="false">Sens!F4182</f>
        <v>39.0720834331704</v>
      </c>
      <c r="G4206" s="6" t="n">
        <f aca="false">Sens!G4182</f>
        <v>40.726562953769</v>
      </c>
      <c r="H4206" s="6" t="n">
        <f aca="false">Sens!H4182</f>
        <v>42.2235987259198</v>
      </c>
      <c r="I4206" s="6" t="n">
        <f aca="false">Sens!I4182</f>
        <v>43.5397988077414</v>
      </c>
      <c r="J4206" s="6" t="n">
        <f aca="false">Sens!J4182</f>
        <v>44.653811225693</v>
      </c>
      <c r="K4206" s="6" t="n">
        <f aca="false">Sens!K4182</f>
        <v>45.5468874502068</v>
      </c>
    </row>
    <row r="4207" customFormat="false" ht="15" hidden="false" customHeight="false" outlineLevel="0" collapsed="false">
      <c r="A4207" s="0" t="s">
        <v>885</v>
      </c>
      <c r="B4207" s="0" t="s">
        <v>98</v>
      </c>
      <c r="D4207" s="6" t="n">
        <f aca="false">Sens!D4184</f>
        <v>18.417</v>
      </c>
      <c r="E4207" s="6" t="n">
        <f aca="false">Sens!E4184</f>
        <v>20.345</v>
      </c>
      <c r="F4207" s="6" t="n">
        <f aca="false">Sens!F4184</f>
        <v>22.3572203267814</v>
      </c>
      <c r="G4207" s="6" t="n">
        <f aca="false">Sens!G4184</f>
        <v>24.4392124437232</v>
      </c>
      <c r="H4207" s="6" t="n">
        <f aca="false">Sens!H4184</f>
        <v>26.5738052080665</v>
      </c>
      <c r="I4207" s="6" t="n">
        <f aca="false">Sens!I4184</f>
        <v>28.7412169166967</v>
      </c>
      <c r="J4207" s="6" t="n">
        <f aca="false">Sens!J4184</f>
        <v>30.9192545395413</v>
      </c>
      <c r="K4207" s="6" t="n">
        <f aca="false">Sens!K4184</f>
        <v>33.0836023573092</v>
      </c>
    </row>
    <row r="4208" customFormat="false" ht="15" hidden="false" customHeight="false" outlineLevel="0" collapsed="false">
      <c r="A4208" s="0" t="s">
        <v>886</v>
      </c>
      <c r="B4208" s="0" t="s">
        <v>98</v>
      </c>
      <c r="D4208" s="6" t="n">
        <f aca="false">Sens!D4186</f>
        <v>7.76</v>
      </c>
      <c r="E4208" s="6" t="n">
        <f aca="false">Sens!E4186</f>
        <v>8.26</v>
      </c>
      <c r="F4208" s="6" t="n">
        <f aca="false">Sens!F4186</f>
        <v>8.79988041237113</v>
      </c>
      <c r="G4208" s="6" t="n">
        <f aca="false">Sens!G4186</f>
        <v>9.38321269125306</v>
      </c>
      <c r="H4208" s="6" t="n">
        <f aca="false">Sens!H4186</f>
        <v>10.0139193587476</v>
      </c>
      <c r="I4208" s="6" t="n">
        <f aca="false">Sens!I4186</f>
        <v>10.6963111830911</v>
      </c>
      <c r="J4208" s="6" t="n">
        <f aca="false">Sens!J4186</f>
        <v>11.4351285534696</v>
      </c>
      <c r="K4208" s="6" t="n">
        <f aca="false">Sens!K4186</f>
        <v>12.2355875522124</v>
      </c>
    </row>
    <row r="4209" customFormat="false" ht="15" hidden="false" customHeight="false" outlineLevel="0" collapsed="false">
      <c r="A4209" s="0" t="s">
        <v>715</v>
      </c>
      <c r="B4209" s="0" t="s">
        <v>98</v>
      </c>
      <c r="D4209" s="6" t="n">
        <f aca="false">Sens!D4188</f>
        <v>218.783</v>
      </c>
      <c r="E4209" s="6" t="n">
        <f aca="false">Sens!E4188</f>
        <v>268.127</v>
      </c>
      <c r="F4209" s="6" t="n">
        <f aca="false">Sens!F4188</f>
        <v>339.433940907051</v>
      </c>
      <c r="G4209" s="6" t="n">
        <f aca="false">Sens!G4188</f>
        <v>424.490670881892</v>
      </c>
      <c r="H4209" s="6" t="n">
        <f aca="false">Sens!H4188</f>
        <v>517.087801197251</v>
      </c>
      <c r="I4209" s="6" t="n">
        <f aca="false">Sens!I4188</f>
        <v>595.15324507341</v>
      </c>
      <c r="J4209" s="6" t="n">
        <f aca="false">Sens!J4188</f>
        <v>659.29677493452</v>
      </c>
      <c r="K4209" s="6" t="n">
        <f aca="false">Sens!K4188</f>
        <v>711.265890297108</v>
      </c>
    </row>
    <row r="4210" customFormat="false" ht="15" hidden="false" customHeight="false" outlineLevel="0" collapsed="false">
      <c r="A4210" s="0" t="s">
        <v>887</v>
      </c>
      <c r="B4210" s="0" t="s">
        <v>98</v>
      </c>
      <c r="D4210" s="6" t="n">
        <f aca="false">Sens!D4189</f>
        <v>22.171</v>
      </c>
      <c r="E4210" s="6" t="n">
        <f aca="false">Sens!E4189</f>
        <v>24.835</v>
      </c>
      <c r="F4210" s="6" t="n">
        <f aca="false">Sens!F4189</f>
        <v>27.6114901218559</v>
      </c>
      <c r="G4210" s="6" t="n">
        <f aca="false">Sens!G4189</f>
        <v>30.4675667338515</v>
      </c>
      <c r="H4210" s="6" t="n">
        <f aca="false">Sens!H4189</f>
        <v>33.3643766955789</v>
      </c>
      <c r="I4210" s="6" t="n">
        <f aca="false">Sens!I4189</f>
        <v>36.2577016533691</v>
      </c>
      <c r="J4210" s="6" t="n">
        <f aca="false">Sens!J4189</f>
        <v>39.0988367952171</v>
      </c>
      <c r="K4210" s="6" t="n">
        <f aca="false">Sens!K4189</f>
        <v>41.8357553708823</v>
      </c>
    </row>
    <row r="4211" customFormat="false" ht="15" hidden="false" customHeight="false" outlineLevel="0" collapsed="false">
      <c r="A4211" s="0" t="s">
        <v>888</v>
      </c>
      <c r="B4211" s="0" t="s">
        <v>98</v>
      </c>
      <c r="D4211" s="6" t="n">
        <f aca="false">Sens!D4191</f>
        <v>23.455</v>
      </c>
      <c r="E4211" s="6" t="n">
        <f aca="false">Sens!E4191</f>
        <v>21.79</v>
      </c>
      <c r="F4211" s="6" t="n">
        <f aca="false">Sens!F4191</f>
        <v>20.5736277908051</v>
      </c>
      <c r="G4211" s="6" t="n">
        <f aca="false">Sens!G4191</f>
        <v>19.7371452817919</v>
      </c>
      <c r="H4211" s="6" t="n">
        <f aca="false">Sens!H4191</f>
        <v>19.2339764043138</v>
      </c>
      <c r="I4211" s="6" t="n">
        <f aca="false">Sens!I4191</f>
        <v>19.0353086852681</v>
      </c>
      <c r="J4211" s="6" t="n">
        <f aca="false">Sens!J4191</f>
        <v>19.1273539319129</v>
      </c>
      <c r="K4211" s="6" t="n">
        <f aca="false">Sens!K4191</f>
        <v>19.5099010105511</v>
      </c>
    </row>
    <row r="4212" customFormat="false" ht="15" hidden="false" customHeight="false" outlineLevel="0" collapsed="false">
      <c r="A4212" s="0" t="s">
        <v>889</v>
      </c>
      <c r="B4212" s="0" t="s">
        <v>98</v>
      </c>
      <c r="D4212" s="6" t="n">
        <f aca="false">Sens!D4193</f>
        <v>17.315</v>
      </c>
      <c r="E4212" s="6" t="n">
        <f aca="false">Sens!E4193</f>
        <v>17.087</v>
      </c>
      <c r="F4212" s="6" t="n">
        <f aca="false">Sens!F4193</f>
        <v>16.9564585436519</v>
      </c>
      <c r="G4212" s="6" t="n">
        <f aca="false">Sens!G4193</f>
        <v>16.9206490624268</v>
      </c>
      <c r="H4212" s="6" t="n">
        <f aca="false">Sens!H4193</f>
        <v>16.9784519149849</v>
      </c>
      <c r="I4212" s="6" t="n">
        <f aca="false">Sens!I4193</f>
        <v>17.1303084701817</v>
      </c>
      <c r="J4212" s="6" t="n">
        <f aca="false">Sens!J4193</f>
        <v>17.3782189407267</v>
      </c>
      <c r="K4212" s="6" t="n">
        <f aca="false">Sens!K4193</f>
        <v>17.7257833195413</v>
      </c>
    </row>
    <row r="4213" customFormat="false" ht="15" hidden="false" customHeight="false" outlineLevel="0" collapsed="false">
      <c r="A4213" s="0" t="s">
        <v>729</v>
      </c>
      <c r="B4213" s="0" t="s">
        <v>98</v>
      </c>
      <c r="D4213" s="6" t="n">
        <f aca="false">Sens!D4195</f>
        <v>62.941</v>
      </c>
      <c r="E4213" s="6" t="n">
        <f aca="false">Sens!E4195</f>
        <v>63.712</v>
      </c>
      <c r="F4213" s="6" t="n">
        <f aca="false">Sens!F4195</f>
        <v>65.1415764563129</v>
      </c>
      <c r="G4213" s="6" t="n">
        <f aca="false">Sens!G4195</f>
        <v>67.1253610780702</v>
      </c>
      <c r="H4213" s="6" t="n">
        <f aca="false">Sens!H4195</f>
        <v>69.5768050148776</v>
      </c>
      <c r="I4213" s="6" t="n">
        <f aca="false">Sens!I4195</f>
        <v>72.4233188088189</v>
      </c>
      <c r="J4213" s="6" t="n">
        <f aca="false">Sens!J4195</f>
        <v>75.6044096678567</v>
      </c>
      <c r="K4213" s="6" t="n">
        <f aca="false">Sens!K4195</f>
        <v>79.0714397009747</v>
      </c>
    </row>
    <row r="4214" customFormat="false" ht="15" hidden="false" customHeight="false" outlineLevel="0" collapsed="false">
      <c r="A4214" s="1" t="s">
        <v>905</v>
      </c>
      <c r="B4214" s="0" t="s">
        <v>98</v>
      </c>
      <c r="D4214" s="6" t="n">
        <f aca="false">Sens!D4196</f>
        <v>281.724</v>
      </c>
      <c r="E4214" s="6" t="n">
        <f aca="false">Sens!E4196</f>
        <v>331.839</v>
      </c>
      <c r="F4214" s="6" t="n">
        <f aca="false">Sens!F4196</f>
        <v>404.575517363364</v>
      </c>
      <c r="G4214" s="6" t="n">
        <f aca="false">Sens!G4196</f>
        <v>491.616031959962</v>
      </c>
      <c r="H4214" s="6" t="n">
        <f aca="false">Sens!H4196</f>
        <v>586.664606212128</v>
      </c>
      <c r="I4214" s="6" t="n">
        <f aca="false">Sens!I4196</f>
        <v>667.576563882229</v>
      </c>
      <c r="J4214" s="6" t="n">
        <f aca="false">Sens!J4196</f>
        <v>734.901184602376</v>
      </c>
      <c r="K4214" s="6" t="n">
        <f aca="false">Sens!K4196</f>
        <v>790.337329998082</v>
      </c>
    </row>
    <row r="4215" customFormat="false" ht="15" hidden="false" customHeight="false" outlineLevel="0" collapsed="false">
      <c r="A4215" s="1" t="s">
        <v>906</v>
      </c>
      <c r="B4215" s="0" t="s">
        <v>129</v>
      </c>
      <c r="E4215" s="7" t="n">
        <f aca="false">Sens!E4214/Sens!D4214-1</f>
        <v>0.177886867998467</v>
      </c>
      <c r="F4215" s="7" t="n">
        <f aca="false">Sens!F4214/Sens!E4214-1</f>
        <v>0.219192190680914</v>
      </c>
      <c r="G4215" s="7" t="n">
        <f aca="false">Sens!G4214/Sens!F4214-1</f>
        <v>0.215140340581766</v>
      </c>
      <c r="H4215" s="7" t="n">
        <f aca="false">Sens!H4214/Sens!G4214-1</f>
        <v>0.193339045256984</v>
      </c>
      <c r="I4215" s="7" t="n">
        <f aca="false">Sens!I4214/Sens!H4214-1</f>
        <v>0.137918594054137</v>
      </c>
      <c r="J4215" s="7" t="n">
        <f aca="false">Sens!J4214/Sens!I4214-1</f>
        <v>0.100849287351591</v>
      </c>
      <c r="K4215" s="7" t="n">
        <f aca="false">Sens!K4214/Sens!J4214-1</f>
        <v>0.0754334685495171</v>
      </c>
    </row>
    <row r="4216" customFormat="false" ht="17.15" hidden="false" customHeight="false" outlineLevel="0" collapsed="false">
      <c r="A4216" s="23" t="s">
        <v>907</v>
      </c>
      <c r="B4216" s="30" t="s">
        <v>98</v>
      </c>
      <c r="C4216" s="30"/>
      <c r="D4216" s="24" t="n">
        <f aca="false">(Sens!D4209+Sens!D4213-Sens!D4214)+(Sens!D4201+Sens!D4202-Sens!D4200)+(Sens!D4204+Sens!D4205-Sens!D4203)+(Sens!D4214-Q!L18)</f>
        <v>0</v>
      </c>
      <c r="E4216" s="24" t="n">
        <f aca="false">(Sens!E4209+Sens!E4213-Sens!E4214)+(Sens!E4201+Sens!E4202-Sens!E4200)+(Sens!E4204+Sens!E4205-Sens!E4203)+(Sens!E4214-Q!M18)</f>
        <v>0</v>
      </c>
      <c r="F4216" s="24" t="n">
        <f aca="false">(Sens!F4209+Sens!F4213-Sens!F4214)+(Sens!F4201+Sens!F4202-Sens!F4200)+(Sens!F4204+Sens!F4205-Sens!F4203)</f>
        <v>0</v>
      </c>
      <c r="G4216" s="24" t="n">
        <f aca="false">(Sens!G4209+Sens!G4213-Sens!G4214)+(Sens!G4201+Sens!G4202-Sens!G4200)+(Sens!G4204+Sens!G4205-Sens!G4203)</f>
        <v>0</v>
      </c>
      <c r="H4216" s="24" t="n">
        <f aca="false">(Sens!H4209+Sens!H4213-Sens!H4214)+(Sens!H4201+Sens!H4202-Sens!H4200)+(Sens!H4204+Sens!H4205-Sens!H4203)</f>
        <v>0</v>
      </c>
      <c r="I4216" s="24" t="n">
        <f aca="false">(Sens!I4209+Sens!I4213-Sens!I4214)+(Sens!I4201+Sens!I4202-Sens!I4200)+(Sens!I4204+Sens!I4205-Sens!I4203)</f>
        <v>0</v>
      </c>
      <c r="J4216" s="24" t="n">
        <f aca="false">(Sens!J4209+Sens!J4213-Sens!J4214)+(Sens!J4201+Sens!J4202-Sens!J4200)+(Sens!J4204+Sens!J4205-Sens!J4203)</f>
        <v>0</v>
      </c>
      <c r="K4216" s="24" t="n">
        <f aca="false">(Sens!K4209+Sens!K4213-Sens!K4214)+(Sens!K4201+Sens!K4202-Sens!K4200)+(Sens!K4204+Sens!K4205-Sens!K4203)</f>
        <v>0</v>
      </c>
    </row>
    <row r="4217" customFormat="false" ht="17.15" hidden="false" customHeight="false" outlineLevel="0" collapsed="false">
      <c r="A4217" s="0" t="s">
        <v>908</v>
      </c>
      <c r="B4217" s="0" t="s">
        <v>129</v>
      </c>
      <c r="E4217" s="7" t="n">
        <f aca="false">(Q!M21+Sens!E4154+Sens!E4155+Sens!E4156+Sens!E4169-Sens!E4152)/(Q!M5-Sens!E4152)</f>
        <v>0.583491251973566</v>
      </c>
      <c r="F4217" s="7" t="n">
        <f aca="false">Sens!$E$4217+dm_seg</f>
        <v>0.583491251973566</v>
      </c>
      <c r="G4217" s="7" t="n">
        <f aca="false">Sens!$E$4217+dm_seg</f>
        <v>0.583491251973566</v>
      </c>
      <c r="H4217" s="7" t="n">
        <f aca="false">Sens!$E$4217+dm_seg</f>
        <v>0.583491251973566</v>
      </c>
      <c r="I4217" s="7" t="n">
        <f aca="false">Sens!$E$4217+dm_seg</f>
        <v>0.583491251973566</v>
      </c>
      <c r="J4217" s="7" t="n">
        <f aca="false">Sens!$E$4217+dm_seg</f>
        <v>0.583491251973566</v>
      </c>
      <c r="K4217" s="7" t="n">
        <f aca="false">Sens!$E$4217+dm_seg</f>
        <v>0.583491251973566</v>
      </c>
      <c r="L4217" s="11" t="s">
        <v>909</v>
      </c>
    </row>
    <row r="4218" customFormat="false" ht="17.15" hidden="false" customHeight="false" outlineLevel="0" collapsed="false">
      <c r="A4218" s="0" t="s">
        <v>743</v>
      </c>
      <c r="B4218" s="0" t="s">
        <v>98</v>
      </c>
      <c r="D4218" s="6" t="n">
        <f aca="false">Q!L21</f>
        <v>110.814</v>
      </c>
      <c r="E4218" s="6" t="n">
        <f aca="false">Q!M21</f>
        <v>136.365</v>
      </c>
      <c r="F4218" s="6" t="n">
        <f aca="false">Sens!F4217*(Sens!F4188-Sens!F4152)+Sens!F4152-(Sens!F4154+Sens!F4155+Sens!F4156)-Sens!F4169-Sens!F4252</f>
        <v>159.197300641118</v>
      </c>
      <c r="G4218" s="6" t="n">
        <f aca="false">Sens!G4217*(Sens!G4188-Sens!G4152)+Sens!G4152-(Sens!G4154+Sens!G4155+Sens!G4156)-Sens!G4169-Sens!G4252</f>
        <v>185.338647181802</v>
      </c>
      <c r="H4218" s="6" t="n">
        <f aca="false">Sens!H4217*(Sens!H4188-Sens!H4152)+Sens!H4152-(Sens!H4154+Sens!H4155+Sens!H4156)-Sens!H4169-Sens!H4252</f>
        <v>215.745530762323</v>
      </c>
      <c r="I4218" s="6" t="n">
        <f aca="false">Sens!I4217*(Sens!I4188-Sens!I4152)+Sens!I4152-(Sens!I4154+Sens!I4155+Sens!I4156)-Sens!I4169-Sens!I4252</f>
        <v>237.602471206142</v>
      </c>
      <c r="J4218" s="6" t="n">
        <f aca="false">Sens!J4217*(Sens!J4188-Sens!J4152)+Sens!J4152-(Sens!J4154+Sens!J4155+Sens!J4156)-Sens!J4169-Sens!J4252</f>
        <v>258.062963636118</v>
      </c>
      <c r="K4218" s="6" t="n">
        <f aca="false">Sens!K4217*(Sens!K4188-Sens!K4152)+Sens!K4152-(Sens!K4154+Sens!K4155+Sens!K4156)-Sens!K4169-Sens!K4252</f>
        <v>279.495723435747</v>
      </c>
      <c r="L4218" s="1" t="s">
        <v>910</v>
      </c>
    </row>
    <row r="4219" customFormat="false" ht="17.15" hidden="false" customHeight="false" outlineLevel="0" collapsed="false">
      <c r="A4219" s="0" t="s">
        <v>911</v>
      </c>
      <c r="B4219" s="0" t="s">
        <v>129</v>
      </c>
      <c r="E4219" s="7" t="n">
        <f aca="false">Q!M22/Q!M12</f>
        <v>0.296207935710698</v>
      </c>
      <c r="F4219" s="7" t="n">
        <f aca="false">Sens!$E$4219+dm_seg</f>
        <v>0.296207935710698</v>
      </c>
      <c r="G4219" s="7" t="n">
        <f aca="false">Sens!$E$4219+dm_seg</f>
        <v>0.296207935710698</v>
      </c>
      <c r="H4219" s="7" t="n">
        <f aca="false">Sens!$E$4219+dm_seg</f>
        <v>0.296207935710698</v>
      </c>
      <c r="I4219" s="7" t="n">
        <f aca="false">Sens!$E$4219+dm_seg</f>
        <v>0.296207935710698</v>
      </c>
      <c r="J4219" s="7" t="n">
        <f aca="false">Sens!$E$4219+dm_seg</f>
        <v>0.296207935710698</v>
      </c>
      <c r="K4219" s="7" t="n">
        <f aca="false">Sens!$E$4219+dm_seg</f>
        <v>0.296207935710698</v>
      </c>
      <c r="L4219" s="11" t="s">
        <v>912</v>
      </c>
    </row>
    <row r="4220" customFormat="false" ht="17.15" hidden="false" customHeight="false" outlineLevel="0" collapsed="false">
      <c r="A4220" s="0" t="s">
        <v>745</v>
      </c>
      <c r="B4220" s="0" t="s">
        <v>98</v>
      </c>
      <c r="D4220" s="6" t="n">
        <f aca="false">Q!L22</f>
        <v>17.714</v>
      </c>
      <c r="E4220" s="6" t="n">
        <f aca="false">Q!M22</f>
        <v>18.872</v>
      </c>
      <c r="F4220" s="6" t="n">
        <f aca="false">Sens!F4195*Sens!F4219</f>
        <v>19.2954518910651</v>
      </c>
      <c r="G4220" s="6" t="n">
        <f aca="false">Sens!G4195*Sens!G4219</f>
        <v>19.8830646387704</v>
      </c>
      <c r="H4220" s="6" t="n">
        <f aca="false">Sens!H4195*Sens!H4219</f>
        <v>20.6092017868026</v>
      </c>
      <c r="I4220" s="6" t="n">
        <f aca="false">Sens!I4195*Sens!I4219</f>
        <v>21.452361761678</v>
      </c>
      <c r="J4220" s="6" t="n">
        <f aca="false">Sens!J4195*Sens!J4219</f>
        <v>22.3946261183418</v>
      </c>
      <c r="K4220" s="6" t="n">
        <f aca="false">Sens!K4195*Sens!K4219</f>
        <v>23.4215879274986</v>
      </c>
    </row>
    <row r="4221" customFormat="false" ht="15" hidden="false" customHeight="false" outlineLevel="0" collapsed="false">
      <c r="A4221" s="1" t="s">
        <v>913</v>
      </c>
      <c r="B4221" s="0" t="s">
        <v>98</v>
      </c>
      <c r="D4221" s="6" t="n">
        <f aca="false">Sens!D4218+Sens!D4220</f>
        <v>128.528</v>
      </c>
      <c r="E4221" s="6" t="n">
        <f aca="false">Sens!E4218+Sens!E4220</f>
        <v>155.237</v>
      </c>
      <c r="F4221" s="6" t="n">
        <f aca="false">Sens!F4218+Sens!F4220</f>
        <v>178.492752532183</v>
      </c>
      <c r="G4221" s="6" t="n">
        <f aca="false">Sens!G4218+Sens!G4220</f>
        <v>205.221711820573</v>
      </c>
      <c r="H4221" s="6" t="n">
        <f aca="false">Sens!H4218+Sens!H4220</f>
        <v>236.354732549126</v>
      </c>
      <c r="I4221" s="6" t="n">
        <f aca="false">Sens!I4218+Sens!I4220</f>
        <v>259.05483296782</v>
      </c>
      <c r="J4221" s="6" t="n">
        <f aca="false">Sens!J4218+Sens!J4220</f>
        <v>280.45758975446</v>
      </c>
      <c r="K4221" s="6" t="n">
        <f aca="false">Sens!K4218+Sens!K4220</f>
        <v>302.917311363245</v>
      </c>
    </row>
    <row r="4222" customFormat="false" ht="15" hidden="false" customHeight="false" outlineLevel="0" collapsed="false">
      <c r="A4222" s="23" t="s">
        <v>914</v>
      </c>
      <c r="B4222" s="30" t="s">
        <v>98</v>
      </c>
      <c r="C4222" s="30"/>
      <c r="D4222" s="24" t="n">
        <f aca="false">Sens!D4221-Q!L23</f>
        <v>0</v>
      </c>
      <c r="E4222" s="24" t="n">
        <f aca="false">Sens!E4221-Q!M23</f>
        <v>0</v>
      </c>
      <c r="F4222" s="30"/>
      <c r="G4222" s="30"/>
      <c r="H4222" s="30"/>
      <c r="I4222" s="30"/>
      <c r="J4222" s="30"/>
      <c r="K4222" s="30"/>
    </row>
    <row r="4223" customFormat="false" ht="15" hidden="false" customHeight="false" outlineLevel="0" collapsed="false">
      <c r="A4223" s="1" t="s">
        <v>915</v>
      </c>
      <c r="B4223" s="0" t="s">
        <v>129</v>
      </c>
      <c r="D4223" s="7" t="n">
        <f aca="false">Sens!D4221/Sens!D4214</f>
        <v>0.456219562408598</v>
      </c>
      <c r="E4223" s="7" t="n">
        <f aca="false">Sens!E4221/Sens!E4214</f>
        <v>0.467808184089272</v>
      </c>
      <c r="F4223" s="7" t="n">
        <f aca="false">Sens!F4221/Sens!F4214</f>
        <v>0.4411852543511</v>
      </c>
      <c r="G4223" s="7" t="n">
        <f aca="false">Sens!G4221/Sens!G4214</f>
        <v>0.417443082566694</v>
      </c>
      <c r="H4223" s="7" t="n">
        <f aca="false">Sens!H4221/Sens!H4214</f>
        <v>0.402878799993031</v>
      </c>
      <c r="I4223" s="7" t="n">
        <f aca="false">Sens!I4221/Sens!I4214</f>
        <v>0.388052617457556</v>
      </c>
      <c r="J4223" s="7" t="n">
        <f aca="false">Sens!J4221/Sens!J4214</f>
        <v>0.381626258918339</v>
      </c>
      <c r="K4223" s="7" t="n">
        <f aca="false">Sens!K4221/Sens!K4214</f>
        <v>0.383275975796285</v>
      </c>
    </row>
    <row r="4224" customFormat="false" ht="17.15" hidden="false" customHeight="false" outlineLevel="0" collapsed="false">
      <c r="A4224" s="1" t="s">
        <v>916</v>
      </c>
      <c r="B4224" s="0" t="s">
        <v>98</v>
      </c>
      <c r="F4224" s="6" t="n">
        <f aca="false">Sens!F4239</f>
        <v>8.33907976360183</v>
      </c>
      <c r="G4224" s="6" t="n">
        <f aca="false">Sens!G4239</f>
        <v>21.1491124878574</v>
      </c>
      <c r="H4224" s="6" t="n">
        <f aca="false">Sens!H4239</f>
        <v>35.9821137227487</v>
      </c>
      <c r="I4224" s="6" t="n">
        <f aca="false">Sens!I4239</f>
        <v>49.7890425214385</v>
      </c>
      <c r="J4224" s="6" t="n">
        <f aca="false">Sens!J4239</f>
        <v>60.3300623721211</v>
      </c>
      <c r="K4224" s="6" t="n">
        <f aca="false">Sens!K4239</f>
        <v>66.5985675508754</v>
      </c>
      <c r="L4224" s="1" t="s">
        <v>917</v>
      </c>
    </row>
    <row r="4225" customFormat="false" ht="17.15" hidden="false" customHeight="false" outlineLevel="0" collapsed="false">
      <c r="A4225" s="1" t="s">
        <v>918</v>
      </c>
      <c r="B4225" s="0" t="s">
        <v>98</v>
      </c>
      <c r="D4225" s="6" t="n">
        <f aca="false">Sens!D4221</f>
        <v>128.528</v>
      </c>
      <c r="E4225" s="6" t="n">
        <f aca="false">Sens!E4221</f>
        <v>155.237</v>
      </c>
      <c r="F4225" s="6" t="n">
        <f aca="false">Sens!F4221+Sens!F4224</f>
        <v>186.831832295785</v>
      </c>
      <c r="G4225" s="6" t="n">
        <f aca="false">Sens!G4221+Sens!G4224</f>
        <v>226.37082430843</v>
      </c>
      <c r="H4225" s="6" t="n">
        <f aca="false">Sens!H4221+Sens!H4224</f>
        <v>272.336846271875</v>
      </c>
      <c r="I4225" s="6" t="n">
        <f aca="false">Sens!I4221+Sens!I4224</f>
        <v>308.843875489259</v>
      </c>
      <c r="J4225" s="6" t="n">
        <f aca="false">Sens!J4221+Sens!J4224</f>
        <v>340.787652126581</v>
      </c>
      <c r="K4225" s="6" t="n">
        <f aca="false">Sens!K4221+Sens!K4224</f>
        <v>369.515878914121</v>
      </c>
    </row>
    <row r="4226" customFormat="false" ht="17.15" hidden="false" customHeight="false" outlineLevel="0" collapsed="false">
      <c r="A4226" s="1" t="s">
        <v>919</v>
      </c>
      <c r="B4226" s="0" t="s">
        <v>98</v>
      </c>
      <c r="E4226" s="6" t="n">
        <f aca="false">Sens!E4169</f>
        <v>19.3175216725</v>
      </c>
      <c r="F4226" s="6" t="n">
        <f aca="false">Sens!F4169</f>
        <v>40.3707268371467</v>
      </c>
      <c r="G4226" s="6" t="n">
        <f aca="false">Sens!G4169</f>
        <v>70.1542403726133</v>
      </c>
      <c r="H4226" s="6" t="n">
        <f aca="false">Sens!H4169</f>
        <v>103.289272487473</v>
      </c>
      <c r="I4226" s="6" t="n">
        <f aca="false">Sens!I4169</f>
        <v>133.275925818771</v>
      </c>
      <c r="J4226" s="6" t="n">
        <f aca="false">Sens!J4169</f>
        <v>155.50912334054</v>
      </c>
      <c r="K4226" s="6" t="n">
        <f aca="false">Sens!K4169</f>
        <v>168.848420124073</v>
      </c>
    </row>
    <row r="4227" customFormat="false" ht="17.15" hidden="false" customHeight="false" outlineLevel="0" collapsed="false">
      <c r="A4227" s="1" t="s">
        <v>920</v>
      </c>
      <c r="B4227" s="0" t="s">
        <v>98</v>
      </c>
      <c r="E4227" s="6" t="n">
        <f aca="false">Sens!E4251</f>
        <v>19.2164783275</v>
      </c>
      <c r="F4227" s="6" t="n">
        <f aca="false">Sens!F4251</f>
        <v>21.6815429076033</v>
      </c>
      <c r="G4227" s="6" t="n">
        <f aca="false">Sens!G4251</f>
        <v>23.6736779738819</v>
      </c>
      <c r="H4227" s="6" t="n">
        <f aca="false">Sens!H4251</f>
        <v>26.0624615409027</v>
      </c>
      <c r="I4227" s="6" t="n">
        <f aca="false">Sens!I4251</f>
        <v>28.7735554179768</v>
      </c>
      <c r="J4227" s="6" t="n">
        <f aca="false">Sens!J4251</f>
        <v>31.7167912012165</v>
      </c>
      <c r="K4227" s="6" t="n">
        <f aca="false">Sens!K4251</f>
        <v>34.8094823552943</v>
      </c>
    </row>
    <row r="4228" customFormat="false" ht="17.15" hidden="false" customHeight="false" outlineLevel="0" collapsed="false">
      <c r="A4228" s="1" t="s">
        <v>921</v>
      </c>
      <c r="B4228" s="0" t="s">
        <v>98</v>
      </c>
      <c r="D4228" s="6" t="n">
        <f aca="false">Q!L27</f>
        <v>-4.901</v>
      </c>
      <c r="E4228" s="6" t="n">
        <f aca="false">Q!M27</f>
        <v>10.697</v>
      </c>
      <c r="F4228" s="6" t="n">
        <f aca="false">oie_f</f>
        <v>-0.4</v>
      </c>
      <c r="G4228" s="6" t="n">
        <f aca="false">oie_f</f>
        <v>-0.4</v>
      </c>
      <c r="H4228" s="6" t="n">
        <f aca="false">oie_f</f>
        <v>-0.4</v>
      </c>
      <c r="I4228" s="6" t="n">
        <f aca="false">oie_f</f>
        <v>-0.4</v>
      </c>
      <c r="J4228" s="6" t="n">
        <f aca="false">oie_f</f>
        <v>-0.4</v>
      </c>
      <c r="K4228" s="6" t="n">
        <f aca="false">oie_f</f>
        <v>-0.4</v>
      </c>
      <c r="L4228" s="11" t="s">
        <v>922</v>
      </c>
    </row>
    <row r="4229" customFormat="false" ht="15" hidden="false" customHeight="false" outlineLevel="0" collapsed="false">
      <c r="A4229" s="1" t="s">
        <v>923</v>
      </c>
      <c r="B4229" s="0" t="s">
        <v>98</v>
      </c>
      <c r="D4229" s="6" t="n">
        <f aca="false">Sens!D4221+Sens!D4228</f>
        <v>123.627</v>
      </c>
      <c r="E4229" s="6" t="n">
        <f aca="false">Sens!E4221+Sens!E4228</f>
        <v>165.934</v>
      </c>
      <c r="F4229" s="6" t="n">
        <f aca="false">Sens!F4221+Sens!F4228</f>
        <v>178.092752532183</v>
      </c>
      <c r="G4229" s="6" t="n">
        <f aca="false">Sens!G4221+Sens!G4228</f>
        <v>204.821711820573</v>
      </c>
      <c r="H4229" s="6" t="n">
        <f aca="false">Sens!H4221+Sens!H4228</f>
        <v>235.954732549126</v>
      </c>
      <c r="I4229" s="6" t="n">
        <f aca="false">Sens!I4221+Sens!I4228</f>
        <v>258.65483296782</v>
      </c>
      <c r="J4229" s="6" t="n">
        <f aca="false">Sens!J4221+Sens!J4228</f>
        <v>280.05758975446</v>
      </c>
      <c r="K4229" s="6" t="n">
        <f aca="false">Sens!K4221+Sens!K4228</f>
        <v>302.517311363245</v>
      </c>
    </row>
    <row r="4230" customFormat="false" ht="15" hidden="false" customHeight="false" outlineLevel="0" collapsed="false">
      <c r="A4230" s="1" t="s">
        <v>924</v>
      </c>
      <c r="B4230" s="0" t="s">
        <v>98</v>
      </c>
      <c r="D4230" s="6" t="n">
        <f aca="false">Q!L29</f>
        <v>21.795</v>
      </c>
      <c r="E4230" s="6" t="n">
        <f aca="false">Q!M29</f>
        <v>32.185</v>
      </c>
      <c r="F4230" s="6" t="n">
        <f aca="false">Sens!F4229*tax_f</f>
        <v>35.6185505064367</v>
      </c>
      <c r="G4230" s="6" t="n">
        <f aca="false">Sens!G4229*tax_f</f>
        <v>40.9643423641145</v>
      </c>
      <c r="H4230" s="6" t="n">
        <f aca="false">Sens!H4229*tax_f</f>
        <v>47.1909465098252</v>
      </c>
      <c r="I4230" s="6" t="n">
        <f aca="false">Sens!I4229*tax_f</f>
        <v>51.7309665935641</v>
      </c>
      <c r="J4230" s="6" t="n">
        <f aca="false">Sens!J4229*tax_f</f>
        <v>56.011517950892</v>
      </c>
      <c r="K4230" s="6" t="n">
        <f aca="false">Sens!K4229*tax_f</f>
        <v>60.5034622726491</v>
      </c>
    </row>
    <row r="4231" customFormat="false" ht="15" hidden="false" customHeight="false" outlineLevel="0" collapsed="false">
      <c r="A4231" s="1" t="s">
        <v>925</v>
      </c>
      <c r="B4231" s="0" t="s">
        <v>98</v>
      </c>
      <c r="D4231" s="6" t="n">
        <f aca="false">Sens!D4229-Sens!D4230</f>
        <v>101.832</v>
      </c>
      <c r="E4231" s="6" t="n">
        <f aca="false">Sens!E4229-Sens!E4230</f>
        <v>133.749</v>
      </c>
      <c r="F4231" s="6" t="n">
        <f aca="false">Sens!F4229-Sens!F4230</f>
        <v>142.474202025747</v>
      </c>
      <c r="G4231" s="6" t="n">
        <f aca="false">Sens!G4229-Sens!G4230</f>
        <v>163.857369456458</v>
      </c>
      <c r="H4231" s="6" t="n">
        <f aca="false">Sens!H4229-Sens!H4230</f>
        <v>188.763786039301</v>
      </c>
      <c r="I4231" s="6" t="n">
        <f aca="false">Sens!I4229-Sens!I4230</f>
        <v>206.923866374256</v>
      </c>
      <c r="J4231" s="6" t="n">
        <f aca="false">Sens!J4229-Sens!J4230</f>
        <v>224.046071803568</v>
      </c>
      <c r="K4231" s="6" t="n">
        <f aca="false">Sens!K4229-Sens!K4230</f>
        <v>242.013849090596</v>
      </c>
    </row>
    <row r="4232" customFormat="false" ht="17.15" hidden="false" customHeight="false" outlineLevel="0" collapsed="false">
      <c r="A4232" s="1" t="s">
        <v>926</v>
      </c>
      <c r="B4232" s="1" t="s">
        <v>81</v>
      </c>
      <c r="D4232" s="14" t="n">
        <f aca="false">Q!L31</f>
        <v>7.465</v>
      </c>
      <c r="E4232" s="14" t="n">
        <f aca="false">Q!M31</f>
        <v>7.453</v>
      </c>
      <c r="F4232" s="14" t="n">
        <f aca="false">Sens!F4275</f>
        <v>7.4735</v>
      </c>
      <c r="G4232" s="14" t="n">
        <f aca="false">Sens!G4275</f>
        <v>7.5056735285841</v>
      </c>
      <c r="H4232" s="14" t="n">
        <f aca="false">Sens!H4275</f>
        <v>7.52059864301814</v>
      </c>
      <c r="I4232" s="14" t="n">
        <f aca="false">Sens!I4275</f>
        <v>7.53237947502546</v>
      </c>
      <c r="J4232" s="14" t="n">
        <f aca="false">Sens!J4275</f>
        <v>7.54662098614334</v>
      </c>
      <c r="K4232" s="14" t="n">
        <f aca="false">Sens!K4275</f>
        <v>7.56314090384508</v>
      </c>
    </row>
    <row r="4233" customFormat="false" ht="17.15" hidden="false" customHeight="false" outlineLevel="0" collapsed="false">
      <c r="A4233" s="0" t="s">
        <v>927</v>
      </c>
      <c r="B4233" s="0" t="s">
        <v>75</v>
      </c>
      <c r="D4233" s="8" t="n">
        <f aca="false">Sens!D4231/Sens!D4232</f>
        <v>13.641259209645</v>
      </c>
      <c r="E4233" s="8" t="n">
        <f aca="false">Sens!E4231/Sens!E4232</f>
        <v>17.9456594659869</v>
      </c>
      <c r="F4233" s="8" t="n">
        <f aca="false">Sens!F4231/Sens!F4232</f>
        <v>19.0639194521639</v>
      </c>
      <c r="G4233" s="8" t="n">
        <f aca="false">Sens!G4231/Sens!G4232</f>
        <v>21.8311346519982</v>
      </c>
      <c r="H4233" s="8" t="n">
        <f aca="false">Sens!H4231/Sens!H4232</f>
        <v>25.0995691964685</v>
      </c>
      <c r="I4233" s="8" t="n">
        <f aca="false">Sens!I4231/Sens!I4232</f>
        <v>27.4712482370728</v>
      </c>
      <c r="J4233" s="8" t="n">
        <f aca="false">Sens!J4231/Sens!J4232</f>
        <v>29.6882634247763</v>
      </c>
      <c r="K4233" s="8" t="n">
        <f aca="false">Sens!K4231/Sens!K4232</f>
        <v>31.9991194356246</v>
      </c>
      <c r="L4233" s="1" t="s">
        <v>928</v>
      </c>
    </row>
    <row r="4234" customFormat="false" ht="17.15" hidden="false" customHeight="false" outlineLevel="0" collapsed="false">
      <c r="A4234" s="1" t="s">
        <v>929</v>
      </c>
      <c r="B4234" s="0" t="s">
        <v>98</v>
      </c>
      <c r="D4234" s="6" t="n">
        <f aca="false">Sens!D4231</f>
        <v>101.832</v>
      </c>
      <c r="E4234" s="6" t="n">
        <f aca="false">Sens!E4231</f>
        <v>133.749</v>
      </c>
      <c r="F4234" s="6" t="n">
        <f aca="false">Sens!F4231+Sens!F4224*(1-tax_f)</f>
        <v>149.145465836628</v>
      </c>
      <c r="G4234" s="6" t="n">
        <f aca="false">Sens!G4231+Sens!G4224*(1-tax_f)</f>
        <v>180.776659446744</v>
      </c>
      <c r="H4234" s="6" t="n">
        <f aca="false">Sens!H4231+Sens!H4224*(1-tax_f)</f>
        <v>217.5494770175</v>
      </c>
      <c r="I4234" s="6" t="n">
        <f aca="false">Sens!I4231+Sens!I4224*(1-tax_f)</f>
        <v>246.755100391407</v>
      </c>
      <c r="J4234" s="6" t="n">
        <f aca="false">Sens!J4231+Sens!J4224*(1-tax_f)</f>
        <v>272.310121701265</v>
      </c>
      <c r="K4234" s="6" t="n">
        <f aca="false">Sens!K4231+Sens!K4224*(1-tax_f)</f>
        <v>295.292703131297</v>
      </c>
    </row>
    <row r="4235" customFormat="false" ht="17.15" hidden="false" customHeight="false" outlineLevel="0" collapsed="false">
      <c r="A4235" s="0" t="s">
        <v>930</v>
      </c>
      <c r="B4235" s="0" t="s">
        <v>75</v>
      </c>
      <c r="D4235" s="8" t="n">
        <f aca="false">Sens!D4234/Sens!D4232</f>
        <v>13.641259209645</v>
      </c>
      <c r="E4235" s="8" t="n">
        <f aca="false">Sens!E4234/Sens!E4232</f>
        <v>17.9456594659869</v>
      </c>
      <c r="F4235" s="8" t="n">
        <f aca="false">Sens!F4234/Sens!F4232</f>
        <v>19.9565753444341</v>
      </c>
      <c r="G4235" s="8" t="n">
        <f aca="false">Sens!G4234/Sens!G4232</f>
        <v>24.0853347482123</v>
      </c>
      <c r="H4235" s="8" t="n">
        <f aca="false">Sens!H4234/Sens!H4232</f>
        <v>28.9271489337441</v>
      </c>
      <c r="I4235" s="8" t="n">
        <f aca="false">Sens!I4234/Sens!I4232</f>
        <v>32.7592497443277</v>
      </c>
      <c r="J4235" s="8" t="n">
        <f aca="false">Sens!J4234/Sens!J4232</f>
        <v>36.083715109221</v>
      </c>
      <c r="K4235" s="8" t="n">
        <f aca="false">Sens!K4234/Sens!K4232</f>
        <v>39.043660151984</v>
      </c>
      <c r="L4235" s="1" t="s">
        <v>931</v>
      </c>
    </row>
    <row r="4236" customFormat="false" ht="17.15" hidden="false" customHeight="false" outlineLevel="0" collapsed="false">
      <c r="A4236" s="0" t="s">
        <v>932</v>
      </c>
      <c r="B4236" s="0" t="s">
        <v>129</v>
      </c>
      <c r="E4236" s="7" t="n">
        <f aca="false">Sens!E4235/Sens!D4235-1</f>
        <v>0.315542736208578</v>
      </c>
      <c r="F4236" s="7" t="n">
        <f aca="false">Sens!F4235/Sens!E4235-1</f>
        <v>0.112055836246008</v>
      </c>
      <c r="G4236" s="7" t="n">
        <f aca="false">Sens!G4235/Sens!F4235-1</f>
        <v>0.206887170394682</v>
      </c>
      <c r="H4236" s="7" t="n">
        <f aca="false">Sens!H4235/Sens!G4235-1</f>
        <v>0.201027481500591</v>
      </c>
      <c r="I4236" s="7" t="n">
        <f aca="false">Sens!I4235/Sens!H4235-1</f>
        <v>0.132474196449874</v>
      </c>
      <c r="J4236" s="7" t="n">
        <f aca="false">Sens!J4235/Sens!I4235-1</f>
        <v>0.101481730834479</v>
      </c>
      <c r="K4236" s="7" t="n">
        <f aca="false">Sens!K4235/Sens!J4235-1</f>
        <v>0.0820299415900934</v>
      </c>
    </row>
    <row r="4237" customFormat="false" ht="17.15" hidden="false" customHeight="false" outlineLevel="0" collapsed="false">
      <c r="A4237" s="0" t="s">
        <v>856</v>
      </c>
      <c r="B4237" s="0" t="s">
        <v>98</v>
      </c>
      <c r="E4237" s="6" t="n">
        <f aca="false">Sens!E4178</f>
        <v>5.25</v>
      </c>
      <c r="F4237" s="6" t="n">
        <f aca="false">Sens!F4178</f>
        <v>13.5</v>
      </c>
      <c r="G4237" s="6" t="n">
        <f aca="false">Sens!G4178</f>
        <v>22.5</v>
      </c>
      <c r="H4237" s="6" t="n">
        <f aca="false">Sens!H4178</f>
        <v>31.5</v>
      </c>
      <c r="I4237" s="6" t="n">
        <f aca="false">Sens!I4178</f>
        <v>38.25</v>
      </c>
      <c r="J4237" s="6" t="n">
        <f aca="false">Sens!J4178</f>
        <v>42.75</v>
      </c>
      <c r="K4237" s="6" t="n">
        <f aca="false">Sens!K4178</f>
        <v>47.25</v>
      </c>
    </row>
    <row r="4238" customFormat="false" ht="17.15" hidden="false" customHeight="false" outlineLevel="0" collapsed="false">
      <c r="A4238" s="1" t="s">
        <v>857</v>
      </c>
      <c r="B4238" s="0" t="s">
        <v>98</v>
      </c>
      <c r="F4238" s="6" t="n">
        <f aca="false">MAX(0,((Sens!E4141+Sens!F4141)/2-(shadow_base*(Sens!$D$4141+Sens!$E$4141)/2+(1-shadow_base)*Sens!$E$4141))*Sens!F4149/1000-(Sens!F4237-Sens!$E$4237)*Sens!F4217)</f>
        <v>8.33907976360183</v>
      </c>
      <c r="G4238" s="6" t="n">
        <f aca="false">MAX(0,((Sens!F4141+Sens!G4141)/2-(shadow_base*(Sens!$D$4141+Sens!$E$4141)/2+(1-shadow_base)*Sens!$E$4141))*Sens!G4149/1000-(Sens!G4237-Sens!$E$4237)*Sens!G4217)</f>
        <v>21.1491124878574</v>
      </c>
      <c r="H4238" s="6" t="n">
        <f aca="false">MAX(0,((Sens!G4141+Sens!H4141)/2-(shadow_base*(Sens!$D$4141+Sens!$E$4141)/2+(1-shadow_base)*Sens!$E$4141))*Sens!H4149/1000-(Sens!H4237-Sens!$E$4237)*Sens!H4217)</f>
        <v>35.9821137227487</v>
      </c>
      <c r="I4238" s="6" t="n">
        <f aca="false">MAX(0,((Sens!H4141+Sens!I4141)/2-(shadow_base*(Sens!$D$4141+Sens!$E$4141)/2+(1-shadow_base)*Sens!$E$4141))*Sens!I4149/1000-(Sens!I4237-Sens!$E$4237)*Sens!I4217)</f>
        <v>49.7890425214385</v>
      </c>
      <c r="J4238" s="6" t="n">
        <f aca="false">MAX(0,((Sens!I4141+Sens!J4141)/2-(shadow_base*(Sens!$D$4141+Sens!$E$4141)/2+(1-shadow_base)*Sens!$E$4141))*Sens!J4149/1000-(Sens!J4237-Sens!$E$4237)*Sens!J4217)</f>
        <v>60.3300623721211</v>
      </c>
      <c r="K4238" s="6" t="n">
        <f aca="false">MAX(0,((Sens!J4141+Sens!K4141)/2-(shadow_base*(Sens!$D$4141+Sens!$E$4141)/2+(1-shadow_base)*Sens!$E$4141))*Sens!K4149/1000-(Sens!K4237-Sens!$E$4237)*Sens!K4217)</f>
        <v>66.5985675508754</v>
      </c>
      <c r="L4238" s="1" t="s">
        <v>858</v>
      </c>
    </row>
    <row r="4239" customFormat="false" ht="17.15" hidden="false" customHeight="false" outlineLevel="0" collapsed="false">
      <c r="A4239" s="1" t="s">
        <v>859</v>
      </c>
      <c r="B4239" s="0" t="s">
        <v>98</v>
      </c>
      <c r="F4239" s="6" t="n">
        <f aca="false">IF(internal_ai_reading=2,1,0)*Sens!F4238</f>
        <v>8.33907976360183</v>
      </c>
      <c r="G4239" s="6" t="n">
        <f aca="false">IF(internal_ai_reading=2,1,0)*Sens!G4238</f>
        <v>21.1491124878574</v>
      </c>
      <c r="H4239" s="6" t="n">
        <f aca="false">IF(internal_ai_reading=2,1,0)*Sens!H4238</f>
        <v>35.9821137227487</v>
      </c>
      <c r="I4239" s="6" t="n">
        <f aca="false">IF(internal_ai_reading=2,1,0)*Sens!I4238</f>
        <v>49.7890425214385</v>
      </c>
      <c r="J4239" s="6" t="n">
        <f aca="false">IF(internal_ai_reading=2,1,0)*Sens!J4238</f>
        <v>60.3300623721211</v>
      </c>
      <c r="K4239" s="6" t="n">
        <f aca="false">IF(internal_ai_reading=2,1,0)*Sens!K4238</f>
        <v>66.5985675508754</v>
      </c>
    </row>
    <row r="4240" customFormat="false" ht="17.15" hidden="false" customHeight="false" outlineLevel="0" collapsed="false">
      <c r="A4240" s="0" t="s">
        <v>860</v>
      </c>
      <c r="B4240" s="0" t="s">
        <v>98</v>
      </c>
      <c r="F4240" s="6" t="n">
        <f aca="false">Sens!F4158+Sens!F4237*Sens!F4217+Sens!F4239-Sens!F4159-Sens!F4169</f>
        <v>12.4404076823257</v>
      </c>
      <c r="G4240" s="6" t="n">
        <f aca="false">Sens!G4158+Sens!G4237*Sens!G4217+Sens!G4239-Sens!G4159-Sens!G4169</f>
        <v>31.8100964903895</v>
      </c>
      <c r="H4240" s="6" t="n">
        <f aca="false">Sens!H4158+Sens!H4237*Sens!H4217+Sens!H4239-Sens!H4159-Sens!H4169</f>
        <v>57.2902812264443</v>
      </c>
      <c r="I4240" s="6" t="n">
        <f aca="false">Sens!I4158+Sens!I4237*Sens!I4217+Sens!I4239-Sens!I4159-Sens!I4169</f>
        <v>73.7004793626428</v>
      </c>
      <c r="J4240" s="6" t="n">
        <f aca="false">Sens!J4158+Sens!J4237*Sens!J4217+Sens!J4239-Sens!J4159-Sens!J4169</f>
        <v>86.7209043749245</v>
      </c>
      <c r="K4240" s="6" t="n">
        <f aca="false">Sens!K4158+Sens!K4237*Sens!K4217+Sens!K4239-Sens!K4159-Sens!K4169</f>
        <v>98.5067534854431</v>
      </c>
    </row>
    <row r="4241" customFormat="false" ht="17.15" hidden="false" customHeight="false" outlineLevel="0" collapsed="false">
      <c r="A4241" s="0" t="s">
        <v>861</v>
      </c>
      <c r="B4241" s="0" t="s">
        <v>98</v>
      </c>
      <c r="E4241" s="6" t="n">
        <f aca="false">Sens!E4140*(cxit_open+self_build*tk_cxfac)/1000*ai_net_open</f>
        <v>126.6980382</v>
      </c>
      <c r="F4241" s="6" t="n">
        <f aca="false">Sens!E4241+Sens!F4166-Sens!F4169</f>
        <v>246.66018723432</v>
      </c>
      <c r="G4241" s="6" t="n">
        <f aca="false">Sens!F4241+Sens!G4166-Sens!G4169</f>
        <v>360.080127344907</v>
      </c>
      <c r="H4241" s="6" t="n">
        <f aca="false">Sens!G4241+Sens!H4166-Sens!H4169</f>
        <v>475.1298161145</v>
      </c>
      <c r="I4241" s="6" t="n">
        <f aca="false">Sens!H4241+Sens!I4166-Sens!I4169</f>
        <v>520.998659116641</v>
      </c>
      <c r="J4241" s="6" t="n">
        <f aca="false">Sens!I4241+Sens!J4166-Sens!J4169</f>
        <v>537.75022339701</v>
      </c>
      <c r="K4241" s="6" t="n">
        <f aca="false">Sens!J4241+Sens!K4166-Sens!K4169</f>
        <v>542.872860321594</v>
      </c>
      <c r="L4241" s="1" t="s">
        <v>862</v>
      </c>
    </row>
    <row r="4242" customFormat="false" ht="17.15" hidden="false" customHeight="false" outlineLevel="0" collapsed="false">
      <c r="A4242" s="0" t="s">
        <v>863</v>
      </c>
      <c r="B4242" s="0" t="s">
        <v>129</v>
      </c>
      <c r="F4242" s="7" t="n">
        <f aca="false">Sens!F4240*(1-tax_f)/((Sens!E4241+Sens!F4241)/2)</f>
        <v>0.0533124783003411</v>
      </c>
      <c r="G4242" s="7" t="n">
        <f aca="false">Sens!G4240*(1-tax_f)/((Sens!F4241+Sens!G4241)/2)</f>
        <v>0.0838845765835084</v>
      </c>
      <c r="H4242" s="7" t="n">
        <f aca="false">Sens!H4240*(1-tax_f)/((Sens!G4241+Sens!H4241)/2)</f>
        <v>0.109750189973362</v>
      </c>
      <c r="I4242" s="7" t="n">
        <f aca="false">Sens!I4240*(1-tax_f)/((Sens!H4241+Sens!I4241)/2)</f>
        <v>0.118379074499267</v>
      </c>
      <c r="J4242" s="7" t="n">
        <f aca="false">Sens!J4240*(1-tax_f)/((Sens!I4241+Sens!J4241)/2)</f>
        <v>0.131054161465044</v>
      </c>
      <c r="K4242" s="7" t="n">
        <f aca="false">Sens!K4240*(1-tax_f)/((Sens!J4241+Sens!K4241)/2)</f>
        <v>0.145851784911298</v>
      </c>
    </row>
    <row r="4243" customFormat="false" ht="17.15" hidden="false" customHeight="false" outlineLevel="0" collapsed="false">
      <c r="A4243" s="1" t="s">
        <v>864</v>
      </c>
      <c r="B4243" s="0" t="s">
        <v>129</v>
      </c>
      <c r="F4243" s="7" t="n">
        <f aca="false">(Sens!F4240-Sens!F4239)*(1-tax_f)/((Sens!E4241+Sens!F4241)/2)</f>
        <v>0.0175759477706016</v>
      </c>
      <c r="G4243" s="7" t="n">
        <f aca="false">(Sens!G4240-Sens!G4239)*(1-tax_f)/((Sens!F4241+Sens!G4241)/2)</f>
        <v>0.0281134679766264</v>
      </c>
      <c r="H4243" s="7" t="n">
        <f aca="false">(Sens!H4240-Sens!H4239)*(1-tax_f)/((Sens!G4241+Sens!H4241)/2)</f>
        <v>0.0408197582810149</v>
      </c>
      <c r="I4243" s="7" t="n">
        <f aca="false">(Sens!I4240-Sens!I4239)*(1-tax_f)/((Sens!H4241+Sens!I4241)/2)</f>
        <v>0.0384069925689549</v>
      </c>
      <c r="J4243" s="7" t="n">
        <f aca="false">(Sens!J4240-Sens!J4239)*(1-tax_f)/((Sens!I4241+Sens!J4241)/2)</f>
        <v>0.0398823062785533</v>
      </c>
      <c r="K4243" s="7" t="n">
        <f aca="false">(Sens!K4240-Sens!K4239)*(1-tax_f)/((Sens!J4241+Sens!K4241)/2)</f>
        <v>0.0472441300435914</v>
      </c>
    </row>
    <row r="4244" customFormat="false" ht="17.15" hidden="false" customHeight="false" outlineLevel="0" collapsed="false">
      <c r="A4244" s="1" t="s">
        <v>865</v>
      </c>
      <c r="B4244" s="0" t="s">
        <v>129</v>
      </c>
      <c r="F4244" s="7" t="n">
        <f aca="false">(Sens!F4240-Sens!F4239+Sens!F4238)*(1-tax_f)/((Sens!E4241+Sens!F4241)/2)</f>
        <v>0.0533124783003411</v>
      </c>
      <c r="G4244" s="7" t="n">
        <f aca="false">(Sens!G4240-Sens!G4239+Sens!G4238)*(1-tax_f)/((Sens!F4241+Sens!G4241)/2)</f>
        <v>0.0838845765835084</v>
      </c>
      <c r="H4244" s="7" t="n">
        <f aca="false">(Sens!H4240-Sens!H4239+Sens!H4238)*(1-tax_f)/((Sens!G4241+Sens!H4241)/2)</f>
        <v>0.109750189973362</v>
      </c>
      <c r="I4244" s="7" t="n">
        <f aca="false">(Sens!I4240-Sens!I4239+Sens!I4238)*(1-tax_f)/((Sens!H4241+Sens!I4241)/2)</f>
        <v>0.118379074499267</v>
      </c>
      <c r="J4244" s="7" t="n">
        <f aca="false">(Sens!J4240-Sens!J4239+Sens!J4238)*(1-tax_f)/((Sens!I4241+Sens!J4241)/2)</f>
        <v>0.131054161465044</v>
      </c>
      <c r="K4244" s="7" t="n">
        <f aca="false">(Sens!K4240-Sens!K4239+Sens!K4238)*(1-tax_f)/((Sens!J4241+Sens!K4241)/2)</f>
        <v>0.145851784911298</v>
      </c>
    </row>
    <row r="4245" customFormat="false" ht="17.15" hidden="false" customHeight="false" outlineLevel="0" collapsed="false">
      <c r="A4245" s="1" t="s">
        <v>866</v>
      </c>
      <c r="B4245" s="0" t="s">
        <v>129</v>
      </c>
      <c r="F4245" s="7" t="n">
        <f aca="false">Sens!F4170*(1-tax_f)/(Sens!F4157*(Sens!E4241+Sens!F4241)/2)</f>
        <v>0.135029691876262</v>
      </c>
      <c r="G4245" s="7" t="n">
        <f aca="false">Sens!G4170*(1-tax_f)/(Sens!G4157*(Sens!F4241+Sens!G4241)/2)</f>
        <v>0.159887219324645</v>
      </c>
      <c r="H4245" s="7" t="n">
        <f aca="false">Sens!H4170*(1-tax_f)/(Sens!H4157*(Sens!G4241+Sens!H4241)/2)</f>
        <v>0.190161957651874</v>
      </c>
      <c r="I4245" s="7" t="n">
        <f aca="false">Sens!I4170*(1-tax_f)/(Sens!I4157*(Sens!H4241+Sens!I4241)/2)</f>
        <v>0.198450109733234</v>
      </c>
      <c r="J4245" s="7" t="n">
        <f aca="false">Sens!J4170*(1-tax_f)/(Sens!J4157*(Sens!I4241+Sens!J4241)/2)</f>
        <v>0.215636711616839</v>
      </c>
      <c r="K4245" s="7" t="n">
        <f aca="false">Sens!K4170*(1-tax_f)/(Sens!K4157*(Sens!J4241+Sens!K4241)/2)</f>
        <v>0.235575635843392</v>
      </c>
    </row>
    <row r="4246" customFormat="false" ht="17.15" hidden="false" customHeight="false" outlineLevel="0" collapsed="false">
      <c r="A4246" s="0" t="s">
        <v>867</v>
      </c>
      <c r="B4246" s="0" t="s">
        <v>209</v>
      </c>
      <c r="F4246" s="7" t="n">
        <f aca="false">Sens!F4242-wacc</f>
        <v>-0.0496219417925346</v>
      </c>
      <c r="G4246" s="7" t="n">
        <f aca="false">Sens!G4242-wacc</f>
        <v>-0.0190498435093673</v>
      </c>
      <c r="H4246" s="7" t="n">
        <f aca="false">Sens!H4242-wacc</f>
        <v>0.00681576988048643</v>
      </c>
      <c r="I4246" s="7" t="n">
        <f aca="false">Sens!I4242-wacc</f>
        <v>0.0154446544063912</v>
      </c>
      <c r="J4246" s="7" t="n">
        <f aca="false">Sens!J4242-wacc</f>
        <v>0.0281197413721686</v>
      </c>
      <c r="K4246" s="7" t="n">
        <f aca="false">Sens!K4242-wacc</f>
        <v>0.0429173648184219</v>
      </c>
    </row>
    <row r="4247" customFormat="false" ht="17.15" hidden="false" customHeight="false" outlineLevel="0" collapsed="false">
      <c r="A4247" s="0" t="s">
        <v>868</v>
      </c>
      <c r="B4247" s="0" t="s">
        <v>98</v>
      </c>
      <c r="F4247" s="6" t="n">
        <f aca="false">Sens!F4240*(1-tax_f)-wacc*(Sens!E4241+Sens!F4241)/2</f>
        <v>-9.26338006513293</v>
      </c>
      <c r="G4247" s="6" t="n">
        <f aca="false">Sens!G4240*(1-tax_f)-wacc*(Sens!F4241+Sens!G4241)/2</f>
        <v>-5.77915402177928</v>
      </c>
      <c r="H4247" s="6" t="n">
        <f aca="false">Sens!H4240*(1-tax_f)-wacc*(Sens!G4241+Sens!H4241)/2</f>
        <v>2.8462993882567</v>
      </c>
      <c r="I4247" s="6" t="n">
        <f aca="false">Sens!I4240*(1-tax_f)-wacc*(Sens!H4241+Sens!I4241)/2</f>
        <v>7.69243002215521</v>
      </c>
      <c r="J4247" s="6" t="n">
        <f aca="false">Sens!J4240*(1-tax_f)-wacc*(Sens!I4241+Sens!J4241)/2</f>
        <v>14.8858723771782</v>
      </c>
      <c r="K4247" s="6" t="n">
        <f aca="false">Sens!K4240*(1-tax_f)-wacc*(Sens!J4241+Sens!K4241)/2</f>
        <v>23.1887475575797</v>
      </c>
    </row>
    <row r="4248" customFormat="false" ht="17.15" hidden="false" customHeight="false" outlineLevel="0" collapsed="false">
      <c r="A4248" s="3" t="s">
        <v>1370</v>
      </c>
    </row>
    <row r="4249" customFormat="false" ht="15" hidden="false" customHeight="false" outlineLevel="0" collapsed="false">
      <c r="A4249" s="4" t="s">
        <v>43</v>
      </c>
      <c r="B4249" s="4" t="s">
        <v>65</v>
      </c>
      <c r="C4249" s="20" t="s">
        <v>799</v>
      </c>
      <c r="D4249" s="20" t="s">
        <v>800</v>
      </c>
      <c r="E4249" s="20" t="s">
        <v>801</v>
      </c>
      <c r="F4249" s="20" t="s">
        <v>802</v>
      </c>
      <c r="G4249" s="20" t="s">
        <v>803</v>
      </c>
      <c r="H4249" s="20" t="s">
        <v>804</v>
      </c>
      <c r="I4249" s="20" t="s">
        <v>805</v>
      </c>
      <c r="J4249" s="20" t="s">
        <v>806</v>
      </c>
      <c r="K4249" s="20" t="s">
        <v>807</v>
      </c>
      <c r="L4249" s="4" t="s">
        <v>47</v>
      </c>
    </row>
    <row r="4250" customFormat="false" ht="15" hidden="false" customHeight="false" outlineLevel="0" collapsed="false">
      <c r="A4250" s="1" t="s">
        <v>925</v>
      </c>
      <c r="B4250" s="0" t="s">
        <v>98</v>
      </c>
      <c r="F4250" s="6" t="n">
        <f aca="false">Sens!F4231</f>
        <v>142.474202025747</v>
      </c>
      <c r="G4250" s="6" t="n">
        <f aca="false">Sens!G4231</f>
        <v>163.857369456458</v>
      </c>
      <c r="H4250" s="6" t="n">
        <f aca="false">Sens!H4231</f>
        <v>188.763786039301</v>
      </c>
      <c r="I4250" s="6" t="n">
        <f aca="false">Sens!I4231</f>
        <v>206.923866374256</v>
      </c>
      <c r="J4250" s="6" t="n">
        <f aca="false">Sens!J4231</f>
        <v>224.046071803568</v>
      </c>
      <c r="K4250" s="6" t="n">
        <f aca="false">Sens!K4231</f>
        <v>242.013849090596</v>
      </c>
    </row>
    <row r="4251" customFormat="false" ht="17.15" hidden="false" customHeight="false" outlineLevel="0" collapsed="false">
      <c r="A4251" s="1" t="s">
        <v>947</v>
      </c>
      <c r="B4251" s="0" t="s">
        <v>98</v>
      </c>
      <c r="E4251" s="6" t="n">
        <f aca="false">Q!M38-Sens!E4169</f>
        <v>19.2164783275</v>
      </c>
      <c r="F4251" s="6" t="n">
        <f aca="false">Sens!E4251*(1-1/life_nonai)+(Sens!F4258+Sens!F4259)/life_nonai</f>
        <v>21.6815429076033</v>
      </c>
      <c r="G4251" s="6" t="n">
        <f aca="false">Sens!F4251*(1-1/life_nonai)+(Sens!G4258)/life_nonai</f>
        <v>23.6736779738819</v>
      </c>
      <c r="H4251" s="6" t="n">
        <f aca="false">Sens!G4251*(1-1/life_nonai)+(Sens!H4258)/life_nonai</f>
        <v>26.0624615409027</v>
      </c>
      <c r="I4251" s="6" t="n">
        <f aca="false">Sens!H4251*(1-1/life_nonai)+(Sens!I4258)/life_nonai</f>
        <v>28.7735554179768</v>
      </c>
      <c r="J4251" s="6" t="n">
        <f aca="false">Sens!I4251*(1-1/life_nonai)+(Sens!J4258)/life_nonai</f>
        <v>31.7167912012165</v>
      </c>
      <c r="K4251" s="6" t="n">
        <f aca="false">Sens!J4251*(1-1/life_nonai)+(Sens!K4258)/life_nonai</f>
        <v>34.8094823552943</v>
      </c>
      <c r="L4251" s="11" t="s">
        <v>948</v>
      </c>
    </row>
    <row r="4252" customFormat="false" ht="17.15" hidden="false" customHeight="false" outlineLevel="0" collapsed="false">
      <c r="A4252" s="1" t="s">
        <v>949</v>
      </c>
      <c r="B4252" s="0" t="s">
        <v>98</v>
      </c>
      <c r="F4252" s="6" t="n">
        <f aca="false">Sens!$F$4259/life_nonai*(1-1/life_nonai)^(Sens!F4135-2027)</f>
        <v>0.813777689897088</v>
      </c>
      <c r="G4252" s="6" t="n">
        <f aca="false">Sens!$F$4259/life_nonai*(1-1/life_nonai)^(Sens!G4135-2027)</f>
        <v>0.73239992090738</v>
      </c>
      <c r="H4252" s="6" t="n">
        <f aca="false">Sens!$F$4259/life_nonai*(1-1/life_nonai)^(Sens!H4135-2027)</f>
        <v>0.659159928816642</v>
      </c>
      <c r="I4252" s="6" t="n">
        <f aca="false">Sens!$F$4259/life_nonai*(1-1/life_nonai)^(Sens!I4135-2027)</f>
        <v>0.593243935934978</v>
      </c>
      <c r="J4252" s="6" t="n">
        <f aca="false">Sens!$F$4259/life_nonai*(1-1/life_nonai)^(Sens!J4135-2027)</f>
        <v>0.53391954234148</v>
      </c>
      <c r="K4252" s="6" t="n">
        <f aca="false">Sens!$F$4259/life_nonai*(1-1/life_nonai)^(Sens!K4135-2027)</f>
        <v>0.480527588107332</v>
      </c>
      <c r="L4252" s="1" t="s">
        <v>950</v>
      </c>
    </row>
    <row r="4253" customFormat="false" ht="17.15" hidden="false" customHeight="false" outlineLevel="0" collapsed="false">
      <c r="A4253" s="1" t="s">
        <v>951</v>
      </c>
      <c r="B4253" s="0" t="s">
        <v>98</v>
      </c>
      <c r="E4253" s="6" t="n">
        <f aca="false">Sens!E4169+Sens!E4251</f>
        <v>38.534</v>
      </c>
      <c r="F4253" s="6" t="n">
        <f aca="false">Sens!F4169+Sens!F4251</f>
        <v>62.05226974475</v>
      </c>
      <c r="G4253" s="6" t="n">
        <f aca="false">Sens!G4169+Sens!G4251</f>
        <v>93.8279183464953</v>
      </c>
      <c r="H4253" s="6" t="n">
        <f aca="false">Sens!H4169+Sens!H4251</f>
        <v>129.351734028376</v>
      </c>
      <c r="I4253" s="6" t="n">
        <f aca="false">Sens!I4169+Sens!I4251</f>
        <v>162.049481236748</v>
      </c>
      <c r="J4253" s="6" t="n">
        <f aca="false">Sens!J4169+Sens!J4251</f>
        <v>187.225914541756</v>
      </c>
      <c r="K4253" s="6" t="n">
        <f aca="false">Sens!K4169+Sens!K4251</f>
        <v>203.657902479367</v>
      </c>
    </row>
    <row r="4254" customFormat="false" ht="17.15" hidden="false" customHeight="false" outlineLevel="0" collapsed="false">
      <c r="A4254" s="1" t="s">
        <v>952</v>
      </c>
      <c r="B4254" s="0" t="s">
        <v>98</v>
      </c>
      <c r="F4254" s="6" t="n">
        <f aca="false">Sens!F4196*sbc_r</f>
        <v>15.1240791253967</v>
      </c>
      <c r="G4254" s="6" t="n">
        <f aca="false">Sens!G4196*sbc_r</f>
        <v>18.3778786594202</v>
      </c>
      <c r="H4254" s="6" t="n">
        <f aca="false">Sens!H4196*sbc_r</f>
        <v>21.9310401732812</v>
      </c>
      <c r="I4254" s="6" t="n">
        <f aca="false">Sens!I4196*sbc_r</f>
        <v>24.9557384001249</v>
      </c>
      <c r="J4254" s="6" t="n">
        <f aca="false">Sens!J4196*sbc_r</f>
        <v>27.4725068331103</v>
      </c>
      <c r="K4254" s="6" t="n">
        <f aca="false">Sens!K4196*sbc_r</f>
        <v>29.5448533132821</v>
      </c>
    </row>
    <row r="4255" customFormat="false" ht="17.15" hidden="false" customHeight="false" outlineLevel="0" collapsed="false">
      <c r="A4255" s="1" t="s">
        <v>953</v>
      </c>
      <c r="B4255" s="0" t="s">
        <v>98</v>
      </c>
      <c r="F4255" s="6" t="n">
        <f aca="false">wc27</f>
        <v>-4.895</v>
      </c>
      <c r="G4255" s="6" t="n">
        <f aca="false">wc_f</f>
        <v>0</v>
      </c>
      <c r="H4255" s="6" t="n">
        <f aca="false">wc_f</f>
        <v>0</v>
      </c>
      <c r="I4255" s="6" t="n">
        <f aca="false">wc_f</f>
        <v>0</v>
      </c>
      <c r="J4255" s="6" t="n">
        <f aca="false">wc_f</f>
        <v>0</v>
      </c>
      <c r="K4255" s="6" t="n">
        <f aca="false">wc_f</f>
        <v>0</v>
      </c>
      <c r="L4255" s="11" t="s">
        <v>954</v>
      </c>
    </row>
    <row r="4256" customFormat="false" ht="15" hidden="false" customHeight="false" outlineLevel="0" collapsed="false">
      <c r="A4256" s="1" t="s">
        <v>767</v>
      </c>
      <c r="B4256" s="0" t="s">
        <v>98</v>
      </c>
      <c r="E4256" s="6" t="n">
        <f aca="false">Q!M35</f>
        <v>182.935</v>
      </c>
      <c r="F4256" s="6" t="n">
        <f aca="false">Sens!F4250+Sens!F4253+Sens!F4254+Sens!F4255</f>
        <v>214.755550895894</v>
      </c>
      <c r="G4256" s="6" t="n">
        <f aca="false">Sens!G4250+Sens!G4253+Sens!G4254+Sens!G4255</f>
        <v>276.063166462374</v>
      </c>
      <c r="H4256" s="6" t="n">
        <f aca="false">Sens!H4250+Sens!H4253+Sens!H4254+Sens!H4255</f>
        <v>340.046560240958</v>
      </c>
      <c r="I4256" s="6" t="n">
        <f aca="false">Sens!I4250+Sens!I4253+Sens!I4254+Sens!I4255</f>
        <v>393.929086011129</v>
      </c>
      <c r="J4256" s="6" t="n">
        <f aca="false">Sens!J4250+Sens!J4253+Sens!J4254+Sens!J4255</f>
        <v>438.744493178435</v>
      </c>
      <c r="K4256" s="6" t="n">
        <f aca="false">Sens!K4250+Sens!K4253+Sens!K4254+Sens!K4255</f>
        <v>475.216604883245</v>
      </c>
    </row>
    <row r="4257" customFormat="false" ht="17.15" hidden="false" customHeight="false" outlineLevel="0" collapsed="false">
      <c r="A4257" s="0" t="s">
        <v>955</v>
      </c>
      <c r="B4257" s="0" t="s">
        <v>98</v>
      </c>
      <c r="F4257" s="6" t="n">
        <f aca="false">Sens!F4166</f>
        <v>160.332875871467</v>
      </c>
      <c r="G4257" s="6" t="n">
        <f aca="false">Sens!G4166</f>
        <v>183.5741804832</v>
      </c>
      <c r="H4257" s="6" t="n">
        <f aca="false">Sens!H4166</f>
        <v>218.338961257067</v>
      </c>
      <c r="I4257" s="6" t="n">
        <f aca="false">Sens!I4166</f>
        <v>179.144768820912</v>
      </c>
      <c r="J4257" s="6" t="n">
        <f aca="false">Sens!J4166</f>
        <v>172.260687620909</v>
      </c>
      <c r="K4257" s="6" t="n">
        <f aca="false">Sens!K4166</f>
        <v>173.971057048657</v>
      </c>
    </row>
    <row r="4258" customFormat="false" ht="17.15" hidden="false" customHeight="false" outlineLevel="0" collapsed="false">
      <c r="A4258" s="1" t="s">
        <v>956</v>
      </c>
      <c r="B4258" s="0" t="s">
        <v>98</v>
      </c>
      <c r="E4258" s="6" t="n">
        <f aca="false">Sens!E4174*cx_azo+Sens!E4181*cx_m365+Sens!E4182*cx_lic+(Sens!E4184+Sens!E4186)*cx_ind+Sens!E4189*cx_srch+(Sens!E4191+Sens!E4193)*cx_dev</f>
        <v>30.1846587067718</v>
      </c>
      <c r="F4258" s="6" t="n">
        <f aca="false">Sens!F4174*cx_azo+Sens!F4181*cx_m365+Sens!F4182*cx_lic+(Sens!F4184+Sens!F4186)*cx_ind+Sens!F4189*cx_srch+(Sens!F4191+Sens!F4193)*cx_dev</f>
        <v>35.7293472295625</v>
      </c>
      <c r="G4258" s="6" t="n">
        <f aca="false">Sens!G4174*cx_azo+Sens!G4181*cx_m365+Sens!G4182*cx_lic+(Sens!G4184+Sens!G4186)*cx_ind+Sens!G4189*cx_srch+(Sens!G4191+Sens!G4193)*cx_dev</f>
        <v>41.6028935703892</v>
      </c>
      <c r="H4258" s="6" t="n">
        <f aca="false">Sens!H4174*cx_azo+Sens!H4181*cx_m365+Sens!H4182*cx_lic+(Sens!H4184+Sens!H4186)*cx_ind+Sens!H4189*cx_srch+(Sens!H4191+Sens!H4193)*cx_dev</f>
        <v>47.5615136440897</v>
      </c>
      <c r="I4258" s="6" t="n">
        <f aca="false">Sens!I4174*cx_azo+Sens!I4181*cx_m365+Sens!I4182*cx_lic+(Sens!I4184+Sens!I4186)*cx_ind+Sens!I4189*cx_srch+(Sens!I4191+Sens!I4193)*cx_dev</f>
        <v>53.1734003116439</v>
      </c>
      <c r="J4258" s="6" t="n">
        <f aca="false">Sens!J4174*cx_azo+Sens!J4181*cx_m365+Sens!J4182*cx_lic+(Sens!J4184+Sens!J4186)*cx_ind+Sens!J4189*cx_srch+(Sens!J4191+Sens!J4193)*cx_dev</f>
        <v>58.2059132503738</v>
      </c>
      <c r="K4258" s="6" t="n">
        <f aca="false">Sens!K4174*cx_azo+Sens!K4181*cx_m365+Sens!K4182*cx_lic+(Sens!K4184+Sens!K4186)*cx_ind+Sens!K4189*cx_srch+(Sens!K4191+Sens!K4193)*cx_dev</f>
        <v>62.643702741994</v>
      </c>
    </row>
    <row r="4259" customFormat="false" ht="17.15" hidden="false" customHeight="false" outlineLevel="0" collapsed="false">
      <c r="A4259" s="0" t="s">
        <v>957</v>
      </c>
      <c r="B4259" s="0" t="s">
        <v>98</v>
      </c>
      <c r="F4259" s="6" t="n">
        <f aca="false">Sens!F4164</f>
        <v>8.13777689897088</v>
      </c>
      <c r="L4259" s="1" t="s">
        <v>958</v>
      </c>
    </row>
    <row r="4260" customFormat="false" ht="17.15" hidden="false" customHeight="false" outlineLevel="0" collapsed="false">
      <c r="A4260" s="1" t="s">
        <v>959</v>
      </c>
      <c r="B4260" s="0" t="s">
        <v>98</v>
      </c>
      <c r="E4260" s="6" t="n">
        <f aca="false">Q!M42</f>
        <v>145.3</v>
      </c>
      <c r="F4260" s="6" t="n">
        <f aca="false">Sens!F4257+Sens!F4258+Sens!F4259</f>
        <v>204.2</v>
      </c>
      <c r="G4260" s="6" t="n">
        <f aca="false">Sens!G4257+Sens!G4258</f>
        <v>225.177074053589</v>
      </c>
      <c r="H4260" s="6" t="n">
        <f aca="false">Sens!H4257+Sens!H4258</f>
        <v>265.900474901156</v>
      </c>
      <c r="I4260" s="6" t="n">
        <f aca="false">Sens!I4257+Sens!I4258</f>
        <v>232.318169132556</v>
      </c>
      <c r="J4260" s="6" t="n">
        <f aca="false">Sens!J4257+Sens!J4258</f>
        <v>230.466600871283</v>
      </c>
      <c r="K4260" s="6" t="n">
        <f aca="false">Sens!K4257+Sens!K4258</f>
        <v>236.614759790651</v>
      </c>
      <c r="L4260" s="1" t="s">
        <v>960</v>
      </c>
    </row>
    <row r="4261" customFormat="false" ht="15" hidden="false" customHeight="false" outlineLevel="0" collapsed="false">
      <c r="A4261" s="1" t="s">
        <v>961</v>
      </c>
      <c r="B4261" s="0" t="s">
        <v>98</v>
      </c>
      <c r="E4261" s="6" t="n">
        <f aca="false">fl_liab</f>
        <v>66.594</v>
      </c>
      <c r="F4261" s="6" t="n">
        <f aca="false">Sens!E4261-Sens!F4262</f>
        <v>62.46973</v>
      </c>
      <c r="G4261" s="6" t="n">
        <f aca="false">Sens!F4261-Sens!G4262</f>
        <v>57.98686785</v>
      </c>
      <c r="H4261" s="6" t="n">
        <f aca="false">Sens!G4261-Sens!H4262</f>
        <v>53.92827690325</v>
      </c>
      <c r="I4261" s="6" t="n">
        <f aca="false">Sens!H4261-Sens!I4262</f>
        <v>49.7850493638962</v>
      </c>
      <c r="J4261" s="6" t="n">
        <f aca="false">Sens!I4261-Sens!J4262</f>
        <v>45.4823765852716</v>
      </c>
      <c r="K4261" s="6" t="n">
        <f aca="false">Sens!J4261-Sens!K4262</f>
        <v>40.9860835316088</v>
      </c>
    </row>
    <row r="4262" customFormat="false" ht="15" hidden="false" customHeight="false" outlineLevel="0" collapsed="false">
      <c r="A4262" s="1" t="s">
        <v>962</v>
      </c>
      <c r="B4262" s="0" t="s">
        <v>98</v>
      </c>
      <c r="F4262" s="6" t="n">
        <f aca="false">fl_pay_27-Sens!E4261*fl_rate</f>
        <v>4.12427</v>
      </c>
      <c r="G4262" s="6" t="n">
        <f aca="false">fl_pay_28-Sens!F4261*fl_rate</f>
        <v>4.48286215</v>
      </c>
      <c r="H4262" s="6" t="n">
        <f aca="false">fl_pay_29-Sens!G4261*fl_rate</f>
        <v>4.05859094675</v>
      </c>
      <c r="I4262" s="6" t="n">
        <f aca="false">fl_pay_30-Sens!H4261*fl_rate</f>
        <v>4.14322753935375</v>
      </c>
      <c r="J4262" s="6" t="n">
        <f aca="false">fl_pay_31-Sens!I4261*fl_rate</f>
        <v>4.30267277862467</v>
      </c>
      <c r="K4262" s="6" t="n">
        <f aca="false">fl_pay_32-Sens!J4261*fl_rate</f>
        <v>4.49629305366278</v>
      </c>
    </row>
    <row r="4263" customFormat="false" ht="17.15" hidden="false" customHeight="false" outlineLevel="0" collapsed="false">
      <c r="A4263" s="1" t="s">
        <v>963</v>
      </c>
      <c r="B4263" s="0" t="s">
        <v>98</v>
      </c>
      <c r="E4263" s="6" t="n">
        <f aca="false">Q!M35-Q!M36-Q!M43</f>
        <v>63.886</v>
      </c>
      <c r="F4263" s="6" t="n">
        <f aca="false">Sens!F4256-Sens!F4260-Sens!F4262</f>
        <v>6.43128089589347</v>
      </c>
      <c r="G4263" s="6" t="n">
        <f aca="false">Sens!G4256-Sens!G4260-Sens!G4262</f>
        <v>46.4032302587843</v>
      </c>
      <c r="H4263" s="6" t="n">
        <f aca="false">Sens!H4256-Sens!H4260-Sens!H4262</f>
        <v>70.0874943930519</v>
      </c>
      <c r="I4263" s="6" t="n">
        <f aca="false">Sens!I4256-Sens!I4260-Sens!I4262</f>
        <v>157.467689339219</v>
      </c>
      <c r="J4263" s="6" t="n">
        <f aca="false">Sens!J4256-Sens!J4260-Sens!J4262</f>
        <v>203.975219528528</v>
      </c>
      <c r="K4263" s="6" t="n">
        <f aca="false">Sens!K4256-Sens!K4260-Sens!K4262</f>
        <v>234.105552038931</v>
      </c>
      <c r="L4263" s="11" t="s">
        <v>964</v>
      </c>
    </row>
    <row r="4264" customFormat="false" ht="15" hidden="false" customHeight="false" outlineLevel="0" collapsed="false">
      <c r="A4264" s="1" t="s">
        <v>965</v>
      </c>
      <c r="B4264" s="0" t="s">
        <v>75</v>
      </c>
      <c r="F4264" s="8" t="n">
        <f aca="false">dps_27</f>
        <v>3.85</v>
      </c>
      <c r="G4264" s="8" t="n">
        <f aca="false">Sens!F4264*(1+dps_g)</f>
        <v>4.158</v>
      </c>
      <c r="H4264" s="8" t="n">
        <f aca="false">Sens!G4264*(1+dps_g)</f>
        <v>4.49064</v>
      </c>
      <c r="I4264" s="8" t="n">
        <f aca="false">Sens!H4264*(1+dps_g)</f>
        <v>4.8498912</v>
      </c>
      <c r="J4264" s="8" t="n">
        <f aca="false">Sens!I4264*(1+dps_g)</f>
        <v>5.237882496</v>
      </c>
      <c r="K4264" s="8" t="n">
        <f aca="false">Sens!J4264*(1+dps_g)</f>
        <v>5.65691309568</v>
      </c>
    </row>
    <row r="4265" customFormat="false" ht="17.15" hidden="false" customHeight="false" outlineLevel="0" collapsed="false">
      <c r="A4265" s="1" t="s">
        <v>966</v>
      </c>
      <c r="B4265" s="0" t="s">
        <v>98</v>
      </c>
      <c r="E4265" s="6" t="n">
        <f aca="false">Q!M41</f>
        <v>26.445</v>
      </c>
      <c r="F4265" s="6" t="n">
        <f aca="false">Sens!F4264*Sens!E4274</f>
        <v>28.59395</v>
      </c>
      <c r="G4265" s="6" t="n">
        <f aca="false">Sens!G4264*Sens!F4274</f>
        <v>31.068576</v>
      </c>
      <c r="H4265" s="6" t="n">
        <f aca="false">Sens!H4264*Sens!G4274</f>
        <v>33.6409427488018</v>
      </c>
      <c r="I4265" s="6" t="n">
        <f aca="false">Sens!I4264*Sens!H4274</f>
        <v>36.3831574087054</v>
      </c>
      <c r="J4265" s="6" t="n">
        <f aca="false">Sens!J4264*Sens!I4274</f>
        <v>39.3622088497212</v>
      </c>
      <c r="K4265" s="6" t="n">
        <f aca="false">Sens!K4264*Sens!J4274</f>
        <v>42.598440783004</v>
      </c>
      <c r="L4265" s="1" t="s">
        <v>967</v>
      </c>
    </row>
    <row r="4266" customFormat="false" ht="15" hidden="false" customHeight="false" outlineLevel="0" collapsed="false">
      <c r="A4266" s="1" t="s">
        <v>968</v>
      </c>
      <c r="B4266" s="0" t="s">
        <v>98</v>
      </c>
      <c r="E4266" s="6" t="n">
        <f aca="false">Sens!E4263-Sens!E4265</f>
        <v>37.441</v>
      </c>
      <c r="F4266" s="6" t="n">
        <f aca="false">Sens!F4263-Sens!F4265</f>
        <v>-22.1626691041065</v>
      </c>
      <c r="G4266" s="6" t="n">
        <f aca="false">Sens!G4263-Sens!G4265</f>
        <v>15.3346542587843</v>
      </c>
      <c r="H4266" s="6" t="n">
        <f aca="false">Sens!H4263-Sens!H4265</f>
        <v>36.4465516442501</v>
      </c>
      <c r="I4266" s="6" t="n">
        <f aca="false">Sens!I4263-Sens!I4265</f>
        <v>121.084531930514</v>
      </c>
      <c r="J4266" s="6" t="n">
        <f aca="false">Sens!J4263-Sens!J4265</f>
        <v>164.613010678806</v>
      </c>
      <c r="K4266" s="6" t="n">
        <f aca="false">Sens!K4263-Sens!K4265</f>
        <v>191.507111255927</v>
      </c>
    </row>
    <row r="4267" customFormat="false" ht="15" hidden="false" customHeight="false" outlineLevel="0" collapsed="false">
      <c r="A4267" s="1" t="s">
        <v>969</v>
      </c>
      <c r="B4267" s="0" t="s">
        <v>98</v>
      </c>
      <c r="F4267" s="6" t="n">
        <f aca="false">debt_mat_27</f>
        <v>9.25</v>
      </c>
      <c r="G4267" s="6" t="n">
        <f aca="false">debt_mat_28</f>
        <v>0</v>
      </c>
      <c r="H4267" s="6" t="n">
        <f aca="false">debt_mat_29</f>
        <v>2.001</v>
      </c>
      <c r="I4267" s="6" t="n">
        <f aca="false">debt_mat_30</f>
        <v>0</v>
      </c>
      <c r="J4267" s="6" t="n">
        <f aca="false">debt_mat_31</f>
        <v>0.5</v>
      </c>
      <c r="K4267" s="6" t="n">
        <f aca="false">debt_mat_32</f>
        <v>0</v>
      </c>
    </row>
    <row r="4268" customFormat="false" ht="15" hidden="false" customHeight="false" outlineLevel="0" collapsed="false">
      <c r="A4268" s="1" t="s">
        <v>970</v>
      </c>
      <c r="B4268" s="0" t="s">
        <v>98</v>
      </c>
      <c r="E4268" s="6" t="n">
        <f aca="false">Q!M40</f>
        <v>22.271</v>
      </c>
      <c r="F4268" s="6" t="n">
        <f aca="false">MAX(0,MIN(bb_target,Sens!E4270+Sens!F4266-Sens!F4267-min_cash))</f>
        <v>0</v>
      </c>
      <c r="G4268" s="6" t="n">
        <f aca="false">MAX(0,MIN(bb_target,Sens!F4270+Sens!G4266-Sens!G4267-min_cash))</f>
        <v>15.3346542587843</v>
      </c>
      <c r="H4268" s="6" t="n">
        <f aca="false">MAX(0,MIN(bb_target,Sens!G4270+Sens!H4266-Sens!H4267-min_cash))</f>
        <v>22.271</v>
      </c>
      <c r="I4268" s="6" t="n">
        <f aca="false">MAX(0,MIN(bb_target,Sens!H4270+Sens!I4266-Sens!I4267-min_cash))</f>
        <v>22.271</v>
      </c>
      <c r="J4268" s="6" t="n">
        <f aca="false">MAX(0,MIN(bb_target,Sens!I4270+Sens!J4266-Sens!J4267-min_cash))</f>
        <v>22.271</v>
      </c>
      <c r="K4268" s="6" t="n">
        <f aca="false">MAX(0,MIN(bb_target,Sens!J4270+Sens!K4266-Sens!K4267-min_cash))</f>
        <v>22.271</v>
      </c>
    </row>
    <row r="4269" customFormat="false" ht="15" hidden="false" customHeight="false" outlineLevel="0" collapsed="false">
      <c r="A4269" s="1" t="s">
        <v>971</v>
      </c>
      <c r="B4269" s="0" t="s">
        <v>98</v>
      </c>
      <c r="F4269" s="6" t="n">
        <f aca="false">MAX(0,min_cash-(Sens!E4270+Sens!F4266-Sens!F4267-Sens!F4268))</f>
        <v>4.56966910410652</v>
      </c>
      <c r="G4269" s="6" t="n">
        <f aca="false">MAX(0,min_cash-(Sens!F4270+Sens!G4266-Sens!G4267-Sens!G4268))</f>
        <v>0</v>
      </c>
      <c r="H4269" s="6" t="n">
        <f aca="false">MAX(0,min_cash-(Sens!G4270+Sens!H4266-Sens!H4267-Sens!H4268))</f>
        <v>0</v>
      </c>
      <c r="I4269" s="6" t="n">
        <f aca="false">MAX(0,min_cash-(Sens!H4270+Sens!I4266-Sens!I4267-Sens!I4268))</f>
        <v>0</v>
      </c>
      <c r="J4269" s="6" t="n">
        <f aca="false">MAX(0,min_cash-(Sens!I4270+Sens!J4266-Sens!J4267-Sens!J4268))</f>
        <v>0</v>
      </c>
      <c r="K4269" s="6" t="n">
        <f aca="false">MAX(0,min_cash-(Sens!J4270+Sens!K4266-Sens!K4267-Sens!K4268))</f>
        <v>0</v>
      </c>
    </row>
    <row r="4270" customFormat="false" ht="15" hidden="false" customHeight="false" outlineLevel="0" collapsed="false">
      <c r="A4270" s="1" t="s">
        <v>972</v>
      </c>
      <c r="B4270" s="0" t="s">
        <v>98</v>
      </c>
      <c r="E4270" s="6" t="n">
        <f aca="false">cash_open</f>
        <v>76.843</v>
      </c>
      <c r="F4270" s="6" t="n">
        <f aca="false">Sens!E4270+Sens!F4266-Sens!F4267-Sens!F4268+Sens!F4269</f>
        <v>50</v>
      </c>
      <c r="G4270" s="6" t="n">
        <f aca="false">Sens!F4270+Sens!G4266-Sens!G4267-Sens!G4268+Sens!G4269</f>
        <v>50</v>
      </c>
      <c r="H4270" s="6" t="n">
        <f aca="false">Sens!G4270+Sens!H4266-Sens!H4267-Sens!H4268+Sens!H4269</f>
        <v>62.1745516442501</v>
      </c>
      <c r="I4270" s="6" t="n">
        <f aca="false">Sens!H4270+Sens!I4266-Sens!I4267-Sens!I4268+Sens!I4269</f>
        <v>160.988083574764</v>
      </c>
      <c r="J4270" s="6" t="n">
        <f aca="false">Sens!I4270+Sens!J4266-Sens!J4267-Sens!J4268+Sens!J4269</f>
        <v>302.83009425357</v>
      </c>
      <c r="K4270" s="6" t="n">
        <f aca="false">Sens!J4270+Sens!K4266-Sens!K4267-Sens!K4268+Sens!K4269</f>
        <v>472.066205509498</v>
      </c>
    </row>
    <row r="4271" customFormat="false" ht="15" hidden="false" customHeight="false" outlineLevel="0" collapsed="false">
      <c r="A4271" s="1" t="s">
        <v>973</v>
      </c>
      <c r="B4271" s="0" t="s">
        <v>98</v>
      </c>
      <c r="E4271" s="6" t="n">
        <f aca="false">debt_face</f>
        <v>46.136</v>
      </c>
      <c r="F4271" s="6" t="n">
        <f aca="false">Sens!E4271-Sens!F4267+Sens!F4269</f>
        <v>41.4556691041065</v>
      </c>
      <c r="G4271" s="6" t="n">
        <f aca="false">Sens!F4271-Sens!G4267+Sens!G4269</f>
        <v>41.4556691041065</v>
      </c>
      <c r="H4271" s="6" t="n">
        <f aca="false">Sens!G4271-Sens!H4267+Sens!H4269</f>
        <v>39.4546691041065</v>
      </c>
      <c r="I4271" s="6" t="n">
        <f aca="false">Sens!H4271-Sens!I4267+Sens!I4269</f>
        <v>39.4546691041065</v>
      </c>
      <c r="J4271" s="6" t="n">
        <f aca="false">Sens!I4271-Sens!J4267+Sens!J4269</f>
        <v>38.9546691041065</v>
      </c>
      <c r="K4271" s="6" t="n">
        <f aca="false">Sens!J4271-Sens!K4267+Sens!K4269</f>
        <v>38.9546691041065</v>
      </c>
    </row>
    <row r="4272" customFormat="false" ht="15" hidden="false" customHeight="false" outlineLevel="0" collapsed="false">
      <c r="A4272" s="1" t="s">
        <v>974</v>
      </c>
      <c r="B4272" s="0" t="s">
        <v>98</v>
      </c>
      <c r="E4272" s="6" t="n">
        <f aca="false">Sens!E4270-Sens!E4271</f>
        <v>30.707</v>
      </c>
      <c r="F4272" s="6" t="n">
        <f aca="false">Sens!F4270-Sens!F4271</f>
        <v>8.54433089589347</v>
      </c>
      <c r="G4272" s="6" t="n">
        <f aca="false">Sens!G4270-Sens!G4271</f>
        <v>8.54433089589347</v>
      </c>
      <c r="H4272" s="6" t="n">
        <f aca="false">Sens!H4270-Sens!H4271</f>
        <v>22.7198825401435</v>
      </c>
      <c r="I4272" s="6" t="n">
        <f aca="false">Sens!I4270-Sens!I4271</f>
        <v>121.533414470658</v>
      </c>
      <c r="J4272" s="6" t="n">
        <f aca="false">Sens!J4270-Sens!J4271</f>
        <v>263.875425149464</v>
      </c>
      <c r="K4272" s="6" t="n">
        <f aca="false">Sens!K4270-Sens!K4271</f>
        <v>433.111536405391</v>
      </c>
    </row>
    <row r="4273" customFormat="false" ht="15" hidden="false" customHeight="false" outlineLevel="0" collapsed="false">
      <c r="A4273" s="1" t="s">
        <v>975</v>
      </c>
      <c r="B4273" s="0" t="s">
        <v>75</v>
      </c>
      <c r="F4273" s="29" t="n">
        <f aca="false">px*(1+bb_g)^(Sens!F4135-base_fy-mid_yr)</f>
        <v>553.494156066711</v>
      </c>
      <c r="G4273" s="29" t="n">
        <f aca="false">px*(1+bb_g)^(Sens!G4135-base_fy-mid_yr)</f>
        <v>597.773688552047</v>
      </c>
      <c r="H4273" s="29" t="n">
        <f aca="false">px*(1+bb_g)^(Sens!H4135-base_fy-mid_yr)</f>
        <v>645.595583636211</v>
      </c>
      <c r="I4273" s="29" t="n">
        <f aca="false">px*(1+bb_g)^(Sens!I4135-base_fy-mid_yr)</f>
        <v>697.243230327108</v>
      </c>
      <c r="J4273" s="29" t="n">
        <f aca="false">px*(1+bb_g)^(Sens!J4135-base_fy-mid_yr)</f>
        <v>753.022688753277</v>
      </c>
      <c r="K4273" s="29" t="n">
        <f aca="false">px*(1+bb_g)^(Sens!K4135-base_fy-mid_yr)</f>
        <v>813.264503853539</v>
      </c>
    </row>
    <row r="4274" customFormat="false" ht="15" hidden="false" customHeight="false" outlineLevel="0" collapsed="false">
      <c r="A4274" s="1" t="s">
        <v>976</v>
      </c>
      <c r="B4274" s="1" t="s">
        <v>81</v>
      </c>
      <c r="E4274" s="14" t="n">
        <f aca="false">sh_out26</f>
        <v>7.427</v>
      </c>
      <c r="F4274" s="14" t="n">
        <f aca="false">Sens!E4274+sh_iss-Sens!F4268/Sens!F4273</f>
        <v>7.472</v>
      </c>
      <c r="G4274" s="14" t="n">
        <f aca="false">Sens!F4274+sh_iss-Sens!G4268/Sens!G4273</f>
        <v>7.49134705716819</v>
      </c>
      <c r="H4274" s="14" t="n">
        <f aca="false">Sens!G4274+sh_iss-Sens!H4268/Sens!H4273</f>
        <v>7.50185022886809</v>
      </c>
      <c r="I4274" s="14" t="n">
        <f aca="false">Sens!H4274+sh_iss-Sens!I4268/Sens!I4273</f>
        <v>7.51490872118282</v>
      </c>
      <c r="J4274" s="14" t="n">
        <f aca="false">Sens!I4274+sh_iss-Sens!J4268/Sens!J4273</f>
        <v>7.53033325110386</v>
      </c>
      <c r="K4274" s="14" t="n">
        <f aca="false">Sens!J4274+sh_iss-Sens!K4268/Sens!K4273</f>
        <v>7.5479485565863</v>
      </c>
    </row>
    <row r="4275" customFormat="false" ht="15" hidden="false" customHeight="false" outlineLevel="0" collapsed="false">
      <c r="A4275" s="1" t="s">
        <v>977</v>
      </c>
      <c r="B4275" s="1" t="s">
        <v>81</v>
      </c>
      <c r="E4275" s="14" t="n">
        <f aca="false">sh_dil26</f>
        <v>7.453</v>
      </c>
      <c r="F4275" s="14" t="n">
        <f aca="false">(Sens!E4274+Sens!F4274)/2+dil_gap</f>
        <v>7.4735</v>
      </c>
      <c r="G4275" s="14" t="n">
        <f aca="false">(Sens!F4274+Sens!G4274)/2+dil_gap</f>
        <v>7.5056735285841</v>
      </c>
      <c r="H4275" s="14" t="n">
        <f aca="false">(Sens!G4274+Sens!H4274)/2+dil_gap</f>
        <v>7.52059864301814</v>
      </c>
      <c r="I4275" s="14" t="n">
        <f aca="false">(Sens!H4274+Sens!I4274)/2+dil_gap</f>
        <v>7.53237947502546</v>
      </c>
      <c r="J4275" s="14" t="n">
        <f aca="false">(Sens!I4274+Sens!J4274)/2+dil_gap</f>
        <v>7.54662098614334</v>
      </c>
      <c r="K4275" s="14" t="n">
        <f aca="false">(Sens!J4274+Sens!K4274)/2+dil_gap</f>
        <v>7.56314090384508</v>
      </c>
    </row>
    <row r="4276" customFormat="false" ht="17.15" hidden="false" customHeight="false" outlineLevel="0" collapsed="false">
      <c r="A4276" s="1" t="s">
        <v>978</v>
      </c>
      <c r="B4276" s="0" t="s">
        <v>98</v>
      </c>
      <c r="C4276" s="6" t="n">
        <f aca="false">SUM(Sens!F4266:J4266)</f>
        <v>315.316079408248</v>
      </c>
    </row>
    <row r="4277" customFormat="false" ht="15" hidden="false" customHeight="false" outlineLevel="0" collapsed="false">
      <c r="A4277" s="23" t="s">
        <v>945</v>
      </c>
      <c r="B4277" s="30" t="s">
        <v>98</v>
      </c>
      <c r="C4277" s="24" t="n">
        <f aca="false">Sens!$C$4276-(Sens!F4266+Sens!G4266+Sens!H4266+Sens!I4266+Sens!J4266)</f>
        <v>0</v>
      </c>
      <c r="D4277" s="30"/>
      <c r="E4277" s="30"/>
      <c r="F4277" s="30"/>
      <c r="G4277" s="30"/>
      <c r="H4277" s="30"/>
      <c r="I4277" s="30"/>
      <c r="J4277" s="30"/>
      <c r="K4277" s="30"/>
    </row>
    <row r="4278" customFormat="false" ht="17.15" hidden="false" customHeight="false" outlineLevel="0" collapsed="false">
      <c r="A4278" s="1" t="s">
        <v>939</v>
      </c>
      <c r="B4278" s="1" t="s">
        <v>979</v>
      </c>
      <c r="C4278" s="32" t="str">
        <f aca="false">IF(SUM(Sens!F4269:J4269)&gt;0.05,"需要舉債 "&amp;TEXT(SUM(Sens!F4269:J4269),"0.0")&amp;" 十億美元","不需舉債")&amp;"；"&amp;IF(SUM(Sens!F4268:J4268)&lt;COUNT(Sens!F4268:J4268)*bb_target-0.05,"回購較每年 "&amp;TEXT(bb_target,"0.0")&amp;" 的目標少 "&amp;TEXT(COUNT(Sens!F4268:J4268)*bb_target-SUM(Sens!F4268:J4268),"0.0")&amp;" 十億美元（"&amp;TEXT(COUNTIF(Sens!F4268:J4268,"&lt;"&amp;(bb_target-0.05)),"0")&amp;" 年減少）","回購不減")</f>
        <v>需要舉債 4.6 十億美元；回購較每年 22.3 的目標少 29.2 十億美元（2 年減少）</v>
      </c>
    </row>
    <row r="4279" customFormat="false" ht="17.15" hidden="false" customHeight="false" outlineLevel="0" collapsed="false">
      <c r="A4279" s="3" t="s">
        <v>1371</v>
      </c>
    </row>
    <row r="4280" customFormat="false" ht="15" hidden="false" customHeight="false" outlineLevel="0" collapsed="false">
      <c r="A4280" s="4" t="s">
        <v>43</v>
      </c>
      <c r="B4280" s="4" t="s">
        <v>65</v>
      </c>
      <c r="C4280" s="20" t="s">
        <v>799</v>
      </c>
      <c r="D4280" s="20" t="s">
        <v>800</v>
      </c>
      <c r="E4280" s="20" t="s">
        <v>801</v>
      </c>
      <c r="F4280" s="20" t="s">
        <v>802</v>
      </c>
      <c r="G4280" s="20" t="s">
        <v>803</v>
      </c>
      <c r="H4280" s="20" t="s">
        <v>804</v>
      </c>
      <c r="I4280" s="20" t="s">
        <v>805</v>
      </c>
      <c r="J4280" s="20" t="s">
        <v>806</v>
      </c>
      <c r="K4280" s="20" t="s">
        <v>807</v>
      </c>
      <c r="L4280" s="4" t="s">
        <v>47</v>
      </c>
    </row>
    <row r="4281" customFormat="false" ht="15" hidden="false" customHeight="false" outlineLevel="0" collapsed="false">
      <c r="A4281" s="1" t="s">
        <v>1057</v>
      </c>
      <c r="B4281" s="1" t="s">
        <v>235</v>
      </c>
      <c r="F4281" s="36" t="n">
        <f aca="false">Sens!F4135-base_fy-mid_yr</f>
        <v>0.5</v>
      </c>
      <c r="G4281" s="36" t="n">
        <f aca="false">Sens!G4135-base_fy-mid_yr</f>
        <v>1.5</v>
      </c>
      <c r="H4281" s="36" t="n">
        <f aca="false">Sens!H4135-base_fy-mid_yr</f>
        <v>2.5</v>
      </c>
      <c r="I4281" s="36" t="n">
        <f aca="false">Sens!I4135-base_fy-mid_yr</f>
        <v>3.5</v>
      </c>
      <c r="J4281" s="36" t="n">
        <f aca="false">Sens!J4135-base_fy-mid_yr</f>
        <v>4.5</v>
      </c>
      <c r="K4281" s="36" t="n">
        <f aca="false">Sens!K4135-base_fy-mid_yr</f>
        <v>5.5</v>
      </c>
    </row>
    <row r="4282" customFormat="false" ht="15" hidden="false" customHeight="false" outlineLevel="0" collapsed="false">
      <c r="A4282" s="1" t="s">
        <v>1058</v>
      </c>
      <c r="B4282" s="0" t="s">
        <v>185</v>
      </c>
      <c r="F4282" s="14" t="n">
        <f aca="false">1/(1+wacc)^Sens!F4281</f>
        <v>0.952193373608246</v>
      </c>
      <c r="G4282" s="14" t="n">
        <f aca="false">1/(1+wacc)^Sens!G4281</f>
        <v>0.863327280626589</v>
      </c>
      <c r="H4282" s="14" t="n">
        <f aca="false">1/(1+wacc)^Sens!H4281</f>
        <v>0.782754862754115</v>
      </c>
      <c r="I4282" s="14" t="n">
        <f aca="false">1/(1+wacc)^Sens!I4281</f>
        <v>0.709702089711011</v>
      </c>
      <c r="J4282" s="14" t="n">
        <f aca="false">1/(1+wacc)^Sens!J4281</f>
        <v>0.643467169744551</v>
      </c>
      <c r="K4282" s="14" t="n">
        <f aca="false">1/(1+wacc)^Sens!K4281</f>
        <v>0.583413807767797</v>
      </c>
    </row>
    <row r="4283" customFormat="false" ht="17.15" hidden="false" customHeight="false" outlineLevel="0" collapsed="false">
      <c r="A4283" s="1" t="s">
        <v>1059</v>
      </c>
      <c r="B4283" s="0" t="s">
        <v>98</v>
      </c>
      <c r="F4283" s="6" t="n">
        <f aca="false">Sens!F4256-Sens!F4254-Sens!F4260+Sens!F4239*(1-tax_f)</f>
        <v>2.10273558137822</v>
      </c>
      <c r="G4283" s="6" t="n">
        <f aca="false">Sens!G4256-Sens!G4254-Sens!G4260+Sens!G4239*(1-tax_f)</f>
        <v>49.4275037396501</v>
      </c>
      <c r="H4283" s="6" t="n">
        <f aca="false">Sens!H4256-Sens!H4254-Sens!H4260+Sens!H4239*(1-tax_f)</f>
        <v>81.0007361447196</v>
      </c>
      <c r="I4283" s="6" t="n">
        <f aca="false">Sens!I4256-Sens!I4254-Sens!I4260+Sens!I4239*(1-tax_f)</f>
        <v>176.486412495599</v>
      </c>
      <c r="J4283" s="6" t="n">
        <f aca="false">Sens!J4256-Sens!J4254-Sens!J4260+Sens!J4239*(1-tax_f)</f>
        <v>229.069435371739</v>
      </c>
      <c r="K4283" s="6" t="n">
        <f aca="false">Sens!K4256-Sens!K4254-Sens!K4260+Sens!K4239*(1-tax_f)</f>
        <v>262.335845820012</v>
      </c>
      <c r="L4283" s="1" t="s">
        <v>1060</v>
      </c>
    </row>
    <row r="4284" customFormat="false" ht="15" hidden="false" customHeight="false" outlineLevel="0" collapsed="false">
      <c r="A4284" s="1" t="s">
        <v>1061</v>
      </c>
      <c r="B4284" s="0" t="s">
        <v>98</v>
      </c>
      <c r="F4284" s="6" t="n">
        <f aca="false">Sens!F4283*Sens!F4282</f>
        <v>2.00221088703863</v>
      </c>
      <c r="G4284" s="6" t="n">
        <f aca="false">Sens!G4283*Sens!G4282</f>
        <v>42.6721123917126</v>
      </c>
      <c r="H4284" s="6" t="n">
        <f aca="false">Sens!H4283*Sens!H4282</f>
        <v>63.4037201039423</v>
      </c>
      <c r="I4284" s="6" t="n">
        <f aca="false">Sens!I4283*Sens!I4282</f>
        <v>125.252775753726</v>
      </c>
      <c r="J4284" s="6" t="n">
        <f aca="false">Sens!J4283*Sens!J4282</f>
        <v>147.398661253635</v>
      </c>
      <c r="K4284" s="6" t="n">
        <f aca="false">Sens!K4283*Sens!K4282</f>
        <v>153.050354723839</v>
      </c>
    </row>
    <row r="4285" customFormat="false" ht="17.15" hidden="false" customHeight="false" outlineLevel="0" collapsed="false">
      <c r="A4285" s="1" t="s">
        <v>1062</v>
      </c>
      <c r="B4285" s="0" t="s">
        <v>98</v>
      </c>
      <c r="C4285" s="6" t="n">
        <f aca="false">SUM(Sens!F4284:K4284)</f>
        <v>533.779835113894</v>
      </c>
    </row>
    <row r="4286" customFormat="false" ht="17.15" hidden="false" customHeight="false" outlineLevel="0" collapsed="false">
      <c r="A4286" s="1" t="s">
        <v>1063</v>
      </c>
      <c r="B4286" s="0" t="s">
        <v>98</v>
      </c>
      <c r="C4286" s="6" t="n">
        <f aca="false">Sens!K4225*(1+g_tv)*(1-tax_f)</f>
        <v>304.481084225235</v>
      </c>
    </row>
    <row r="4287" customFormat="false" ht="17.15" hidden="false" customHeight="false" outlineLevel="0" collapsed="false">
      <c r="A4287" s="1" t="s">
        <v>1064</v>
      </c>
      <c r="B4287" s="0" t="s">
        <v>98</v>
      </c>
      <c r="C4287" s="6" t="n">
        <f aca="false">Sens!$C$4286*(1-g_tv/(wacc+ronic_prem))</f>
        <v>215.740772495542</v>
      </c>
    </row>
    <row r="4288" customFormat="false" ht="17.15" hidden="false" customHeight="false" outlineLevel="0" collapsed="false">
      <c r="A4288" s="1" t="s">
        <v>1065</v>
      </c>
      <c r="B4288" s="0" t="s">
        <v>98</v>
      </c>
      <c r="C4288" s="6" t="n">
        <f aca="false">Sens!$C$4287/(wacc-g_tv)</f>
        <v>2958.0103909898</v>
      </c>
    </row>
    <row r="4289" customFormat="false" ht="15" hidden="false" customHeight="false" outlineLevel="0" collapsed="false">
      <c r="A4289" s="1" t="s">
        <v>1066</v>
      </c>
      <c r="B4289" s="0" t="s">
        <v>98</v>
      </c>
      <c r="C4289" s="6" t="n">
        <f aca="false">Sens!$C$4288/(1+wacc)^(Sens!K4281+mid_yr)</f>
        <v>1643.24210191873</v>
      </c>
    </row>
    <row r="4290" customFormat="false" ht="17.15" hidden="false" customHeight="false" outlineLevel="0" collapsed="false">
      <c r="A4290" s="0" t="s">
        <v>986</v>
      </c>
      <c r="B4290" s="0" t="s">
        <v>98</v>
      </c>
      <c r="C4290" s="6" t="n">
        <f aca="false">Sens!$C$4285+Sens!$C$4289</f>
        <v>2177.02193703262</v>
      </c>
    </row>
    <row r="4291" customFormat="false" ht="15" hidden="false" customHeight="false" outlineLevel="0" collapsed="false">
      <c r="A4291" s="1" t="s">
        <v>987</v>
      </c>
      <c r="B4291" s="0" t="s">
        <v>129</v>
      </c>
      <c r="C4291" s="7" t="n">
        <f aca="false">Sens!$C$4289/Sens!$C$4290</f>
        <v>0.754811917126816</v>
      </c>
    </row>
    <row r="4292" customFormat="false" ht="17.15" hidden="false" customHeight="false" outlineLevel="0" collapsed="false">
      <c r="A4292" s="1" t="s">
        <v>1067</v>
      </c>
      <c r="B4292" s="0" t="s">
        <v>98</v>
      </c>
      <c r="C4292" s="6" t="n">
        <f aca="false">Sens!$C$4290+Sens!E4272-Sens!E4261+oai_v</f>
        <v>2311.53493703262</v>
      </c>
    </row>
    <row r="4293" customFormat="false" ht="17.15" hidden="false" customHeight="false" outlineLevel="0" collapsed="false">
      <c r="A4293" s="0" t="s">
        <v>994</v>
      </c>
      <c r="B4293" s="0" t="s">
        <v>75</v>
      </c>
      <c r="C4293" s="5" t="n">
        <f aca="false">Sens!$C$4292/sh_dil26</f>
        <v>310.148253996058</v>
      </c>
    </row>
    <row r="4294" customFormat="false" ht="15" hidden="false" customHeight="false" outlineLevel="0" collapsed="false">
      <c r="A4294" s="1" t="s">
        <v>1068</v>
      </c>
      <c r="B4294" s="0" t="s">
        <v>75</v>
      </c>
      <c r="C4294" s="8" t="n">
        <f aca="false">dps_27+Sens!G4264*roll_div_q/q_per_yr</f>
        <v>4.8895</v>
      </c>
    </row>
    <row r="4295" customFormat="false" ht="17.15" hidden="false" customHeight="false" outlineLevel="0" collapsed="false">
      <c r="A4295" s="0" t="s">
        <v>1069</v>
      </c>
      <c r="B4295" s="0" t="s">
        <v>75</v>
      </c>
      <c r="C4295" s="5" t="n">
        <f aca="false">Sens!$C$4293*(1+wacc)^t_roll-Sens!$C$4294</f>
        <v>348.286672528422</v>
      </c>
    </row>
    <row r="4296" customFormat="false" ht="17.15" hidden="false" customHeight="false" outlineLevel="0" collapsed="false">
      <c r="A4296" s="1" t="s">
        <v>1070</v>
      </c>
      <c r="B4296" s="0" t="s">
        <v>129</v>
      </c>
      <c r="F4296" s="7" t="n">
        <f aca="false">Sens!F4251/(Sens!F4196-Sens!F4152)</f>
        <v>0.0626918479063415</v>
      </c>
      <c r="G4296" s="7" t="n">
        <f aca="false">Sens!G4251/(Sens!G4196-Sens!G4152)</f>
        <v>0.0606633271817162</v>
      </c>
      <c r="H4296" s="7" t="n">
        <f aca="false">Sens!H4251/(Sens!H4196-Sens!H4152)</f>
        <v>0.0598535112837724</v>
      </c>
      <c r="I4296" s="7" t="n">
        <f aca="false">Sens!I4251/(Sens!I4196-Sens!I4152)</f>
        <v>0.0602060034781592</v>
      </c>
      <c r="J4296" s="7" t="n">
        <f aca="false">Sens!J4251/(Sens!J4196-Sens!J4152)</f>
        <v>0.0614292475261616</v>
      </c>
      <c r="K4296" s="7" t="n">
        <f aca="false">Sens!K4251/(Sens!K4196-Sens!K4152)</f>
        <v>0.0631217329219639</v>
      </c>
    </row>
    <row r="4297" customFormat="false" ht="17.15" hidden="false" customHeight="false" outlineLevel="0" collapsed="false">
      <c r="A4297" s="0" t="s">
        <v>1071</v>
      </c>
      <c r="B4297" s="0" t="s">
        <v>98</v>
      </c>
      <c r="F4297" s="6" t="n">
        <f aca="false">Sens!F4181*(al_m365+Sens!F4296+sbc_r)</f>
        <v>84.283632728606</v>
      </c>
      <c r="G4297" s="6" t="n">
        <f aca="false">Sens!G4181*(al_m365+Sens!G4296+sbc_r)</f>
        <v>98.8043283392238</v>
      </c>
      <c r="H4297" s="6" t="n">
        <f aca="false">Sens!H4181*(al_m365+Sens!H4296+sbc_r)</f>
        <v>113.494250808145</v>
      </c>
      <c r="I4297" s="6" t="n">
        <f aca="false">Sens!I4181*(al_m365+Sens!I4296+sbc_r)</f>
        <v>126.670946038745</v>
      </c>
      <c r="J4297" s="6" t="n">
        <f aca="false">Sens!J4181*(al_m365+Sens!J4296+sbc_r)</f>
        <v>138.143012016336</v>
      </c>
      <c r="K4297" s="6" t="n">
        <f aca="false">Sens!K4181*(al_m365+Sens!K4296+sbc_r)</f>
        <v>149.227028462046</v>
      </c>
      <c r="L4297" s="11" t="s">
        <v>1072</v>
      </c>
    </row>
    <row r="4298" customFormat="false" ht="17.15" hidden="false" customHeight="false" outlineLevel="0" collapsed="false">
      <c r="A4298" s="0" t="s">
        <v>1073</v>
      </c>
      <c r="B4298" s="0" t="s">
        <v>98</v>
      </c>
      <c r="F4298" s="6" t="n">
        <f aca="false">Sens!F4182*(al_lic+Sens!F4296+sbc_r)</f>
        <v>33.2141792112151</v>
      </c>
      <c r="G4298" s="6" t="n">
        <f aca="false">Sens!G4182*(al_lic+Sens!G4296+sbc_r)</f>
        <v>34.5379952763243</v>
      </c>
      <c r="H4298" s="6" t="n">
        <f aca="false">Sens!H4182*(al_lic+Sens!H4296+sbc_r)</f>
        <v>35.773357003467</v>
      </c>
      <c r="I4298" s="6" t="n">
        <f aca="false">Sens!I4182*(al_lic+Sens!I4296+sbc_r)</f>
        <v>36.9038366634349</v>
      </c>
      <c r="J4298" s="6" t="n">
        <f aca="false">Sens!J4182*(al_lic+Sens!J4296+sbc_r)</f>
        <v>37.902683386379</v>
      </c>
      <c r="K4298" s="6" t="n">
        <f aca="false">Sens!K4182*(al_lic+Sens!K4296+sbc_r)</f>
        <v>38.7378244959403</v>
      </c>
    </row>
    <row r="4299" customFormat="false" ht="17.15" hidden="false" customHeight="false" outlineLevel="0" collapsed="false">
      <c r="A4299" s="0" t="s">
        <v>1074</v>
      </c>
      <c r="B4299" s="0" t="s">
        <v>98</v>
      </c>
      <c r="F4299" s="6" t="n">
        <f aca="false">Sens!F4184*(al_ind+Sens!F4296+sbc_r)</f>
        <v>8.94455226894418</v>
      </c>
      <c r="G4299" s="6" t="n">
        <f aca="false">Sens!G4184*(al_ind+Sens!G4296+sbc_r)</f>
        <v>9.72792863786976</v>
      </c>
      <c r="H4299" s="6" t="n">
        <f aca="false">Sens!H4184*(al_ind+Sens!H4296+sbc_r)</f>
        <v>10.5560746743828</v>
      </c>
      <c r="I4299" s="6" t="n">
        <f aca="false">Sens!I4184*(al_ind+Sens!I4296+sbc_r)</f>
        <v>11.4271798976362</v>
      </c>
      <c r="J4299" s="6" t="n">
        <f aca="false">Sens!J4184*(al_ind+Sens!J4296+sbc_r)</f>
        <v>12.3309645983085</v>
      </c>
      <c r="K4299" s="6" t="n">
        <f aca="false">Sens!K4184*(al_ind+Sens!K4296+sbc_r)</f>
        <v>13.2501256340204</v>
      </c>
    </row>
    <row r="4300" customFormat="false" ht="17.15" hidden="false" customHeight="false" outlineLevel="0" collapsed="false">
      <c r="A4300" s="0" t="s">
        <v>1075</v>
      </c>
      <c r="B4300" s="0" t="s">
        <v>98</v>
      </c>
      <c r="F4300" s="6" t="n">
        <f aca="false">Sens!F4186*(al_fro+Sens!F4296+sbc_r)</f>
        <v>3.52060717559888</v>
      </c>
      <c r="G4300" s="6" t="n">
        <f aca="false">Sens!G4186*(al_fro+Sens!G4296+sbc_r)</f>
        <v>3.73494946552204</v>
      </c>
      <c r="H4300" s="6" t="n">
        <f aca="false">Sens!H4186*(al_fro+Sens!H4296+sbc_r)</f>
        <v>3.97789024592154</v>
      </c>
      <c r="I4300" s="6" t="n">
        <f aca="false">Sens!I4186*(al_fro+Sens!I4296+sbc_r)</f>
        <v>4.25273127733408</v>
      </c>
      <c r="J4300" s="6" t="n">
        <f aca="false">Sens!J4186*(al_fro+Sens!J4296+sbc_r)</f>
        <v>4.56046458654472</v>
      </c>
      <c r="K4300" s="6" t="n">
        <f aca="false">Sens!K4186*(al_fro+Sens!K4296+sbc_r)</f>
        <v>4.90040566084403</v>
      </c>
    </row>
    <row r="4301" customFormat="false" ht="17.15" hidden="false" customHeight="false" outlineLevel="0" collapsed="false">
      <c r="A4301" s="0" t="s">
        <v>1076</v>
      </c>
      <c r="B4301" s="0" t="s">
        <v>98</v>
      </c>
      <c r="F4301" s="6" t="n">
        <f aca="false">Sens!F4189*(al_srch+Sens!F4296+sbc_r)</f>
        <v>11.046651283502</v>
      </c>
      <c r="G4301" s="6" t="n">
        <f aca="false">Sens!G4189*(al_srch+Sens!G4296+sbc_r)</f>
        <v>12.1274904270724</v>
      </c>
      <c r="H4301" s="6" t="n">
        <f aca="false">Sens!H4189*(al_srch+Sens!H4296+sbc_r)</f>
        <v>13.2535347913161</v>
      </c>
      <c r="I4301" s="6" t="n">
        <f aca="false">Sens!I4189*(al_srch+Sens!I4296+sbc_r)</f>
        <v>14.4156484629283</v>
      </c>
      <c r="J4301" s="6" t="n">
        <f aca="false">Sens!J4189*(al_srch+Sens!J4296+sbc_r)</f>
        <v>15.5930787962657</v>
      </c>
      <c r="K4301" s="6" t="n">
        <f aca="false">Sens!K4189*(al_srch+Sens!K4296+sbc_r)</f>
        <v>16.7554007169919</v>
      </c>
    </row>
    <row r="4302" customFormat="false" ht="17.15" hidden="false" customHeight="false" outlineLevel="0" collapsed="false">
      <c r="A4302" s="0" t="s">
        <v>1077</v>
      </c>
      <c r="B4302" s="0" t="s">
        <v>98</v>
      </c>
      <c r="F4302" s="6" t="n">
        <f aca="false">Sens!F4158-Sens!F4159+Sens!F4239</f>
        <v>44.9340026178292</v>
      </c>
      <c r="G4302" s="6" t="n">
        <f aca="false">Sens!G4158-Sens!G4159+Sens!G4239</f>
        <v>88.8357836935975</v>
      </c>
      <c r="H4302" s="6" t="n">
        <f aca="false">Sens!H4158-Sens!H4159+Sens!H4239</f>
        <v>142.19957927675</v>
      </c>
      <c r="I4302" s="6" t="n">
        <f aca="false">Sens!I4158-Sens!I4159+Sens!I4239</f>
        <v>184.657864793425</v>
      </c>
      <c r="J4302" s="6" t="n">
        <f aca="false">Sens!J4158-Sens!J4159+Sens!J4239</f>
        <v>217.285776693594</v>
      </c>
      <c r="K4302" s="6" t="n">
        <f aca="false">Sens!K4158-Sens!K4159+Sens!K4239</f>
        <v>239.785211953765</v>
      </c>
    </row>
    <row r="4303" customFormat="false" ht="17.15" hidden="false" customHeight="false" outlineLevel="0" collapsed="false">
      <c r="A4303" s="0" t="s">
        <v>1078</v>
      </c>
      <c r="B4303" s="0" t="s">
        <v>98</v>
      </c>
      <c r="F4303" s="6" t="n">
        <f aca="false">Sens!F4218+Sens!F4239+Sens!F4169+Sens!F4296*(Sens!F4188-Sens!F4152)+sbc_r*Sens!F4188</f>
        <v>238.193722878529</v>
      </c>
      <c r="G4303" s="6" t="n">
        <f aca="false">Sens!G4218+Sens!G4239+Sens!G4169+Sens!G4296*(Sens!G4188-Sens!G4152)+sbc_r*Sens!G4188</f>
        <v>312.112189342053</v>
      </c>
      <c r="H4303" s="6" t="n">
        <f aca="false">Sens!H4218+Sens!H4239+Sens!H4169+Sens!H4296*(Sens!H4188-Sens!H4152)+sbc_r*Sens!H4188</f>
        <v>396.245041696311</v>
      </c>
      <c r="I4303" s="6" t="n">
        <f aca="false">Sens!I4218+Sens!I4239+Sens!I4169+Sens!I4296*(Sens!I4188-Sens!I4152)+sbc_r*Sens!I4188</f>
        <v>467.329043826896</v>
      </c>
      <c r="J4303" s="6" t="n">
        <f aca="false">Sens!J4218+Sens!J4239+Sens!J4169+Sens!J4296*(Sens!J4188-Sens!J4152)+sbc_r*Sens!J4188</f>
        <v>525.620837031059</v>
      </c>
      <c r="K4303" s="6" t="n">
        <f aca="false">Sens!K4218+Sens!K4239+Sens!K4169+Sens!K4296*(Sens!K4188-Sens!K4152)+sbc_r*Sens!K4188</f>
        <v>571.350025575378</v>
      </c>
    </row>
    <row r="4304" customFormat="false" ht="17.15" hidden="false" customHeight="false" outlineLevel="0" collapsed="false">
      <c r="A4304" s="0" t="s">
        <v>1079</v>
      </c>
      <c r="B4304" s="0" t="s">
        <v>98</v>
      </c>
      <c r="F4304" s="6" t="n">
        <f aca="false">Sens!F4303-Sens!F4297-Sens!F4298-Sens!F4299-Sens!F4300-Sens!F4302</f>
        <v>63.296748876336</v>
      </c>
      <c r="G4304" s="6" t="n">
        <f aca="false">Sens!G4303-Sens!G4297-Sens!G4298-Sens!G4299-Sens!G4300-Sens!G4302</f>
        <v>76.4712039295155</v>
      </c>
      <c r="H4304" s="6" t="n">
        <f aca="false">Sens!H4303-Sens!H4297-Sens!H4298-Sens!H4299-Sens!H4300-Sens!H4302</f>
        <v>90.2438896876442</v>
      </c>
      <c r="I4304" s="6" t="n">
        <f aca="false">Sens!I4303-Sens!I4297-Sens!I4298-Sens!I4299-Sens!I4300-Sens!I4302</f>
        <v>103.41648515632</v>
      </c>
      <c r="J4304" s="6" t="n">
        <f aca="false">Sens!J4303-Sens!J4297-Sens!J4298-Sens!J4299-Sens!J4300-Sens!J4302</f>
        <v>115.397935749896</v>
      </c>
      <c r="K4304" s="6" t="n">
        <f aca="false">Sens!K4303-Sens!K4297-Sens!K4298-Sens!K4299-Sens!K4300-Sens!K4302</f>
        <v>125.449429368763</v>
      </c>
    </row>
    <row r="4305" customFormat="false" ht="17.15" hidden="false" customHeight="false" outlineLevel="0" collapsed="false">
      <c r="A4305" s="0" t="s">
        <v>1080</v>
      </c>
      <c r="B4305" s="0" t="s">
        <v>98</v>
      </c>
      <c r="F4305" s="6" t="n">
        <f aca="false">Sens!F4220+Sens!F4296*Sens!F4195+sbc_r*Sens!F4195</f>
        <v>25.8144582874026</v>
      </c>
      <c r="G4305" s="6" t="n">
        <f aca="false">Sens!G4220+Sens!G4296*Sens!G4195+sbc_r*Sens!G4195</f>
        <v>26.4644319722927</v>
      </c>
      <c r="H4305" s="6" t="n">
        <f aca="false">Sens!H4220+Sens!H4296*Sens!H4195+sbc_r*Sens!H4195</f>
        <v>27.3745787772214</v>
      </c>
      <c r="I4305" s="6" t="n">
        <f aca="false">Sens!I4220+Sens!I4296*Sens!I4195+sbc_r*Sens!I4195</f>
        <v>28.5200512992361</v>
      </c>
      <c r="J4305" s="6" t="n">
        <f aca="false">Sens!J4220+Sens!J4296*Sens!J4195+sbc_r*Sens!J4195</f>
        <v>29.8652364703893</v>
      </c>
      <c r="K4305" s="6" t="n">
        <f aca="false">Sens!K4220+Sens!K4296*Sens!K4195+sbc_r*Sens!K4195</f>
        <v>31.3686091313911</v>
      </c>
    </row>
    <row r="4306" customFormat="false" ht="17.15" hidden="false" customHeight="false" outlineLevel="0" collapsed="false">
      <c r="A4306" s="0" t="s">
        <v>1081</v>
      </c>
      <c r="B4306" s="0" t="s">
        <v>98</v>
      </c>
      <c r="F4306" s="6" t="n">
        <f aca="false">(Sens!F4305-Sens!F4301)*Sens!F4191/(Sens!F4191+Sens!F4193)</f>
        <v>8.09556796318229</v>
      </c>
      <c r="G4306" s="6" t="n">
        <f aca="false">(Sens!G4305-Sens!G4301)*Sens!G4191/(Sens!G4191+Sens!G4193)</f>
        <v>7.71923961156702</v>
      </c>
      <c r="H4306" s="6" t="n">
        <f aca="false">(Sens!H4305-Sens!H4301)*Sens!H4191/(Sens!H4191+Sens!H4193)</f>
        <v>7.50029311578737</v>
      </c>
      <c r="I4306" s="6" t="n">
        <f aca="false">(Sens!I4305-Sens!I4301)*Sens!I4191/(Sens!I4191+Sens!I4193)</f>
        <v>7.42367151254413</v>
      </c>
      <c r="J4306" s="6" t="n">
        <f aca="false">(Sens!J4305-Sens!J4301)*Sens!J4191/(Sens!J4191+Sens!J4193)</f>
        <v>7.47799828145224</v>
      </c>
      <c r="K4306" s="6" t="n">
        <f aca="false">(Sens!K4305-Sens!K4301)*Sens!K4191/(Sens!K4191+Sens!K4193)</f>
        <v>7.6566942367452</v>
      </c>
    </row>
    <row r="4307" customFormat="false" ht="17.15" hidden="false" customHeight="false" outlineLevel="0" collapsed="false">
      <c r="A4307" s="0" t="s">
        <v>1082</v>
      </c>
      <c r="B4307" s="0" t="s">
        <v>98</v>
      </c>
      <c r="F4307" s="6" t="n">
        <f aca="false">Sens!F4305-Sens!F4301-Sens!F4306</f>
        <v>6.67223904071833</v>
      </c>
      <c r="G4307" s="6" t="n">
        <f aca="false">Sens!G4305-Sens!G4301-Sens!G4306</f>
        <v>6.61770193365326</v>
      </c>
      <c r="H4307" s="6" t="n">
        <f aca="false">Sens!H4305-Sens!H4301-Sens!H4306</f>
        <v>6.62075087011789</v>
      </c>
      <c r="I4307" s="6" t="n">
        <f aca="false">Sens!I4305-Sens!I4301-Sens!I4306</f>
        <v>6.68073132376369</v>
      </c>
      <c r="J4307" s="6" t="n">
        <f aca="false">Sens!J4305-Sens!J4301-Sens!J4306</f>
        <v>6.79415939267135</v>
      </c>
      <c r="K4307" s="6" t="n">
        <f aca="false">Sens!K4305-Sens!K4301-Sens!K4306</f>
        <v>6.95651417765403</v>
      </c>
    </row>
    <row r="4308" customFormat="false" ht="17.15" hidden="false" customHeight="false" outlineLevel="0" collapsed="false">
      <c r="A4308" s="0" t="s">
        <v>1083</v>
      </c>
      <c r="B4308" s="0" t="s">
        <v>98</v>
      </c>
      <c r="F4308" s="6" t="n">
        <f aca="false">Sens!F4302-tax_f*(Sens!F4302-Sens!F4169)-Sens!F4166</f>
        <v>-116.311528409774</v>
      </c>
      <c r="G4308" s="6" t="n">
        <f aca="false">Sens!G4302-tax_f*(Sens!G4302-Sens!G4169)-Sens!G4166</f>
        <v>-98.4747054537993</v>
      </c>
      <c r="H4308" s="6" t="n">
        <f aca="false">Sens!H4302-tax_f*(Sens!H4302-Sens!H4169)-Sens!H4166</f>
        <v>-83.9214433381717</v>
      </c>
      <c r="I4308" s="6" t="n">
        <f aca="false">Sens!I4302-tax_f*(Sens!I4302-Sens!I4169)-Sens!I4166</f>
        <v>-4.76329182241781</v>
      </c>
      <c r="J4308" s="6" t="n">
        <f aca="false">Sens!J4302-tax_f*(Sens!J4302-Sens!J4169)-Sens!J4166</f>
        <v>32.6697584020747</v>
      </c>
      <c r="K4308" s="6" t="n">
        <f aca="false">Sens!K4302-tax_f*(Sens!K4302-Sens!K4169)-Sens!K4166</f>
        <v>51.626796539169</v>
      </c>
    </row>
    <row r="4309" customFormat="false" ht="17.15" hidden="false" customHeight="false" outlineLevel="0" collapsed="false">
      <c r="A4309" s="0" t="s">
        <v>1084</v>
      </c>
      <c r="B4309" s="0" t="s">
        <v>98</v>
      </c>
      <c r="G4309" s="6" t="n">
        <f aca="false">Sens!G4308/(1+wacc)^(Sens!G4281-(Sens!F4281+mid_yr))</f>
        <v>-93.7669620011315</v>
      </c>
      <c r="H4309" s="6" t="n">
        <f aca="false">Sens!H4308/(1+wacc)^(Sens!H4281-(Sens!F4281+mid_yr))</f>
        <v>-72.4516714634021</v>
      </c>
      <c r="I4309" s="6" t="n">
        <f aca="false">Sens!I4308/(1+wacc)^(Sens!I4281-(Sens!F4281+mid_yr))</f>
        <v>-3.72848983671446</v>
      </c>
      <c r="J4309" s="6" t="n">
        <f aca="false">Sens!J4308/(1+wacc)^(Sens!J4281-(Sens!F4281+mid_yr))</f>
        <v>23.1857958083063</v>
      </c>
      <c r="K4309" s="6" t="n">
        <f aca="false">Sens!K4308/(1+wacc)^(Sens!K4281-(Sens!F4281+mid_yr))</f>
        <v>33.2201486520368</v>
      </c>
      <c r="L4309" s="1" t="s">
        <v>1085</v>
      </c>
    </row>
    <row r="4310" customFormat="false" ht="17.15" hidden="false" customHeight="false" outlineLevel="0" collapsed="false">
      <c r="A4310" s="0" t="s">
        <v>1086</v>
      </c>
      <c r="B4310" s="0" t="s">
        <v>98</v>
      </c>
      <c r="C4310" s="6" t="n">
        <f aca="false">(Sens!K4302-Sens!K4169)*(1-tax_f)*(1+g_tv)*(1-g_tv/(wacc+ronic_prem))/(wacc-g_tv)/(1+wacc)^(Sens!K4281+mid_yr-(Sens!F4281+mid_yr))</f>
        <v>347.92824096886</v>
      </c>
    </row>
    <row r="4311" customFormat="false" ht="17.15" hidden="false" customHeight="false" outlineLevel="0" collapsed="false">
      <c r="A4311" s="1" t="s">
        <v>1087</v>
      </c>
      <c r="B4311" s="0" t="s">
        <v>98</v>
      </c>
      <c r="C4311" s="6" t="n">
        <f aca="false">(SUM(Sens!G4309:K4309)+Sens!$C$4310)*(1+wacc)^(t_roll-(Sens!F4281+mid_yr))</f>
        <v>241.994781244992</v>
      </c>
      <c r="L4311" s="11" t="s">
        <v>1088</v>
      </c>
    </row>
    <row r="4312" customFormat="false" ht="17.15" hidden="false" customHeight="false" outlineLevel="0" collapsed="false">
      <c r="A4312" s="1" t="s">
        <v>1089</v>
      </c>
      <c r="B4312" s="0" t="s">
        <v>98</v>
      </c>
      <c r="C4312" s="6" t="n">
        <f aca="false">(w_ntm28*Sens!G4158+(1-w_ntm28)*Sens!H4158)*m_ai</f>
        <v>554.355705484284</v>
      </c>
    </row>
    <row r="4313" customFormat="false" ht="17.15" hidden="false" customHeight="false" outlineLevel="0" collapsed="false">
      <c r="A4313" s="1" t="s">
        <v>1090</v>
      </c>
      <c r="B4313" s="0" t="s">
        <v>98</v>
      </c>
      <c r="C4313" s="6" t="n">
        <f aca="false">(w_ntm28*Sens!G4304+(1-w_ntm28)*Sens!H4304)*m_cloud</f>
        <v>1118.36613427009</v>
      </c>
    </row>
    <row r="4314" customFormat="false" ht="17.15" hidden="false" customHeight="false" outlineLevel="0" collapsed="false">
      <c r="A4314" s="1" t="s">
        <v>1091</v>
      </c>
      <c r="B4314" s="0" t="s">
        <v>98</v>
      </c>
      <c r="C4314" s="6" t="n">
        <f aca="false">(w_ntm28*Sens!G4297+(1-w_ntm28)*Sens!H4297)*m_sw</f>
        <v>1118.37671097976</v>
      </c>
    </row>
    <row r="4315" customFormat="false" ht="17.15" hidden="false" customHeight="false" outlineLevel="0" collapsed="false">
      <c r="A4315" s="1" t="s">
        <v>1092</v>
      </c>
      <c r="B4315" s="0" t="s">
        <v>98</v>
      </c>
      <c r="C4315" s="6" t="n">
        <f aca="false">(w_ntm28*Sens!G4298+(1-w_ntm28)*Sens!H4298)*m_sw</f>
        <v>377.323622916002</v>
      </c>
    </row>
    <row r="4316" customFormat="false" ht="17.15" hidden="false" customHeight="false" outlineLevel="0" collapsed="false">
      <c r="A4316" s="1" t="s">
        <v>1093</v>
      </c>
      <c r="B4316" s="0" t="s">
        <v>98</v>
      </c>
      <c r="C4316" s="6" t="n">
        <f aca="false">(w_ntm28*Sens!G4299+(1-w_ntm28)*Sens!H4299)*m_sw</f>
        <v>107.953106847712</v>
      </c>
    </row>
    <row r="4317" customFormat="false" ht="17.15" hidden="false" customHeight="false" outlineLevel="0" collapsed="false">
      <c r="A4317" s="1" t="s">
        <v>1094</v>
      </c>
      <c r="B4317" s="0" t="s">
        <v>98</v>
      </c>
      <c r="C4317" s="6" t="n">
        <f aca="false">(w_ntm28*Sens!G4300+(1-w_ntm28)*Sens!H4300)*m_sw</f>
        <v>41.1856836263808</v>
      </c>
    </row>
    <row r="4318" customFormat="false" ht="17.15" hidden="false" customHeight="false" outlineLevel="0" collapsed="false">
      <c r="A4318" s="1" t="s">
        <v>1095</v>
      </c>
      <c r="B4318" s="0" t="s">
        <v>98</v>
      </c>
      <c r="C4318" s="6" t="n">
        <f aca="false">(w_ntm28*Sens!G4301+(1-w_ntm28)*Sens!H4301)*m_ads</f>
        <v>113.797808121245</v>
      </c>
    </row>
    <row r="4319" customFormat="false" ht="17.15" hidden="false" customHeight="false" outlineLevel="0" collapsed="false">
      <c r="A4319" s="1" t="s">
        <v>1096</v>
      </c>
      <c r="B4319" s="0" t="s">
        <v>98</v>
      </c>
      <c r="C4319" s="6" t="n">
        <f aca="false">(w_ntm28*Sens!G4306+(1-w_ntm28)*Sens!H4306)*m_game</f>
        <v>96.6000107584195</v>
      </c>
    </row>
    <row r="4320" customFormat="false" ht="17.15" hidden="false" customHeight="false" outlineLevel="0" collapsed="false">
      <c r="A4320" s="1" t="s">
        <v>1097</v>
      </c>
      <c r="B4320" s="0" t="s">
        <v>98</v>
      </c>
      <c r="C4320" s="6" t="n">
        <f aca="false">(w_ntm28*Sens!G4307+(1-w_ntm28)*Sens!H4307)*m_pc</f>
        <v>95.7724098212117</v>
      </c>
    </row>
    <row r="4321" customFormat="false" ht="17.15" hidden="false" customHeight="false" outlineLevel="0" collapsed="false">
      <c r="A4321" s="1" t="s">
        <v>1098</v>
      </c>
      <c r="B4321" s="0" t="s">
        <v>98</v>
      </c>
      <c r="C4321" s="6" t="n">
        <f aca="false">Sens!$C$4311+Sens!$C$4313+Sens!$C$4314+Sens!$C$4315+Sens!$C$4316+Sens!$C$4317+Sens!$C$4318+Sens!$C$4319+Sens!$C$4320</f>
        <v>3311.37026858581</v>
      </c>
    </row>
    <row r="4322" customFormat="false" ht="17.15" hidden="false" customHeight="false" outlineLevel="0" collapsed="false">
      <c r="A4322" s="1" t="s">
        <v>1099</v>
      </c>
      <c r="B4322" s="0" t="s">
        <v>98</v>
      </c>
      <c r="C4322" s="6" t="n">
        <f aca="false">(Sens!G4283-Sens!G4308)*t_stub</f>
        <v>48.2201723123849</v>
      </c>
      <c r="L4322" s="1" t="s">
        <v>1100</v>
      </c>
    </row>
    <row r="4323" customFormat="false" ht="17.15" hidden="false" customHeight="false" outlineLevel="0" collapsed="false">
      <c r="A4323" s="1" t="s">
        <v>1014</v>
      </c>
      <c r="B4323" s="0" t="s">
        <v>98</v>
      </c>
      <c r="C4323" s="6" t="n">
        <f aca="false">Sens!F4272+oai_v-Sens!F4261+Sens!$C$4322</f>
        <v>164.694773208278</v>
      </c>
      <c r="L4323" s="1" t="s">
        <v>1101</v>
      </c>
    </row>
    <row r="4324" customFormat="false" ht="17.15" hidden="false" customHeight="false" outlineLevel="0" collapsed="false">
      <c r="A4324" s="1" t="s">
        <v>1102</v>
      </c>
      <c r="B4324" s="0" t="s">
        <v>75</v>
      </c>
      <c r="C4324" s="5" t="n">
        <f aca="false">(Sens!$C$4321+Sens!$C$4323)/(Sens!F4274+dil_gap)-Sens!G4264*roll_div_q/q_per_yr</f>
        <v>462.683157656629</v>
      </c>
      <c r="L4324" s="1" t="s">
        <v>1103</v>
      </c>
    </row>
    <row r="4325" customFormat="false" ht="17.15" hidden="false" customHeight="false" outlineLevel="0" collapsed="false">
      <c r="A4325" s="1" t="s">
        <v>1104</v>
      </c>
      <c r="B4325" s="0" t="s">
        <v>75</v>
      </c>
      <c r="C4325" s="5" t="n">
        <f aca="false">w_dcf*Sens!$C$4295+(1-w_dcf)*Sens!$C$4324</f>
        <v>405.484915092525</v>
      </c>
    </row>
    <row r="4326" customFormat="false" ht="17.15" hidden="false" customHeight="false" outlineLevel="0" collapsed="false">
      <c r="A4326" s="3" t="s">
        <v>1372</v>
      </c>
    </row>
    <row r="4327" customFormat="false" ht="15" hidden="false" customHeight="false" outlineLevel="0" collapsed="false">
      <c r="A4327" s="4" t="s">
        <v>43</v>
      </c>
      <c r="B4327" s="4" t="s">
        <v>65</v>
      </c>
      <c r="C4327" s="20" t="s">
        <v>799</v>
      </c>
      <c r="D4327" s="20" t="s">
        <v>800</v>
      </c>
      <c r="E4327" s="20" t="s">
        <v>801</v>
      </c>
      <c r="F4327" s="20" t="s">
        <v>802</v>
      </c>
      <c r="G4327" s="20" t="s">
        <v>803</v>
      </c>
      <c r="H4327" s="20" t="s">
        <v>804</v>
      </c>
      <c r="I4327" s="20" t="s">
        <v>805</v>
      </c>
      <c r="J4327" s="20" t="s">
        <v>806</v>
      </c>
      <c r="K4327" s="20" t="s">
        <v>807</v>
      </c>
      <c r="L4327" s="4" t="s">
        <v>47</v>
      </c>
    </row>
    <row r="4328" customFormat="false" ht="17.15" hidden="false" customHeight="false" outlineLevel="0" collapsed="false">
      <c r="A4328" s="1" t="s">
        <v>808</v>
      </c>
      <c r="B4328" s="1" t="s">
        <v>235</v>
      </c>
      <c r="C4328" s="28" t="n">
        <v>2024</v>
      </c>
      <c r="D4328" s="28" t="n">
        <v>2025</v>
      </c>
      <c r="E4328" s="28" t="n">
        <v>2026</v>
      </c>
      <c r="F4328" s="28" t="n">
        <v>2027</v>
      </c>
      <c r="G4328" s="28" t="n">
        <v>2028</v>
      </c>
      <c r="H4328" s="28" t="n">
        <v>2029</v>
      </c>
      <c r="I4328" s="28" t="n">
        <v>2030</v>
      </c>
      <c r="J4328" s="28" t="n">
        <v>2031</v>
      </c>
      <c r="K4328" s="28" t="n">
        <v>2032</v>
      </c>
    </row>
    <row r="4329" customFormat="false" ht="17.15" hidden="false" customHeight="false" outlineLevel="0" collapsed="false">
      <c r="A4329" s="1" t="s">
        <v>809</v>
      </c>
      <c r="B4329" s="0" t="s">
        <v>399</v>
      </c>
      <c r="F4329" s="29" t="n">
        <f aca="false">pace</f>
        <v>2527.2</v>
      </c>
      <c r="G4329" s="29" t="n">
        <f aca="false">pace</f>
        <v>2527.2</v>
      </c>
      <c r="H4329" s="29" t="n">
        <f aca="false">pace</f>
        <v>2527.2</v>
      </c>
      <c r="I4329" s="29" t="n">
        <f aca="false">pace+(g_tv*Sens!H4330-pace)*MIN(1,(Sens!I4328-pace_y0)/(pace_y1-pace_y0))</f>
        <v>1793.116</v>
      </c>
      <c r="J4329" s="29" t="n">
        <f aca="false">pace+(g_tv*Sens!I4330-pace)*MIN(1,(Sens!J4328-pace_y0)/(pace_y1-pace_y0))</f>
        <v>1094.89432</v>
      </c>
      <c r="K4329" s="29" t="n">
        <f aca="false">pace+(g_tv*Sens!J4330-pace)*MIN(1,(Sens!K4328-pace_y0)/(pace_y1-pace_y0))</f>
        <v>411.5883096</v>
      </c>
      <c r="L4329" s="11" t="s">
        <v>810</v>
      </c>
    </row>
    <row r="4330" customFormat="false" ht="17.15" hidden="false" customHeight="false" outlineLevel="0" collapsed="false">
      <c r="A4330" s="1" t="s">
        <v>811</v>
      </c>
      <c r="B4330" s="0" t="s">
        <v>399</v>
      </c>
      <c r="C4330" s="29" t="n">
        <f aca="false">mw_ext_24</f>
        <v>640</v>
      </c>
      <c r="D4330" s="29" t="n">
        <f aca="false">mw_ext_25</f>
        <v>1630</v>
      </c>
      <c r="E4330" s="29" t="n">
        <f aca="false">mw_ext_26</f>
        <v>3250</v>
      </c>
      <c r="F4330" s="29" t="n">
        <f aca="false">Sens!E4330+Sens!F4329</f>
        <v>5777.2</v>
      </c>
      <c r="G4330" s="29" t="n">
        <f aca="false">Sens!F4330+Sens!G4329</f>
        <v>8304.4</v>
      </c>
      <c r="H4330" s="29" t="n">
        <f aca="false">Sens!G4330+Sens!H4329</f>
        <v>10831.6</v>
      </c>
      <c r="I4330" s="29" t="n">
        <f aca="false">Sens!H4330+Sens!I4329</f>
        <v>12624.716</v>
      </c>
      <c r="J4330" s="29" t="n">
        <f aca="false">Sens!I4330+Sens!J4329</f>
        <v>13719.61032</v>
      </c>
      <c r="K4330" s="29" t="n">
        <f aca="false">Sens!J4330+Sens!K4329</f>
        <v>14131.1986296</v>
      </c>
      <c r="L4330" s="1" t="s">
        <v>812</v>
      </c>
    </row>
    <row r="4331" customFormat="false" ht="17.15" hidden="false" customHeight="false" outlineLevel="0" collapsed="false">
      <c r="A4331" s="1" t="s">
        <v>813</v>
      </c>
      <c r="B4331" s="0" t="s">
        <v>399</v>
      </c>
      <c r="C4331" s="29" t="n">
        <f aca="false">rent_ext_24</f>
        <v>150</v>
      </c>
      <c r="D4331" s="29" t="n">
        <f aca="false">rent_ext_25</f>
        <v>400</v>
      </c>
      <c r="E4331" s="29" t="n">
        <f aca="false">rent_ext_26</f>
        <v>550</v>
      </c>
      <c r="F4331" s="29" t="n">
        <f aca="false">rent_ext_f</f>
        <v>756</v>
      </c>
      <c r="G4331" s="29" t="n">
        <f aca="false">rent_ext_f</f>
        <v>756</v>
      </c>
      <c r="H4331" s="29" t="n">
        <f aca="false">rent_ext_f</f>
        <v>756</v>
      </c>
      <c r="I4331" s="29" t="n">
        <f aca="false">rent_ext_f</f>
        <v>756</v>
      </c>
      <c r="J4331" s="29" t="n">
        <f aca="false">rent_ext_f</f>
        <v>756</v>
      </c>
      <c r="K4331" s="29" t="n">
        <f aca="false">rent_ext_f</f>
        <v>756</v>
      </c>
      <c r="L4331" s="1" t="s">
        <v>814</v>
      </c>
    </row>
    <row r="4332" customFormat="false" ht="17.15" hidden="false" customHeight="false" outlineLevel="0" collapsed="false">
      <c r="A4332" s="1" t="s">
        <v>815</v>
      </c>
      <c r="B4332" s="0" t="s">
        <v>399</v>
      </c>
      <c r="C4332" s="29" t="n">
        <f aca="false">Sens!C4330-Sens!C4331</f>
        <v>490</v>
      </c>
      <c r="D4332" s="29" t="n">
        <f aca="false">Sens!D4330-Sens!D4331</f>
        <v>1230</v>
      </c>
      <c r="E4332" s="29" t="n">
        <f aca="false">Sens!E4330-Sens!E4331</f>
        <v>2700</v>
      </c>
      <c r="F4332" s="29" t="n">
        <f aca="false">Sens!F4330-Sens!F4331</f>
        <v>5021.2</v>
      </c>
      <c r="G4332" s="29" t="n">
        <f aca="false">Sens!G4330-Sens!G4331</f>
        <v>7548.4</v>
      </c>
      <c r="H4332" s="29" t="n">
        <f aca="false">Sens!H4330-Sens!H4331</f>
        <v>10075.6</v>
      </c>
      <c r="I4332" s="29" t="n">
        <f aca="false">Sens!I4330-Sens!I4331</f>
        <v>11868.716</v>
      </c>
      <c r="J4332" s="29" t="n">
        <f aca="false">Sens!J4330-Sens!J4331</f>
        <v>12963.61032</v>
      </c>
      <c r="K4332" s="29" t="n">
        <f aca="false">Sens!K4330-Sens!K4331</f>
        <v>13375.1986296</v>
      </c>
    </row>
    <row r="4333" customFormat="false" ht="17.15" hidden="false" customHeight="false" outlineLevel="0" collapsed="false">
      <c r="A4333" s="1" t="s">
        <v>816</v>
      </c>
      <c r="B4333" s="0" t="s">
        <v>399</v>
      </c>
      <c r="C4333" s="29" t="n">
        <f aca="false">Sens!C4332/ext_sh</f>
        <v>816.666666666667</v>
      </c>
      <c r="D4333" s="29" t="n">
        <f aca="false">Sens!D4332/ext_sh</f>
        <v>2050</v>
      </c>
      <c r="E4333" s="29" t="n">
        <f aca="false">Sens!E4332/ext_sh</f>
        <v>4500</v>
      </c>
      <c r="F4333" s="29" t="n">
        <f aca="false">Sens!F4332/ext_sh</f>
        <v>8368.66666666667</v>
      </c>
      <c r="G4333" s="29" t="n">
        <f aca="false">Sens!G4332/ext_sh</f>
        <v>12580.6666666667</v>
      </c>
      <c r="H4333" s="29" t="n">
        <f aca="false">Sens!H4332/ext_sh</f>
        <v>16792.6666666667</v>
      </c>
      <c r="I4333" s="29" t="n">
        <f aca="false">Sens!I4332/ext_sh</f>
        <v>19781.1933333333</v>
      </c>
      <c r="J4333" s="29" t="n">
        <f aca="false">Sens!J4332/ext_sh</f>
        <v>21606.0172</v>
      </c>
      <c r="K4333" s="29" t="n">
        <f aca="false">Sens!K4332/ext_sh</f>
        <v>22291.997716</v>
      </c>
      <c r="L4333" s="1" t="s">
        <v>817</v>
      </c>
    </row>
    <row r="4334" customFormat="false" ht="17.15" hidden="false" customHeight="false" outlineLevel="0" collapsed="false">
      <c r="A4334" s="1" t="s">
        <v>818</v>
      </c>
      <c r="B4334" s="0" t="s">
        <v>399</v>
      </c>
      <c r="C4334" s="29" t="n">
        <f aca="false">Sens!C4333-Sens!C4332</f>
        <v>326.666666666667</v>
      </c>
      <c r="D4334" s="29" t="n">
        <f aca="false">Sens!D4333-Sens!D4332</f>
        <v>820</v>
      </c>
      <c r="E4334" s="29" t="n">
        <f aca="false">Sens!E4333-Sens!E4332</f>
        <v>1800</v>
      </c>
      <c r="F4334" s="29" t="n">
        <f aca="false">Sens!F4333-Sens!F4332</f>
        <v>3347.46666666667</v>
      </c>
      <c r="G4334" s="29" t="n">
        <f aca="false">Sens!G4333-Sens!G4332</f>
        <v>5032.26666666667</v>
      </c>
      <c r="H4334" s="29" t="n">
        <f aca="false">Sens!H4333-Sens!H4332</f>
        <v>6717.06666666667</v>
      </c>
      <c r="I4334" s="29" t="n">
        <f aca="false">Sens!I4333-Sens!I4332</f>
        <v>7912.47733333333</v>
      </c>
      <c r="J4334" s="29" t="n">
        <f aca="false">Sens!J4333-Sens!J4332</f>
        <v>8642.40688</v>
      </c>
      <c r="K4334" s="29" t="n">
        <f aca="false">Sens!K4333-Sens!K4332</f>
        <v>8916.7990864</v>
      </c>
    </row>
    <row r="4335" customFormat="false" ht="17.15" hidden="false" customHeight="false" outlineLevel="0" collapsed="false">
      <c r="A4335" s="1" t="s">
        <v>819</v>
      </c>
      <c r="B4335" s="0" t="s">
        <v>399</v>
      </c>
      <c r="C4335" s="29" t="n">
        <f aca="false">Sens!C4333</f>
        <v>816.666666666667</v>
      </c>
      <c r="D4335" s="29" t="n">
        <f aca="false">Sens!D4333-Sens!C4333</f>
        <v>1233.33333333333</v>
      </c>
      <c r="E4335" s="29" t="n">
        <f aca="false">Sens!E4333-Sens!D4333</f>
        <v>2450</v>
      </c>
      <c r="F4335" s="29" t="n">
        <f aca="false">Sens!F4333-Sens!E4333</f>
        <v>3868.66666666667</v>
      </c>
      <c r="G4335" s="29" t="n">
        <f aca="false">Sens!G4333-Sens!F4333</f>
        <v>4212</v>
      </c>
      <c r="H4335" s="29" t="n">
        <f aca="false">Sens!H4333-Sens!G4333</f>
        <v>4212</v>
      </c>
      <c r="I4335" s="29" t="n">
        <f aca="false">Sens!I4333-Sens!H4333</f>
        <v>2988.52666666667</v>
      </c>
      <c r="J4335" s="29" t="n">
        <f aca="false">Sens!J4333-Sens!I4333</f>
        <v>1824.82386666667</v>
      </c>
      <c r="K4335" s="29" t="n">
        <f aca="false">Sens!K4333-Sens!J4333</f>
        <v>685.980516</v>
      </c>
    </row>
    <row r="4336" customFormat="false" ht="17.15" hidden="false" customHeight="false" outlineLevel="0" collapsed="false">
      <c r="A4336" s="1" t="s">
        <v>820</v>
      </c>
      <c r="B4336" s="0" t="s">
        <v>399</v>
      </c>
      <c r="D4336" s="29" t="n">
        <f aca="false">Sens!D4330-Sens!C4330</f>
        <v>990</v>
      </c>
      <c r="E4336" s="29" t="n">
        <f aca="false">Sens!E4330-Sens!D4330</f>
        <v>1620</v>
      </c>
      <c r="F4336" s="29" t="n">
        <f aca="false">Sens!F4330-Sens!E4330</f>
        <v>2527.2</v>
      </c>
      <c r="G4336" s="29" t="n">
        <f aca="false">Sens!G4330-Sens!F4330</f>
        <v>2527.2</v>
      </c>
      <c r="H4336" s="29" t="n">
        <f aca="false">Sens!H4330-Sens!G4330</f>
        <v>2527.2</v>
      </c>
      <c r="I4336" s="29" t="n">
        <f aca="false">Sens!I4330-Sens!H4330</f>
        <v>1793.116</v>
      </c>
      <c r="J4336" s="29" t="n">
        <f aca="false">Sens!J4330-Sens!I4330</f>
        <v>1094.89432</v>
      </c>
      <c r="K4336" s="29" t="n">
        <f aca="false">Sens!K4330-Sens!J4330</f>
        <v>411.5883096</v>
      </c>
    </row>
    <row r="4337" customFormat="false" ht="17.15" hidden="false" customHeight="false" outlineLevel="0" collapsed="false">
      <c r="A4337" s="1" t="s">
        <v>821</v>
      </c>
      <c r="B4337" s="0" t="s">
        <v>399</v>
      </c>
      <c r="F4337" s="29" t="n">
        <f aca="false">Sens!F4354*ext_sh</f>
        <v>0</v>
      </c>
      <c r="G4337" s="29" t="n">
        <f aca="false">Sens!G4354*ext_sh</f>
        <v>0</v>
      </c>
      <c r="H4337" s="29" t="n">
        <f aca="false">Sens!H4354*ext_sh</f>
        <v>490</v>
      </c>
      <c r="I4337" s="29" t="n">
        <f aca="false">Sens!I4354*ext_sh</f>
        <v>740</v>
      </c>
      <c r="J4337" s="29" t="n">
        <f aca="false">Sens!J4354*ext_sh</f>
        <v>1470</v>
      </c>
      <c r="K4337" s="29" t="n">
        <f aca="false">Sens!K4354*ext_sh</f>
        <v>2321.2</v>
      </c>
      <c r="L4337" s="1" t="s">
        <v>822</v>
      </c>
    </row>
    <row r="4338" customFormat="false" ht="17.15" hidden="false" customHeight="false" outlineLevel="0" collapsed="false">
      <c r="A4338" s="1" t="s">
        <v>823</v>
      </c>
      <c r="B4338" s="0" t="s">
        <v>399</v>
      </c>
      <c r="C4338" s="29" t="n">
        <f aca="false">mix_h*Sens!C4330</f>
        <v>128</v>
      </c>
      <c r="D4338" s="29" t="n">
        <f aca="false">mix_h*Sens!D4330</f>
        <v>326</v>
      </c>
      <c r="E4338" s="29" t="n">
        <f aca="false">mix_h*Sens!E4330</f>
        <v>650</v>
      </c>
      <c r="F4338" s="29" t="n">
        <f aca="false">Sens!E4338-Sens!F4337*mix_h</f>
        <v>650</v>
      </c>
      <c r="G4338" s="29" t="n">
        <f aca="false">Sens!F4338-Sens!G4337*mix_h</f>
        <v>650</v>
      </c>
      <c r="H4338" s="29" t="n">
        <f aca="false">Sens!G4338-Sens!H4337*mix_h</f>
        <v>552</v>
      </c>
      <c r="I4338" s="29" t="n">
        <f aca="false">Sens!H4338-Sens!I4337*mix_h</f>
        <v>404</v>
      </c>
      <c r="J4338" s="29" t="n">
        <f aca="false">Sens!I4338-Sens!J4337*mix_h</f>
        <v>110</v>
      </c>
      <c r="K4338" s="29" t="n">
        <f aca="false">Sens!J4338-Sens!K4337*mix_h</f>
        <v>-354.24</v>
      </c>
    </row>
    <row r="4339" customFormat="false" ht="17.15" hidden="false" customHeight="false" outlineLevel="0" collapsed="false">
      <c r="A4339" s="1" t="s">
        <v>824</v>
      </c>
      <c r="B4339" s="0" t="s">
        <v>399</v>
      </c>
      <c r="C4339" s="29" t="n">
        <f aca="false">mix_g2*Sens!C4330</f>
        <v>288</v>
      </c>
      <c r="D4339" s="29" t="n">
        <f aca="false">mix_g2*Sens!D4330</f>
        <v>733.5</v>
      </c>
      <c r="E4339" s="29" t="n">
        <f aca="false">mix_g2*Sens!E4330</f>
        <v>1462.5</v>
      </c>
      <c r="F4339" s="29" t="n">
        <f aca="false">Sens!E4339-Sens!F4337*mix_g2</f>
        <v>1462.5</v>
      </c>
      <c r="G4339" s="29" t="n">
        <f aca="false">Sens!F4339-Sens!G4337*mix_g2</f>
        <v>1462.5</v>
      </c>
      <c r="H4339" s="29" t="n">
        <f aca="false">Sens!G4339-Sens!H4337*mix_g2</f>
        <v>1242</v>
      </c>
      <c r="I4339" s="29" t="n">
        <f aca="false">Sens!H4339-Sens!I4337*mix_g2</f>
        <v>909</v>
      </c>
      <c r="J4339" s="29" t="n">
        <f aca="false">Sens!I4339-Sens!J4337*mix_g2</f>
        <v>247.5</v>
      </c>
      <c r="K4339" s="29" t="n">
        <f aca="false">Sens!J4339-Sens!K4337*mix_g2</f>
        <v>-797.04</v>
      </c>
    </row>
    <row r="4340" customFormat="false" ht="17.15" hidden="false" customHeight="false" outlineLevel="0" collapsed="false">
      <c r="A4340" s="1" t="s">
        <v>825</v>
      </c>
      <c r="B4340" s="0" t="s">
        <v>399</v>
      </c>
      <c r="C4340" s="29" t="n">
        <f aca="false">mix_g3*Sens!C4330</f>
        <v>224</v>
      </c>
      <c r="D4340" s="29" t="n">
        <f aca="false">mix_g3*Sens!D4330</f>
        <v>570.5</v>
      </c>
      <c r="E4340" s="29" t="n">
        <f aca="false">mix_g3*Sens!E4330</f>
        <v>1137.5</v>
      </c>
      <c r="F4340" s="29" t="n">
        <f aca="false">Sens!E4340+(Sens!F4336+Sens!F4337)*a_g3_27-Sens!F4337*mix_g3</f>
        <v>2906.54</v>
      </c>
      <c r="G4340" s="29" t="n">
        <f aca="false">Sens!F4340+(Sens!G4336+Sens!G4337)*a_g3_28-Sens!G4337*mix_g3</f>
        <v>3664.7</v>
      </c>
      <c r="H4340" s="29" t="n">
        <f aca="false">Sens!G4340+(Sens!H4336+Sens!H4337)*a_g3_29-Sens!H4337*mix_g3</f>
        <v>3794.92</v>
      </c>
      <c r="I4340" s="29" t="n">
        <f aca="false">Sens!H4340+(Sens!I4336+Sens!I4337)*a_g3_29-Sens!I4337*mix_g3</f>
        <v>3789.2316</v>
      </c>
      <c r="J4340" s="29" t="n">
        <f aca="false">Sens!I4340+(Sens!J4336+Sens!J4337)*a_g3_29-Sens!J4337*mix_g3</f>
        <v>3531.221032</v>
      </c>
      <c r="K4340" s="29" t="n">
        <f aca="false">Sens!J4340+(Sens!K4336+Sens!K4337)*a_g3_29-Sens!K4337*mix_g3</f>
        <v>2992.07986296</v>
      </c>
    </row>
    <row r="4341" customFormat="false" ht="17.15" hidden="false" customHeight="false" outlineLevel="0" collapsed="false">
      <c r="A4341" s="1" t="s">
        <v>826</v>
      </c>
      <c r="B4341" s="0" t="s">
        <v>399</v>
      </c>
      <c r="C4341" s="29" t="n">
        <v>0</v>
      </c>
      <c r="D4341" s="29" t="n">
        <v>0</v>
      </c>
      <c r="E4341" s="29" t="n">
        <v>0</v>
      </c>
      <c r="F4341" s="29" t="n">
        <f aca="false">Sens!E4341+(Sens!F4336+Sens!F4337)*(1-a_g3_27)</f>
        <v>758.16</v>
      </c>
      <c r="G4341" s="29" t="n">
        <f aca="false">Sens!F4341+(Sens!G4336+Sens!G4337)*(1-a_g3_28)</f>
        <v>2527.2</v>
      </c>
      <c r="H4341" s="29" t="n">
        <f aca="false">Sens!G4341+(Sens!H4336+Sens!H4337)*(1-a_g3_29)</f>
        <v>5242.68</v>
      </c>
      <c r="I4341" s="29" t="n">
        <f aca="false">Sens!H4341+(Sens!I4336+Sens!I4337)*(1-a_g3_29)</f>
        <v>7522.4844</v>
      </c>
      <c r="J4341" s="29" t="n">
        <f aca="false">Sens!I4341+(Sens!J4336+Sens!J4337)*(1-a_g3_29)</f>
        <v>9830.889288</v>
      </c>
      <c r="K4341" s="29" t="n">
        <f aca="false">Sens!J4341+(Sens!K4336+Sens!K4337)*(1-a_g3_29)</f>
        <v>12290.39876664</v>
      </c>
    </row>
    <row r="4342" customFormat="false" ht="17.15" hidden="false" customHeight="false" outlineLevel="0" collapsed="false">
      <c r="A4342" s="1" t="s">
        <v>827</v>
      </c>
      <c r="B4342" s="0" t="s">
        <v>346</v>
      </c>
      <c r="C4342" s="14" t="n">
        <f aca="false">(Sens!C4338*tk_hold_h100+Sens!C4339*tk_hold_gb200+Sens!C4340*tk_hold_gb300+Sens!C4341*tk_hold_vr200)/Sens!C4330</f>
        <v>9.7235358126469</v>
      </c>
      <c r="D4342" s="14" t="n">
        <f aca="false">(Sens!D4338*tk_hold_h100+Sens!D4339*tk_hold_gb200+Sens!D4340*tk_hold_gb300+Sens!D4341*tk_hold_vr200)/Sens!D4330</f>
        <v>9.7235358126469</v>
      </c>
      <c r="E4342" s="14" t="n">
        <f aca="false">(Sens!E4338*tk_hold_h100+Sens!E4339*tk_hold_gb200+Sens!E4340*tk_hold_gb300+Sens!E4341*tk_hold_vr200)/Sens!E4330</f>
        <v>9.7235358126469</v>
      </c>
      <c r="F4342" s="14" t="n">
        <f aca="false">(Sens!F4338*tk_hold_h100+Sens!F4339*tk_hold_gb200+Sens!F4340*tk_hold_gb300+Sens!F4341*tk_hold_vr200)/Sens!F4330</f>
        <v>10.4079573161931</v>
      </c>
      <c r="G4342" s="14" t="n">
        <f aca="false">(Sens!G4338*tk_hold_h100+Sens!G4339*tk_hold_gb200+Sens!G4340*tk_hold_gb300+Sens!G4341*tk_hold_vr200)/Sens!G4330</f>
        <v>10.8388131109316</v>
      </c>
      <c r="H4342" s="14" t="n">
        <f aca="false">(Sens!H4338*tk_hold_h100+Sens!H4339*tk_hold_gb200+Sens!H4340*tk_hold_gb300+Sens!H4341*tk_hold_vr200)/Sens!H4330</f>
        <v>11.2382267607101</v>
      </c>
      <c r="I4342" s="14" t="n">
        <f aca="false">(Sens!I4338*tk_hold_h100+Sens!I4339*tk_hold_gb200+Sens!I4340*tk_hold_gb300+Sens!I4341*tk_hold_vr200)/Sens!I4330</f>
        <v>11.4982307132671</v>
      </c>
      <c r="J4342" s="14" t="n">
        <f aca="false">(Sens!J4338*tk_hold_h100+Sens!J4339*tk_hold_gb200+Sens!J4340*tk_hold_gb300+Sens!J4341*tk_hold_vr200)/Sens!J4330</f>
        <v>11.7993064115262</v>
      </c>
      <c r="K4342" s="14" t="n">
        <f aca="false">(Sens!K4338*tk_hold_h100+Sens!K4339*tk_hold_gb200+Sens!K4340*tk_hold_gb300+Sens!K4341*tk_hold_vr200)/Sens!K4330</f>
        <v>12.1967928333904</v>
      </c>
    </row>
    <row r="4343" customFormat="false" ht="17.15" hidden="false" customHeight="false" outlineLevel="0" collapsed="false">
      <c r="A4343" s="0" t="s">
        <v>828</v>
      </c>
      <c r="B4343" s="0" t="s">
        <v>185</v>
      </c>
      <c r="C4343" s="14" t="n">
        <f aca="false">k_B</f>
        <v>1.17213932619116</v>
      </c>
      <c r="D4343" s="14" t="n">
        <f aca="false">k_B</f>
        <v>1.17213932619116</v>
      </c>
      <c r="E4343" s="14" t="n">
        <f aca="false">k_B</f>
        <v>1.17213932619116</v>
      </c>
      <c r="F4343" s="14" t="n">
        <f aca="false">(k_B+((ls_B*k_long+(1-ls_B)*k_spot)-k_B)*MIN(1,(Sens!F4328-base_fy)/k_ramp))</f>
        <v>1.17213932619116</v>
      </c>
      <c r="G4343" s="14" t="n">
        <f aca="false">(k_B+((ls_B*k_long+(1-ls_B)*k_spot)-k_B)*MIN(1,(Sens!G4328-base_fy)/k_ramp))</f>
        <v>1.17213932619116</v>
      </c>
      <c r="H4343" s="14" t="n">
        <f aca="false">(k_B+((ls_B*k_long+(1-ls_B)*k_spot)-k_B)*MIN(1,(Sens!H4328-base_fy)/k_ramp))</f>
        <v>1.17213932619116</v>
      </c>
      <c r="I4343" s="14" t="n">
        <f aca="false">(k_B+((ls_B*k_long+(1-ls_B)*k_spot)-k_B)*MIN(1,(Sens!I4328-base_fy)/k_ramp))</f>
        <v>1.17213932619116</v>
      </c>
      <c r="J4343" s="14" t="n">
        <f aca="false">(k_B+((ls_B*k_long+(1-ls_B)*k_spot)-k_B)*MIN(1,(Sens!J4328-base_fy)/k_ramp))</f>
        <v>1.17213932619116</v>
      </c>
      <c r="K4343" s="14" t="n">
        <f aca="false">(k_B+((ls_B*k_long+(1-ls_B)*k_spot)-k_B)*MIN(1,(Sens!K4328-base_fy)/k_ramp))</f>
        <v>1.17213932619116</v>
      </c>
      <c r="L4343" s="1" t="s">
        <v>829</v>
      </c>
    </row>
    <row r="4344" customFormat="false" ht="17.15" hidden="false" customHeight="false" outlineLevel="0" collapsed="false">
      <c r="A4344" s="1" t="s">
        <v>830</v>
      </c>
      <c r="B4344" s="0" t="s">
        <v>346</v>
      </c>
      <c r="C4344" s="14" t="n">
        <f aca="false">Sens!C4342*Sens!C4343*chip_f</f>
        <v>11.3973387156315</v>
      </c>
      <c r="D4344" s="14" t="n">
        <f aca="false">Sens!D4342*Sens!D4343*chip_f</f>
        <v>11.3973387156315</v>
      </c>
      <c r="E4344" s="14" t="n">
        <f aca="false">Sens!E4342*Sens!E4343*chip_f</f>
        <v>11.3973387156315</v>
      </c>
      <c r="F4344" s="14" t="n">
        <f aca="false">Sens!F4342*Sens!F4343*chip_f</f>
        <v>12.1995760756289</v>
      </c>
      <c r="G4344" s="14" t="n">
        <f aca="false">Sens!G4342*Sens!G4343*chip_f</f>
        <v>12.7045990965592</v>
      </c>
      <c r="H4344" s="14" t="n">
        <f aca="false">Sens!H4342*Sens!H4343*chip_f</f>
        <v>13.1727675428822</v>
      </c>
      <c r="I4344" s="14" t="n">
        <f aca="false">Sens!I4342*Sens!I4343*chip_f</f>
        <v>13.4775284006393</v>
      </c>
      <c r="J4344" s="14" t="n">
        <f aca="false">Sens!J4342*Sens!J4343*chip_f</f>
        <v>13.8304310667293</v>
      </c>
      <c r="K4344" s="14" t="n">
        <f aca="false">Sens!K4342*Sens!K4343*chip_f</f>
        <v>14.2963405334233</v>
      </c>
      <c r="L4344" s="1" t="s">
        <v>831</v>
      </c>
    </row>
    <row r="4345" customFormat="false" ht="17.15" hidden="false" customHeight="false" outlineLevel="0" collapsed="false">
      <c r="A4345" s="0" t="s">
        <v>832</v>
      </c>
      <c r="B4345" s="0" t="s">
        <v>98</v>
      </c>
      <c r="D4345" s="6" t="n">
        <f aca="false">(Sens!C4330+Sens!D4330)/2*Sens!D4344/1000</f>
        <v>12.9359794422418</v>
      </c>
      <c r="E4345" s="6" t="n">
        <f aca="false">(Sens!D4330+Sens!E4330)/2*Sens!E4344/1000</f>
        <v>27.8095064661409</v>
      </c>
      <c r="F4345" s="6" t="n">
        <f aca="false">(Sens!E4330+Sens!F4330)/2*Sens!F4344/1000</f>
        <v>55.0640065749585</v>
      </c>
      <c r="G4345" s="6" t="n">
        <f aca="false">(Sens!F4330+Sens!G4330)/2*Sens!G4344/1000</f>
        <v>89.4505413190538</v>
      </c>
      <c r="H4345" s="6" t="n">
        <f aca="false">(Sens!G4330+Sens!H4330)/2*Sens!H4344/1000</f>
        <v>126.037039850297</v>
      </c>
      <c r="I4345" s="6" t="n">
        <f aca="false">(Sens!H4330+Sens!I4330)/2*Sens!I4344/1000</f>
        <v>158.066582532185</v>
      </c>
      <c r="J4345" s="6" t="n">
        <f aca="false">(Sens!I4330+Sens!J4330)/2*Sens!J4344/1000</f>
        <v>182.176694584092</v>
      </c>
      <c r="K4345" s="6" t="n">
        <f aca="false">(Sens!J4330+Sens!K4330)/2*Sens!K4344/1000</f>
        <v>199.082324437398</v>
      </c>
      <c r="L4345" s="11" t="s">
        <v>833</v>
      </c>
    </row>
    <row r="4346" customFormat="false" ht="17.15" hidden="false" customHeight="false" outlineLevel="0" collapsed="false">
      <c r="A4346" s="1" t="s">
        <v>834</v>
      </c>
      <c r="B4346" s="0" t="s">
        <v>346</v>
      </c>
      <c r="C4346" s="14" t="n">
        <f aca="false">(Sens!C4338*tk_opex_h100+Sens!C4339*tk_opex_gb200+Sens!C4340*tk_opex_gb300+Sens!C4341*tk_opex_vr200)/Sens!C4330</f>
        <v>1.88636041306092</v>
      </c>
      <c r="D4346" s="14" t="n">
        <f aca="false">(Sens!D4338*tk_opex_h100+Sens!D4339*tk_opex_gb200+Sens!D4340*tk_opex_gb300+Sens!D4341*tk_opex_vr200)/Sens!D4330</f>
        <v>1.88636041306092</v>
      </c>
      <c r="E4346" s="14" t="n">
        <f aca="false">(Sens!E4338*tk_opex_h100+Sens!E4339*tk_opex_gb200+Sens!E4340*tk_opex_gb300+Sens!E4341*tk_opex_vr200)/Sens!E4330</f>
        <v>1.88636041306092</v>
      </c>
      <c r="F4346" s="14" t="n">
        <f aca="false">(Sens!F4338*tk_opex_h100+Sens!F4339*tk_opex_gb200+Sens!F4340*tk_opex_gb300+Sens!F4341*tk_opex_vr200)/Sens!F4330</f>
        <v>1.9430236476499</v>
      </c>
      <c r="G4346" s="14" t="n">
        <f aca="false">(Sens!G4338*tk_opex_h100+Sens!G4339*tk_opex_gb200+Sens!G4340*tk_opex_gb300+Sens!G4341*tk_opex_vr200)/Sens!G4330</f>
        <v>1.9786941852423</v>
      </c>
      <c r="H4346" s="14" t="n">
        <f aca="false">(Sens!H4338*tk_opex_h100+Sens!H4339*tk_opex_gb200+Sens!H4340*tk_opex_gb300+Sens!H4341*tk_opex_vr200)/Sens!H4330</f>
        <v>2.01176162864988</v>
      </c>
      <c r="I4346" s="14" t="n">
        <f aca="false">(Sens!I4338*tk_opex_h100+Sens!I4339*tk_opex_gb200+Sens!I4340*tk_opex_gb300+Sens!I4341*tk_opex_vr200)/Sens!I4330</f>
        <v>2.03328734764244</v>
      </c>
      <c r="J4346" s="14" t="n">
        <f aca="false">(Sens!J4338*tk_opex_h100+Sens!J4339*tk_opex_gb200+Sens!J4340*tk_opex_gb300+Sens!J4341*tk_opex_vr200)/Sens!J4330</f>
        <v>2.0582133951601</v>
      </c>
      <c r="K4346" s="14" t="n">
        <f aca="false">(Sens!K4338*tk_opex_h100+Sens!K4339*tk_opex_gb200+Sens!K4340*tk_opex_gb300+Sens!K4341*tk_opex_vr200)/Sens!K4330</f>
        <v>2.09112128342972</v>
      </c>
    </row>
    <row r="4347" customFormat="false" ht="17.15" hidden="false" customHeight="false" outlineLevel="0" collapsed="false">
      <c r="A4347" s="0" t="s">
        <v>835</v>
      </c>
      <c r="B4347" s="0" t="s">
        <v>98</v>
      </c>
      <c r="D4347" s="6" t="n">
        <f aca="false">(Sens!C4333+Sens!D4333)/2*Sens!D4346/1000</f>
        <v>2.70378325872065</v>
      </c>
      <c r="E4347" s="6" t="n">
        <f aca="false">(Sens!D4333+Sens!E4333)/2*Sens!E4346/1000</f>
        <v>6.17783035277451</v>
      </c>
      <c r="F4347" s="6" t="n">
        <f aca="false">(Sens!E4333+Sens!F4333)/2*Sens!F4346/1000</f>
        <v>12.5020618235287</v>
      </c>
      <c r="G4347" s="6" t="n">
        <f aca="false">(Sens!F4333+Sens!G4333)/2*Sens!G4346/1000</f>
        <v>20.7261620256847</v>
      </c>
      <c r="H4347" s="6" t="n">
        <f aca="false">(Sens!G4333+Sens!H4333)/2*Sens!H4346/1000</f>
        <v>29.5460724527713</v>
      </c>
      <c r="I4347" s="6" t="n">
        <f aca="false">(Sens!H4333+Sens!I4333)/2*Sens!I4346/1000</f>
        <v>37.182583396223</v>
      </c>
      <c r="J4347" s="6" t="n">
        <f aca="false">(Sens!I4333+Sens!J4333)/2*Sens!J4346/1000</f>
        <v>42.5918555540089</v>
      </c>
      <c r="K4347" s="6" t="n">
        <f aca="false">(Sens!J4333+Sens!K4333)/2*Sens!K4346/1000</f>
        <v>45.8980366455815</v>
      </c>
    </row>
    <row r="4348" customFormat="false" ht="17.15" hidden="false" customHeight="false" outlineLevel="0" collapsed="false">
      <c r="A4348" s="0" t="s">
        <v>836</v>
      </c>
      <c r="B4348" s="0" t="s">
        <v>98</v>
      </c>
      <c r="D4348" s="6" t="n">
        <f aca="false">(Sens!C4331+Sens!D4331)/2*rent_mw/1000</f>
        <v>2.44475</v>
      </c>
      <c r="E4348" s="6" t="n">
        <f aca="false">(Sens!D4331+Sens!E4331)/2*rent_mw/1000</f>
        <v>4.22275</v>
      </c>
      <c r="F4348" s="6" t="n">
        <f aca="false">(Sens!E4331+Sens!F4331)/2*rent_mw/1000</f>
        <v>5.80517</v>
      </c>
      <c r="G4348" s="6" t="n">
        <f aca="false">(Sens!F4331+Sens!G4331)/2*rent_mw/1000</f>
        <v>6.72084</v>
      </c>
      <c r="H4348" s="6" t="n">
        <f aca="false">(Sens!G4331+Sens!H4331)/2*rent_mw/1000</f>
        <v>6.72084</v>
      </c>
      <c r="I4348" s="6" t="n">
        <f aca="false">(Sens!H4331+Sens!I4331)/2*rent_mw/1000</f>
        <v>6.72084</v>
      </c>
      <c r="J4348" s="6" t="n">
        <f aca="false">(Sens!I4331+Sens!J4331)/2*rent_mw/1000</f>
        <v>6.72084</v>
      </c>
      <c r="K4348" s="6" t="n">
        <f aca="false">(Sens!J4331+Sens!K4331)/2*rent_mw/1000</f>
        <v>6.72084</v>
      </c>
    </row>
    <row r="4349" customFormat="false" ht="17.15" hidden="false" customHeight="false" outlineLevel="0" collapsed="false">
      <c r="A4349" s="0" t="s">
        <v>837</v>
      </c>
      <c r="B4349" s="0" t="s">
        <v>98</v>
      </c>
      <c r="D4349" s="6" t="n">
        <f aca="false">(Sens!C4333+Sens!D4333)/2*(1-self_build)*fac_rent/1000</f>
        <v>0.853242375631075</v>
      </c>
      <c r="E4349" s="6" t="n">
        <f aca="false">(Sens!D4333+Sens!E4333)/2*(1-self_build)*fac_rent/1000</f>
        <v>1.94955961408728</v>
      </c>
      <c r="F4349" s="6" t="n">
        <f aca="false">(Sens!E4333+Sens!F4333)/2*(1-self_build)*fac_rent/1000</f>
        <v>3.83026455274573</v>
      </c>
      <c r="G4349" s="6" t="n">
        <f aca="false">(Sens!F4333+Sens!G4333)/2*(1-self_build)*fac_rent/1000</f>
        <v>6.23541590972812</v>
      </c>
      <c r="H4349" s="6" t="n">
        <f aca="false">(Sens!G4333+Sens!H4333)/2*(1-self_build)*fac_rent/1000</f>
        <v>8.74275792332679</v>
      </c>
      <c r="I4349" s="6" t="n">
        <f aca="false">(Sens!H4333+Sens!I4333)/2*(1-self_build)*fac_rent/1000</f>
        <v>10.8859420438599</v>
      </c>
      <c r="J4349" s="6" t="n">
        <f aca="false">(Sens!I4333+Sens!J4333)/2*(1-self_build)*fac_rent/1000</f>
        <v>12.3186006405366</v>
      </c>
      <c r="K4349" s="6" t="n">
        <f aca="false">(Sens!J4333+Sens!K4333)/2*(1-self_build)*fac_rent/1000</f>
        <v>13.0659232089824</v>
      </c>
      <c r="L4349" s="11" t="s">
        <v>838</v>
      </c>
    </row>
    <row r="4350" customFormat="false" ht="17.15" hidden="false" customHeight="false" outlineLevel="0" collapsed="false">
      <c r="A4350" s="1" t="s">
        <v>839</v>
      </c>
      <c r="B4350" s="0" t="s">
        <v>129</v>
      </c>
      <c r="D4350" s="7" t="n">
        <f aca="false">(Sens!C4332+Sens!D4332)/(Sens!C4333+Sens!D4333)</f>
        <v>0.6</v>
      </c>
      <c r="E4350" s="7" t="n">
        <f aca="false">(Sens!D4332+Sens!E4332)/(Sens!D4333+Sens!E4333)</f>
        <v>0.6</v>
      </c>
      <c r="F4350" s="7" t="n">
        <f aca="false">(Sens!E4332+Sens!F4332)/(Sens!E4333+Sens!F4333)</f>
        <v>0.6</v>
      </c>
      <c r="G4350" s="7" t="n">
        <f aca="false">(Sens!F4332+Sens!G4332)/(Sens!F4333+Sens!G4333)</f>
        <v>0.6</v>
      </c>
      <c r="H4350" s="7" t="n">
        <f aca="false">(Sens!G4332+Sens!H4332)/(Sens!G4333+Sens!H4333)</f>
        <v>0.6</v>
      </c>
      <c r="I4350" s="7" t="n">
        <f aca="false">(Sens!H4332+Sens!I4332)/(Sens!H4333+Sens!I4333)</f>
        <v>0.6</v>
      </c>
      <c r="J4350" s="7" t="n">
        <f aca="false">(Sens!I4332+Sens!J4332)/(Sens!I4333+Sens!J4333)</f>
        <v>0.6</v>
      </c>
      <c r="K4350" s="7" t="n">
        <f aca="false">(Sens!J4332+Sens!K4332)/(Sens!J4333+Sens!K4333)</f>
        <v>0.6</v>
      </c>
    </row>
    <row r="4351" customFormat="false" ht="17.15" hidden="false" customHeight="false" outlineLevel="0" collapsed="false">
      <c r="A4351" s="0" t="s">
        <v>840</v>
      </c>
      <c r="B4351" s="0" t="s">
        <v>98</v>
      </c>
      <c r="D4351" s="6" t="n">
        <f aca="false">Sens!D4345-Sens!D4350*(Sens!D4347+Sens!D4349)-Sens!D4348</f>
        <v>8.35701406163072</v>
      </c>
      <c r="E4351" s="6" t="n">
        <f aca="false">Sens!E4345-Sens!E4350*(Sens!E4347+Sens!E4349)-Sens!E4348</f>
        <v>18.7103224860238</v>
      </c>
      <c r="F4351" s="6" t="n">
        <f aca="false">Sens!F4345-Sens!F4350*(Sens!F4347+Sens!F4349)-Sens!F4348</f>
        <v>39.4594407491938</v>
      </c>
      <c r="G4351" s="6" t="n">
        <f aca="false">Sens!G4345-Sens!G4350*(Sens!G4347+Sens!G4349)-Sens!G4348</f>
        <v>66.5527545578061</v>
      </c>
      <c r="H4351" s="6" t="n">
        <f aca="false">Sens!H4345-Sens!H4350*(Sens!H4347+Sens!H4349)-Sens!H4348</f>
        <v>96.3429016246377</v>
      </c>
      <c r="I4351" s="6" t="n">
        <f aca="false">Sens!I4345-Sens!I4350*(Sens!I4347+Sens!I4349)-Sens!I4348</f>
        <v>122.504627268136</v>
      </c>
      <c r="J4351" s="6" t="n">
        <f aca="false">Sens!J4345-Sens!J4350*(Sens!J4347+Sens!J4349)-Sens!J4348</f>
        <v>142.509580867364</v>
      </c>
      <c r="K4351" s="6" t="n">
        <f aca="false">Sens!K4345-Sens!K4350*(Sens!K4347+Sens!K4349)-Sens!K4348</f>
        <v>156.983108524659</v>
      </c>
    </row>
    <row r="4352" customFormat="false" ht="17.15" hidden="false" customHeight="false" outlineLevel="0" collapsed="false">
      <c r="A4352" s="1" t="s">
        <v>841</v>
      </c>
      <c r="B4352" s="0" t="s">
        <v>98</v>
      </c>
      <c r="D4352" s="6" t="n">
        <f aca="false">(1-Sens!D4350)*(Sens!D4347+Sens!D4349)</f>
        <v>1.42281025374069</v>
      </c>
      <c r="E4352" s="6" t="n">
        <f aca="false">(1-Sens!E4350)*(Sens!E4347+Sens!E4349)</f>
        <v>3.25095598674472</v>
      </c>
      <c r="F4352" s="6" t="n">
        <f aca="false">(1-Sens!F4350)*(Sens!F4347+Sens!F4349)</f>
        <v>6.53293055050977</v>
      </c>
      <c r="G4352" s="6" t="n">
        <f aca="false">(1-Sens!G4350)*(Sens!G4347+Sens!G4349)</f>
        <v>10.7846311741651</v>
      </c>
      <c r="H4352" s="6" t="n">
        <f aca="false">(1-Sens!H4350)*(Sens!H4347+Sens!H4349)</f>
        <v>15.3155321504392</v>
      </c>
      <c r="I4352" s="6" t="n">
        <f aca="false">(1-Sens!I4350)*(Sens!I4347+Sens!I4349)</f>
        <v>19.2274101760331</v>
      </c>
      <c r="J4352" s="6" t="n">
        <f aca="false">(1-Sens!J4350)*(Sens!J4347+Sens!J4349)</f>
        <v>21.9641824778182</v>
      </c>
      <c r="K4352" s="6" t="n">
        <f aca="false">(1-Sens!K4350)*(Sens!K4347+Sens!K4349)</f>
        <v>23.5855839418256</v>
      </c>
    </row>
    <row r="4353" customFormat="false" ht="17.15" hidden="false" customHeight="false" outlineLevel="0" collapsed="false">
      <c r="A4353" s="1" t="s">
        <v>842</v>
      </c>
      <c r="B4353" s="0" t="s">
        <v>357</v>
      </c>
      <c r="C4353" s="8" t="n">
        <f aca="false">cxit_open</f>
        <v>27.5918995</v>
      </c>
      <c r="D4353" s="8" t="n">
        <f aca="false">cxit_open</f>
        <v>27.5918995</v>
      </c>
      <c r="E4353" s="8" t="n">
        <f aca="false">cxit_open</f>
        <v>27.5918995</v>
      </c>
      <c r="F4353" s="8" t="n">
        <f aca="false">(a_g3_27*tk_cxit_gb300+(1-a_g3_27)*tk_cxit_vr200)</f>
        <v>33.8419624</v>
      </c>
      <c r="G4353" s="8" t="n">
        <f aca="false">(a_g3_28*tk_cxit_gb300+(1-a_g3_28)*tk_cxit_vr200)</f>
        <v>35.9816136</v>
      </c>
      <c r="H4353" s="8" t="n">
        <f aca="false">(a_g3_29*tk_cxit_gb300+(1-a_g3_29)*tk_cxit_vr200)</f>
        <v>37.0514392</v>
      </c>
      <c r="I4353" s="8" t="n">
        <f aca="false">(a_g3_29*tk_cxit_gb300+(1-a_g3_29)*tk_cxit_vr200)</f>
        <v>37.0514392</v>
      </c>
      <c r="J4353" s="8" t="n">
        <f aca="false">(a_g3_29*tk_cxit_gb300+(1-a_g3_29)*tk_cxit_vr200)</f>
        <v>37.0514392</v>
      </c>
      <c r="K4353" s="8" t="n">
        <f aca="false">(a_g3_29*tk_cxit_gb300+(1-a_g3_29)*tk_cxit_vr200)</f>
        <v>37.0514392</v>
      </c>
      <c r="L4353" s="11" t="s">
        <v>843</v>
      </c>
    </row>
    <row r="4354" customFormat="false" ht="17.15" hidden="false" customHeight="false" outlineLevel="0" collapsed="false">
      <c r="A4354" s="0" t="s">
        <v>844</v>
      </c>
      <c r="B4354" s="0" t="s">
        <v>399</v>
      </c>
      <c r="F4354" s="29" t="n">
        <f aca="false">Sens!C4335*IF(Sens!F4328-Sens!C4328=life_it_lo,1,0)+Sens!D4335*IF(Sens!F4328-Sens!D4328=life_it_lo,1,0)+Sens!E4335*IF(Sens!F4328-Sens!E4328=life_it_lo,1,0)</f>
        <v>0</v>
      </c>
      <c r="G4354" s="29" t="n">
        <f aca="false">Sens!C4335*IF(Sens!G4328-Sens!C4328=life_it_lo,1,0)+Sens!D4335*IF(Sens!G4328-Sens!D4328=life_it_lo,1,0)+Sens!E4335*IF(Sens!G4328-Sens!E4328=life_it_lo,1,0)+Sens!F4335*IF(Sens!G4328-Sens!F4328=life_it_lo,1,0)</f>
        <v>0</v>
      </c>
      <c r="H4354" s="29" t="n">
        <f aca="false">Sens!C4335*IF(Sens!H4328-Sens!C4328=life_it_lo,1,0)+Sens!D4335*IF(Sens!H4328-Sens!D4328=life_it_lo,1,0)+Sens!E4335*IF(Sens!H4328-Sens!E4328=life_it_lo,1,0)+Sens!F4335*IF(Sens!H4328-Sens!F4328=life_it_lo,1,0)+Sens!G4335*IF(Sens!H4328-Sens!G4328=life_it_lo,1,0)</f>
        <v>816.666666666667</v>
      </c>
      <c r="I4354" s="29" t="n">
        <f aca="false">Sens!C4335*IF(Sens!I4328-Sens!C4328=life_it_lo,1,0)+Sens!D4335*IF(Sens!I4328-Sens!D4328=life_it_lo,1,0)+Sens!E4335*IF(Sens!I4328-Sens!E4328=life_it_lo,1,0)+Sens!F4335*IF(Sens!I4328-Sens!F4328=life_it_lo,1,0)+Sens!G4335*IF(Sens!I4328-Sens!G4328=life_it_lo,1,0)+Sens!H4335*IF(Sens!I4328-Sens!H4328=life_it_lo,1,0)</f>
        <v>1233.33333333333</v>
      </c>
      <c r="J4354" s="29" t="n">
        <f aca="false">Sens!C4335*IF(Sens!J4328-Sens!C4328=life_it_lo,1,0)+Sens!D4335*IF(Sens!J4328-Sens!D4328=life_it_lo,1,0)+Sens!E4335*IF(Sens!J4328-Sens!E4328=life_it_lo,1,0)+Sens!F4335*IF(Sens!J4328-Sens!F4328=life_it_lo,1,0)+Sens!G4335*IF(Sens!J4328-Sens!G4328=life_it_lo,1,0)+Sens!H4335*IF(Sens!J4328-Sens!H4328=life_it_lo,1,0)+Sens!I4335*IF(Sens!J4328-Sens!I4328=life_it_lo,1,0)</f>
        <v>2450</v>
      </c>
      <c r="K4354" s="29" t="n">
        <f aca="false">Sens!C4335*IF(Sens!K4328-Sens!C4328=life_it_lo,1,0)+Sens!D4335*IF(Sens!K4328-Sens!D4328=life_it_lo,1,0)+Sens!E4335*IF(Sens!K4328-Sens!E4328=life_it_lo,1,0)+Sens!F4335*IF(Sens!K4328-Sens!F4328=life_it_lo,1,0)+Sens!G4335*IF(Sens!K4328-Sens!G4328=life_it_lo,1,0)+Sens!H4335*IF(Sens!K4328-Sens!H4328=life_it_lo,1,0)+Sens!I4335*IF(Sens!K4328-Sens!I4328=life_it_lo,1,0)+Sens!J4335*IF(Sens!K4328-Sens!J4328=life_it_lo,1,0)</f>
        <v>3868.66666666667</v>
      </c>
      <c r="L4354" s="1" t="s">
        <v>845</v>
      </c>
    </row>
    <row r="4355" customFormat="false" ht="17.15" hidden="false" customHeight="false" outlineLevel="0" collapsed="false">
      <c r="A4355" s="0" t="s">
        <v>846</v>
      </c>
      <c r="B4355" s="0" t="s">
        <v>98</v>
      </c>
      <c r="C4355" s="6" t="n">
        <f aca="false">Sens!C4335*Sens!C4353/1000</f>
        <v>22.5333845916667</v>
      </c>
      <c r="D4355" s="6" t="n">
        <f aca="false">Sens!D4335*Sens!D4353/1000</f>
        <v>34.0300093833333</v>
      </c>
      <c r="E4355" s="6" t="n">
        <f aca="false">Sens!E4335*Sens!E4353/1000</f>
        <v>67.600153775</v>
      </c>
      <c r="F4355" s="6" t="n">
        <f aca="false">(Sens!F4335+Sens!F4354)*Sens!F4353/1000</f>
        <v>130.923271871467</v>
      </c>
      <c r="G4355" s="6" t="n">
        <f aca="false">(Sens!G4335+Sens!G4354)*Sens!G4353/1000</f>
        <v>151.5545564832</v>
      </c>
      <c r="H4355" s="6" t="n">
        <f aca="false">(Sens!H4335+Sens!H4354)*Sens!H4353/1000</f>
        <v>186.319337257067</v>
      </c>
      <c r="I4355" s="6" t="n">
        <f aca="false">(Sens!I4335+Sens!I4354)*Sens!I4353/1000</f>
        <v>156.425989100912</v>
      </c>
      <c r="J4355" s="6" t="n">
        <f aca="false">(Sens!J4335+Sens!J4354)*Sens!J4353/1000</f>
        <v>158.388376586509</v>
      </c>
      <c r="K4355" s="6" t="n">
        <f aca="false">(Sens!K4335+Sens!K4354)*Sens!K4353/1000</f>
        <v>168.756233166025</v>
      </c>
    </row>
    <row r="4356" customFormat="false" ht="17.15" hidden="false" customHeight="false" outlineLevel="0" collapsed="false">
      <c r="A4356" s="0" t="s">
        <v>847</v>
      </c>
      <c r="B4356" s="0" t="s">
        <v>98</v>
      </c>
      <c r="C4356" s="6" t="n">
        <f aca="false">Sens!C4335*self_build*tk_cxfac/1000</f>
        <v>6.2083</v>
      </c>
      <c r="D4356" s="6" t="n">
        <f aca="false">Sens!D4335*self_build*tk_cxfac/1000</f>
        <v>9.3758</v>
      </c>
      <c r="E4356" s="6" t="n">
        <f aca="false">Sens!E4335*self_build*tk_cxfac/1000</f>
        <v>18.6249</v>
      </c>
      <c r="F4356" s="6" t="n">
        <f aca="false">Sens!F4335*self_build*tk_cxfac/1000</f>
        <v>29.409604</v>
      </c>
      <c r="G4356" s="6" t="n">
        <f aca="false">Sens!G4335*self_build*tk_cxfac/1000</f>
        <v>32.019624</v>
      </c>
      <c r="H4356" s="6" t="n">
        <f aca="false">Sens!H4335*self_build*tk_cxfac/1000</f>
        <v>32.019624</v>
      </c>
      <c r="I4356" s="6" t="n">
        <f aca="false">Sens!I4335*self_build*tk_cxfac/1000</f>
        <v>22.71877972</v>
      </c>
      <c r="J4356" s="6" t="n">
        <f aca="false">Sens!J4335*self_build*tk_cxfac/1000</f>
        <v>13.8723110344</v>
      </c>
      <c r="K4356" s="6" t="n">
        <f aca="false">Sens!K4335*self_build*tk_cxfac/1000</f>
        <v>5.214823882632</v>
      </c>
    </row>
    <row r="4357" customFormat="false" ht="17.15" hidden="false" customHeight="false" outlineLevel="0" collapsed="false">
      <c r="A4357" s="0" t="s">
        <v>848</v>
      </c>
      <c r="B4357" s="0" t="s">
        <v>98</v>
      </c>
      <c r="F4357" s="6" t="n">
        <f aca="false">MAX(0,capex_floor27-Sens!F4355-Sens!F4356-Sens!F4451)</f>
        <v>8.28777689897088</v>
      </c>
    </row>
    <row r="4358" customFormat="false" ht="17.15" hidden="false" customHeight="false" outlineLevel="0" collapsed="false">
      <c r="A4358" s="0" t="s">
        <v>849</v>
      </c>
      <c r="B4358" s="0" t="s">
        <v>98</v>
      </c>
      <c r="C4358" s="6" t="n">
        <f aca="false">Sens!C4355</f>
        <v>22.5333845916667</v>
      </c>
      <c r="D4358" s="6" t="n">
        <f aca="false">Sens!D4355</f>
        <v>34.0300093833333</v>
      </c>
      <c r="E4358" s="6" t="n">
        <f aca="false">Sens!E4355</f>
        <v>67.600153775</v>
      </c>
      <c r="F4358" s="6" t="n">
        <f aca="false">Sens!F4355</f>
        <v>130.923271871467</v>
      </c>
      <c r="G4358" s="6" t="n">
        <f aca="false">Sens!G4355</f>
        <v>151.5545564832</v>
      </c>
      <c r="H4358" s="6" t="n">
        <f aca="false">Sens!H4355</f>
        <v>186.319337257067</v>
      </c>
      <c r="I4358" s="6" t="n">
        <f aca="false">Sens!I4355</f>
        <v>156.425989100912</v>
      </c>
      <c r="J4358" s="6" t="n">
        <f aca="false">Sens!J4355</f>
        <v>158.388376586509</v>
      </c>
      <c r="K4358" s="6" t="n">
        <f aca="false">Sens!K4355</f>
        <v>168.756233166025</v>
      </c>
    </row>
    <row r="4359" customFormat="false" ht="17.15" hidden="false" customHeight="false" outlineLevel="0" collapsed="false">
      <c r="A4359" s="0" t="s">
        <v>850</v>
      </c>
      <c r="B4359" s="0" t="s">
        <v>98</v>
      </c>
      <c r="C4359" s="6" t="n">
        <f aca="false">Sens!C4358+Sens!C4356</f>
        <v>28.7416845916667</v>
      </c>
      <c r="D4359" s="6" t="n">
        <f aca="false">Sens!D4358+Sens!D4356</f>
        <v>43.4058093833333</v>
      </c>
      <c r="E4359" s="6" t="n">
        <f aca="false">Sens!E4358+Sens!E4356</f>
        <v>86.225053775</v>
      </c>
      <c r="F4359" s="6" t="n">
        <f aca="false">Sens!F4358+Sens!F4356</f>
        <v>160.332875871467</v>
      </c>
      <c r="G4359" s="6" t="n">
        <f aca="false">Sens!G4358+Sens!G4356</f>
        <v>183.5741804832</v>
      </c>
      <c r="H4359" s="6" t="n">
        <f aca="false">Sens!H4358+Sens!H4356</f>
        <v>218.338961257067</v>
      </c>
      <c r="I4359" s="6" t="n">
        <f aca="false">Sens!I4358+Sens!I4356</f>
        <v>179.144768820912</v>
      </c>
      <c r="J4359" s="6" t="n">
        <f aca="false">Sens!J4358+Sens!J4356</f>
        <v>172.260687620909</v>
      </c>
      <c r="K4359" s="6" t="n">
        <f aca="false">Sens!K4358+Sens!K4356</f>
        <v>173.971057048657</v>
      </c>
      <c r="L4359" s="11" t="s">
        <v>851</v>
      </c>
    </row>
    <row r="4360" customFormat="false" ht="17.15" hidden="false" customHeight="false" outlineLevel="0" collapsed="false">
      <c r="A4360" s="0" t="s">
        <v>852</v>
      </c>
      <c r="B4360" s="0" t="s">
        <v>98</v>
      </c>
      <c r="E4360" s="6" t="n">
        <f aca="false">(Sens!C4358*IF(2&lt;life_it_lo,1,IF(2=life_it_lo,0.5,0))+Sens!D4358*IF(1&lt;life_it_lo,1,IF(1=life_it_lo,0.5,0))+Sens!E4358*0.5)/life_it_lo</f>
        <v>18.0726941725</v>
      </c>
      <c r="F4360" s="6" t="n">
        <f aca="false">(Sens!C4358*IF(3&lt;life_it_lo,1,IF(3=life_it_lo,0.5,0))+Sens!D4358*IF(2&lt;life_it_lo,1,IF(2=life_it_lo,0.5,0))+Sens!E4358*IF(1&lt;life_it_lo,1,IF(1=life_it_lo,0.5,0))+Sens!F4358*0.5)/life_it_lo</f>
        <v>37.9250367371467</v>
      </c>
      <c r="G4360" s="6" t="n">
        <f aca="false">(Sens!C4358*IF(4&lt;life_it_lo,1,IF(4=life_it_lo,0.5,0))+Sens!D4358*IF(3&lt;life_it_lo,1,IF(3=life_it_lo,0.5,0))+Sens!E4358*IF(2&lt;life_it_lo,1,IF(2=life_it_lo,0.5,0))+Sens!F4358*IF(1&lt;life_it_lo,1,IF(1=life_it_lo,0.5,0))+Sens!G4358*0.5)/life_it_lo</f>
        <v>66.1728195726133</v>
      </c>
      <c r="H4360" s="6" t="n">
        <f aca="false">(Sens!C4358*IF(5&lt;life_it_lo,1,IF(5=life_it_lo,0.5,0))+Sens!D4358*IF(4&lt;life_it_lo,1,IF(4=life_it_lo,0.5,0))+Sens!E4358*IF(3&lt;life_it_lo,1,IF(3=life_it_lo,0.5,0))+Sens!F4358*IF(2&lt;life_it_lo,1,IF(2=life_it_lo,0.5,0))+Sens!G4358*IF(1&lt;life_it_lo,1,IF(1=life_it_lo,0.5,0))+Sens!H4358*0.5)/life_it_lo</f>
        <v>97.7068704874733</v>
      </c>
      <c r="I4360" s="6" t="n">
        <f aca="false">(Sens!C4358*IF(6&lt;life_it_lo,1,IF(6=life_it_lo,0.5,0))+Sens!D4358*IF(5&lt;life_it_lo,1,IF(5=life_it_lo,0.5,0))+Sens!E4358*IF(4&lt;life_it_lo,1,IF(4=life_it_lo,0.5,0))+Sens!F4358*IF(3&lt;life_it_lo,1,IF(3=life_it_lo,0.5,0))+Sens!G4358*IF(2&lt;life_it_lo,1,IF(2=life_it_lo,0.5,0))+Sens!H4358*IF(1&lt;life_it_lo,1,IF(1=life_it_lo,0.5,0))+Sens!I4358*0.5)/life_it_lo</f>
        <v>126.325063725771</v>
      </c>
      <c r="J4360" s="6" t="n">
        <f aca="false">(Sens!C4358*IF(7&lt;life_it_lo,1,IF(7=life_it_lo,0.5,0))+Sens!D4358*IF(6&lt;life_it_lo,1,IF(6=life_it_lo,0.5,0))+Sens!E4358*IF(5&lt;life_it_lo,1,IF(5=life_it_lo,0.5,0))+Sens!F4358*IF(4&lt;life_it_lo,1,IF(4=life_it_lo,0.5,0))+Sens!G4358*IF(3&lt;life_it_lo,1,IF(3=life_it_lo,0.5,0))+Sens!H4358*IF(2&lt;life_it_lo,1,IF(2=life_it_lo,0.5,0))+Sens!I4358*IF(1&lt;life_it_lo,1,IF(1=life_it_lo,0.5,0))+Sens!J4358*0.5)/life_it_lo</f>
        <v>147.64348397868</v>
      </c>
      <c r="K4360" s="6" t="n">
        <f aca="false">(Sens!C4358*IF(8&lt;life_it_lo,1,IF(8=life_it_lo,0.5,0))+Sens!D4358*IF(7&lt;life_it_lo,1,IF(7=life_it_lo,0.5,0))+Sens!E4358*IF(6&lt;life_it_lo,1,IF(6=life_it_lo,0.5,0))+Sens!F4358*IF(5&lt;life_it_lo,1,IF(5=life_it_lo,0.5,0))+Sens!G4358*IF(4&lt;life_it_lo,1,IF(4=life_it_lo,0.5,0))+Sens!H4358*IF(3&lt;life_it_lo,1,IF(3=life_it_lo,0.5,0))+Sens!I4358*IF(2&lt;life_it_lo,1,IF(2=life_it_lo,0.5,0))+Sens!J4358*IF(1&lt;life_it_lo,1,IF(1=life_it_lo,0.5,0))+Sens!K4358*0.5)/life_it_lo</f>
        <v>160.505602389287</v>
      </c>
    </row>
    <row r="4361" customFormat="false" ht="17.15" hidden="false" customHeight="false" outlineLevel="0" collapsed="false">
      <c r="A4361" s="0" t="s">
        <v>853</v>
      </c>
      <c r="B4361" s="0" t="s">
        <v>98</v>
      </c>
      <c r="E4361" s="6" t="n">
        <f aca="false">(Sens!C4356*IF(2&lt;life_fac,1,IF(2=life_fac,0.5,0))+Sens!D4356*IF(1&lt;life_fac,1,IF(1=life_fac,0.5,0))+Sens!E4356*0.5)/life_fac</f>
        <v>1.2448275</v>
      </c>
      <c r="F4361" s="6" t="n">
        <f aca="false">(Sens!C4356*IF(3&lt;life_fac,1,IF(3=life_fac,0.5,0))+Sens!D4356*IF(2&lt;life_fac,1,IF(2=life_fac,0.5,0))+Sens!E4356*IF(1&lt;life_fac,1,IF(1=life_fac,0.5,0))+Sens!F4356*0.5)/life_fac</f>
        <v>2.4456901</v>
      </c>
      <c r="G4361" s="6" t="n">
        <f aca="false">(Sens!C4356*IF(4&lt;life_fac,1,IF(4=life_fac,0.5,0))+Sens!D4356*IF(3&lt;life_fac,1,IF(3=life_fac,0.5,0))+Sens!E4356*IF(2&lt;life_fac,1,IF(2=life_fac,0.5,0))+Sens!F4356*IF(1&lt;life_fac,1,IF(1=life_fac,0.5,0))+Sens!G4356*0.5)/life_fac</f>
        <v>3.9814208</v>
      </c>
      <c r="H4361" s="6" t="n">
        <f aca="false">(Sens!C4356*IF(5&lt;life_fac,1,IF(5=life_fac,0.5,0))+Sens!D4356*IF(4&lt;life_fac,1,IF(4=life_fac,0.5,0))+Sens!E4356*IF(3&lt;life_fac,1,IF(3=life_fac,0.5,0))+Sens!F4356*IF(2&lt;life_fac,1,IF(2=life_fac,0.5,0))+Sens!G4356*IF(1&lt;life_fac,1,IF(1=life_fac,0.5,0))+Sens!H4356*0.5)/life_fac</f>
        <v>5.582402</v>
      </c>
      <c r="I4361" s="6" t="n">
        <f aca="false">(Sens!C4356*IF(6&lt;life_fac,1,IF(6=life_fac,0.5,0))+Sens!D4356*IF(5&lt;life_fac,1,IF(5=life_fac,0.5,0))+Sens!E4356*IF(4&lt;life_fac,1,IF(4=life_fac,0.5,0))+Sens!F4356*IF(3&lt;life_fac,1,IF(3=life_fac,0.5,0))+Sens!G4356*IF(2&lt;life_fac,1,IF(2=life_fac,0.5,0))+Sens!H4356*IF(1&lt;life_fac,1,IF(1=life_fac,0.5,0))+Sens!I4356*0.5)/life_fac</f>
        <v>6.950862093</v>
      </c>
      <c r="J4361" s="6" t="n">
        <f aca="false">(Sens!C4356*IF(7&lt;life_fac,1,IF(7=life_fac,0.5,0))+Sens!D4356*IF(6&lt;life_fac,1,IF(6=life_fac,0.5,0))+Sens!E4356*IF(5&lt;life_fac,1,IF(5=life_fac,0.5,0))+Sens!F4356*IF(4&lt;life_fac,1,IF(4=life_fac,0.5,0))+Sens!G4356*IF(3&lt;life_fac,1,IF(3=life_fac,0.5,0))+Sens!H4356*IF(2&lt;life_fac,1,IF(2=life_fac,0.5,0))+Sens!I4356*IF(1&lt;life_fac,1,IF(1=life_fac,0.5,0))+Sens!J4356*0.5)/life_fac</f>
        <v>7.86563936186</v>
      </c>
      <c r="K4361" s="6" t="n">
        <f aca="false">(Sens!C4356*IF(8&lt;life_fac,1,IF(8=life_fac,0.5,0))+Sens!D4356*IF(7&lt;life_fac,1,IF(7=life_fac,0.5,0))+Sens!E4356*IF(6&lt;life_fac,1,IF(6=life_fac,0.5,0))+Sens!F4356*IF(5&lt;life_fac,1,IF(5=life_fac,0.5,0))+Sens!G4356*IF(4&lt;life_fac,1,IF(4=life_fac,0.5,0))+Sens!H4356*IF(3&lt;life_fac,1,IF(3=life_fac,0.5,0))+Sens!I4356*IF(2&lt;life_fac,1,IF(2=life_fac,0.5,0))+Sens!J4356*IF(1&lt;life_fac,1,IF(1=life_fac,0.5,0))+Sens!K4356*0.5)/life_fac</f>
        <v>8.3428177347858</v>
      </c>
    </row>
    <row r="4362" customFormat="false" ht="17.15" hidden="false" customHeight="false" outlineLevel="0" collapsed="false">
      <c r="A4362" s="0" t="s">
        <v>854</v>
      </c>
      <c r="B4362" s="0" t="s">
        <v>98</v>
      </c>
      <c r="E4362" s="6" t="n">
        <f aca="false">Sens!E4360+Sens!E4361</f>
        <v>19.3175216725</v>
      </c>
      <c r="F4362" s="6" t="n">
        <f aca="false">Sens!F4360+Sens!F4361</f>
        <v>40.3707268371467</v>
      </c>
      <c r="G4362" s="6" t="n">
        <f aca="false">Sens!G4360+Sens!G4361</f>
        <v>70.1542403726133</v>
      </c>
      <c r="H4362" s="6" t="n">
        <f aca="false">Sens!H4360+Sens!H4361</f>
        <v>103.289272487473</v>
      </c>
      <c r="I4362" s="6" t="n">
        <f aca="false">Sens!I4360+Sens!I4361</f>
        <v>133.275925818771</v>
      </c>
      <c r="J4362" s="6" t="n">
        <f aca="false">Sens!J4360+Sens!J4361</f>
        <v>155.50912334054</v>
      </c>
      <c r="K4362" s="6" t="n">
        <f aca="false">Sens!K4360+Sens!K4361</f>
        <v>168.848420124073</v>
      </c>
    </row>
    <row r="4363" customFormat="false" ht="17.15" hidden="false" customHeight="false" outlineLevel="0" collapsed="false">
      <c r="A4363" s="0" t="s">
        <v>855</v>
      </c>
      <c r="B4363" s="0" t="s">
        <v>98</v>
      </c>
      <c r="E4363" s="6" t="n">
        <f aca="false">Sens!E4351-Sens!E4350*Sens!E4362</f>
        <v>7.11980948252379</v>
      </c>
      <c r="F4363" s="6" t="n">
        <f aca="false">Sens!F4351-Sens!F4350*Sens!F4362</f>
        <v>15.2370046469058</v>
      </c>
      <c r="G4363" s="6" t="n">
        <f aca="false">Sens!G4351-Sens!G4350*Sens!G4362</f>
        <v>24.4602103342381</v>
      </c>
      <c r="H4363" s="6" t="n">
        <f aca="false">Sens!H4351-Sens!H4350*Sens!H4362</f>
        <v>34.3693381321537</v>
      </c>
      <c r="I4363" s="6" t="n">
        <f aca="false">Sens!I4351-Sens!I4350*Sens!I4362</f>
        <v>42.5390717768729</v>
      </c>
      <c r="J4363" s="6" t="n">
        <f aca="false">Sens!J4351-Sens!J4350*Sens!J4362</f>
        <v>49.2041068630403</v>
      </c>
      <c r="K4363" s="6" t="n">
        <f aca="false">Sens!K4351-Sens!K4350*Sens!K4362</f>
        <v>55.6740564502157</v>
      </c>
    </row>
    <row r="4364" customFormat="false" ht="17.15" hidden="false" customHeight="false" outlineLevel="0" collapsed="false">
      <c r="A4364" s="3" t="s">
        <v>1373</v>
      </c>
    </row>
    <row r="4365" customFormat="false" ht="15" hidden="false" customHeight="false" outlineLevel="0" collapsed="false">
      <c r="A4365" s="4" t="s">
        <v>43</v>
      </c>
      <c r="B4365" s="4" t="s">
        <v>65</v>
      </c>
      <c r="C4365" s="20" t="s">
        <v>799</v>
      </c>
      <c r="D4365" s="20" t="s">
        <v>800</v>
      </c>
      <c r="E4365" s="20" t="s">
        <v>801</v>
      </c>
      <c r="F4365" s="20" t="s">
        <v>802</v>
      </c>
      <c r="G4365" s="20" t="s">
        <v>803</v>
      </c>
      <c r="H4365" s="20" t="s">
        <v>804</v>
      </c>
      <c r="I4365" s="20" t="s">
        <v>805</v>
      </c>
      <c r="J4365" s="20" t="s">
        <v>806</v>
      </c>
      <c r="K4365" s="20" t="s">
        <v>807</v>
      </c>
      <c r="L4365" s="4" t="s">
        <v>47</v>
      </c>
    </row>
    <row r="4366" customFormat="false" ht="17.15" hidden="false" customHeight="false" outlineLevel="0" collapsed="false">
      <c r="A4366" s="0" t="s">
        <v>874</v>
      </c>
      <c r="B4366" s="0" t="s">
        <v>98</v>
      </c>
      <c r="D4366" s="6" t="n">
        <f aca="false">Sens!D4345</f>
        <v>12.9359794422418</v>
      </c>
      <c r="E4366" s="6" t="n">
        <f aca="false">Sens!E4345</f>
        <v>27.8095064661409</v>
      </c>
      <c r="F4366" s="6" t="n">
        <f aca="false">Sens!F4345</f>
        <v>55.0640065749585</v>
      </c>
      <c r="G4366" s="6" t="n">
        <f aca="false">Sens!G4345</f>
        <v>89.4505413190538</v>
      </c>
      <c r="H4366" s="6" t="n">
        <f aca="false">Sens!H4345</f>
        <v>126.037039850297</v>
      </c>
      <c r="I4366" s="6" t="n">
        <f aca="false">Sens!I4345</f>
        <v>158.066582532185</v>
      </c>
      <c r="J4366" s="6" t="n">
        <f aca="false">Sens!J4345</f>
        <v>182.176694584092</v>
      </c>
      <c r="K4366" s="6" t="n">
        <f aca="false">Sens!K4345</f>
        <v>199.082324437398</v>
      </c>
    </row>
    <row r="4367" customFormat="false" ht="17.15" hidden="false" customHeight="false" outlineLevel="0" collapsed="false">
      <c r="A4367" s="0" t="s">
        <v>875</v>
      </c>
      <c r="B4367" s="0" t="s">
        <v>98</v>
      </c>
      <c r="D4367" s="6" t="n">
        <f aca="false">Q!L6-Sens!D4366</f>
        <v>59.6740205577583</v>
      </c>
      <c r="E4367" s="6" t="n">
        <f aca="false">Q!M6-Sens!E4366</f>
        <v>74.1284935338591</v>
      </c>
      <c r="F4367" s="6" t="n">
        <f aca="false">Sens!E4367*(1+Sens!F4368)</f>
        <v>90.0799497373663</v>
      </c>
      <c r="G4367" s="6" t="n">
        <f aca="false">Sens!F4367*(1+Sens!G4368)</f>
        <v>107.02842520331</v>
      </c>
      <c r="H4367" s="6" t="n">
        <f aca="false">Sens!G4367*(1+Sens!H4368)</f>
        <v>124.271982585636</v>
      </c>
      <c r="I4367" s="6" t="n">
        <f aca="false">Sens!H4367*(1+Sens!I4368)</f>
        <v>140.933702381855</v>
      </c>
      <c r="J4367" s="6" t="n">
        <f aca="false">Sens!I4367*(1+Sens!J4368)</f>
        <v>156.018867314332</v>
      </c>
      <c r="K4367" s="6" t="n">
        <f aca="false">Sens!J4367*(1+Sens!K4368)</f>
        <v>168.500376699478</v>
      </c>
    </row>
    <row r="4368" customFormat="false" ht="15" hidden="false" customHeight="false" outlineLevel="0" collapsed="false">
      <c r="A4368" s="1" t="s">
        <v>876</v>
      </c>
      <c r="B4368" s="0" t="s">
        <v>129</v>
      </c>
      <c r="E4368" s="7" t="n">
        <f aca="false">Sens!E4367/Sens!D4367-1</f>
        <v>0.242223883039864</v>
      </c>
      <c r="F4368" s="7" t="n">
        <f aca="false">Sens!$E$4368+(glt_azo-Sens!$E$4368)*MIN(1,(Sens!F4328-base_fy)/n_conv)</f>
        <v>0.215186569199887</v>
      </c>
      <c r="G4368" s="7" t="n">
        <f aca="false">Sens!$E$4368+(glt_azo-Sens!$E$4368)*MIN(1,(Sens!G4328-base_fy)/n_conv)</f>
        <v>0.18814925535991</v>
      </c>
      <c r="H4368" s="7" t="n">
        <f aca="false">Sens!$E$4368+(glt_azo-Sens!$E$4368)*MIN(1,(Sens!H4328-base_fy)/n_conv)</f>
        <v>0.161111941519932</v>
      </c>
      <c r="I4368" s="7" t="n">
        <f aca="false">Sens!$E$4368+(glt_azo-Sens!$E$4368)*MIN(1,(Sens!I4328-base_fy)/n_conv)</f>
        <v>0.134074627679955</v>
      </c>
      <c r="J4368" s="7" t="n">
        <f aca="false">Sens!$E$4368+(glt_azo-Sens!$E$4368)*MIN(1,(Sens!J4328-base_fy)/n_conv)</f>
        <v>0.107037313839977</v>
      </c>
      <c r="K4368" s="7" t="n">
        <f aca="false">Sens!$E$4368+(glt_azo-Sens!$E$4368)*MIN(1,(Sens!K4328-base_fy)/n_conv)</f>
        <v>0.08</v>
      </c>
    </row>
    <row r="4369" customFormat="false" ht="15" hidden="false" customHeight="false" outlineLevel="0" collapsed="false">
      <c r="A4369" s="0" t="s">
        <v>877</v>
      </c>
      <c r="B4369" s="0" t="s">
        <v>98</v>
      </c>
      <c r="D4369" s="6" t="n">
        <f aca="false">Sens!D4366+Sens!D4367</f>
        <v>72.61</v>
      </c>
      <c r="E4369" s="6" t="n">
        <f aca="false">Sens!E4366+Sens!E4367</f>
        <v>101.938</v>
      </c>
      <c r="F4369" s="6" t="n">
        <f aca="false">Sens!F4366+Sens!F4367</f>
        <v>145.143956312325</v>
      </c>
      <c r="G4369" s="6" t="n">
        <f aca="false">Sens!G4366+Sens!G4367</f>
        <v>196.478966522364</v>
      </c>
      <c r="H4369" s="6" t="n">
        <f aca="false">Sens!H4366+Sens!H4367</f>
        <v>250.309022435933</v>
      </c>
      <c r="I4369" s="6" t="n">
        <f aca="false">Sens!I4366+Sens!I4367</f>
        <v>299.00028491404</v>
      </c>
      <c r="J4369" s="6" t="n">
        <f aca="false">Sens!J4366+Sens!J4367</f>
        <v>338.195561898423</v>
      </c>
      <c r="K4369" s="6" t="n">
        <f aca="false">Sens!K4366+Sens!K4367</f>
        <v>367.582701136876</v>
      </c>
    </row>
    <row r="4370" customFormat="false" ht="17.15" hidden="false" customHeight="false" outlineLevel="0" collapsed="false">
      <c r="A4370" s="0" t="s">
        <v>878</v>
      </c>
      <c r="B4370" s="1" t="s">
        <v>528</v>
      </c>
      <c r="C4370" s="29" t="n">
        <f aca="false">cop_s24</f>
        <v>1</v>
      </c>
      <c r="D4370" s="29" t="n">
        <f aca="false">cop_s25</f>
        <v>5</v>
      </c>
      <c r="E4370" s="29" t="n">
        <f aca="false">cop_s26</f>
        <v>30</v>
      </c>
      <c r="F4370" s="29" t="n">
        <f aca="false">Sens!E4370+cop_add_B</f>
        <v>50</v>
      </c>
      <c r="G4370" s="29" t="n">
        <f aca="false">Sens!F4370+cop_add_B</f>
        <v>70</v>
      </c>
      <c r="H4370" s="29" t="n">
        <f aca="false">Sens!G4370+cop_add_B</f>
        <v>90</v>
      </c>
      <c r="I4370" s="29" t="n">
        <f aca="false">Sens!H4370+cop_add_B*cop_tail</f>
        <v>100</v>
      </c>
      <c r="J4370" s="29" t="n">
        <f aca="false">Sens!I4370+cop_add_B*cop_tail</f>
        <v>110</v>
      </c>
      <c r="K4370" s="29" t="n">
        <f aca="false">Sens!J4370+cop_add_B*cop_tail</f>
        <v>120</v>
      </c>
      <c r="L4370" s="11" t="s">
        <v>879</v>
      </c>
    </row>
    <row r="4371" customFormat="false" ht="17.15" hidden="false" customHeight="false" outlineLevel="0" collapsed="false">
      <c r="A4371" s="0" t="s">
        <v>880</v>
      </c>
      <c r="B4371" s="0" t="s">
        <v>98</v>
      </c>
      <c r="D4371" s="6" t="n">
        <f aca="false">(Sens!C4370+Sens!D4370)/2*cop_px*12/1000</f>
        <v>0.9</v>
      </c>
      <c r="E4371" s="6" t="n">
        <f aca="false">(Sens!D4370+Sens!E4370)/2*cop_px*12/1000</f>
        <v>5.25</v>
      </c>
      <c r="F4371" s="6" t="n">
        <f aca="false">(Sens!E4370+Sens!F4370)/2*cop_px*12/1000</f>
        <v>12</v>
      </c>
      <c r="G4371" s="6" t="n">
        <f aca="false">(Sens!F4370+Sens!G4370)/2*cop_px*12/1000</f>
        <v>18</v>
      </c>
      <c r="H4371" s="6" t="n">
        <f aca="false">(Sens!G4370+Sens!H4370)/2*cop_px*12/1000</f>
        <v>24</v>
      </c>
      <c r="I4371" s="6" t="n">
        <f aca="false">(Sens!H4370+Sens!I4370)/2*cop_px*12/1000</f>
        <v>28.5</v>
      </c>
      <c r="J4371" s="6" t="n">
        <f aca="false">(Sens!I4370+Sens!J4370)/2*cop_px*12/1000</f>
        <v>31.5</v>
      </c>
      <c r="K4371" s="6" t="n">
        <f aca="false">(Sens!J4370+Sens!K4370)/2*cop_px*12/1000</f>
        <v>34.5</v>
      </c>
      <c r="L4371" s="1" t="s">
        <v>881</v>
      </c>
    </row>
    <row r="4372" customFormat="false" ht="17.15" hidden="false" customHeight="false" outlineLevel="0" collapsed="false">
      <c r="A4372" s="0" t="s">
        <v>882</v>
      </c>
      <c r="B4372" s="0" t="s">
        <v>98</v>
      </c>
      <c r="D4372" s="6" t="n">
        <f aca="false">Q!L7-Sens!D4371</f>
        <v>83.705</v>
      </c>
      <c r="E4372" s="6" t="n">
        <f aca="false">Q!M7-Sens!E4371</f>
        <v>95.049</v>
      </c>
      <c r="F4372" s="6" t="n">
        <f aca="false">Sens!E4372*(1+Sens!F4373)</f>
        <v>106.89238776686</v>
      </c>
      <c r="G4372" s="6" t="n">
        <f aca="false">Sens!F4372*(1+Sens!G4373)</f>
        <v>119.044168448684</v>
      </c>
      <c r="H4372" s="6" t="n">
        <f aca="false">Sens!G4372*(1+Sens!H4373)</f>
        <v>131.277359388781</v>
      </c>
      <c r="I4372" s="6" t="n">
        <f aca="false">Sens!H4372*(1+Sens!I4373)</f>
        <v>143.334028071957</v>
      </c>
      <c r="J4372" s="6" t="n">
        <f aca="false">Sens!I4372*(1+Sens!J4373)</f>
        <v>154.932702785465</v>
      </c>
      <c r="K4372" s="6" t="n">
        <f aca="false">Sens!J4372*(1+Sens!K4373)</f>
        <v>165.777991980448</v>
      </c>
    </row>
    <row r="4373" customFormat="false" ht="15" hidden="false" customHeight="false" outlineLevel="0" collapsed="false">
      <c r="A4373" s="1" t="s">
        <v>876</v>
      </c>
      <c r="B4373" s="0" t="s">
        <v>129</v>
      </c>
      <c r="E4373" s="7" t="n">
        <f aca="false">Sens!E4372/Sens!D4372-1</f>
        <v>0.135523564900544</v>
      </c>
      <c r="F4373" s="7" t="n">
        <f aca="false">Sens!$E$4373+(glt_m365b-Sens!$E$4373)*MIN(1,(Sens!F4328-base_fy)/n_conv)</f>
        <v>0.124602970750453</v>
      </c>
      <c r="G4373" s="7" t="n">
        <f aca="false">Sens!$E$4373+(glt_m365b-Sens!$E$4373)*MIN(1,(Sens!G4328-base_fy)/n_conv)</f>
        <v>0.113682376600363</v>
      </c>
      <c r="H4373" s="7" t="n">
        <f aca="false">Sens!$E$4373+(glt_m365b-Sens!$E$4373)*MIN(1,(Sens!H4328-base_fy)/n_conv)</f>
        <v>0.102761782450272</v>
      </c>
      <c r="I4373" s="7" t="n">
        <f aca="false">Sens!$E$4373+(glt_m365b-Sens!$E$4373)*MIN(1,(Sens!I4328-base_fy)/n_conv)</f>
        <v>0.0918411883001813</v>
      </c>
      <c r="J4373" s="7" t="n">
        <f aca="false">Sens!$E$4373+(glt_m365b-Sens!$E$4373)*MIN(1,(Sens!J4328-base_fy)/n_conv)</f>
        <v>0.0809205941500906</v>
      </c>
      <c r="K4373" s="7" t="n">
        <f aca="false">Sens!$E$4373+(glt_m365b-Sens!$E$4373)*MIN(1,(Sens!K4328-base_fy)/n_conv)</f>
        <v>0.07</v>
      </c>
    </row>
    <row r="4374" customFormat="false" ht="15" hidden="false" customHeight="false" outlineLevel="0" collapsed="false">
      <c r="A4374" s="0" t="s">
        <v>883</v>
      </c>
      <c r="B4374" s="0" t="s">
        <v>98</v>
      </c>
      <c r="D4374" s="6" t="n">
        <f aca="false">Sens!D4372+Sens!D4371</f>
        <v>84.605</v>
      </c>
      <c r="E4374" s="6" t="n">
        <f aca="false">Sens!E4372+Sens!E4371</f>
        <v>100.299</v>
      </c>
      <c r="F4374" s="6" t="n">
        <f aca="false">Sens!F4372+Sens!F4371</f>
        <v>118.89238776686</v>
      </c>
      <c r="G4374" s="6" t="n">
        <f aca="false">Sens!G4372+Sens!G4371</f>
        <v>137.044168448684</v>
      </c>
      <c r="H4374" s="6" t="n">
        <f aca="false">Sens!H4372+Sens!H4371</f>
        <v>155.277359388781</v>
      </c>
      <c r="I4374" s="6" t="n">
        <f aca="false">Sens!I4372+Sens!I4371</f>
        <v>171.834028071957</v>
      </c>
      <c r="J4374" s="6" t="n">
        <f aca="false">Sens!J4372+Sens!J4371</f>
        <v>186.432702785465</v>
      </c>
      <c r="K4374" s="6" t="n">
        <f aca="false">Sens!K4372+Sens!K4371</f>
        <v>200.277991980448</v>
      </c>
    </row>
    <row r="4375" customFormat="false" ht="15" hidden="false" customHeight="false" outlineLevel="0" collapsed="false">
      <c r="A4375" s="0" t="s">
        <v>884</v>
      </c>
      <c r="B4375" s="0" t="s">
        <v>98</v>
      </c>
      <c r="D4375" s="6" t="n">
        <f aca="false">Q!L8</f>
        <v>35.391</v>
      </c>
      <c r="E4375" s="6" t="n">
        <f aca="false">Q!M8</f>
        <v>37.285</v>
      </c>
      <c r="F4375" s="6" t="n">
        <f aca="false">Sens!E4375*(1+Sens!F4376)</f>
        <v>39.0720834331704</v>
      </c>
      <c r="G4375" s="6" t="n">
        <f aca="false">Sens!F4375*(1+Sens!G4376)</f>
        <v>40.726562953769</v>
      </c>
      <c r="H4375" s="6" t="n">
        <f aca="false">Sens!G4375*(1+Sens!H4376)</f>
        <v>42.2235987259198</v>
      </c>
      <c r="I4375" s="6" t="n">
        <f aca="false">Sens!H4375*(1+Sens!I4376)</f>
        <v>43.5397988077414</v>
      </c>
      <c r="J4375" s="6" t="n">
        <f aca="false">Sens!I4375*(1+Sens!J4376)</f>
        <v>44.653811225693</v>
      </c>
      <c r="K4375" s="6" t="n">
        <f aca="false">Sens!J4375*(1+Sens!K4376)</f>
        <v>45.5468874502068</v>
      </c>
    </row>
    <row r="4376" customFormat="false" ht="15" hidden="false" customHeight="false" outlineLevel="0" collapsed="false">
      <c r="A4376" s="1" t="s">
        <v>876</v>
      </c>
      <c r="B4376" s="0" t="s">
        <v>129</v>
      </c>
      <c r="E4376" s="7" t="n">
        <f aca="false">Sens!E4375/Sens!D4375-1</f>
        <v>0.0535164307309768</v>
      </c>
      <c r="F4376" s="7" t="n">
        <f aca="false">Sens!$E$4376+(glt_lic-Sens!$E$4376)*MIN(1,(Sens!F4328-base_fy)/n_conv)</f>
        <v>0.0479303589424807</v>
      </c>
      <c r="G4376" s="7" t="n">
        <f aca="false">Sens!$E$4376+(glt_lic-Sens!$E$4376)*MIN(1,(Sens!G4328-base_fy)/n_conv)</f>
        <v>0.0423442871539845</v>
      </c>
      <c r="H4376" s="7" t="n">
        <f aca="false">Sens!$E$4376+(glt_lic-Sens!$E$4376)*MIN(1,(Sens!H4328-base_fy)/n_conv)</f>
        <v>0.0367582153654884</v>
      </c>
      <c r="I4376" s="7" t="n">
        <f aca="false">Sens!$E$4376+(glt_lic-Sens!$E$4376)*MIN(1,(Sens!I4328-base_fy)/n_conv)</f>
        <v>0.0311721435769923</v>
      </c>
      <c r="J4376" s="7" t="n">
        <f aca="false">Sens!$E$4376+(glt_lic-Sens!$E$4376)*MIN(1,(Sens!J4328-base_fy)/n_conv)</f>
        <v>0.0255860717884961</v>
      </c>
      <c r="K4376" s="7" t="n">
        <f aca="false">Sens!$E$4376+(glt_lic-Sens!$E$4376)*MIN(1,(Sens!K4328-base_fy)/n_conv)</f>
        <v>0.02</v>
      </c>
    </row>
    <row r="4377" customFormat="false" ht="15" hidden="false" customHeight="false" outlineLevel="0" collapsed="false">
      <c r="A4377" s="0" t="s">
        <v>885</v>
      </c>
      <c r="B4377" s="0" t="s">
        <v>98</v>
      </c>
      <c r="D4377" s="6" t="n">
        <f aca="false">Q!L9</f>
        <v>18.417</v>
      </c>
      <c r="E4377" s="6" t="n">
        <f aca="false">Q!M9</f>
        <v>20.345</v>
      </c>
      <c r="F4377" s="6" t="n">
        <f aca="false">Sens!E4377*(1+Sens!F4378)</f>
        <v>22.3572203267814</v>
      </c>
      <c r="G4377" s="6" t="n">
        <f aca="false">Sens!F4377*(1+Sens!G4378)</f>
        <v>24.4392124437232</v>
      </c>
      <c r="H4377" s="6" t="n">
        <f aca="false">Sens!G4377*(1+Sens!H4378)</f>
        <v>26.5738052080665</v>
      </c>
      <c r="I4377" s="6" t="n">
        <f aca="false">Sens!H4377*(1+Sens!I4378)</f>
        <v>28.7412169166967</v>
      </c>
      <c r="J4377" s="6" t="n">
        <f aca="false">Sens!I4377*(1+Sens!J4378)</f>
        <v>30.9192545395413</v>
      </c>
      <c r="K4377" s="6" t="n">
        <f aca="false">Sens!J4377*(1+Sens!K4378)</f>
        <v>33.0836023573092</v>
      </c>
    </row>
    <row r="4378" customFormat="false" ht="15" hidden="false" customHeight="false" outlineLevel="0" collapsed="false">
      <c r="A4378" s="1" t="s">
        <v>876</v>
      </c>
      <c r="B4378" s="0" t="s">
        <v>129</v>
      </c>
      <c r="E4378" s="7" t="n">
        <f aca="false">Sens!E4377/Sens!D4377-1</f>
        <v>0.104685888038225</v>
      </c>
      <c r="F4378" s="7" t="n">
        <f aca="false">Sens!$E$4378+(glt_ind-Sens!$E$4378)*MIN(1,(Sens!F4328-base_fy)/n_conv)</f>
        <v>0.0989049066985211</v>
      </c>
      <c r="G4378" s="7" t="n">
        <f aca="false">Sens!$E$4378+(glt_ind-Sens!$E$4378)*MIN(1,(Sens!G4328-base_fy)/n_conv)</f>
        <v>0.0931239253588169</v>
      </c>
      <c r="H4378" s="7" t="n">
        <f aca="false">Sens!$E$4378+(glt_ind-Sens!$E$4378)*MIN(1,(Sens!H4328-base_fy)/n_conv)</f>
        <v>0.0873429440191127</v>
      </c>
      <c r="I4378" s="7" t="n">
        <f aca="false">Sens!$E$4378+(glt_ind-Sens!$E$4378)*MIN(1,(Sens!I4328-base_fy)/n_conv)</f>
        <v>0.0815619626794085</v>
      </c>
      <c r="J4378" s="7" t="n">
        <f aca="false">Sens!$E$4378+(glt_ind-Sens!$E$4378)*MIN(1,(Sens!J4328-base_fy)/n_conv)</f>
        <v>0.0757809813397042</v>
      </c>
      <c r="K4378" s="7" t="n">
        <f aca="false">Sens!$E$4378+(glt_ind-Sens!$E$4378)*MIN(1,(Sens!K4328-base_fy)/n_conv)</f>
        <v>0.07</v>
      </c>
    </row>
    <row r="4379" customFormat="false" ht="15" hidden="false" customHeight="false" outlineLevel="0" collapsed="false">
      <c r="A4379" s="0" t="s">
        <v>886</v>
      </c>
      <c r="B4379" s="0" t="s">
        <v>98</v>
      </c>
      <c r="D4379" s="6" t="n">
        <f aca="false">Q!L10</f>
        <v>7.76</v>
      </c>
      <c r="E4379" s="6" t="n">
        <f aca="false">Q!M10</f>
        <v>8.26</v>
      </c>
      <c r="F4379" s="6" t="n">
        <f aca="false">Sens!E4379*(1+Sens!F4380)</f>
        <v>8.79988041237113</v>
      </c>
      <c r="G4379" s="6" t="n">
        <f aca="false">Sens!F4379*(1+Sens!G4380)</f>
        <v>9.38321269125306</v>
      </c>
      <c r="H4379" s="6" t="n">
        <f aca="false">Sens!G4379*(1+Sens!H4380)</f>
        <v>10.0139193587476</v>
      </c>
      <c r="I4379" s="6" t="n">
        <f aca="false">Sens!H4379*(1+Sens!I4380)</f>
        <v>10.6963111830911</v>
      </c>
      <c r="J4379" s="6" t="n">
        <f aca="false">Sens!I4379*(1+Sens!J4380)</f>
        <v>11.4351285534696</v>
      </c>
      <c r="K4379" s="6" t="n">
        <f aca="false">Sens!J4379*(1+Sens!K4380)</f>
        <v>12.2355875522124</v>
      </c>
    </row>
    <row r="4380" customFormat="false" ht="15" hidden="false" customHeight="false" outlineLevel="0" collapsed="false">
      <c r="A4380" s="1" t="s">
        <v>876</v>
      </c>
      <c r="B4380" s="0" t="s">
        <v>129</v>
      </c>
      <c r="E4380" s="7" t="n">
        <f aca="false">Sens!E4379/Sens!D4379-1</f>
        <v>0.0644329896907216</v>
      </c>
      <c r="F4380" s="7" t="n">
        <f aca="false">Sens!$E$4380+(glt_fro-Sens!$E$4380)*MIN(1,(Sens!F4328-base_fy)/n_conv)</f>
        <v>0.065360824742268</v>
      </c>
      <c r="G4380" s="7" t="n">
        <f aca="false">Sens!$E$4380+(glt_fro-Sens!$E$4380)*MIN(1,(Sens!G4328-base_fy)/n_conv)</f>
        <v>0.0662886597938144</v>
      </c>
      <c r="H4380" s="7" t="n">
        <f aca="false">Sens!$E$4380+(glt_fro-Sens!$E$4380)*MIN(1,(Sens!H4328-base_fy)/n_conv)</f>
        <v>0.0672164948453608</v>
      </c>
      <c r="I4380" s="7" t="n">
        <f aca="false">Sens!$E$4380+(glt_fro-Sens!$E$4380)*MIN(1,(Sens!I4328-base_fy)/n_conv)</f>
        <v>0.0681443298969072</v>
      </c>
      <c r="J4380" s="7" t="n">
        <f aca="false">Sens!$E$4380+(glt_fro-Sens!$E$4380)*MIN(1,(Sens!J4328-base_fy)/n_conv)</f>
        <v>0.0690721649484536</v>
      </c>
      <c r="K4380" s="7" t="n">
        <f aca="false">Sens!$E$4380+(glt_fro-Sens!$E$4380)*MIN(1,(Sens!K4328-base_fy)/n_conv)</f>
        <v>0.07</v>
      </c>
    </row>
    <row r="4381" customFormat="false" ht="15" hidden="false" customHeight="false" outlineLevel="0" collapsed="false">
      <c r="A4381" s="0" t="s">
        <v>715</v>
      </c>
      <c r="B4381" s="0" t="s">
        <v>98</v>
      </c>
      <c r="D4381" s="6" t="n">
        <f aca="false">Sens!D4369+Sens!D4374+Sens!D4375+Sens!D4377+Sens!D4379</f>
        <v>218.783</v>
      </c>
      <c r="E4381" s="6" t="n">
        <f aca="false">Sens!E4369+Sens!E4374+Sens!E4375+Sens!E4377+Sens!E4379</f>
        <v>268.127</v>
      </c>
      <c r="F4381" s="6" t="n">
        <f aca="false">Sens!F4369+Sens!F4374+Sens!F4375+Sens!F4377+Sens!F4379</f>
        <v>334.265528251508</v>
      </c>
      <c r="G4381" s="6" t="n">
        <f aca="false">Sens!G4369+Sens!G4374+Sens!G4375+Sens!G4377+Sens!G4379</f>
        <v>408.072123059793</v>
      </c>
      <c r="H4381" s="6" t="n">
        <f aca="false">Sens!H4369+Sens!H4374+Sens!H4375+Sens!H4377+Sens!H4379</f>
        <v>484.397705117448</v>
      </c>
      <c r="I4381" s="6" t="n">
        <f aca="false">Sens!I4369+Sens!I4374+Sens!I4375+Sens!I4377+Sens!I4379</f>
        <v>553.811639893526</v>
      </c>
      <c r="J4381" s="6" t="n">
        <f aca="false">Sens!J4369+Sens!J4374+Sens!J4375+Sens!J4377+Sens!J4379</f>
        <v>611.636459002592</v>
      </c>
      <c r="K4381" s="6" t="n">
        <f aca="false">Sens!K4369+Sens!K4374+Sens!K4375+Sens!K4377+Sens!K4379</f>
        <v>658.726770477052</v>
      </c>
    </row>
    <row r="4382" customFormat="false" ht="15" hidden="false" customHeight="false" outlineLevel="0" collapsed="false">
      <c r="A4382" s="0" t="s">
        <v>887</v>
      </c>
      <c r="B4382" s="0" t="s">
        <v>98</v>
      </c>
      <c r="D4382" s="6" t="n">
        <f aca="false">Q!L13</f>
        <v>22.171</v>
      </c>
      <c r="E4382" s="6" t="n">
        <f aca="false">Q!M13</f>
        <v>24.835</v>
      </c>
      <c r="F4382" s="6" t="n">
        <f aca="false">Sens!E4382*(1+Sens!F4383)</f>
        <v>27.6114901218559</v>
      </c>
      <c r="G4382" s="6" t="n">
        <f aca="false">Sens!F4382*(1+Sens!G4383)</f>
        <v>30.4675667338515</v>
      </c>
      <c r="H4382" s="6" t="n">
        <f aca="false">Sens!G4382*(1+Sens!H4383)</f>
        <v>33.3643766955789</v>
      </c>
      <c r="I4382" s="6" t="n">
        <f aca="false">Sens!H4382*(1+Sens!I4383)</f>
        <v>36.2577016533691</v>
      </c>
      <c r="J4382" s="6" t="n">
        <f aca="false">Sens!I4382*(1+Sens!J4383)</f>
        <v>39.0988367952171</v>
      </c>
      <c r="K4382" s="6" t="n">
        <f aca="false">Sens!J4382*(1+Sens!K4383)</f>
        <v>41.8357553708823</v>
      </c>
    </row>
    <row r="4383" customFormat="false" ht="15" hidden="false" customHeight="false" outlineLevel="0" collapsed="false">
      <c r="A4383" s="1" t="s">
        <v>876</v>
      </c>
      <c r="B4383" s="0" t="s">
        <v>129</v>
      </c>
      <c r="E4383" s="7" t="n">
        <f aca="false">Sens!E4382/Sens!D4382-1</f>
        <v>0.120156961796942</v>
      </c>
      <c r="F4383" s="7" t="n">
        <f aca="false">Sens!$E$4383+(glt_srch-Sens!$E$4383)*MIN(1,(Sens!F4328-base_fy)/n_conv)</f>
        <v>0.111797468164118</v>
      </c>
      <c r="G4383" s="7" t="n">
        <f aca="false">Sens!$E$4383+(glt_srch-Sens!$E$4383)*MIN(1,(Sens!G4328-base_fy)/n_conv)</f>
        <v>0.103437974531295</v>
      </c>
      <c r="H4383" s="7" t="n">
        <f aca="false">Sens!$E$4383+(glt_srch-Sens!$E$4383)*MIN(1,(Sens!H4328-base_fy)/n_conv)</f>
        <v>0.095078480898471</v>
      </c>
      <c r="I4383" s="7" t="n">
        <f aca="false">Sens!$E$4383+(glt_srch-Sens!$E$4383)*MIN(1,(Sens!I4328-base_fy)/n_conv)</f>
        <v>0.0867189872656474</v>
      </c>
      <c r="J4383" s="7" t="n">
        <f aca="false">Sens!$E$4383+(glt_srch-Sens!$E$4383)*MIN(1,(Sens!J4328-base_fy)/n_conv)</f>
        <v>0.0783594936328237</v>
      </c>
      <c r="K4383" s="7" t="n">
        <f aca="false">Sens!$E$4383+(glt_srch-Sens!$E$4383)*MIN(1,(Sens!K4328-base_fy)/n_conv)</f>
        <v>0.07</v>
      </c>
    </row>
    <row r="4384" customFormat="false" ht="15" hidden="false" customHeight="false" outlineLevel="0" collapsed="false">
      <c r="A4384" s="0" t="s">
        <v>888</v>
      </c>
      <c r="B4384" s="0" t="s">
        <v>98</v>
      </c>
      <c r="D4384" s="6" t="n">
        <f aca="false">Q!L14</f>
        <v>23.455</v>
      </c>
      <c r="E4384" s="6" t="n">
        <f aca="false">Q!M14</f>
        <v>21.79</v>
      </c>
      <c r="F4384" s="6" t="n">
        <f aca="false">Sens!E4384*(1+Sens!F4385)</f>
        <v>20.5736277908051</v>
      </c>
      <c r="G4384" s="6" t="n">
        <f aca="false">Sens!F4384*(1+Sens!G4385)</f>
        <v>19.7371452817919</v>
      </c>
      <c r="H4384" s="6" t="n">
        <f aca="false">Sens!G4384*(1+Sens!H4385)</f>
        <v>19.2339764043138</v>
      </c>
      <c r="I4384" s="6" t="n">
        <f aca="false">Sens!H4384*(1+Sens!I4385)</f>
        <v>19.0353086852681</v>
      </c>
      <c r="J4384" s="6" t="n">
        <f aca="false">Sens!I4384*(1+Sens!J4385)</f>
        <v>19.1273539319129</v>
      </c>
      <c r="K4384" s="6" t="n">
        <f aca="false">Sens!J4384*(1+Sens!K4385)</f>
        <v>19.5099010105511</v>
      </c>
    </row>
    <row r="4385" customFormat="false" ht="15" hidden="false" customHeight="false" outlineLevel="0" collapsed="false">
      <c r="A4385" s="1" t="s">
        <v>876</v>
      </c>
      <c r="B4385" s="0" t="s">
        <v>129</v>
      </c>
      <c r="E4385" s="7" t="n">
        <f aca="false">Sens!E4384/Sens!D4384-1</f>
        <v>-0.0709869963760392</v>
      </c>
      <c r="F4385" s="7" t="n">
        <f aca="false">Sens!$E$4385+(glt_xbox-Sens!$E$4385)*MIN(1,(Sens!F4328-base_fy)/n_conv)</f>
        <v>-0.0558224969800327</v>
      </c>
      <c r="G4385" s="7" t="n">
        <f aca="false">Sens!$E$4385+(glt_xbox-Sens!$E$4385)*MIN(1,(Sens!G4328-base_fy)/n_conv)</f>
        <v>-0.0406579975840262</v>
      </c>
      <c r="H4385" s="7" t="n">
        <f aca="false">Sens!$E$4385+(glt_xbox-Sens!$E$4385)*MIN(1,(Sens!H4328-base_fy)/n_conv)</f>
        <v>-0.0254934981880196</v>
      </c>
      <c r="I4385" s="7" t="n">
        <f aca="false">Sens!$E$4385+(glt_xbox-Sens!$E$4385)*MIN(1,(Sens!I4328-base_fy)/n_conv)</f>
        <v>-0.0103289987920131</v>
      </c>
      <c r="J4385" s="7" t="n">
        <f aca="false">Sens!$E$4385+(glt_xbox-Sens!$E$4385)*MIN(1,(Sens!J4328-base_fy)/n_conv)</f>
        <v>0.00483550060399347</v>
      </c>
      <c r="K4385" s="7" t="n">
        <f aca="false">Sens!$E$4385+(glt_xbox-Sens!$E$4385)*MIN(1,(Sens!K4328-base_fy)/n_conv)</f>
        <v>0.02</v>
      </c>
    </row>
    <row r="4386" customFormat="false" ht="15" hidden="false" customHeight="false" outlineLevel="0" collapsed="false">
      <c r="A4386" s="0" t="s">
        <v>889</v>
      </c>
      <c r="B4386" s="0" t="s">
        <v>98</v>
      </c>
      <c r="D4386" s="6" t="n">
        <f aca="false">Q!L15</f>
        <v>17.315</v>
      </c>
      <c r="E4386" s="6" t="n">
        <f aca="false">Q!M15</f>
        <v>17.087</v>
      </c>
      <c r="F4386" s="6" t="n">
        <f aca="false">Sens!E4386*(1+Sens!F4387)</f>
        <v>16.9564585436519</v>
      </c>
      <c r="G4386" s="6" t="n">
        <f aca="false">Sens!F4386*(1+Sens!G4387)</f>
        <v>16.9206490624268</v>
      </c>
      <c r="H4386" s="6" t="n">
        <f aca="false">Sens!G4386*(1+Sens!H4387)</f>
        <v>16.9784519149849</v>
      </c>
      <c r="I4386" s="6" t="n">
        <f aca="false">Sens!H4386*(1+Sens!I4387)</f>
        <v>17.1303084701817</v>
      </c>
      <c r="J4386" s="6" t="n">
        <f aca="false">Sens!I4386*(1+Sens!J4387)</f>
        <v>17.3782189407267</v>
      </c>
      <c r="K4386" s="6" t="n">
        <f aca="false">Sens!J4386*(1+Sens!K4387)</f>
        <v>17.7257833195413</v>
      </c>
    </row>
    <row r="4387" customFormat="false" ht="15" hidden="false" customHeight="false" outlineLevel="0" collapsed="false">
      <c r="A4387" s="1" t="s">
        <v>876</v>
      </c>
      <c r="B4387" s="0" t="s">
        <v>129</v>
      </c>
      <c r="E4387" s="7" t="n">
        <f aca="false">Sens!E4386/Sens!D4386-1</f>
        <v>-0.0131677736066995</v>
      </c>
      <c r="F4387" s="7" t="n">
        <f aca="false">Sens!$E$4387+(glt_win-Sens!$E$4387)*MIN(1,(Sens!F4328-base_fy)/n_conv)</f>
        <v>-0.00763981133891627</v>
      </c>
      <c r="G4387" s="7" t="n">
        <f aca="false">Sens!$E$4387+(glt_win-Sens!$E$4387)*MIN(1,(Sens!G4328-base_fy)/n_conv)</f>
        <v>-0.00211184907113301</v>
      </c>
      <c r="H4387" s="7" t="n">
        <f aca="false">Sens!$E$4387+(glt_win-Sens!$E$4387)*MIN(1,(Sens!H4328-base_fy)/n_conv)</f>
        <v>0.00341611319665024</v>
      </c>
      <c r="I4387" s="7" t="n">
        <f aca="false">Sens!$E$4387+(glt_win-Sens!$E$4387)*MIN(1,(Sens!I4328-base_fy)/n_conv)</f>
        <v>0.00894407546443349</v>
      </c>
      <c r="J4387" s="7" t="n">
        <f aca="false">Sens!$E$4387+(glt_win-Sens!$E$4387)*MIN(1,(Sens!J4328-base_fy)/n_conv)</f>
        <v>0.0144720377322168</v>
      </c>
      <c r="K4387" s="7" t="n">
        <f aca="false">Sens!$E$4387+(glt_win-Sens!$E$4387)*MIN(1,(Sens!K4328-base_fy)/n_conv)</f>
        <v>0.02</v>
      </c>
    </row>
    <row r="4388" customFormat="false" ht="15" hidden="false" customHeight="false" outlineLevel="0" collapsed="false">
      <c r="A4388" s="0" t="s">
        <v>729</v>
      </c>
      <c r="B4388" s="0" t="s">
        <v>98</v>
      </c>
      <c r="D4388" s="6" t="n">
        <f aca="false">Sens!D4382+Sens!D4384+Sens!D4386</f>
        <v>62.941</v>
      </c>
      <c r="E4388" s="6" t="n">
        <f aca="false">Sens!E4382+Sens!E4384+Sens!E4386</f>
        <v>63.712</v>
      </c>
      <c r="F4388" s="6" t="n">
        <f aca="false">Sens!F4382+Sens!F4384+Sens!F4386</f>
        <v>65.1415764563129</v>
      </c>
      <c r="G4388" s="6" t="n">
        <f aca="false">Sens!G4382+Sens!G4384+Sens!G4386</f>
        <v>67.1253610780702</v>
      </c>
      <c r="H4388" s="6" t="n">
        <f aca="false">Sens!H4382+Sens!H4384+Sens!H4386</f>
        <v>69.5768050148776</v>
      </c>
      <c r="I4388" s="6" t="n">
        <f aca="false">Sens!I4382+Sens!I4384+Sens!I4386</f>
        <v>72.4233188088189</v>
      </c>
      <c r="J4388" s="6" t="n">
        <f aca="false">Sens!J4382+Sens!J4384+Sens!J4386</f>
        <v>75.6044096678567</v>
      </c>
      <c r="K4388" s="6" t="n">
        <f aca="false">Sens!K4382+Sens!K4384+Sens!K4386</f>
        <v>79.0714397009747</v>
      </c>
    </row>
    <row r="4389" customFormat="false" ht="15" hidden="false" customHeight="false" outlineLevel="0" collapsed="false">
      <c r="A4389" s="1" t="s">
        <v>890</v>
      </c>
      <c r="B4389" s="0" t="s">
        <v>98</v>
      </c>
      <c r="D4389" s="6" t="n">
        <f aca="false">Sens!D4381+Sens!D4388</f>
        <v>281.724</v>
      </c>
      <c r="E4389" s="6" t="n">
        <f aca="false">Sens!E4381+Sens!E4388</f>
        <v>331.839</v>
      </c>
      <c r="F4389" s="6" t="n">
        <f aca="false">Sens!F4381+Sens!F4388</f>
        <v>399.407104707821</v>
      </c>
      <c r="G4389" s="6" t="n">
        <f aca="false">Sens!G4381+Sens!G4388</f>
        <v>475.197484137863</v>
      </c>
      <c r="H4389" s="6" t="n">
        <f aca="false">Sens!H4381+Sens!H4388</f>
        <v>553.974510132325</v>
      </c>
      <c r="I4389" s="6" t="n">
        <f aca="false">Sens!I4381+Sens!I4388</f>
        <v>626.234958702345</v>
      </c>
      <c r="J4389" s="6" t="n">
        <f aca="false">Sens!J4381+Sens!J4388</f>
        <v>687.240868670449</v>
      </c>
      <c r="K4389" s="6" t="n">
        <f aca="false">Sens!K4381+Sens!K4388</f>
        <v>737.798210178027</v>
      </c>
    </row>
    <row r="4390" customFormat="false" ht="15" hidden="false" customHeight="false" outlineLevel="0" collapsed="false">
      <c r="A4390" s="23" t="s">
        <v>891</v>
      </c>
      <c r="B4390" s="30" t="s">
        <v>98</v>
      </c>
      <c r="C4390" s="30"/>
      <c r="D4390" s="24" t="n">
        <f aca="false">(Sens!D4369+Sens!D4374+Sens!D4375+Sens!D4377+Sens!D4379-Sens!D4381)+(Sens!D4382+Sens!D4384+Sens!D4386-Sens!D4388)+(Sens!D4381-Q!L5)+(Sens!D4388-Q!L12)+(Sens!D4369-Q!L6)+(Sens!D4374-Q!L7)</f>
        <v>0</v>
      </c>
      <c r="E4390" s="24" t="n">
        <f aca="false">(Sens!E4369+Sens!E4374+Sens!E4375+Sens!E4377+Sens!E4379-Sens!E4381)+(Sens!E4382+Sens!E4384+Sens!E4386-Sens!E4388)+(Sens!E4381-Q!M5)+(Sens!E4388-Q!M12)+(Sens!E4369-Q!M6)+(Sens!E4374-Q!M7)</f>
        <v>0</v>
      </c>
      <c r="F4390" s="24" t="n">
        <f aca="false">(Sens!F4369+Sens!F4374+Sens!F4375+Sens!F4377+Sens!F4379-Sens!F4381)+(Sens!F4382+Sens!F4384+Sens!F4386-Sens!F4388)</f>
        <v>0</v>
      </c>
      <c r="G4390" s="24" t="n">
        <f aca="false">(Sens!G4369+Sens!G4374+Sens!G4375+Sens!G4377+Sens!G4379-Sens!G4381)+(Sens!G4382+Sens!G4384+Sens!G4386-Sens!G4388)</f>
        <v>0</v>
      </c>
      <c r="H4390" s="24" t="n">
        <f aca="false">(Sens!H4369+Sens!H4374+Sens!H4375+Sens!H4377+Sens!H4379-Sens!H4381)+(Sens!H4382+Sens!H4384+Sens!H4386-Sens!H4388)</f>
        <v>0</v>
      </c>
      <c r="I4390" s="24" t="n">
        <f aca="false">(Sens!I4369+Sens!I4374+Sens!I4375+Sens!I4377+Sens!I4379-Sens!I4381)+(Sens!I4382+Sens!I4384+Sens!I4386-Sens!I4388)</f>
        <v>0</v>
      </c>
      <c r="J4390" s="24" t="n">
        <f aca="false">(Sens!J4369+Sens!J4374+Sens!J4375+Sens!J4377+Sens!J4379-Sens!J4381)+(Sens!J4382+Sens!J4384+Sens!J4386-Sens!J4388)</f>
        <v>0</v>
      </c>
      <c r="K4390" s="24" t="n">
        <f aca="false">(Sens!K4369+Sens!K4374+Sens!K4375+Sens!K4377+Sens!K4379-Sens!K4381)+(Sens!K4382+Sens!K4384+Sens!K4386-Sens!K4388)</f>
        <v>0</v>
      </c>
    </row>
    <row r="4391" customFormat="false" ht="17.15" hidden="false" customHeight="false" outlineLevel="0" collapsed="false">
      <c r="A4391" s="3" t="s">
        <v>1374</v>
      </c>
    </row>
    <row r="4392" customFormat="false" ht="15" hidden="false" customHeight="false" outlineLevel="0" collapsed="false">
      <c r="A4392" s="4" t="s">
        <v>43</v>
      </c>
      <c r="B4392" s="4" t="s">
        <v>65</v>
      </c>
      <c r="C4392" s="20" t="s">
        <v>799</v>
      </c>
      <c r="D4392" s="20" t="s">
        <v>800</v>
      </c>
      <c r="E4392" s="20" t="s">
        <v>801</v>
      </c>
      <c r="F4392" s="20" t="s">
        <v>802</v>
      </c>
      <c r="G4392" s="20" t="s">
        <v>803</v>
      </c>
      <c r="H4392" s="20" t="s">
        <v>804</v>
      </c>
      <c r="I4392" s="20" t="s">
        <v>805</v>
      </c>
      <c r="J4392" s="20" t="s">
        <v>806</v>
      </c>
      <c r="K4392" s="20" t="s">
        <v>807</v>
      </c>
      <c r="L4392" s="4" t="s">
        <v>47</v>
      </c>
    </row>
    <row r="4393" customFormat="false" ht="15" hidden="false" customHeight="false" outlineLevel="0" collapsed="false">
      <c r="A4393" s="0" t="s">
        <v>877</v>
      </c>
      <c r="B4393" s="0" t="s">
        <v>98</v>
      </c>
      <c r="D4393" s="6" t="n">
        <f aca="false">Sens!D4369</f>
        <v>72.61</v>
      </c>
      <c r="E4393" s="6" t="n">
        <f aca="false">Sens!E4369</f>
        <v>101.938</v>
      </c>
      <c r="F4393" s="6" t="n">
        <f aca="false">Sens!F4369</f>
        <v>145.143956312325</v>
      </c>
      <c r="G4393" s="6" t="n">
        <f aca="false">Sens!G4369</f>
        <v>196.478966522364</v>
      </c>
      <c r="H4393" s="6" t="n">
        <f aca="false">Sens!H4369</f>
        <v>250.309022435933</v>
      </c>
      <c r="I4393" s="6" t="n">
        <f aca="false">Sens!I4369</f>
        <v>299.00028491404</v>
      </c>
      <c r="J4393" s="6" t="n">
        <f aca="false">Sens!J4369</f>
        <v>338.195561898423</v>
      </c>
      <c r="K4393" s="6" t="n">
        <f aca="false">Sens!K4369</f>
        <v>367.582701136876</v>
      </c>
    </row>
    <row r="4394" customFormat="false" ht="17.15" hidden="false" customHeight="false" outlineLevel="0" collapsed="false">
      <c r="A4394" s="0" t="s">
        <v>874</v>
      </c>
      <c r="B4394" s="0" t="s">
        <v>98</v>
      </c>
      <c r="D4394" s="6" t="n">
        <f aca="false">Sens!D4366</f>
        <v>12.9359794422418</v>
      </c>
      <c r="E4394" s="6" t="n">
        <f aca="false">Sens!E4366</f>
        <v>27.8095064661409</v>
      </c>
      <c r="F4394" s="6" t="n">
        <f aca="false">Sens!F4366</f>
        <v>55.0640065749585</v>
      </c>
      <c r="G4394" s="6" t="n">
        <f aca="false">Sens!G4366</f>
        <v>89.4505413190538</v>
      </c>
      <c r="H4394" s="6" t="n">
        <f aca="false">Sens!H4366</f>
        <v>126.037039850297</v>
      </c>
      <c r="I4394" s="6" t="n">
        <f aca="false">Sens!I4366</f>
        <v>158.066582532185</v>
      </c>
      <c r="J4394" s="6" t="n">
        <f aca="false">Sens!J4366</f>
        <v>182.176694584092</v>
      </c>
      <c r="K4394" s="6" t="n">
        <f aca="false">Sens!K4366</f>
        <v>199.082324437398</v>
      </c>
    </row>
    <row r="4395" customFormat="false" ht="17.15" hidden="false" customHeight="false" outlineLevel="0" collapsed="false">
      <c r="A4395" s="0" t="s">
        <v>902</v>
      </c>
      <c r="B4395" s="0" t="s">
        <v>98</v>
      </c>
      <c r="D4395" s="6" t="n">
        <f aca="false">Sens!D4367</f>
        <v>59.6740205577583</v>
      </c>
      <c r="E4395" s="6" t="n">
        <f aca="false">Sens!E4367</f>
        <v>74.1284935338591</v>
      </c>
      <c r="F4395" s="6" t="n">
        <f aca="false">Sens!F4367</f>
        <v>90.0799497373663</v>
      </c>
      <c r="G4395" s="6" t="n">
        <f aca="false">Sens!G4367</f>
        <v>107.02842520331</v>
      </c>
      <c r="H4395" s="6" t="n">
        <f aca="false">Sens!H4367</f>
        <v>124.271982585636</v>
      </c>
      <c r="I4395" s="6" t="n">
        <f aca="false">Sens!I4367</f>
        <v>140.933702381855</v>
      </c>
      <c r="J4395" s="6" t="n">
        <f aca="false">Sens!J4367</f>
        <v>156.018867314332</v>
      </c>
      <c r="K4395" s="6" t="n">
        <f aca="false">Sens!K4367</f>
        <v>168.500376699478</v>
      </c>
    </row>
    <row r="4396" customFormat="false" ht="15" hidden="false" customHeight="false" outlineLevel="0" collapsed="false">
      <c r="A4396" s="0" t="s">
        <v>883</v>
      </c>
      <c r="B4396" s="0" t="s">
        <v>98</v>
      </c>
      <c r="D4396" s="6" t="n">
        <f aca="false">Sens!D4374</f>
        <v>84.605</v>
      </c>
      <c r="E4396" s="6" t="n">
        <f aca="false">Sens!E4374</f>
        <v>100.299</v>
      </c>
      <c r="F4396" s="6" t="n">
        <f aca="false">Sens!F4374</f>
        <v>118.89238776686</v>
      </c>
      <c r="G4396" s="6" t="n">
        <f aca="false">Sens!G4374</f>
        <v>137.044168448684</v>
      </c>
      <c r="H4396" s="6" t="n">
        <f aca="false">Sens!H4374</f>
        <v>155.277359388781</v>
      </c>
      <c r="I4396" s="6" t="n">
        <f aca="false">Sens!I4374</f>
        <v>171.834028071957</v>
      </c>
      <c r="J4396" s="6" t="n">
        <f aca="false">Sens!J4374</f>
        <v>186.432702785465</v>
      </c>
      <c r="K4396" s="6" t="n">
        <f aca="false">Sens!K4374</f>
        <v>200.277991980448</v>
      </c>
    </row>
    <row r="4397" customFormat="false" ht="17.15" hidden="false" customHeight="false" outlineLevel="0" collapsed="false">
      <c r="A4397" s="0" t="s">
        <v>903</v>
      </c>
      <c r="B4397" s="0" t="s">
        <v>98</v>
      </c>
      <c r="D4397" s="6" t="n">
        <f aca="false">Sens!D4372</f>
        <v>83.705</v>
      </c>
      <c r="E4397" s="6" t="n">
        <f aca="false">Sens!E4372</f>
        <v>95.049</v>
      </c>
      <c r="F4397" s="6" t="n">
        <f aca="false">Sens!F4372</f>
        <v>106.89238776686</v>
      </c>
      <c r="G4397" s="6" t="n">
        <f aca="false">Sens!G4372</f>
        <v>119.044168448684</v>
      </c>
      <c r="H4397" s="6" t="n">
        <f aca="false">Sens!H4372</f>
        <v>131.277359388781</v>
      </c>
      <c r="I4397" s="6" t="n">
        <f aca="false">Sens!I4372</f>
        <v>143.334028071957</v>
      </c>
      <c r="J4397" s="6" t="n">
        <f aca="false">Sens!J4372</f>
        <v>154.932702785465</v>
      </c>
      <c r="K4397" s="6" t="n">
        <f aca="false">Sens!K4372</f>
        <v>165.777991980448</v>
      </c>
    </row>
    <row r="4398" customFormat="false" ht="17.15" hidden="false" customHeight="false" outlineLevel="0" collapsed="false">
      <c r="A4398" s="0" t="s">
        <v>904</v>
      </c>
      <c r="B4398" s="0" t="s">
        <v>98</v>
      </c>
      <c r="D4398" s="6" t="n">
        <f aca="false">Sens!D4371</f>
        <v>0.9</v>
      </c>
      <c r="E4398" s="6" t="n">
        <f aca="false">Sens!E4371</f>
        <v>5.25</v>
      </c>
      <c r="F4398" s="6" t="n">
        <f aca="false">Sens!F4371</f>
        <v>12</v>
      </c>
      <c r="G4398" s="6" t="n">
        <f aca="false">Sens!G4371</f>
        <v>18</v>
      </c>
      <c r="H4398" s="6" t="n">
        <f aca="false">Sens!H4371</f>
        <v>24</v>
      </c>
      <c r="I4398" s="6" t="n">
        <f aca="false">Sens!I4371</f>
        <v>28.5</v>
      </c>
      <c r="J4398" s="6" t="n">
        <f aca="false">Sens!J4371</f>
        <v>31.5</v>
      </c>
      <c r="K4398" s="6" t="n">
        <f aca="false">Sens!K4371</f>
        <v>34.5</v>
      </c>
    </row>
    <row r="4399" customFormat="false" ht="15" hidden="false" customHeight="false" outlineLevel="0" collapsed="false">
      <c r="A4399" s="0" t="s">
        <v>884</v>
      </c>
      <c r="B4399" s="0" t="s">
        <v>98</v>
      </c>
      <c r="D4399" s="6" t="n">
        <f aca="false">Sens!D4375</f>
        <v>35.391</v>
      </c>
      <c r="E4399" s="6" t="n">
        <f aca="false">Sens!E4375</f>
        <v>37.285</v>
      </c>
      <c r="F4399" s="6" t="n">
        <f aca="false">Sens!F4375</f>
        <v>39.0720834331704</v>
      </c>
      <c r="G4399" s="6" t="n">
        <f aca="false">Sens!G4375</f>
        <v>40.726562953769</v>
      </c>
      <c r="H4399" s="6" t="n">
        <f aca="false">Sens!H4375</f>
        <v>42.2235987259198</v>
      </c>
      <c r="I4399" s="6" t="n">
        <f aca="false">Sens!I4375</f>
        <v>43.5397988077414</v>
      </c>
      <c r="J4399" s="6" t="n">
        <f aca="false">Sens!J4375</f>
        <v>44.653811225693</v>
      </c>
      <c r="K4399" s="6" t="n">
        <f aca="false">Sens!K4375</f>
        <v>45.5468874502068</v>
      </c>
    </row>
    <row r="4400" customFormat="false" ht="15" hidden="false" customHeight="false" outlineLevel="0" collapsed="false">
      <c r="A4400" s="0" t="s">
        <v>885</v>
      </c>
      <c r="B4400" s="0" t="s">
        <v>98</v>
      </c>
      <c r="D4400" s="6" t="n">
        <f aca="false">Sens!D4377</f>
        <v>18.417</v>
      </c>
      <c r="E4400" s="6" t="n">
        <f aca="false">Sens!E4377</f>
        <v>20.345</v>
      </c>
      <c r="F4400" s="6" t="n">
        <f aca="false">Sens!F4377</f>
        <v>22.3572203267814</v>
      </c>
      <c r="G4400" s="6" t="n">
        <f aca="false">Sens!G4377</f>
        <v>24.4392124437232</v>
      </c>
      <c r="H4400" s="6" t="n">
        <f aca="false">Sens!H4377</f>
        <v>26.5738052080665</v>
      </c>
      <c r="I4400" s="6" t="n">
        <f aca="false">Sens!I4377</f>
        <v>28.7412169166967</v>
      </c>
      <c r="J4400" s="6" t="n">
        <f aca="false">Sens!J4377</f>
        <v>30.9192545395413</v>
      </c>
      <c r="K4400" s="6" t="n">
        <f aca="false">Sens!K4377</f>
        <v>33.0836023573092</v>
      </c>
    </row>
    <row r="4401" customFormat="false" ht="15" hidden="false" customHeight="false" outlineLevel="0" collapsed="false">
      <c r="A4401" s="0" t="s">
        <v>886</v>
      </c>
      <c r="B4401" s="0" t="s">
        <v>98</v>
      </c>
      <c r="D4401" s="6" t="n">
        <f aca="false">Sens!D4379</f>
        <v>7.76</v>
      </c>
      <c r="E4401" s="6" t="n">
        <f aca="false">Sens!E4379</f>
        <v>8.26</v>
      </c>
      <c r="F4401" s="6" t="n">
        <f aca="false">Sens!F4379</f>
        <v>8.79988041237113</v>
      </c>
      <c r="G4401" s="6" t="n">
        <f aca="false">Sens!G4379</f>
        <v>9.38321269125306</v>
      </c>
      <c r="H4401" s="6" t="n">
        <f aca="false">Sens!H4379</f>
        <v>10.0139193587476</v>
      </c>
      <c r="I4401" s="6" t="n">
        <f aca="false">Sens!I4379</f>
        <v>10.6963111830911</v>
      </c>
      <c r="J4401" s="6" t="n">
        <f aca="false">Sens!J4379</f>
        <v>11.4351285534696</v>
      </c>
      <c r="K4401" s="6" t="n">
        <f aca="false">Sens!K4379</f>
        <v>12.2355875522124</v>
      </c>
    </row>
    <row r="4402" customFormat="false" ht="15" hidden="false" customHeight="false" outlineLevel="0" collapsed="false">
      <c r="A4402" s="0" t="s">
        <v>715</v>
      </c>
      <c r="B4402" s="0" t="s">
        <v>98</v>
      </c>
      <c r="D4402" s="6" t="n">
        <f aca="false">Sens!D4381</f>
        <v>218.783</v>
      </c>
      <c r="E4402" s="6" t="n">
        <f aca="false">Sens!E4381</f>
        <v>268.127</v>
      </c>
      <c r="F4402" s="6" t="n">
        <f aca="false">Sens!F4381</f>
        <v>334.265528251508</v>
      </c>
      <c r="G4402" s="6" t="n">
        <f aca="false">Sens!G4381</f>
        <v>408.072123059793</v>
      </c>
      <c r="H4402" s="6" t="n">
        <f aca="false">Sens!H4381</f>
        <v>484.397705117448</v>
      </c>
      <c r="I4402" s="6" t="n">
        <f aca="false">Sens!I4381</f>
        <v>553.811639893526</v>
      </c>
      <c r="J4402" s="6" t="n">
        <f aca="false">Sens!J4381</f>
        <v>611.636459002592</v>
      </c>
      <c r="K4402" s="6" t="n">
        <f aca="false">Sens!K4381</f>
        <v>658.726770477052</v>
      </c>
    </row>
    <row r="4403" customFormat="false" ht="15" hidden="false" customHeight="false" outlineLevel="0" collapsed="false">
      <c r="A4403" s="0" t="s">
        <v>887</v>
      </c>
      <c r="B4403" s="0" t="s">
        <v>98</v>
      </c>
      <c r="D4403" s="6" t="n">
        <f aca="false">Sens!D4382</f>
        <v>22.171</v>
      </c>
      <c r="E4403" s="6" t="n">
        <f aca="false">Sens!E4382</f>
        <v>24.835</v>
      </c>
      <c r="F4403" s="6" t="n">
        <f aca="false">Sens!F4382</f>
        <v>27.6114901218559</v>
      </c>
      <c r="G4403" s="6" t="n">
        <f aca="false">Sens!G4382</f>
        <v>30.4675667338515</v>
      </c>
      <c r="H4403" s="6" t="n">
        <f aca="false">Sens!H4382</f>
        <v>33.3643766955789</v>
      </c>
      <c r="I4403" s="6" t="n">
        <f aca="false">Sens!I4382</f>
        <v>36.2577016533691</v>
      </c>
      <c r="J4403" s="6" t="n">
        <f aca="false">Sens!J4382</f>
        <v>39.0988367952171</v>
      </c>
      <c r="K4403" s="6" t="n">
        <f aca="false">Sens!K4382</f>
        <v>41.8357553708823</v>
      </c>
    </row>
    <row r="4404" customFormat="false" ht="15" hidden="false" customHeight="false" outlineLevel="0" collapsed="false">
      <c r="A4404" s="0" t="s">
        <v>888</v>
      </c>
      <c r="B4404" s="0" t="s">
        <v>98</v>
      </c>
      <c r="D4404" s="6" t="n">
        <f aca="false">Sens!D4384</f>
        <v>23.455</v>
      </c>
      <c r="E4404" s="6" t="n">
        <f aca="false">Sens!E4384</f>
        <v>21.79</v>
      </c>
      <c r="F4404" s="6" t="n">
        <f aca="false">Sens!F4384</f>
        <v>20.5736277908051</v>
      </c>
      <c r="G4404" s="6" t="n">
        <f aca="false">Sens!G4384</f>
        <v>19.7371452817919</v>
      </c>
      <c r="H4404" s="6" t="n">
        <f aca="false">Sens!H4384</f>
        <v>19.2339764043138</v>
      </c>
      <c r="I4404" s="6" t="n">
        <f aca="false">Sens!I4384</f>
        <v>19.0353086852681</v>
      </c>
      <c r="J4404" s="6" t="n">
        <f aca="false">Sens!J4384</f>
        <v>19.1273539319129</v>
      </c>
      <c r="K4404" s="6" t="n">
        <f aca="false">Sens!K4384</f>
        <v>19.5099010105511</v>
      </c>
    </row>
    <row r="4405" customFormat="false" ht="15" hidden="false" customHeight="false" outlineLevel="0" collapsed="false">
      <c r="A4405" s="0" t="s">
        <v>889</v>
      </c>
      <c r="B4405" s="0" t="s">
        <v>98</v>
      </c>
      <c r="D4405" s="6" t="n">
        <f aca="false">Sens!D4386</f>
        <v>17.315</v>
      </c>
      <c r="E4405" s="6" t="n">
        <f aca="false">Sens!E4386</f>
        <v>17.087</v>
      </c>
      <c r="F4405" s="6" t="n">
        <f aca="false">Sens!F4386</f>
        <v>16.9564585436519</v>
      </c>
      <c r="G4405" s="6" t="n">
        <f aca="false">Sens!G4386</f>
        <v>16.9206490624268</v>
      </c>
      <c r="H4405" s="6" t="n">
        <f aca="false">Sens!H4386</f>
        <v>16.9784519149849</v>
      </c>
      <c r="I4405" s="6" t="n">
        <f aca="false">Sens!I4386</f>
        <v>17.1303084701817</v>
      </c>
      <c r="J4405" s="6" t="n">
        <f aca="false">Sens!J4386</f>
        <v>17.3782189407267</v>
      </c>
      <c r="K4405" s="6" t="n">
        <f aca="false">Sens!K4386</f>
        <v>17.7257833195413</v>
      </c>
    </row>
    <row r="4406" customFormat="false" ht="15" hidden="false" customHeight="false" outlineLevel="0" collapsed="false">
      <c r="A4406" s="0" t="s">
        <v>729</v>
      </c>
      <c r="B4406" s="0" t="s">
        <v>98</v>
      </c>
      <c r="D4406" s="6" t="n">
        <f aca="false">Sens!D4388</f>
        <v>62.941</v>
      </c>
      <c r="E4406" s="6" t="n">
        <f aca="false">Sens!E4388</f>
        <v>63.712</v>
      </c>
      <c r="F4406" s="6" t="n">
        <f aca="false">Sens!F4388</f>
        <v>65.1415764563129</v>
      </c>
      <c r="G4406" s="6" t="n">
        <f aca="false">Sens!G4388</f>
        <v>67.1253610780702</v>
      </c>
      <c r="H4406" s="6" t="n">
        <f aca="false">Sens!H4388</f>
        <v>69.5768050148776</v>
      </c>
      <c r="I4406" s="6" t="n">
        <f aca="false">Sens!I4388</f>
        <v>72.4233188088189</v>
      </c>
      <c r="J4406" s="6" t="n">
        <f aca="false">Sens!J4388</f>
        <v>75.6044096678567</v>
      </c>
      <c r="K4406" s="6" t="n">
        <f aca="false">Sens!K4388</f>
        <v>79.0714397009747</v>
      </c>
    </row>
    <row r="4407" customFormat="false" ht="15" hidden="false" customHeight="false" outlineLevel="0" collapsed="false">
      <c r="A4407" s="1" t="s">
        <v>905</v>
      </c>
      <c r="B4407" s="0" t="s">
        <v>98</v>
      </c>
      <c r="D4407" s="6" t="n">
        <f aca="false">Sens!D4389</f>
        <v>281.724</v>
      </c>
      <c r="E4407" s="6" t="n">
        <f aca="false">Sens!E4389</f>
        <v>331.839</v>
      </c>
      <c r="F4407" s="6" t="n">
        <f aca="false">Sens!F4389</f>
        <v>399.407104707821</v>
      </c>
      <c r="G4407" s="6" t="n">
        <f aca="false">Sens!G4389</f>
        <v>475.197484137863</v>
      </c>
      <c r="H4407" s="6" t="n">
        <f aca="false">Sens!H4389</f>
        <v>553.974510132325</v>
      </c>
      <c r="I4407" s="6" t="n">
        <f aca="false">Sens!I4389</f>
        <v>626.234958702345</v>
      </c>
      <c r="J4407" s="6" t="n">
        <f aca="false">Sens!J4389</f>
        <v>687.240868670449</v>
      </c>
      <c r="K4407" s="6" t="n">
        <f aca="false">Sens!K4389</f>
        <v>737.798210178027</v>
      </c>
    </row>
    <row r="4408" customFormat="false" ht="15" hidden="false" customHeight="false" outlineLevel="0" collapsed="false">
      <c r="A4408" s="1" t="s">
        <v>906</v>
      </c>
      <c r="B4408" s="0" t="s">
        <v>129</v>
      </c>
      <c r="E4408" s="7" t="n">
        <f aca="false">Sens!E4407/Sens!D4407-1</f>
        <v>0.177886867998467</v>
      </c>
      <c r="F4408" s="7" t="n">
        <f aca="false">Sens!F4407/Sens!E4407-1</f>
        <v>0.203617129715978</v>
      </c>
      <c r="G4408" s="7" t="n">
        <f aca="false">Sens!G4407/Sens!F4407-1</f>
        <v>0.189757213972159</v>
      </c>
      <c r="H4408" s="7" t="n">
        <f aca="false">Sens!H4407/Sens!G4407-1</f>
        <v>0.165777447532966</v>
      </c>
      <c r="I4408" s="7" t="n">
        <f aca="false">Sens!I4407/Sens!H4407-1</f>
        <v>0.130440024312237</v>
      </c>
      <c r="J4408" s="7" t="n">
        <f aca="false">Sens!J4407/Sens!I4407-1</f>
        <v>0.0974169664601881</v>
      </c>
      <c r="K4408" s="7" t="n">
        <f aca="false">Sens!K4407/Sens!J4407-1</f>
        <v>0.0735656795344364</v>
      </c>
    </row>
    <row r="4409" customFormat="false" ht="17.15" hidden="false" customHeight="false" outlineLevel="0" collapsed="false">
      <c r="A4409" s="23" t="s">
        <v>907</v>
      </c>
      <c r="B4409" s="30" t="s">
        <v>98</v>
      </c>
      <c r="C4409" s="30"/>
      <c r="D4409" s="24" t="n">
        <f aca="false">(Sens!D4402+Sens!D4406-Sens!D4407)+(Sens!D4394+Sens!D4395-Sens!D4393)+(Sens!D4397+Sens!D4398-Sens!D4396)+(Sens!D4407-Q!L18)</f>
        <v>0</v>
      </c>
      <c r="E4409" s="24" t="n">
        <f aca="false">(Sens!E4402+Sens!E4406-Sens!E4407)+(Sens!E4394+Sens!E4395-Sens!E4393)+(Sens!E4397+Sens!E4398-Sens!E4396)+(Sens!E4407-Q!M18)</f>
        <v>0</v>
      </c>
      <c r="F4409" s="24" t="n">
        <f aca="false">(Sens!F4402+Sens!F4406-Sens!F4407)+(Sens!F4394+Sens!F4395-Sens!F4393)+(Sens!F4397+Sens!F4398-Sens!F4396)</f>
        <v>0</v>
      </c>
      <c r="G4409" s="24" t="n">
        <f aca="false">(Sens!G4402+Sens!G4406-Sens!G4407)+(Sens!G4394+Sens!G4395-Sens!G4393)+(Sens!G4397+Sens!G4398-Sens!G4396)</f>
        <v>0</v>
      </c>
      <c r="H4409" s="24" t="n">
        <f aca="false">(Sens!H4402+Sens!H4406-Sens!H4407)+(Sens!H4394+Sens!H4395-Sens!H4393)+(Sens!H4397+Sens!H4398-Sens!H4396)</f>
        <v>0</v>
      </c>
      <c r="I4409" s="24" t="n">
        <f aca="false">(Sens!I4402+Sens!I4406-Sens!I4407)+(Sens!I4394+Sens!I4395-Sens!I4393)+(Sens!I4397+Sens!I4398-Sens!I4396)</f>
        <v>0</v>
      </c>
      <c r="J4409" s="24" t="n">
        <f aca="false">(Sens!J4402+Sens!J4406-Sens!J4407)+(Sens!J4394+Sens!J4395-Sens!J4393)+(Sens!J4397+Sens!J4398-Sens!J4396)</f>
        <v>0</v>
      </c>
      <c r="K4409" s="24" t="n">
        <f aca="false">(Sens!K4402+Sens!K4406-Sens!K4407)+(Sens!K4394+Sens!K4395-Sens!K4393)+(Sens!K4397+Sens!K4398-Sens!K4396)</f>
        <v>0</v>
      </c>
    </row>
    <row r="4410" customFormat="false" ht="17.15" hidden="false" customHeight="false" outlineLevel="0" collapsed="false">
      <c r="A4410" s="0" t="s">
        <v>908</v>
      </c>
      <c r="B4410" s="0" t="s">
        <v>129</v>
      </c>
      <c r="E4410" s="7" t="n">
        <f aca="false">(Q!M21+Sens!E4347+Sens!E4348+Sens!E4349+Sens!E4362-Sens!E4345)/(Q!M5-Sens!E4345)</f>
        <v>0.583491251973566</v>
      </c>
      <c r="F4410" s="7" t="n">
        <f aca="false">Sens!$E$4410+dm_seg</f>
        <v>0.583491251973566</v>
      </c>
      <c r="G4410" s="7" t="n">
        <f aca="false">Sens!$E$4410+dm_seg</f>
        <v>0.583491251973566</v>
      </c>
      <c r="H4410" s="7" t="n">
        <f aca="false">Sens!$E$4410+dm_seg</f>
        <v>0.583491251973566</v>
      </c>
      <c r="I4410" s="7" t="n">
        <f aca="false">Sens!$E$4410+dm_seg</f>
        <v>0.583491251973566</v>
      </c>
      <c r="J4410" s="7" t="n">
        <f aca="false">Sens!$E$4410+dm_seg</f>
        <v>0.583491251973566</v>
      </c>
      <c r="K4410" s="7" t="n">
        <f aca="false">Sens!$E$4410+dm_seg</f>
        <v>0.583491251973566</v>
      </c>
      <c r="L4410" s="11" t="s">
        <v>909</v>
      </c>
    </row>
    <row r="4411" customFormat="false" ht="17.15" hidden="false" customHeight="false" outlineLevel="0" collapsed="false">
      <c r="A4411" s="0" t="s">
        <v>743</v>
      </c>
      <c r="B4411" s="0" t="s">
        <v>98</v>
      </c>
      <c r="D4411" s="6" t="n">
        <f aca="false">Q!L21</f>
        <v>110.814</v>
      </c>
      <c r="E4411" s="6" t="n">
        <f aca="false">Q!M21</f>
        <v>136.365</v>
      </c>
      <c r="F4411" s="6" t="n">
        <f aca="false">Sens!F4410*(Sens!F4381-Sens!F4345)+Sens!F4345-(Sens!F4347+Sens!F4348+Sens!F4349)-Sens!F4362-Sens!F4445</f>
        <v>154.638651107615</v>
      </c>
      <c r="G4411" s="6" t="n">
        <f aca="false">Sens!G4410*(Sens!G4381-Sens!G4345)+Sens!G4345-(Sens!G4347+Sens!G4348+Sens!G4349)-Sens!G4362-Sens!G4445</f>
        <v>170.780888725822</v>
      </c>
      <c r="H4411" s="6" t="n">
        <f aca="false">Sens!H4410*(Sens!H4381-Sens!H4345)+Sens!H4345-(Sens!H4347+Sens!H4348+Sens!H4349)-Sens!H4362-Sens!H4445</f>
        <v>186.167100292719</v>
      </c>
      <c r="I4411" s="6" t="n">
        <f aca="false">Sens!I4410*(Sens!I4381-Sens!I4345)+Sens!I4345-(Sens!I4347+Sens!I4348+Sens!I4349)-Sens!I4362-Sens!I4445</f>
        <v>200.310891319516</v>
      </c>
      <c r="J4411" s="6" t="n">
        <f aca="false">Sens!J4410*(Sens!J4381-Sens!J4345)+Sens!J4345-(Sens!J4347+Sens!J4348+Sens!J4349)-Sens!J4362-Sens!J4445</f>
        <v>215.078529619488</v>
      </c>
      <c r="K4411" s="6" t="n">
        <f aca="false">Sens!K4410*(Sens!K4381-Sens!K4345)+Sens!K4345-(Sens!K4347+Sens!K4348+Sens!K4349)-Sens!K4362-Sens!K4445</f>
        <v>232.258232803028</v>
      </c>
      <c r="L4411" s="1" t="s">
        <v>910</v>
      </c>
    </row>
    <row r="4412" customFormat="false" ht="17.15" hidden="false" customHeight="false" outlineLevel="0" collapsed="false">
      <c r="A4412" s="0" t="s">
        <v>911</v>
      </c>
      <c r="B4412" s="0" t="s">
        <v>129</v>
      </c>
      <c r="E4412" s="7" t="n">
        <f aca="false">Q!M22/Q!M12</f>
        <v>0.296207935710698</v>
      </c>
      <c r="F4412" s="7" t="n">
        <f aca="false">Sens!$E$4412+dm_seg</f>
        <v>0.296207935710698</v>
      </c>
      <c r="G4412" s="7" t="n">
        <f aca="false">Sens!$E$4412+dm_seg</f>
        <v>0.296207935710698</v>
      </c>
      <c r="H4412" s="7" t="n">
        <f aca="false">Sens!$E$4412+dm_seg</f>
        <v>0.296207935710698</v>
      </c>
      <c r="I4412" s="7" t="n">
        <f aca="false">Sens!$E$4412+dm_seg</f>
        <v>0.296207935710698</v>
      </c>
      <c r="J4412" s="7" t="n">
        <f aca="false">Sens!$E$4412+dm_seg</f>
        <v>0.296207935710698</v>
      </c>
      <c r="K4412" s="7" t="n">
        <f aca="false">Sens!$E$4412+dm_seg</f>
        <v>0.296207935710698</v>
      </c>
      <c r="L4412" s="11" t="s">
        <v>912</v>
      </c>
    </row>
    <row r="4413" customFormat="false" ht="17.15" hidden="false" customHeight="false" outlineLevel="0" collapsed="false">
      <c r="A4413" s="0" t="s">
        <v>745</v>
      </c>
      <c r="B4413" s="0" t="s">
        <v>98</v>
      </c>
      <c r="D4413" s="6" t="n">
        <f aca="false">Q!L22</f>
        <v>17.714</v>
      </c>
      <c r="E4413" s="6" t="n">
        <f aca="false">Q!M22</f>
        <v>18.872</v>
      </c>
      <c r="F4413" s="6" t="n">
        <f aca="false">Sens!F4388*Sens!F4412</f>
        <v>19.2954518910651</v>
      </c>
      <c r="G4413" s="6" t="n">
        <f aca="false">Sens!G4388*Sens!G4412</f>
        <v>19.8830646387704</v>
      </c>
      <c r="H4413" s="6" t="n">
        <f aca="false">Sens!H4388*Sens!H4412</f>
        <v>20.6092017868026</v>
      </c>
      <c r="I4413" s="6" t="n">
        <f aca="false">Sens!I4388*Sens!I4412</f>
        <v>21.452361761678</v>
      </c>
      <c r="J4413" s="6" t="n">
        <f aca="false">Sens!J4388*Sens!J4412</f>
        <v>22.3946261183418</v>
      </c>
      <c r="K4413" s="6" t="n">
        <f aca="false">Sens!K4388*Sens!K4412</f>
        <v>23.4215879274986</v>
      </c>
    </row>
    <row r="4414" customFormat="false" ht="15" hidden="false" customHeight="false" outlineLevel="0" collapsed="false">
      <c r="A4414" s="1" t="s">
        <v>913</v>
      </c>
      <c r="B4414" s="0" t="s">
        <v>98</v>
      </c>
      <c r="D4414" s="6" t="n">
        <f aca="false">Sens!D4411+Sens!D4413</f>
        <v>128.528</v>
      </c>
      <c r="E4414" s="6" t="n">
        <f aca="false">Sens!E4411+Sens!E4413</f>
        <v>155.237</v>
      </c>
      <c r="F4414" s="6" t="n">
        <f aca="false">Sens!F4411+Sens!F4413</f>
        <v>173.93410299868</v>
      </c>
      <c r="G4414" s="6" t="n">
        <f aca="false">Sens!G4411+Sens!G4413</f>
        <v>190.663953364593</v>
      </c>
      <c r="H4414" s="6" t="n">
        <f aca="false">Sens!H4411+Sens!H4413</f>
        <v>206.776302079521</v>
      </c>
      <c r="I4414" s="6" t="n">
        <f aca="false">Sens!I4411+Sens!I4413</f>
        <v>221.763253081194</v>
      </c>
      <c r="J4414" s="6" t="n">
        <f aca="false">Sens!J4411+Sens!J4413</f>
        <v>237.47315573783</v>
      </c>
      <c r="K4414" s="6" t="n">
        <f aca="false">Sens!K4411+Sens!K4413</f>
        <v>255.679820730527</v>
      </c>
    </row>
    <row r="4415" customFormat="false" ht="15" hidden="false" customHeight="false" outlineLevel="0" collapsed="false">
      <c r="A4415" s="23" t="s">
        <v>914</v>
      </c>
      <c r="B4415" s="30" t="s">
        <v>98</v>
      </c>
      <c r="C4415" s="30"/>
      <c r="D4415" s="24" t="n">
        <f aca="false">Sens!D4414-Q!L23</f>
        <v>0</v>
      </c>
      <c r="E4415" s="24" t="n">
        <f aca="false">Sens!E4414-Q!M23</f>
        <v>0</v>
      </c>
      <c r="F4415" s="30"/>
      <c r="G4415" s="30"/>
      <c r="H4415" s="30"/>
      <c r="I4415" s="30"/>
      <c r="J4415" s="30"/>
      <c r="K4415" s="30"/>
    </row>
    <row r="4416" customFormat="false" ht="15" hidden="false" customHeight="false" outlineLevel="0" collapsed="false">
      <c r="A4416" s="1" t="s">
        <v>915</v>
      </c>
      <c r="B4416" s="0" t="s">
        <v>129</v>
      </c>
      <c r="D4416" s="7" t="n">
        <f aca="false">Sens!D4414/Sens!D4407</f>
        <v>0.456219562408598</v>
      </c>
      <c r="E4416" s="7" t="n">
        <f aca="false">Sens!E4414/Sens!E4407</f>
        <v>0.467808184089272</v>
      </c>
      <c r="F4416" s="7" t="n">
        <f aca="false">Sens!F4414/Sens!F4407</f>
        <v>0.435480743703641</v>
      </c>
      <c r="G4416" s="7" t="n">
        <f aca="false">Sens!G4414/Sens!G4407</f>
        <v>0.401230982336762</v>
      </c>
      <c r="H4416" s="7" t="n">
        <f aca="false">Sens!H4414/Sens!H4407</f>
        <v>0.373259596421015</v>
      </c>
      <c r="I4416" s="7" t="n">
        <f aca="false">Sens!I4414/Sens!I4407</f>
        <v>0.354121484276</v>
      </c>
      <c r="J4416" s="7" t="n">
        <f aca="false">Sens!J4414/Sens!J4407</f>
        <v>0.345545741767731</v>
      </c>
      <c r="K4416" s="7" t="n">
        <f aca="false">Sens!K4414/Sens!K4407</f>
        <v>0.346544376502123</v>
      </c>
    </row>
    <row r="4417" customFormat="false" ht="17.15" hidden="false" customHeight="false" outlineLevel="0" collapsed="false">
      <c r="A4417" s="1" t="s">
        <v>916</v>
      </c>
      <c r="B4417" s="0" t="s">
        <v>98</v>
      </c>
      <c r="F4417" s="6" t="n">
        <f aca="false">Sens!F4432</f>
        <v>9.21431664156218</v>
      </c>
      <c r="G4417" s="6" t="n">
        <f aca="false">Sens!G4432</f>
        <v>23.7748231217385</v>
      </c>
      <c r="H4417" s="6" t="n">
        <f aca="false">Sens!H4432</f>
        <v>40.3582981125504</v>
      </c>
      <c r="I4417" s="6" t="n">
        <f aca="false">Sens!I4432</f>
        <v>55.4780822281808</v>
      </c>
      <c r="J4417" s="6" t="n">
        <f aca="false">Sens!J4432</f>
        <v>66.8943389568237</v>
      </c>
      <c r="K4417" s="6" t="n">
        <f aca="false">Sens!K4432</f>
        <v>74.0380810135384</v>
      </c>
      <c r="L4417" s="1" t="s">
        <v>917</v>
      </c>
    </row>
    <row r="4418" customFormat="false" ht="17.15" hidden="false" customHeight="false" outlineLevel="0" collapsed="false">
      <c r="A4418" s="1" t="s">
        <v>918</v>
      </c>
      <c r="B4418" s="0" t="s">
        <v>98</v>
      </c>
      <c r="D4418" s="6" t="n">
        <f aca="false">Sens!D4414</f>
        <v>128.528</v>
      </c>
      <c r="E4418" s="6" t="n">
        <f aca="false">Sens!E4414</f>
        <v>155.237</v>
      </c>
      <c r="F4418" s="6" t="n">
        <f aca="false">Sens!F4414+Sens!F4417</f>
        <v>183.148419640242</v>
      </c>
      <c r="G4418" s="6" t="n">
        <f aca="false">Sens!G4414+Sens!G4417</f>
        <v>214.438776486331</v>
      </c>
      <c r="H4418" s="6" t="n">
        <f aca="false">Sens!H4414+Sens!H4417</f>
        <v>247.134600192072</v>
      </c>
      <c r="I4418" s="6" t="n">
        <f aca="false">Sens!I4414+Sens!I4417</f>
        <v>277.241335309375</v>
      </c>
      <c r="J4418" s="6" t="n">
        <f aca="false">Sens!J4414+Sens!J4417</f>
        <v>304.367494694654</v>
      </c>
      <c r="K4418" s="6" t="n">
        <f aca="false">Sens!K4414+Sens!K4417</f>
        <v>329.717901744065</v>
      </c>
    </row>
    <row r="4419" customFormat="false" ht="17.15" hidden="false" customHeight="false" outlineLevel="0" collapsed="false">
      <c r="A4419" s="1" t="s">
        <v>919</v>
      </c>
      <c r="B4419" s="0" t="s">
        <v>98</v>
      </c>
      <c r="E4419" s="6" t="n">
        <f aca="false">Sens!E4362</f>
        <v>19.3175216725</v>
      </c>
      <c r="F4419" s="6" t="n">
        <f aca="false">Sens!F4362</f>
        <v>40.3707268371467</v>
      </c>
      <c r="G4419" s="6" t="n">
        <f aca="false">Sens!G4362</f>
        <v>70.1542403726133</v>
      </c>
      <c r="H4419" s="6" t="n">
        <f aca="false">Sens!H4362</f>
        <v>103.289272487473</v>
      </c>
      <c r="I4419" s="6" t="n">
        <f aca="false">Sens!I4362</f>
        <v>133.275925818771</v>
      </c>
      <c r="J4419" s="6" t="n">
        <f aca="false">Sens!J4362</f>
        <v>155.50912334054</v>
      </c>
      <c r="K4419" s="6" t="n">
        <f aca="false">Sens!K4362</f>
        <v>168.848420124073</v>
      </c>
    </row>
    <row r="4420" customFormat="false" ht="17.15" hidden="false" customHeight="false" outlineLevel="0" collapsed="false">
      <c r="A4420" s="1" t="s">
        <v>920</v>
      </c>
      <c r="B4420" s="0" t="s">
        <v>98</v>
      </c>
      <c r="E4420" s="6" t="n">
        <f aca="false">Sens!E4444</f>
        <v>19.2164783275</v>
      </c>
      <c r="F4420" s="6" t="n">
        <f aca="false">Sens!F4444</f>
        <v>21.6815429076033</v>
      </c>
      <c r="G4420" s="6" t="n">
        <f aca="false">Sens!G4444</f>
        <v>23.6286779738819</v>
      </c>
      <c r="H4420" s="6" t="n">
        <f aca="false">Sens!H4444</f>
        <v>25.9469615409027</v>
      </c>
      <c r="I4420" s="6" t="n">
        <f aca="false">Sens!I4444</f>
        <v>28.5721054179768</v>
      </c>
      <c r="J4420" s="6" t="n">
        <f aca="false">Sens!J4444</f>
        <v>31.4229862012165</v>
      </c>
      <c r="K4420" s="6" t="n">
        <f aca="false">Sens!K4444</f>
        <v>34.4175578552943</v>
      </c>
    </row>
    <row r="4421" customFormat="false" ht="17.15" hidden="false" customHeight="false" outlineLevel="0" collapsed="false">
      <c r="A4421" s="1" t="s">
        <v>921</v>
      </c>
      <c r="B4421" s="0" t="s">
        <v>98</v>
      </c>
      <c r="D4421" s="6" t="n">
        <f aca="false">Q!L27</f>
        <v>-4.901</v>
      </c>
      <c r="E4421" s="6" t="n">
        <f aca="false">Q!M27</f>
        <v>10.697</v>
      </c>
      <c r="F4421" s="6" t="n">
        <f aca="false">oie_f</f>
        <v>-0.4</v>
      </c>
      <c r="G4421" s="6" t="n">
        <f aca="false">oie_f</f>
        <v>-0.4</v>
      </c>
      <c r="H4421" s="6" t="n">
        <f aca="false">oie_f</f>
        <v>-0.4</v>
      </c>
      <c r="I4421" s="6" t="n">
        <f aca="false">oie_f</f>
        <v>-0.4</v>
      </c>
      <c r="J4421" s="6" t="n">
        <f aca="false">oie_f</f>
        <v>-0.4</v>
      </c>
      <c r="K4421" s="6" t="n">
        <f aca="false">oie_f</f>
        <v>-0.4</v>
      </c>
      <c r="L4421" s="11" t="s">
        <v>922</v>
      </c>
    </row>
    <row r="4422" customFormat="false" ht="15" hidden="false" customHeight="false" outlineLevel="0" collapsed="false">
      <c r="A4422" s="1" t="s">
        <v>923</v>
      </c>
      <c r="B4422" s="0" t="s">
        <v>98</v>
      </c>
      <c r="D4422" s="6" t="n">
        <f aca="false">Sens!D4414+Sens!D4421</f>
        <v>123.627</v>
      </c>
      <c r="E4422" s="6" t="n">
        <f aca="false">Sens!E4414+Sens!E4421</f>
        <v>165.934</v>
      </c>
      <c r="F4422" s="6" t="n">
        <f aca="false">Sens!F4414+Sens!F4421</f>
        <v>173.53410299868</v>
      </c>
      <c r="G4422" s="6" t="n">
        <f aca="false">Sens!G4414+Sens!G4421</f>
        <v>190.263953364593</v>
      </c>
      <c r="H4422" s="6" t="n">
        <f aca="false">Sens!H4414+Sens!H4421</f>
        <v>206.376302079521</v>
      </c>
      <c r="I4422" s="6" t="n">
        <f aca="false">Sens!I4414+Sens!I4421</f>
        <v>221.363253081194</v>
      </c>
      <c r="J4422" s="6" t="n">
        <f aca="false">Sens!J4414+Sens!J4421</f>
        <v>237.07315573783</v>
      </c>
      <c r="K4422" s="6" t="n">
        <f aca="false">Sens!K4414+Sens!K4421</f>
        <v>255.279820730527</v>
      </c>
    </row>
    <row r="4423" customFormat="false" ht="15" hidden="false" customHeight="false" outlineLevel="0" collapsed="false">
      <c r="A4423" s="1" t="s">
        <v>924</v>
      </c>
      <c r="B4423" s="0" t="s">
        <v>98</v>
      </c>
      <c r="D4423" s="6" t="n">
        <f aca="false">Q!L29</f>
        <v>21.795</v>
      </c>
      <c r="E4423" s="6" t="n">
        <f aca="false">Q!M29</f>
        <v>32.185</v>
      </c>
      <c r="F4423" s="6" t="n">
        <f aca="false">Sens!F4422*tax_f</f>
        <v>34.706820599736</v>
      </c>
      <c r="G4423" s="6" t="n">
        <f aca="false">Sens!G4422*tax_f</f>
        <v>38.0527906729185</v>
      </c>
      <c r="H4423" s="6" t="n">
        <f aca="false">Sens!H4422*tax_f</f>
        <v>41.2752604159043</v>
      </c>
      <c r="I4423" s="6" t="n">
        <f aca="false">Sens!I4422*tax_f</f>
        <v>44.2726506162388</v>
      </c>
      <c r="J4423" s="6" t="n">
        <f aca="false">Sens!J4422*tax_f</f>
        <v>47.414631147566</v>
      </c>
      <c r="K4423" s="6" t="n">
        <f aca="false">Sens!K4422*tax_f</f>
        <v>51.0559641461053</v>
      </c>
    </row>
    <row r="4424" customFormat="false" ht="15" hidden="false" customHeight="false" outlineLevel="0" collapsed="false">
      <c r="A4424" s="1" t="s">
        <v>925</v>
      </c>
      <c r="B4424" s="0" t="s">
        <v>98</v>
      </c>
      <c r="D4424" s="6" t="n">
        <f aca="false">Sens!D4422-Sens!D4423</f>
        <v>101.832</v>
      </c>
      <c r="E4424" s="6" t="n">
        <f aca="false">Sens!E4422-Sens!E4423</f>
        <v>133.749</v>
      </c>
      <c r="F4424" s="6" t="n">
        <f aca="false">Sens!F4422-Sens!F4423</f>
        <v>138.827282398944</v>
      </c>
      <c r="G4424" s="6" t="n">
        <f aca="false">Sens!G4422-Sens!G4423</f>
        <v>152.211162691674</v>
      </c>
      <c r="H4424" s="6" t="n">
        <f aca="false">Sens!H4422-Sens!H4423</f>
        <v>165.101041663617</v>
      </c>
      <c r="I4424" s="6" t="n">
        <f aca="false">Sens!I4422-Sens!I4423</f>
        <v>177.090602464955</v>
      </c>
      <c r="J4424" s="6" t="n">
        <f aca="false">Sens!J4422-Sens!J4423</f>
        <v>189.658524590264</v>
      </c>
      <c r="K4424" s="6" t="n">
        <f aca="false">Sens!K4422-Sens!K4423</f>
        <v>204.223856584421</v>
      </c>
    </row>
    <row r="4425" customFormat="false" ht="17.15" hidden="false" customHeight="false" outlineLevel="0" collapsed="false">
      <c r="A4425" s="1" t="s">
        <v>926</v>
      </c>
      <c r="B4425" s="1" t="s">
        <v>81</v>
      </c>
      <c r="D4425" s="14" t="n">
        <f aca="false">Q!L31</f>
        <v>7.465</v>
      </c>
      <c r="E4425" s="14" t="n">
        <f aca="false">Q!M31</f>
        <v>7.453</v>
      </c>
      <c r="F4425" s="14" t="n">
        <f aca="false">Sens!F4468</f>
        <v>7.4735</v>
      </c>
      <c r="G4425" s="14" t="n">
        <f aca="false">Sens!G4468</f>
        <v>7.5155894673164</v>
      </c>
      <c r="H4425" s="14" t="n">
        <f aca="false">Sens!H4468</f>
        <v>7.54985189137996</v>
      </c>
      <c r="I4425" s="14" t="n">
        <f aca="false">Sens!I4468</f>
        <v>7.57105409428448</v>
      </c>
      <c r="J4425" s="14" t="n">
        <f aca="false">Sens!J4468</f>
        <v>7.58529560540236</v>
      </c>
      <c r="K4425" s="14" t="n">
        <f aca="false">Sens!K4468</f>
        <v>7.60181552310411</v>
      </c>
    </row>
    <row r="4426" customFormat="false" ht="17.15" hidden="false" customHeight="false" outlineLevel="0" collapsed="false">
      <c r="A4426" s="0" t="s">
        <v>927</v>
      </c>
      <c r="B4426" s="0" t="s">
        <v>75</v>
      </c>
      <c r="D4426" s="8" t="n">
        <f aca="false">Sens!D4424/Sens!D4425</f>
        <v>13.641259209645</v>
      </c>
      <c r="E4426" s="8" t="n">
        <f aca="false">Sens!E4424/Sens!E4425</f>
        <v>17.9456594659869</v>
      </c>
      <c r="F4426" s="8" t="n">
        <f aca="false">Sens!F4424/Sens!F4425</f>
        <v>18.5759393054049</v>
      </c>
      <c r="G4426" s="8" t="n">
        <f aca="false">Sens!G4424/Sens!G4425</f>
        <v>20.2527244674028</v>
      </c>
      <c r="H4426" s="8" t="n">
        <f aca="false">Sens!H4424/Sens!H4425</f>
        <v>21.8681166251912</v>
      </c>
      <c r="I4426" s="8" t="n">
        <f aca="false">Sens!I4424/Sens!I4425</f>
        <v>23.390481729439</v>
      </c>
      <c r="J4426" s="8" t="n">
        <f aca="false">Sens!J4424/Sens!J4425</f>
        <v>25.0034454102469</v>
      </c>
      <c r="K4426" s="8" t="n">
        <f aca="false">Sens!K4424/Sens!K4425</f>
        <v>26.8651424075902</v>
      </c>
      <c r="L4426" s="1" t="s">
        <v>928</v>
      </c>
    </row>
    <row r="4427" customFormat="false" ht="17.15" hidden="false" customHeight="false" outlineLevel="0" collapsed="false">
      <c r="A4427" s="1" t="s">
        <v>929</v>
      </c>
      <c r="B4427" s="0" t="s">
        <v>98</v>
      </c>
      <c r="D4427" s="6" t="n">
        <f aca="false">Sens!D4424</f>
        <v>101.832</v>
      </c>
      <c r="E4427" s="6" t="n">
        <f aca="false">Sens!E4424</f>
        <v>133.749</v>
      </c>
      <c r="F4427" s="6" t="n">
        <f aca="false">Sens!F4424+Sens!F4417*(1-tax_f)</f>
        <v>146.198735712194</v>
      </c>
      <c r="G4427" s="6" t="n">
        <f aca="false">Sens!G4424+Sens!G4417*(1-tax_f)</f>
        <v>171.231021189065</v>
      </c>
      <c r="H4427" s="6" t="n">
        <f aca="false">Sens!H4424+Sens!H4417*(1-tax_f)</f>
        <v>197.387680153657</v>
      </c>
      <c r="I4427" s="6" t="n">
        <f aca="false">Sens!I4424+Sens!I4417*(1-tax_f)</f>
        <v>221.4730682475</v>
      </c>
      <c r="J4427" s="6" t="n">
        <f aca="false">Sens!J4424+Sens!J4417*(1-tax_f)</f>
        <v>243.173995755723</v>
      </c>
      <c r="K4427" s="6" t="n">
        <f aca="false">Sens!K4424+Sens!K4417*(1-tax_f)</f>
        <v>263.454321395252</v>
      </c>
    </row>
    <row r="4428" customFormat="false" ht="17.15" hidden="false" customHeight="false" outlineLevel="0" collapsed="false">
      <c r="A4428" s="0" t="s">
        <v>930</v>
      </c>
      <c r="B4428" s="0" t="s">
        <v>75</v>
      </c>
      <c r="D4428" s="8" t="n">
        <f aca="false">Sens!D4427/Sens!D4425</f>
        <v>13.641259209645</v>
      </c>
      <c r="E4428" s="8" t="n">
        <f aca="false">Sens!E4427/Sens!E4425</f>
        <v>17.9456594659869</v>
      </c>
      <c r="F4428" s="8" t="n">
        <f aca="false">Sens!F4427/Sens!F4425</f>
        <v>19.5622848347085</v>
      </c>
      <c r="G4428" s="8" t="n">
        <f aca="false">Sens!G4427/Sens!G4425</f>
        <v>22.7834452551872</v>
      </c>
      <c r="H4428" s="8" t="n">
        <f aca="false">Sens!H4427/Sens!H4425</f>
        <v>26.1445764756027</v>
      </c>
      <c r="I4428" s="8" t="n">
        <f aca="false">Sens!I4427/Sens!I4425</f>
        <v>29.2526067690751</v>
      </c>
      <c r="J4428" s="8" t="n">
        <f aca="false">Sens!J4427/Sens!J4425</f>
        <v>32.0586050176516</v>
      </c>
      <c r="K4428" s="8" t="n">
        <f aca="false">Sens!K4427/Sens!K4425</f>
        <v>34.6567633211485</v>
      </c>
      <c r="L4428" s="1" t="s">
        <v>931</v>
      </c>
    </row>
    <row r="4429" customFormat="false" ht="17.15" hidden="false" customHeight="false" outlineLevel="0" collapsed="false">
      <c r="A4429" s="0" t="s">
        <v>932</v>
      </c>
      <c r="B4429" s="0" t="s">
        <v>129</v>
      </c>
      <c r="E4429" s="7" t="n">
        <f aca="false">Sens!E4428/Sens!D4428-1</f>
        <v>0.315542736208578</v>
      </c>
      <c r="F4429" s="7" t="n">
        <f aca="false">Sens!F4428/Sens!E4428-1</f>
        <v>0.0900844781873662</v>
      </c>
      <c r="G4429" s="7" t="n">
        <f aca="false">Sens!G4428/Sens!F4428-1</f>
        <v>0.16466176868888</v>
      </c>
      <c r="H4429" s="7" t="n">
        <f aca="false">Sens!H4428/Sens!G4428-1</f>
        <v>0.147525151827083</v>
      </c>
      <c r="I4429" s="7" t="n">
        <f aca="false">Sens!I4428/Sens!H4428-1</f>
        <v>0.118878586400994</v>
      </c>
      <c r="J4429" s="7" t="n">
        <f aca="false">Sens!J4428/Sens!I4428-1</f>
        <v>0.0959230153650086</v>
      </c>
      <c r="K4429" s="7" t="n">
        <f aca="false">Sens!K4428/Sens!J4428-1</f>
        <v>0.0810440224104063</v>
      </c>
    </row>
    <row r="4430" customFormat="false" ht="17.15" hidden="false" customHeight="false" outlineLevel="0" collapsed="false">
      <c r="A4430" s="0" t="s">
        <v>856</v>
      </c>
      <c r="B4430" s="0" t="s">
        <v>98</v>
      </c>
      <c r="E4430" s="6" t="n">
        <f aca="false">Sens!E4371</f>
        <v>5.25</v>
      </c>
      <c r="F4430" s="6" t="n">
        <f aca="false">Sens!F4371</f>
        <v>12</v>
      </c>
      <c r="G4430" s="6" t="n">
        <f aca="false">Sens!G4371</f>
        <v>18</v>
      </c>
      <c r="H4430" s="6" t="n">
        <f aca="false">Sens!H4371</f>
        <v>24</v>
      </c>
      <c r="I4430" s="6" t="n">
        <f aca="false">Sens!I4371</f>
        <v>28.5</v>
      </c>
      <c r="J4430" s="6" t="n">
        <f aca="false">Sens!J4371</f>
        <v>31.5</v>
      </c>
      <c r="K4430" s="6" t="n">
        <f aca="false">Sens!K4371</f>
        <v>34.5</v>
      </c>
    </row>
    <row r="4431" customFormat="false" ht="17.15" hidden="false" customHeight="false" outlineLevel="0" collapsed="false">
      <c r="A4431" s="1" t="s">
        <v>857</v>
      </c>
      <c r="B4431" s="0" t="s">
        <v>98</v>
      </c>
      <c r="F4431" s="6" t="n">
        <f aca="false">MAX(0,((Sens!E4334+Sens!F4334)/2-(shadow_base*(Sens!$D$4334+Sens!$E$4334)/2+(1-shadow_base)*Sens!$E$4334))*Sens!F4342/1000-(Sens!F4430-Sens!$E$4430)*Sens!F4410)</f>
        <v>9.21431664156218</v>
      </c>
      <c r="G4431" s="6" t="n">
        <f aca="false">MAX(0,((Sens!F4334+Sens!G4334)/2-(shadow_base*(Sens!$D$4334+Sens!$E$4334)/2+(1-shadow_base)*Sens!$E$4334))*Sens!G4342/1000-(Sens!G4430-Sens!$E$4430)*Sens!G4410)</f>
        <v>23.7748231217385</v>
      </c>
      <c r="H4431" s="6" t="n">
        <f aca="false">MAX(0,((Sens!G4334+Sens!H4334)/2-(shadow_base*(Sens!$D$4334+Sens!$E$4334)/2+(1-shadow_base)*Sens!$E$4334))*Sens!H4342/1000-(Sens!H4430-Sens!$E$4430)*Sens!H4410)</f>
        <v>40.3582981125504</v>
      </c>
      <c r="I4431" s="6" t="n">
        <f aca="false">MAX(0,((Sens!H4334+Sens!I4334)/2-(shadow_base*(Sens!$D$4334+Sens!$E$4334)/2+(1-shadow_base)*Sens!$E$4334))*Sens!I4342/1000-(Sens!I4430-Sens!$E$4430)*Sens!I4410)</f>
        <v>55.4780822281808</v>
      </c>
      <c r="J4431" s="6" t="n">
        <f aca="false">MAX(0,((Sens!I4334+Sens!J4334)/2-(shadow_base*(Sens!$D$4334+Sens!$E$4334)/2+(1-shadow_base)*Sens!$E$4334))*Sens!J4342/1000-(Sens!J4430-Sens!$E$4430)*Sens!J4410)</f>
        <v>66.8943389568237</v>
      </c>
      <c r="K4431" s="6" t="n">
        <f aca="false">MAX(0,((Sens!J4334+Sens!K4334)/2-(shadow_base*(Sens!$D$4334+Sens!$E$4334)/2+(1-shadow_base)*Sens!$E$4334))*Sens!K4342/1000-(Sens!K4430-Sens!$E$4430)*Sens!K4410)</f>
        <v>74.0380810135384</v>
      </c>
      <c r="L4431" s="1" t="s">
        <v>858</v>
      </c>
    </row>
    <row r="4432" customFormat="false" ht="17.15" hidden="false" customHeight="false" outlineLevel="0" collapsed="false">
      <c r="A4432" s="1" t="s">
        <v>859</v>
      </c>
      <c r="B4432" s="0" t="s">
        <v>98</v>
      </c>
      <c r="F4432" s="6" t="n">
        <f aca="false">IF(internal_ai_reading=2,1,0)*Sens!F4431</f>
        <v>9.21431664156218</v>
      </c>
      <c r="G4432" s="6" t="n">
        <f aca="false">IF(internal_ai_reading=2,1,0)*Sens!G4431</f>
        <v>23.7748231217385</v>
      </c>
      <c r="H4432" s="6" t="n">
        <f aca="false">IF(internal_ai_reading=2,1,0)*Sens!H4431</f>
        <v>40.3582981125504</v>
      </c>
      <c r="I4432" s="6" t="n">
        <f aca="false">IF(internal_ai_reading=2,1,0)*Sens!I4431</f>
        <v>55.4780822281808</v>
      </c>
      <c r="J4432" s="6" t="n">
        <f aca="false">IF(internal_ai_reading=2,1,0)*Sens!J4431</f>
        <v>66.8943389568237</v>
      </c>
      <c r="K4432" s="6" t="n">
        <f aca="false">IF(internal_ai_reading=2,1,0)*Sens!K4431</f>
        <v>74.0380810135384</v>
      </c>
    </row>
    <row r="4433" customFormat="false" ht="17.15" hidden="false" customHeight="false" outlineLevel="0" collapsed="false">
      <c r="A4433" s="0" t="s">
        <v>860</v>
      </c>
      <c r="B4433" s="0" t="s">
        <v>98</v>
      </c>
      <c r="F4433" s="6" t="n">
        <f aca="false">Sens!F4351+Sens!F4430*Sens!F4410+Sens!F4432-Sens!F4352-Sens!F4362</f>
        <v>8.77199502678239</v>
      </c>
      <c r="G4433" s="6" t="n">
        <f aca="false">Sens!G4351+Sens!G4430*Sens!G4410+Sens!G4432-Sens!G4352-Sens!G4362</f>
        <v>19.8915486682903</v>
      </c>
      <c r="H4433" s="6" t="n">
        <f aca="false">Sens!H4351+Sens!H4430*Sens!H4410+Sens!H4432-Sens!H4352-Sens!H4362</f>
        <v>32.1001851466412</v>
      </c>
      <c r="I4433" s="6" t="n">
        <f aca="false">Sens!I4351+Sens!I4430*Sens!I4410+Sens!I4432-Sens!I4352-Sens!I4362</f>
        <v>42.1088741827587</v>
      </c>
      <c r="J4433" s="6" t="n">
        <f aca="false">Sens!J4351+Sens!J4430*Sens!J4410+Sens!J4432-Sens!J4352-Sens!J4362</f>
        <v>50.3105884429971</v>
      </c>
      <c r="K4433" s="6" t="n">
        <f aca="false">Sens!K4351+Sens!K4430*Sens!K4410+Sens!K4432-Sens!K4352-Sens!K4362</f>
        <v>58.7176336653875</v>
      </c>
    </row>
    <row r="4434" customFormat="false" ht="17.15" hidden="false" customHeight="false" outlineLevel="0" collapsed="false">
      <c r="A4434" s="0" t="s">
        <v>861</v>
      </c>
      <c r="B4434" s="0" t="s">
        <v>98</v>
      </c>
      <c r="E4434" s="6" t="n">
        <f aca="false">Sens!E4333*(cxit_open+self_build*tk_cxfac)/1000*ai_net_open</f>
        <v>126.6980382</v>
      </c>
      <c r="F4434" s="6" t="n">
        <f aca="false">Sens!E4434+Sens!F4359-Sens!F4362</f>
        <v>246.66018723432</v>
      </c>
      <c r="G4434" s="6" t="n">
        <f aca="false">Sens!F4434+Sens!G4359-Sens!G4362</f>
        <v>360.080127344907</v>
      </c>
      <c r="H4434" s="6" t="n">
        <f aca="false">Sens!G4434+Sens!H4359-Sens!H4362</f>
        <v>475.1298161145</v>
      </c>
      <c r="I4434" s="6" t="n">
        <f aca="false">Sens!H4434+Sens!I4359-Sens!I4362</f>
        <v>520.998659116641</v>
      </c>
      <c r="J4434" s="6" t="n">
        <f aca="false">Sens!I4434+Sens!J4359-Sens!J4362</f>
        <v>537.75022339701</v>
      </c>
      <c r="K4434" s="6" t="n">
        <f aca="false">Sens!J4434+Sens!K4359-Sens!K4362</f>
        <v>542.872860321594</v>
      </c>
      <c r="L4434" s="1" t="s">
        <v>862</v>
      </c>
    </row>
    <row r="4435" customFormat="false" ht="17.15" hidden="false" customHeight="false" outlineLevel="0" collapsed="false">
      <c r="A4435" s="0" t="s">
        <v>863</v>
      </c>
      <c r="B4435" s="0" t="s">
        <v>129</v>
      </c>
      <c r="F4435" s="7" t="n">
        <f aca="false">Sens!F4433*(1-tax_f)/((Sens!E4434+Sens!F4434)/2)</f>
        <v>0.0375917579598654</v>
      </c>
      <c r="G4435" s="7" t="n">
        <f aca="false">Sens!G4433*(1-tax_f)/((Sens!F4434+Sens!G4434)/2)</f>
        <v>0.0524548593599489</v>
      </c>
      <c r="H4435" s="7" t="n">
        <f aca="false">Sens!H4433*(1-tax_f)/((Sens!G4434+Sens!H4434)/2)</f>
        <v>0.0614938754463262</v>
      </c>
      <c r="I4435" s="7" t="n">
        <f aca="false">Sens!I4433*(1-tax_f)/((Sens!H4434+Sens!I4434)/2)</f>
        <v>0.0676360533482195</v>
      </c>
      <c r="J4435" s="7" t="n">
        <f aca="false">Sens!J4433*(1-tax_f)/((Sens!I4434+Sens!J4434)/2)</f>
        <v>0.0760302493237886</v>
      </c>
      <c r="K4435" s="7" t="n">
        <f aca="false">Sens!K4433*(1-tax_f)/((Sens!J4434+Sens!K4434)/2)</f>
        <v>0.0869389292900615</v>
      </c>
    </row>
    <row r="4436" customFormat="false" ht="17.15" hidden="false" customHeight="false" outlineLevel="0" collapsed="false">
      <c r="A4436" s="1" t="s">
        <v>864</v>
      </c>
      <c r="B4436" s="0" t="s">
        <v>129</v>
      </c>
      <c r="F4436" s="7" t="n">
        <f aca="false">(Sens!F4433-Sens!F4432)*(1-tax_f)/((Sens!E4434+Sens!F4434)/2)</f>
        <v>-0.00189553767785457</v>
      </c>
      <c r="G4436" s="7" t="n">
        <f aca="false">(Sens!G4433-Sens!G4432)*(1-tax_f)/((Sens!F4434+Sens!G4434)/2)</f>
        <v>-0.0102403597984517</v>
      </c>
      <c r="H4436" s="7" t="n">
        <f aca="false">(Sens!H4433-Sens!H4432)*(1-tax_f)/((Sens!G4434+Sens!H4434)/2)</f>
        <v>-0.0158199514372723</v>
      </c>
      <c r="I4436" s="7" t="n">
        <f aca="false">(Sens!I4433-Sens!I4432)*(1-tax_f)/((Sens!H4434+Sens!I4434)/2)</f>
        <v>-0.0214738694902902</v>
      </c>
      <c r="J4436" s="7" t="n">
        <f aca="false">(Sens!J4433-Sens!J4432)*(1-tax_f)/((Sens!I4434+Sens!J4434)/2)</f>
        <v>-0.0250616565083179</v>
      </c>
      <c r="K4436" s="7" t="n">
        <f aca="false">(Sens!K4433-Sens!K4432)*(1-tax_f)/((Sens!J4434+Sens!K4434)/2)</f>
        <v>-0.022683872042312</v>
      </c>
    </row>
    <row r="4437" customFormat="false" ht="17.15" hidden="false" customHeight="false" outlineLevel="0" collapsed="false">
      <c r="A4437" s="1" t="s">
        <v>865</v>
      </c>
      <c r="B4437" s="0" t="s">
        <v>129</v>
      </c>
      <c r="F4437" s="7" t="n">
        <f aca="false">(Sens!F4433-Sens!F4432+Sens!F4431)*(1-tax_f)/((Sens!E4434+Sens!F4434)/2)</f>
        <v>0.0375917579598654</v>
      </c>
      <c r="G4437" s="7" t="n">
        <f aca="false">(Sens!G4433-Sens!G4432+Sens!G4431)*(1-tax_f)/((Sens!F4434+Sens!G4434)/2)</f>
        <v>0.0524548593599489</v>
      </c>
      <c r="H4437" s="7" t="n">
        <f aca="false">(Sens!H4433-Sens!H4432+Sens!H4431)*(1-tax_f)/((Sens!G4434+Sens!H4434)/2)</f>
        <v>0.0614938754463262</v>
      </c>
      <c r="I4437" s="7" t="n">
        <f aca="false">(Sens!I4433-Sens!I4432+Sens!I4431)*(1-tax_f)/((Sens!H4434+Sens!I4434)/2)</f>
        <v>0.0676360533482195</v>
      </c>
      <c r="J4437" s="7" t="n">
        <f aca="false">(Sens!J4433-Sens!J4432+Sens!J4431)*(1-tax_f)/((Sens!I4434+Sens!J4434)/2)</f>
        <v>0.0760302493237886</v>
      </c>
      <c r="K4437" s="7" t="n">
        <f aca="false">(Sens!K4433-Sens!K4432+Sens!K4431)*(1-tax_f)/((Sens!J4434+Sens!K4434)/2)</f>
        <v>0.0869389292900615</v>
      </c>
    </row>
    <row r="4438" customFormat="false" ht="17.15" hidden="false" customHeight="false" outlineLevel="0" collapsed="false">
      <c r="A4438" s="1" t="s">
        <v>866</v>
      </c>
      <c r="B4438" s="0" t="s">
        <v>129</v>
      </c>
      <c r="F4438" s="7" t="n">
        <f aca="false">Sens!F4363*(1-tax_f)/(Sens!F4350*(Sens!E4434+Sens!F4434)/2)</f>
        <v>0.108828491308803</v>
      </c>
      <c r="G4438" s="7" t="n">
        <f aca="false">Sens!G4363*(1-tax_f)/(Sens!G4350*(Sens!F4434+Sens!G4434)/2)</f>
        <v>0.107504357285379</v>
      </c>
      <c r="H4438" s="7" t="n">
        <f aca="false">Sens!H4363*(1-tax_f)/(Sens!H4350*(Sens!G4434+Sens!H4434)/2)</f>
        <v>0.109734766773481</v>
      </c>
      <c r="I4438" s="7" t="n">
        <f aca="false">Sens!I4363*(1-tax_f)/(Sens!I4350*(Sens!H4434+Sens!I4434)/2)</f>
        <v>0.113878407814821</v>
      </c>
      <c r="J4438" s="7" t="n">
        <f aca="false">Sens!J4363*(1-tax_f)/(Sens!J4350*(Sens!I4434+Sens!J4434)/2)</f>
        <v>0.123930191381413</v>
      </c>
      <c r="K4438" s="7" t="n">
        <f aca="false">Sens!K4363*(1-tax_f)/(Sens!K4350*(Sens!J4434+Sens!K4434)/2)</f>
        <v>0.137387543141332</v>
      </c>
    </row>
    <row r="4439" customFormat="false" ht="17.15" hidden="false" customHeight="false" outlineLevel="0" collapsed="false">
      <c r="A4439" s="0" t="s">
        <v>867</v>
      </c>
      <c r="B4439" s="0" t="s">
        <v>209</v>
      </c>
      <c r="F4439" s="7" t="n">
        <f aca="false">Sens!F4435-wacc</f>
        <v>-0.0653426621330104</v>
      </c>
      <c r="G4439" s="7" t="n">
        <f aca="false">Sens!G4435-wacc</f>
        <v>-0.0504795607329268</v>
      </c>
      <c r="H4439" s="7" t="n">
        <f aca="false">Sens!H4435-wacc</f>
        <v>-0.0414405446465495</v>
      </c>
      <c r="I4439" s="7" t="n">
        <f aca="false">Sens!I4435-wacc</f>
        <v>-0.0352983667446563</v>
      </c>
      <c r="J4439" s="7" t="n">
        <f aca="false">Sens!J4435-wacc</f>
        <v>-0.0269041707690871</v>
      </c>
      <c r="K4439" s="7" t="n">
        <f aca="false">Sens!K4435-wacc</f>
        <v>-0.0159954908028142</v>
      </c>
    </row>
    <row r="4440" customFormat="false" ht="17.15" hidden="false" customHeight="false" outlineLevel="0" collapsed="false">
      <c r="A4440" s="0" t="s">
        <v>868</v>
      </c>
      <c r="B4440" s="0" t="s">
        <v>98</v>
      </c>
      <c r="F4440" s="6" t="n">
        <f aca="false">Sens!F4433*(1-tax_f)-wacc*(Sens!E4434+Sens!F4434)/2</f>
        <v>-12.1981101895675</v>
      </c>
      <c r="G4440" s="6" t="n">
        <f aca="false">Sens!G4433*(1-tax_f)-wacc*(Sens!F4434+Sens!G4434)/2</f>
        <v>-15.3139922794586</v>
      </c>
      <c r="H4440" s="6" t="n">
        <f aca="false">Sens!H4433*(1-tax_f)-wacc*(Sens!G4434+Sens!H4434)/2</f>
        <v>-17.3057774755858</v>
      </c>
      <c r="I4440" s="6" t="n">
        <f aca="false">Sens!I4433*(1-tax_f)-wacc*(Sens!H4434+Sens!I4434)/2</f>
        <v>-17.580854121752</v>
      </c>
      <c r="J4440" s="6" t="n">
        <f aca="false">Sens!J4433*(1-tax_f)-wacc*(Sens!I4434+Sens!J4434)/2</f>
        <v>-14.2423803683637</v>
      </c>
      <c r="K4440" s="6" t="n">
        <f aca="false">Sens!K4433*(1-tax_f)-wacc*(Sens!J4434+Sens!K4434)/2</f>
        <v>-8.64254829846482</v>
      </c>
    </row>
    <row r="4441" customFormat="false" ht="17.15" hidden="false" customHeight="false" outlineLevel="0" collapsed="false">
      <c r="A4441" s="3" t="s">
        <v>1375</v>
      </c>
    </row>
    <row r="4442" customFormat="false" ht="15" hidden="false" customHeight="false" outlineLevel="0" collapsed="false">
      <c r="A4442" s="4" t="s">
        <v>43</v>
      </c>
      <c r="B4442" s="4" t="s">
        <v>65</v>
      </c>
      <c r="C4442" s="20" t="s">
        <v>799</v>
      </c>
      <c r="D4442" s="20" t="s">
        <v>800</v>
      </c>
      <c r="E4442" s="20" t="s">
        <v>801</v>
      </c>
      <c r="F4442" s="20" t="s">
        <v>802</v>
      </c>
      <c r="G4442" s="20" t="s">
        <v>803</v>
      </c>
      <c r="H4442" s="20" t="s">
        <v>804</v>
      </c>
      <c r="I4442" s="20" t="s">
        <v>805</v>
      </c>
      <c r="J4442" s="20" t="s">
        <v>806</v>
      </c>
      <c r="K4442" s="20" t="s">
        <v>807</v>
      </c>
      <c r="L4442" s="4" t="s">
        <v>47</v>
      </c>
    </row>
    <row r="4443" customFormat="false" ht="15" hidden="false" customHeight="false" outlineLevel="0" collapsed="false">
      <c r="A4443" s="1" t="s">
        <v>925</v>
      </c>
      <c r="B4443" s="0" t="s">
        <v>98</v>
      </c>
      <c r="F4443" s="6" t="n">
        <f aca="false">Sens!F4424</f>
        <v>138.827282398944</v>
      </c>
      <c r="G4443" s="6" t="n">
        <f aca="false">Sens!G4424</f>
        <v>152.211162691674</v>
      </c>
      <c r="H4443" s="6" t="n">
        <f aca="false">Sens!H4424</f>
        <v>165.101041663617</v>
      </c>
      <c r="I4443" s="6" t="n">
        <f aca="false">Sens!I4424</f>
        <v>177.090602464955</v>
      </c>
      <c r="J4443" s="6" t="n">
        <f aca="false">Sens!J4424</f>
        <v>189.658524590264</v>
      </c>
      <c r="K4443" s="6" t="n">
        <f aca="false">Sens!K4424</f>
        <v>204.223856584421</v>
      </c>
    </row>
    <row r="4444" customFormat="false" ht="17.15" hidden="false" customHeight="false" outlineLevel="0" collapsed="false">
      <c r="A4444" s="1" t="s">
        <v>947</v>
      </c>
      <c r="B4444" s="0" t="s">
        <v>98</v>
      </c>
      <c r="E4444" s="6" t="n">
        <f aca="false">Q!M38-Sens!E4362</f>
        <v>19.2164783275</v>
      </c>
      <c r="F4444" s="6" t="n">
        <f aca="false">Sens!E4444*(1-1/life_nonai)+(Sens!F4451+Sens!F4452)/life_nonai</f>
        <v>21.6815429076033</v>
      </c>
      <c r="G4444" s="6" t="n">
        <f aca="false">Sens!F4444*(1-1/life_nonai)+(Sens!G4451)/life_nonai</f>
        <v>23.6286779738819</v>
      </c>
      <c r="H4444" s="6" t="n">
        <f aca="false">Sens!G4444*(1-1/life_nonai)+(Sens!H4451)/life_nonai</f>
        <v>25.9469615409027</v>
      </c>
      <c r="I4444" s="6" t="n">
        <f aca="false">Sens!H4444*(1-1/life_nonai)+(Sens!I4451)/life_nonai</f>
        <v>28.5721054179768</v>
      </c>
      <c r="J4444" s="6" t="n">
        <f aca="false">Sens!I4444*(1-1/life_nonai)+(Sens!J4451)/life_nonai</f>
        <v>31.4229862012165</v>
      </c>
      <c r="K4444" s="6" t="n">
        <f aca="false">Sens!J4444*(1-1/life_nonai)+(Sens!K4451)/life_nonai</f>
        <v>34.4175578552943</v>
      </c>
      <c r="L4444" s="11" t="s">
        <v>948</v>
      </c>
    </row>
    <row r="4445" customFormat="false" ht="17.15" hidden="false" customHeight="false" outlineLevel="0" collapsed="false">
      <c r="A4445" s="1" t="s">
        <v>949</v>
      </c>
      <c r="B4445" s="0" t="s">
        <v>98</v>
      </c>
      <c r="F4445" s="6" t="n">
        <f aca="false">Sens!$F$4452/life_nonai*(1-1/life_nonai)^(Sens!F4328-2027)</f>
        <v>0.828777689897088</v>
      </c>
      <c r="G4445" s="6" t="n">
        <f aca="false">Sens!$F$4452/life_nonai*(1-1/life_nonai)^(Sens!G4328-2027)</f>
        <v>0.745899920907379</v>
      </c>
      <c r="H4445" s="6" t="n">
        <f aca="false">Sens!$F$4452/life_nonai*(1-1/life_nonai)^(Sens!H4328-2027)</f>
        <v>0.671309928816642</v>
      </c>
      <c r="I4445" s="6" t="n">
        <f aca="false">Sens!$F$4452/life_nonai*(1-1/life_nonai)^(Sens!I4328-2027)</f>
        <v>0.604178935934977</v>
      </c>
      <c r="J4445" s="6" t="n">
        <f aca="false">Sens!$F$4452/life_nonai*(1-1/life_nonai)^(Sens!J4328-2027)</f>
        <v>0.54376104234148</v>
      </c>
      <c r="K4445" s="6" t="n">
        <f aca="false">Sens!$F$4452/life_nonai*(1-1/life_nonai)^(Sens!K4328-2027)</f>
        <v>0.489384938107332</v>
      </c>
      <c r="L4445" s="1" t="s">
        <v>950</v>
      </c>
    </row>
    <row r="4446" customFormat="false" ht="17.15" hidden="false" customHeight="false" outlineLevel="0" collapsed="false">
      <c r="A4446" s="1" t="s">
        <v>951</v>
      </c>
      <c r="B4446" s="0" t="s">
        <v>98</v>
      </c>
      <c r="E4446" s="6" t="n">
        <f aca="false">Sens!E4362+Sens!E4444</f>
        <v>38.534</v>
      </c>
      <c r="F4446" s="6" t="n">
        <f aca="false">Sens!F4362+Sens!F4444</f>
        <v>62.05226974475</v>
      </c>
      <c r="G4446" s="6" t="n">
        <f aca="false">Sens!G4362+Sens!G4444</f>
        <v>93.7829183464953</v>
      </c>
      <c r="H4446" s="6" t="n">
        <f aca="false">Sens!H4362+Sens!H4444</f>
        <v>129.236234028376</v>
      </c>
      <c r="I4446" s="6" t="n">
        <f aca="false">Sens!I4362+Sens!I4444</f>
        <v>161.848031236748</v>
      </c>
      <c r="J4446" s="6" t="n">
        <f aca="false">Sens!J4362+Sens!J4444</f>
        <v>186.932109541756</v>
      </c>
      <c r="K4446" s="6" t="n">
        <f aca="false">Sens!K4362+Sens!K4444</f>
        <v>203.265977979367</v>
      </c>
    </row>
    <row r="4447" customFormat="false" ht="17.15" hidden="false" customHeight="false" outlineLevel="0" collapsed="false">
      <c r="A4447" s="1" t="s">
        <v>952</v>
      </c>
      <c r="B4447" s="0" t="s">
        <v>98</v>
      </c>
      <c r="F4447" s="6" t="n">
        <f aca="false">Sens!F4389*sbc_r</f>
        <v>14.9308704941267</v>
      </c>
      <c r="G4447" s="6" t="n">
        <f aca="false">Sens!G4389*sbc_r</f>
        <v>17.7641108812713</v>
      </c>
      <c r="H4447" s="6" t="n">
        <f aca="false">Sens!H4389*sbc_r</f>
        <v>20.7089998408611</v>
      </c>
      <c r="I4447" s="6" t="n">
        <f aca="false">Sens!I4389*sbc_r</f>
        <v>23.4102822835851</v>
      </c>
      <c r="J4447" s="6" t="n">
        <f aca="false">Sens!J4389*sbc_r</f>
        <v>25.6908409676286</v>
      </c>
      <c r="K4447" s="6" t="n">
        <f aca="false">Sens!K4389*sbc_r</f>
        <v>27.5808051412234</v>
      </c>
    </row>
    <row r="4448" customFormat="false" ht="17.15" hidden="false" customHeight="false" outlineLevel="0" collapsed="false">
      <c r="A4448" s="1" t="s">
        <v>953</v>
      </c>
      <c r="B4448" s="0" t="s">
        <v>98</v>
      </c>
      <c r="F4448" s="6" t="n">
        <f aca="false">wc27</f>
        <v>-4.895</v>
      </c>
      <c r="G4448" s="6" t="n">
        <f aca="false">wc_f</f>
        <v>0</v>
      </c>
      <c r="H4448" s="6" t="n">
        <f aca="false">wc_f</f>
        <v>0</v>
      </c>
      <c r="I4448" s="6" t="n">
        <f aca="false">wc_f</f>
        <v>0</v>
      </c>
      <c r="J4448" s="6" t="n">
        <f aca="false">wc_f</f>
        <v>0</v>
      </c>
      <c r="K4448" s="6" t="n">
        <f aca="false">wc_f</f>
        <v>0</v>
      </c>
      <c r="L4448" s="11" t="s">
        <v>954</v>
      </c>
    </row>
    <row r="4449" customFormat="false" ht="15" hidden="false" customHeight="false" outlineLevel="0" collapsed="false">
      <c r="A4449" s="1" t="s">
        <v>767</v>
      </c>
      <c r="B4449" s="0" t="s">
        <v>98</v>
      </c>
      <c r="E4449" s="6" t="n">
        <f aca="false">Q!M35</f>
        <v>182.935</v>
      </c>
      <c r="F4449" s="6" t="n">
        <f aca="false">Sens!F4443+Sens!F4446+Sens!F4447+Sens!F4448</f>
        <v>210.915422637821</v>
      </c>
      <c r="G4449" s="6" t="n">
        <f aca="false">Sens!G4443+Sens!G4446+Sens!G4447+Sens!G4448</f>
        <v>263.758191919441</v>
      </c>
      <c r="H4449" s="6" t="n">
        <f aca="false">Sens!H4443+Sens!H4446+Sens!H4447+Sens!H4448</f>
        <v>315.046275532854</v>
      </c>
      <c r="I4449" s="6" t="n">
        <f aca="false">Sens!I4443+Sens!I4446+Sens!I4447+Sens!I4448</f>
        <v>362.348915985288</v>
      </c>
      <c r="J4449" s="6" t="n">
        <f aca="false">Sens!J4443+Sens!J4446+Sens!J4447+Sens!J4448</f>
        <v>402.281475099649</v>
      </c>
      <c r="K4449" s="6" t="n">
        <f aca="false">Sens!K4443+Sens!K4446+Sens!K4447+Sens!K4448</f>
        <v>435.070639705012</v>
      </c>
    </row>
    <row r="4450" customFormat="false" ht="17.15" hidden="false" customHeight="false" outlineLevel="0" collapsed="false">
      <c r="A4450" s="0" t="s">
        <v>955</v>
      </c>
      <c r="B4450" s="0" t="s">
        <v>98</v>
      </c>
      <c r="F4450" s="6" t="n">
        <f aca="false">Sens!F4359</f>
        <v>160.332875871467</v>
      </c>
      <c r="G4450" s="6" t="n">
        <f aca="false">Sens!G4359</f>
        <v>183.5741804832</v>
      </c>
      <c r="H4450" s="6" t="n">
        <f aca="false">Sens!H4359</f>
        <v>218.338961257067</v>
      </c>
      <c r="I4450" s="6" t="n">
        <f aca="false">Sens!I4359</f>
        <v>179.144768820912</v>
      </c>
      <c r="J4450" s="6" t="n">
        <f aca="false">Sens!J4359</f>
        <v>172.260687620909</v>
      </c>
      <c r="K4450" s="6" t="n">
        <f aca="false">Sens!K4359</f>
        <v>173.971057048657</v>
      </c>
    </row>
    <row r="4451" customFormat="false" ht="17.15" hidden="false" customHeight="false" outlineLevel="0" collapsed="false">
      <c r="A4451" s="1" t="s">
        <v>956</v>
      </c>
      <c r="B4451" s="0" t="s">
        <v>98</v>
      </c>
      <c r="E4451" s="6" t="n">
        <f aca="false">Sens!E4367*cx_azo+Sens!E4374*cx_m365+Sens!E4375*cx_lic+(Sens!E4377+Sens!E4379)*cx_ind+Sens!E4382*cx_srch+(Sens!E4384+Sens!E4386)*cx_dev</f>
        <v>30.1846587067718</v>
      </c>
      <c r="F4451" s="6" t="n">
        <f aca="false">Sens!F4367*cx_azo+Sens!F4374*cx_m365+Sens!F4375*cx_lic+(Sens!F4377+Sens!F4379)*cx_ind+Sens!F4382*cx_srch+(Sens!F4384+Sens!F4386)*cx_dev</f>
        <v>35.5793472295625</v>
      </c>
      <c r="G4451" s="6" t="n">
        <f aca="false">Sens!G4367*cx_azo+Sens!G4374*cx_m365+Sens!G4375*cx_lic+(Sens!G4377+Sens!G4379)*cx_ind+Sens!G4382*cx_srch+(Sens!G4384+Sens!G4386)*cx_dev</f>
        <v>41.1528935703892</v>
      </c>
      <c r="H4451" s="6" t="n">
        <f aca="false">Sens!H4367*cx_azo+Sens!H4374*cx_m365+Sens!H4375*cx_lic+(Sens!H4377+Sens!H4379)*cx_ind+Sens!H4382*cx_srch+(Sens!H4384+Sens!H4386)*cx_dev</f>
        <v>46.8115136440897</v>
      </c>
      <c r="I4451" s="6" t="n">
        <f aca="false">Sens!I4367*cx_azo+Sens!I4374*cx_m365+Sens!I4375*cx_lic+(Sens!I4377+Sens!I4379)*cx_ind+Sens!I4382*cx_srch+(Sens!I4384+Sens!I4386)*cx_dev</f>
        <v>52.1984003116439</v>
      </c>
      <c r="J4451" s="6" t="n">
        <f aca="false">Sens!J4367*cx_azo+Sens!J4374*cx_m365+Sens!J4375*cx_lic+(Sens!J4377+Sens!J4379)*cx_ind+Sens!J4382*cx_srch+(Sens!J4384+Sens!J4386)*cx_dev</f>
        <v>57.0809132503738</v>
      </c>
      <c r="K4451" s="6" t="n">
        <f aca="false">Sens!K4367*cx_azo+Sens!K4374*cx_m365+Sens!K4375*cx_lic+(Sens!K4377+Sens!K4379)*cx_ind+Sens!K4382*cx_srch+(Sens!K4384+Sens!K4386)*cx_dev</f>
        <v>61.368702741994</v>
      </c>
    </row>
    <row r="4452" customFormat="false" ht="17.15" hidden="false" customHeight="false" outlineLevel="0" collapsed="false">
      <c r="A4452" s="0" t="s">
        <v>957</v>
      </c>
      <c r="B4452" s="0" t="s">
        <v>98</v>
      </c>
      <c r="F4452" s="6" t="n">
        <f aca="false">Sens!F4357</f>
        <v>8.28777689897088</v>
      </c>
      <c r="L4452" s="1" t="s">
        <v>958</v>
      </c>
    </row>
    <row r="4453" customFormat="false" ht="17.15" hidden="false" customHeight="false" outlineLevel="0" collapsed="false">
      <c r="A4453" s="1" t="s">
        <v>959</v>
      </c>
      <c r="B4453" s="0" t="s">
        <v>98</v>
      </c>
      <c r="E4453" s="6" t="n">
        <f aca="false">Q!M42</f>
        <v>145.3</v>
      </c>
      <c r="F4453" s="6" t="n">
        <f aca="false">Sens!F4450+Sens!F4451+Sens!F4452</f>
        <v>204.2</v>
      </c>
      <c r="G4453" s="6" t="n">
        <f aca="false">Sens!G4450+Sens!G4451</f>
        <v>224.727074053589</v>
      </c>
      <c r="H4453" s="6" t="n">
        <f aca="false">Sens!H4450+Sens!H4451</f>
        <v>265.150474901156</v>
      </c>
      <c r="I4453" s="6" t="n">
        <f aca="false">Sens!I4450+Sens!I4451</f>
        <v>231.343169132556</v>
      </c>
      <c r="J4453" s="6" t="n">
        <f aca="false">Sens!J4450+Sens!J4451</f>
        <v>229.341600871283</v>
      </c>
      <c r="K4453" s="6" t="n">
        <f aca="false">Sens!K4450+Sens!K4451</f>
        <v>235.339759790651</v>
      </c>
      <c r="L4453" s="1" t="s">
        <v>960</v>
      </c>
    </row>
    <row r="4454" customFormat="false" ht="15" hidden="false" customHeight="false" outlineLevel="0" collapsed="false">
      <c r="A4454" s="1" t="s">
        <v>961</v>
      </c>
      <c r="B4454" s="0" t="s">
        <v>98</v>
      </c>
      <c r="E4454" s="6" t="n">
        <f aca="false">fl_liab</f>
        <v>66.594</v>
      </c>
      <c r="F4454" s="6" t="n">
        <f aca="false">Sens!E4454-Sens!F4455</f>
        <v>62.46973</v>
      </c>
      <c r="G4454" s="6" t="n">
        <f aca="false">Sens!F4454-Sens!G4455</f>
        <v>57.98686785</v>
      </c>
      <c r="H4454" s="6" t="n">
        <f aca="false">Sens!G4454-Sens!H4455</f>
        <v>53.92827690325</v>
      </c>
      <c r="I4454" s="6" t="n">
        <f aca="false">Sens!H4454-Sens!I4455</f>
        <v>49.7850493638962</v>
      </c>
      <c r="J4454" s="6" t="n">
        <f aca="false">Sens!I4454-Sens!J4455</f>
        <v>45.4823765852716</v>
      </c>
      <c r="K4454" s="6" t="n">
        <f aca="false">Sens!J4454-Sens!K4455</f>
        <v>40.9860835316088</v>
      </c>
    </row>
    <row r="4455" customFormat="false" ht="15" hidden="false" customHeight="false" outlineLevel="0" collapsed="false">
      <c r="A4455" s="1" t="s">
        <v>962</v>
      </c>
      <c r="B4455" s="0" t="s">
        <v>98</v>
      </c>
      <c r="F4455" s="6" t="n">
        <f aca="false">fl_pay_27-Sens!E4454*fl_rate</f>
        <v>4.12427</v>
      </c>
      <c r="G4455" s="6" t="n">
        <f aca="false">fl_pay_28-Sens!F4454*fl_rate</f>
        <v>4.48286215</v>
      </c>
      <c r="H4455" s="6" t="n">
        <f aca="false">fl_pay_29-Sens!G4454*fl_rate</f>
        <v>4.05859094675</v>
      </c>
      <c r="I4455" s="6" t="n">
        <f aca="false">fl_pay_30-Sens!H4454*fl_rate</f>
        <v>4.14322753935375</v>
      </c>
      <c r="J4455" s="6" t="n">
        <f aca="false">fl_pay_31-Sens!I4454*fl_rate</f>
        <v>4.30267277862467</v>
      </c>
      <c r="K4455" s="6" t="n">
        <f aca="false">fl_pay_32-Sens!J4454*fl_rate</f>
        <v>4.49629305366278</v>
      </c>
    </row>
    <row r="4456" customFormat="false" ht="17.15" hidden="false" customHeight="false" outlineLevel="0" collapsed="false">
      <c r="A4456" s="1" t="s">
        <v>963</v>
      </c>
      <c r="B4456" s="0" t="s">
        <v>98</v>
      </c>
      <c r="E4456" s="6" t="n">
        <f aca="false">Q!M35-Q!M36-Q!M43</f>
        <v>63.886</v>
      </c>
      <c r="F4456" s="6" t="n">
        <f aca="false">Sens!F4449-Sens!F4453-Sens!F4455</f>
        <v>2.59115263782052</v>
      </c>
      <c r="G4456" s="6" t="n">
        <f aca="false">Sens!G4449-Sens!G4453-Sens!G4455</f>
        <v>34.5482557158514</v>
      </c>
      <c r="H4456" s="6" t="n">
        <f aca="false">Sens!H4449-Sens!H4453-Sens!H4455</f>
        <v>45.8372096849478</v>
      </c>
      <c r="I4456" s="6" t="n">
        <f aca="false">Sens!I4449-Sens!I4453-Sens!I4455</f>
        <v>126.862519313379</v>
      </c>
      <c r="J4456" s="6" t="n">
        <f aca="false">Sens!J4449-Sens!J4453-Sens!J4455</f>
        <v>168.637201449742</v>
      </c>
      <c r="K4456" s="6" t="n">
        <f aca="false">Sens!K4449-Sens!K4453-Sens!K4455</f>
        <v>195.234586860698</v>
      </c>
      <c r="L4456" s="11" t="s">
        <v>964</v>
      </c>
    </row>
    <row r="4457" customFormat="false" ht="15" hidden="false" customHeight="false" outlineLevel="0" collapsed="false">
      <c r="A4457" s="1" t="s">
        <v>965</v>
      </c>
      <c r="B4457" s="0" t="s">
        <v>75</v>
      </c>
      <c r="F4457" s="8" t="n">
        <f aca="false">dps_27</f>
        <v>3.85</v>
      </c>
      <c r="G4457" s="8" t="n">
        <f aca="false">Sens!F4457*(1+dps_g)</f>
        <v>4.158</v>
      </c>
      <c r="H4457" s="8" t="n">
        <f aca="false">Sens!G4457*(1+dps_g)</f>
        <v>4.49064</v>
      </c>
      <c r="I4457" s="8" t="n">
        <f aca="false">Sens!H4457*(1+dps_g)</f>
        <v>4.8498912</v>
      </c>
      <c r="J4457" s="8" t="n">
        <f aca="false">Sens!I4457*(1+dps_g)</f>
        <v>5.237882496</v>
      </c>
      <c r="K4457" s="8" t="n">
        <f aca="false">Sens!J4457*(1+dps_g)</f>
        <v>5.65691309568</v>
      </c>
    </row>
    <row r="4458" customFormat="false" ht="17.15" hidden="false" customHeight="false" outlineLevel="0" collapsed="false">
      <c r="A4458" s="1" t="s">
        <v>966</v>
      </c>
      <c r="B4458" s="0" t="s">
        <v>98</v>
      </c>
      <c r="E4458" s="6" t="n">
        <f aca="false">Q!M41</f>
        <v>26.445</v>
      </c>
      <c r="F4458" s="6" t="n">
        <f aca="false">Sens!F4457*Sens!E4467</f>
        <v>28.59395</v>
      </c>
      <c r="G4458" s="6" t="n">
        <f aca="false">Sens!G4457*Sens!F4467</f>
        <v>31.068576</v>
      </c>
      <c r="H4458" s="6" t="n">
        <f aca="false">Sens!H4457*Sens!G4467</f>
        <v>33.7300005710195</v>
      </c>
      <c r="I4458" s="6" t="n">
        <f aca="false">Sens!I4457*Sens!H4467</f>
        <v>36.5707251043131</v>
      </c>
      <c r="J4458" s="6" t="n">
        <f aca="false">Sens!J4457*Sens!I4467</f>
        <v>39.5647819609776</v>
      </c>
      <c r="K4458" s="6" t="n">
        <f aca="false">Sens!K4457*Sens!J4467</f>
        <v>42.8172197431608</v>
      </c>
      <c r="L4458" s="1" t="s">
        <v>967</v>
      </c>
    </row>
    <row r="4459" customFormat="false" ht="15" hidden="false" customHeight="false" outlineLevel="0" collapsed="false">
      <c r="A4459" s="1" t="s">
        <v>968</v>
      </c>
      <c r="B4459" s="0" t="s">
        <v>98</v>
      </c>
      <c r="E4459" s="6" t="n">
        <f aca="false">Sens!E4456-Sens!E4458</f>
        <v>37.441</v>
      </c>
      <c r="F4459" s="6" t="n">
        <f aca="false">Sens!F4456-Sens!F4458</f>
        <v>-26.0027973621795</v>
      </c>
      <c r="G4459" s="6" t="n">
        <f aca="false">Sens!G4456-Sens!G4458</f>
        <v>3.47967971585137</v>
      </c>
      <c r="H4459" s="6" t="n">
        <f aca="false">Sens!H4456-Sens!H4458</f>
        <v>12.1072091139283</v>
      </c>
      <c r="I4459" s="6" t="n">
        <f aca="false">Sens!I4456-Sens!I4458</f>
        <v>90.2917942090655</v>
      </c>
      <c r="J4459" s="6" t="n">
        <f aca="false">Sens!J4456-Sens!J4458</f>
        <v>129.072419488764</v>
      </c>
      <c r="K4459" s="6" t="n">
        <f aca="false">Sens!K4456-Sens!K4458</f>
        <v>152.417367117537</v>
      </c>
    </row>
    <row r="4460" customFormat="false" ht="15" hidden="false" customHeight="false" outlineLevel="0" collapsed="false">
      <c r="A4460" s="1" t="s">
        <v>969</v>
      </c>
      <c r="B4460" s="0" t="s">
        <v>98</v>
      </c>
      <c r="F4460" s="6" t="n">
        <f aca="false">debt_mat_27</f>
        <v>9.25</v>
      </c>
      <c r="G4460" s="6" t="n">
        <f aca="false">debt_mat_28</f>
        <v>0</v>
      </c>
      <c r="H4460" s="6" t="n">
        <f aca="false">debt_mat_29</f>
        <v>2.001</v>
      </c>
      <c r="I4460" s="6" t="n">
        <f aca="false">debt_mat_30</f>
        <v>0</v>
      </c>
      <c r="J4460" s="6" t="n">
        <f aca="false">debt_mat_31</f>
        <v>0.5</v>
      </c>
      <c r="K4460" s="6" t="n">
        <f aca="false">debt_mat_32</f>
        <v>0</v>
      </c>
    </row>
    <row r="4461" customFormat="false" ht="15" hidden="false" customHeight="false" outlineLevel="0" collapsed="false">
      <c r="A4461" s="1" t="s">
        <v>970</v>
      </c>
      <c r="B4461" s="0" t="s">
        <v>98</v>
      </c>
      <c r="E4461" s="6" t="n">
        <f aca="false">Q!M40</f>
        <v>22.271</v>
      </c>
      <c r="F4461" s="6" t="n">
        <f aca="false">MAX(0,MIN(bb_target,Sens!E4463+Sens!F4459-Sens!F4460-min_cash))</f>
        <v>0</v>
      </c>
      <c r="G4461" s="6" t="n">
        <f aca="false">MAX(0,MIN(bb_target,Sens!F4463+Sens!G4459-Sens!G4460-min_cash))</f>
        <v>3.47967971585137</v>
      </c>
      <c r="H4461" s="6" t="n">
        <f aca="false">MAX(0,MIN(bb_target,Sens!G4463+Sens!H4459-Sens!H4460-min_cash))</f>
        <v>10.1062091139283</v>
      </c>
      <c r="I4461" s="6" t="n">
        <f aca="false">MAX(0,MIN(bb_target,Sens!H4463+Sens!I4459-Sens!I4460-min_cash))</f>
        <v>22.271</v>
      </c>
      <c r="J4461" s="6" t="n">
        <f aca="false">MAX(0,MIN(bb_target,Sens!I4463+Sens!J4459-Sens!J4460-min_cash))</f>
        <v>22.271</v>
      </c>
      <c r="K4461" s="6" t="n">
        <f aca="false">MAX(0,MIN(bb_target,Sens!J4463+Sens!K4459-Sens!K4460-min_cash))</f>
        <v>22.271</v>
      </c>
    </row>
    <row r="4462" customFormat="false" ht="15" hidden="false" customHeight="false" outlineLevel="0" collapsed="false">
      <c r="A4462" s="1" t="s">
        <v>971</v>
      </c>
      <c r="B4462" s="0" t="s">
        <v>98</v>
      </c>
      <c r="F4462" s="6" t="n">
        <f aca="false">MAX(0,min_cash-(Sens!E4463+Sens!F4459-Sens!F4460-Sens!F4461))</f>
        <v>8.40979736217948</v>
      </c>
      <c r="G4462" s="6" t="n">
        <f aca="false">MAX(0,min_cash-(Sens!F4463+Sens!G4459-Sens!G4460-Sens!G4461))</f>
        <v>0</v>
      </c>
      <c r="H4462" s="6" t="n">
        <f aca="false">MAX(0,min_cash-(Sens!G4463+Sens!H4459-Sens!H4460-Sens!H4461))</f>
        <v>0</v>
      </c>
      <c r="I4462" s="6" t="n">
        <f aca="false">MAX(0,min_cash-(Sens!H4463+Sens!I4459-Sens!I4460-Sens!I4461))</f>
        <v>0</v>
      </c>
      <c r="J4462" s="6" t="n">
        <f aca="false">MAX(0,min_cash-(Sens!I4463+Sens!J4459-Sens!J4460-Sens!J4461))</f>
        <v>0</v>
      </c>
      <c r="K4462" s="6" t="n">
        <f aca="false">MAX(0,min_cash-(Sens!J4463+Sens!K4459-Sens!K4460-Sens!K4461))</f>
        <v>0</v>
      </c>
    </row>
    <row r="4463" customFormat="false" ht="15" hidden="false" customHeight="false" outlineLevel="0" collapsed="false">
      <c r="A4463" s="1" t="s">
        <v>972</v>
      </c>
      <c r="B4463" s="0" t="s">
        <v>98</v>
      </c>
      <c r="E4463" s="6" t="n">
        <f aca="false">cash_open</f>
        <v>76.843</v>
      </c>
      <c r="F4463" s="6" t="n">
        <f aca="false">Sens!E4463+Sens!F4459-Sens!F4460-Sens!F4461+Sens!F4462</f>
        <v>50</v>
      </c>
      <c r="G4463" s="6" t="n">
        <f aca="false">Sens!F4463+Sens!G4459-Sens!G4460-Sens!G4461+Sens!G4462</f>
        <v>50</v>
      </c>
      <c r="H4463" s="6" t="n">
        <f aca="false">Sens!G4463+Sens!H4459-Sens!H4460-Sens!H4461+Sens!H4462</f>
        <v>50</v>
      </c>
      <c r="I4463" s="6" t="n">
        <f aca="false">Sens!H4463+Sens!I4459-Sens!I4460-Sens!I4461+Sens!I4462</f>
        <v>118.020794209065</v>
      </c>
      <c r="J4463" s="6" t="n">
        <f aca="false">Sens!I4463+Sens!J4459-Sens!J4460-Sens!J4461+Sens!J4462</f>
        <v>224.32221369783</v>
      </c>
      <c r="K4463" s="6" t="n">
        <f aca="false">Sens!J4463+Sens!K4459-Sens!K4460-Sens!K4461+Sens!K4462</f>
        <v>354.468580815366</v>
      </c>
    </row>
    <row r="4464" customFormat="false" ht="15" hidden="false" customHeight="false" outlineLevel="0" collapsed="false">
      <c r="A4464" s="1" t="s">
        <v>973</v>
      </c>
      <c r="B4464" s="0" t="s">
        <v>98</v>
      </c>
      <c r="E4464" s="6" t="n">
        <f aca="false">debt_face</f>
        <v>46.136</v>
      </c>
      <c r="F4464" s="6" t="n">
        <f aca="false">Sens!E4464-Sens!F4460+Sens!F4462</f>
        <v>45.2957973621795</v>
      </c>
      <c r="G4464" s="6" t="n">
        <f aca="false">Sens!F4464-Sens!G4460+Sens!G4462</f>
        <v>45.2957973621795</v>
      </c>
      <c r="H4464" s="6" t="n">
        <f aca="false">Sens!G4464-Sens!H4460+Sens!H4462</f>
        <v>43.2947973621795</v>
      </c>
      <c r="I4464" s="6" t="n">
        <f aca="false">Sens!H4464-Sens!I4460+Sens!I4462</f>
        <v>43.2947973621795</v>
      </c>
      <c r="J4464" s="6" t="n">
        <f aca="false">Sens!I4464-Sens!J4460+Sens!J4462</f>
        <v>42.7947973621795</v>
      </c>
      <c r="K4464" s="6" t="n">
        <f aca="false">Sens!J4464-Sens!K4460+Sens!K4462</f>
        <v>42.7947973621795</v>
      </c>
    </row>
    <row r="4465" customFormat="false" ht="15" hidden="false" customHeight="false" outlineLevel="0" collapsed="false">
      <c r="A4465" s="1" t="s">
        <v>974</v>
      </c>
      <c r="B4465" s="0" t="s">
        <v>98</v>
      </c>
      <c r="E4465" s="6" t="n">
        <f aca="false">Sens!E4463-Sens!E4464</f>
        <v>30.707</v>
      </c>
      <c r="F4465" s="6" t="n">
        <f aca="false">Sens!F4463-Sens!F4464</f>
        <v>4.70420263782052</v>
      </c>
      <c r="G4465" s="6" t="n">
        <f aca="false">Sens!G4463-Sens!G4464</f>
        <v>4.70420263782052</v>
      </c>
      <c r="H4465" s="6" t="n">
        <f aca="false">Sens!H4463-Sens!H4464</f>
        <v>6.70520263782052</v>
      </c>
      <c r="I4465" s="6" t="n">
        <f aca="false">Sens!I4463-Sens!I4464</f>
        <v>74.725996846886</v>
      </c>
      <c r="J4465" s="6" t="n">
        <f aca="false">Sens!J4463-Sens!J4464</f>
        <v>181.52741633565</v>
      </c>
      <c r="K4465" s="6" t="n">
        <f aca="false">Sens!K4463-Sens!K4464</f>
        <v>311.673783453187</v>
      </c>
    </row>
    <row r="4466" customFormat="false" ht="15" hidden="false" customHeight="false" outlineLevel="0" collapsed="false">
      <c r="A4466" s="1" t="s">
        <v>975</v>
      </c>
      <c r="B4466" s="0" t="s">
        <v>75</v>
      </c>
      <c r="F4466" s="29" t="n">
        <f aca="false">px*(1+bb_g)^(Sens!F4328-base_fy-mid_yr)</f>
        <v>553.494156066711</v>
      </c>
      <c r="G4466" s="29" t="n">
        <f aca="false">px*(1+bb_g)^(Sens!G4328-base_fy-mid_yr)</f>
        <v>597.773688552047</v>
      </c>
      <c r="H4466" s="29" t="n">
        <f aca="false">px*(1+bb_g)^(Sens!H4328-base_fy-mid_yr)</f>
        <v>645.595583636211</v>
      </c>
      <c r="I4466" s="29" t="n">
        <f aca="false">px*(1+bb_g)^(Sens!I4328-base_fy-mid_yr)</f>
        <v>697.243230327108</v>
      </c>
      <c r="J4466" s="29" t="n">
        <f aca="false">px*(1+bb_g)^(Sens!J4328-base_fy-mid_yr)</f>
        <v>753.022688753277</v>
      </c>
      <c r="K4466" s="29" t="n">
        <f aca="false">px*(1+bb_g)^(Sens!K4328-base_fy-mid_yr)</f>
        <v>813.264503853539</v>
      </c>
    </row>
    <row r="4467" customFormat="false" ht="15" hidden="false" customHeight="false" outlineLevel="0" collapsed="false">
      <c r="A4467" s="1" t="s">
        <v>976</v>
      </c>
      <c r="B4467" s="1" t="s">
        <v>81</v>
      </c>
      <c r="E4467" s="14" t="n">
        <f aca="false">sh_out26</f>
        <v>7.427</v>
      </c>
      <c r="F4467" s="14" t="n">
        <f aca="false">Sens!E4467+sh_iss-Sens!F4461/Sens!F4466</f>
        <v>7.472</v>
      </c>
      <c r="G4467" s="14" t="n">
        <f aca="false">Sens!F4467+sh_iss-Sens!G4461/Sens!G4466</f>
        <v>7.5111789346328</v>
      </c>
      <c r="H4467" s="14" t="n">
        <f aca="false">Sens!G4467+sh_iss-Sens!H4461/Sens!H4466</f>
        <v>7.54052484812712</v>
      </c>
      <c r="I4467" s="14" t="n">
        <f aca="false">Sens!H4467+sh_iss-Sens!I4461/Sens!I4466</f>
        <v>7.55358334044184</v>
      </c>
      <c r="J4467" s="14" t="n">
        <f aca="false">Sens!I4467+sh_iss-Sens!J4461/Sens!J4466</f>
        <v>7.56900787036289</v>
      </c>
      <c r="K4467" s="14" t="n">
        <f aca="false">Sens!J4467+sh_iss-Sens!K4461/Sens!K4466</f>
        <v>7.58662317584533</v>
      </c>
    </row>
    <row r="4468" customFormat="false" ht="15" hidden="false" customHeight="false" outlineLevel="0" collapsed="false">
      <c r="A4468" s="1" t="s">
        <v>977</v>
      </c>
      <c r="B4468" s="1" t="s">
        <v>81</v>
      </c>
      <c r="E4468" s="14" t="n">
        <f aca="false">sh_dil26</f>
        <v>7.453</v>
      </c>
      <c r="F4468" s="14" t="n">
        <f aca="false">(Sens!E4467+Sens!F4467)/2+dil_gap</f>
        <v>7.4735</v>
      </c>
      <c r="G4468" s="14" t="n">
        <f aca="false">(Sens!F4467+Sens!G4467)/2+dil_gap</f>
        <v>7.5155894673164</v>
      </c>
      <c r="H4468" s="14" t="n">
        <f aca="false">(Sens!G4467+Sens!H4467)/2+dil_gap</f>
        <v>7.54985189137996</v>
      </c>
      <c r="I4468" s="14" t="n">
        <f aca="false">(Sens!H4467+Sens!I4467)/2+dil_gap</f>
        <v>7.57105409428448</v>
      </c>
      <c r="J4468" s="14" t="n">
        <f aca="false">(Sens!I4467+Sens!J4467)/2+dil_gap</f>
        <v>7.58529560540236</v>
      </c>
      <c r="K4468" s="14" t="n">
        <f aca="false">(Sens!J4467+Sens!K4467)/2+dil_gap</f>
        <v>7.60181552310411</v>
      </c>
    </row>
    <row r="4469" customFormat="false" ht="17.15" hidden="false" customHeight="false" outlineLevel="0" collapsed="false">
      <c r="A4469" s="1" t="s">
        <v>978</v>
      </c>
      <c r="B4469" s="0" t="s">
        <v>98</v>
      </c>
      <c r="C4469" s="6" t="n">
        <f aca="false">SUM(Sens!F4459:J4459)</f>
        <v>208.94830516543</v>
      </c>
    </row>
    <row r="4470" customFormat="false" ht="15" hidden="false" customHeight="false" outlineLevel="0" collapsed="false">
      <c r="A4470" s="23" t="s">
        <v>945</v>
      </c>
      <c r="B4470" s="30" t="s">
        <v>98</v>
      </c>
      <c r="C4470" s="24" t="n">
        <f aca="false">Sens!$C$4469-(Sens!F4459+Sens!G4459+Sens!H4459+Sens!I4459+Sens!J4459)</f>
        <v>0</v>
      </c>
      <c r="D4470" s="30"/>
      <c r="E4470" s="30"/>
      <c r="F4470" s="30"/>
      <c r="G4470" s="30"/>
      <c r="H4470" s="30"/>
      <c r="I4470" s="30"/>
      <c r="J4470" s="30"/>
      <c r="K4470" s="30"/>
    </row>
    <row r="4471" customFormat="false" ht="17.15" hidden="false" customHeight="false" outlineLevel="0" collapsed="false">
      <c r="A4471" s="1" t="s">
        <v>939</v>
      </c>
      <c r="B4471" s="1" t="s">
        <v>979</v>
      </c>
      <c r="C4471" s="32" t="str">
        <f aca="false">IF(SUM(Sens!F4462:J4462)&gt;0.05,"需要舉債 "&amp;TEXT(SUM(Sens!F4462:J4462),"0.0")&amp;" 十億美元","不需舉債")&amp;"；"&amp;IF(SUM(Sens!F4461:J4461)&lt;COUNT(Sens!F4461:J4461)*bb_target-0.05,"回購較每年 "&amp;TEXT(bb_target,"0.0")&amp;" 的目標少 "&amp;TEXT(COUNT(Sens!F4461:J4461)*bb_target-SUM(Sens!F4461:J4461),"0.0")&amp;" 十億美元（"&amp;TEXT(COUNTIF(Sens!F4461:J4461,"&lt;"&amp;(bb_target-0.05)),"0")&amp;" 年減少）","回購不減")</f>
        <v>需要舉債 8.4 十億美元；回購較每年 22.3 的目標少 53.2 十億美元（3 年減少）</v>
      </c>
    </row>
    <row r="4472" customFormat="false" ht="17.15" hidden="false" customHeight="false" outlineLevel="0" collapsed="false">
      <c r="A4472" s="3" t="s">
        <v>1376</v>
      </c>
    </row>
    <row r="4473" customFormat="false" ht="15" hidden="false" customHeight="false" outlineLevel="0" collapsed="false">
      <c r="A4473" s="4" t="s">
        <v>43</v>
      </c>
      <c r="B4473" s="4" t="s">
        <v>65</v>
      </c>
      <c r="C4473" s="20" t="s">
        <v>799</v>
      </c>
      <c r="D4473" s="20" t="s">
        <v>800</v>
      </c>
      <c r="E4473" s="20" t="s">
        <v>801</v>
      </c>
      <c r="F4473" s="20" t="s">
        <v>802</v>
      </c>
      <c r="G4473" s="20" t="s">
        <v>803</v>
      </c>
      <c r="H4473" s="20" t="s">
        <v>804</v>
      </c>
      <c r="I4473" s="20" t="s">
        <v>805</v>
      </c>
      <c r="J4473" s="20" t="s">
        <v>806</v>
      </c>
      <c r="K4473" s="20" t="s">
        <v>807</v>
      </c>
      <c r="L4473" s="4" t="s">
        <v>47</v>
      </c>
    </row>
    <row r="4474" customFormat="false" ht="15" hidden="false" customHeight="false" outlineLevel="0" collapsed="false">
      <c r="A4474" s="1" t="s">
        <v>1057</v>
      </c>
      <c r="B4474" s="1" t="s">
        <v>235</v>
      </c>
      <c r="F4474" s="36" t="n">
        <f aca="false">Sens!F4328-base_fy-mid_yr</f>
        <v>0.5</v>
      </c>
      <c r="G4474" s="36" t="n">
        <f aca="false">Sens!G4328-base_fy-mid_yr</f>
        <v>1.5</v>
      </c>
      <c r="H4474" s="36" t="n">
        <f aca="false">Sens!H4328-base_fy-mid_yr</f>
        <v>2.5</v>
      </c>
      <c r="I4474" s="36" t="n">
        <f aca="false">Sens!I4328-base_fy-mid_yr</f>
        <v>3.5</v>
      </c>
      <c r="J4474" s="36" t="n">
        <f aca="false">Sens!J4328-base_fy-mid_yr</f>
        <v>4.5</v>
      </c>
      <c r="K4474" s="36" t="n">
        <f aca="false">Sens!K4328-base_fy-mid_yr</f>
        <v>5.5</v>
      </c>
    </row>
    <row r="4475" customFormat="false" ht="15" hidden="false" customHeight="false" outlineLevel="0" collapsed="false">
      <c r="A4475" s="1" t="s">
        <v>1058</v>
      </c>
      <c r="B4475" s="0" t="s">
        <v>185</v>
      </c>
      <c r="F4475" s="14" t="n">
        <f aca="false">1/(1+wacc)^Sens!F4474</f>
        <v>0.952193373608246</v>
      </c>
      <c r="G4475" s="14" t="n">
        <f aca="false">1/(1+wacc)^Sens!G4474</f>
        <v>0.863327280626589</v>
      </c>
      <c r="H4475" s="14" t="n">
        <f aca="false">1/(1+wacc)^Sens!H4474</f>
        <v>0.782754862754115</v>
      </c>
      <c r="I4475" s="14" t="n">
        <f aca="false">1/(1+wacc)^Sens!I4474</f>
        <v>0.709702089711011</v>
      </c>
      <c r="J4475" s="14" t="n">
        <f aca="false">1/(1+wacc)^Sens!J4474</f>
        <v>0.643467169744551</v>
      </c>
      <c r="K4475" s="14" t="n">
        <f aca="false">1/(1+wacc)^Sens!K4474</f>
        <v>0.583413807767797</v>
      </c>
    </row>
    <row r="4476" customFormat="false" ht="17.15" hidden="false" customHeight="false" outlineLevel="0" collapsed="false">
      <c r="A4476" s="1" t="s">
        <v>1059</v>
      </c>
      <c r="B4476" s="0" t="s">
        <v>98</v>
      </c>
      <c r="F4476" s="6" t="n">
        <f aca="false">Sens!F4449-Sens!F4447-Sens!F4453+Sens!F4432*(1-tax_f)</f>
        <v>-0.843994543056439</v>
      </c>
      <c r="G4476" s="6" t="n">
        <f aca="false">Sens!G4449-Sens!G4447-Sens!G4453+Sens!G4432*(1-tax_f)</f>
        <v>40.2868654819708</v>
      </c>
      <c r="H4476" s="6" t="n">
        <f aca="false">Sens!H4449-Sens!H4447-Sens!H4453+Sens!H4432*(1-tax_f)</f>
        <v>61.4734392808771</v>
      </c>
      <c r="I4476" s="6" t="n">
        <f aca="false">Sens!I4449-Sens!I4447-Sens!I4453+Sens!I4432*(1-tax_f)</f>
        <v>151.977930351692</v>
      </c>
      <c r="J4476" s="6" t="n">
        <f aca="false">Sens!J4449-Sens!J4447-Sens!J4453+Sens!J4432*(1-tax_f)</f>
        <v>200.764504426197</v>
      </c>
      <c r="K4476" s="6" t="n">
        <f aca="false">Sens!K4449-Sens!K4447-Sens!K4453+Sens!K4432*(1-tax_f)</f>
        <v>231.380539583968</v>
      </c>
      <c r="L4476" s="1" t="s">
        <v>1060</v>
      </c>
    </row>
    <row r="4477" customFormat="false" ht="15" hidden="false" customHeight="false" outlineLevel="0" collapsed="false">
      <c r="A4477" s="1" t="s">
        <v>1061</v>
      </c>
      <c r="B4477" s="0" t="s">
        <v>98</v>
      </c>
      <c r="F4477" s="6" t="n">
        <f aca="false">Sens!F4476*Sens!F4475</f>
        <v>-0.803646011259861</v>
      </c>
      <c r="G4477" s="6" t="n">
        <f aca="false">Sens!G4476*Sens!G4475</f>
        <v>34.7807500215191</v>
      </c>
      <c r="H4477" s="6" t="n">
        <f aca="false">Sens!H4476*Sens!H4475</f>
        <v>48.1186335273264</v>
      </c>
      <c r="I4477" s="6" t="n">
        <f aca="false">Sens!I4476*Sens!I4475</f>
        <v>107.85905476055</v>
      </c>
      <c r="J4477" s="6" t="n">
        <f aca="false">Sens!J4476*Sens!J4475</f>
        <v>129.185367448292</v>
      </c>
      <c r="K4477" s="6" t="n">
        <f aca="false">Sens!K4476*Sens!K4475</f>
        <v>134.99060164205</v>
      </c>
    </row>
    <row r="4478" customFormat="false" ht="17.15" hidden="false" customHeight="false" outlineLevel="0" collapsed="false">
      <c r="A4478" s="1" t="s">
        <v>1062</v>
      </c>
      <c r="B4478" s="0" t="s">
        <v>98</v>
      </c>
      <c r="C4478" s="6" t="n">
        <f aca="false">SUM(Sens!F4477:K4477)</f>
        <v>454.130761388478</v>
      </c>
    </row>
    <row r="4479" customFormat="false" ht="17.15" hidden="false" customHeight="false" outlineLevel="0" collapsed="false">
      <c r="A4479" s="1" t="s">
        <v>1063</v>
      </c>
      <c r="B4479" s="0" t="s">
        <v>98</v>
      </c>
      <c r="C4479" s="6" t="n">
        <f aca="false">Sens!K4418*(1+g_tv)*(1-tax_f)</f>
        <v>271.68755103711</v>
      </c>
    </row>
    <row r="4480" customFormat="false" ht="17.15" hidden="false" customHeight="false" outlineLevel="0" collapsed="false">
      <c r="A4480" s="1" t="s">
        <v>1064</v>
      </c>
      <c r="B4480" s="0" t="s">
        <v>98</v>
      </c>
      <c r="C4480" s="6" t="n">
        <f aca="false">Sens!$C$4479*(1-g_tv/(wacc+ronic_prem))</f>
        <v>192.504839134141</v>
      </c>
    </row>
    <row r="4481" customFormat="false" ht="17.15" hidden="false" customHeight="false" outlineLevel="0" collapsed="false">
      <c r="A4481" s="1" t="s">
        <v>1065</v>
      </c>
      <c r="B4481" s="0" t="s">
        <v>98</v>
      </c>
      <c r="C4481" s="6" t="n">
        <f aca="false">Sens!$C$4480/(wacc-g_tv)</f>
        <v>2639.42373009894</v>
      </c>
    </row>
    <row r="4482" customFormat="false" ht="15" hidden="false" customHeight="false" outlineLevel="0" collapsed="false">
      <c r="A4482" s="1" t="s">
        <v>1066</v>
      </c>
      <c r="B4482" s="0" t="s">
        <v>98</v>
      </c>
      <c r="C4482" s="6" t="n">
        <f aca="false">Sens!$C$4481/(1+wacc)^(Sens!K4474+mid_yr)</f>
        <v>1466.25996017906</v>
      </c>
    </row>
    <row r="4483" customFormat="false" ht="17.15" hidden="false" customHeight="false" outlineLevel="0" collapsed="false">
      <c r="A4483" s="0" t="s">
        <v>986</v>
      </c>
      <c r="B4483" s="0" t="s">
        <v>98</v>
      </c>
      <c r="C4483" s="6" t="n">
        <f aca="false">Sens!$C$4478+Sens!$C$4482</f>
        <v>1920.39072156754</v>
      </c>
    </row>
    <row r="4484" customFormat="false" ht="15" hidden="false" customHeight="false" outlineLevel="0" collapsed="false">
      <c r="A4484" s="1" t="s">
        <v>987</v>
      </c>
      <c r="B4484" s="0" t="s">
        <v>129</v>
      </c>
      <c r="C4484" s="7" t="n">
        <f aca="false">Sens!$C$4482/Sens!$C$4483</f>
        <v>0.763521685306942</v>
      </c>
    </row>
    <row r="4485" customFormat="false" ht="17.15" hidden="false" customHeight="false" outlineLevel="0" collapsed="false">
      <c r="A4485" s="1" t="s">
        <v>1067</v>
      </c>
      <c r="B4485" s="0" t="s">
        <v>98</v>
      </c>
      <c r="C4485" s="6" t="n">
        <f aca="false">Sens!$C$4483+Sens!E4465-Sens!E4454+oai_v</f>
        <v>2054.90372156754</v>
      </c>
    </row>
    <row r="4486" customFormat="false" ht="17.15" hidden="false" customHeight="false" outlineLevel="0" collapsed="false">
      <c r="A4486" s="0" t="s">
        <v>994</v>
      </c>
      <c r="B4486" s="0" t="s">
        <v>75</v>
      </c>
      <c r="C4486" s="5" t="n">
        <f aca="false">Sens!$C$4485/sh_dil26</f>
        <v>275.714976729846</v>
      </c>
    </row>
    <row r="4487" customFormat="false" ht="15" hidden="false" customHeight="false" outlineLevel="0" collapsed="false">
      <c r="A4487" s="1" t="s">
        <v>1068</v>
      </c>
      <c r="B4487" s="0" t="s">
        <v>75</v>
      </c>
      <c r="C4487" s="8" t="n">
        <f aca="false">dps_27+Sens!G4457*roll_div_q/q_per_yr</f>
        <v>4.8895</v>
      </c>
    </row>
    <row r="4488" customFormat="false" ht="17.15" hidden="false" customHeight="false" outlineLevel="0" collapsed="false">
      <c r="A4488" s="0" t="s">
        <v>1069</v>
      </c>
      <c r="B4488" s="0" t="s">
        <v>75</v>
      </c>
      <c r="C4488" s="5" t="n">
        <f aca="false">Sens!$C$4486*(1+wacc)^t_roll-Sens!$C$4487</f>
        <v>309.076349994588</v>
      </c>
    </row>
    <row r="4489" customFormat="false" ht="17.15" hidden="false" customHeight="false" outlineLevel="0" collapsed="false">
      <c r="A4489" s="1" t="s">
        <v>1070</v>
      </c>
      <c r="B4489" s="0" t="s">
        <v>129</v>
      </c>
      <c r="F4489" s="7" t="n">
        <f aca="false">Sens!F4444/(Sens!F4389-Sens!F4345)</f>
        <v>0.062964941144944</v>
      </c>
      <c r="G4489" s="7" t="n">
        <f aca="false">Sens!G4444/(Sens!G4389-Sens!G4345)</f>
        <v>0.0612543492923563</v>
      </c>
      <c r="H4489" s="7" t="n">
        <f aca="false">Sens!H4444/(Sens!H4389-Sens!H4345)</f>
        <v>0.0606326001875989</v>
      </c>
      <c r="I4489" s="7" t="n">
        <f aca="false">Sens!I4444/(Sens!I4389-Sens!I4345)</f>
        <v>0.061029550205228</v>
      </c>
      <c r="J4489" s="7" t="n">
        <f aca="false">Sens!J4444/(Sens!J4389-Sens!J4345)</f>
        <v>0.062215828826227</v>
      </c>
      <c r="K4489" s="7" t="n">
        <f aca="false">Sens!K4444/(Sens!K4389-Sens!K4345)</f>
        <v>0.0638881435767888</v>
      </c>
    </row>
    <row r="4490" customFormat="false" ht="17.15" hidden="false" customHeight="false" outlineLevel="0" collapsed="false">
      <c r="A4490" s="0" t="s">
        <v>1071</v>
      </c>
      <c r="B4490" s="0" t="s">
        <v>98</v>
      </c>
      <c r="F4490" s="6" t="n">
        <f aca="false">Sens!F4374*(al_m365+Sens!F4489+sbc_r)</f>
        <v>83.2659897847665</v>
      </c>
      <c r="G4490" s="6" t="n">
        <f aca="false">Sens!G4374*(al_m365+Sens!G4489+sbc_r)</f>
        <v>95.7441178629922</v>
      </c>
      <c r="H4490" s="6" t="n">
        <f aca="false">Sens!H4374*(al_m365+Sens!H4489+sbc_r)</f>
        <v>108.38595494523</v>
      </c>
      <c r="I4490" s="6" t="n">
        <f aca="false">Sens!I4374*(al_m365+Sens!I4489+sbc_r)</f>
        <v>120.010970641448</v>
      </c>
      <c r="J4490" s="6" t="n">
        <f aca="false">Sens!J4374*(al_m365+Sens!J4489+sbc_r)</f>
        <v>130.428023365395</v>
      </c>
      <c r="K4490" s="6" t="n">
        <f aca="false">Sens!K4374*(al_m365+Sens!K4489+sbc_r)</f>
        <v>140.449093581067</v>
      </c>
      <c r="L4490" s="11" t="s">
        <v>1072</v>
      </c>
    </row>
    <row r="4491" customFormat="false" ht="17.15" hidden="false" customHeight="false" outlineLevel="0" collapsed="false">
      <c r="A4491" s="0" t="s">
        <v>1073</v>
      </c>
      <c r="B4491" s="0" t="s">
        <v>98</v>
      </c>
      <c r="F4491" s="6" t="n">
        <f aca="false">Sens!F4375*(al_lic+Sens!F4489+sbc_r)</f>
        <v>33.2248495330189</v>
      </c>
      <c r="G4491" s="6" t="n">
        <f aca="false">Sens!G4375*(al_lic+Sens!G4489+sbc_r)</f>
        <v>34.5620655755203</v>
      </c>
      <c r="H4491" s="6" t="n">
        <f aca="false">Sens!H4375*(al_lic+Sens!H4489+sbc_r)</f>
        <v>35.8062529407139</v>
      </c>
      <c r="I4491" s="6" t="n">
        <f aca="false">Sens!I4375*(al_lic+Sens!I4489+sbc_r)</f>
        <v>36.9396937222403</v>
      </c>
      <c r="J4491" s="6" t="n">
        <f aca="false">Sens!J4375*(al_lic+Sens!J4489+sbc_r)</f>
        <v>37.9378072392657</v>
      </c>
      <c r="K4491" s="6" t="n">
        <f aca="false">Sens!K4375*(al_lic+Sens!K4489+sbc_r)</f>
        <v>38.7727321157762</v>
      </c>
    </row>
    <row r="4492" customFormat="false" ht="17.15" hidden="false" customHeight="false" outlineLevel="0" collapsed="false">
      <c r="A4492" s="0" t="s">
        <v>1074</v>
      </c>
      <c r="B4492" s="0" t="s">
        <v>98</v>
      </c>
      <c r="F4492" s="6" t="n">
        <f aca="false">Sens!F4377*(al_ind+Sens!F4489+sbc_r)</f>
        <v>8.95065787464937</v>
      </c>
      <c r="G4492" s="6" t="n">
        <f aca="false">Sens!G4377*(al_ind+Sens!G4489+sbc_r)</f>
        <v>9.74237275279063</v>
      </c>
      <c r="H4492" s="6" t="n">
        <f aca="false">Sens!H4377*(al_ind+Sens!H4489+sbc_r)</f>
        <v>10.5767780311528</v>
      </c>
      <c r="I4492" s="6" t="n">
        <f aca="false">Sens!I4377*(al_ind+Sens!I4489+sbc_r)</f>
        <v>11.4508496327599</v>
      </c>
      <c r="J4492" s="6" t="n">
        <f aca="false">Sens!J4377*(al_ind+Sens!J4489+sbc_r)</f>
        <v>12.3552851057413</v>
      </c>
      <c r="K4492" s="6" t="n">
        <f aca="false">Sens!K4377*(al_ind+Sens!K4489+sbc_r)</f>
        <v>13.275481259367</v>
      </c>
    </row>
    <row r="4493" customFormat="false" ht="17.15" hidden="false" customHeight="false" outlineLevel="0" collapsed="false">
      <c r="A4493" s="0" t="s">
        <v>1075</v>
      </c>
      <c r="B4493" s="0" t="s">
        <v>98</v>
      </c>
      <c r="F4493" s="6" t="n">
        <f aca="false">Sens!F4379*(al_fro+Sens!F4489+sbc_r)</f>
        <v>3.52301036344</v>
      </c>
      <c r="G4493" s="6" t="n">
        <f aca="false">Sens!G4379*(al_fro+Sens!G4489+sbc_r)</f>
        <v>3.74049515169141</v>
      </c>
      <c r="H4493" s="6" t="n">
        <f aca="false">Sens!H4379*(al_fro+Sens!H4489+sbc_r)</f>
        <v>3.98569197937775</v>
      </c>
      <c r="I4493" s="6" t="n">
        <f aca="false">Sens!I4379*(al_fro+Sens!I4489+sbc_r)</f>
        <v>4.26154018940062</v>
      </c>
      <c r="J4493" s="6" t="n">
        <f aca="false">Sens!J4379*(al_fro+Sens!J4489+sbc_r)</f>
        <v>4.56945924482873</v>
      </c>
      <c r="K4493" s="6" t="n">
        <f aca="false">Sens!K4379*(al_fro+Sens!K4489+sbc_r)</f>
        <v>4.90978314551209</v>
      </c>
    </row>
    <row r="4494" customFormat="false" ht="17.15" hidden="false" customHeight="false" outlineLevel="0" collapsed="false">
      <c r="A4494" s="0" t="s">
        <v>1076</v>
      </c>
      <c r="B4494" s="0" t="s">
        <v>98</v>
      </c>
      <c r="F4494" s="6" t="n">
        <f aca="false">Sens!F4382*(al_srch+Sens!F4489+sbc_r)</f>
        <v>11.054191794762</v>
      </c>
      <c r="G4494" s="6" t="n">
        <f aca="false">Sens!G4382*(al_srch+Sens!G4489+sbc_r)</f>
        <v>12.1454974326695</v>
      </c>
      <c r="H4494" s="6" t="n">
        <f aca="false">Sens!H4382*(al_srch+Sens!H4489+sbc_r)</f>
        <v>13.2795286069827</v>
      </c>
      <c r="I4494" s="6" t="n">
        <f aca="false">Sens!I4382*(al_srch+Sens!I4489+sbc_r)</f>
        <v>14.445508374456</v>
      </c>
      <c r="J4494" s="6" t="n">
        <f aca="false">Sens!J4382*(al_srch+Sens!J4489+sbc_r)</f>
        <v>15.6238332101431</v>
      </c>
      <c r="K4494" s="6" t="n">
        <f aca="false">Sens!K4382*(al_srch+Sens!K4489+sbc_r)</f>
        <v>16.7874640856608</v>
      </c>
    </row>
    <row r="4495" customFormat="false" ht="17.15" hidden="false" customHeight="false" outlineLevel="0" collapsed="false">
      <c r="A4495" s="0" t="s">
        <v>1077</v>
      </c>
      <c r="B4495" s="0" t="s">
        <v>98</v>
      </c>
      <c r="F4495" s="6" t="n">
        <f aca="false">Sens!F4351-Sens!F4352+Sens!F4432</f>
        <v>42.1408268402463</v>
      </c>
      <c r="G4495" s="6" t="n">
        <f aca="false">Sens!G4351-Sens!G4352+Sens!G4432</f>
        <v>79.5429465053794</v>
      </c>
      <c r="H4495" s="6" t="n">
        <f aca="false">Sens!H4351-Sens!H4352+Sens!H4432</f>
        <v>121.385667586749</v>
      </c>
      <c r="I4495" s="6" t="n">
        <f aca="false">Sens!I4351-Sens!I4352+Sens!I4432</f>
        <v>158.755299320283</v>
      </c>
      <c r="J4495" s="6" t="n">
        <f aca="false">Sens!J4351-Sens!J4352+Sens!J4432</f>
        <v>187.43973734637</v>
      </c>
      <c r="K4495" s="6" t="n">
        <f aca="false">Sens!K4351-Sens!K4352+Sens!K4432</f>
        <v>207.435605596372</v>
      </c>
    </row>
    <row r="4496" customFormat="false" ht="17.15" hidden="false" customHeight="false" outlineLevel="0" collapsed="false">
      <c r="A4496" s="0" t="s">
        <v>1078</v>
      </c>
      <c r="B4496" s="0" t="s">
        <v>98</v>
      </c>
      <c r="F4496" s="6" t="n">
        <f aca="false">Sens!F4411+Sens!F4432+Sens!F4362+Sens!F4489*(Sens!F4381-Sens!F4345)+sbc_r*Sens!F4381</f>
        <v>234.299311867634</v>
      </c>
      <c r="G4496" s="6" t="n">
        <f aca="false">Sens!G4411+Sens!G4432+Sens!G4362+Sens!G4489*(Sens!G4381-Sens!G4345)+sbc_r*Sens!G4381</f>
        <v>299.481701169223</v>
      </c>
      <c r="H4496" s="6" t="n">
        <f aca="false">Sens!H4411+Sens!H4432+Sens!H4362+Sens!H4489*(Sens!H4381-Sens!H4345)+sbc_r*Sens!H4381</f>
        <v>369.651048767337</v>
      </c>
      <c r="I4496" s="6" t="n">
        <f aca="false">Sens!I4411+Sens!I4432+Sens!I4362+Sens!I4489*(Sens!I4381-Sens!I4345)+sbc_r*Sens!I4381</f>
        <v>433.919953543303</v>
      </c>
      <c r="J4496" s="6" t="n">
        <f aca="false">Sens!J4411+Sens!J4432+Sens!J4362+Sens!J4489*(Sens!J4381-Sens!J4345)+sbc_r*Sens!J4381</f>
        <v>487.065739718802</v>
      </c>
      <c r="K4496" s="6" t="n">
        <f aca="false">Sens!K4411+Sens!K4432+Sens!K4362+Sens!K4489*(Sens!K4381-Sens!K4345)+sbc_r*Sens!K4381</f>
        <v>529.135474539385</v>
      </c>
    </row>
    <row r="4497" customFormat="false" ht="17.15" hidden="false" customHeight="false" outlineLevel="0" collapsed="false">
      <c r="A4497" s="0" t="s">
        <v>1079</v>
      </c>
      <c r="B4497" s="0" t="s">
        <v>98</v>
      </c>
      <c r="F4497" s="6" t="n">
        <f aca="false">Sens!F4496-Sens!F4490-Sens!F4491-Sens!F4492-Sens!F4493-Sens!F4495</f>
        <v>63.1939774715131</v>
      </c>
      <c r="G4497" s="6" t="n">
        <f aca="false">Sens!G4496-Sens!G4490-Sens!G4491-Sens!G4492-Sens!G4493-Sens!G4495</f>
        <v>76.1497033208491</v>
      </c>
      <c r="H4497" s="6" t="n">
        <f aca="false">Sens!H4496-Sens!H4490-Sens!H4491-Sens!H4492-Sens!H4493-Sens!H4495</f>
        <v>89.5107032841136</v>
      </c>
      <c r="I4497" s="6" t="n">
        <f aca="false">Sens!I4496-Sens!I4490-Sens!I4491-Sens!I4492-Sens!I4493-Sens!I4495</f>
        <v>102.501600037171</v>
      </c>
      <c r="J4497" s="6" t="n">
        <f aca="false">Sens!J4496-Sens!J4490-Sens!J4491-Sens!J4492-Sens!J4493-Sens!J4495</f>
        <v>114.335427417202</v>
      </c>
      <c r="K4497" s="6" t="n">
        <f aca="false">Sens!K4496-Sens!K4490-Sens!K4491-Sens!K4492-Sens!K4493-Sens!K4495</f>
        <v>124.29277884129</v>
      </c>
    </row>
    <row r="4498" customFormat="false" ht="17.15" hidden="false" customHeight="false" outlineLevel="0" collapsed="false">
      <c r="A4498" s="0" t="s">
        <v>1080</v>
      </c>
      <c r="B4498" s="0" t="s">
        <v>98</v>
      </c>
      <c r="F4498" s="6" t="n">
        <f aca="false">Sens!F4413+Sens!F4489*Sens!F4388+sbc_r*Sens!F4388</f>
        <v>25.8322480114847</v>
      </c>
      <c r="G4498" s="6" t="n">
        <f aca="false">Sens!G4413+Sens!G4489*Sens!G4388+sbc_r*Sens!G4388</f>
        <v>26.5041045448745</v>
      </c>
      <c r="H4498" s="6" t="n">
        <f aca="false">Sens!H4413+Sens!H4489*Sens!H4388+sbc_r*Sens!H4388</f>
        <v>27.4287852939722</v>
      </c>
      <c r="I4498" s="6" t="n">
        <f aca="false">Sens!I4413+Sens!I4489*Sens!I4388+sbc_r*Sens!I4388</f>
        <v>28.5796952864046</v>
      </c>
      <c r="J4498" s="6" t="n">
        <f aca="false">Sens!J4413+Sens!J4489*Sens!J4388+sbc_r*Sens!J4388</f>
        <v>29.9247054852365</v>
      </c>
      <c r="K4498" s="6" t="n">
        <f aca="false">Sens!K4413+Sens!K4489*Sens!K4388+sbc_r*Sens!K4388</f>
        <v>31.4292103252703</v>
      </c>
    </row>
    <row r="4499" customFormat="false" ht="17.15" hidden="false" customHeight="false" outlineLevel="0" collapsed="false">
      <c r="A4499" s="0" t="s">
        <v>1081</v>
      </c>
      <c r="B4499" s="0" t="s">
        <v>98</v>
      </c>
      <c r="F4499" s="6" t="n">
        <f aca="false">(Sens!F4498-Sens!F4494)*Sens!F4384/(Sens!F4384+Sens!F4386)</f>
        <v>8.10118648182548</v>
      </c>
      <c r="G4499" s="6" t="n">
        <f aca="false">(Sens!G4498-Sens!G4494)*Sens!G4384/(Sens!G4384+Sens!G4386)</f>
        <v>7.73090470082947</v>
      </c>
      <c r="H4499" s="6" t="n">
        <f aca="false">(Sens!H4498-Sens!H4494)*Sens!H4384/(Sens!H4384+Sens!H4386)</f>
        <v>7.51527809338043</v>
      </c>
      <c r="I4499" s="6" t="n">
        <f aca="false">(Sens!I4498-Sens!I4494)*Sens!I4384/(Sens!I4384+Sens!I4386)</f>
        <v>7.43934797871062</v>
      </c>
      <c r="J4499" s="6" t="n">
        <f aca="false">(Sens!J4498-Sens!J4494)*Sens!J4384/(Sens!J4384+Sens!J4386)</f>
        <v>7.49304350037481</v>
      </c>
      <c r="K4499" s="6" t="n">
        <f aca="false">(Sens!K4498-Sens!K4494)*Sens!K4384/(Sens!K4384+Sens!K4386)</f>
        <v>7.67164683275426</v>
      </c>
    </row>
    <row r="4500" customFormat="false" ht="17.15" hidden="false" customHeight="false" outlineLevel="0" collapsed="false">
      <c r="A4500" s="0" t="s">
        <v>1082</v>
      </c>
      <c r="B4500" s="0" t="s">
        <v>98</v>
      </c>
      <c r="F4500" s="6" t="n">
        <f aca="false">Sens!F4498-Sens!F4494-Sens!F4499</f>
        <v>6.67686973489724</v>
      </c>
      <c r="G4500" s="6" t="n">
        <f aca="false">Sens!G4498-Sens!G4494-Sens!G4499</f>
        <v>6.62770241137554</v>
      </c>
      <c r="H4500" s="6" t="n">
        <f aca="false">Sens!H4498-Sens!H4494-Sens!H4499</f>
        <v>6.63397859360901</v>
      </c>
      <c r="I4500" s="6" t="n">
        <f aca="false">Sens!I4498-Sens!I4494-Sens!I4499</f>
        <v>6.69483893323799</v>
      </c>
      <c r="J4500" s="6" t="n">
        <f aca="false">Sens!J4498-Sens!J4494-Sens!J4499</f>
        <v>6.80782877471856</v>
      </c>
      <c r="K4500" s="6" t="n">
        <f aca="false">Sens!K4498-Sens!K4494-Sens!K4499</f>
        <v>6.97009940685524</v>
      </c>
    </row>
    <row r="4501" customFormat="false" ht="17.15" hidden="false" customHeight="false" outlineLevel="0" collapsed="false">
      <c r="A4501" s="0" t="s">
        <v>1083</v>
      </c>
      <c r="B4501" s="0" t="s">
        <v>98</v>
      </c>
      <c r="F4501" s="6" t="n">
        <f aca="false">Sens!F4495-tax_f*(Sens!F4495-Sens!F4362)-Sens!F4359</f>
        <v>-118.54606903184</v>
      </c>
      <c r="G4501" s="6" t="n">
        <f aca="false">Sens!G4495-tax_f*(Sens!G4495-Sens!G4362)-Sens!G4359</f>
        <v>-105.908975204374</v>
      </c>
      <c r="H4501" s="6" t="n">
        <f aca="false">Sens!H4495-tax_f*(Sens!H4495-Sens!H4362)-Sens!H4359</f>
        <v>-100.572572690173</v>
      </c>
      <c r="I4501" s="6" t="n">
        <f aca="false">Sens!I4495-tax_f*(Sens!I4495-Sens!I4362)-Sens!I4359</f>
        <v>-25.4853442009313</v>
      </c>
      <c r="J4501" s="6" t="n">
        <f aca="false">Sens!J4495-tax_f*(Sens!J4495-Sens!J4362)-Sens!J4359</f>
        <v>8.79292692429493</v>
      </c>
      <c r="K4501" s="6" t="n">
        <f aca="false">Sens!K4495-tax_f*(Sens!K4495-Sens!K4362)-Sens!K4359</f>
        <v>25.7471114532548</v>
      </c>
    </row>
    <row r="4502" customFormat="false" ht="17.15" hidden="false" customHeight="false" outlineLevel="0" collapsed="false">
      <c r="A4502" s="0" t="s">
        <v>1084</v>
      </c>
      <c r="B4502" s="0" t="s">
        <v>98</v>
      </c>
      <c r="G4502" s="6" t="n">
        <f aca="false">Sens!G4501/(1+wacc)^(Sens!G4474-(Sens!F4474+mid_yr))</f>
        <v>-100.845824395245</v>
      </c>
      <c r="H4502" s="6" t="n">
        <f aca="false">Sens!H4501/(1+wacc)^(Sens!H4474-(Sens!F4474+mid_yr))</f>
        <v>-86.8270456862268</v>
      </c>
      <c r="I4502" s="6" t="n">
        <f aca="false">Sens!I4501/(1+wacc)^(Sens!I4474-(Sens!F4474+mid_yr))</f>
        <v>-19.9487771022413</v>
      </c>
      <c r="J4502" s="6" t="n">
        <f aca="false">Sens!J4501/(1+wacc)^(Sens!J4474-(Sens!F4474+mid_yr))</f>
        <v>6.24035861284832</v>
      </c>
      <c r="K4502" s="6" t="n">
        <f aca="false">Sens!K4501/(1+wacc)^(Sens!K4474-(Sens!F4474+mid_yr))</f>
        <v>16.5674209359234</v>
      </c>
      <c r="L4502" s="1" t="s">
        <v>1085</v>
      </c>
    </row>
    <row r="4503" customFormat="false" ht="17.15" hidden="false" customHeight="false" outlineLevel="0" collapsed="false">
      <c r="A4503" s="0" t="s">
        <v>1086</v>
      </c>
      <c r="B4503" s="0" t="s">
        <v>98</v>
      </c>
      <c r="C4503" s="6" t="n">
        <f aca="false">(Sens!K4495-Sens!K4362)*(1-tax_f)*(1+g_tv)*(1-g_tv/(wacc+ronic_prem))/(wacc-g_tv)/(1+wacc)^(Sens!K4474+mid_yr-(Sens!F4474+mid_yr))</f>
        <v>189.261048026375</v>
      </c>
    </row>
    <row r="4504" customFormat="false" ht="17.15" hidden="false" customHeight="false" outlineLevel="0" collapsed="false">
      <c r="A4504" s="1" t="s">
        <v>1087</v>
      </c>
      <c r="B4504" s="0" t="s">
        <v>98</v>
      </c>
      <c r="C4504" s="6" t="n">
        <f aca="false">(SUM(Sens!G4502:K4502)+Sens!$C$4503)*(1+wacc)^(t_roll-(Sens!F4474+mid_yr))</f>
        <v>4.59152666623913</v>
      </c>
      <c r="L4504" s="11" t="s">
        <v>1088</v>
      </c>
    </row>
    <row r="4505" customFormat="false" ht="17.15" hidden="false" customHeight="false" outlineLevel="0" collapsed="false">
      <c r="A4505" s="1" t="s">
        <v>1089</v>
      </c>
      <c r="B4505" s="0" t="s">
        <v>98</v>
      </c>
      <c r="C4505" s="6" t="n">
        <f aca="false">(w_ntm28*Sens!G4351+(1-w_ntm28)*Sens!H4351)*m_ai</f>
        <v>457.101250972362</v>
      </c>
    </row>
    <row r="4506" customFormat="false" ht="17.15" hidden="false" customHeight="false" outlineLevel="0" collapsed="false">
      <c r="A4506" s="1" t="s">
        <v>1090</v>
      </c>
      <c r="B4506" s="0" t="s">
        <v>98</v>
      </c>
      <c r="C4506" s="6" t="n">
        <f aca="false">(w_ntm28*Sens!G4497+(1-w_ntm28)*Sens!H4497)*m_cloud</f>
        <v>1112.08365140124</v>
      </c>
    </row>
    <row r="4507" customFormat="false" ht="17.15" hidden="false" customHeight="false" outlineLevel="0" collapsed="false">
      <c r="A4507" s="1" t="s">
        <v>1091</v>
      </c>
      <c r="B4507" s="0" t="s">
        <v>98</v>
      </c>
      <c r="C4507" s="6" t="n">
        <f aca="false">(w_ntm28*Sens!G4490+(1-w_ntm28)*Sens!H4490)*m_sw</f>
        <v>1078.17553368087</v>
      </c>
    </row>
    <row r="4508" customFormat="false" ht="17.15" hidden="false" customHeight="false" outlineLevel="0" collapsed="false">
      <c r="A4508" s="1" t="s">
        <v>1092</v>
      </c>
      <c r="B4508" s="0" t="s">
        <v>98</v>
      </c>
      <c r="C4508" s="6" t="n">
        <f aca="false">(w_ntm28*Sens!G4491+(1-w_ntm28)*Sens!H4491)*m_sw</f>
        <v>377.614396923024</v>
      </c>
    </row>
    <row r="4509" customFormat="false" ht="17.15" hidden="false" customHeight="false" outlineLevel="0" collapsed="false">
      <c r="A4509" s="1" t="s">
        <v>1093</v>
      </c>
      <c r="B4509" s="0" t="s">
        <v>98</v>
      </c>
      <c r="C4509" s="6" t="n">
        <f aca="false">(w_ntm28*Sens!G4492+(1-w_ntm28)*Sens!H4492)*m_sw</f>
        <v>108.130957474645</v>
      </c>
    </row>
    <row r="4510" customFormat="false" ht="17.15" hidden="false" customHeight="false" outlineLevel="0" collapsed="false">
      <c r="A4510" s="1" t="s">
        <v>1094</v>
      </c>
      <c r="B4510" s="0" t="s">
        <v>98</v>
      </c>
      <c r="C4510" s="6" t="n">
        <f aca="false">(w_ntm28*Sens!G4493+(1-w_ntm28)*Sens!H4493)*m_sw</f>
        <v>41.2534540415644</v>
      </c>
    </row>
    <row r="4511" customFormat="false" ht="17.15" hidden="false" customHeight="false" outlineLevel="0" collapsed="false">
      <c r="A4511" s="1" t="s">
        <v>1095</v>
      </c>
      <c r="B4511" s="0" t="s">
        <v>98</v>
      </c>
      <c r="C4511" s="6" t="n">
        <f aca="false">(w_ntm28*Sens!G4494+(1-w_ntm28)*Sens!H4494)*m_ads</f>
        <v>113.985374301381</v>
      </c>
    </row>
    <row r="4512" customFormat="false" ht="17.15" hidden="false" customHeight="false" outlineLevel="0" collapsed="false">
      <c r="A4512" s="1" t="s">
        <v>1096</v>
      </c>
      <c r="B4512" s="0" t="s">
        <v>98</v>
      </c>
      <c r="C4512" s="6" t="n">
        <f aca="false">(w_ntm28*Sens!G4499+(1-w_ntm28)*Sens!H4499)*m_game</f>
        <v>96.7608963491595</v>
      </c>
    </row>
    <row r="4513" customFormat="false" ht="17.15" hidden="false" customHeight="false" outlineLevel="0" collapsed="false">
      <c r="A4513" s="1" t="s">
        <v>1097</v>
      </c>
      <c r="B4513" s="0" t="s">
        <v>98</v>
      </c>
      <c r="C4513" s="6" t="n">
        <f aca="false">(w_ntm28*Sens!G4500+(1-w_ntm28)*Sens!H4500)*m_pc</f>
        <v>95.932213701142</v>
      </c>
    </row>
    <row r="4514" customFormat="false" ht="17.15" hidden="false" customHeight="false" outlineLevel="0" collapsed="false">
      <c r="A4514" s="1" t="s">
        <v>1098</v>
      </c>
      <c r="B4514" s="0" t="s">
        <v>98</v>
      </c>
      <c r="C4514" s="6" t="n">
        <f aca="false">Sens!$C$4504+Sens!$C$4506+Sens!$C$4507+Sens!$C$4508+Sens!$C$4509+Sens!$C$4510+Sens!$C$4511+Sens!$C$4512+Sens!$C$4513</f>
        <v>3028.52800453927</v>
      </c>
    </row>
    <row r="4515" customFormat="false" ht="17.15" hidden="false" customHeight="false" outlineLevel="0" collapsed="false">
      <c r="A4515" s="1" t="s">
        <v>1099</v>
      </c>
      <c r="B4515" s="0" t="s">
        <v>98</v>
      </c>
      <c r="C4515" s="6" t="n">
        <f aca="false">(Sens!G4476-Sens!G4501)*t_stub</f>
        <v>47.6638494292466</v>
      </c>
      <c r="L4515" s="1" t="s">
        <v>1100</v>
      </c>
    </row>
    <row r="4516" customFormat="false" ht="17.15" hidden="false" customHeight="false" outlineLevel="0" collapsed="false">
      <c r="A4516" s="1" t="s">
        <v>1014</v>
      </c>
      <c r="B4516" s="0" t="s">
        <v>98</v>
      </c>
      <c r="C4516" s="6" t="n">
        <f aca="false">Sens!F4465+oai_v-Sens!F4454+Sens!$C$4515</f>
        <v>160.298322067067</v>
      </c>
      <c r="L4516" s="1" t="s">
        <v>1101</v>
      </c>
    </row>
    <row r="4517" customFormat="false" ht="17.15" hidden="false" customHeight="false" outlineLevel="0" collapsed="false">
      <c r="A4517" s="1" t="s">
        <v>1102</v>
      </c>
      <c r="B4517" s="0" t="s">
        <v>75</v>
      </c>
      <c r="C4517" s="5" t="n">
        <f aca="false">(Sens!$C$4514+Sens!$C$4516)/(Sens!F4467+dil_gap)-Sens!G4457*roll_div_q/q_per_yr</f>
        <v>424.364225534463</v>
      </c>
      <c r="L4517" s="1" t="s">
        <v>1103</v>
      </c>
    </row>
    <row r="4518" customFormat="false" ht="17.15" hidden="false" customHeight="false" outlineLevel="0" collapsed="false">
      <c r="A4518" s="1" t="s">
        <v>1104</v>
      </c>
      <c r="B4518" s="0" t="s">
        <v>75</v>
      </c>
      <c r="C4518" s="5" t="n">
        <f aca="false">w_dcf*Sens!$C$4488+(1-w_dcf)*Sens!$C$4517</f>
        <v>366.720287764526</v>
      </c>
    </row>
    <row r="4519" customFormat="false" ht="17.15" hidden="false" customHeight="false" outlineLevel="0" collapsed="false">
      <c r="A4519" s="3" t="s">
        <v>1377</v>
      </c>
    </row>
    <row r="4520" customFormat="false" ht="15" hidden="false" customHeight="false" outlineLevel="0" collapsed="false">
      <c r="A4520" s="4" t="s">
        <v>43</v>
      </c>
      <c r="B4520" s="4" t="s">
        <v>65</v>
      </c>
      <c r="C4520" s="20" t="s">
        <v>799</v>
      </c>
      <c r="D4520" s="20" t="s">
        <v>800</v>
      </c>
      <c r="E4520" s="20" t="s">
        <v>801</v>
      </c>
      <c r="F4520" s="20" t="s">
        <v>802</v>
      </c>
      <c r="G4520" s="20" t="s">
        <v>803</v>
      </c>
      <c r="H4520" s="20" t="s">
        <v>804</v>
      </c>
      <c r="I4520" s="20" t="s">
        <v>805</v>
      </c>
      <c r="J4520" s="20" t="s">
        <v>806</v>
      </c>
      <c r="K4520" s="20" t="s">
        <v>807</v>
      </c>
      <c r="L4520" s="4" t="s">
        <v>47</v>
      </c>
    </row>
    <row r="4521" customFormat="false" ht="17.15" hidden="false" customHeight="false" outlineLevel="0" collapsed="false">
      <c r="A4521" s="1" t="s">
        <v>808</v>
      </c>
      <c r="B4521" s="1" t="s">
        <v>235</v>
      </c>
      <c r="C4521" s="28" t="n">
        <v>2024</v>
      </c>
      <c r="D4521" s="28" t="n">
        <v>2025</v>
      </c>
      <c r="E4521" s="28" t="n">
        <v>2026</v>
      </c>
      <c r="F4521" s="28" t="n">
        <v>2027</v>
      </c>
      <c r="G4521" s="28" t="n">
        <v>2028</v>
      </c>
      <c r="H4521" s="28" t="n">
        <v>2029</v>
      </c>
      <c r="I4521" s="28" t="n">
        <v>2030</v>
      </c>
      <c r="J4521" s="28" t="n">
        <v>2031</v>
      </c>
      <c r="K4521" s="28" t="n">
        <v>2032</v>
      </c>
    </row>
    <row r="4522" customFormat="false" ht="17.15" hidden="false" customHeight="false" outlineLevel="0" collapsed="false">
      <c r="A4522" s="1" t="s">
        <v>809</v>
      </c>
      <c r="B4522" s="0" t="s">
        <v>399</v>
      </c>
      <c r="F4522" s="29" t="n">
        <f aca="false">pace</f>
        <v>2527.2</v>
      </c>
      <c r="G4522" s="29" t="n">
        <f aca="false">pace</f>
        <v>2527.2</v>
      </c>
      <c r="H4522" s="29" t="n">
        <f aca="false">pace</f>
        <v>2527.2</v>
      </c>
      <c r="I4522" s="29" t="n">
        <f aca="false">pace+(g_tv*Sens!H4523-pace)*MIN(1,(Sens!I4521-pace_y0)/(pace_y1-pace_y0))</f>
        <v>1793.116</v>
      </c>
      <c r="J4522" s="29" t="n">
        <f aca="false">pace+(g_tv*Sens!I4523-pace)*MIN(1,(Sens!J4521-pace_y0)/(pace_y1-pace_y0))</f>
        <v>1094.89432</v>
      </c>
      <c r="K4522" s="29" t="n">
        <f aca="false">pace+(g_tv*Sens!J4523-pace)*MIN(1,(Sens!K4521-pace_y0)/(pace_y1-pace_y0))</f>
        <v>411.5883096</v>
      </c>
      <c r="L4522" s="11" t="s">
        <v>810</v>
      </c>
    </row>
    <row r="4523" customFormat="false" ht="17.15" hidden="false" customHeight="false" outlineLevel="0" collapsed="false">
      <c r="A4523" s="1" t="s">
        <v>811</v>
      </c>
      <c r="B4523" s="0" t="s">
        <v>399</v>
      </c>
      <c r="C4523" s="29" t="n">
        <f aca="false">mw_ext_24</f>
        <v>640</v>
      </c>
      <c r="D4523" s="29" t="n">
        <f aca="false">mw_ext_25</f>
        <v>1630</v>
      </c>
      <c r="E4523" s="29" t="n">
        <f aca="false">mw_ext_26</f>
        <v>3250</v>
      </c>
      <c r="F4523" s="29" t="n">
        <f aca="false">Sens!E4523+Sens!F4522</f>
        <v>5777.2</v>
      </c>
      <c r="G4523" s="29" t="n">
        <f aca="false">Sens!F4523+Sens!G4522</f>
        <v>8304.4</v>
      </c>
      <c r="H4523" s="29" t="n">
        <f aca="false">Sens!G4523+Sens!H4522</f>
        <v>10831.6</v>
      </c>
      <c r="I4523" s="29" t="n">
        <f aca="false">Sens!H4523+Sens!I4522</f>
        <v>12624.716</v>
      </c>
      <c r="J4523" s="29" t="n">
        <f aca="false">Sens!I4523+Sens!J4522</f>
        <v>13719.61032</v>
      </c>
      <c r="K4523" s="29" t="n">
        <f aca="false">Sens!J4523+Sens!K4522</f>
        <v>14131.1986296</v>
      </c>
      <c r="L4523" s="1" t="s">
        <v>812</v>
      </c>
    </row>
    <row r="4524" customFormat="false" ht="17.15" hidden="false" customHeight="false" outlineLevel="0" collapsed="false">
      <c r="A4524" s="1" t="s">
        <v>813</v>
      </c>
      <c r="B4524" s="0" t="s">
        <v>399</v>
      </c>
      <c r="C4524" s="29" t="n">
        <f aca="false">rent_ext_24</f>
        <v>150</v>
      </c>
      <c r="D4524" s="29" t="n">
        <f aca="false">rent_ext_25</f>
        <v>400</v>
      </c>
      <c r="E4524" s="29" t="n">
        <f aca="false">rent_ext_26</f>
        <v>550</v>
      </c>
      <c r="F4524" s="29" t="n">
        <f aca="false">rent_ext_f</f>
        <v>756</v>
      </c>
      <c r="G4524" s="29" t="n">
        <f aca="false">rent_ext_f</f>
        <v>756</v>
      </c>
      <c r="H4524" s="29" t="n">
        <f aca="false">rent_ext_f</f>
        <v>756</v>
      </c>
      <c r="I4524" s="29" t="n">
        <f aca="false">rent_ext_f</f>
        <v>756</v>
      </c>
      <c r="J4524" s="29" t="n">
        <f aca="false">rent_ext_f</f>
        <v>756</v>
      </c>
      <c r="K4524" s="29" t="n">
        <f aca="false">rent_ext_f</f>
        <v>756</v>
      </c>
      <c r="L4524" s="1" t="s">
        <v>814</v>
      </c>
    </row>
    <row r="4525" customFormat="false" ht="17.15" hidden="false" customHeight="false" outlineLevel="0" collapsed="false">
      <c r="A4525" s="1" t="s">
        <v>815</v>
      </c>
      <c r="B4525" s="0" t="s">
        <v>399</v>
      </c>
      <c r="C4525" s="29" t="n">
        <f aca="false">Sens!C4523-Sens!C4524</f>
        <v>490</v>
      </c>
      <c r="D4525" s="29" t="n">
        <f aca="false">Sens!D4523-Sens!D4524</f>
        <v>1230</v>
      </c>
      <c r="E4525" s="29" t="n">
        <f aca="false">Sens!E4523-Sens!E4524</f>
        <v>2700</v>
      </c>
      <c r="F4525" s="29" t="n">
        <f aca="false">Sens!F4523-Sens!F4524</f>
        <v>5021.2</v>
      </c>
      <c r="G4525" s="29" t="n">
        <f aca="false">Sens!G4523-Sens!G4524</f>
        <v>7548.4</v>
      </c>
      <c r="H4525" s="29" t="n">
        <f aca="false">Sens!H4523-Sens!H4524</f>
        <v>10075.6</v>
      </c>
      <c r="I4525" s="29" t="n">
        <f aca="false">Sens!I4523-Sens!I4524</f>
        <v>11868.716</v>
      </c>
      <c r="J4525" s="29" t="n">
        <f aca="false">Sens!J4523-Sens!J4524</f>
        <v>12963.61032</v>
      </c>
      <c r="K4525" s="29" t="n">
        <f aca="false">Sens!K4523-Sens!K4524</f>
        <v>13375.1986296</v>
      </c>
    </row>
    <row r="4526" customFormat="false" ht="17.15" hidden="false" customHeight="false" outlineLevel="0" collapsed="false">
      <c r="A4526" s="1" t="s">
        <v>816</v>
      </c>
      <c r="B4526" s="0" t="s">
        <v>399</v>
      </c>
      <c r="C4526" s="29" t="n">
        <f aca="false">Sens!C4525/ext_sh</f>
        <v>816.666666666667</v>
      </c>
      <c r="D4526" s="29" t="n">
        <f aca="false">Sens!D4525/ext_sh</f>
        <v>2050</v>
      </c>
      <c r="E4526" s="29" t="n">
        <f aca="false">Sens!E4525/ext_sh</f>
        <v>4500</v>
      </c>
      <c r="F4526" s="29" t="n">
        <f aca="false">Sens!F4525/ext_sh</f>
        <v>8368.66666666667</v>
      </c>
      <c r="G4526" s="29" t="n">
        <f aca="false">Sens!G4525/ext_sh</f>
        <v>12580.6666666667</v>
      </c>
      <c r="H4526" s="29" t="n">
        <f aca="false">Sens!H4525/ext_sh</f>
        <v>16792.6666666667</v>
      </c>
      <c r="I4526" s="29" t="n">
        <f aca="false">Sens!I4525/ext_sh</f>
        <v>19781.1933333333</v>
      </c>
      <c r="J4526" s="29" t="n">
        <f aca="false">Sens!J4525/ext_sh</f>
        <v>21606.0172</v>
      </c>
      <c r="K4526" s="29" t="n">
        <f aca="false">Sens!K4525/ext_sh</f>
        <v>22291.997716</v>
      </c>
      <c r="L4526" s="1" t="s">
        <v>817</v>
      </c>
    </row>
    <row r="4527" customFormat="false" ht="17.15" hidden="false" customHeight="false" outlineLevel="0" collapsed="false">
      <c r="A4527" s="1" t="s">
        <v>818</v>
      </c>
      <c r="B4527" s="0" t="s">
        <v>399</v>
      </c>
      <c r="C4527" s="29" t="n">
        <f aca="false">Sens!C4526-Sens!C4525</f>
        <v>326.666666666667</v>
      </c>
      <c r="D4527" s="29" t="n">
        <f aca="false">Sens!D4526-Sens!D4525</f>
        <v>820</v>
      </c>
      <c r="E4527" s="29" t="n">
        <f aca="false">Sens!E4526-Sens!E4525</f>
        <v>1800</v>
      </c>
      <c r="F4527" s="29" t="n">
        <f aca="false">Sens!F4526-Sens!F4525</f>
        <v>3347.46666666667</v>
      </c>
      <c r="G4527" s="29" t="n">
        <f aca="false">Sens!G4526-Sens!G4525</f>
        <v>5032.26666666667</v>
      </c>
      <c r="H4527" s="29" t="n">
        <f aca="false">Sens!H4526-Sens!H4525</f>
        <v>6717.06666666667</v>
      </c>
      <c r="I4527" s="29" t="n">
        <f aca="false">Sens!I4526-Sens!I4525</f>
        <v>7912.47733333333</v>
      </c>
      <c r="J4527" s="29" t="n">
        <f aca="false">Sens!J4526-Sens!J4525</f>
        <v>8642.40688</v>
      </c>
      <c r="K4527" s="29" t="n">
        <f aca="false">Sens!K4526-Sens!K4525</f>
        <v>8916.7990864</v>
      </c>
    </row>
    <row r="4528" customFormat="false" ht="17.15" hidden="false" customHeight="false" outlineLevel="0" collapsed="false">
      <c r="A4528" s="1" t="s">
        <v>819</v>
      </c>
      <c r="B4528" s="0" t="s">
        <v>399</v>
      </c>
      <c r="C4528" s="29" t="n">
        <f aca="false">Sens!C4526</f>
        <v>816.666666666667</v>
      </c>
      <c r="D4528" s="29" t="n">
        <f aca="false">Sens!D4526-Sens!C4526</f>
        <v>1233.33333333333</v>
      </c>
      <c r="E4528" s="29" t="n">
        <f aca="false">Sens!E4526-Sens!D4526</f>
        <v>2450</v>
      </c>
      <c r="F4528" s="29" t="n">
        <f aca="false">Sens!F4526-Sens!E4526</f>
        <v>3868.66666666667</v>
      </c>
      <c r="G4528" s="29" t="n">
        <f aca="false">Sens!G4526-Sens!F4526</f>
        <v>4212</v>
      </c>
      <c r="H4528" s="29" t="n">
        <f aca="false">Sens!H4526-Sens!G4526</f>
        <v>4212</v>
      </c>
      <c r="I4528" s="29" t="n">
        <f aca="false">Sens!I4526-Sens!H4526</f>
        <v>2988.52666666667</v>
      </c>
      <c r="J4528" s="29" t="n">
        <f aca="false">Sens!J4526-Sens!I4526</f>
        <v>1824.82386666667</v>
      </c>
      <c r="K4528" s="29" t="n">
        <f aca="false">Sens!K4526-Sens!J4526</f>
        <v>685.980516</v>
      </c>
    </row>
    <row r="4529" customFormat="false" ht="17.15" hidden="false" customHeight="false" outlineLevel="0" collapsed="false">
      <c r="A4529" s="1" t="s">
        <v>820</v>
      </c>
      <c r="B4529" s="0" t="s">
        <v>399</v>
      </c>
      <c r="D4529" s="29" t="n">
        <f aca="false">Sens!D4523-Sens!C4523</f>
        <v>990</v>
      </c>
      <c r="E4529" s="29" t="n">
        <f aca="false">Sens!E4523-Sens!D4523</f>
        <v>1620</v>
      </c>
      <c r="F4529" s="29" t="n">
        <f aca="false">Sens!F4523-Sens!E4523</f>
        <v>2527.2</v>
      </c>
      <c r="G4529" s="29" t="n">
        <f aca="false">Sens!G4523-Sens!F4523</f>
        <v>2527.2</v>
      </c>
      <c r="H4529" s="29" t="n">
        <f aca="false">Sens!H4523-Sens!G4523</f>
        <v>2527.2</v>
      </c>
      <c r="I4529" s="29" t="n">
        <f aca="false">Sens!I4523-Sens!H4523</f>
        <v>1793.116</v>
      </c>
      <c r="J4529" s="29" t="n">
        <f aca="false">Sens!J4523-Sens!I4523</f>
        <v>1094.89432</v>
      </c>
      <c r="K4529" s="29" t="n">
        <f aca="false">Sens!K4523-Sens!J4523</f>
        <v>411.5883096</v>
      </c>
    </row>
    <row r="4530" customFormat="false" ht="17.15" hidden="false" customHeight="false" outlineLevel="0" collapsed="false">
      <c r="A4530" s="1" t="s">
        <v>821</v>
      </c>
      <c r="B4530" s="0" t="s">
        <v>399</v>
      </c>
      <c r="F4530" s="29" t="n">
        <f aca="false">Sens!F4547*ext_sh</f>
        <v>0</v>
      </c>
      <c r="G4530" s="29" t="n">
        <f aca="false">Sens!G4547*ext_sh</f>
        <v>0</v>
      </c>
      <c r="H4530" s="29" t="n">
        <f aca="false">Sens!H4547*ext_sh</f>
        <v>490</v>
      </c>
      <c r="I4530" s="29" t="n">
        <f aca="false">Sens!I4547*ext_sh</f>
        <v>740</v>
      </c>
      <c r="J4530" s="29" t="n">
        <f aca="false">Sens!J4547*ext_sh</f>
        <v>1470</v>
      </c>
      <c r="K4530" s="29" t="n">
        <f aca="false">Sens!K4547*ext_sh</f>
        <v>2321.2</v>
      </c>
      <c r="L4530" s="1" t="s">
        <v>822</v>
      </c>
    </row>
    <row r="4531" customFormat="false" ht="17.15" hidden="false" customHeight="false" outlineLevel="0" collapsed="false">
      <c r="A4531" s="1" t="s">
        <v>823</v>
      </c>
      <c r="B4531" s="0" t="s">
        <v>399</v>
      </c>
      <c r="C4531" s="29" t="n">
        <f aca="false">mix_h*Sens!C4523</f>
        <v>128</v>
      </c>
      <c r="D4531" s="29" t="n">
        <f aca="false">mix_h*Sens!D4523</f>
        <v>326</v>
      </c>
      <c r="E4531" s="29" t="n">
        <f aca="false">mix_h*Sens!E4523</f>
        <v>650</v>
      </c>
      <c r="F4531" s="29" t="n">
        <f aca="false">Sens!E4531-Sens!F4530*mix_h</f>
        <v>650</v>
      </c>
      <c r="G4531" s="29" t="n">
        <f aca="false">Sens!F4531-Sens!G4530*mix_h</f>
        <v>650</v>
      </c>
      <c r="H4531" s="29" t="n">
        <f aca="false">Sens!G4531-Sens!H4530*mix_h</f>
        <v>552</v>
      </c>
      <c r="I4531" s="29" t="n">
        <f aca="false">Sens!H4531-Sens!I4530*mix_h</f>
        <v>404</v>
      </c>
      <c r="J4531" s="29" t="n">
        <f aca="false">Sens!I4531-Sens!J4530*mix_h</f>
        <v>110</v>
      </c>
      <c r="K4531" s="29" t="n">
        <f aca="false">Sens!J4531-Sens!K4530*mix_h</f>
        <v>-354.24</v>
      </c>
    </row>
    <row r="4532" customFormat="false" ht="17.15" hidden="false" customHeight="false" outlineLevel="0" collapsed="false">
      <c r="A4532" s="1" t="s">
        <v>824</v>
      </c>
      <c r="B4532" s="0" t="s">
        <v>399</v>
      </c>
      <c r="C4532" s="29" t="n">
        <f aca="false">mix_g2*Sens!C4523</f>
        <v>288</v>
      </c>
      <c r="D4532" s="29" t="n">
        <f aca="false">mix_g2*Sens!D4523</f>
        <v>733.5</v>
      </c>
      <c r="E4532" s="29" t="n">
        <f aca="false">mix_g2*Sens!E4523</f>
        <v>1462.5</v>
      </c>
      <c r="F4532" s="29" t="n">
        <f aca="false">Sens!E4532-Sens!F4530*mix_g2</f>
        <v>1462.5</v>
      </c>
      <c r="G4532" s="29" t="n">
        <f aca="false">Sens!F4532-Sens!G4530*mix_g2</f>
        <v>1462.5</v>
      </c>
      <c r="H4532" s="29" t="n">
        <f aca="false">Sens!G4532-Sens!H4530*mix_g2</f>
        <v>1242</v>
      </c>
      <c r="I4532" s="29" t="n">
        <f aca="false">Sens!H4532-Sens!I4530*mix_g2</f>
        <v>909</v>
      </c>
      <c r="J4532" s="29" t="n">
        <f aca="false">Sens!I4532-Sens!J4530*mix_g2</f>
        <v>247.5</v>
      </c>
      <c r="K4532" s="29" t="n">
        <f aca="false">Sens!J4532-Sens!K4530*mix_g2</f>
        <v>-797.04</v>
      </c>
    </row>
    <row r="4533" customFormat="false" ht="17.15" hidden="false" customHeight="false" outlineLevel="0" collapsed="false">
      <c r="A4533" s="1" t="s">
        <v>825</v>
      </c>
      <c r="B4533" s="0" t="s">
        <v>399</v>
      </c>
      <c r="C4533" s="29" t="n">
        <f aca="false">mix_g3*Sens!C4523</f>
        <v>224</v>
      </c>
      <c r="D4533" s="29" t="n">
        <f aca="false">mix_g3*Sens!D4523</f>
        <v>570.5</v>
      </c>
      <c r="E4533" s="29" t="n">
        <f aca="false">mix_g3*Sens!E4523</f>
        <v>1137.5</v>
      </c>
      <c r="F4533" s="29" t="n">
        <f aca="false">Sens!E4533+(Sens!F4529+Sens!F4530)*a_g3_27-Sens!F4530*mix_g3</f>
        <v>2906.54</v>
      </c>
      <c r="G4533" s="29" t="n">
        <f aca="false">Sens!F4533+(Sens!G4529+Sens!G4530)*a_g3_28-Sens!G4530*mix_g3</f>
        <v>3664.7</v>
      </c>
      <c r="H4533" s="29" t="n">
        <f aca="false">Sens!G4533+(Sens!H4529+Sens!H4530)*a_g3_29-Sens!H4530*mix_g3</f>
        <v>3794.92</v>
      </c>
      <c r="I4533" s="29" t="n">
        <f aca="false">Sens!H4533+(Sens!I4529+Sens!I4530)*a_g3_29-Sens!I4530*mix_g3</f>
        <v>3789.2316</v>
      </c>
      <c r="J4533" s="29" t="n">
        <f aca="false">Sens!I4533+(Sens!J4529+Sens!J4530)*a_g3_29-Sens!J4530*mix_g3</f>
        <v>3531.221032</v>
      </c>
      <c r="K4533" s="29" t="n">
        <f aca="false">Sens!J4533+(Sens!K4529+Sens!K4530)*a_g3_29-Sens!K4530*mix_g3</f>
        <v>2992.07986296</v>
      </c>
    </row>
    <row r="4534" customFormat="false" ht="17.15" hidden="false" customHeight="false" outlineLevel="0" collapsed="false">
      <c r="A4534" s="1" t="s">
        <v>826</v>
      </c>
      <c r="B4534" s="0" t="s">
        <v>399</v>
      </c>
      <c r="C4534" s="29" t="n">
        <v>0</v>
      </c>
      <c r="D4534" s="29" t="n">
        <v>0</v>
      </c>
      <c r="E4534" s="29" t="n">
        <v>0</v>
      </c>
      <c r="F4534" s="29" t="n">
        <f aca="false">Sens!E4534+(Sens!F4529+Sens!F4530)*(1-a_g3_27)</f>
        <v>758.16</v>
      </c>
      <c r="G4534" s="29" t="n">
        <f aca="false">Sens!F4534+(Sens!G4529+Sens!G4530)*(1-a_g3_28)</f>
        <v>2527.2</v>
      </c>
      <c r="H4534" s="29" t="n">
        <f aca="false">Sens!G4534+(Sens!H4529+Sens!H4530)*(1-a_g3_29)</f>
        <v>5242.68</v>
      </c>
      <c r="I4534" s="29" t="n">
        <f aca="false">Sens!H4534+(Sens!I4529+Sens!I4530)*(1-a_g3_29)</f>
        <v>7522.4844</v>
      </c>
      <c r="J4534" s="29" t="n">
        <f aca="false">Sens!I4534+(Sens!J4529+Sens!J4530)*(1-a_g3_29)</f>
        <v>9830.889288</v>
      </c>
      <c r="K4534" s="29" t="n">
        <f aca="false">Sens!J4534+(Sens!K4529+Sens!K4530)*(1-a_g3_29)</f>
        <v>12290.39876664</v>
      </c>
    </row>
    <row r="4535" customFormat="false" ht="17.15" hidden="false" customHeight="false" outlineLevel="0" collapsed="false">
      <c r="A4535" s="1" t="s">
        <v>827</v>
      </c>
      <c r="B4535" s="0" t="s">
        <v>346</v>
      </c>
      <c r="C4535" s="14" t="n">
        <f aca="false">(Sens!C4531*tk_hold_h100+Sens!C4532*tk_hold_gb200+Sens!C4533*tk_hold_gb300+Sens!C4534*tk_hold_vr200)/Sens!C4523</f>
        <v>9.7235358126469</v>
      </c>
      <c r="D4535" s="14" t="n">
        <f aca="false">(Sens!D4531*tk_hold_h100+Sens!D4532*tk_hold_gb200+Sens!D4533*tk_hold_gb300+Sens!D4534*tk_hold_vr200)/Sens!D4523</f>
        <v>9.7235358126469</v>
      </c>
      <c r="E4535" s="14" t="n">
        <f aca="false">(Sens!E4531*tk_hold_h100+Sens!E4532*tk_hold_gb200+Sens!E4533*tk_hold_gb300+Sens!E4534*tk_hold_vr200)/Sens!E4523</f>
        <v>9.7235358126469</v>
      </c>
      <c r="F4535" s="14" t="n">
        <f aca="false">(Sens!F4531*tk_hold_h100+Sens!F4532*tk_hold_gb200+Sens!F4533*tk_hold_gb300+Sens!F4534*tk_hold_vr200)/Sens!F4523</f>
        <v>10.4079573161931</v>
      </c>
      <c r="G4535" s="14" t="n">
        <f aca="false">(Sens!G4531*tk_hold_h100+Sens!G4532*tk_hold_gb200+Sens!G4533*tk_hold_gb300+Sens!G4534*tk_hold_vr200)/Sens!G4523</f>
        <v>10.8388131109316</v>
      </c>
      <c r="H4535" s="14" t="n">
        <f aca="false">(Sens!H4531*tk_hold_h100+Sens!H4532*tk_hold_gb200+Sens!H4533*tk_hold_gb300+Sens!H4534*tk_hold_vr200)/Sens!H4523</f>
        <v>11.2382267607101</v>
      </c>
      <c r="I4535" s="14" t="n">
        <f aca="false">(Sens!I4531*tk_hold_h100+Sens!I4532*tk_hold_gb200+Sens!I4533*tk_hold_gb300+Sens!I4534*tk_hold_vr200)/Sens!I4523</f>
        <v>11.4982307132671</v>
      </c>
      <c r="J4535" s="14" t="n">
        <f aca="false">(Sens!J4531*tk_hold_h100+Sens!J4532*tk_hold_gb200+Sens!J4533*tk_hold_gb300+Sens!J4534*tk_hold_vr200)/Sens!J4523</f>
        <v>11.7993064115262</v>
      </c>
      <c r="K4535" s="14" t="n">
        <f aca="false">(Sens!K4531*tk_hold_h100+Sens!K4532*tk_hold_gb200+Sens!K4533*tk_hold_gb300+Sens!K4534*tk_hold_vr200)/Sens!K4523</f>
        <v>12.1967928333904</v>
      </c>
    </row>
    <row r="4536" customFormat="false" ht="17.15" hidden="false" customHeight="false" outlineLevel="0" collapsed="false">
      <c r="A4536" s="0" t="s">
        <v>828</v>
      </c>
      <c r="B4536" s="0" t="s">
        <v>185</v>
      </c>
      <c r="C4536" s="14" t="n">
        <f aca="false">k_B</f>
        <v>1.17213932619116</v>
      </c>
      <c r="D4536" s="14" t="n">
        <f aca="false">k_B</f>
        <v>1.17213932619116</v>
      </c>
      <c r="E4536" s="14" t="n">
        <f aca="false">k_B</f>
        <v>1.17213932619116</v>
      </c>
      <c r="F4536" s="14" t="n">
        <f aca="false">(k_B+((ls_C*k_long+(1-ls_C)*k_spot)-k_B)*MIN(1,(Sens!F4521-base_fy)/k_ramp))</f>
        <v>1.07843258004497</v>
      </c>
      <c r="G4536" s="14" t="n">
        <f aca="false">(k_B+((ls_C*k_long+(1-ls_C)*k_spot)-k_B)*MIN(1,(Sens!G4521-base_fy)/k_ramp))</f>
        <v>0.984725833898784</v>
      </c>
      <c r="H4536" s="14" t="n">
        <f aca="false">(k_B+((ls_C*k_long+(1-ls_C)*k_spot)-k_B)*MIN(1,(Sens!H4521-base_fy)/k_ramp))</f>
        <v>0.891019087752599</v>
      </c>
      <c r="I4536" s="14" t="n">
        <f aca="false">(k_B+((ls_C*k_long+(1-ls_C)*k_spot)-k_B)*MIN(1,(Sens!I4521-base_fy)/k_ramp))</f>
        <v>0.891019087752599</v>
      </c>
      <c r="J4536" s="14" t="n">
        <f aca="false">(k_B+((ls_C*k_long+(1-ls_C)*k_spot)-k_B)*MIN(1,(Sens!J4521-base_fy)/k_ramp))</f>
        <v>0.891019087752599</v>
      </c>
      <c r="K4536" s="14" t="n">
        <f aca="false">(k_B+((ls_C*k_long+(1-ls_C)*k_spot)-k_B)*MIN(1,(Sens!K4521-base_fy)/k_ramp))</f>
        <v>0.891019087752599</v>
      </c>
      <c r="L4536" s="1" t="s">
        <v>829</v>
      </c>
    </row>
    <row r="4537" customFormat="false" ht="17.15" hidden="false" customHeight="false" outlineLevel="0" collapsed="false">
      <c r="A4537" s="1" t="s">
        <v>830</v>
      </c>
      <c r="B4537" s="0" t="s">
        <v>346</v>
      </c>
      <c r="C4537" s="14" t="n">
        <f aca="false">Sens!C4535*Sens!C4536*chip_f</f>
        <v>11.3973387156315</v>
      </c>
      <c r="D4537" s="14" t="n">
        <f aca="false">Sens!D4535*Sens!D4536*chip_f</f>
        <v>11.3973387156315</v>
      </c>
      <c r="E4537" s="14" t="n">
        <f aca="false">Sens!E4535*Sens!E4536*chip_f</f>
        <v>11.3973387156315</v>
      </c>
      <c r="F4537" s="14" t="n">
        <f aca="false">Sens!F4535*Sens!F4536*chip_f</f>
        <v>11.2242802615</v>
      </c>
      <c r="G4537" s="14" t="n">
        <f aca="false">Sens!G4535*Sens!G4536*chip_f</f>
        <v>10.6732592791352</v>
      </c>
      <c r="H4537" s="14" t="n">
        <f aca="false">Sens!H4535*Sens!H4536*chip_f</f>
        <v>10.0134745562848</v>
      </c>
      <c r="I4537" s="14" t="n">
        <f aca="false">Sens!I4535*Sens!I4536*chip_f</f>
        <v>10.2451430409042</v>
      </c>
      <c r="J4537" s="14" t="n">
        <f aca="false">Sens!J4535*Sens!J4536*chip_f</f>
        <v>10.5134072349115</v>
      </c>
      <c r="K4537" s="14" t="n">
        <f aca="false">Sens!K4535*Sens!K4536*chip_f</f>
        <v>10.8675752239149</v>
      </c>
      <c r="L4537" s="1" t="s">
        <v>831</v>
      </c>
    </row>
    <row r="4538" customFormat="false" ht="17.15" hidden="false" customHeight="false" outlineLevel="0" collapsed="false">
      <c r="A4538" s="0" t="s">
        <v>832</v>
      </c>
      <c r="B4538" s="0" t="s">
        <v>98</v>
      </c>
      <c r="D4538" s="6" t="n">
        <f aca="false">(Sens!C4523+Sens!D4523)/2*Sens!D4537/1000</f>
        <v>12.9359794422418</v>
      </c>
      <c r="E4538" s="6" t="n">
        <f aca="false">(Sens!D4523+Sens!E4523)/2*Sens!E4537/1000</f>
        <v>27.8095064661409</v>
      </c>
      <c r="F4538" s="6" t="n">
        <f aca="false">(Sens!E4523+Sens!F4523)/2*Sens!F4537/1000</f>
        <v>50.6619113883066</v>
      </c>
      <c r="G4538" s="6" t="n">
        <f aca="false">(Sens!F4523+Sens!G4523)/2*Sens!G4537/1000</f>
        <v>75.1482839325348</v>
      </c>
      <c r="H4538" s="6" t="n">
        <f aca="false">(Sens!G4523+Sens!H4523)/2*Sens!H4537/1000</f>
        <v>95.8089245545327</v>
      </c>
      <c r="I4538" s="6" t="n">
        <f aca="false">(Sens!H4523+Sens!I4523)/2*Sens!I4537/1000</f>
        <v>120.156656316324</v>
      </c>
      <c r="J4538" s="6" t="n">
        <f aca="false">(Sens!I4523+Sens!J4523)/2*Sens!J4537/1000</f>
        <v>138.484315465779</v>
      </c>
      <c r="K4538" s="6" t="n">
        <f aca="false">(Sens!J4523+Sens!K4523)/2*Sens!K4537/1000</f>
        <v>151.335380653331</v>
      </c>
      <c r="L4538" s="11" t="s">
        <v>833</v>
      </c>
    </row>
    <row r="4539" customFormat="false" ht="17.15" hidden="false" customHeight="false" outlineLevel="0" collapsed="false">
      <c r="A4539" s="1" t="s">
        <v>834</v>
      </c>
      <c r="B4539" s="0" t="s">
        <v>346</v>
      </c>
      <c r="C4539" s="14" t="n">
        <f aca="false">(Sens!C4531*tk_opex_h100+Sens!C4532*tk_opex_gb200+Sens!C4533*tk_opex_gb300+Sens!C4534*tk_opex_vr200)/Sens!C4523</f>
        <v>1.88636041306092</v>
      </c>
      <c r="D4539" s="14" t="n">
        <f aca="false">(Sens!D4531*tk_opex_h100+Sens!D4532*tk_opex_gb200+Sens!D4533*tk_opex_gb300+Sens!D4534*tk_opex_vr200)/Sens!D4523</f>
        <v>1.88636041306092</v>
      </c>
      <c r="E4539" s="14" t="n">
        <f aca="false">(Sens!E4531*tk_opex_h100+Sens!E4532*tk_opex_gb200+Sens!E4533*tk_opex_gb300+Sens!E4534*tk_opex_vr200)/Sens!E4523</f>
        <v>1.88636041306092</v>
      </c>
      <c r="F4539" s="14" t="n">
        <f aca="false">(Sens!F4531*tk_opex_h100+Sens!F4532*tk_opex_gb200+Sens!F4533*tk_opex_gb300+Sens!F4534*tk_opex_vr200)/Sens!F4523</f>
        <v>1.9430236476499</v>
      </c>
      <c r="G4539" s="14" t="n">
        <f aca="false">(Sens!G4531*tk_opex_h100+Sens!G4532*tk_opex_gb200+Sens!G4533*tk_opex_gb300+Sens!G4534*tk_opex_vr200)/Sens!G4523</f>
        <v>1.9786941852423</v>
      </c>
      <c r="H4539" s="14" t="n">
        <f aca="false">(Sens!H4531*tk_opex_h100+Sens!H4532*tk_opex_gb200+Sens!H4533*tk_opex_gb300+Sens!H4534*tk_opex_vr200)/Sens!H4523</f>
        <v>2.01176162864988</v>
      </c>
      <c r="I4539" s="14" t="n">
        <f aca="false">(Sens!I4531*tk_opex_h100+Sens!I4532*tk_opex_gb200+Sens!I4533*tk_opex_gb300+Sens!I4534*tk_opex_vr200)/Sens!I4523</f>
        <v>2.03328734764244</v>
      </c>
      <c r="J4539" s="14" t="n">
        <f aca="false">(Sens!J4531*tk_opex_h100+Sens!J4532*tk_opex_gb200+Sens!J4533*tk_opex_gb300+Sens!J4534*tk_opex_vr200)/Sens!J4523</f>
        <v>2.0582133951601</v>
      </c>
      <c r="K4539" s="14" t="n">
        <f aca="false">(Sens!K4531*tk_opex_h100+Sens!K4532*tk_opex_gb200+Sens!K4533*tk_opex_gb300+Sens!K4534*tk_opex_vr200)/Sens!K4523</f>
        <v>2.09112128342972</v>
      </c>
    </row>
    <row r="4540" customFormat="false" ht="17.15" hidden="false" customHeight="false" outlineLevel="0" collapsed="false">
      <c r="A4540" s="0" t="s">
        <v>835</v>
      </c>
      <c r="B4540" s="0" t="s">
        <v>98</v>
      </c>
      <c r="D4540" s="6" t="n">
        <f aca="false">(Sens!C4526+Sens!D4526)/2*Sens!D4539/1000</f>
        <v>2.70378325872065</v>
      </c>
      <c r="E4540" s="6" t="n">
        <f aca="false">(Sens!D4526+Sens!E4526)/2*Sens!E4539/1000</f>
        <v>6.17783035277451</v>
      </c>
      <c r="F4540" s="6" t="n">
        <f aca="false">(Sens!E4526+Sens!F4526)/2*Sens!F4539/1000</f>
        <v>12.5020618235287</v>
      </c>
      <c r="G4540" s="6" t="n">
        <f aca="false">(Sens!F4526+Sens!G4526)/2*Sens!G4539/1000</f>
        <v>20.7261620256847</v>
      </c>
      <c r="H4540" s="6" t="n">
        <f aca="false">(Sens!G4526+Sens!H4526)/2*Sens!H4539/1000</f>
        <v>29.5460724527713</v>
      </c>
      <c r="I4540" s="6" t="n">
        <f aca="false">(Sens!H4526+Sens!I4526)/2*Sens!I4539/1000</f>
        <v>37.182583396223</v>
      </c>
      <c r="J4540" s="6" t="n">
        <f aca="false">(Sens!I4526+Sens!J4526)/2*Sens!J4539/1000</f>
        <v>42.5918555540089</v>
      </c>
      <c r="K4540" s="6" t="n">
        <f aca="false">(Sens!J4526+Sens!K4526)/2*Sens!K4539/1000</f>
        <v>45.8980366455815</v>
      </c>
    </row>
    <row r="4541" customFormat="false" ht="17.15" hidden="false" customHeight="false" outlineLevel="0" collapsed="false">
      <c r="A4541" s="0" t="s">
        <v>836</v>
      </c>
      <c r="B4541" s="0" t="s">
        <v>98</v>
      </c>
      <c r="D4541" s="6" t="n">
        <f aca="false">(Sens!C4524+Sens!D4524)/2*rent_mw/1000</f>
        <v>2.44475</v>
      </c>
      <c r="E4541" s="6" t="n">
        <f aca="false">(Sens!D4524+Sens!E4524)/2*rent_mw/1000</f>
        <v>4.22275</v>
      </c>
      <c r="F4541" s="6" t="n">
        <f aca="false">(Sens!E4524+Sens!F4524)/2*rent_mw/1000</f>
        <v>5.80517</v>
      </c>
      <c r="G4541" s="6" t="n">
        <f aca="false">(Sens!F4524+Sens!G4524)/2*rent_mw/1000</f>
        <v>6.72084</v>
      </c>
      <c r="H4541" s="6" t="n">
        <f aca="false">(Sens!G4524+Sens!H4524)/2*rent_mw/1000</f>
        <v>6.72084</v>
      </c>
      <c r="I4541" s="6" t="n">
        <f aca="false">(Sens!H4524+Sens!I4524)/2*rent_mw/1000</f>
        <v>6.72084</v>
      </c>
      <c r="J4541" s="6" t="n">
        <f aca="false">(Sens!I4524+Sens!J4524)/2*rent_mw/1000</f>
        <v>6.72084</v>
      </c>
      <c r="K4541" s="6" t="n">
        <f aca="false">(Sens!J4524+Sens!K4524)/2*rent_mw/1000</f>
        <v>6.72084</v>
      </c>
    </row>
    <row r="4542" customFormat="false" ht="17.15" hidden="false" customHeight="false" outlineLevel="0" collapsed="false">
      <c r="A4542" s="0" t="s">
        <v>837</v>
      </c>
      <c r="B4542" s="0" t="s">
        <v>98</v>
      </c>
      <c r="D4542" s="6" t="n">
        <f aca="false">(Sens!C4526+Sens!D4526)/2*(1-self_build)*fac_rent/1000</f>
        <v>0.853242375631075</v>
      </c>
      <c r="E4542" s="6" t="n">
        <f aca="false">(Sens!D4526+Sens!E4526)/2*(1-self_build)*fac_rent/1000</f>
        <v>1.94955961408728</v>
      </c>
      <c r="F4542" s="6" t="n">
        <f aca="false">(Sens!E4526+Sens!F4526)/2*(1-self_build)*fac_rent/1000</f>
        <v>3.83026455274573</v>
      </c>
      <c r="G4542" s="6" t="n">
        <f aca="false">(Sens!F4526+Sens!G4526)/2*(1-self_build)*fac_rent/1000</f>
        <v>6.23541590972812</v>
      </c>
      <c r="H4542" s="6" t="n">
        <f aca="false">(Sens!G4526+Sens!H4526)/2*(1-self_build)*fac_rent/1000</f>
        <v>8.74275792332679</v>
      </c>
      <c r="I4542" s="6" t="n">
        <f aca="false">(Sens!H4526+Sens!I4526)/2*(1-self_build)*fac_rent/1000</f>
        <v>10.8859420438599</v>
      </c>
      <c r="J4542" s="6" t="n">
        <f aca="false">(Sens!I4526+Sens!J4526)/2*(1-self_build)*fac_rent/1000</f>
        <v>12.3186006405366</v>
      </c>
      <c r="K4542" s="6" t="n">
        <f aca="false">(Sens!J4526+Sens!K4526)/2*(1-self_build)*fac_rent/1000</f>
        <v>13.0659232089824</v>
      </c>
      <c r="L4542" s="11" t="s">
        <v>838</v>
      </c>
    </row>
    <row r="4543" customFormat="false" ht="17.15" hidden="false" customHeight="false" outlineLevel="0" collapsed="false">
      <c r="A4543" s="1" t="s">
        <v>839</v>
      </c>
      <c r="B4543" s="0" t="s">
        <v>129</v>
      </c>
      <c r="D4543" s="7" t="n">
        <f aca="false">(Sens!C4525+Sens!D4525)/(Sens!C4526+Sens!D4526)</f>
        <v>0.6</v>
      </c>
      <c r="E4543" s="7" t="n">
        <f aca="false">(Sens!D4525+Sens!E4525)/(Sens!D4526+Sens!E4526)</f>
        <v>0.6</v>
      </c>
      <c r="F4543" s="7" t="n">
        <f aca="false">(Sens!E4525+Sens!F4525)/(Sens!E4526+Sens!F4526)</f>
        <v>0.6</v>
      </c>
      <c r="G4543" s="7" t="n">
        <f aca="false">(Sens!F4525+Sens!G4525)/(Sens!F4526+Sens!G4526)</f>
        <v>0.6</v>
      </c>
      <c r="H4543" s="7" t="n">
        <f aca="false">(Sens!G4525+Sens!H4525)/(Sens!G4526+Sens!H4526)</f>
        <v>0.6</v>
      </c>
      <c r="I4543" s="7" t="n">
        <f aca="false">(Sens!H4525+Sens!I4525)/(Sens!H4526+Sens!I4526)</f>
        <v>0.6</v>
      </c>
      <c r="J4543" s="7" t="n">
        <f aca="false">(Sens!I4525+Sens!J4525)/(Sens!I4526+Sens!J4526)</f>
        <v>0.6</v>
      </c>
      <c r="K4543" s="7" t="n">
        <f aca="false">(Sens!J4525+Sens!K4525)/(Sens!J4526+Sens!K4526)</f>
        <v>0.6</v>
      </c>
    </row>
    <row r="4544" customFormat="false" ht="17.15" hidden="false" customHeight="false" outlineLevel="0" collapsed="false">
      <c r="A4544" s="0" t="s">
        <v>840</v>
      </c>
      <c r="B4544" s="0" t="s">
        <v>98</v>
      </c>
      <c r="D4544" s="6" t="n">
        <f aca="false">Sens!D4538-Sens!D4543*(Sens!D4540+Sens!D4542)-Sens!D4541</f>
        <v>8.35701406163072</v>
      </c>
      <c r="E4544" s="6" t="n">
        <f aca="false">Sens!E4538-Sens!E4543*(Sens!E4540+Sens!E4542)-Sens!E4541</f>
        <v>18.7103224860238</v>
      </c>
      <c r="F4544" s="6" t="n">
        <f aca="false">Sens!F4538-Sens!F4543*(Sens!F4540+Sens!F4542)-Sens!F4541</f>
        <v>35.0573455625419</v>
      </c>
      <c r="G4544" s="6" t="n">
        <f aca="false">Sens!G4538-Sens!G4543*(Sens!G4540+Sens!G4542)-Sens!G4541</f>
        <v>52.2504971712871</v>
      </c>
      <c r="H4544" s="6" t="n">
        <f aca="false">Sens!H4538-Sens!H4543*(Sens!H4540+Sens!H4542)-Sens!H4541</f>
        <v>66.1147863288739</v>
      </c>
      <c r="I4544" s="6" t="n">
        <f aca="false">Sens!I4538-Sens!I4543*(Sens!I4540+Sens!I4542)-Sens!I4541</f>
        <v>84.5947010522747</v>
      </c>
      <c r="J4544" s="6" t="n">
        <f aca="false">Sens!J4538-Sens!J4543*(Sens!J4540+Sens!J4542)-Sens!J4541</f>
        <v>98.8172017490514</v>
      </c>
      <c r="K4544" s="6" t="n">
        <f aca="false">Sens!K4538-Sens!K4543*(Sens!K4540+Sens!K4542)-Sens!K4541</f>
        <v>109.236164740592</v>
      </c>
    </row>
    <row r="4545" customFormat="false" ht="17.15" hidden="false" customHeight="false" outlineLevel="0" collapsed="false">
      <c r="A4545" s="1" t="s">
        <v>841</v>
      </c>
      <c r="B4545" s="0" t="s">
        <v>98</v>
      </c>
      <c r="D4545" s="6" t="n">
        <f aca="false">(1-Sens!D4543)*(Sens!D4540+Sens!D4542)</f>
        <v>1.42281025374069</v>
      </c>
      <c r="E4545" s="6" t="n">
        <f aca="false">(1-Sens!E4543)*(Sens!E4540+Sens!E4542)</f>
        <v>3.25095598674472</v>
      </c>
      <c r="F4545" s="6" t="n">
        <f aca="false">(1-Sens!F4543)*(Sens!F4540+Sens!F4542)</f>
        <v>6.53293055050977</v>
      </c>
      <c r="G4545" s="6" t="n">
        <f aca="false">(1-Sens!G4543)*(Sens!G4540+Sens!G4542)</f>
        <v>10.7846311741651</v>
      </c>
      <c r="H4545" s="6" t="n">
        <f aca="false">(1-Sens!H4543)*(Sens!H4540+Sens!H4542)</f>
        <v>15.3155321504392</v>
      </c>
      <c r="I4545" s="6" t="n">
        <f aca="false">(1-Sens!I4543)*(Sens!I4540+Sens!I4542)</f>
        <v>19.2274101760331</v>
      </c>
      <c r="J4545" s="6" t="n">
        <f aca="false">(1-Sens!J4543)*(Sens!J4540+Sens!J4542)</f>
        <v>21.9641824778182</v>
      </c>
      <c r="K4545" s="6" t="n">
        <f aca="false">(1-Sens!K4543)*(Sens!K4540+Sens!K4542)</f>
        <v>23.5855839418256</v>
      </c>
    </row>
    <row r="4546" customFormat="false" ht="17.15" hidden="false" customHeight="false" outlineLevel="0" collapsed="false">
      <c r="A4546" s="1" t="s">
        <v>842</v>
      </c>
      <c r="B4546" s="0" t="s">
        <v>357</v>
      </c>
      <c r="C4546" s="8" t="n">
        <f aca="false">cxit_open</f>
        <v>27.5918995</v>
      </c>
      <c r="D4546" s="8" t="n">
        <f aca="false">cxit_open</f>
        <v>27.5918995</v>
      </c>
      <c r="E4546" s="8" t="n">
        <f aca="false">cxit_open</f>
        <v>27.5918995</v>
      </c>
      <c r="F4546" s="8" t="n">
        <f aca="false">(a_g3_27*tk_cxit_gb300+(1-a_g3_27)*tk_cxit_vr200)</f>
        <v>33.8419624</v>
      </c>
      <c r="G4546" s="8" t="n">
        <f aca="false">(a_g3_28*tk_cxit_gb300+(1-a_g3_28)*tk_cxit_vr200)</f>
        <v>35.9816136</v>
      </c>
      <c r="H4546" s="8" t="n">
        <f aca="false">(a_g3_29*tk_cxit_gb300+(1-a_g3_29)*tk_cxit_vr200)</f>
        <v>37.0514392</v>
      </c>
      <c r="I4546" s="8" t="n">
        <f aca="false">(a_g3_29*tk_cxit_gb300+(1-a_g3_29)*tk_cxit_vr200)</f>
        <v>37.0514392</v>
      </c>
      <c r="J4546" s="8" t="n">
        <f aca="false">(a_g3_29*tk_cxit_gb300+(1-a_g3_29)*tk_cxit_vr200)</f>
        <v>37.0514392</v>
      </c>
      <c r="K4546" s="8" t="n">
        <f aca="false">(a_g3_29*tk_cxit_gb300+(1-a_g3_29)*tk_cxit_vr200)</f>
        <v>37.0514392</v>
      </c>
      <c r="L4546" s="11" t="s">
        <v>843</v>
      </c>
    </row>
    <row r="4547" customFormat="false" ht="17.15" hidden="false" customHeight="false" outlineLevel="0" collapsed="false">
      <c r="A4547" s="0" t="s">
        <v>844</v>
      </c>
      <c r="B4547" s="0" t="s">
        <v>399</v>
      </c>
      <c r="F4547" s="29" t="n">
        <f aca="false">Sens!C4528*IF(Sens!F4521-Sens!C4521=life_it_lo,1,0)+Sens!D4528*IF(Sens!F4521-Sens!D4521=life_it_lo,1,0)+Sens!E4528*IF(Sens!F4521-Sens!E4521=life_it_lo,1,0)</f>
        <v>0</v>
      </c>
      <c r="G4547" s="29" t="n">
        <f aca="false">Sens!C4528*IF(Sens!G4521-Sens!C4521=life_it_lo,1,0)+Sens!D4528*IF(Sens!G4521-Sens!D4521=life_it_lo,1,0)+Sens!E4528*IF(Sens!G4521-Sens!E4521=life_it_lo,1,0)+Sens!F4528*IF(Sens!G4521-Sens!F4521=life_it_lo,1,0)</f>
        <v>0</v>
      </c>
      <c r="H4547" s="29" t="n">
        <f aca="false">Sens!C4528*IF(Sens!H4521-Sens!C4521=life_it_lo,1,0)+Sens!D4528*IF(Sens!H4521-Sens!D4521=life_it_lo,1,0)+Sens!E4528*IF(Sens!H4521-Sens!E4521=life_it_lo,1,0)+Sens!F4528*IF(Sens!H4521-Sens!F4521=life_it_lo,1,0)+Sens!G4528*IF(Sens!H4521-Sens!G4521=life_it_lo,1,0)</f>
        <v>816.666666666667</v>
      </c>
      <c r="I4547" s="29" t="n">
        <f aca="false">Sens!C4528*IF(Sens!I4521-Sens!C4521=life_it_lo,1,0)+Sens!D4528*IF(Sens!I4521-Sens!D4521=life_it_lo,1,0)+Sens!E4528*IF(Sens!I4521-Sens!E4521=life_it_lo,1,0)+Sens!F4528*IF(Sens!I4521-Sens!F4521=life_it_lo,1,0)+Sens!G4528*IF(Sens!I4521-Sens!G4521=life_it_lo,1,0)+Sens!H4528*IF(Sens!I4521-Sens!H4521=life_it_lo,1,0)</f>
        <v>1233.33333333333</v>
      </c>
      <c r="J4547" s="29" t="n">
        <f aca="false">Sens!C4528*IF(Sens!J4521-Sens!C4521=life_it_lo,1,0)+Sens!D4528*IF(Sens!J4521-Sens!D4521=life_it_lo,1,0)+Sens!E4528*IF(Sens!J4521-Sens!E4521=life_it_lo,1,0)+Sens!F4528*IF(Sens!J4521-Sens!F4521=life_it_lo,1,0)+Sens!G4528*IF(Sens!J4521-Sens!G4521=life_it_lo,1,0)+Sens!H4528*IF(Sens!J4521-Sens!H4521=life_it_lo,1,0)+Sens!I4528*IF(Sens!J4521-Sens!I4521=life_it_lo,1,0)</f>
        <v>2450</v>
      </c>
      <c r="K4547" s="29" t="n">
        <f aca="false">Sens!C4528*IF(Sens!K4521-Sens!C4521=life_it_lo,1,0)+Sens!D4528*IF(Sens!K4521-Sens!D4521=life_it_lo,1,0)+Sens!E4528*IF(Sens!K4521-Sens!E4521=life_it_lo,1,0)+Sens!F4528*IF(Sens!K4521-Sens!F4521=life_it_lo,1,0)+Sens!G4528*IF(Sens!K4521-Sens!G4521=life_it_lo,1,0)+Sens!H4528*IF(Sens!K4521-Sens!H4521=life_it_lo,1,0)+Sens!I4528*IF(Sens!K4521-Sens!I4521=life_it_lo,1,0)+Sens!J4528*IF(Sens!K4521-Sens!J4521=life_it_lo,1,0)</f>
        <v>3868.66666666667</v>
      </c>
      <c r="L4547" s="1" t="s">
        <v>845</v>
      </c>
    </row>
    <row r="4548" customFormat="false" ht="17.15" hidden="false" customHeight="false" outlineLevel="0" collapsed="false">
      <c r="A4548" s="0" t="s">
        <v>846</v>
      </c>
      <c r="B4548" s="0" t="s">
        <v>98</v>
      </c>
      <c r="C4548" s="6" t="n">
        <f aca="false">Sens!C4528*Sens!C4546/1000</f>
        <v>22.5333845916667</v>
      </c>
      <c r="D4548" s="6" t="n">
        <f aca="false">Sens!D4528*Sens!D4546/1000</f>
        <v>34.0300093833333</v>
      </c>
      <c r="E4548" s="6" t="n">
        <f aca="false">Sens!E4528*Sens!E4546/1000</f>
        <v>67.600153775</v>
      </c>
      <c r="F4548" s="6" t="n">
        <f aca="false">(Sens!F4528+Sens!F4547)*Sens!F4546/1000</f>
        <v>130.923271871467</v>
      </c>
      <c r="G4548" s="6" t="n">
        <f aca="false">(Sens!G4528+Sens!G4547)*Sens!G4546/1000</f>
        <v>151.5545564832</v>
      </c>
      <c r="H4548" s="6" t="n">
        <f aca="false">(Sens!H4528+Sens!H4547)*Sens!H4546/1000</f>
        <v>186.319337257067</v>
      </c>
      <c r="I4548" s="6" t="n">
        <f aca="false">(Sens!I4528+Sens!I4547)*Sens!I4546/1000</f>
        <v>156.425989100912</v>
      </c>
      <c r="J4548" s="6" t="n">
        <f aca="false">(Sens!J4528+Sens!J4547)*Sens!J4546/1000</f>
        <v>158.388376586509</v>
      </c>
      <c r="K4548" s="6" t="n">
        <f aca="false">(Sens!K4528+Sens!K4547)*Sens!K4546/1000</f>
        <v>168.756233166025</v>
      </c>
    </row>
    <row r="4549" customFormat="false" ht="17.15" hidden="false" customHeight="false" outlineLevel="0" collapsed="false">
      <c r="A4549" s="0" t="s">
        <v>847</v>
      </c>
      <c r="B4549" s="0" t="s">
        <v>98</v>
      </c>
      <c r="C4549" s="6" t="n">
        <f aca="false">Sens!C4528*self_build*tk_cxfac/1000</f>
        <v>6.2083</v>
      </c>
      <c r="D4549" s="6" t="n">
        <f aca="false">Sens!D4528*self_build*tk_cxfac/1000</f>
        <v>9.3758</v>
      </c>
      <c r="E4549" s="6" t="n">
        <f aca="false">Sens!E4528*self_build*tk_cxfac/1000</f>
        <v>18.6249</v>
      </c>
      <c r="F4549" s="6" t="n">
        <f aca="false">Sens!F4528*self_build*tk_cxfac/1000</f>
        <v>29.409604</v>
      </c>
      <c r="G4549" s="6" t="n">
        <f aca="false">Sens!G4528*self_build*tk_cxfac/1000</f>
        <v>32.019624</v>
      </c>
      <c r="H4549" s="6" t="n">
        <f aca="false">Sens!H4528*self_build*tk_cxfac/1000</f>
        <v>32.019624</v>
      </c>
      <c r="I4549" s="6" t="n">
        <f aca="false">Sens!I4528*self_build*tk_cxfac/1000</f>
        <v>22.71877972</v>
      </c>
      <c r="J4549" s="6" t="n">
        <f aca="false">Sens!J4528*self_build*tk_cxfac/1000</f>
        <v>13.8723110344</v>
      </c>
      <c r="K4549" s="6" t="n">
        <f aca="false">Sens!K4528*self_build*tk_cxfac/1000</f>
        <v>5.214823882632</v>
      </c>
    </row>
    <row r="4550" customFormat="false" ht="17.15" hidden="false" customHeight="false" outlineLevel="0" collapsed="false">
      <c r="A4550" s="0" t="s">
        <v>848</v>
      </c>
      <c r="B4550" s="0" t="s">
        <v>98</v>
      </c>
      <c r="F4550" s="6" t="n">
        <f aca="false">MAX(0,capex_floor27-Sens!F4548-Sens!F4549-Sens!F4644)</f>
        <v>8.43777689897088</v>
      </c>
    </row>
    <row r="4551" customFormat="false" ht="17.15" hidden="false" customHeight="false" outlineLevel="0" collapsed="false">
      <c r="A4551" s="0" t="s">
        <v>849</v>
      </c>
      <c r="B4551" s="0" t="s">
        <v>98</v>
      </c>
      <c r="C4551" s="6" t="n">
        <f aca="false">Sens!C4548</f>
        <v>22.5333845916667</v>
      </c>
      <c r="D4551" s="6" t="n">
        <f aca="false">Sens!D4548</f>
        <v>34.0300093833333</v>
      </c>
      <c r="E4551" s="6" t="n">
        <f aca="false">Sens!E4548</f>
        <v>67.600153775</v>
      </c>
      <c r="F4551" s="6" t="n">
        <f aca="false">Sens!F4548</f>
        <v>130.923271871467</v>
      </c>
      <c r="G4551" s="6" t="n">
        <f aca="false">Sens!G4548</f>
        <v>151.5545564832</v>
      </c>
      <c r="H4551" s="6" t="n">
        <f aca="false">Sens!H4548</f>
        <v>186.319337257067</v>
      </c>
      <c r="I4551" s="6" t="n">
        <f aca="false">Sens!I4548</f>
        <v>156.425989100912</v>
      </c>
      <c r="J4551" s="6" t="n">
        <f aca="false">Sens!J4548</f>
        <v>158.388376586509</v>
      </c>
      <c r="K4551" s="6" t="n">
        <f aca="false">Sens!K4548</f>
        <v>168.756233166025</v>
      </c>
    </row>
    <row r="4552" customFormat="false" ht="17.15" hidden="false" customHeight="false" outlineLevel="0" collapsed="false">
      <c r="A4552" s="0" t="s">
        <v>850</v>
      </c>
      <c r="B4552" s="0" t="s">
        <v>98</v>
      </c>
      <c r="C4552" s="6" t="n">
        <f aca="false">Sens!C4551+Sens!C4549</f>
        <v>28.7416845916667</v>
      </c>
      <c r="D4552" s="6" t="n">
        <f aca="false">Sens!D4551+Sens!D4549</f>
        <v>43.4058093833333</v>
      </c>
      <c r="E4552" s="6" t="n">
        <f aca="false">Sens!E4551+Sens!E4549</f>
        <v>86.225053775</v>
      </c>
      <c r="F4552" s="6" t="n">
        <f aca="false">Sens!F4551+Sens!F4549</f>
        <v>160.332875871467</v>
      </c>
      <c r="G4552" s="6" t="n">
        <f aca="false">Sens!G4551+Sens!G4549</f>
        <v>183.5741804832</v>
      </c>
      <c r="H4552" s="6" t="n">
        <f aca="false">Sens!H4551+Sens!H4549</f>
        <v>218.338961257067</v>
      </c>
      <c r="I4552" s="6" t="n">
        <f aca="false">Sens!I4551+Sens!I4549</f>
        <v>179.144768820912</v>
      </c>
      <c r="J4552" s="6" t="n">
        <f aca="false">Sens!J4551+Sens!J4549</f>
        <v>172.260687620909</v>
      </c>
      <c r="K4552" s="6" t="n">
        <f aca="false">Sens!K4551+Sens!K4549</f>
        <v>173.971057048657</v>
      </c>
      <c r="L4552" s="11" t="s">
        <v>851</v>
      </c>
    </row>
    <row r="4553" customFormat="false" ht="17.15" hidden="false" customHeight="false" outlineLevel="0" collapsed="false">
      <c r="A4553" s="0" t="s">
        <v>852</v>
      </c>
      <c r="B4553" s="0" t="s">
        <v>98</v>
      </c>
      <c r="E4553" s="6" t="n">
        <f aca="false">(Sens!C4551*IF(2&lt;life_it_lo,1,IF(2=life_it_lo,0.5,0))+Sens!D4551*IF(1&lt;life_it_lo,1,IF(1=life_it_lo,0.5,0))+Sens!E4551*0.5)/life_it_lo</f>
        <v>18.0726941725</v>
      </c>
      <c r="F4553" s="6" t="n">
        <f aca="false">(Sens!C4551*IF(3&lt;life_it_lo,1,IF(3=life_it_lo,0.5,0))+Sens!D4551*IF(2&lt;life_it_lo,1,IF(2=life_it_lo,0.5,0))+Sens!E4551*IF(1&lt;life_it_lo,1,IF(1=life_it_lo,0.5,0))+Sens!F4551*0.5)/life_it_lo</f>
        <v>37.9250367371467</v>
      </c>
      <c r="G4553" s="6" t="n">
        <f aca="false">(Sens!C4551*IF(4&lt;life_it_lo,1,IF(4=life_it_lo,0.5,0))+Sens!D4551*IF(3&lt;life_it_lo,1,IF(3=life_it_lo,0.5,0))+Sens!E4551*IF(2&lt;life_it_lo,1,IF(2=life_it_lo,0.5,0))+Sens!F4551*IF(1&lt;life_it_lo,1,IF(1=life_it_lo,0.5,0))+Sens!G4551*0.5)/life_it_lo</f>
        <v>66.1728195726133</v>
      </c>
      <c r="H4553" s="6" t="n">
        <f aca="false">(Sens!C4551*IF(5&lt;life_it_lo,1,IF(5=life_it_lo,0.5,0))+Sens!D4551*IF(4&lt;life_it_lo,1,IF(4=life_it_lo,0.5,0))+Sens!E4551*IF(3&lt;life_it_lo,1,IF(3=life_it_lo,0.5,0))+Sens!F4551*IF(2&lt;life_it_lo,1,IF(2=life_it_lo,0.5,0))+Sens!G4551*IF(1&lt;life_it_lo,1,IF(1=life_it_lo,0.5,0))+Sens!H4551*0.5)/life_it_lo</f>
        <v>97.7068704874733</v>
      </c>
      <c r="I4553" s="6" t="n">
        <f aca="false">(Sens!C4551*IF(6&lt;life_it_lo,1,IF(6=life_it_lo,0.5,0))+Sens!D4551*IF(5&lt;life_it_lo,1,IF(5=life_it_lo,0.5,0))+Sens!E4551*IF(4&lt;life_it_lo,1,IF(4=life_it_lo,0.5,0))+Sens!F4551*IF(3&lt;life_it_lo,1,IF(3=life_it_lo,0.5,0))+Sens!G4551*IF(2&lt;life_it_lo,1,IF(2=life_it_lo,0.5,0))+Sens!H4551*IF(1&lt;life_it_lo,1,IF(1=life_it_lo,0.5,0))+Sens!I4551*0.5)/life_it_lo</f>
        <v>126.325063725771</v>
      </c>
      <c r="J4553" s="6" t="n">
        <f aca="false">(Sens!C4551*IF(7&lt;life_it_lo,1,IF(7=life_it_lo,0.5,0))+Sens!D4551*IF(6&lt;life_it_lo,1,IF(6=life_it_lo,0.5,0))+Sens!E4551*IF(5&lt;life_it_lo,1,IF(5=life_it_lo,0.5,0))+Sens!F4551*IF(4&lt;life_it_lo,1,IF(4=life_it_lo,0.5,0))+Sens!G4551*IF(3&lt;life_it_lo,1,IF(3=life_it_lo,0.5,0))+Sens!H4551*IF(2&lt;life_it_lo,1,IF(2=life_it_lo,0.5,0))+Sens!I4551*IF(1&lt;life_it_lo,1,IF(1=life_it_lo,0.5,0))+Sens!J4551*0.5)/life_it_lo</f>
        <v>147.64348397868</v>
      </c>
      <c r="K4553" s="6" t="n">
        <f aca="false">(Sens!C4551*IF(8&lt;life_it_lo,1,IF(8=life_it_lo,0.5,0))+Sens!D4551*IF(7&lt;life_it_lo,1,IF(7=life_it_lo,0.5,0))+Sens!E4551*IF(6&lt;life_it_lo,1,IF(6=life_it_lo,0.5,0))+Sens!F4551*IF(5&lt;life_it_lo,1,IF(5=life_it_lo,0.5,0))+Sens!G4551*IF(4&lt;life_it_lo,1,IF(4=life_it_lo,0.5,0))+Sens!H4551*IF(3&lt;life_it_lo,1,IF(3=life_it_lo,0.5,0))+Sens!I4551*IF(2&lt;life_it_lo,1,IF(2=life_it_lo,0.5,0))+Sens!J4551*IF(1&lt;life_it_lo,1,IF(1=life_it_lo,0.5,0))+Sens!K4551*0.5)/life_it_lo</f>
        <v>160.505602389287</v>
      </c>
    </row>
    <row r="4554" customFormat="false" ht="17.15" hidden="false" customHeight="false" outlineLevel="0" collapsed="false">
      <c r="A4554" s="0" t="s">
        <v>853</v>
      </c>
      <c r="B4554" s="0" t="s">
        <v>98</v>
      </c>
      <c r="E4554" s="6" t="n">
        <f aca="false">(Sens!C4549*IF(2&lt;life_fac,1,IF(2=life_fac,0.5,0))+Sens!D4549*IF(1&lt;life_fac,1,IF(1=life_fac,0.5,0))+Sens!E4549*0.5)/life_fac</f>
        <v>1.2448275</v>
      </c>
      <c r="F4554" s="6" t="n">
        <f aca="false">(Sens!C4549*IF(3&lt;life_fac,1,IF(3=life_fac,0.5,0))+Sens!D4549*IF(2&lt;life_fac,1,IF(2=life_fac,0.5,0))+Sens!E4549*IF(1&lt;life_fac,1,IF(1=life_fac,0.5,0))+Sens!F4549*0.5)/life_fac</f>
        <v>2.4456901</v>
      </c>
      <c r="G4554" s="6" t="n">
        <f aca="false">(Sens!C4549*IF(4&lt;life_fac,1,IF(4=life_fac,0.5,0))+Sens!D4549*IF(3&lt;life_fac,1,IF(3=life_fac,0.5,0))+Sens!E4549*IF(2&lt;life_fac,1,IF(2=life_fac,0.5,0))+Sens!F4549*IF(1&lt;life_fac,1,IF(1=life_fac,0.5,0))+Sens!G4549*0.5)/life_fac</f>
        <v>3.9814208</v>
      </c>
      <c r="H4554" s="6" t="n">
        <f aca="false">(Sens!C4549*IF(5&lt;life_fac,1,IF(5=life_fac,0.5,0))+Sens!D4549*IF(4&lt;life_fac,1,IF(4=life_fac,0.5,0))+Sens!E4549*IF(3&lt;life_fac,1,IF(3=life_fac,0.5,0))+Sens!F4549*IF(2&lt;life_fac,1,IF(2=life_fac,0.5,0))+Sens!G4549*IF(1&lt;life_fac,1,IF(1=life_fac,0.5,0))+Sens!H4549*0.5)/life_fac</f>
        <v>5.582402</v>
      </c>
      <c r="I4554" s="6" t="n">
        <f aca="false">(Sens!C4549*IF(6&lt;life_fac,1,IF(6=life_fac,0.5,0))+Sens!D4549*IF(5&lt;life_fac,1,IF(5=life_fac,0.5,0))+Sens!E4549*IF(4&lt;life_fac,1,IF(4=life_fac,0.5,0))+Sens!F4549*IF(3&lt;life_fac,1,IF(3=life_fac,0.5,0))+Sens!G4549*IF(2&lt;life_fac,1,IF(2=life_fac,0.5,0))+Sens!H4549*IF(1&lt;life_fac,1,IF(1=life_fac,0.5,0))+Sens!I4549*0.5)/life_fac</f>
        <v>6.950862093</v>
      </c>
      <c r="J4554" s="6" t="n">
        <f aca="false">(Sens!C4549*IF(7&lt;life_fac,1,IF(7=life_fac,0.5,0))+Sens!D4549*IF(6&lt;life_fac,1,IF(6=life_fac,0.5,0))+Sens!E4549*IF(5&lt;life_fac,1,IF(5=life_fac,0.5,0))+Sens!F4549*IF(4&lt;life_fac,1,IF(4=life_fac,0.5,0))+Sens!G4549*IF(3&lt;life_fac,1,IF(3=life_fac,0.5,0))+Sens!H4549*IF(2&lt;life_fac,1,IF(2=life_fac,0.5,0))+Sens!I4549*IF(1&lt;life_fac,1,IF(1=life_fac,0.5,0))+Sens!J4549*0.5)/life_fac</f>
        <v>7.86563936186</v>
      </c>
      <c r="K4554" s="6" t="n">
        <f aca="false">(Sens!C4549*IF(8&lt;life_fac,1,IF(8=life_fac,0.5,0))+Sens!D4549*IF(7&lt;life_fac,1,IF(7=life_fac,0.5,0))+Sens!E4549*IF(6&lt;life_fac,1,IF(6=life_fac,0.5,0))+Sens!F4549*IF(5&lt;life_fac,1,IF(5=life_fac,0.5,0))+Sens!G4549*IF(4&lt;life_fac,1,IF(4=life_fac,0.5,0))+Sens!H4549*IF(3&lt;life_fac,1,IF(3=life_fac,0.5,0))+Sens!I4549*IF(2&lt;life_fac,1,IF(2=life_fac,0.5,0))+Sens!J4549*IF(1&lt;life_fac,1,IF(1=life_fac,0.5,0))+Sens!K4549*0.5)/life_fac</f>
        <v>8.3428177347858</v>
      </c>
    </row>
    <row r="4555" customFormat="false" ht="17.15" hidden="false" customHeight="false" outlineLevel="0" collapsed="false">
      <c r="A4555" s="0" t="s">
        <v>854</v>
      </c>
      <c r="B4555" s="0" t="s">
        <v>98</v>
      </c>
      <c r="E4555" s="6" t="n">
        <f aca="false">Sens!E4553+Sens!E4554</f>
        <v>19.3175216725</v>
      </c>
      <c r="F4555" s="6" t="n">
        <f aca="false">Sens!F4553+Sens!F4554</f>
        <v>40.3707268371467</v>
      </c>
      <c r="G4555" s="6" t="n">
        <f aca="false">Sens!G4553+Sens!G4554</f>
        <v>70.1542403726133</v>
      </c>
      <c r="H4555" s="6" t="n">
        <f aca="false">Sens!H4553+Sens!H4554</f>
        <v>103.289272487473</v>
      </c>
      <c r="I4555" s="6" t="n">
        <f aca="false">Sens!I4553+Sens!I4554</f>
        <v>133.275925818771</v>
      </c>
      <c r="J4555" s="6" t="n">
        <f aca="false">Sens!J4553+Sens!J4554</f>
        <v>155.50912334054</v>
      </c>
      <c r="K4555" s="6" t="n">
        <f aca="false">Sens!K4553+Sens!K4554</f>
        <v>168.848420124073</v>
      </c>
    </row>
    <row r="4556" customFormat="false" ht="17.15" hidden="false" customHeight="false" outlineLevel="0" collapsed="false">
      <c r="A4556" s="0" t="s">
        <v>855</v>
      </c>
      <c r="B4556" s="0" t="s">
        <v>98</v>
      </c>
      <c r="E4556" s="6" t="n">
        <f aca="false">Sens!E4544-Sens!E4543*Sens!E4555</f>
        <v>7.11980948252379</v>
      </c>
      <c r="F4556" s="6" t="n">
        <f aca="false">Sens!F4544-Sens!F4543*Sens!F4555</f>
        <v>10.8349094602539</v>
      </c>
      <c r="G4556" s="6" t="n">
        <f aca="false">Sens!G4544-Sens!G4543*Sens!G4555</f>
        <v>10.1579529477191</v>
      </c>
      <c r="H4556" s="6" t="n">
        <f aca="false">Sens!H4544-Sens!H4543*Sens!H4555</f>
        <v>4.14122283638989</v>
      </c>
      <c r="I4556" s="6" t="n">
        <f aca="false">Sens!I4544-Sens!I4543*Sens!I4555</f>
        <v>4.62914556101198</v>
      </c>
      <c r="J4556" s="6" t="n">
        <f aca="false">Sens!J4544-Sens!J4543*Sens!J4555</f>
        <v>5.51172774472741</v>
      </c>
      <c r="K4556" s="6" t="n">
        <f aca="false">Sens!K4544-Sens!K4543*Sens!K4555</f>
        <v>7.92711266614874</v>
      </c>
    </row>
    <row r="4557" customFormat="false" ht="17.15" hidden="false" customHeight="false" outlineLevel="0" collapsed="false">
      <c r="A4557" s="3" t="s">
        <v>1378</v>
      </c>
    </row>
    <row r="4558" customFormat="false" ht="15" hidden="false" customHeight="false" outlineLevel="0" collapsed="false">
      <c r="A4558" s="4" t="s">
        <v>43</v>
      </c>
      <c r="B4558" s="4" t="s">
        <v>65</v>
      </c>
      <c r="C4558" s="20" t="s">
        <v>799</v>
      </c>
      <c r="D4558" s="20" t="s">
        <v>800</v>
      </c>
      <c r="E4558" s="20" t="s">
        <v>801</v>
      </c>
      <c r="F4558" s="20" t="s">
        <v>802</v>
      </c>
      <c r="G4558" s="20" t="s">
        <v>803</v>
      </c>
      <c r="H4558" s="20" t="s">
        <v>804</v>
      </c>
      <c r="I4558" s="20" t="s">
        <v>805</v>
      </c>
      <c r="J4558" s="20" t="s">
        <v>806</v>
      </c>
      <c r="K4558" s="20" t="s">
        <v>807</v>
      </c>
      <c r="L4558" s="4" t="s">
        <v>47</v>
      </c>
    </row>
    <row r="4559" customFormat="false" ht="17.15" hidden="false" customHeight="false" outlineLevel="0" collapsed="false">
      <c r="A4559" s="0" t="s">
        <v>874</v>
      </c>
      <c r="B4559" s="0" t="s">
        <v>98</v>
      </c>
      <c r="D4559" s="6" t="n">
        <f aca="false">Sens!D4538</f>
        <v>12.9359794422418</v>
      </c>
      <c r="E4559" s="6" t="n">
        <f aca="false">Sens!E4538</f>
        <v>27.8095064661409</v>
      </c>
      <c r="F4559" s="6" t="n">
        <f aca="false">Sens!F4538</f>
        <v>50.6619113883066</v>
      </c>
      <c r="G4559" s="6" t="n">
        <f aca="false">Sens!G4538</f>
        <v>75.1482839325348</v>
      </c>
      <c r="H4559" s="6" t="n">
        <f aca="false">Sens!H4538</f>
        <v>95.8089245545327</v>
      </c>
      <c r="I4559" s="6" t="n">
        <f aca="false">Sens!I4538</f>
        <v>120.156656316324</v>
      </c>
      <c r="J4559" s="6" t="n">
        <f aca="false">Sens!J4538</f>
        <v>138.484315465779</v>
      </c>
      <c r="K4559" s="6" t="n">
        <f aca="false">Sens!K4538</f>
        <v>151.335380653331</v>
      </c>
    </row>
    <row r="4560" customFormat="false" ht="17.15" hidden="false" customHeight="false" outlineLevel="0" collapsed="false">
      <c r="A4560" s="0" t="s">
        <v>875</v>
      </c>
      <c r="B4560" s="0" t="s">
        <v>98</v>
      </c>
      <c r="D4560" s="6" t="n">
        <f aca="false">Q!L6-Sens!D4559</f>
        <v>59.6740205577583</v>
      </c>
      <c r="E4560" s="6" t="n">
        <f aca="false">Q!M6-Sens!E4559</f>
        <v>74.1284935338591</v>
      </c>
      <c r="F4560" s="6" t="n">
        <f aca="false">Sens!E4560*(1+Sens!F4561)</f>
        <v>90.0799497373663</v>
      </c>
      <c r="G4560" s="6" t="n">
        <f aca="false">Sens!F4560*(1+Sens!G4561)</f>
        <v>107.02842520331</v>
      </c>
      <c r="H4560" s="6" t="n">
        <f aca="false">Sens!G4560*(1+Sens!H4561)</f>
        <v>124.271982585636</v>
      </c>
      <c r="I4560" s="6" t="n">
        <f aca="false">Sens!H4560*(1+Sens!I4561)</f>
        <v>140.933702381855</v>
      </c>
      <c r="J4560" s="6" t="n">
        <f aca="false">Sens!I4560*(1+Sens!J4561)</f>
        <v>156.018867314332</v>
      </c>
      <c r="K4560" s="6" t="n">
        <f aca="false">Sens!J4560*(1+Sens!K4561)</f>
        <v>168.500376699478</v>
      </c>
    </row>
    <row r="4561" customFormat="false" ht="15" hidden="false" customHeight="false" outlineLevel="0" collapsed="false">
      <c r="A4561" s="1" t="s">
        <v>876</v>
      </c>
      <c r="B4561" s="0" t="s">
        <v>129</v>
      </c>
      <c r="E4561" s="7" t="n">
        <f aca="false">Sens!E4560/Sens!D4560-1</f>
        <v>0.242223883039864</v>
      </c>
      <c r="F4561" s="7" t="n">
        <f aca="false">Sens!$E$4561+(glt_azo-Sens!$E$4561)*MIN(1,(Sens!F4521-base_fy)/n_conv)</f>
        <v>0.215186569199887</v>
      </c>
      <c r="G4561" s="7" t="n">
        <f aca="false">Sens!$E$4561+(glt_azo-Sens!$E$4561)*MIN(1,(Sens!G4521-base_fy)/n_conv)</f>
        <v>0.18814925535991</v>
      </c>
      <c r="H4561" s="7" t="n">
        <f aca="false">Sens!$E$4561+(glt_azo-Sens!$E$4561)*MIN(1,(Sens!H4521-base_fy)/n_conv)</f>
        <v>0.161111941519932</v>
      </c>
      <c r="I4561" s="7" t="n">
        <f aca="false">Sens!$E$4561+(glt_azo-Sens!$E$4561)*MIN(1,(Sens!I4521-base_fy)/n_conv)</f>
        <v>0.134074627679955</v>
      </c>
      <c r="J4561" s="7" t="n">
        <f aca="false">Sens!$E$4561+(glt_azo-Sens!$E$4561)*MIN(1,(Sens!J4521-base_fy)/n_conv)</f>
        <v>0.107037313839977</v>
      </c>
      <c r="K4561" s="7" t="n">
        <f aca="false">Sens!$E$4561+(glt_azo-Sens!$E$4561)*MIN(1,(Sens!K4521-base_fy)/n_conv)</f>
        <v>0.08</v>
      </c>
    </row>
    <row r="4562" customFormat="false" ht="15" hidden="false" customHeight="false" outlineLevel="0" collapsed="false">
      <c r="A4562" s="0" t="s">
        <v>877</v>
      </c>
      <c r="B4562" s="0" t="s">
        <v>98</v>
      </c>
      <c r="D4562" s="6" t="n">
        <f aca="false">Sens!D4559+Sens!D4560</f>
        <v>72.61</v>
      </c>
      <c r="E4562" s="6" t="n">
        <f aca="false">Sens!E4559+Sens!E4560</f>
        <v>101.938</v>
      </c>
      <c r="F4562" s="6" t="n">
        <f aca="false">Sens!F4559+Sens!F4560</f>
        <v>140.741861125673</v>
      </c>
      <c r="G4562" s="6" t="n">
        <f aca="false">Sens!G4559+Sens!G4560</f>
        <v>182.176709135845</v>
      </c>
      <c r="H4562" s="6" t="n">
        <f aca="false">Sens!H4559+Sens!H4560</f>
        <v>220.080907140169</v>
      </c>
      <c r="I4562" s="6" t="n">
        <f aca="false">Sens!I4559+Sens!I4560</f>
        <v>261.090358698179</v>
      </c>
      <c r="J4562" s="6" t="n">
        <f aca="false">Sens!J4559+Sens!J4560</f>
        <v>294.50318278011</v>
      </c>
      <c r="K4562" s="6" t="n">
        <f aca="false">Sens!K4559+Sens!K4560</f>
        <v>319.835757352809</v>
      </c>
    </row>
    <row r="4563" customFormat="false" ht="17.15" hidden="false" customHeight="false" outlineLevel="0" collapsed="false">
      <c r="A4563" s="0" t="s">
        <v>878</v>
      </c>
      <c r="B4563" s="1" t="s">
        <v>528</v>
      </c>
      <c r="C4563" s="29" t="n">
        <f aca="false">cop_s24</f>
        <v>1</v>
      </c>
      <c r="D4563" s="29" t="n">
        <f aca="false">cop_s25</f>
        <v>5</v>
      </c>
      <c r="E4563" s="29" t="n">
        <f aca="false">cop_s26</f>
        <v>30</v>
      </c>
      <c r="F4563" s="29" t="n">
        <f aca="false">Sens!E4563+cop_add_C</f>
        <v>40</v>
      </c>
      <c r="G4563" s="29" t="n">
        <f aca="false">Sens!F4563+cop_add_C</f>
        <v>50</v>
      </c>
      <c r="H4563" s="29" t="n">
        <f aca="false">Sens!G4563+cop_add_C</f>
        <v>60</v>
      </c>
      <c r="I4563" s="29" t="n">
        <f aca="false">Sens!H4563+cop_add_C*cop_tail</f>
        <v>65</v>
      </c>
      <c r="J4563" s="29" t="n">
        <f aca="false">Sens!I4563+cop_add_C*cop_tail</f>
        <v>70</v>
      </c>
      <c r="K4563" s="29" t="n">
        <f aca="false">Sens!J4563+cop_add_C*cop_tail</f>
        <v>75</v>
      </c>
      <c r="L4563" s="11" t="s">
        <v>879</v>
      </c>
    </row>
    <row r="4564" customFormat="false" ht="17.15" hidden="false" customHeight="false" outlineLevel="0" collapsed="false">
      <c r="A4564" s="0" t="s">
        <v>880</v>
      </c>
      <c r="B4564" s="0" t="s">
        <v>98</v>
      </c>
      <c r="D4564" s="6" t="n">
        <f aca="false">(Sens!C4563+Sens!D4563)/2*cop_px*12/1000</f>
        <v>0.9</v>
      </c>
      <c r="E4564" s="6" t="n">
        <f aca="false">(Sens!D4563+Sens!E4563)/2*cop_px*12/1000</f>
        <v>5.25</v>
      </c>
      <c r="F4564" s="6" t="n">
        <f aca="false">(Sens!E4563+Sens!F4563)/2*cop_px*12/1000</f>
        <v>10.5</v>
      </c>
      <c r="G4564" s="6" t="n">
        <f aca="false">(Sens!F4563+Sens!G4563)/2*cop_px*12/1000</f>
        <v>13.5</v>
      </c>
      <c r="H4564" s="6" t="n">
        <f aca="false">(Sens!G4563+Sens!H4563)/2*cop_px*12/1000</f>
        <v>16.5</v>
      </c>
      <c r="I4564" s="6" t="n">
        <f aca="false">(Sens!H4563+Sens!I4563)/2*cop_px*12/1000</f>
        <v>18.75</v>
      </c>
      <c r="J4564" s="6" t="n">
        <f aca="false">(Sens!I4563+Sens!J4563)/2*cop_px*12/1000</f>
        <v>20.25</v>
      </c>
      <c r="K4564" s="6" t="n">
        <f aca="false">(Sens!J4563+Sens!K4563)/2*cop_px*12/1000</f>
        <v>21.75</v>
      </c>
      <c r="L4564" s="1" t="s">
        <v>881</v>
      </c>
    </row>
    <row r="4565" customFormat="false" ht="17.15" hidden="false" customHeight="false" outlineLevel="0" collapsed="false">
      <c r="A4565" s="0" t="s">
        <v>882</v>
      </c>
      <c r="B4565" s="0" t="s">
        <v>98</v>
      </c>
      <c r="D4565" s="6" t="n">
        <f aca="false">Q!L7-Sens!D4564</f>
        <v>83.705</v>
      </c>
      <c r="E4565" s="6" t="n">
        <f aca="false">Q!M7-Sens!E4564</f>
        <v>95.049</v>
      </c>
      <c r="F4565" s="6" t="n">
        <f aca="false">Sens!E4565*(1+Sens!F4566)</f>
        <v>106.89238776686</v>
      </c>
      <c r="G4565" s="6" t="n">
        <f aca="false">Sens!F4565*(1+Sens!G4566)</f>
        <v>119.044168448684</v>
      </c>
      <c r="H4565" s="6" t="n">
        <f aca="false">Sens!G4565*(1+Sens!H4566)</f>
        <v>131.277359388781</v>
      </c>
      <c r="I4565" s="6" t="n">
        <f aca="false">Sens!H4565*(1+Sens!I4566)</f>
        <v>143.334028071957</v>
      </c>
      <c r="J4565" s="6" t="n">
        <f aca="false">Sens!I4565*(1+Sens!J4566)</f>
        <v>154.932702785465</v>
      </c>
      <c r="K4565" s="6" t="n">
        <f aca="false">Sens!J4565*(1+Sens!K4566)</f>
        <v>165.777991980448</v>
      </c>
    </row>
    <row r="4566" customFormat="false" ht="15" hidden="false" customHeight="false" outlineLevel="0" collapsed="false">
      <c r="A4566" s="1" t="s">
        <v>876</v>
      </c>
      <c r="B4566" s="0" t="s">
        <v>129</v>
      </c>
      <c r="E4566" s="7" t="n">
        <f aca="false">Sens!E4565/Sens!D4565-1</f>
        <v>0.135523564900544</v>
      </c>
      <c r="F4566" s="7" t="n">
        <f aca="false">Sens!$E$4566+(glt_m365b-Sens!$E$4566)*MIN(1,(Sens!F4521-base_fy)/n_conv)</f>
        <v>0.124602970750453</v>
      </c>
      <c r="G4566" s="7" t="n">
        <f aca="false">Sens!$E$4566+(glt_m365b-Sens!$E$4566)*MIN(1,(Sens!G4521-base_fy)/n_conv)</f>
        <v>0.113682376600363</v>
      </c>
      <c r="H4566" s="7" t="n">
        <f aca="false">Sens!$E$4566+(glt_m365b-Sens!$E$4566)*MIN(1,(Sens!H4521-base_fy)/n_conv)</f>
        <v>0.102761782450272</v>
      </c>
      <c r="I4566" s="7" t="n">
        <f aca="false">Sens!$E$4566+(glt_m365b-Sens!$E$4566)*MIN(1,(Sens!I4521-base_fy)/n_conv)</f>
        <v>0.0918411883001813</v>
      </c>
      <c r="J4566" s="7" t="n">
        <f aca="false">Sens!$E$4566+(glt_m365b-Sens!$E$4566)*MIN(1,(Sens!J4521-base_fy)/n_conv)</f>
        <v>0.0809205941500906</v>
      </c>
      <c r="K4566" s="7" t="n">
        <f aca="false">Sens!$E$4566+(glt_m365b-Sens!$E$4566)*MIN(1,(Sens!K4521-base_fy)/n_conv)</f>
        <v>0.07</v>
      </c>
    </row>
    <row r="4567" customFormat="false" ht="15" hidden="false" customHeight="false" outlineLevel="0" collapsed="false">
      <c r="A4567" s="0" t="s">
        <v>883</v>
      </c>
      <c r="B4567" s="0" t="s">
        <v>98</v>
      </c>
      <c r="D4567" s="6" t="n">
        <f aca="false">Sens!D4565+Sens!D4564</f>
        <v>84.605</v>
      </c>
      <c r="E4567" s="6" t="n">
        <f aca="false">Sens!E4565+Sens!E4564</f>
        <v>100.299</v>
      </c>
      <c r="F4567" s="6" t="n">
        <f aca="false">Sens!F4565+Sens!F4564</f>
        <v>117.39238776686</v>
      </c>
      <c r="G4567" s="6" t="n">
        <f aca="false">Sens!G4565+Sens!G4564</f>
        <v>132.544168448684</v>
      </c>
      <c r="H4567" s="6" t="n">
        <f aca="false">Sens!H4565+Sens!H4564</f>
        <v>147.777359388781</v>
      </c>
      <c r="I4567" s="6" t="n">
        <f aca="false">Sens!I4565+Sens!I4564</f>
        <v>162.084028071957</v>
      </c>
      <c r="J4567" s="6" t="n">
        <f aca="false">Sens!J4565+Sens!J4564</f>
        <v>175.182702785465</v>
      </c>
      <c r="K4567" s="6" t="n">
        <f aca="false">Sens!K4565+Sens!K4564</f>
        <v>187.527991980448</v>
      </c>
    </row>
    <row r="4568" customFormat="false" ht="15" hidden="false" customHeight="false" outlineLevel="0" collapsed="false">
      <c r="A4568" s="0" t="s">
        <v>884</v>
      </c>
      <c r="B4568" s="0" t="s">
        <v>98</v>
      </c>
      <c r="D4568" s="6" t="n">
        <f aca="false">Q!L8</f>
        <v>35.391</v>
      </c>
      <c r="E4568" s="6" t="n">
        <f aca="false">Q!M8</f>
        <v>37.285</v>
      </c>
      <c r="F4568" s="6" t="n">
        <f aca="false">Sens!E4568*(1+Sens!F4569)</f>
        <v>39.0720834331704</v>
      </c>
      <c r="G4568" s="6" t="n">
        <f aca="false">Sens!F4568*(1+Sens!G4569)</f>
        <v>40.726562953769</v>
      </c>
      <c r="H4568" s="6" t="n">
        <f aca="false">Sens!G4568*(1+Sens!H4569)</f>
        <v>42.2235987259198</v>
      </c>
      <c r="I4568" s="6" t="n">
        <f aca="false">Sens!H4568*(1+Sens!I4569)</f>
        <v>43.5397988077414</v>
      </c>
      <c r="J4568" s="6" t="n">
        <f aca="false">Sens!I4568*(1+Sens!J4569)</f>
        <v>44.653811225693</v>
      </c>
      <c r="K4568" s="6" t="n">
        <f aca="false">Sens!J4568*(1+Sens!K4569)</f>
        <v>45.5468874502068</v>
      </c>
    </row>
    <row r="4569" customFormat="false" ht="15" hidden="false" customHeight="false" outlineLevel="0" collapsed="false">
      <c r="A4569" s="1" t="s">
        <v>876</v>
      </c>
      <c r="B4569" s="0" t="s">
        <v>129</v>
      </c>
      <c r="E4569" s="7" t="n">
        <f aca="false">Sens!E4568/Sens!D4568-1</f>
        <v>0.0535164307309768</v>
      </c>
      <c r="F4569" s="7" t="n">
        <f aca="false">Sens!$E$4569+(glt_lic-Sens!$E$4569)*MIN(1,(Sens!F4521-base_fy)/n_conv)</f>
        <v>0.0479303589424807</v>
      </c>
      <c r="G4569" s="7" t="n">
        <f aca="false">Sens!$E$4569+(glt_lic-Sens!$E$4569)*MIN(1,(Sens!G4521-base_fy)/n_conv)</f>
        <v>0.0423442871539845</v>
      </c>
      <c r="H4569" s="7" t="n">
        <f aca="false">Sens!$E$4569+(glt_lic-Sens!$E$4569)*MIN(1,(Sens!H4521-base_fy)/n_conv)</f>
        <v>0.0367582153654884</v>
      </c>
      <c r="I4569" s="7" t="n">
        <f aca="false">Sens!$E$4569+(glt_lic-Sens!$E$4569)*MIN(1,(Sens!I4521-base_fy)/n_conv)</f>
        <v>0.0311721435769923</v>
      </c>
      <c r="J4569" s="7" t="n">
        <f aca="false">Sens!$E$4569+(glt_lic-Sens!$E$4569)*MIN(1,(Sens!J4521-base_fy)/n_conv)</f>
        <v>0.0255860717884961</v>
      </c>
      <c r="K4569" s="7" t="n">
        <f aca="false">Sens!$E$4569+(glt_lic-Sens!$E$4569)*MIN(1,(Sens!K4521-base_fy)/n_conv)</f>
        <v>0.02</v>
      </c>
    </row>
    <row r="4570" customFormat="false" ht="15" hidden="false" customHeight="false" outlineLevel="0" collapsed="false">
      <c r="A4570" s="0" t="s">
        <v>885</v>
      </c>
      <c r="B4570" s="0" t="s">
        <v>98</v>
      </c>
      <c r="D4570" s="6" t="n">
        <f aca="false">Q!L9</f>
        <v>18.417</v>
      </c>
      <c r="E4570" s="6" t="n">
        <f aca="false">Q!M9</f>
        <v>20.345</v>
      </c>
      <c r="F4570" s="6" t="n">
        <f aca="false">Sens!E4570*(1+Sens!F4571)</f>
        <v>22.3572203267814</v>
      </c>
      <c r="G4570" s="6" t="n">
        <f aca="false">Sens!F4570*(1+Sens!G4571)</f>
        <v>24.4392124437232</v>
      </c>
      <c r="H4570" s="6" t="n">
        <f aca="false">Sens!G4570*(1+Sens!H4571)</f>
        <v>26.5738052080665</v>
      </c>
      <c r="I4570" s="6" t="n">
        <f aca="false">Sens!H4570*(1+Sens!I4571)</f>
        <v>28.7412169166967</v>
      </c>
      <c r="J4570" s="6" t="n">
        <f aca="false">Sens!I4570*(1+Sens!J4571)</f>
        <v>30.9192545395413</v>
      </c>
      <c r="K4570" s="6" t="n">
        <f aca="false">Sens!J4570*(1+Sens!K4571)</f>
        <v>33.0836023573092</v>
      </c>
    </row>
    <row r="4571" customFormat="false" ht="15" hidden="false" customHeight="false" outlineLevel="0" collapsed="false">
      <c r="A4571" s="1" t="s">
        <v>876</v>
      </c>
      <c r="B4571" s="0" t="s">
        <v>129</v>
      </c>
      <c r="E4571" s="7" t="n">
        <f aca="false">Sens!E4570/Sens!D4570-1</f>
        <v>0.104685888038225</v>
      </c>
      <c r="F4571" s="7" t="n">
        <f aca="false">Sens!$E$4571+(glt_ind-Sens!$E$4571)*MIN(1,(Sens!F4521-base_fy)/n_conv)</f>
        <v>0.0989049066985211</v>
      </c>
      <c r="G4571" s="7" t="n">
        <f aca="false">Sens!$E$4571+(glt_ind-Sens!$E$4571)*MIN(1,(Sens!G4521-base_fy)/n_conv)</f>
        <v>0.0931239253588169</v>
      </c>
      <c r="H4571" s="7" t="n">
        <f aca="false">Sens!$E$4571+(glt_ind-Sens!$E$4571)*MIN(1,(Sens!H4521-base_fy)/n_conv)</f>
        <v>0.0873429440191127</v>
      </c>
      <c r="I4571" s="7" t="n">
        <f aca="false">Sens!$E$4571+(glt_ind-Sens!$E$4571)*MIN(1,(Sens!I4521-base_fy)/n_conv)</f>
        <v>0.0815619626794085</v>
      </c>
      <c r="J4571" s="7" t="n">
        <f aca="false">Sens!$E$4571+(glt_ind-Sens!$E$4571)*MIN(1,(Sens!J4521-base_fy)/n_conv)</f>
        <v>0.0757809813397042</v>
      </c>
      <c r="K4571" s="7" t="n">
        <f aca="false">Sens!$E$4571+(glt_ind-Sens!$E$4571)*MIN(1,(Sens!K4521-base_fy)/n_conv)</f>
        <v>0.07</v>
      </c>
    </row>
    <row r="4572" customFormat="false" ht="15" hidden="false" customHeight="false" outlineLevel="0" collapsed="false">
      <c r="A4572" s="0" t="s">
        <v>886</v>
      </c>
      <c r="B4572" s="0" t="s">
        <v>98</v>
      </c>
      <c r="D4572" s="6" t="n">
        <f aca="false">Q!L10</f>
        <v>7.76</v>
      </c>
      <c r="E4572" s="6" t="n">
        <f aca="false">Q!M10</f>
        <v>8.26</v>
      </c>
      <c r="F4572" s="6" t="n">
        <f aca="false">Sens!E4572*(1+Sens!F4573)</f>
        <v>8.79988041237113</v>
      </c>
      <c r="G4572" s="6" t="n">
        <f aca="false">Sens!F4572*(1+Sens!G4573)</f>
        <v>9.38321269125306</v>
      </c>
      <c r="H4572" s="6" t="n">
        <f aca="false">Sens!G4572*(1+Sens!H4573)</f>
        <v>10.0139193587476</v>
      </c>
      <c r="I4572" s="6" t="n">
        <f aca="false">Sens!H4572*(1+Sens!I4573)</f>
        <v>10.6963111830911</v>
      </c>
      <c r="J4572" s="6" t="n">
        <f aca="false">Sens!I4572*(1+Sens!J4573)</f>
        <v>11.4351285534696</v>
      </c>
      <c r="K4572" s="6" t="n">
        <f aca="false">Sens!J4572*(1+Sens!K4573)</f>
        <v>12.2355875522124</v>
      </c>
    </row>
    <row r="4573" customFormat="false" ht="15" hidden="false" customHeight="false" outlineLevel="0" collapsed="false">
      <c r="A4573" s="1" t="s">
        <v>876</v>
      </c>
      <c r="B4573" s="0" t="s">
        <v>129</v>
      </c>
      <c r="E4573" s="7" t="n">
        <f aca="false">Sens!E4572/Sens!D4572-1</f>
        <v>0.0644329896907216</v>
      </c>
      <c r="F4573" s="7" t="n">
        <f aca="false">Sens!$E$4573+(glt_fro-Sens!$E$4573)*MIN(1,(Sens!F4521-base_fy)/n_conv)</f>
        <v>0.065360824742268</v>
      </c>
      <c r="G4573" s="7" t="n">
        <f aca="false">Sens!$E$4573+(glt_fro-Sens!$E$4573)*MIN(1,(Sens!G4521-base_fy)/n_conv)</f>
        <v>0.0662886597938144</v>
      </c>
      <c r="H4573" s="7" t="n">
        <f aca="false">Sens!$E$4573+(glt_fro-Sens!$E$4573)*MIN(1,(Sens!H4521-base_fy)/n_conv)</f>
        <v>0.0672164948453608</v>
      </c>
      <c r="I4573" s="7" t="n">
        <f aca="false">Sens!$E$4573+(glt_fro-Sens!$E$4573)*MIN(1,(Sens!I4521-base_fy)/n_conv)</f>
        <v>0.0681443298969072</v>
      </c>
      <c r="J4573" s="7" t="n">
        <f aca="false">Sens!$E$4573+(glt_fro-Sens!$E$4573)*MIN(1,(Sens!J4521-base_fy)/n_conv)</f>
        <v>0.0690721649484536</v>
      </c>
      <c r="K4573" s="7" t="n">
        <f aca="false">Sens!$E$4573+(glt_fro-Sens!$E$4573)*MIN(1,(Sens!K4521-base_fy)/n_conv)</f>
        <v>0.07</v>
      </c>
    </row>
    <row r="4574" customFormat="false" ht="15" hidden="false" customHeight="false" outlineLevel="0" collapsed="false">
      <c r="A4574" s="0" t="s">
        <v>715</v>
      </c>
      <c r="B4574" s="0" t="s">
        <v>98</v>
      </c>
      <c r="D4574" s="6" t="n">
        <f aca="false">Sens!D4562+Sens!D4567+Sens!D4568+Sens!D4570+Sens!D4572</f>
        <v>218.783</v>
      </c>
      <c r="E4574" s="6" t="n">
        <f aca="false">Sens!E4562+Sens!E4567+Sens!E4568+Sens!E4570+Sens!E4572</f>
        <v>268.127</v>
      </c>
      <c r="F4574" s="6" t="n">
        <f aca="false">Sens!F4562+Sens!F4567+Sens!F4568+Sens!F4570+Sens!F4572</f>
        <v>328.363433064856</v>
      </c>
      <c r="G4574" s="6" t="n">
        <f aca="false">Sens!G4562+Sens!G4567+Sens!G4568+Sens!G4570+Sens!G4572</f>
        <v>389.269865673274</v>
      </c>
      <c r="H4574" s="6" t="n">
        <f aca="false">Sens!H4562+Sens!H4567+Sens!H4568+Sens!H4570+Sens!H4572</f>
        <v>446.669589821684</v>
      </c>
      <c r="I4574" s="6" t="n">
        <f aca="false">Sens!I4562+Sens!I4567+Sens!I4568+Sens!I4570+Sens!I4572</f>
        <v>506.151713677665</v>
      </c>
      <c r="J4574" s="6" t="n">
        <f aca="false">Sens!J4562+Sens!J4567+Sens!J4568+Sens!J4570+Sens!J4572</f>
        <v>556.694079884279</v>
      </c>
      <c r="K4574" s="6" t="n">
        <f aca="false">Sens!K4562+Sens!K4567+Sens!K4568+Sens!K4570+Sens!K4572</f>
        <v>598.229826692985</v>
      </c>
    </row>
    <row r="4575" customFormat="false" ht="15" hidden="false" customHeight="false" outlineLevel="0" collapsed="false">
      <c r="A4575" s="0" t="s">
        <v>887</v>
      </c>
      <c r="B4575" s="0" t="s">
        <v>98</v>
      </c>
      <c r="D4575" s="6" t="n">
        <f aca="false">Q!L13</f>
        <v>22.171</v>
      </c>
      <c r="E4575" s="6" t="n">
        <f aca="false">Q!M13</f>
        <v>24.835</v>
      </c>
      <c r="F4575" s="6" t="n">
        <f aca="false">Sens!E4575*(1+Sens!F4576)</f>
        <v>27.6114901218559</v>
      </c>
      <c r="G4575" s="6" t="n">
        <f aca="false">Sens!F4575*(1+Sens!G4576)</f>
        <v>30.4675667338515</v>
      </c>
      <c r="H4575" s="6" t="n">
        <f aca="false">Sens!G4575*(1+Sens!H4576)</f>
        <v>33.3643766955789</v>
      </c>
      <c r="I4575" s="6" t="n">
        <f aca="false">Sens!H4575*(1+Sens!I4576)</f>
        <v>36.2577016533691</v>
      </c>
      <c r="J4575" s="6" t="n">
        <f aca="false">Sens!I4575*(1+Sens!J4576)</f>
        <v>39.0988367952171</v>
      </c>
      <c r="K4575" s="6" t="n">
        <f aca="false">Sens!J4575*(1+Sens!K4576)</f>
        <v>41.8357553708823</v>
      </c>
    </row>
    <row r="4576" customFormat="false" ht="15" hidden="false" customHeight="false" outlineLevel="0" collapsed="false">
      <c r="A4576" s="1" t="s">
        <v>876</v>
      </c>
      <c r="B4576" s="0" t="s">
        <v>129</v>
      </c>
      <c r="E4576" s="7" t="n">
        <f aca="false">Sens!E4575/Sens!D4575-1</f>
        <v>0.120156961796942</v>
      </c>
      <c r="F4576" s="7" t="n">
        <f aca="false">Sens!$E$4576+(glt_srch-Sens!$E$4576)*MIN(1,(Sens!F4521-base_fy)/n_conv)</f>
        <v>0.111797468164118</v>
      </c>
      <c r="G4576" s="7" t="n">
        <f aca="false">Sens!$E$4576+(glt_srch-Sens!$E$4576)*MIN(1,(Sens!G4521-base_fy)/n_conv)</f>
        <v>0.103437974531295</v>
      </c>
      <c r="H4576" s="7" t="n">
        <f aca="false">Sens!$E$4576+(glt_srch-Sens!$E$4576)*MIN(1,(Sens!H4521-base_fy)/n_conv)</f>
        <v>0.095078480898471</v>
      </c>
      <c r="I4576" s="7" t="n">
        <f aca="false">Sens!$E$4576+(glt_srch-Sens!$E$4576)*MIN(1,(Sens!I4521-base_fy)/n_conv)</f>
        <v>0.0867189872656474</v>
      </c>
      <c r="J4576" s="7" t="n">
        <f aca="false">Sens!$E$4576+(glt_srch-Sens!$E$4576)*MIN(1,(Sens!J4521-base_fy)/n_conv)</f>
        <v>0.0783594936328237</v>
      </c>
      <c r="K4576" s="7" t="n">
        <f aca="false">Sens!$E$4576+(glt_srch-Sens!$E$4576)*MIN(1,(Sens!K4521-base_fy)/n_conv)</f>
        <v>0.07</v>
      </c>
    </row>
    <row r="4577" customFormat="false" ht="15" hidden="false" customHeight="false" outlineLevel="0" collapsed="false">
      <c r="A4577" s="0" t="s">
        <v>888</v>
      </c>
      <c r="B4577" s="0" t="s">
        <v>98</v>
      </c>
      <c r="D4577" s="6" t="n">
        <f aca="false">Q!L14</f>
        <v>23.455</v>
      </c>
      <c r="E4577" s="6" t="n">
        <f aca="false">Q!M14</f>
        <v>21.79</v>
      </c>
      <c r="F4577" s="6" t="n">
        <f aca="false">Sens!E4577*(1+Sens!F4578)</f>
        <v>20.5736277908051</v>
      </c>
      <c r="G4577" s="6" t="n">
        <f aca="false">Sens!F4577*(1+Sens!G4578)</f>
        <v>19.7371452817919</v>
      </c>
      <c r="H4577" s="6" t="n">
        <f aca="false">Sens!G4577*(1+Sens!H4578)</f>
        <v>19.2339764043138</v>
      </c>
      <c r="I4577" s="6" t="n">
        <f aca="false">Sens!H4577*(1+Sens!I4578)</f>
        <v>19.0353086852681</v>
      </c>
      <c r="J4577" s="6" t="n">
        <f aca="false">Sens!I4577*(1+Sens!J4578)</f>
        <v>19.1273539319129</v>
      </c>
      <c r="K4577" s="6" t="n">
        <f aca="false">Sens!J4577*(1+Sens!K4578)</f>
        <v>19.5099010105511</v>
      </c>
    </row>
    <row r="4578" customFormat="false" ht="15" hidden="false" customHeight="false" outlineLevel="0" collapsed="false">
      <c r="A4578" s="1" t="s">
        <v>876</v>
      </c>
      <c r="B4578" s="0" t="s">
        <v>129</v>
      </c>
      <c r="E4578" s="7" t="n">
        <f aca="false">Sens!E4577/Sens!D4577-1</f>
        <v>-0.0709869963760392</v>
      </c>
      <c r="F4578" s="7" t="n">
        <f aca="false">Sens!$E$4578+(glt_xbox-Sens!$E$4578)*MIN(1,(Sens!F4521-base_fy)/n_conv)</f>
        <v>-0.0558224969800327</v>
      </c>
      <c r="G4578" s="7" t="n">
        <f aca="false">Sens!$E$4578+(glt_xbox-Sens!$E$4578)*MIN(1,(Sens!G4521-base_fy)/n_conv)</f>
        <v>-0.0406579975840262</v>
      </c>
      <c r="H4578" s="7" t="n">
        <f aca="false">Sens!$E$4578+(glt_xbox-Sens!$E$4578)*MIN(1,(Sens!H4521-base_fy)/n_conv)</f>
        <v>-0.0254934981880196</v>
      </c>
      <c r="I4578" s="7" t="n">
        <f aca="false">Sens!$E$4578+(glt_xbox-Sens!$E$4578)*MIN(1,(Sens!I4521-base_fy)/n_conv)</f>
        <v>-0.0103289987920131</v>
      </c>
      <c r="J4578" s="7" t="n">
        <f aca="false">Sens!$E$4578+(glt_xbox-Sens!$E$4578)*MIN(1,(Sens!J4521-base_fy)/n_conv)</f>
        <v>0.00483550060399347</v>
      </c>
      <c r="K4578" s="7" t="n">
        <f aca="false">Sens!$E$4578+(glt_xbox-Sens!$E$4578)*MIN(1,(Sens!K4521-base_fy)/n_conv)</f>
        <v>0.02</v>
      </c>
    </row>
    <row r="4579" customFormat="false" ht="15" hidden="false" customHeight="false" outlineLevel="0" collapsed="false">
      <c r="A4579" s="0" t="s">
        <v>889</v>
      </c>
      <c r="B4579" s="0" t="s">
        <v>98</v>
      </c>
      <c r="D4579" s="6" t="n">
        <f aca="false">Q!L15</f>
        <v>17.315</v>
      </c>
      <c r="E4579" s="6" t="n">
        <f aca="false">Q!M15</f>
        <v>17.087</v>
      </c>
      <c r="F4579" s="6" t="n">
        <f aca="false">Sens!E4579*(1+Sens!F4580)</f>
        <v>16.9564585436519</v>
      </c>
      <c r="G4579" s="6" t="n">
        <f aca="false">Sens!F4579*(1+Sens!G4580)</f>
        <v>16.9206490624268</v>
      </c>
      <c r="H4579" s="6" t="n">
        <f aca="false">Sens!G4579*(1+Sens!H4580)</f>
        <v>16.9784519149849</v>
      </c>
      <c r="I4579" s="6" t="n">
        <f aca="false">Sens!H4579*(1+Sens!I4580)</f>
        <v>17.1303084701817</v>
      </c>
      <c r="J4579" s="6" t="n">
        <f aca="false">Sens!I4579*(1+Sens!J4580)</f>
        <v>17.3782189407267</v>
      </c>
      <c r="K4579" s="6" t="n">
        <f aca="false">Sens!J4579*(1+Sens!K4580)</f>
        <v>17.7257833195413</v>
      </c>
    </row>
    <row r="4580" customFormat="false" ht="15" hidden="false" customHeight="false" outlineLevel="0" collapsed="false">
      <c r="A4580" s="1" t="s">
        <v>876</v>
      </c>
      <c r="B4580" s="0" t="s">
        <v>129</v>
      </c>
      <c r="E4580" s="7" t="n">
        <f aca="false">Sens!E4579/Sens!D4579-1</f>
        <v>-0.0131677736066995</v>
      </c>
      <c r="F4580" s="7" t="n">
        <f aca="false">Sens!$E$4580+(glt_win-Sens!$E$4580)*MIN(1,(Sens!F4521-base_fy)/n_conv)</f>
        <v>-0.00763981133891627</v>
      </c>
      <c r="G4580" s="7" t="n">
        <f aca="false">Sens!$E$4580+(glt_win-Sens!$E$4580)*MIN(1,(Sens!G4521-base_fy)/n_conv)</f>
        <v>-0.00211184907113301</v>
      </c>
      <c r="H4580" s="7" t="n">
        <f aca="false">Sens!$E$4580+(glt_win-Sens!$E$4580)*MIN(1,(Sens!H4521-base_fy)/n_conv)</f>
        <v>0.00341611319665024</v>
      </c>
      <c r="I4580" s="7" t="n">
        <f aca="false">Sens!$E$4580+(glt_win-Sens!$E$4580)*MIN(1,(Sens!I4521-base_fy)/n_conv)</f>
        <v>0.00894407546443349</v>
      </c>
      <c r="J4580" s="7" t="n">
        <f aca="false">Sens!$E$4580+(glt_win-Sens!$E$4580)*MIN(1,(Sens!J4521-base_fy)/n_conv)</f>
        <v>0.0144720377322168</v>
      </c>
      <c r="K4580" s="7" t="n">
        <f aca="false">Sens!$E$4580+(glt_win-Sens!$E$4580)*MIN(1,(Sens!K4521-base_fy)/n_conv)</f>
        <v>0.02</v>
      </c>
    </row>
    <row r="4581" customFormat="false" ht="15" hidden="false" customHeight="false" outlineLevel="0" collapsed="false">
      <c r="A4581" s="0" t="s">
        <v>729</v>
      </c>
      <c r="B4581" s="0" t="s">
        <v>98</v>
      </c>
      <c r="D4581" s="6" t="n">
        <f aca="false">Sens!D4575+Sens!D4577+Sens!D4579</f>
        <v>62.941</v>
      </c>
      <c r="E4581" s="6" t="n">
        <f aca="false">Sens!E4575+Sens!E4577+Sens!E4579</f>
        <v>63.712</v>
      </c>
      <c r="F4581" s="6" t="n">
        <f aca="false">Sens!F4575+Sens!F4577+Sens!F4579</f>
        <v>65.1415764563129</v>
      </c>
      <c r="G4581" s="6" t="n">
        <f aca="false">Sens!G4575+Sens!G4577+Sens!G4579</f>
        <v>67.1253610780702</v>
      </c>
      <c r="H4581" s="6" t="n">
        <f aca="false">Sens!H4575+Sens!H4577+Sens!H4579</f>
        <v>69.5768050148776</v>
      </c>
      <c r="I4581" s="6" t="n">
        <f aca="false">Sens!I4575+Sens!I4577+Sens!I4579</f>
        <v>72.4233188088189</v>
      </c>
      <c r="J4581" s="6" t="n">
        <f aca="false">Sens!J4575+Sens!J4577+Sens!J4579</f>
        <v>75.6044096678567</v>
      </c>
      <c r="K4581" s="6" t="n">
        <f aca="false">Sens!K4575+Sens!K4577+Sens!K4579</f>
        <v>79.0714397009747</v>
      </c>
    </row>
    <row r="4582" customFormat="false" ht="15" hidden="false" customHeight="false" outlineLevel="0" collapsed="false">
      <c r="A4582" s="1" t="s">
        <v>890</v>
      </c>
      <c r="B4582" s="0" t="s">
        <v>98</v>
      </c>
      <c r="D4582" s="6" t="n">
        <f aca="false">Sens!D4574+Sens!D4581</f>
        <v>281.724</v>
      </c>
      <c r="E4582" s="6" t="n">
        <f aca="false">Sens!E4574+Sens!E4581</f>
        <v>331.839</v>
      </c>
      <c r="F4582" s="6" t="n">
        <f aca="false">Sens!F4574+Sens!F4581</f>
        <v>393.505009521169</v>
      </c>
      <c r="G4582" s="6" t="n">
        <f aca="false">Sens!G4574+Sens!G4581</f>
        <v>456.395226751344</v>
      </c>
      <c r="H4582" s="6" t="n">
        <f aca="false">Sens!H4574+Sens!H4581</f>
        <v>516.246394836561</v>
      </c>
      <c r="I4582" s="6" t="n">
        <f aca="false">Sens!I4574+Sens!I4581</f>
        <v>578.575032486484</v>
      </c>
      <c r="J4582" s="6" t="n">
        <f aca="false">Sens!J4574+Sens!J4581</f>
        <v>632.298489552136</v>
      </c>
      <c r="K4582" s="6" t="n">
        <f aca="false">Sens!K4574+Sens!K4581</f>
        <v>677.30126639396</v>
      </c>
    </row>
    <row r="4583" customFormat="false" ht="15" hidden="false" customHeight="false" outlineLevel="0" collapsed="false">
      <c r="A4583" s="23" t="s">
        <v>891</v>
      </c>
      <c r="B4583" s="30" t="s">
        <v>98</v>
      </c>
      <c r="C4583" s="30"/>
      <c r="D4583" s="24" t="n">
        <f aca="false">(Sens!D4562+Sens!D4567+Sens!D4568+Sens!D4570+Sens!D4572-Sens!D4574)+(Sens!D4575+Sens!D4577+Sens!D4579-Sens!D4581)+(Sens!D4574-Q!L5)+(Sens!D4581-Q!L12)+(Sens!D4562-Q!L6)+(Sens!D4567-Q!L7)</f>
        <v>0</v>
      </c>
      <c r="E4583" s="24" t="n">
        <f aca="false">(Sens!E4562+Sens!E4567+Sens!E4568+Sens!E4570+Sens!E4572-Sens!E4574)+(Sens!E4575+Sens!E4577+Sens!E4579-Sens!E4581)+(Sens!E4574-Q!M5)+(Sens!E4581-Q!M12)+(Sens!E4562-Q!M6)+(Sens!E4567-Q!M7)</f>
        <v>0</v>
      </c>
      <c r="F4583" s="24" t="n">
        <f aca="false">(Sens!F4562+Sens!F4567+Sens!F4568+Sens!F4570+Sens!F4572-Sens!F4574)+(Sens!F4575+Sens!F4577+Sens!F4579-Sens!F4581)</f>
        <v>0</v>
      </c>
      <c r="G4583" s="24" t="n">
        <f aca="false">(Sens!G4562+Sens!G4567+Sens!G4568+Sens!G4570+Sens!G4572-Sens!G4574)+(Sens!G4575+Sens!G4577+Sens!G4579-Sens!G4581)</f>
        <v>0</v>
      </c>
      <c r="H4583" s="24" t="n">
        <f aca="false">(Sens!H4562+Sens!H4567+Sens!H4568+Sens!H4570+Sens!H4572-Sens!H4574)+(Sens!H4575+Sens!H4577+Sens!H4579-Sens!H4581)</f>
        <v>0</v>
      </c>
      <c r="I4583" s="24" t="n">
        <f aca="false">(Sens!I4562+Sens!I4567+Sens!I4568+Sens!I4570+Sens!I4572-Sens!I4574)+(Sens!I4575+Sens!I4577+Sens!I4579-Sens!I4581)</f>
        <v>0</v>
      </c>
      <c r="J4583" s="24" t="n">
        <f aca="false">(Sens!J4562+Sens!J4567+Sens!J4568+Sens!J4570+Sens!J4572-Sens!J4574)+(Sens!J4575+Sens!J4577+Sens!J4579-Sens!J4581)</f>
        <v>0</v>
      </c>
      <c r="K4583" s="24" t="n">
        <f aca="false">(Sens!K4562+Sens!K4567+Sens!K4568+Sens!K4570+Sens!K4572-Sens!K4574)+(Sens!K4575+Sens!K4577+Sens!K4579-Sens!K4581)</f>
        <v>0</v>
      </c>
    </row>
    <row r="4584" customFormat="false" ht="17.15" hidden="false" customHeight="false" outlineLevel="0" collapsed="false">
      <c r="A4584" s="3" t="s">
        <v>1379</v>
      </c>
    </row>
    <row r="4585" customFormat="false" ht="15" hidden="false" customHeight="false" outlineLevel="0" collapsed="false">
      <c r="A4585" s="4" t="s">
        <v>43</v>
      </c>
      <c r="B4585" s="4" t="s">
        <v>65</v>
      </c>
      <c r="C4585" s="20" t="s">
        <v>799</v>
      </c>
      <c r="D4585" s="20" t="s">
        <v>800</v>
      </c>
      <c r="E4585" s="20" t="s">
        <v>801</v>
      </c>
      <c r="F4585" s="20" t="s">
        <v>802</v>
      </c>
      <c r="G4585" s="20" t="s">
        <v>803</v>
      </c>
      <c r="H4585" s="20" t="s">
        <v>804</v>
      </c>
      <c r="I4585" s="20" t="s">
        <v>805</v>
      </c>
      <c r="J4585" s="20" t="s">
        <v>806</v>
      </c>
      <c r="K4585" s="20" t="s">
        <v>807</v>
      </c>
      <c r="L4585" s="4" t="s">
        <v>47</v>
      </c>
    </row>
    <row r="4586" customFormat="false" ht="15" hidden="false" customHeight="false" outlineLevel="0" collapsed="false">
      <c r="A4586" s="0" t="s">
        <v>877</v>
      </c>
      <c r="B4586" s="0" t="s">
        <v>98</v>
      </c>
      <c r="D4586" s="6" t="n">
        <f aca="false">Sens!D4562</f>
        <v>72.61</v>
      </c>
      <c r="E4586" s="6" t="n">
        <f aca="false">Sens!E4562</f>
        <v>101.938</v>
      </c>
      <c r="F4586" s="6" t="n">
        <f aca="false">Sens!F4562</f>
        <v>140.741861125673</v>
      </c>
      <c r="G4586" s="6" t="n">
        <f aca="false">Sens!G4562</f>
        <v>182.176709135845</v>
      </c>
      <c r="H4586" s="6" t="n">
        <f aca="false">Sens!H4562</f>
        <v>220.080907140169</v>
      </c>
      <c r="I4586" s="6" t="n">
        <f aca="false">Sens!I4562</f>
        <v>261.090358698179</v>
      </c>
      <c r="J4586" s="6" t="n">
        <f aca="false">Sens!J4562</f>
        <v>294.50318278011</v>
      </c>
      <c r="K4586" s="6" t="n">
        <f aca="false">Sens!K4562</f>
        <v>319.835757352809</v>
      </c>
    </row>
    <row r="4587" customFormat="false" ht="17.15" hidden="false" customHeight="false" outlineLevel="0" collapsed="false">
      <c r="A4587" s="0" t="s">
        <v>874</v>
      </c>
      <c r="B4587" s="0" t="s">
        <v>98</v>
      </c>
      <c r="D4587" s="6" t="n">
        <f aca="false">Sens!D4559</f>
        <v>12.9359794422418</v>
      </c>
      <c r="E4587" s="6" t="n">
        <f aca="false">Sens!E4559</f>
        <v>27.8095064661409</v>
      </c>
      <c r="F4587" s="6" t="n">
        <f aca="false">Sens!F4559</f>
        <v>50.6619113883066</v>
      </c>
      <c r="G4587" s="6" t="n">
        <f aca="false">Sens!G4559</f>
        <v>75.1482839325348</v>
      </c>
      <c r="H4587" s="6" t="n">
        <f aca="false">Sens!H4559</f>
        <v>95.8089245545327</v>
      </c>
      <c r="I4587" s="6" t="n">
        <f aca="false">Sens!I4559</f>
        <v>120.156656316324</v>
      </c>
      <c r="J4587" s="6" t="n">
        <f aca="false">Sens!J4559</f>
        <v>138.484315465779</v>
      </c>
      <c r="K4587" s="6" t="n">
        <f aca="false">Sens!K4559</f>
        <v>151.335380653331</v>
      </c>
    </row>
    <row r="4588" customFormat="false" ht="17.15" hidden="false" customHeight="false" outlineLevel="0" collapsed="false">
      <c r="A4588" s="0" t="s">
        <v>902</v>
      </c>
      <c r="B4588" s="0" t="s">
        <v>98</v>
      </c>
      <c r="D4588" s="6" t="n">
        <f aca="false">Sens!D4560</f>
        <v>59.6740205577583</v>
      </c>
      <c r="E4588" s="6" t="n">
        <f aca="false">Sens!E4560</f>
        <v>74.1284935338591</v>
      </c>
      <c r="F4588" s="6" t="n">
        <f aca="false">Sens!F4560</f>
        <v>90.0799497373663</v>
      </c>
      <c r="G4588" s="6" t="n">
        <f aca="false">Sens!G4560</f>
        <v>107.02842520331</v>
      </c>
      <c r="H4588" s="6" t="n">
        <f aca="false">Sens!H4560</f>
        <v>124.271982585636</v>
      </c>
      <c r="I4588" s="6" t="n">
        <f aca="false">Sens!I4560</f>
        <v>140.933702381855</v>
      </c>
      <c r="J4588" s="6" t="n">
        <f aca="false">Sens!J4560</f>
        <v>156.018867314332</v>
      </c>
      <c r="K4588" s="6" t="n">
        <f aca="false">Sens!K4560</f>
        <v>168.500376699478</v>
      </c>
    </row>
    <row r="4589" customFormat="false" ht="15" hidden="false" customHeight="false" outlineLevel="0" collapsed="false">
      <c r="A4589" s="0" t="s">
        <v>883</v>
      </c>
      <c r="B4589" s="0" t="s">
        <v>98</v>
      </c>
      <c r="D4589" s="6" t="n">
        <f aca="false">Sens!D4567</f>
        <v>84.605</v>
      </c>
      <c r="E4589" s="6" t="n">
        <f aca="false">Sens!E4567</f>
        <v>100.299</v>
      </c>
      <c r="F4589" s="6" t="n">
        <f aca="false">Sens!F4567</f>
        <v>117.39238776686</v>
      </c>
      <c r="G4589" s="6" t="n">
        <f aca="false">Sens!G4567</f>
        <v>132.544168448684</v>
      </c>
      <c r="H4589" s="6" t="n">
        <f aca="false">Sens!H4567</f>
        <v>147.777359388781</v>
      </c>
      <c r="I4589" s="6" t="n">
        <f aca="false">Sens!I4567</f>
        <v>162.084028071957</v>
      </c>
      <c r="J4589" s="6" t="n">
        <f aca="false">Sens!J4567</f>
        <v>175.182702785465</v>
      </c>
      <c r="K4589" s="6" t="n">
        <f aca="false">Sens!K4567</f>
        <v>187.527991980448</v>
      </c>
    </row>
    <row r="4590" customFormat="false" ht="17.15" hidden="false" customHeight="false" outlineLevel="0" collapsed="false">
      <c r="A4590" s="0" t="s">
        <v>903</v>
      </c>
      <c r="B4590" s="0" t="s">
        <v>98</v>
      </c>
      <c r="D4590" s="6" t="n">
        <f aca="false">Sens!D4565</f>
        <v>83.705</v>
      </c>
      <c r="E4590" s="6" t="n">
        <f aca="false">Sens!E4565</f>
        <v>95.049</v>
      </c>
      <c r="F4590" s="6" t="n">
        <f aca="false">Sens!F4565</f>
        <v>106.89238776686</v>
      </c>
      <c r="G4590" s="6" t="n">
        <f aca="false">Sens!G4565</f>
        <v>119.044168448684</v>
      </c>
      <c r="H4590" s="6" t="n">
        <f aca="false">Sens!H4565</f>
        <v>131.277359388781</v>
      </c>
      <c r="I4590" s="6" t="n">
        <f aca="false">Sens!I4565</f>
        <v>143.334028071957</v>
      </c>
      <c r="J4590" s="6" t="n">
        <f aca="false">Sens!J4565</f>
        <v>154.932702785465</v>
      </c>
      <c r="K4590" s="6" t="n">
        <f aca="false">Sens!K4565</f>
        <v>165.777991980448</v>
      </c>
    </row>
    <row r="4591" customFormat="false" ht="17.15" hidden="false" customHeight="false" outlineLevel="0" collapsed="false">
      <c r="A4591" s="0" t="s">
        <v>904</v>
      </c>
      <c r="B4591" s="0" t="s">
        <v>98</v>
      </c>
      <c r="D4591" s="6" t="n">
        <f aca="false">Sens!D4564</f>
        <v>0.9</v>
      </c>
      <c r="E4591" s="6" t="n">
        <f aca="false">Sens!E4564</f>
        <v>5.25</v>
      </c>
      <c r="F4591" s="6" t="n">
        <f aca="false">Sens!F4564</f>
        <v>10.5</v>
      </c>
      <c r="G4591" s="6" t="n">
        <f aca="false">Sens!G4564</f>
        <v>13.5</v>
      </c>
      <c r="H4591" s="6" t="n">
        <f aca="false">Sens!H4564</f>
        <v>16.5</v>
      </c>
      <c r="I4591" s="6" t="n">
        <f aca="false">Sens!I4564</f>
        <v>18.75</v>
      </c>
      <c r="J4591" s="6" t="n">
        <f aca="false">Sens!J4564</f>
        <v>20.25</v>
      </c>
      <c r="K4591" s="6" t="n">
        <f aca="false">Sens!K4564</f>
        <v>21.75</v>
      </c>
    </row>
    <row r="4592" customFormat="false" ht="15" hidden="false" customHeight="false" outlineLevel="0" collapsed="false">
      <c r="A4592" s="0" t="s">
        <v>884</v>
      </c>
      <c r="B4592" s="0" t="s">
        <v>98</v>
      </c>
      <c r="D4592" s="6" t="n">
        <f aca="false">Sens!D4568</f>
        <v>35.391</v>
      </c>
      <c r="E4592" s="6" t="n">
        <f aca="false">Sens!E4568</f>
        <v>37.285</v>
      </c>
      <c r="F4592" s="6" t="n">
        <f aca="false">Sens!F4568</f>
        <v>39.0720834331704</v>
      </c>
      <c r="G4592" s="6" t="n">
        <f aca="false">Sens!G4568</f>
        <v>40.726562953769</v>
      </c>
      <c r="H4592" s="6" t="n">
        <f aca="false">Sens!H4568</f>
        <v>42.2235987259198</v>
      </c>
      <c r="I4592" s="6" t="n">
        <f aca="false">Sens!I4568</f>
        <v>43.5397988077414</v>
      </c>
      <c r="J4592" s="6" t="n">
        <f aca="false">Sens!J4568</f>
        <v>44.653811225693</v>
      </c>
      <c r="K4592" s="6" t="n">
        <f aca="false">Sens!K4568</f>
        <v>45.5468874502068</v>
      </c>
    </row>
    <row r="4593" customFormat="false" ht="15" hidden="false" customHeight="false" outlineLevel="0" collapsed="false">
      <c r="A4593" s="0" t="s">
        <v>885</v>
      </c>
      <c r="B4593" s="0" t="s">
        <v>98</v>
      </c>
      <c r="D4593" s="6" t="n">
        <f aca="false">Sens!D4570</f>
        <v>18.417</v>
      </c>
      <c r="E4593" s="6" t="n">
        <f aca="false">Sens!E4570</f>
        <v>20.345</v>
      </c>
      <c r="F4593" s="6" t="n">
        <f aca="false">Sens!F4570</f>
        <v>22.3572203267814</v>
      </c>
      <c r="G4593" s="6" t="n">
        <f aca="false">Sens!G4570</f>
        <v>24.4392124437232</v>
      </c>
      <c r="H4593" s="6" t="n">
        <f aca="false">Sens!H4570</f>
        <v>26.5738052080665</v>
      </c>
      <c r="I4593" s="6" t="n">
        <f aca="false">Sens!I4570</f>
        <v>28.7412169166967</v>
      </c>
      <c r="J4593" s="6" t="n">
        <f aca="false">Sens!J4570</f>
        <v>30.9192545395413</v>
      </c>
      <c r="K4593" s="6" t="n">
        <f aca="false">Sens!K4570</f>
        <v>33.0836023573092</v>
      </c>
    </row>
    <row r="4594" customFormat="false" ht="15" hidden="false" customHeight="false" outlineLevel="0" collapsed="false">
      <c r="A4594" s="0" t="s">
        <v>886</v>
      </c>
      <c r="B4594" s="0" t="s">
        <v>98</v>
      </c>
      <c r="D4594" s="6" t="n">
        <f aca="false">Sens!D4572</f>
        <v>7.76</v>
      </c>
      <c r="E4594" s="6" t="n">
        <f aca="false">Sens!E4572</f>
        <v>8.26</v>
      </c>
      <c r="F4594" s="6" t="n">
        <f aca="false">Sens!F4572</f>
        <v>8.79988041237113</v>
      </c>
      <c r="G4594" s="6" t="n">
        <f aca="false">Sens!G4572</f>
        <v>9.38321269125306</v>
      </c>
      <c r="H4594" s="6" t="n">
        <f aca="false">Sens!H4572</f>
        <v>10.0139193587476</v>
      </c>
      <c r="I4594" s="6" t="n">
        <f aca="false">Sens!I4572</f>
        <v>10.6963111830911</v>
      </c>
      <c r="J4594" s="6" t="n">
        <f aca="false">Sens!J4572</f>
        <v>11.4351285534696</v>
      </c>
      <c r="K4594" s="6" t="n">
        <f aca="false">Sens!K4572</f>
        <v>12.2355875522124</v>
      </c>
    </row>
    <row r="4595" customFormat="false" ht="15" hidden="false" customHeight="false" outlineLevel="0" collapsed="false">
      <c r="A4595" s="0" t="s">
        <v>715</v>
      </c>
      <c r="B4595" s="0" t="s">
        <v>98</v>
      </c>
      <c r="D4595" s="6" t="n">
        <f aca="false">Sens!D4574</f>
        <v>218.783</v>
      </c>
      <c r="E4595" s="6" t="n">
        <f aca="false">Sens!E4574</f>
        <v>268.127</v>
      </c>
      <c r="F4595" s="6" t="n">
        <f aca="false">Sens!F4574</f>
        <v>328.363433064856</v>
      </c>
      <c r="G4595" s="6" t="n">
        <f aca="false">Sens!G4574</f>
        <v>389.269865673274</v>
      </c>
      <c r="H4595" s="6" t="n">
        <f aca="false">Sens!H4574</f>
        <v>446.669589821684</v>
      </c>
      <c r="I4595" s="6" t="n">
        <f aca="false">Sens!I4574</f>
        <v>506.151713677665</v>
      </c>
      <c r="J4595" s="6" t="n">
        <f aca="false">Sens!J4574</f>
        <v>556.694079884279</v>
      </c>
      <c r="K4595" s="6" t="n">
        <f aca="false">Sens!K4574</f>
        <v>598.229826692985</v>
      </c>
    </row>
    <row r="4596" customFormat="false" ht="15" hidden="false" customHeight="false" outlineLevel="0" collapsed="false">
      <c r="A4596" s="0" t="s">
        <v>887</v>
      </c>
      <c r="B4596" s="0" t="s">
        <v>98</v>
      </c>
      <c r="D4596" s="6" t="n">
        <f aca="false">Sens!D4575</f>
        <v>22.171</v>
      </c>
      <c r="E4596" s="6" t="n">
        <f aca="false">Sens!E4575</f>
        <v>24.835</v>
      </c>
      <c r="F4596" s="6" t="n">
        <f aca="false">Sens!F4575</f>
        <v>27.6114901218559</v>
      </c>
      <c r="G4596" s="6" t="n">
        <f aca="false">Sens!G4575</f>
        <v>30.4675667338515</v>
      </c>
      <c r="H4596" s="6" t="n">
        <f aca="false">Sens!H4575</f>
        <v>33.3643766955789</v>
      </c>
      <c r="I4596" s="6" t="n">
        <f aca="false">Sens!I4575</f>
        <v>36.2577016533691</v>
      </c>
      <c r="J4596" s="6" t="n">
        <f aca="false">Sens!J4575</f>
        <v>39.0988367952171</v>
      </c>
      <c r="K4596" s="6" t="n">
        <f aca="false">Sens!K4575</f>
        <v>41.8357553708823</v>
      </c>
    </row>
    <row r="4597" customFormat="false" ht="15" hidden="false" customHeight="false" outlineLevel="0" collapsed="false">
      <c r="A4597" s="0" t="s">
        <v>888</v>
      </c>
      <c r="B4597" s="0" t="s">
        <v>98</v>
      </c>
      <c r="D4597" s="6" t="n">
        <f aca="false">Sens!D4577</f>
        <v>23.455</v>
      </c>
      <c r="E4597" s="6" t="n">
        <f aca="false">Sens!E4577</f>
        <v>21.79</v>
      </c>
      <c r="F4597" s="6" t="n">
        <f aca="false">Sens!F4577</f>
        <v>20.5736277908051</v>
      </c>
      <c r="G4597" s="6" t="n">
        <f aca="false">Sens!G4577</f>
        <v>19.7371452817919</v>
      </c>
      <c r="H4597" s="6" t="n">
        <f aca="false">Sens!H4577</f>
        <v>19.2339764043138</v>
      </c>
      <c r="I4597" s="6" t="n">
        <f aca="false">Sens!I4577</f>
        <v>19.0353086852681</v>
      </c>
      <c r="J4597" s="6" t="n">
        <f aca="false">Sens!J4577</f>
        <v>19.1273539319129</v>
      </c>
      <c r="K4597" s="6" t="n">
        <f aca="false">Sens!K4577</f>
        <v>19.5099010105511</v>
      </c>
    </row>
    <row r="4598" customFormat="false" ht="15" hidden="false" customHeight="false" outlineLevel="0" collapsed="false">
      <c r="A4598" s="0" t="s">
        <v>889</v>
      </c>
      <c r="B4598" s="0" t="s">
        <v>98</v>
      </c>
      <c r="D4598" s="6" t="n">
        <f aca="false">Sens!D4579</f>
        <v>17.315</v>
      </c>
      <c r="E4598" s="6" t="n">
        <f aca="false">Sens!E4579</f>
        <v>17.087</v>
      </c>
      <c r="F4598" s="6" t="n">
        <f aca="false">Sens!F4579</f>
        <v>16.9564585436519</v>
      </c>
      <c r="G4598" s="6" t="n">
        <f aca="false">Sens!G4579</f>
        <v>16.9206490624268</v>
      </c>
      <c r="H4598" s="6" t="n">
        <f aca="false">Sens!H4579</f>
        <v>16.9784519149849</v>
      </c>
      <c r="I4598" s="6" t="n">
        <f aca="false">Sens!I4579</f>
        <v>17.1303084701817</v>
      </c>
      <c r="J4598" s="6" t="n">
        <f aca="false">Sens!J4579</f>
        <v>17.3782189407267</v>
      </c>
      <c r="K4598" s="6" t="n">
        <f aca="false">Sens!K4579</f>
        <v>17.7257833195413</v>
      </c>
    </row>
    <row r="4599" customFormat="false" ht="15" hidden="false" customHeight="false" outlineLevel="0" collapsed="false">
      <c r="A4599" s="0" t="s">
        <v>729</v>
      </c>
      <c r="B4599" s="0" t="s">
        <v>98</v>
      </c>
      <c r="D4599" s="6" t="n">
        <f aca="false">Sens!D4581</f>
        <v>62.941</v>
      </c>
      <c r="E4599" s="6" t="n">
        <f aca="false">Sens!E4581</f>
        <v>63.712</v>
      </c>
      <c r="F4599" s="6" t="n">
        <f aca="false">Sens!F4581</f>
        <v>65.1415764563129</v>
      </c>
      <c r="G4599" s="6" t="n">
        <f aca="false">Sens!G4581</f>
        <v>67.1253610780702</v>
      </c>
      <c r="H4599" s="6" t="n">
        <f aca="false">Sens!H4581</f>
        <v>69.5768050148776</v>
      </c>
      <c r="I4599" s="6" t="n">
        <f aca="false">Sens!I4581</f>
        <v>72.4233188088189</v>
      </c>
      <c r="J4599" s="6" t="n">
        <f aca="false">Sens!J4581</f>
        <v>75.6044096678567</v>
      </c>
      <c r="K4599" s="6" t="n">
        <f aca="false">Sens!K4581</f>
        <v>79.0714397009747</v>
      </c>
    </row>
    <row r="4600" customFormat="false" ht="15" hidden="false" customHeight="false" outlineLevel="0" collapsed="false">
      <c r="A4600" s="1" t="s">
        <v>905</v>
      </c>
      <c r="B4600" s="0" t="s">
        <v>98</v>
      </c>
      <c r="D4600" s="6" t="n">
        <f aca="false">Sens!D4582</f>
        <v>281.724</v>
      </c>
      <c r="E4600" s="6" t="n">
        <f aca="false">Sens!E4582</f>
        <v>331.839</v>
      </c>
      <c r="F4600" s="6" t="n">
        <f aca="false">Sens!F4582</f>
        <v>393.505009521169</v>
      </c>
      <c r="G4600" s="6" t="n">
        <f aca="false">Sens!G4582</f>
        <v>456.395226751344</v>
      </c>
      <c r="H4600" s="6" t="n">
        <f aca="false">Sens!H4582</f>
        <v>516.246394836561</v>
      </c>
      <c r="I4600" s="6" t="n">
        <f aca="false">Sens!I4582</f>
        <v>578.575032486484</v>
      </c>
      <c r="J4600" s="6" t="n">
        <f aca="false">Sens!J4582</f>
        <v>632.298489552136</v>
      </c>
      <c r="K4600" s="6" t="n">
        <f aca="false">Sens!K4582</f>
        <v>677.30126639396</v>
      </c>
    </row>
    <row r="4601" customFormat="false" ht="15" hidden="false" customHeight="false" outlineLevel="0" collapsed="false">
      <c r="A4601" s="1" t="s">
        <v>906</v>
      </c>
      <c r="B4601" s="0" t="s">
        <v>129</v>
      </c>
      <c r="E4601" s="7" t="n">
        <f aca="false">Sens!E4600/Sens!D4600-1</f>
        <v>0.177886867998467</v>
      </c>
      <c r="F4601" s="7" t="n">
        <f aca="false">Sens!F4600/Sens!E4600-1</f>
        <v>0.185831109427067</v>
      </c>
      <c r="G4601" s="7" t="n">
        <f aca="false">Sens!G4600/Sens!F4600-1</f>
        <v>0.159820626697237</v>
      </c>
      <c r="H4601" s="7" t="n">
        <f aca="false">Sens!H4600/Sens!G4600-1</f>
        <v>0.131138900183603</v>
      </c>
      <c r="I4601" s="7" t="n">
        <f aca="false">Sens!I4600/Sens!H4600-1</f>
        <v>0.120734281678917</v>
      </c>
      <c r="J4601" s="7" t="n">
        <f aca="false">Sens!J4600/Sens!I4600-1</f>
        <v>0.0928547794998511</v>
      </c>
      <c r="K4601" s="7" t="n">
        <f aca="false">Sens!K4600/Sens!J4600-1</f>
        <v>0.071173310683851</v>
      </c>
    </row>
    <row r="4602" customFormat="false" ht="17.15" hidden="false" customHeight="false" outlineLevel="0" collapsed="false">
      <c r="A4602" s="23" t="s">
        <v>907</v>
      </c>
      <c r="B4602" s="30" t="s">
        <v>98</v>
      </c>
      <c r="C4602" s="30"/>
      <c r="D4602" s="24" t="n">
        <f aca="false">(Sens!D4595+Sens!D4599-Sens!D4600)+(Sens!D4587+Sens!D4588-Sens!D4586)+(Sens!D4590+Sens!D4591-Sens!D4589)+(Sens!D4600-Q!L18)</f>
        <v>0</v>
      </c>
      <c r="E4602" s="24" t="n">
        <f aca="false">(Sens!E4595+Sens!E4599-Sens!E4600)+(Sens!E4587+Sens!E4588-Sens!E4586)+(Sens!E4590+Sens!E4591-Sens!E4589)+(Sens!E4600-Q!M18)</f>
        <v>0</v>
      </c>
      <c r="F4602" s="24" t="n">
        <f aca="false">(Sens!F4595+Sens!F4599-Sens!F4600)+(Sens!F4587+Sens!F4588-Sens!F4586)+(Sens!F4590+Sens!F4591-Sens!F4589)</f>
        <v>0</v>
      </c>
      <c r="G4602" s="24" t="n">
        <f aca="false">(Sens!G4595+Sens!G4599-Sens!G4600)+(Sens!G4587+Sens!G4588-Sens!G4586)+(Sens!G4590+Sens!G4591-Sens!G4589)</f>
        <v>0</v>
      </c>
      <c r="H4602" s="24" t="n">
        <f aca="false">(Sens!H4595+Sens!H4599-Sens!H4600)+(Sens!H4587+Sens!H4588-Sens!H4586)+(Sens!H4590+Sens!H4591-Sens!H4589)</f>
        <v>0</v>
      </c>
      <c r="I4602" s="24" t="n">
        <f aca="false">(Sens!I4595+Sens!I4599-Sens!I4600)+(Sens!I4587+Sens!I4588-Sens!I4586)+(Sens!I4590+Sens!I4591-Sens!I4589)</f>
        <v>0</v>
      </c>
      <c r="J4602" s="24" t="n">
        <f aca="false">(Sens!J4595+Sens!J4599-Sens!J4600)+(Sens!J4587+Sens!J4588-Sens!J4586)+(Sens!J4590+Sens!J4591-Sens!J4589)</f>
        <v>0</v>
      </c>
      <c r="K4602" s="24" t="n">
        <f aca="false">(Sens!K4595+Sens!K4599-Sens!K4600)+(Sens!K4587+Sens!K4588-Sens!K4586)+(Sens!K4590+Sens!K4591-Sens!K4589)</f>
        <v>0</v>
      </c>
    </row>
    <row r="4603" customFormat="false" ht="17.15" hidden="false" customHeight="false" outlineLevel="0" collapsed="false">
      <c r="A4603" s="0" t="s">
        <v>908</v>
      </c>
      <c r="B4603" s="0" t="s">
        <v>129</v>
      </c>
      <c r="E4603" s="7" t="n">
        <f aca="false">(Q!M21+Sens!E4540+Sens!E4541+Sens!E4542+Sens!E4555-Sens!E4538)/(Q!M5-Sens!E4538)</f>
        <v>0.583491251973566</v>
      </c>
      <c r="F4603" s="7" t="n">
        <f aca="false">Sens!$E$4603+dm_seg</f>
        <v>0.583491251973566</v>
      </c>
      <c r="G4603" s="7" t="n">
        <f aca="false">Sens!$E$4603+dm_seg</f>
        <v>0.583491251973566</v>
      </c>
      <c r="H4603" s="7" t="n">
        <f aca="false">Sens!$E$4603+dm_seg</f>
        <v>0.583491251973566</v>
      </c>
      <c r="I4603" s="7" t="n">
        <f aca="false">Sens!$E$4603+dm_seg</f>
        <v>0.583491251973566</v>
      </c>
      <c r="J4603" s="7" t="n">
        <f aca="false">Sens!$E$4603+dm_seg</f>
        <v>0.583491251973566</v>
      </c>
      <c r="K4603" s="7" t="n">
        <f aca="false">Sens!$E$4603+dm_seg</f>
        <v>0.583491251973566</v>
      </c>
      <c r="L4603" s="11" t="s">
        <v>909</v>
      </c>
    </row>
    <row r="4604" customFormat="false" ht="17.15" hidden="false" customHeight="false" outlineLevel="0" collapsed="false">
      <c r="A4604" s="0" t="s">
        <v>743</v>
      </c>
      <c r="B4604" s="0" t="s">
        <v>98</v>
      </c>
      <c r="D4604" s="6" t="n">
        <f aca="false">Q!L21</f>
        <v>110.814</v>
      </c>
      <c r="E4604" s="6" t="n">
        <f aca="false">Q!M21</f>
        <v>136.365</v>
      </c>
      <c r="F4604" s="6" t="n">
        <f aca="false">Sens!F4603*(Sens!F4574-Sens!F4538)+Sens!F4538-(Sens!F4540+Sens!F4541+Sens!F4542)-Sens!F4555-Sens!F4638</f>
        <v>149.346319043003</v>
      </c>
      <c r="G4604" s="6" t="n">
        <f aca="false">Sens!G4603*(Sens!G4574-Sens!G4538)+Sens!G4538-(Sens!G4540+Sens!G4541+Sens!G4542)-Sens!G4555-Sens!G4638</f>
        <v>153.839420705422</v>
      </c>
      <c r="H4604" s="6" t="n">
        <f aca="false">Sens!H4603*(Sens!H4574-Sens!H4538)+Sens!H4538-(Sens!H4540+Sens!H4541+Sens!H4542)-Sens!H4555-Sens!H4638</f>
        <v>151.550650607153</v>
      </c>
      <c r="I4604" s="6" t="n">
        <f aca="false">Sens!I4603*(Sens!I4574-Sens!I4538)+Sens!I4538-(Sens!I4540+Sens!I4541+Sens!I4542)-Sens!I4555-Sens!I4638</f>
        <v>156.700990396913</v>
      </c>
      <c r="J4604" s="6" t="n">
        <f aca="false">Sens!J4603*(Sens!J4574-Sens!J4538)+Sens!J4538-(Sens!J4540+Sens!J4541+Sens!J4542)-Sens!J4555-Sens!J4638</f>
        <v>164.812032416473</v>
      </c>
      <c r="K4604" s="6" t="n">
        <f aca="false">Sens!K4603*(Sens!K4574-Sens!K4538)+Sens!K4538-(Sens!K4540+Sens!K4541+Sens!K4542)-Sens!K4555-Sens!K4638</f>
        <v>177.062918206298</v>
      </c>
      <c r="L4604" s="1" t="s">
        <v>910</v>
      </c>
    </row>
    <row r="4605" customFormat="false" ht="17.15" hidden="false" customHeight="false" outlineLevel="0" collapsed="false">
      <c r="A4605" s="0" t="s">
        <v>911</v>
      </c>
      <c r="B4605" s="0" t="s">
        <v>129</v>
      </c>
      <c r="E4605" s="7" t="n">
        <f aca="false">Q!M22/Q!M12</f>
        <v>0.296207935710698</v>
      </c>
      <c r="F4605" s="7" t="n">
        <f aca="false">Sens!$E$4605+dm_seg</f>
        <v>0.296207935710698</v>
      </c>
      <c r="G4605" s="7" t="n">
        <f aca="false">Sens!$E$4605+dm_seg</f>
        <v>0.296207935710698</v>
      </c>
      <c r="H4605" s="7" t="n">
        <f aca="false">Sens!$E$4605+dm_seg</f>
        <v>0.296207935710698</v>
      </c>
      <c r="I4605" s="7" t="n">
        <f aca="false">Sens!$E$4605+dm_seg</f>
        <v>0.296207935710698</v>
      </c>
      <c r="J4605" s="7" t="n">
        <f aca="false">Sens!$E$4605+dm_seg</f>
        <v>0.296207935710698</v>
      </c>
      <c r="K4605" s="7" t="n">
        <f aca="false">Sens!$E$4605+dm_seg</f>
        <v>0.296207935710698</v>
      </c>
      <c r="L4605" s="11" t="s">
        <v>912</v>
      </c>
    </row>
    <row r="4606" customFormat="false" ht="17.15" hidden="false" customHeight="false" outlineLevel="0" collapsed="false">
      <c r="A4606" s="0" t="s">
        <v>745</v>
      </c>
      <c r="B4606" s="0" t="s">
        <v>98</v>
      </c>
      <c r="D4606" s="6" t="n">
        <f aca="false">Q!L22</f>
        <v>17.714</v>
      </c>
      <c r="E4606" s="6" t="n">
        <f aca="false">Q!M22</f>
        <v>18.872</v>
      </c>
      <c r="F4606" s="6" t="n">
        <f aca="false">Sens!F4581*Sens!F4605</f>
        <v>19.2954518910651</v>
      </c>
      <c r="G4606" s="6" t="n">
        <f aca="false">Sens!G4581*Sens!G4605</f>
        <v>19.8830646387704</v>
      </c>
      <c r="H4606" s="6" t="n">
        <f aca="false">Sens!H4581*Sens!H4605</f>
        <v>20.6092017868026</v>
      </c>
      <c r="I4606" s="6" t="n">
        <f aca="false">Sens!I4581*Sens!I4605</f>
        <v>21.452361761678</v>
      </c>
      <c r="J4606" s="6" t="n">
        <f aca="false">Sens!J4581*Sens!J4605</f>
        <v>22.3946261183418</v>
      </c>
      <c r="K4606" s="6" t="n">
        <f aca="false">Sens!K4581*Sens!K4605</f>
        <v>23.4215879274986</v>
      </c>
    </row>
    <row r="4607" customFormat="false" ht="15" hidden="false" customHeight="false" outlineLevel="0" collapsed="false">
      <c r="A4607" s="1" t="s">
        <v>913</v>
      </c>
      <c r="B4607" s="0" t="s">
        <v>98</v>
      </c>
      <c r="D4607" s="6" t="n">
        <f aca="false">Sens!D4604+Sens!D4606</f>
        <v>128.528</v>
      </c>
      <c r="E4607" s="6" t="n">
        <f aca="false">Sens!E4604+Sens!E4606</f>
        <v>155.237</v>
      </c>
      <c r="F4607" s="6" t="n">
        <f aca="false">Sens!F4604+Sens!F4606</f>
        <v>168.641770934068</v>
      </c>
      <c r="G4607" s="6" t="n">
        <f aca="false">Sens!G4604+Sens!G4606</f>
        <v>173.722485344193</v>
      </c>
      <c r="H4607" s="6" t="n">
        <f aca="false">Sens!H4604+Sens!H4606</f>
        <v>172.159852393956</v>
      </c>
      <c r="I4607" s="6" t="n">
        <f aca="false">Sens!I4604+Sens!I4606</f>
        <v>178.153352158591</v>
      </c>
      <c r="J4607" s="6" t="n">
        <f aca="false">Sens!J4604+Sens!J4606</f>
        <v>187.206658534815</v>
      </c>
      <c r="K4607" s="6" t="n">
        <f aca="false">Sens!K4604+Sens!K4606</f>
        <v>200.484506133797</v>
      </c>
    </row>
    <row r="4608" customFormat="false" ht="15" hidden="false" customHeight="false" outlineLevel="0" collapsed="false">
      <c r="A4608" s="23" t="s">
        <v>914</v>
      </c>
      <c r="B4608" s="30" t="s">
        <v>98</v>
      </c>
      <c r="C4608" s="30"/>
      <c r="D4608" s="24" t="n">
        <f aca="false">Sens!D4607-Q!L23</f>
        <v>0</v>
      </c>
      <c r="E4608" s="24" t="n">
        <f aca="false">Sens!E4607-Q!M23</f>
        <v>0</v>
      </c>
      <c r="F4608" s="30"/>
      <c r="G4608" s="30"/>
      <c r="H4608" s="30"/>
      <c r="I4608" s="30"/>
      <c r="J4608" s="30"/>
      <c r="K4608" s="30"/>
    </row>
    <row r="4609" customFormat="false" ht="15" hidden="false" customHeight="false" outlineLevel="0" collapsed="false">
      <c r="A4609" s="1" t="s">
        <v>915</v>
      </c>
      <c r="B4609" s="0" t="s">
        <v>129</v>
      </c>
      <c r="D4609" s="7" t="n">
        <f aca="false">Sens!D4607/Sens!D4600</f>
        <v>0.456219562408598</v>
      </c>
      <c r="E4609" s="7" t="n">
        <f aca="false">Sens!E4607/Sens!E4600</f>
        <v>0.467808184089272</v>
      </c>
      <c r="F4609" s="7" t="n">
        <f aca="false">Sens!F4607/Sens!F4600</f>
        <v>0.428563212293732</v>
      </c>
      <c r="G4609" s="7" t="n">
        <f aca="false">Sens!G4607/Sens!G4600</f>
        <v>0.38064045187493</v>
      </c>
      <c r="H4609" s="7" t="n">
        <f aca="false">Sens!H4607/Sens!H4600</f>
        <v>0.333483883114496</v>
      </c>
      <c r="I4609" s="7" t="n">
        <f aca="false">Sens!I4607/Sens!I4600</f>
        <v>0.307917456086826</v>
      </c>
      <c r="J4609" s="7" t="n">
        <f aca="false">Sens!J4607/Sens!J4600</f>
        <v>0.296073233809898</v>
      </c>
      <c r="K4609" s="7" t="n">
        <f aca="false">Sens!K4607/Sens!K4600</f>
        <v>0.29600491846295</v>
      </c>
    </row>
    <row r="4610" customFormat="false" ht="17.15" hidden="false" customHeight="false" outlineLevel="0" collapsed="false">
      <c r="A4610" s="1" t="s">
        <v>916</v>
      </c>
      <c r="B4610" s="0" t="s">
        <v>98</v>
      </c>
      <c r="F4610" s="6" t="n">
        <f aca="false">Sens!F4625</f>
        <v>10.0895535195225</v>
      </c>
      <c r="G4610" s="6" t="n">
        <f aca="false">Sens!G4625</f>
        <v>26.4005337556195</v>
      </c>
      <c r="H4610" s="6" t="n">
        <f aca="false">Sens!H4625</f>
        <v>44.7344825023522</v>
      </c>
      <c r="I4610" s="6" t="n">
        <f aca="false">Sens!I4625</f>
        <v>61.1671219349231</v>
      </c>
      <c r="J4610" s="6" t="n">
        <f aca="false">Sens!J4625</f>
        <v>73.4586155415263</v>
      </c>
      <c r="K4610" s="6" t="n">
        <f aca="false">Sens!K4625</f>
        <v>81.4775944762013</v>
      </c>
      <c r="L4610" s="1" t="s">
        <v>917</v>
      </c>
    </row>
    <row r="4611" customFormat="false" ht="17.15" hidden="false" customHeight="false" outlineLevel="0" collapsed="false">
      <c r="A4611" s="1" t="s">
        <v>918</v>
      </c>
      <c r="B4611" s="0" t="s">
        <v>98</v>
      </c>
      <c r="D4611" s="6" t="n">
        <f aca="false">Sens!D4607</f>
        <v>128.528</v>
      </c>
      <c r="E4611" s="6" t="n">
        <f aca="false">Sens!E4607</f>
        <v>155.237</v>
      </c>
      <c r="F4611" s="6" t="n">
        <f aca="false">Sens!F4607+Sens!F4610</f>
        <v>178.73132445359</v>
      </c>
      <c r="G4611" s="6" t="n">
        <f aca="false">Sens!G4607+Sens!G4610</f>
        <v>200.123019099812</v>
      </c>
      <c r="H4611" s="6" t="n">
        <f aca="false">Sens!H4607+Sens!H4610</f>
        <v>216.894334896308</v>
      </c>
      <c r="I4611" s="6" t="n">
        <f aca="false">Sens!I4607+Sens!I4610</f>
        <v>239.320474093514</v>
      </c>
      <c r="J4611" s="6" t="n">
        <f aca="false">Sens!J4607+Sens!J4610</f>
        <v>260.665274076341</v>
      </c>
      <c r="K4611" s="6" t="n">
        <f aca="false">Sens!K4607+Sens!K4610</f>
        <v>281.962100609998</v>
      </c>
    </row>
    <row r="4612" customFormat="false" ht="17.15" hidden="false" customHeight="false" outlineLevel="0" collapsed="false">
      <c r="A4612" s="1" t="s">
        <v>919</v>
      </c>
      <c r="B4612" s="0" t="s">
        <v>98</v>
      </c>
      <c r="E4612" s="6" t="n">
        <f aca="false">Sens!E4555</f>
        <v>19.3175216725</v>
      </c>
      <c r="F4612" s="6" t="n">
        <f aca="false">Sens!F4555</f>
        <v>40.3707268371467</v>
      </c>
      <c r="G4612" s="6" t="n">
        <f aca="false">Sens!G4555</f>
        <v>70.1542403726133</v>
      </c>
      <c r="H4612" s="6" t="n">
        <f aca="false">Sens!H4555</f>
        <v>103.289272487473</v>
      </c>
      <c r="I4612" s="6" t="n">
        <f aca="false">Sens!I4555</f>
        <v>133.275925818771</v>
      </c>
      <c r="J4612" s="6" t="n">
        <f aca="false">Sens!J4555</f>
        <v>155.50912334054</v>
      </c>
      <c r="K4612" s="6" t="n">
        <f aca="false">Sens!K4555</f>
        <v>168.848420124073</v>
      </c>
    </row>
    <row r="4613" customFormat="false" ht="17.15" hidden="false" customHeight="false" outlineLevel="0" collapsed="false">
      <c r="A4613" s="1" t="s">
        <v>920</v>
      </c>
      <c r="B4613" s="0" t="s">
        <v>98</v>
      </c>
      <c r="E4613" s="6" t="n">
        <f aca="false">Sens!E4637</f>
        <v>19.2164783275</v>
      </c>
      <c r="F4613" s="6" t="n">
        <f aca="false">Sens!F4637</f>
        <v>21.6815429076033</v>
      </c>
      <c r="G4613" s="6" t="n">
        <f aca="false">Sens!G4637</f>
        <v>23.5836779738819</v>
      </c>
      <c r="H4613" s="6" t="n">
        <f aca="false">Sens!H4637</f>
        <v>25.8314615409027</v>
      </c>
      <c r="I4613" s="6" t="n">
        <f aca="false">Sens!I4637</f>
        <v>28.3706554179768</v>
      </c>
      <c r="J4613" s="6" t="n">
        <f aca="false">Sens!J4637</f>
        <v>31.1291812012165</v>
      </c>
      <c r="K4613" s="6" t="n">
        <f aca="false">Sens!K4637</f>
        <v>34.0256333552943</v>
      </c>
    </row>
    <row r="4614" customFormat="false" ht="17.15" hidden="false" customHeight="false" outlineLevel="0" collapsed="false">
      <c r="A4614" s="1" t="s">
        <v>921</v>
      </c>
      <c r="B4614" s="0" t="s">
        <v>98</v>
      </c>
      <c r="D4614" s="6" t="n">
        <f aca="false">Q!L27</f>
        <v>-4.901</v>
      </c>
      <c r="E4614" s="6" t="n">
        <f aca="false">Q!M27</f>
        <v>10.697</v>
      </c>
      <c r="F4614" s="6" t="n">
        <f aca="false">oie_f</f>
        <v>-0.4</v>
      </c>
      <c r="G4614" s="6" t="n">
        <f aca="false">oie_f</f>
        <v>-0.4</v>
      </c>
      <c r="H4614" s="6" t="n">
        <f aca="false">oie_f</f>
        <v>-0.4</v>
      </c>
      <c r="I4614" s="6" t="n">
        <f aca="false">oie_f</f>
        <v>-0.4</v>
      </c>
      <c r="J4614" s="6" t="n">
        <f aca="false">oie_f</f>
        <v>-0.4</v>
      </c>
      <c r="K4614" s="6" t="n">
        <f aca="false">oie_f</f>
        <v>-0.4</v>
      </c>
      <c r="L4614" s="11" t="s">
        <v>922</v>
      </c>
    </row>
    <row r="4615" customFormat="false" ht="15" hidden="false" customHeight="false" outlineLevel="0" collapsed="false">
      <c r="A4615" s="1" t="s">
        <v>923</v>
      </c>
      <c r="B4615" s="0" t="s">
        <v>98</v>
      </c>
      <c r="D4615" s="6" t="n">
        <f aca="false">Sens!D4607+Sens!D4614</f>
        <v>123.627</v>
      </c>
      <c r="E4615" s="6" t="n">
        <f aca="false">Sens!E4607+Sens!E4614</f>
        <v>165.934</v>
      </c>
      <c r="F4615" s="6" t="n">
        <f aca="false">Sens!F4607+Sens!F4614</f>
        <v>168.241770934068</v>
      </c>
      <c r="G4615" s="6" t="n">
        <f aca="false">Sens!G4607+Sens!G4614</f>
        <v>173.322485344193</v>
      </c>
      <c r="H4615" s="6" t="n">
        <f aca="false">Sens!H4607+Sens!H4614</f>
        <v>171.759852393956</v>
      </c>
      <c r="I4615" s="6" t="n">
        <f aca="false">Sens!I4607+Sens!I4614</f>
        <v>177.753352158591</v>
      </c>
      <c r="J4615" s="6" t="n">
        <f aca="false">Sens!J4607+Sens!J4614</f>
        <v>186.806658534815</v>
      </c>
      <c r="K4615" s="6" t="n">
        <f aca="false">Sens!K4607+Sens!K4614</f>
        <v>200.084506133797</v>
      </c>
    </row>
    <row r="4616" customFormat="false" ht="15" hidden="false" customHeight="false" outlineLevel="0" collapsed="false">
      <c r="A4616" s="1" t="s">
        <v>924</v>
      </c>
      <c r="B4616" s="0" t="s">
        <v>98</v>
      </c>
      <c r="D4616" s="6" t="n">
        <f aca="false">Q!L29</f>
        <v>21.795</v>
      </c>
      <c r="E4616" s="6" t="n">
        <f aca="false">Q!M29</f>
        <v>32.185</v>
      </c>
      <c r="F4616" s="6" t="n">
        <f aca="false">Sens!F4615*tax_f</f>
        <v>33.6483541868135</v>
      </c>
      <c r="G4616" s="6" t="n">
        <f aca="false">Sens!G4615*tax_f</f>
        <v>34.6644970688385</v>
      </c>
      <c r="H4616" s="6" t="n">
        <f aca="false">Sens!H4615*tax_f</f>
        <v>34.3519704787911</v>
      </c>
      <c r="I4616" s="6" t="n">
        <f aca="false">Sens!I4615*tax_f</f>
        <v>35.5506704317181</v>
      </c>
      <c r="J4616" s="6" t="n">
        <f aca="false">Sens!J4615*tax_f</f>
        <v>37.3613317069629</v>
      </c>
      <c r="K4616" s="6" t="n">
        <f aca="false">Sens!K4615*tax_f</f>
        <v>40.0169012267594</v>
      </c>
    </row>
    <row r="4617" customFormat="false" ht="15" hidden="false" customHeight="false" outlineLevel="0" collapsed="false">
      <c r="A4617" s="1" t="s">
        <v>925</v>
      </c>
      <c r="B4617" s="0" t="s">
        <v>98</v>
      </c>
      <c r="D4617" s="6" t="n">
        <f aca="false">Sens!D4615-Sens!D4616</f>
        <v>101.832</v>
      </c>
      <c r="E4617" s="6" t="n">
        <f aca="false">Sens!E4615-Sens!E4616</f>
        <v>133.749</v>
      </c>
      <c r="F4617" s="6" t="n">
        <f aca="false">Sens!F4615-Sens!F4616</f>
        <v>134.593416747254</v>
      </c>
      <c r="G4617" s="6" t="n">
        <f aca="false">Sens!G4615-Sens!G4616</f>
        <v>138.657988275354</v>
      </c>
      <c r="H4617" s="6" t="n">
        <f aca="false">Sens!H4615-Sens!H4616</f>
        <v>137.407881915165</v>
      </c>
      <c r="I4617" s="6" t="n">
        <f aca="false">Sens!I4615-Sens!I4616</f>
        <v>142.202681726873</v>
      </c>
      <c r="J4617" s="6" t="n">
        <f aca="false">Sens!J4615-Sens!J4616</f>
        <v>149.445326827852</v>
      </c>
      <c r="K4617" s="6" t="n">
        <f aca="false">Sens!K4615-Sens!K4616</f>
        <v>160.067604907037</v>
      </c>
    </row>
    <row r="4618" customFormat="false" ht="17.15" hidden="false" customHeight="false" outlineLevel="0" collapsed="false">
      <c r="A4618" s="1" t="s">
        <v>926</v>
      </c>
      <c r="B4618" s="1" t="s">
        <v>81</v>
      </c>
      <c r="D4618" s="14" t="n">
        <f aca="false">Q!L31</f>
        <v>7.465</v>
      </c>
      <c r="E4618" s="14" t="n">
        <f aca="false">Q!M31</f>
        <v>7.453</v>
      </c>
      <c r="F4618" s="14" t="n">
        <f aca="false">Sens!F4661</f>
        <v>7.4735</v>
      </c>
      <c r="G4618" s="14" t="n">
        <f aca="false">Sens!G4661</f>
        <v>7.5185</v>
      </c>
      <c r="H4618" s="14" t="n">
        <f aca="false">Sens!H4661</f>
        <v>7.5635</v>
      </c>
      <c r="I4618" s="14" t="n">
        <f aca="false">Sens!I4661</f>
        <v>7.59252924615736</v>
      </c>
      <c r="J4618" s="14" t="n">
        <f aca="false">Sens!J4661</f>
        <v>7.60677075727524</v>
      </c>
      <c r="K4618" s="14" t="n">
        <f aca="false">Sens!K4661</f>
        <v>7.62329067497699</v>
      </c>
    </row>
    <row r="4619" customFormat="false" ht="17.15" hidden="false" customHeight="false" outlineLevel="0" collapsed="false">
      <c r="A4619" s="0" t="s">
        <v>927</v>
      </c>
      <c r="B4619" s="0" t="s">
        <v>75</v>
      </c>
      <c r="D4619" s="8" t="n">
        <f aca="false">Sens!D4617/Sens!D4618</f>
        <v>13.641259209645</v>
      </c>
      <c r="E4619" s="8" t="n">
        <f aca="false">Sens!E4617/Sens!E4618</f>
        <v>17.9456594659869</v>
      </c>
      <c r="F4619" s="8" t="n">
        <f aca="false">Sens!F4617/Sens!F4618</f>
        <v>18.0094221913767</v>
      </c>
      <c r="G4619" s="8" t="n">
        <f aca="false">Sens!G4617/Sens!G4618</f>
        <v>18.442240909138</v>
      </c>
      <c r="H4619" s="8" t="n">
        <f aca="false">Sens!H4617/Sens!H4618</f>
        <v>18.1672349990302</v>
      </c>
      <c r="I4619" s="8" t="n">
        <f aca="false">Sens!I4617/Sens!I4618</f>
        <v>18.7292899528629</v>
      </c>
      <c r="J4619" s="8" t="n">
        <f aca="false">Sens!J4617/Sens!J4618</f>
        <v>19.6463560683645</v>
      </c>
      <c r="K4619" s="8" t="n">
        <f aca="false">Sens!K4617/Sens!K4618</f>
        <v>20.9971797917204</v>
      </c>
      <c r="L4619" s="1" t="s">
        <v>928</v>
      </c>
    </row>
    <row r="4620" customFormat="false" ht="17.15" hidden="false" customHeight="false" outlineLevel="0" collapsed="false">
      <c r="A4620" s="1" t="s">
        <v>929</v>
      </c>
      <c r="B4620" s="0" t="s">
        <v>98</v>
      </c>
      <c r="D4620" s="6" t="n">
        <f aca="false">Sens!D4617</f>
        <v>101.832</v>
      </c>
      <c r="E4620" s="6" t="n">
        <f aca="false">Sens!E4617</f>
        <v>133.749</v>
      </c>
      <c r="F4620" s="6" t="n">
        <f aca="false">Sens!F4617+Sens!F4610*(1-tax_f)</f>
        <v>142.665059562872</v>
      </c>
      <c r="G4620" s="6" t="n">
        <f aca="false">Sens!G4617+Sens!G4610*(1-tax_f)</f>
        <v>159.77841527985</v>
      </c>
      <c r="H4620" s="6" t="n">
        <f aca="false">Sens!H4617+Sens!H4610*(1-tax_f)</f>
        <v>173.195467917046</v>
      </c>
      <c r="I4620" s="6" t="n">
        <f aca="false">Sens!I4617+Sens!I4610*(1-tax_f)</f>
        <v>191.136379274811</v>
      </c>
      <c r="J4620" s="6" t="n">
        <f aca="false">Sens!J4617+Sens!J4610*(1-tax_f)</f>
        <v>208.212219261073</v>
      </c>
      <c r="K4620" s="6" t="n">
        <f aca="false">Sens!K4617+Sens!K4610*(1-tax_f)</f>
        <v>225.249680487999</v>
      </c>
    </row>
    <row r="4621" customFormat="false" ht="17.15" hidden="false" customHeight="false" outlineLevel="0" collapsed="false">
      <c r="A4621" s="0" t="s">
        <v>930</v>
      </c>
      <c r="B4621" s="0" t="s">
        <v>75</v>
      </c>
      <c r="D4621" s="8" t="n">
        <f aca="false">Sens!D4620/Sens!D4618</f>
        <v>13.641259209645</v>
      </c>
      <c r="E4621" s="8" t="n">
        <f aca="false">Sens!E4620/Sens!E4618</f>
        <v>17.9456594659869</v>
      </c>
      <c r="F4621" s="8" t="n">
        <f aca="false">Sens!F4620/Sens!F4618</f>
        <v>19.0894573577135</v>
      </c>
      <c r="G4621" s="8" t="n">
        <f aca="false">Sens!G4620/Sens!G4618</f>
        <v>21.2513686612821</v>
      </c>
      <c r="H4621" s="8" t="n">
        <f aca="false">Sens!H4620/Sens!H4618</f>
        <v>22.8988521077605</v>
      </c>
      <c r="I4621" s="8" t="n">
        <f aca="false">Sens!I4620/Sens!I4618</f>
        <v>25.1742697430565</v>
      </c>
      <c r="J4621" s="8" t="n">
        <f aca="false">Sens!J4620/Sens!J4618</f>
        <v>27.3719592590502</v>
      </c>
      <c r="K4621" s="8" t="n">
        <f aca="false">Sens!K4620/Sens!K4618</f>
        <v>29.5475654925986</v>
      </c>
      <c r="L4621" s="1" t="s">
        <v>931</v>
      </c>
    </row>
    <row r="4622" customFormat="false" ht="17.15" hidden="false" customHeight="false" outlineLevel="0" collapsed="false">
      <c r="A4622" s="0" t="s">
        <v>932</v>
      </c>
      <c r="B4622" s="0" t="s">
        <v>129</v>
      </c>
      <c r="E4622" s="7" t="n">
        <f aca="false">Sens!E4621/Sens!D4621-1</f>
        <v>0.315542736208578</v>
      </c>
      <c r="F4622" s="7" t="n">
        <f aca="false">Sens!F4621/Sens!E4621-1</f>
        <v>0.0637367433553815</v>
      </c>
      <c r="G4622" s="7" t="n">
        <f aca="false">Sens!G4621/Sens!F4621-1</f>
        <v>0.113251585053308</v>
      </c>
      <c r="H4622" s="7" t="n">
        <f aca="false">Sens!H4621/Sens!G4621-1</f>
        <v>0.0775236396646721</v>
      </c>
      <c r="I4622" s="7" t="n">
        <f aca="false">Sens!I4621/Sens!H4621-1</f>
        <v>0.0993681964750066</v>
      </c>
      <c r="J4622" s="7" t="n">
        <f aca="false">Sens!J4621/Sens!I4621-1</f>
        <v>0.0872990374070288</v>
      </c>
      <c r="K4622" s="7" t="n">
        <f aca="false">Sens!K4621/Sens!J4621-1</f>
        <v>0.0794830290721331</v>
      </c>
    </row>
    <row r="4623" customFormat="false" ht="17.15" hidden="false" customHeight="false" outlineLevel="0" collapsed="false">
      <c r="A4623" s="0" t="s">
        <v>856</v>
      </c>
      <c r="B4623" s="0" t="s">
        <v>98</v>
      </c>
      <c r="E4623" s="6" t="n">
        <f aca="false">Sens!E4564</f>
        <v>5.25</v>
      </c>
      <c r="F4623" s="6" t="n">
        <f aca="false">Sens!F4564</f>
        <v>10.5</v>
      </c>
      <c r="G4623" s="6" t="n">
        <f aca="false">Sens!G4564</f>
        <v>13.5</v>
      </c>
      <c r="H4623" s="6" t="n">
        <f aca="false">Sens!H4564</f>
        <v>16.5</v>
      </c>
      <c r="I4623" s="6" t="n">
        <f aca="false">Sens!I4564</f>
        <v>18.75</v>
      </c>
      <c r="J4623" s="6" t="n">
        <f aca="false">Sens!J4564</f>
        <v>20.25</v>
      </c>
      <c r="K4623" s="6" t="n">
        <f aca="false">Sens!K4564</f>
        <v>21.75</v>
      </c>
    </row>
    <row r="4624" customFormat="false" ht="17.15" hidden="false" customHeight="false" outlineLevel="0" collapsed="false">
      <c r="A4624" s="1" t="s">
        <v>857</v>
      </c>
      <c r="B4624" s="0" t="s">
        <v>98</v>
      </c>
      <c r="F4624" s="6" t="n">
        <f aca="false">MAX(0,((Sens!E4527+Sens!F4527)/2-(shadow_base*(Sens!$D$4527+Sens!$E$4527)/2+(1-shadow_base)*Sens!$E$4527))*Sens!F4535/1000-(Sens!F4623-Sens!$E$4623)*Sens!F4603)</f>
        <v>10.0895535195225</v>
      </c>
      <c r="G4624" s="6" t="n">
        <f aca="false">MAX(0,((Sens!F4527+Sens!G4527)/2-(shadow_base*(Sens!$D$4527+Sens!$E$4527)/2+(1-shadow_base)*Sens!$E$4527))*Sens!G4535/1000-(Sens!G4623-Sens!$E$4623)*Sens!G4603)</f>
        <v>26.4005337556195</v>
      </c>
      <c r="H4624" s="6" t="n">
        <f aca="false">MAX(0,((Sens!G4527+Sens!H4527)/2-(shadow_base*(Sens!$D$4527+Sens!$E$4527)/2+(1-shadow_base)*Sens!$E$4527))*Sens!H4535/1000-(Sens!H4623-Sens!$E$4623)*Sens!H4603)</f>
        <v>44.7344825023522</v>
      </c>
      <c r="I4624" s="6" t="n">
        <f aca="false">MAX(0,((Sens!H4527+Sens!I4527)/2-(shadow_base*(Sens!$D$4527+Sens!$E$4527)/2+(1-shadow_base)*Sens!$E$4527))*Sens!I4535/1000-(Sens!I4623-Sens!$E$4623)*Sens!I4603)</f>
        <v>61.1671219349231</v>
      </c>
      <c r="J4624" s="6" t="n">
        <f aca="false">MAX(0,((Sens!I4527+Sens!J4527)/2-(shadow_base*(Sens!$D$4527+Sens!$E$4527)/2+(1-shadow_base)*Sens!$E$4527))*Sens!J4535/1000-(Sens!J4623-Sens!$E$4623)*Sens!J4603)</f>
        <v>73.4586155415263</v>
      </c>
      <c r="K4624" s="6" t="n">
        <f aca="false">MAX(0,((Sens!J4527+Sens!K4527)/2-(shadow_base*(Sens!$D$4527+Sens!$E$4527)/2+(1-shadow_base)*Sens!$E$4527))*Sens!K4535/1000-(Sens!K4623-Sens!$E$4623)*Sens!K4603)</f>
        <v>81.4775944762013</v>
      </c>
      <c r="L4624" s="1" t="s">
        <v>858</v>
      </c>
    </row>
    <row r="4625" customFormat="false" ht="17.15" hidden="false" customHeight="false" outlineLevel="0" collapsed="false">
      <c r="A4625" s="1" t="s">
        <v>859</v>
      </c>
      <c r="B4625" s="0" t="s">
        <v>98</v>
      </c>
      <c r="F4625" s="6" t="n">
        <f aca="false">IF(internal_ai_reading=2,1,0)*Sens!F4624</f>
        <v>10.0895535195225</v>
      </c>
      <c r="G4625" s="6" t="n">
        <f aca="false">IF(internal_ai_reading=2,1,0)*Sens!G4624</f>
        <v>26.4005337556195</v>
      </c>
      <c r="H4625" s="6" t="n">
        <f aca="false">IF(internal_ai_reading=2,1,0)*Sens!H4624</f>
        <v>44.7344825023522</v>
      </c>
      <c r="I4625" s="6" t="n">
        <f aca="false">IF(internal_ai_reading=2,1,0)*Sens!I4624</f>
        <v>61.1671219349231</v>
      </c>
      <c r="J4625" s="6" t="n">
        <f aca="false">IF(internal_ai_reading=2,1,0)*Sens!J4624</f>
        <v>73.4586155415263</v>
      </c>
      <c r="K4625" s="6" t="n">
        <f aca="false">IF(internal_ai_reading=2,1,0)*Sens!K4624</f>
        <v>81.4775944762013</v>
      </c>
    </row>
    <row r="4626" customFormat="false" ht="17.15" hidden="false" customHeight="false" outlineLevel="0" collapsed="false">
      <c r="A4626" s="0" t="s">
        <v>860</v>
      </c>
      <c r="B4626" s="0" t="s">
        <v>98</v>
      </c>
      <c r="F4626" s="6" t="n">
        <f aca="false">Sens!F4544+Sens!F4623*Sens!F4603+Sens!F4625-Sens!F4545-Sens!F4555</f>
        <v>4.36989984013047</v>
      </c>
      <c r="G4626" s="6" t="n">
        <f aca="false">Sens!G4544+Sens!G4623*Sens!G4603+Sens!G4625-Sens!G4545-Sens!G4555</f>
        <v>5.58929128177128</v>
      </c>
      <c r="H4626" s="6" t="n">
        <f aca="false">Sens!H4544+Sens!H4623*Sens!H4603+Sens!H4625-Sens!H4545-Sens!H4555</f>
        <v>1.87206985087735</v>
      </c>
      <c r="I4626" s="6" t="n">
        <f aca="false">Sens!I4544+Sens!I4623*Sens!I4603+Sens!I4625-Sens!I4545-Sens!I4555</f>
        <v>4.19894796689781</v>
      </c>
      <c r="J4626" s="6" t="n">
        <f aca="false">Sens!J4544+Sens!J4623*Sens!J4603+Sens!J4625-Sens!J4545-Sens!J4555</f>
        <v>6.61820932468424</v>
      </c>
      <c r="K4626" s="6" t="n">
        <f aca="false">Sens!K4544+Sens!K4623*Sens!K4603+Sens!K4625-Sens!K4545-Sens!K4555</f>
        <v>10.9706898813205</v>
      </c>
    </row>
    <row r="4627" customFormat="false" ht="17.15" hidden="false" customHeight="false" outlineLevel="0" collapsed="false">
      <c r="A4627" s="0" t="s">
        <v>861</v>
      </c>
      <c r="B4627" s="0" t="s">
        <v>98</v>
      </c>
      <c r="E4627" s="6" t="n">
        <f aca="false">Sens!E4526*(cxit_open+self_build*tk_cxfac)/1000*ai_net_open</f>
        <v>126.6980382</v>
      </c>
      <c r="F4627" s="6" t="n">
        <f aca="false">Sens!E4627+Sens!F4552-Sens!F4555</f>
        <v>246.66018723432</v>
      </c>
      <c r="G4627" s="6" t="n">
        <f aca="false">Sens!F4627+Sens!G4552-Sens!G4555</f>
        <v>360.080127344907</v>
      </c>
      <c r="H4627" s="6" t="n">
        <f aca="false">Sens!G4627+Sens!H4552-Sens!H4555</f>
        <v>475.1298161145</v>
      </c>
      <c r="I4627" s="6" t="n">
        <f aca="false">Sens!H4627+Sens!I4552-Sens!I4555</f>
        <v>520.998659116641</v>
      </c>
      <c r="J4627" s="6" t="n">
        <f aca="false">Sens!I4627+Sens!J4552-Sens!J4555</f>
        <v>537.75022339701</v>
      </c>
      <c r="K4627" s="6" t="n">
        <f aca="false">Sens!J4627+Sens!K4552-Sens!K4555</f>
        <v>542.872860321594</v>
      </c>
      <c r="L4627" s="1" t="s">
        <v>862</v>
      </c>
    </row>
    <row r="4628" customFormat="false" ht="17.15" hidden="false" customHeight="false" outlineLevel="0" collapsed="false">
      <c r="A4628" s="0" t="s">
        <v>863</v>
      </c>
      <c r="B4628" s="0" t="s">
        <v>129</v>
      </c>
      <c r="F4628" s="7" t="n">
        <f aca="false">Sens!F4626*(1-tax_f)/((Sens!E4627+Sens!F4627)/2)</f>
        <v>0.0187268935512946</v>
      </c>
      <c r="G4628" s="7" t="n">
        <f aca="false">Sens!G4626*(1-tax_f)/((Sens!F4627+Sens!G4627)/2)</f>
        <v>0.0147391986916774</v>
      </c>
      <c r="H4628" s="7" t="n">
        <f aca="false">Sens!H4626*(1-tax_f)/((Sens!G4627+Sens!H4627)/2)</f>
        <v>0.00358629801388295</v>
      </c>
      <c r="I4628" s="7" t="n">
        <f aca="false">Sens!I4626*(1-tax_f)/((Sens!H4627+Sens!I4627)/2)</f>
        <v>0.00674442796696237</v>
      </c>
      <c r="J4628" s="7" t="n">
        <f aca="false">Sens!J4626*(1-tax_f)/((Sens!I4627+Sens!J4627)/2)</f>
        <v>0.0100015547542817</v>
      </c>
      <c r="K4628" s="7" t="n">
        <f aca="false">Sens!K4626*(1-tax_f)/((Sens!J4627+Sens!K4627)/2)</f>
        <v>0.016243502544578</v>
      </c>
    </row>
    <row r="4629" customFormat="false" ht="17.15" hidden="false" customHeight="false" outlineLevel="0" collapsed="false">
      <c r="A4629" s="1" t="s">
        <v>864</v>
      </c>
      <c r="B4629" s="0" t="s">
        <v>129</v>
      </c>
      <c r="F4629" s="7" t="n">
        <f aca="false">(Sens!F4626-Sens!F4625)*(1-tax_f)/((Sens!E4627+Sens!F4627)/2)</f>
        <v>-0.0245111671944059</v>
      </c>
      <c r="G4629" s="7" t="n">
        <f aca="false">(Sens!G4626-Sens!G4625)*(1-tax_f)/((Sens!F4627+Sens!G4627)/2)</f>
        <v>-0.0548801310182417</v>
      </c>
      <c r="H4629" s="7" t="n">
        <f aca="false">(Sens!H4626-Sens!H4625)*(1-tax_f)/((Sens!G4627+Sens!H4627)/2)</f>
        <v>-0.0821109240609668</v>
      </c>
      <c r="I4629" s="7" t="n">
        <f aca="false">(Sens!I4626-Sens!I4625)*(1-tax_f)/((Sens!H4627+Sens!I4627)/2)</f>
        <v>-0.0915033357797449</v>
      </c>
      <c r="J4629" s="7" t="n">
        <f aca="false">(Sens!J4626-Sens!J4625)*(1-tax_f)/((Sens!I4627+Sens!J4627)/2)</f>
        <v>-0.10101040172344</v>
      </c>
      <c r="K4629" s="7" t="n">
        <f aca="false">(Sens!K4626-Sens!K4625)*(1-tax_f)/((Sens!J4627+Sens!K4627)/2)</f>
        <v>-0.104394445252463</v>
      </c>
    </row>
    <row r="4630" customFormat="false" ht="17.15" hidden="false" customHeight="false" outlineLevel="0" collapsed="false">
      <c r="A4630" s="1" t="s">
        <v>865</v>
      </c>
      <c r="B4630" s="0" t="s">
        <v>129</v>
      </c>
      <c r="F4630" s="7" t="n">
        <f aca="false">(Sens!F4626-Sens!F4625+Sens!F4624)*(1-tax_f)/((Sens!E4627+Sens!F4627)/2)</f>
        <v>0.0187268935512946</v>
      </c>
      <c r="G4630" s="7" t="n">
        <f aca="false">(Sens!G4626-Sens!G4625+Sens!G4624)*(1-tax_f)/((Sens!F4627+Sens!G4627)/2)</f>
        <v>0.0147391986916774</v>
      </c>
      <c r="H4630" s="7" t="n">
        <f aca="false">(Sens!H4626-Sens!H4625+Sens!H4624)*(1-tax_f)/((Sens!G4627+Sens!H4627)/2)</f>
        <v>0.00358629801388295</v>
      </c>
      <c r="I4630" s="7" t="n">
        <f aca="false">(Sens!I4626-Sens!I4625+Sens!I4624)*(1-tax_f)/((Sens!H4627+Sens!I4627)/2)</f>
        <v>0.00674442796696237</v>
      </c>
      <c r="J4630" s="7" t="n">
        <f aca="false">(Sens!J4626-Sens!J4625+Sens!J4624)*(1-tax_f)/((Sens!I4627+Sens!J4627)/2)</f>
        <v>0.0100015547542817</v>
      </c>
      <c r="K4630" s="7" t="n">
        <f aca="false">(Sens!K4626-Sens!K4625+Sens!K4624)*(1-tax_f)/((Sens!J4627+Sens!K4627)/2)</f>
        <v>0.016243502544578</v>
      </c>
    </row>
    <row r="4631" customFormat="false" ht="17.15" hidden="false" customHeight="false" outlineLevel="0" collapsed="false">
      <c r="A4631" s="1" t="s">
        <v>866</v>
      </c>
      <c r="B4631" s="0" t="s">
        <v>129</v>
      </c>
      <c r="F4631" s="7" t="n">
        <f aca="false">Sens!F4556*(1-tax_f)/(Sens!F4543*(Sens!E4627+Sens!F4627)/2)</f>
        <v>0.0773870506278514</v>
      </c>
      <c r="G4631" s="7" t="n">
        <f aca="false">Sens!G4556*(1-tax_f)/(Sens!G4543*(Sens!F4627+Sens!G4627)/2)</f>
        <v>0.0446449228382596</v>
      </c>
      <c r="H4631" s="7" t="n">
        <f aca="false">Sens!H4556*(1-tax_f)/(Sens!H4543*(Sens!G4627+Sens!H4627)/2)</f>
        <v>0.0132221377194086</v>
      </c>
      <c r="I4631" s="7" t="n">
        <f aca="false">Sens!I4556*(1-tax_f)/(Sens!I4543*(Sens!H4627+Sens!I4627)/2)</f>
        <v>0.0123923655127259</v>
      </c>
      <c r="J4631" s="7" t="n">
        <f aca="false">Sens!J4556*(1-tax_f)/(Sens!J4543*(Sens!I4627+Sens!J4627)/2)</f>
        <v>0.0138823670989017</v>
      </c>
      <c r="K4631" s="7" t="n">
        <f aca="false">Sens!K4556*(1-tax_f)/(Sens!K4543*(Sens!J4627+Sens!K4627)/2)</f>
        <v>0.019561831898859</v>
      </c>
    </row>
    <row r="4632" customFormat="false" ht="17.15" hidden="false" customHeight="false" outlineLevel="0" collapsed="false">
      <c r="A4632" s="0" t="s">
        <v>867</v>
      </c>
      <c r="B4632" s="0" t="s">
        <v>209</v>
      </c>
      <c r="F4632" s="7" t="n">
        <f aca="false">Sens!F4628-wacc</f>
        <v>-0.0842075265415812</v>
      </c>
      <c r="G4632" s="7" t="n">
        <f aca="false">Sens!G4628-wacc</f>
        <v>-0.0881952214011984</v>
      </c>
      <c r="H4632" s="7" t="n">
        <f aca="false">Sens!H4628-wacc</f>
        <v>-0.0993481220789928</v>
      </c>
      <c r="I4632" s="7" t="n">
        <f aca="false">Sens!I4628-wacc</f>
        <v>-0.0961899921259134</v>
      </c>
      <c r="J4632" s="7" t="n">
        <f aca="false">Sens!J4628-wacc</f>
        <v>-0.0929328653385941</v>
      </c>
      <c r="K4632" s="7" t="n">
        <f aca="false">Sens!K4628-wacc</f>
        <v>-0.0866909175482978</v>
      </c>
    </row>
    <row r="4633" customFormat="false" ht="17.15" hidden="false" customHeight="false" outlineLevel="0" collapsed="false">
      <c r="A4633" s="0" t="s">
        <v>868</v>
      </c>
      <c r="B4633" s="0" t="s">
        <v>98</v>
      </c>
      <c r="F4633" s="6" t="n">
        <f aca="false">Sens!F4626*(1-tax_f)-wacc*(Sens!E4627+Sens!F4627)/2</f>
        <v>-15.7197863388891</v>
      </c>
      <c r="G4633" s="6" t="n">
        <f aca="false">Sens!G4626*(1-tax_f)-wacc*(Sens!F4627+Sens!G4627)/2</f>
        <v>-26.7557981886738</v>
      </c>
      <c r="H4633" s="6" t="n">
        <f aca="false">Sens!H4626*(1-tax_f)-wacc*(Sens!G4627+Sens!H4627)/2</f>
        <v>-41.4882697121969</v>
      </c>
      <c r="I4633" s="6" t="n">
        <f aca="false">Sens!I4626*(1-tax_f)-wacc*(Sens!H4627+Sens!I4627)/2</f>
        <v>-47.9087950944408</v>
      </c>
      <c r="J4633" s="6" t="n">
        <f aca="false">Sens!J4626*(1-tax_f)-wacc*(Sens!I4627+Sens!J4627)/2</f>
        <v>-49.196283663014</v>
      </c>
      <c r="K4633" s="6" t="n">
        <f aca="false">Sens!K4626*(1-tax_f)-wacc*(Sens!J4627+Sens!K4627)/2</f>
        <v>-46.8401033257184</v>
      </c>
    </row>
    <row r="4634" customFormat="false" ht="17.15" hidden="false" customHeight="false" outlineLevel="0" collapsed="false">
      <c r="A4634" s="3" t="s">
        <v>1380</v>
      </c>
    </row>
    <row r="4635" customFormat="false" ht="15" hidden="false" customHeight="false" outlineLevel="0" collapsed="false">
      <c r="A4635" s="4" t="s">
        <v>43</v>
      </c>
      <c r="B4635" s="4" t="s">
        <v>65</v>
      </c>
      <c r="C4635" s="20" t="s">
        <v>799</v>
      </c>
      <c r="D4635" s="20" t="s">
        <v>800</v>
      </c>
      <c r="E4635" s="20" t="s">
        <v>801</v>
      </c>
      <c r="F4635" s="20" t="s">
        <v>802</v>
      </c>
      <c r="G4635" s="20" t="s">
        <v>803</v>
      </c>
      <c r="H4635" s="20" t="s">
        <v>804</v>
      </c>
      <c r="I4635" s="20" t="s">
        <v>805</v>
      </c>
      <c r="J4635" s="20" t="s">
        <v>806</v>
      </c>
      <c r="K4635" s="20" t="s">
        <v>807</v>
      </c>
      <c r="L4635" s="4" t="s">
        <v>47</v>
      </c>
    </row>
    <row r="4636" customFormat="false" ht="15" hidden="false" customHeight="false" outlineLevel="0" collapsed="false">
      <c r="A4636" s="1" t="s">
        <v>925</v>
      </c>
      <c r="B4636" s="0" t="s">
        <v>98</v>
      </c>
      <c r="F4636" s="6" t="n">
        <f aca="false">Sens!F4617</f>
        <v>134.593416747254</v>
      </c>
      <c r="G4636" s="6" t="n">
        <f aca="false">Sens!G4617</f>
        <v>138.657988275354</v>
      </c>
      <c r="H4636" s="6" t="n">
        <f aca="false">Sens!H4617</f>
        <v>137.407881915165</v>
      </c>
      <c r="I4636" s="6" t="n">
        <f aca="false">Sens!I4617</f>
        <v>142.202681726873</v>
      </c>
      <c r="J4636" s="6" t="n">
        <f aca="false">Sens!J4617</f>
        <v>149.445326827852</v>
      </c>
      <c r="K4636" s="6" t="n">
        <f aca="false">Sens!K4617</f>
        <v>160.067604907037</v>
      </c>
    </row>
    <row r="4637" customFormat="false" ht="17.15" hidden="false" customHeight="false" outlineLevel="0" collapsed="false">
      <c r="A4637" s="1" t="s">
        <v>947</v>
      </c>
      <c r="B4637" s="0" t="s">
        <v>98</v>
      </c>
      <c r="E4637" s="6" t="n">
        <f aca="false">Q!M38-Sens!E4555</f>
        <v>19.2164783275</v>
      </c>
      <c r="F4637" s="6" t="n">
        <f aca="false">Sens!E4637*(1-1/life_nonai)+(Sens!F4644+Sens!F4645)/life_nonai</f>
        <v>21.6815429076033</v>
      </c>
      <c r="G4637" s="6" t="n">
        <f aca="false">Sens!F4637*(1-1/life_nonai)+(Sens!G4644)/life_nonai</f>
        <v>23.5836779738819</v>
      </c>
      <c r="H4637" s="6" t="n">
        <f aca="false">Sens!G4637*(1-1/life_nonai)+(Sens!H4644)/life_nonai</f>
        <v>25.8314615409027</v>
      </c>
      <c r="I4637" s="6" t="n">
        <f aca="false">Sens!H4637*(1-1/life_nonai)+(Sens!I4644)/life_nonai</f>
        <v>28.3706554179768</v>
      </c>
      <c r="J4637" s="6" t="n">
        <f aca="false">Sens!I4637*(1-1/life_nonai)+(Sens!J4644)/life_nonai</f>
        <v>31.1291812012165</v>
      </c>
      <c r="K4637" s="6" t="n">
        <f aca="false">Sens!J4637*(1-1/life_nonai)+(Sens!K4644)/life_nonai</f>
        <v>34.0256333552943</v>
      </c>
      <c r="L4637" s="11" t="s">
        <v>948</v>
      </c>
    </row>
    <row r="4638" customFormat="false" ht="17.15" hidden="false" customHeight="false" outlineLevel="0" collapsed="false">
      <c r="A4638" s="1" t="s">
        <v>949</v>
      </c>
      <c r="B4638" s="0" t="s">
        <v>98</v>
      </c>
      <c r="F4638" s="6" t="n">
        <f aca="false">Sens!$F$4645/life_nonai*(1-1/life_nonai)^(Sens!F4521-2027)</f>
        <v>0.843777689897088</v>
      </c>
      <c r="G4638" s="6" t="n">
        <f aca="false">Sens!$F$4645/life_nonai*(1-1/life_nonai)^(Sens!G4521-2027)</f>
        <v>0.759399920907379</v>
      </c>
      <c r="H4638" s="6" t="n">
        <f aca="false">Sens!$F$4645/life_nonai*(1-1/life_nonai)^(Sens!H4521-2027)</f>
        <v>0.683459928816641</v>
      </c>
      <c r="I4638" s="6" t="n">
        <f aca="false">Sens!$F$4645/life_nonai*(1-1/life_nonai)^(Sens!I4521-2027)</f>
        <v>0.615113935934977</v>
      </c>
      <c r="J4638" s="6" t="n">
        <f aca="false">Sens!$F$4645/life_nonai*(1-1/life_nonai)^(Sens!J4521-2027)</f>
        <v>0.55360254234148</v>
      </c>
      <c r="K4638" s="6" t="n">
        <f aca="false">Sens!$F$4645/life_nonai*(1-1/life_nonai)^(Sens!K4521-2027)</f>
        <v>0.498242288107332</v>
      </c>
      <c r="L4638" s="1" t="s">
        <v>950</v>
      </c>
    </row>
    <row r="4639" customFormat="false" ht="17.15" hidden="false" customHeight="false" outlineLevel="0" collapsed="false">
      <c r="A4639" s="1" t="s">
        <v>951</v>
      </c>
      <c r="B4639" s="0" t="s">
        <v>98</v>
      </c>
      <c r="E4639" s="6" t="n">
        <f aca="false">Sens!E4555+Sens!E4637</f>
        <v>38.534</v>
      </c>
      <c r="F4639" s="6" t="n">
        <f aca="false">Sens!F4555+Sens!F4637</f>
        <v>62.05226974475</v>
      </c>
      <c r="G4639" s="6" t="n">
        <f aca="false">Sens!G4555+Sens!G4637</f>
        <v>93.7379183464953</v>
      </c>
      <c r="H4639" s="6" t="n">
        <f aca="false">Sens!H4555+Sens!H4637</f>
        <v>129.120734028376</v>
      </c>
      <c r="I4639" s="6" t="n">
        <f aca="false">Sens!I4555+Sens!I4637</f>
        <v>161.646581236748</v>
      </c>
      <c r="J4639" s="6" t="n">
        <f aca="false">Sens!J4555+Sens!J4637</f>
        <v>186.638304541756</v>
      </c>
      <c r="K4639" s="6" t="n">
        <f aca="false">Sens!K4555+Sens!K4637</f>
        <v>202.874053479367</v>
      </c>
    </row>
    <row r="4640" customFormat="false" ht="17.15" hidden="false" customHeight="false" outlineLevel="0" collapsed="false">
      <c r="A4640" s="1" t="s">
        <v>952</v>
      </c>
      <c r="B4640" s="0" t="s">
        <v>98</v>
      </c>
      <c r="F4640" s="6" t="n">
        <f aca="false">Sens!F4582*sbc_r</f>
        <v>14.7102349124428</v>
      </c>
      <c r="G4640" s="6" t="n">
        <f aca="false">Sens!G4582*sbc_r</f>
        <v>17.061233875013</v>
      </c>
      <c r="H4640" s="6" t="n">
        <f aca="false">Sens!H4582*sbc_r</f>
        <v>19.2986253211574</v>
      </c>
      <c r="I4640" s="6" t="n">
        <f aca="false">Sens!I4582*sbc_r</f>
        <v>21.6286309866979</v>
      </c>
      <c r="J4640" s="6" t="n">
        <f aca="false">Sens!J4582*sbc_r</f>
        <v>23.6369527478514</v>
      </c>
      <c r="K4640" s="6" t="n">
        <f aca="false">Sens!K4582*sbc_r</f>
        <v>25.3192729293937</v>
      </c>
    </row>
    <row r="4641" customFormat="false" ht="17.15" hidden="false" customHeight="false" outlineLevel="0" collapsed="false">
      <c r="A4641" s="1" t="s">
        <v>953</v>
      </c>
      <c r="B4641" s="0" t="s">
        <v>98</v>
      </c>
      <c r="F4641" s="6" t="n">
        <f aca="false">wc27</f>
        <v>-4.895</v>
      </c>
      <c r="G4641" s="6" t="n">
        <f aca="false">wc_f</f>
        <v>0</v>
      </c>
      <c r="H4641" s="6" t="n">
        <f aca="false">wc_f</f>
        <v>0</v>
      </c>
      <c r="I4641" s="6" t="n">
        <f aca="false">wc_f</f>
        <v>0</v>
      </c>
      <c r="J4641" s="6" t="n">
        <f aca="false">wc_f</f>
        <v>0</v>
      </c>
      <c r="K4641" s="6" t="n">
        <f aca="false">wc_f</f>
        <v>0</v>
      </c>
      <c r="L4641" s="11" t="s">
        <v>954</v>
      </c>
    </row>
    <row r="4642" customFormat="false" ht="15" hidden="false" customHeight="false" outlineLevel="0" collapsed="false">
      <c r="A4642" s="1" t="s">
        <v>767</v>
      </c>
      <c r="B4642" s="0" t="s">
        <v>98</v>
      </c>
      <c r="E4642" s="6" t="n">
        <f aca="false">Q!M35</f>
        <v>182.935</v>
      </c>
      <c r="F4642" s="6" t="n">
        <f aca="false">Sens!F4636+Sens!F4639+Sens!F4640+Sens!F4641</f>
        <v>206.460921404447</v>
      </c>
      <c r="G4642" s="6" t="n">
        <f aca="false">Sens!G4636+Sens!G4639+Sens!G4640+Sens!G4641</f>
        <v>249.457140496862</v>
      </c>
      <c r="H4642" s="6" t="n">
        <f aca="false">Sens!H4636+Sens!H4639+Sens!H4640+Sens!H4641</f>
        <v>285.827241264698</v>
      </c>
      <c r="I4642" s="6" t="n">
        <f aca="false">Sens!I4636+Sens!I4639+Sens!I4640+Sens!I4641</f>
        <v>325.477893950318</v>
      </c>
      <c r="J4642" s="6" t="n">
        <f aca="false">Sens!J4636+Sens!J4639+Sens!J4640+Sens!J4641</f>
        <v>359.72058411746</v>
      </c>
      <c r="K4642" s="6" t="n">
        <f aca="false">Sens!K4636+Sens!K4639+Sens!K4640+Sens!K4641</f>
        <v>388.260931315798</v>
      </c>
    </row>
    <row r="4643" customFormat="false" ht="17.15" hidden="false" customHeight="false" outlineLevel="0" collapsed="false">
      <c r="A4643" s="0" t="s">
        <v>955</v>
      </c>
      <c r="B4643" s="0" t="s">
        <v>98</v>
      </c>
      <c r="F4643" s="6" t="n">
        <f aca="false">Sens!F4552</f>
        <v>160.332875871467</v>
      </c>
      <c r="G4643" s="6" t="n">
        <f aca="false">Sens!G4552</f>
        <v>183.5741804832</v>
      </c>
      <c r="H4643" s="6" t="n">
        <f aca="false">Sens!H4552</f>
        <v>218.338961257067</v>
      </c>
      <c r="I4643" s="6" t="n">
        <f aca="false">Sens!I4552</f>
        <v>179.144768820912</v>
      </c>
      <c r="J4643" s="6" t="n">
        <f aca="false">Sens!J4552</f>
        <v>172.260687620909</v>
      </c>
      <c r="K4643" s="6" t="n">
        <f aca="false">Sens!K4552</f>
        <v>173.971057048657</v>
      </c>
    </row>
    <row r="4644" customFormat="false" ht="17.15" hidden="false" customHeight="false" outlineLevel="0" collapsed="false">
      <c r="A4644" s="1" t="s">
        <v>956</v>
      </c>
      <c r="B4644" s="0" t="s">
        <v>98</v>
      </c>
      <c r="E4644" s="6" t="n">
        <f aca="false">Sens!E4560*cx_azo+Sens!E4567*cx_m365+Sens!E4568*cx_lic+(Sens!E4570+Sens!E4572)*cx_ind+Sens!E4575*cx_srch+(Sens!E4577+Sens!E4579)*cx_dev</f>
        <v>30.1846587067718</v>
      </c>
      <c r="F4644" s="6" t="n">
        <f aca="false">Sens!F4560*cx_azo+Sens!F4567*cx_m365+Sens!F4568*cx_lic+(Sens!F4570+Sens!F4572)*cx_ind+Sens!F4575*cx_srch+(Sens!F4577+Sens!F4579)*cx_dev</f>
        <v>35.4293472295625</v>
      </c>
      <c r="G4644" s="6" t="n">
        <f aca="false">Sens!G4560*cx_azo+Sens!G4567*cx_m365+Sens!G4568*cx_lic+(Sens!G4570+Sens!G4572)*cx_ind+Sens!G4575*cx_srch+(Sens!G4577+Sens!G4579)*cx_dev</f>
        <v>40.7028935703892</v>
      </c>
      <c r="H4644" s="6" t="n">
        <f aca="false">Sens!H4560*cx_azo+Sens!H4567*cx_m365+Sens!H4568*cx_lic+(Sens!H4570+Sens!H4572)*cx_ind+Sens!H4575*cx_srch+(Sens!H4577+Sens!H4579)*cx_dev</f>
        <v>46.0615136440897</v>
      </c>
      <c r="I4644" s="6" t="n">
        <f aca="false">Sens!I4560*cx_azo+Sens!I4567*cx_m365+Sens!I4568*cx_lic+(Sens!I4570+Sens!I4572)*cx_ind+Sens!I4575*cx_srch+(Sens!I4577+Sens!I4579)*cx_dev</f>
        <v>51.2234003116439</v>
      </c>
      <c r="J4644" s="6" t="n">
        <f aca="false">Sens!J4560*cx_azo+Sens!J4567*cx_m365+Sens!J4568*cx_lic+(Sens!J4570+Sens!J4572)*cx_ind+Sens!J4575*cx_srch+(Sens!J4577+Sens!J4579)*cx_dev</f>
        <v>55.9559132503738</v>
      </c>
      <c r="K4644" s="6" t="n">
        <f aca="false">Sens!K4560*cx_azo+Sens!K4567*cx_m365+Sens!K4568*cx_lic+(Sens!K4570+Sens!K4572)*cx_ind+Sens!K4575*cx_srch+(Sens!K4577+Sens!K4579)*cx_dev</f>
        <v>60.093702741994</v>
      </c>
    </row>
    <row r="4645" customFormat="false" ht="17.15" hidden="false" customHeight="false" outlineLevel="0" collapsed="false">
      <c r="A4645" s="0" t="s">
        <v>957</v>
      </c>
      <c r="B4645" s="0" t="s">
        <v>98</v>
      </c>
      <c r="F4645" s="6" t="n">
        <f aca="false">Sens!F4550</f>
        <v>8.43777689897088</v>
      </c>
      <c r="L4645" s="1" t="s">
        <v>958</v>
      </c>
    </row>
    <row r="4646" customFormat="false" ht="17.15" hidden="false" customHeight="false" outlineLevel="0" collapsed="false">
      <c r="A4646" s="1" t="s">
        <v>959</v>
      </c>
      <c r="B4646" s="0" t="s">
        <v>98</v>
      </c>
      <c r="E4646" s="6" t="n">
        <f aca="false">Q!M42</f>
        <v>145.3</v>
      </c>
      <c r="F4646" s="6" t="n">
        <f aca="false">Sens!F4643+Sens!F4644+Sens!F4645</f>
        <v>204.2</v>
      </c>
      <c r="G4646" s="6" t="n">
        <f aca="false">Sens!G4643+Sens!G4644</f>
        <v>224.277074053589</v>
      </c>
      <c r="H4646" s="6" t="n">
        <f aca="false">Sens!H4643+Sens!H4644</f>
        <v>264.400474901156</v>
      </c>
      <c r="I4646" s="6" t="n">
        <f aca="false">Sens!I4643+Sens!I4644</f>
        <v>230.368169132556</v>
      </c>
      <c r="J4646" s="6" t="n">
        <f aca="false">Sens!J4643+Sens!J4644</f>
        <v>228.216600871283</v>
      </c>
      <c r="K4646" s="6" t="n">
        <f aca="false">Sens!K4643+Sens!K4644</f>
        <v>234.064759790651</v>
      </c>
      <c r="L4646" s="1" t="s">
        <v>960</v>
      </c>
    </row>
    <row r="4647" customFormat="false" ht="15" hidden="false" customHeight="false" outlineLevel="0" collapsed="false">
      <c r="A4647" s="1" t="s">
        <v>961</v>
      </c>
      <c r="B4647" s="0" t="s">
        <v>98</v>
      </c>
      <c r="E4647" s="6" t="n">
        <f aca="false">fl_liab</f>
        <v>66.594</v>
      </c>
      <c r="F4647" s="6" t="n">
        <f aca="false">Sens!E4647-Sens!F4648</f>
        <v>62.46973</v>
      </c>
      <c r="G4647" s="6" t="n">
        <f aca="false">Sens!F4647-Sens!G4648</f>
        <v>57.98686785</v>
      </c>
      <c r="H4647" s="6" t="n">
        <f aca="false">Sens!G4647-Sens!H4648</f>
        <v>53.92827690325</v>
      </c>
      <c r="I4647" s="6" t="n">
        <f aca="false">Sens!H4647-Sens!I4648</f>
        <v>49.7850493638962</v>
      </c>
      <c r="J4647" s="6" t="n">
        <f aca="false">Sens!I4647-Sens!J4648</f>
        <v>45.4823765852716</v>
      </c>
      <c r="K4647" s="6" t="n">
        <f aca="false">Sens!J4647-Sens!K4648</f>
        <v>40.9860835316088</v>
      </c>
    </row>
    <row r="4648" customFormat="false" ht="15" hidden="false" customHeight="false" outlineLevel="0" collapsed="false">
      <c r="A4648" s="1" t="s">
        <v>962</v>
      </c>
      <c r="B4648" s="0" t="s">
        <v>98</v>
      </c>
      <c r="F4648" s="6" t="n">
        <f aca="false">fl_pay_27-Sens!E4647*fl_rate</f>
        <v>4.12427</v>
      </c>
      <c r="G4648" s="6" t="n">
        <f aca="false">fl_pay_28-Sens!F4647*fl_rate</f>
        <v>4.48286215</v>
      </c>
      <c r="H4648" s="6" t="n">
        <f aca="false">fl_pay_29-Sens!G4647*fl_rate</f>
        <v>4.05859094675</v>
      </c>
      <c r="I4648" s="6" t="n">
        <f aca="false">fl_pay_30-Sens!H4647*fl_rate</f>
        <v>4.14322753935375</v>
      </c>
      <c r="J4648" s="6" t="n">
        <f aca="false">fl_pay_31-Sens!I4647*fl_rate</f>
        <v>4.30267277862467</v>
      </c>
      <c r="K4648" s="6" t="n">
        <f aca="false">fl_pay_32-Sens!J4647*fl_rate</f>
        <v>4.49629305366278</v>
      </c>
    </row>
    <row r="4649" customFormat="false" ht="17.15" hidden="false" customHeight="false" outlineLevel="0" collapsed="false">
      <c r="A4649" s="1" t="s">
        <v>963</v>
      </c>
      <c r="B4649" s="0" t="s">
        <v>98</v>
      </c>
      <c r="E4649" s="6" t="n">
        <f aca="false">Q!M35-Q!M36-Q!M43</f>
        <v>63.886</v>
      </c>
      <c r="F4649" s="6" t="n">
        <f aca="false">Sens!F4642-Sens!F4646-Sens!F4648</f>
        <v>-1.8633485955532</v>
      </c>
      <c r="G4649" s="6" t="n">
        <f aca="false">Sens!G4642-Sens!G4646-Sens!G4648</f>
        <v>20.697204293273</v>
      </c>
      <c r="H4649" s="6" t="n">
        <f aca="false">Sens!H4642-Sens!H4646-Sens!H4648</f>
        <v>17.3681754167917</v>
      </c>
      <c r="I4649" s="6" t="n">
        <f aca="false">Sens!I4642-Sens!I4646-Sens!I4648</f>
        <v>90.9664972784087</v>
      </c>
      <c r="J4649" s="6" t="n">
        <f aca="false">Sens!J4642-Sens!J4646-Sens!J4648</f>
        <v>127.201310467552</v>
      </c>
      <c r="K4649" s="6" t="n">
        <f aca="false">Sens!K4642-Sens!K4646-Sens!K4648</f>
        <v>149.699878471484</v>
      </c>
      <c r="L4649" s="11" t="s">
        <v>964</v>
      </c>
    </row>
    <row r="4650" customFormat="false" ht="15" hidden="false" customHeight="false" outlineLevel="0" collapsed="false">
      <c r="A4650" s="1" t="s">
        <v>965</v>
      </c>
      <c r="B4650" s="0" t="s">
        <v>75</v>
      </c>
      <c r="F4650" s="8" t="n">
        <f aca="false">dps_27</f>
        <v>3.85</v>
      </c>
      <c r="G4650" s="8" t="n">
        <f aca="false">Sens!F4650*(1+dps_g)</f>
        <v>4.158</v>
      </c>
      <c r="H4650" s="8" t="n">
        <f aca="false">Sens!G4650*(1+dps_g)</f>
        <v>4.49064</v>
      </c>
      <c r="I4650" s="8" t="n">
        <f aca="false">Sens!H4650*(1+dps_g)</f>
        <v>4.8498912</v>
      </c>
      <c r="J4650" s="8" t="n">
        <f aca="false">Sens!I4650*(1+dps_g)</f>
        <v>5.237882496</v>
      </c>
      <c r="K4650" s="8" t="n">
        <f aca="false">Sens!J4650*(1+dps_g)</f>
        <v>5.65691309568</v>
      </c>
    </row>
    <row r="4651" customFormat="false" ht="17.15" hidden="false" customHeight="false" outlineLevel="0" collapsed="false">
      <c r="A4651" s="1" t="s">
        <v>966</v>
      </c>
      <c r="B4651" s="0" t="s">
        <v>98</v>
      </c>
      <c r="E4651" s="6" t="n">
        <f aca="false">Q!M41</f>
        <v>26.445</v>
      </c>
      <c r="F4651" s="6" t="n">
        <f aca="false">Sens!F4650*Sens!E4660</f>
        <v>28.59395</v>
      </c>
      <c r="G4651" s="6" t="n">
        <f aca="false">Sens!G4650*Sens!F4660</f>
        <v>31.068576</v>
      </c>
      <c r="H4651" s="6" t="n">
        <f aca="false">Sens!H4650*Sens!G4660</f>
        <v>33.75614088</v>
      </c>
      <c r="I4651" s="6" t="n">
        <f aca="false">Sens!I4650*Sens!H4660</f>
        <v>36.6748772544</v>
      </c>
      <c r="J4651" s="6" t="n">
        <f aca="false">Sens!J4650*Sens!I4660</f>
        <v>39.6772662830715</v>
      </c>
      <c r="K4651" s="6" t="n">
        <f aca="false">Sens!K4650*Sens!J4660</f>
        <v>42.9387028110222</v>
      </c>
      <c r="L4651" s="1" t="s">
        <v>967</v>
      </c>
    </row>
    <row r="4652" customFormat="false" ht="15" hidden="false" customHeight="false" outlineLevel="0" collapsed="false">
      <c r="A4652" s="1" t="s">
        <v>968</v>
      </c>
      <c r="B4652" s="0" t="s">
        <v>98</v>
      </c>
      <c r="E4652" s="6" t="n">
        <f aca="false">Sens!E4649-Sens!E4651</f>
        <v>37.441</v>
      </c>
      <c r="F4652" s="6" t="n">
        <f aca="false">Sens!F4649-Sens!F4651</f>
        <v>-30.4572985955532</v>
      </c>
      <c r="G4652" s="6" t="n">
        <f aca="false">Sens!G4649-Sens!G4651</f>
        <v>-10.3713717067271</v>
      </c>
      <c r="H4652" s="6" t="n">
        <f aca="false">Sens!H4649-Sens!H4651</f>
        <v>-16.3879654632083</v>
      </c>
      <c r="I4652" s="6" t="n">
        <f aca="false">Sens!I4649-Sens!I4651</f>
        <v>54.2916200240087</v>
      </c>
      <c r="J4652" s="6" t="n">
        <f aca="false">Sens!J4649-Sens!J4651</f>
        <v>87.5240441844808</v>
      </c>
      <c r="K4652" s="6" t="n">
        <f aca="false">Sens!K4649-Sens!K4651</f>
        <v>106.761175660462</v>
      </c>
    </row>
    <row r="4653" customFormat="false" ht="15" hidden="false" customHeight="false" outlineLevel="0" collapsed="false">
      <c r="A4653" s="1" t="s">
        <v>969</v>
      </c>
      <c r="B4653" s="0" t="s">
        <v>98</v>
      </c>
      <c r="F4653" s="6" t="n">
        <f aca="false">debt_mat_27</f>
        <v>9.25</v>
      </c>
      <c r="G4653" s="6" t="n">
        <f aca="false">debt_mat_28</f>
        <v>0</v>
      </c>
      <c r="H4653" s="6" t="n">
        <f aca="false">debt_mat_29</f>
        <v>2.001</v>
      </c>
      <c r="I4653" s="6" t="n">
        <f aca="false">debt_mat_30</f>
        <v>0</v>
      </c>
      <c r="J4653" s="6" t="n">
        <f aca="false">debt_mat_31</f>
        <v>0.5</v>
      </c>
      <c r="K4653" s="6" t="n">
        <f aca="false">debt_mat_32</f>
        <v>0</v>
      </c>
    </row>
    <row r="4654" customFormat="false" ht="15" hidden="false" customHeight="false" outlineLevel="0" collapsed="false">
      <c r="A4654" s="1" t="s">
        <v>970</v>
      </c>
      <c r="B4654" s="0" t="s">
        <v>98</v>
      </c>
      <c r="E4654" s="6" t="n">
        <f aca="false">Q!M40</f>
        <v>22.271</v>
      </c>
      <c r="F4654" s="6" t="n">
        <f aca="false">MAX(0,MIN(bb_target,Sens!E4656+Sens!F4652-Sens!F4653-min_cash))</f>
        <v>0</v>
      </c>
      <c r="G4654" s="6" t="n">
        <f aca="false">MAX(0,MIN(bb_target,Sens!F4656+Sens!G4652-Sens!G4653-min_cash))</f>
        <v>0</v>
      </c>
      <c r="H4654" s="6" t="n">
        <f aca="false">MAX(0,MIN(bb_target,Sens!G4656+Sens!H4652-Sens!H4653-min_cash))</f>
        <v>0</v>
      </c>
      <c r="I4654" s="6" t="n">
        <f aca="false">MAX(0,MIN(bb_target,Sens!H4656+Sens!I4652-Sens!I4653-min_cash))</f>
        <v>22.271</v>
      </c>
      <c r="J4654" s="6" t="n">
        <f aca="false">MAX(0,MIN(bb_target,Sens!I4656+Sens!J4652-Sens!J4653-min_cash))</f>
        <v>22.271</v>
      </c>
      <c r="K4654" s="6" t="n">
        <f aca="false">MAX(0,MIN(bb_target,Sens!J4656+Sens!K4652-Sens!K4653-min_cash))</f>
        <v>22.271</v>
      </c>
    </row>
    <row r="4655" customFormat="false" ht="15" hidden="false" customHeight="false" outlineLevel="0" collapsed="false">
      <c r="A4655" s="1" t="s">
        <v>971</v>
      </c>
      <c r="B4655" s="0" t="s">
        <v>98</v>
      </c>
      <c r="F4655" s="6" t="n">
        <f aca="false">MAX(0,min_cash-(Sens!E4656+Sens!F4652-Sens!F4653-Sens!F4654))</f>
        <v>12.8642985955532</v>
      </c>
      <c r="G4655" s="6" t="n">
        <f aca="false">MAX(0,min_cash-(Sens!F4656+Sens!G4652-Sens!G4653-Sens!G4654))</f>
        <v>10.371371706727</v>
      </c>
      <c r="H4655" s="6" t="n">
        <f aca="false">MAX(0,min_cash-(Sens!G4656+Sens!H4652-Sens!H4653-Sens!H4654))</f>
        <v>18.3889654632083</v>
      </c>
      <c r="I4655" s="6" t="n">
        <f aca="false">MAX(0,min_cash-(Sens!H4656+Sens!I4652-Sens!I4653-Sens!I4654))</f>
        <v>0</v>
      </c>
      <c r="J4655" s="6" t="n">
        <f aca="false">MAX(0,min_cash-(Sens!I4656+Sens!J4652-Sens!J4653-Sens!J4654))</f>
        <v>0</v>
      </c>
      <c r="K4655" s="6" t="n">
        <f aca="false">MAX(0,min_cash-(Sens!J4656+Sens!K4652-Sens!K4653-Sens!K4654))</f>
        <v>0</v>
      </c>
    </row>
    <row r="4656" customFormat="false" ht="15" hidden="false" customHeight="false" outlineLevel="0" collapsed="false">
      <c r="A4656" s="1" t="s">
        <v>972</v>
      </c>
      <c r="B4656" s="0" t="s">
        <v>98</v>
      </c>
      <c r="E4656" s="6" t="n">
        <f aca="false">cash_open</f>
        <v>76.843</v>
      </c>
      <c r="F4656" s="6" t="n">
        <f aca="false">Sens!E4656+Sens!F4652-Sens!F4653-Sens!F4654+Sens!F4655</f>
        <v>50</v>
      </c>
      <c r="G4656" s="6" t="n">
        <f aca="false">Sens!F4656+Sens!G4652-Sens!G4653-Sens!G4654+Sens!G4655</f>
        <v>50</v>
      </c>
      <c r="H4656" s="6" t="n">
        <f aca="false">Sens!G4656+Sens!H4652-Sens!H4653-Sens!H4654+Sens!H4655</f>
        <v>50</v>
      </c>
      <c r="I4656" s="6" t="n">
        <f aca="false">Sens!H4656+Sens!I4652-Sens!I4653-Sens!I4654+Sens!I4655</f>
        <v>82.0206200240087</v>
      </c>
      <c r="J4656" s="6" t="n">
        <f aca="false">Sens!I4656+Sens!J4652-Sens!J4653-Sens!J4654+Sens!J4655</f>
        <v>146.773664208489</v>
      </c>
      <c r="K4656" s="6" t="n">
        <f aca="false">Sens!J4656+Sens!K4652-Sens!K4653-Sens!K4654+Sens!K4655</f>
        <v>231.263839868951</v>
      </c>
    </row>
    <row r="4657" customFormat="false" ht="15" hidden="false" customHeight="false" outlineLevel="0" collapsed="false">
      <c r="A4657" s="1" t="s">
        <v>973</v>
      </c>
      <c r="B4657" s="0" t="s">
        <v>98</v>
      </c>
      <c r="E4657" s="6" t="n">
        <f aca="false">debt_face</f>
        <v>46.136</v>
      </c>
      <c r="F4657" s="6" t="n">
        <f aca="false">Sens!E4657-Sens!F4653+Sens!F4655</f>
        <v>49.7502985955532</v>
      </c>
      <c r="G4657" s="6" t="n">
        <f aca="false">Sens!F4657-Sens!G4653+Sens!G4655</f>
        <v>60.1216703022802</v>
      </c>
      <c r="H4657" s="6" t="n">
        <f aca="false">Sens!G4657-Sens!H4653+Sens!H4655</f>
        <v>76.5096357654886</v>
      </c>
      <c r="I4657" s="6" t="n">
        <f aca="false">Sens!H4657-Sens!I4653+Sens!I4655</f>
        <v>76.5096357654886</v>
      </c>
      <c r="J4657" s="6" t="n">
        <f aca="false">Sens!I4657-Sens!J4653+Sens!J4655</f>
        <v>76.0096357654886</v>
      </c>
      <c r="K4657" s="6" t="n">
        <f aca="false">Sens!J4657-Sens!K4653+Sens!K4655</f>
        <v>76.0096357654886</v>
      </c>
    </row>
    <row r="4658" customFormat="false" ht="15" hidden="false" customHeight="false" outlineLevel="0" collapsed="false">
      <c r="A4658" s="1" t="s">
        <v>974</v>
      </c>
      <c r="B4658" s="0" t="s">
        <v>98</v>
      </c>
      <c r="E4658" s="6" t="n">
        <f aca="false">Sens!E4656-Sens!E4657</f>
        <v>30.707</v>
      </c>
      <c r="F4658" s="6" t="n">
        <f aca="false">Sens!F4656-Sens!F4657</f>
        <v>0.249701404446803</v>
      </c>
      <c r="G4658" s="6" t="n">
        <f aca="false">Sens!G4656-Sens!G4657</f>
        <v>-10.1216703022802</v>
      </c>
      <c r="H4658" s="6" t="n">
        <f aca="false">Sens!H4656-Sens!H4657</f>
        <v>-26.5096357654886</v>
      </c>
      <c r="I4658" s="6" t="n">
        <f aca="false">Sens!I4656-Sens!I4657</f>
        <v>5.51098425852011</v>
      </c>
      <c r="J4658" s="6" t="n">
        <f aca="false">Sens!J4656-Sens!J4657</f>
        <v>70.7640284430009</v>
      </c>
      <c r="K4658" s="6" t="n">
        <f aca="false">Sens!K4656-Sens!K4657</f>
        <v>155.254204103463</v>
      </c>
    </row>
    <row r="4659" customFormat="false" ht="15" hidden="false" customHeight="false" outlineLevel="0" collapsed="false">
      <c r="A4659" s="1" t="s">
        <v>975</v>
      </c>
      <c r="B4659" s="0" t="s">
        <v>75</v>
      </c>
      <c r="F4659" s="29" t="n">
        <f aca="false">px*(1+bb_g)^(Sens!F4521-base_fy-mid_yr)</f>
        <v>553.494156066711</v>
      </c>
      <c r="G4659" s="29" t="n">
        <f aca="false">px*(1+bb_g)^(Sens!G4521-base_fy-mid_yr)</f>
        <v>597.773688552047</v>
      </c>
      <c r="H4659" s="29" t="n">
        <f aca="false">px*(1+bb_g)^(Sens!H4521-base_fy-mid_yr)</f>
        <v>645.595583636211</v>
      </c>
      <c r="I4659" s="29" t="n">
        <f aca="false">px*(1+bb_g)^(Sens!I4521-base_fy-mid_yr)</f>
        <v>697.243230327108</v>
      </c>
      <c r="J4659" s="29" t="n">
        <f aca="false">px*(1+bb_g)^(Sens!J4521-base_fy-mid_yr)</f>
        <v>753.022688753277</v>
      </c>
      <c r="K4659" s="29" t="n">
        <f aca="false">px*(1+bb_g)^(Sens!K4521-base_fy-mid_yr)</f>
        <v>813.264503853539</v>
      </c>
    </row>
    <row r="4660" customFormat="false" ht="15" hidden="false" customHeight="false" outlineLevel="0" collapsed="false">
      <c r="A4660" s="1" t="s">
        <v>976</v>
      </c>
      <c r="B4660" s="1" t="s">
        <v>81</v>
      </c>
      <c r="E4660" s="14" t="n">
        <f aca="false">sh_out26</f>
        <v>7.427</v>
      </c>
      <c r="F4660" s="14" t="n">
        <f aca="false">Sens!E4660+sh_iss-Sens!F4654/Sens!F4659</f>
        <v>7.472</v>
      </c>
      <c r="G4660" s="14" t="n">
        <f aca="false">Sens!F4660+sh_iss-Sens!G4654/Sens!G4659</f>
        <v>7.517</v>
      </c>
      <c r="H4660" s="14" t="n">
        <f aca="false">Sens!G4660+sh_iss-Sens!H4654/Sens!H4659</f>
        <v>7.562</v>
      </c>
      <c r="I4660" s="14" t="n">
        <f aca="false">Sens!H4660+sh_iss-Sens!I4654/Sens!I4659</f>
        <v>7.57505849231472</v>
      </c>
      <c r="J4660" s="14" t="n">
        <f aca="false">Sens!I4660+sh_iss-Sens!J4654/Sens!J4659</f>
        <v>7.59048302223576</v>
      </c>
      <c r="K4660" s="14" t="n">
        <f aca="false">Sens!J4660+sh_iss-Sens!K4654/Sens!K4659</f>
        <v>7.60809832771821</v>
      </c>
    </row>
    <row r="4661" customFormat="false" ht="15" hidden="false" customHeight="false" outlineLevel="0" collapsed="false">
      <c r="A4661" s="1" t="s">
        <v>977</v>
      </c>
      <c r="B4661" s="1" t="s">
        <v>81</v>
      </c>
      <c r="E4661" s="14" t="n">
        <f aca="false">sh_dil26</f>
        <v>7.453</v>
      </c>
      <c r="F4661" s="14" t="n">
        <f aca="false">(Sens!E4660+Sens!F4660)/2+dil_gap</f>
        <v>7.4735</v>
      </c>
      <c r="G4661" s="14" t="n">
        <f aca="false">(Sens!F4660+Sens!G4660)/2+dil_gap</f>
        <v>7.5185</v>
      </c>
      <c r="H4661" s="14" t="n">
        <f aca="false">(Sens!G4660+Sens!H4660)/2+dil_gap</f>
        <v>7.5635</v>
      </c>
      <c r="I4661" s="14" t="n">
        <f aca="false">(Sens!H4660+Sens!I4660)/2+dil_gap</f>
        <v>7.59252924615736</v>
      </c>
      <c r="J4661" s="14" t="n">
        <f aca="false">(Sens!I4660+Sens!J4660)/2+dil_gap</f>
        <v>7.60677075727524</v>
      </c>
      <c r="K4661" s="14" t="n">
        <f aca="false">(Sens!J4660+Sens!K4660)/2+dil_gap</f>
        <v>7.62329067497699</v>
      </c>
    </row>
    <row r="4662" customFormat="false" ht="17.15" hidden="false" customHeight="false" outlineLevel="0" collapsed="false">
      <c r="A4662" s="1" t="s">
        <v>978</v>
      </c>
      <c r="B4662" s="0" t="s">
        <v>98</v>
      </c>
      <c r="C4662" s="6" t="n">
        <f aca="false">SUM(Sens!F4652:J4652)</f>
        <v>84.5990284430009</v>
      </c>
    </row>
    <row r="4663" customFormat="false" ht="15" hidden="false" customHeight="false" outlineLevel="0" collapsed="false">
      <c r="A4663" s="23" t="s">
        <v>945</v>
      </c>
      <c r="B4663" s="30" t="s">
        <v>98</v>
      </c>
      <c r="C4663" s="24" t="n">
        <f aca="false">Sens!$C$4662-(Sens!F4652+Sens!G4652+Sens!H4652+Sens!I4652+Sens!J4652)</f>
        <v>0</v>
      </c>
      <c r="D4663" s="30"/>
      <c r="E4663" s="30"/>
      <c r="F4663" s="30"/>
      <c r="G4663" s="30"/>
      <c r="H4663" s="30"/>
      <c r="I4663" s="30"/>
      <c r="J4663" s="30"/>
      <c r="K4663" s="30"/>
    </row>
    <row r="4664" customFormat="false" ht="17.15" hidden="false" customHeight="false" outlineLevel="0" collapsed="false">
      <c r="A4664" s="1" t="s">
        <v>939</v>
      </c>
      <c r="B4664" s="1" t="s">
        <v>979</v>
      </c>
      <c r="C4664" s="32" t="str">
        <f aca="false">IF(SUM(Sens!F4655:J4655)&gt;0.05,"需要舉債 "&amp;TEXT(SUM(Sens!F4655:J4655),"0.0")&amp;" 十億美元","不需舉債")&amp;"；"&amp;IF(SUM(Sens!F4654:J4654)&lt;COUNT(Sens!F4654:J4654)*bb_target-0.05,"回購較每年 "&amp;TEXT(bb_target,"0.0")&amp;" 的目標少 "&amp;TEXT(COUNT(Sens!F4654:J4654)*bb_target-SUM(Sens!F4654:J4654),"0.0")&amp;" 十億美元（"&amp;TEXT(COUNTIF(Sens!F4654:J4654,"&lt;"&amp;(bb_target-0.05)),"0")&amp;" 年減少）","回購不減")</f>
        <v>需要舉債 41.6 十億美元；回購較每年 22.3 的目標少 66.8 十億美元（3 年減少）</v>
      </c>
    </row>
    <row r="4665" customFormat="false" ht="17.15" hidden="false" customHeight="false" outlineLevel="0" collapsed="false">
      <c r="A4665" s="3" t="s">
        <v>1381</v>
      </c>
    </row>
    <row r="4666" customFormat="false" ht="15" hidden="false" customHeight="false" outlineLevel="0" collapsed="false">
      <c r="A4666" s="4" t="s">
        <v>43</v>
      </c>
      <c r="B4666" s="4" t="s">
        <v>65</v>
      </c>
      <c r="C4666" s="20" t="s">
        <v>799</v>
      </c>
      <c r="D4666" s="20" t="s">
        <v>800</v>
      </c>
      <c r="E4666" s="20" t="s">
        <v>801</v>
      </c>
      <c r="F4666" s="20" t="s">
        <v>802</v>
      </c>
      <c r="G4666" s="20" t="s">
        <v>803</v>
      </c>
      <c r="H4666" s="20" t="s">
        <v>804</v>
      </c>
      <c r="I4666" s="20" t="s">
        <v>805</v>
      </c>
      <c r="J4666" s="20" t="s">
        <v>806</v>
      </c>
      <c r="K4666" s="20" t="s">
        <v>807</v>
      </c>
      <c r="L4666" s="4" t="s">
        <v>47</v>
      </c>
    </row>
    <row r="4667" customFormat="false" ht="15" hidden="false" customHeight="false" outlineLevel="0" collapsed="false">
      <c r="A4667" s="1" t="s">
        <v>1057</v>
      </c>
      <c r="B4667" s="1" t="s">
        <v>235</v>
      </c>
      <c r="F4667" s="36" t="n">
        <f aca="false">Sens!F4521-base_fy-mid_yr</f>
        <v>0.5</v>
      </c>
      <c r="G4667" s="36" t="n">
        <f aca="false">Sens!G4521-base_fy-mid_yr</f>
        <v>1.5</v>
      </c>
      <c r="H4667" s="36" t="n">
        <f aca="false">Sens!H4521-base_fy-mid_yr</f>
        <v>2.5</v>
      </c>
      <c r="I4667" s="36" t="n">
        <f aca="false">Sens!I4521-base_fy-mid_yr</f>
        <v>3.5</v>
      </c>
      <c r="J4667" s="36" t="n">
        <f aca="false">Sens!J4521-base_fy-mid_yr</f>
        <v>4.5</v>
      </c>
      <c r="K4667" s="36" t="n">
        <f aca="false">Sens!K4521-base_fy-mid_yr</f>
        <v>5.5</v>
      </c>
    </row>
    <row r="4668" customFormat="false" ht="15" hidden="false" customHeight="false" outlineLevel="0" collapsed="false">
      <c r="A4668" s="1" t="s">
        <v>1058</v>
      </c>
      <c r="B4668" s="0" t="s">
        <v>185</v>
      </c>
      <c r="F4668" s="14" t="n">
        <f aca="false">1/(1+wacc)^Sens!F4667</f>
        <v>0.952193373608246</v>
      </c>
      <c r="G4668" s="14" t="n">
        <f aca="false">1/(1+wacc)^Sens!G4667</f>
        <v>0.863327280626589</v>
      </c>
      <c r="H4668" s="14" t="n">
        <f aca="false">1/(1+wacc)^Sens!H4667</f>
        <v>0.782754862754115</v>
      </c>
      <c r="I4668" s="14" t="n">
        <f aca="false">1/(1+wacc)^Sens!I4667</f>
        <v>0.709702089711011</v>
      </c>
      <c r="J4668" s="14" t="n">
        <f aca="false">1/(1+wacc)^Sens!J4667</f>
        <v>0.643467169744551</v>
      </c>
      <c r="K4668" s="14" t="n">
        <f aca="false">1/(1+wacc)^Sens!K4667</f>
        <v>0.583413807767797</v>
      </c>
    </row>
    <row r="4669" customFormat="false" ht="17.15" hidden="false" customHeight="false" outlineLevel="0" collapsed="false">
      <c r="A4669" s="1" t="s">
        <v>1059</v>
      </c>
      <c r="B4669" s="0" t="s">
        <v>98</v>
      </c>
      <c r="F4669" s="6" t="n">
        <f aca="false">Sens!F4642-Sens!F4640-Sens!F4646+Sens!F4625*(1-tax_f)</f>
        <v>-4.37767069237793</v>
      </c>
      <c r="G4669" s="6" t="n">
        <f aca="false">Sens!G4642-Sens!G4640-Sens!G4646+Sens!G4625*(1-tax_f)</f>
        <v>29.2392595727556</v>
      </c>
      <c r="H4669" s="6" t="n">
        <f aca="false">Sens!H4642-Sens!H4640-Sens!H4646+Sens!H4625*(1-tax_f)</f>
        <v>37.915727044266</v>
      </c>
      <c r="I4669" s="6" t="n">
        <f aca="false">Sens!I4642-Sens!I4640-Sens!I4646+Sens!I4625*(1-tax_f)</f>
        <v>122.414791379003</v>
      </c>
      <c r="J4669" s="6" t="n">
        <f aca="false">Sens!J4642-Sens!J4640-Sens!J4646+Sens!J4625*(1-tax_f)</f>
        <v>166.633922931547</v>
      </c>
      <c r="K4669" s="6" t="n">
        <f aca="false">Sens!K4642-Sens!K4640-Sens!K4646+Sens!K4625*(1-tax_f)</f>
        <v>194.058974176714</v>
      </c>
      <c r="L4669" s="1" t="s">
        <v>1060</v>
      </c>
    </row>
    <row r="4670" customFormat="false" ht="15" hidden="false" customHeight="false" outlineLevel="0" collapsed="false">
      <c r="A4670" s="1" t="s">
        <v>1061</v>
      </c>
      <c r="B4670" s="0" t="s">
        <v>98</v>
      </c>
      <c r="F4670" s="6" t="n">
        <f aca="false">Sens!F4669*Sens!F4668</f>
        <v>-4.16838902512129</v>
      </c>
      <c r="G4670" s="6" t="n">
        <f aca="false">Sens!G4669*Sens!G4668</f>
        <v>25.243050454482</v>
      </c>
      <c r="H4670" s="6" t="n">
        <f aca="false">Sens!H4669*Sens!H4668</f>
        <v>29.678719718757</v>
      </c>
      <c r="I4670" s="6" t="n">
        <f aca="false">Sens!I4669*Sens!I4668</f>
        <v>86.8780332532159</v>
      </c>
      <c r="J4670" s="6" t="n">
        <f aca="false">Sens!J4669*Sens!J4668</f>
        <v>107.223458772194</v>
      </c>
      <c r="K4670" s="6" t="n">
        <f aca="false">Sens!K4669*Sens!K4668</f>
        <v>113.216685055949</v>
      </c>
    </row>
    <row r="4671" customFormat="false" ht="17.15" hidden="false" customHeight="false" outlineLevel="0" collapsed="false">
      <c r="A4671" s="1" t="s">
        <v>1062</v>
      </c>
      <c r="B4671" s="0" t="s">
        <v>98</v>
      </c>
      <c r="C4671" s="6" t="n">
        <f aca="false">SUM(Sens!F4670:K4670)</f>
        <v>358.071558229477</v>
      </c>
    </row>
    <row r="4672" customFormat="false" ht="17.15" hidden="false" customHeight="false" outlineLevel="0" collapsed="false">
      <c r="A4672" s="1" t="s">
        <v>1063</v>
      </c>
      <c r="B4672" s="0" t="s">
        <v>98</v>
      </c>
      <c r="C4672" s="6" t="n">
        <f aca="false">Sens!K4611*(1+g_tv)*(1-tax_f)</f>
        <v>232.336770902639</v>
      </c>
    </row>
    <row r="4673" customFormat="false" ht="17.15" hidden="false" customHeight="false" outlineLevel="0" collapsed="false">
      <c r="A4673" s="1" t="s">
        <v>1064</v>
      </c>
      <c r="B4673" s="0" t="s">
        <v>98</v>
      </c>
      <c r="C4673" s="6" t="n">
        <f aca="false">Sens!$C$4672*(1-g_tv/(wacc+ronic_prem))</f>
        <v>164.622753368075</v>
      </c>
    </row>
    <row r="4674" customFormat="false" ht="17.15" hidden="false" customHeight="false" outlineLevel="0" collapsed="false">
      <c r="A4674" s="1" t="s">
        <v>1065</v>
      </c>
      <c r="B4674" s="0" t="s">
        <v>98</v>
      </c>
      <c r="C4674" s="6" t="n">
        <f aca="false">Sens!$C$4673/(wacc-g_tv)</f>
        <v>2257.1339178188</v>
      </c>
    </row>
    <row r="4675" customFormat="false" ht="15" hidden="false" customHeight="false" outlineLevel="0" collapsed="false">
      <c r="A4675" s="1" t="s">
        <v>1066</v>
      </c>
      <c r="B4675" s="0" t="s">
        <v>98</v>
      </c>
      <c r="C4675" s="6" t="n">
        <f aca="false">Sens!$C$4674/(1+wacc)^(Sens!K4667+mid_yr)</f>
        <v>1253.88926784247</v>
      </c>
    </row>
    <row r="4676" customFormat="false" ht="17.15" hidden="false" customHeight="false" outlineLevel="0" collapsed="false">
      <c r="A4676" s="0" t="s">
        <v>986</v>
      </c>
      <c r="B4676" s="0" t="s">
        <v>98</v>
      </c>
      <c r="C4676" s="6" t="n">
        <f aca="false">Sens!$C$4671+Sens!$C$4675</f>
        <v>1611.96082607194</v>
      </c>
    </row>
    <row r="4677" customFormat="false" ht="15" hidden="false" customHeight="false" outlineLevel="0" collapsed="false">
      <c r="A4677" s="1" t="s">
        <v>987</v>
      </c>
      <c r="B4677" s="0" t="s">
        <v>129</v>
      </c>
      <c r="C4677" s="7" t="n">
        <f aca="false">Sens!$C$4675/Sens!$C$4676</f>
        <v>0.777865843612322</v>
      </c>
    </row>
    <row r="4678" customFormat="false" ht="17.15" hidden="false" customHeight="false" outlineLevel="0" collapsed="false">
      <c r="A4678" s="1" t="s">
        <v>1067</v>
      </c>
      <c r="B4678" s="0" t="s">
        <v>98</v>
      </c>
      <c r="C4678" s="6" t="n">
        <f aca="false">Sens!$C$4676+Sens!E4658-Sens!E4647+oai_v</f>
        <v>1746.47382607194</v>
      </c>
    </row>
    <row r="4679" customFormat="false" ht="17.15" hidden="false" customHeight="false" outlineLevel="0" collapsed="false">
      <c r="A4679" s="0" t="s">
        <v>994</v>
      </c>
      <c r="B4679" s="0" t="s">
        <v>75</v>
      </c>
      <c r="C4679" s="5" t="n">
        <f aca="false">Sens!$C$4678/sh_dil26</f>
        <v>234.331655182067</v>
      </c>
    </row>
    <row r="4680" customFormat="false" ht="15" hidden="false" customHeight="false" outlineLevel="0" collapsed="false">
      <c r="A4680" s="1" t="s">
        <v>1068</v>
      </c>
      <c r="B4680" s="0" t="s">
        <v>75</v>
      </c>
      <c r="C4680" s="8" t="n">
        <f aca="false">dps_27+Sens!G4650*roll_div_q/q_per_yr</f>
        <v>4.8895</v>
      </c>
    </row>
    <row r="4681" customFormat="false" ht="17.15" hidden="false" customHeight="false" outlineLevel="0" collapsed="false">
      <c r="A4681" s="0" t="s">
        <v>1069</v>
      </c>
      <c r="B4681" s="0" t="s">
        <v>75</v>
      </c>
      <c r="C4681" s="5" t="n">
        <f aca="false">Sens!$C$4679*(1+wacc)^t_roll-Sens!$C$4680</f>
        <v>261.951779978653</v>
      </c>
    </row>
    <row r="4682" customFormat="false" ht="17.15" hidden="false" customHeight="false" outlineLevel="0" collapsed="false">
      <c r="A4682" s="1" t="s">
        <v>1070</v>
      </c>
      <c r="B4682" s="0" t="s">
        <v>129</v>
      </c>
      <c r="F4682" s="7" t="n">
        <f aca="false">Sens!F4637/(Sens!F4582-Sens!F4538)</f>
        <v>0.0632404240472739</v>
      </c>
      <c r="G4682" s="7" t="n">
        <f aca="false">Sens!G4637/(Sens!G4582-Sens!G4538)</f>
        <v>0.0618593235122419</v>
      </c>
      <c r="H4682" s="7" t="n">
        <f aca="false">Sens!H4637/(Sens!H4582-Sens!H4538)</f>
        <v>0.0614394847432961</v>
      </c>
      <c r="I4682" s="7" t="n">
        <f aca="false">Sens!I4637/(Sens!I4582-Sens!I4538)</f>
        <v>0.0618881286020828</v>
      </c>
      <c r="J4682" s="7" t="n">
        <f aca="false">Sens!J4637/(Sens!J4582-Sens!J4538)</f>
        <v>0.0630382496792664</v>
      </c>
      <c r="K4682" s="7" t="n">
        <f aca="false">Sens!K4637/(Sens!K4582-Sens!K4538)</f>
        <v>0.0646917115306475</v>
      </c>
    </row>
    <row r="4683" customFormat="false" ht="17.15" hidden="false" customHeight="false" outlineLevel="0" collapsed="false">
      <c r="A4683" s="0" t="s">
        <v>1071</v>
      </c>
      <c r="B4683" s="0" t="s">
        <v>98</v>
      </c>
      <c r="F4683" s="6" t="n">
        <f aca="false">Sens!F4567*(al_m365+Sens!F4682+sbc_r)</f>
        <v>82.2478080895421</v>
      </c>
      <c r="G4683" s="6" t="n">
        <f aca="false">Sens!G4567*(al_m365+Sens!G4682+sbc_r)</f>
        <v>92.6804374584828</v>
      </c>
      <c r="H4683" s="6" t="n">
        <f aca="false">Sens!H4567*(al_m365+Sens!H4682+sbc_r)</f>
        <v>103.270080316793</v>
      </c>
      <c r="I4683" s="6" t="n">
        <f aca="false">Sens!I4567*(al_m365+Sens!I4682+sbc_r)</f>
        <v>113.340614157122</v>
      </c>
      <c r="J4683" s="6" t="n">
        <f aca="false">Sens!J4567*(al_m365+Sens!J4682+sbc_r)</f>
        <v>122.701615104959</v>
      </c>
      <c r="K4683" s="6" t="n">
        <f aca="false">Sens!K4567*(al_m365+Sens!K4682+sbc_r)</f>
        <v>131.658583262067</v>
      </c>
      <c r="L4683" s="11" t="s">
        <v>1072</v>
      </c>
    </row>
    <row r="4684" customFormat="false" ht="17.15" hidden="false" customHeight="false" outlineLevel="0" collapsed="false">
      <c r="A4684" s="0" t="s">
        <v>1073</v>
      </c>
      <c r="B4684" s="0" t="s">
        <v>98</v>
      </c>
      <c r="F4684" s="6" t="n">
        <f aca="false">Sens!F4568*(al_lic+Sens!F4682+sbc_r)</f>
        <v>33.2356132239631</v>
      </c>
      <c r="G4684" s="6" t="n">
        <f aca="false">Sens!G4568*(al_lic+Sens!G4682+sbc_r)</f>
        <v>34.5867040961719</v>
      </c>
      <c r="H4684" s="6" t="n">
        <f aca="false">Sens!H4568*(al_lic+Sens!H4682+sbc_r)</f>
        <v>35.8403225104118</v>
      </c>
      <c r="I4684" s="6" t="n">
        <f aca="false">Sens!I4568*(al_lic+Sens!I4682+sbc_r)</f>
        <v>36.9770760529</v>
      </c>
      <c r="J4684" s="6" t="n">
        <f aca="false">Sens!J4568*(al_lic+Sens!J4682+sbc_r)</f>
        <v>37.9745314647854</v>
      </c>
      <c r="K4684" s="6" t="n">
        <f aca="false">Sens!K4568*(al_lic+Sens!K4682+sbc_r)</f>
        <v>38.8093321349292</v>
      </c>
    </row>
    <row r="4685" customFormat="false" ht="17.15" hidden="false" customHeight="false" outlineLevel="0" collapsed="false">
      <c r="A4685" s="0" t="s">
        <v>1074</v>
      </c>
      <c r="B4685" s="0" t="s">
        <v>98</v>
      </c>
      <c r="F4685" s="6" t="n">
        <f aca="false">Sens!F4570*(al_ind+Sens!F4682+sbc_r)</f>
        <v>8.95681690659302</v>
      </c>
      <c r="G4685" s="6" t="n">
        <f aca="false">Sens!G4570*(al_ind+Sens!G4682+sbc_r)</f>
        <v>9.75715784627339</v>
      </c>
      <c r="H4685" s="6" t="n">
        <f aca="false">Sens!H4570*(al_ind+Sens!H4682+sbc_r)</f>
        <v>10.5982200241613</v>
      </c>
      <c r="I4685" s="6" t="n">
        <f aca="false">Sens!I4570*(al_ind+Sens!I4682+sbc_r)</f>
        <v>11.4755262207039</v>
      </c>
      <c r="J4685" s="6" t="n">
        <f aca="false">Sens!J4570*(al_ind+Sens!J4682+sbc_r)</f>
        <v>12.380713745435</v>
      </c>
      <c r="K4685" s="6" t="n">
        <f aca="false">Sens!K4570*(al_ind+Sens!K4682+sbc_r)</f>
        <v>13.3020661820196</v>
      </c>
    </row>
    <row r="4686" customFormat="false" ht="17.15" hidden="false" customHeight="false" outlineLevel="0" collapsed="false">
      <c r="A4686" s="0" t="s">
        <v>1075</v>
      </c>
      <c r="B4686" s="0" t="s">
        <v>98</v>
      </c>
      <c r="F4686" s="6" t="n">
        <f aca="false">Sens!F4572*(al_fro+Sens!F4682+sbc_r)</f>
        <v>3.52543458003616</v>
      </c>
      <c r="G4686" s="6" t="n">
        <f aca="false">Sens!G4572*(al_fro+Sens!G4682+sbc_r)</f>
        <v>3.74617175346932</v>
      </c>
      <c r="H4686" s="6" t="n">
        <f aca="false">Sens!H4572*(al_fro+Sens!H4682+sbc_r)</f>
        <v>3.99377205625032</v>
      </c>
      <c r="I4686" s="6" t="n">
        <f aca="false">Sens!I4572*(al_fro+Sens!I4682+sbc_r)</f>
        <v>4.27072381110846</v>
      </c>
      <c r="J4686" s="6" t="n">
        <f aca="false">Sens!J4572*(al_fro+Sens!J4682+sbc_r)</f>
        <v>4.57886373300828</v>
      </c>
      <c r="K4686" s="6" t="n">
        <f aca="false">Sens!K4572*(al_fro+Sens!K4682+sbc_r)</f>
        <v>4.91961527156568</v>
      </c>
    </row>
    <row r="4687" customFormat="false" ht="17.15" hidden="false" customHeight="false" outlineLevel="0" collapsed="false">
      <c r="A4687" s="0" t="s">
        <v>1076</v>
      </c>
      <c r="B4687" s="0" t="s">
        <v>98</v>
      </c>
      <c r="F4687" s="6" t="n">
        <f aca="false">Sens!F4575*(al_srch+Sens!F4682+sbc_r)</f>
        <v>11.0617982881984</v>
      </c>
      <c r="G4687" s="6" t="n">
        <f aca="false">Sens!G4575*(al_srch+Sens!G4682+sbc_r)</f>
        <v>12.1639295250861</v>
      </c>
      <c r="H4687" s="6" t="n">
        <f aca="false">Sens!H4575*(al_srch+Sens!H4682+sbc_r)</f>
        <v>13.3064498072489</v>
      </c>
      <c r="I4687" s="6" t="n">
        <f aca="false">Sens!I4575*(al_srch+Sens!I4682+sbc_r)</f>
        <v>14.4766384538152</v>
      </c>
      <c r="J4687" s="6" t="n">
        <f aca="false">Sens!J4575*(al_srch+Sens!J4682+sbc_r)</f>
        <v>15.6559889088531</v>
      </c>
      <c r="K4687" s="6" t="n">
        <f aca="false">Sens!K4575*(al_srch+Sens!K4682+sbc_r)</f>
        <v>16.8210819580023</v>
      </c>
    </row>
    <row r="4688" customFormat="false" ht="17.15" hidden="false" customHeight="false" outlineLevel="0" collapsed="false">
      <c r="A4688" s="0" t="s">
        <v>1077</v>
      </c>
      <c r="B4688" s="0" t="s">
        <v>98</v>
      </c>
      <c r="F4688" s="6" t="n">
        <f aca="false">Sens!F4544-Sens!F4545+Sens!F4625</f>
        <v>38.6139685315547</v>
      </c>
      <c r="G4688" s="6" t="n">
        <f aca="false">Sens!G4544-Sens!G4545+Sens!G4625</f>
        <v>67.8663997527415</v>
      </c>
      <c r="H4688" s="6" t="n">
        <f aca="false">Sens!H4544-Sens!H4545+Sens!H4625</f>
        <v>95.5337366807868</v>
      </c>
      <c r="I4688" s="6" t="n">
        <f aca="false">Sens!I4544-Sens!I4545+Sens!I4625</f>
        <v>126.534412811165</v>
      </c>
      <c r="J4688" s="6" t="n">
        <f aca="false">Sens!J4544-Sens!J4545+Sens!J4625</f>
        <v>150.311634812759</v>
      </c>
      <c r="K4688" s="6" t="n">
        <f aca="false">Sens!K4544-Sens!K4545+Sens!K4625</f>
        <v>167.128175274968</v>
      </c>
    </row>
    <row r="4689" customFormat="false" ht="17.15" hidden="false" customHeight="false" outlineLevel="0" collapsed="false">
      <c r="A4689" s="0" t="s">
        <v>1078</v>
      </c>
      <c r="B4689" s="0" t="s">
        <v>98</v>
      </c>
      <c r="F4689" s="6" t="n">
        <f aca="false">Sens!F4604+Sens!F4625+Sens!F4555+Sens!F4682*(Sens!F4574-Sens!F4538)+sbc_r*Sens!F4574</f>
        <v>229.643635708754</v>
      </c>
      <c r="G4689" s="6" t="n">
        <f aca="false">Sens!G4604+Sens!G4625+Sens!G4555+Sens!G4682*(Sens!G4574-Sens!G4538)+sbc_r*Sens!G4574</f>
        <v>284.377457663493</v>
      </c>
      <c r="H4689" s="6" t="n">
        <f aca="false">Sens!H4604+Sens!H4625+Sens!H4555+Sens!H4682*(Sens!H4574-Sens!H4538)+sbc_r*Sens!H4574</f>
        <v>337.828768502468</v>
      </c>
      <c r="I4689" s="6" t="n">
        <f aca="false">Sens!I4604+Sens!I4625+Sens!I4555+Sens!I4682*(Sens!I4574-Sens!I4538)+sbc_r*Sens!I4574</f>
        <v>393.953809933597</v>
      </c>
      <c r="J4689" s="6" t="n">
        <f aca="false">Sens!J4604+Sens!J4625+Sens!J4555+Sens!J4682*(Sens!J4574-Sens!J4538)+sbc_r*Sens!J4574</f>
        <v>440.95364723762</v>
      </c>
      <c r="K4689" s="6" t="n">
        <f aca="false">Sens!K4604+Sens!K4625+Sens!K4555+Sens!K4682*(Sens!K4574-Sens!K4538)+sbc_r*Sens!K4574</f>
        <v>478.662677418479</v>
      </c>
    </row>
    <row r="4690" customFormat="false" ht="17.15" hidden="false" customHeight="false" outlineLevel="0" collapsed="false">
      <c r="A4690" s="0" t="s">
        <v>1079</v>
      </c>
      <c r="B4690" s="0" t="s">
        <v>98</v>
      </c>
      <c r="F4690" s="6" t="n">
        <f aca="false">Sens!F4689-Sens!F4683-Sens!F4684-Sens!F4685-Sens!F4686-Sens!F4688</f>
        <v>63.0639943770646</v>
      </c>
      <c r="G4690" s="6" t="n">
        <f aca="false">Sens!G4689-Sens!G4683-Sens!G4684-Sens!G4685-Sens!G4686-Sens!G4688</f>
        <v>75.740586756354</v>
      </c>
      <c r="H4690" s="6" t="n">
        <f aca="false">Sens!H4689-Sens!H4683-Sens!H4684-Sens!H4685-Sens!H4686-Sens!H4688</f>
        <v>88.5926369140647</v>
      </c>
      <c r="I4690" s="6" t="n">
        <f aca="false">Sens!I4689-Sens!I4683-Sens!I4684-Sens!I4685-Sens!I4686-Sens!I4688</f>
        <v>101.355456880599</v>
      </c>
      <c r="J4690" s="6" t="n">
        <f aca="false">Sens!J4689-Sens!J4683-Sens!J4684-Sens!J4685-Sens!J4686-Sens!J4688</f>
        <v>113.006288376672</v>
      </c>
      <c r="K4690" s="6" t="n">
        <f aca="false">Sens!K4689-Sens!K4683-Sens!K4684-Sens!K4685-Sens!K4686-Sens!K4688</f>
        <v>122.84490529293</v>
      </c>
    </row>
    <row r="4691" customFormat="false" ht="17.15" hidden="false" customHeight="false" outlineLevel="0" collapsed="false">
      <c r="A4691" s="0" t="s">
        <v>1080</v>
      </c>
      <c r="B4691" s="0" t="s">
        <v>98</v>
      </c>
      <c r="F4691" s="6" t="n">
        <f aca="false">Sens!F4606+Sens!F4682*Sens!F4581+sbc_r*Sens!F4581</f>
        <v>25.8501934020292</v>
      </c>
      <c r="G4691" s="6" t="n">
        <f aca="false">Sens!G4606+Sens!G4682*Sens!G4581+sbc_r*Sens!G4581</f>
        <v>26.5447136578273</v>
      </c>
      <c r="H4691" s="6" t="n">
        <f aca="false">Sens!H4606+Sens!H4682*Sens!H4581+sbc_r*Sens!H4581</f>
        <v>27.4849257433734</v>
      </c>
      <c r="I4691" s="6" t="n">
        <f aca="false">Sens!I4606+Sens!I4682*Sens!I4581+sbc_r*Sens!I4581</f>
        <v>28.6418763833624</v>
      </c>
      <c r="J4691" s="6" t="n">
        <f aca="false">Sens!J4606+Sens!J4682*Sens!J4581+sbc_r*Sens!J4581</f>
        <v>29.9868841283291</v>
      </c>
      <c r="K4691" s="6" t="n">
        <f aca="false">Sens!K4606+Sens!K4682*Sens!K4581+sbc_r*Sens!K4581</f>
        <v>31.4927496002795</v>
      </c>
    </row>
    <row r="4692" customFormat="false" ht="17.15" hidden="false" customHeight="false" outlineLevel="0" collapsed="false">
      <c r="A4692" s="0" t="s">
        <v>1081</v>
      </c>
      <c r="B4692" s="0" t="s">
        <v>98</v>
      </c>
      <c r="F4692" s="6" t="n">
        <f aca="false">(Sens!F4691-Sens!F4687)*Sens!F4577/(Sens!F4577+Sens!F4579)</f>
        <v>8.10685416452075</v>
      </c>
      <c r="G4692" s="6" t="n">
        <f aca="false">(Sens!G4691-Sens!G4687)*Sens!G4577/(Sens!G4577+Sens!G4579)</f>
        <v>7.7428451648991</v>
      </c>
      <c r="H4692" s="6" t="n">
        <f aca="false">(Sens!H4691-Sens!H4687)*Sens!H4577/(Sens!H4577+Sens!H4579)</f>
        <v>7.53079769188572</v>
      </c>
      <c r="I4692" s="6" t="n">
        <f aca="false">(Sens!I4691-Sens!I4687)*Sens!I4577/(Sens!I4577+Sens!I4579)</f>
        <v>7.45569128352526</v>
      </c>
      <c r="J4692" s="6" t="n">
        <f aca="false">(Sens!J4691-Sens!J4687)*Sens!J4577/(Sens!J4577+Sens!J4579)</f>
        <v>7.50877423511188</v>
      </c>
      <c r="K4692" s="6" t="n">
        <f aca="false">(Sens!K4691-Sens!K4687)*Sens!K4577/(Sens!K4577+Sens!K4579)</f>
        <v>7.68732436398929</v>
      </c>
    </row>
    <row r="4693" customFormat="false" ht="17.15" hidden="false" customHeight="false" outlineLevel="0" collapsed="false">
      <c r="A4693" s="0" t="s">
        <v>1082</v>
      </c>
      <c r="B4693" s="0" t="s">
        <v>98</v>
      </c>
      <c r="F4693" s="6" t="n">
        <f aca="false">Sens!F4691-Sens!F4687-Sens!F4692</f>
        <v>6.68154094931008</v>
      </c>
      <c r="G4693" s="6" t="n">
        <f aca="false">Sens!G4691-Sens!G4687-Sens!G4692</f>
        <v>6.63793896784203</v>
      </c>
      <c r="H4693" s="6" t="n">
        <f aca="false">Sens!H4691-Sens!H4687-Sens!H4692</f>
        <v>6.64767824423886</v>
      </c>
      <c r="I4693" s="6" t="n">
        <f aca="false">Sens!I4691-Sens!I4687-Sens!I4692</f>
        <v>6.70954664602195</v>
      </c>
      <c r="J4693" s="6" t="n">
        <f aca="false">Sens!J4691-Sens!J4687-Sens!J4692</f>
        <v>6.8221209843641</v>
      </c>
      <c r="K4693" s="6" t="n">
        <f aca="false">Sens!K4691-Sens!K4687-Sens!K4692</f>
        <v>6.98434327828786</v>
      </c>
    </row>
    <row r="4694" customFormat="false" ht="17.15" hidden="false" customHeight="false" outlineLevel="0" collapsed="false">
      <c r="A4694" s="0" t="s">
        <v>1083</v>
      </c>
      <c r="B4694" s="0" t="s">
        <v>98</v>
      </c>
      <c r="F4694" s="6" t="n">
        <f aca="false">Sens!F4688-tax_f*(Sens!F4688-Sens!F4555)-Sens!F4552</f>
        <v>-121.367555678794</v>
      </c>
      <c r="G4694" s="6" t="n">
        <f aca="false">Sens!G4688-tax_f*(Sens!G4688-Sens!G4555)-Sens!G4552</f>
        <v>-115.250212606484</v>
      </c>
      <c r="H4694" s="6" t="n">
        <f aca="false">Sens!H4688-tax_f*(Sens!H4688-Sens!H4555)-Sens!H4552</f>
        <v>-121.254117414942</v>
      </c>
      <c r="I4694" s="6" t="n">
        <f aca="false">Sens!I4688-tax_f*(Sens!I4688-Sens!I4555)-Sens!I4552</f>
        <v>-51.2620534082261</v>
      </c>
      <c r="J4694" s="6" t="n">
        <f aca="false">Sens!J4688-tax_f*(Sens!J4688-Sens!J4555)-Sens!J4552</f>
        <v>-20.9095551025933</v>
      </c>
      <c r="K4694" s="6" t="n">
        <f aca="false">Sens!K4688-tax_f*(Sens!K4688-Sens!K4555)-Sens!K4552</f>
        <v>-6.4988328038684</v>
      </c>
    </row>
    <row r="4695" customFormat="false" ht="17.15" hidden="false" customHeight="false" outlineLevel="0" collapsed="false">
      <c r="A4695" s="0" t="s">
        <v>1084</v>
      </c>
      <c r="B4695" s="0" t="s">
        <v>98</v>
      </c>
      <c r="G4695" s="6" t="n">
        <f aca="false">Sens!G4694/(1+wacc)^(Sens!G4667-(Sens!F4667+mid_yr))</f>
        <v>-109.740488750836</v>
      </c>
      <c r="H4695" s="6" t="n">
        <f aca="false">Sens!H4694/(1+wacc)^(Sens!H4667-(Sens!F4667+mid_yr))</f>
        <v>-104.681987452619</v>
      </c>
      <c r="I4695" s="6" t="n">
        <f aca="false">Sens!I4694/(1+wacc)^(Sens!I4667-(Sens!F4667+mid_yr))</f>
        <v>-40.1256215800502</v>
      </c>
      <c r="J4695" s="6" t="n">
        <f aca="false">Sens!J4694/(1+wacc)^(Sens!J4667-(Sens!F4667+mid_yr))</f>
        <v>-14.839554951238</v>
      </c>
      <c r="K4695" s="6" t="n">
        <f aca="false">Sens!K4694/(1+wacc)^(Sens!K4667-(Sens!F4667+mid_yr))</f>
        <v>-4.18178555094824</v>
      </c>
      <c r="L4695" s="1" t="s">
        <v>1085</v>
      </c>
    </row>
    <row r="4696" customFormat="false" ht="17.15" hidden="false" customHeight="false" outlineLevel="0" collapsed="false">
      <c r="A4696" s="0" t="s">
        <v>1086</v>
      </c>
      <c r="B4696" s="0" t="s">
        <v>98</v>
      </c>
      <c r="C4696" s="6" t="n">
        <f aca="false">(Sens!K4688-Sens!K4555)*(1-tax_f)*(1+g_tv)*(1-g_tv/(wacc+ronic_prem))/(wacc-g_tv)/(1+wacc)^(Sens!K4667+mid_yr-(Sens!F4667+mid_yr))</f>
        <v>-8.43739544666246</v>
      </c>
    </row>
    <row r="4697" customFormat="false" ht="17.15" hidden="false" customHeight="false" outlineLevel="0" collapsed="false">
      <c r="A4697" s="1" t="s">
        <v>1087</v>
      </c>
      <c r="B4697" s="0" t="s">
        <v>98</v>
      </c>
      <c r="C4697" s="6" t="n">
        <f aca="false">(SUM(Sens!G4695:K4695)+Sens!$C$4696)*(1+wacc)^(t_roll-(Sens!F4667+mid_yr))</f>
        <v>-291.160192115887</v>
      </c>
      <c r="L4697" s="11" t="s">
        <v>1088</v>
      </c>
    </row>
    <row r="4698" customFormat="false" ht="17.15" hidden="false" customHeight="false" outlineLevel="0" collapsed="false">
      <c r="A4698" s="1" t="s">
        <v>1089</v>
      </c>
      <c r="B4698" s="0" t="s">
        <v>98</v>
      </c>
      <c r="C4698" s="6" t="n">
        <f aca="false">(w_ntm28*Sens!G4544+(1-w_ntm28)*Sens!H4544)*m_ai</f>
        <v>340.395905558055</v>
      </c>
    </row>
    <row r="4699" customFormat="false" ht="17.15" hidden="false" customHeight="false" outlineLevel="0" collapsed="false">
      <c r="A4699" s="1" t="s">
        <v>1090</v>
      </c>
      <c r="B4699" s="0" t="s">
        <v>98</v>
      </c>
      <c r="C4699" s="6" t="n">
        <f aca="false">(w_ntm28*Sens!G4690+(1-w_ntm28)*Sens!H4690)*m_cloud</f>
        <v>1104.15575641168</v>
      </c>
    </row>
    <row r="4700" customFormat="false" ht="17.15" hidden="false" customHeight="false" outlineLevel="0" collapsed="false">
      <c r="A4700" s="1" t="s">
        <v>1091</v>
      </c>
      <c r="B4700" s="0" t="s">
        <v>98</v>
      </c>
      <c r="C4700" s="6" t="n">
        <f aca="false">(w_ntm28*Sens!G4683+(1-w_ntm28)*Sens!H4683)*m_sw</f>
        <v>1037.9225351232</v>
      </c>
    </row>
    <row r="4701" customFormat="false" ht="17.15" hidden="false" customHeight="false" outlineLevel="0" collapsed="false">
      <c r="A4701" s="1" t="s">
        <v>1092</v>
      </c>
      <c r="B4701" s="0" t="s">
        <v>98</v>
      </c>
      <c r="C4701" s="6" t="n">
        <f aca="false">(w_ntm28*Sens!G4684+(1-w_ntm28)*Sens!H4684)*m_sw</f>
        <v>377.913421518403</v>
      </c>
    </row>
    <row r="4702" customFormat="false" ht="17.15" hidden="false" customHeight="false" outlineLevel="0" collapsed="false">
      <c r="A4702" s="1" t="s">
        <v>1093</v>
      </c>
      <c r="B4702" s="0" t="s">
        <v>98</v>
      </c>
      <c r="C4702" s="6" t="n">
        <f aca="false">(w_ntm28*Sens!G4685+(1-w_ntm28)*Sens!H4685)*m_sw</f>
        <v>108.313879094548</v>
      </c>
    </row>
    <row r="4703" customFormat="false" ht="17.15" hidden="false" customHeight="false" outlineLevel="0" collapsed="false">
      <c r="A4703" s="1" t="s">
        <v>1094</v>
      </c>
      <c r="B4703" s="0" t="s">
        <v>98</v>
      </c>
      <c r="C4703" s="6" t="n">
        <f aca="false">(w_ntm28*Sens!G4686+(1-w_ntm28)*Sens!H4686)*m_sw</f>
        <v>41.323153090521</v>
      </c>
    </row>
    <row r="4704" customFormat="false" ht="17.15" hidden="false" customHeight="false" outlineLevel="0" collapsed="false">
      <c r="A4704" s="1" t="s">
        <v>1095</v>
      </c>
      <c r="B4704" s="0" t="s">
        <v>98</v>
      </c>
      <c r="C4704" s="6" t="n">
        <f aca="false">(w_ntm28*Sens!G4687+(1-w_ntm28)*Sens!H4687)*m_ads</f>
        <v>114.178292365094</v>
      </c>
    </row>
    <row r="4705" customFormat="false" ht="17.15" hidden="false" customHeight="false" outlineLevel="0" collapsed="false">
      <c r="A4705" s="1" t="s">
        <v>1096</v>
      </c>
      <c r="B4705" s="0" t="s">
        <v>98</v>
      </c>
      <c r="C4705" s="6" t="n">
        <f aca="false">(w_ntm28*Sens!G4692+(1-w_ntm28)*Sens!H4692)*m_game</f>
        <v>96.9263184575228</v>
      </c>
    </row>
    <row r="4706" customFormat="false" ht="17.15" hidden="false" customHeight="false" outlineLevel="0" collapsed="false">
      <c r="A4706" s="1" t="s">
        <v>1097</v>
      </c>
      <c r="B4706" s="0" t="s">
        <v>98</v>
      </c>
      <c r="C4706" s="6" t="n">
        <f aca="false">(w_ntm28*Sens!G4693+(1-w_ntm28)*Sens!H4693)*m_pc</f>
        <v>96.0965369328291</v>
      </c>
    </row>
    <row r="4707" customFormat="false" ht="17.15" hidden="false" customHeight="false" outlineLevel="0" collapsed="false">
      <c r="A4707" s="1" t="s">
        <v>1098</v>
      </c>
      <c r="B4707" s="0" t="s">
        <v>98</v>
      </c>
      <c r="C4707" s="6" t="n">
        <f aca="false">Sens!$C$4697+Sens!$C$4699+Sens!$C$4700+Sens!$C$4701+Sens!$C$4702+Sens!$C$4703+Sens!$C$4704+Sens!$C$4705+Sens!$C$4706</f>
        <v>2685.66970087792</v>
      </c>
    </row>
    <row r="4708" customFormat="false" ht="17.15" hidden="false" customHeight="false" outlineLevel="0" collapsed="false">
      <c r="A4708" s="1" t="s">
        <v>1099</v>
      </c>
      <c r="B4708" s="0" t="s">
        <v>98</v>
      </c>
      <c r="C4708" s="6" t="n">
        <f aca="false">(Sens!G4669-Sens!G4694)*t_stub</f>
        <v>47.1075265461083</v>
      </c>
      <c r="L4708" s="1" t="s">
        <v>1100</v>
      </c>
    </row>
    <row r="4709" customFormat="false" ht="17.15" hidden="false" customHeight="false" outlineLevel="0" collapsed="false">
      <c r="A4709" s="1" t="s">
        <v>1014</v>
      </c>
      <c r="B4709" s="0" t="s">
        <v>98</v>
      </c>
      <c r="C4709" s="6" t="n">
        <f aca="false">Sens!F4658+oai_v-Sens!F4647+Sens!$C$4708</f>
        <v>155.287497950555</v>
      </c>
      <c r="L4709" s="1" t="s">
        <v>1101</v>
      </c>
    </row>
    <row r="4710" customFormat="false" ht="17.15" hidden="false" customHeight="false" outlineLevel="0" collapsed="false">
      <c r="A4710" s="1" t="s">
        <v>1102</v>
      </c>
      <c r="B4710" s="0" t="s">
        <v>75</v>
      </c>
      <c r="C4710" s="5" t="n">
        <f aca="false">(Sens!$C$4707+Sens!$C$4709)/(Sens!F4660+dil_gap)-Sens!G4650*roll_div_q/q_per_yr</f>
        <v>377.956924603585</v>
      </c>
      <c r="L4710" s="1" t="s">
        <v>1103</v>
      </c>
    </row>
    <row r="4711" customFormat="false" ht="17.15" hidden="false" customHeight="false" outlineLevel="0" collapsed="false">
      <c r="A4711" s="1" t="s">
        <v>1104</v>
      </c>
      <c r="B4711" s="0" t="s">
        <v>75</v>
      </c>
      <c r="C4711" s="5" t="n">
        <f aca="false">w_dcf*Sens!$C$4681+(1-w_dcf)*Sens!$C$4710</f>
        <v>319.954352291119</v>
      </c>
    </row>
    <row r="4712" customFormat="false" ht="17.15" hidden="false" customHeight="false" outlineLevel="0" collapsed="false">
      <c r="A4712" s="3" t="s">
        <v>1382</v>
      </c>
    </row>
    <row r="4713" customFormat="false" ht="15" hidden="false" customHeight="false" outlineLevel="0" collapsed="false">
      <c r="A4713" s="4" t="s">
        <v>43</v>
      </c>
      <c r="B4713" s="4" t="s">
        <v>65</v>
      </c>
      <c r="C4713" s="20" t="s">
        <v>799</v>
      </c>
      <c r="D4713" s="20" t="s">
        <v>800</v>
      </c>
      <c r="E4713" s="20" t="s">
        <v>801</v>
      </c>
      <c r="F4713" s="20" t="s">
        <v>802</v>
      </c>
      <c r="G4713" s="20" t="s">
        <v>803</v>
      </c>
      <c r="H4713" s="20" t="s">
        <v>804</v>
      </c>
      <c r="I4713" s="20" t="s">
        <v>805</v>
      </c>
      <c r="J4713" s="20" t="s">
        <v>806</v>
      </c>
      <c r="K4713" s="20" t="s">
        <v>807</v>
      </c>
      <c r="L4713" s="4" t="s">
        <v>47</v>
      </c>
    </row>
    <row r="4714" customFormat="false" ht="17.15" hidden="false" customHeight="false" outlineLevel="0" collapsed="false">
      <c r="A4714" s="1" t="s">
        <v>808</v>
      </c>
      <c r="B4714" s="1" t="s">
        <v>235</v>
      </c>
      <c r="C4714" s="28" t="n">
        <v>2024</v>
      </c>
      <c r="D4714" s="28" t="n">
        <v>2025</v>
      </c>
      <c r="E4714" s="28" t="n">
        <v>2026</v>
      </c>
      <c r="F4714" s="28" t="n">
        <v>2027</v>
      </c>
      <c r="G4714" s="28" t="n">
        <v>2028</v>
      </c>
      <c r="H4714" s="28" t="n">
        <v>2029</v>
      </c>
      <c r="I4714" s="28" t="n">
        <v>2030</v>
      </c>
      <c r="J4714" s="28" t="n">
        <v>2031</v>
      </c>
      <c r="K4714" s="28" t="n">
        <v>2032</v>
      </c>
    </row>
    <row r="4715" customFormat="false" ht="17.15" hidden="false" customHeight="false" outlineLevel="0" collapsed="false">
      <c r="A4715" s="1" t="s">
        <v>809</v>
      </c>
      <c r="B4715" s="0" t="s">
        <v>399</v>
      </c>
      <c r="F4715" s="29" t="n">
        <f aca="false">pace</f>
        <v>2527.2</v>
      </c>
      <c r="G4715" s="29" t="n">
        <f aca="false">pace</f>
        <v>2527.2</v>
      </c>
      <c r="H4715" s="29" t="n">
        <f aca="false">pace</f>
        <v>2527.2</v>
      </c>
      <c r="I4715" s="29" t="n">
        <f aca="false">pace+(g_tv*Sens!H4716-pace)*MIN(1,(Sens!I4714-pace_y0)/(pace_y1-pace_y0))</f>
        <v>1793.116</v>
      </c>
      <c r="J4715" s="29" t="n">
        <f aca="false">pace+(g_tv*Sens!I4716-pace)*MIN(1,(Sens!J4714-pace_y0)/(pace_y1-pace_y0))</f>
        <v>1094.89432</v>
      </c>
      <c r="K4715" s="29" t="n">
        <f aca="false">pace+(g_tv*Sens!J4716-pace)*MIN(1,(Sens!K4714-pace_y0)/(pace_y1-pace_y0))</f>
        <v>411.5883096</v>
      </c>
      <c r="L4715" s="11" t="s">
        <v>810</v>
      </c>
    </row>
    <row r="4716" customFormat="false" ht="17.15" hidden="false" customHeight="false" outlineLevel="0" collapsed="false">
      <c r="A4716" s="1" t="s">
        <v>811</v>
      </c>
      <c r="B4716" s="0" t="s">
        <v>399</v>
      </c>
      <c r="C4716" s="29" t="n">
        <f aca="false">mw_ext_24</f>
        <v>640</v>
      </c>
      <c r="D4716" s="29" t="n">
        <f aca="false">mw_ext_25</f>
        <v>1630</v>
      </c>
      <c r="E4716" s="29" t="n">
        <f aca="false">mw_ext_26</f>
        <v>3250</v>
      </c>
      <c r="F4716" s="29" t="n">
        <f aca="false">Sens!E4716+Sens!F4715</f>
        <v>5777.2</v>
      </c>
      <c r="G4716" s="29" t="n">
        <f aca="false">Sens!F4716+Sens!G4715</f>
        <v>8304.4</v>
      </c>
      <c r="H4716" s="29" t="n">
        <f aca="false">Sens!G4716+Sens!H4715</f>
        <v>10831.6</v>
      </c>
      <c r="I4716" s="29" t="n">
        <f aca="false">Sens!H4716+Sens!I4715</f>
        <v>12624.716</v>
      </c>
      <c r="J4716" s="29" t="n">
        <f aca="false">Sens!I4716+Sens!J4715</f>
        <v>13719.61032</v>
      </c>
      <c r="K4716" s="29" t="n">
        <f aca="false">Sens!J4716+Sens!K4715</f>
        <v>14131.1986296</v>
      </c>
      <c r="L4716" s="1" t="s">
        <v>812</v>
      </c>
    </row>
    <row r="4717" customFormat="false" ht="17.15" hidden="false" customHeight="false" outlineLevel="0" collapsed="false">
      <c r="A4717" s="1" t="s">
        <v>813</v>
      </c>
      <c r="B4717" s="0" t="s">
        <v>399</v>
      </c>
      <c r="C4717" s="29" t="n">
        <f aca="false">rent_ext_24</f>
        <v>150</v>
      </c>
      <c r="D4717" s="29" t="n">
        <f aca="false">rent_ext_25</f>
        <v>400</v>
      </c>
      <c r="E4717" s="29" t="n">
        <f aca="false">rent_ext_26</f>
        <v>550</v>
      </c>
      <c r="F4717" s="29" t="n">
        <f aca="false">rent_ext_f</f>
        <v>756</v>
      </c>
      <c r="G4717" s="29" t="n">
        <f aca="false">rent_ext_f</f>
        <v>756</v>
      </c>
      <c r="H4717" s="29" t="n">
        <f aca="false">rent_ext_f</f>
        <v>756</v>
      </c>
      <c r="I4717" s="29" t="n">
        <f aca="false">rent_ext_f</f>
        <v>756</v>
      </c>
      <c r="J4717" s="29" t="n">
        <f aca="false">rent_ext_f</f>
        <v>756</v>
      </c>
      <c r="K4717" s="29" t="n">
        <f aca="false">rent_ext_f</f>
        <v>756</v>
      </c>
      <c r="L4717" s="1" t="s">
        <v>814</v>
      </c>
    </row>
    <row r="4718" customFormat="false" ht="17.15" hidden="false" customHeight="false" outlineLevel="0" collapsed="false">
      <c r="A4718" s="1" t="s">
        <v>815</v>
      </c>
      <c r="B4718" s="0" t="s">
        <v>399</v>
      </c>
      <c r="C4718" s="29" t="n">
        <f aca="false">Sens!C4716-Sens!C4717</f>
        <v>490</v>
      </c>
      <c r="D4718" s="29" t="n">
        <f aca="false">Sens!D4716-Sens!D4717</f>
        <v>1230</v>
      </c>
      <c r="E4718" s="29" t="n">
        <f aca="false">Sens!E4716-Sens!E4717</f>
        <v>2700</v>
      </c>
      <c r="F4718" s="29" t="n">
        <f aca="false">Sens!F4716-Sens!F4717</f>
        <v>5021.2</v>
      </c>
      <c r="G4718" s="29" t="n">
        <f aca="false">Sens!G4716-Sens!G4717</f>
        <v>7548.4</v>
      </c>
      <c r="H4718" s="29" t="n">
        <f aca="false">Sens!H4716-Sens!H4717</f>
        <v>10075.6</v>
      </c>
      <c r="I4718" s="29" t="n">
        <f aca="false">Sens!I4716-Sens!I4717</f>
        <v>11868.716</v>
      </c>
      <c r="J4718" s="29" t="n">
        <f aca="false">Sens!J4716-Sens!J4717</f>
        <v>12963.61032</v>
      </c>
      <c r="K4718" s="29" t="n">
        <f aca="false">Sens!K4716-Sens!K4717</f>
        <v>13375.1986296</v>
      </c>
    </row>
    <row r="4719" customFormat="false" ht="17.15" hidden="false" customHeight="false" outlineLevel="0" collapsed="false">
      <c r="A4719" s="1" t="s">
        <v>816</v>
      </c>
      <c r="B4719" s="0" t="s">
        <v>399</v>
      </c>
      <c r="C4719" s="29" t="n">
        <f aca="false">Sens!C4718/ext_sh</f>
        <v>816.666666666667</v>
      </c>
      <c r="D4719" s="29" t="n">
        <f aca="false">Sens!D4718/ext_sh</f>
        <v>2050</v>
      </c>
      <c r="E4719" s="29" t="n">
        <f aca="false">Sens!E4718/ext_sh</f>
        <v>4500</v>
      </c>
      <c r="F4719" s="29" t="n">
        <f aca="false">Sens!F4718/ext_sh</f>
        <v>8368.66666666667</v>
      </c>
      <c r="G4719" s="29" t="n">
        <f aca="false">Sens!G4718/ext_sh</f>
        <v>12580.6666666667</v>
      </c>
      <c r="H4719" s="29" t="n">
        <f aca="false">Sens!H4718/ext_sh</f>
        <v>16792.6666666667</v>
      </c>
      <c r="I4719" s="29" t="n">
        <f aca="false">Sens!I4718/ext_sh</f>
        <v>19781.1933333333</v>
      </c>
      <c r="J4719" s="29" t="n">
        <f aca="false">Sens!J4718/ext_sh</f>
        <v>21606.0172</v>
      </c>
      <c r="K4719" s="29" t="n">
        <f aca="false">Sens!K4718/ext_sh</f>
        <v>22291.997716</v>
      </c>
      <c r="L4719" s="1" t="s">
        <v>817</v>
      </c>
    </row>
    <row r="4720" customFormat="false" ht="17.15" hidden="false" customHeight="false" outlineLevel="0" collapsed="false">
      <c r="A4720" s="1" t="s">
        <v>818</v>
      </c>
      <c r="B4720" s="0" t="s">
        <v>399</v>
      </c>
      <c r="C4720" s="29" t="n">
        <f aca="false">Sens!C4719-Sens!C4718</f>
        <v>326.666666666667</v>
      </c>
      <c r="D4720" s="29" t="n">
        <f aca="false">Sens!D4719-Sens!D4718</f>
        <v>820</v>
      </c>
      <c r="E4720" s="29" t="n">
        <f aca="false">Sens!E4719-Sens!E4718</f>
        <v>1800</v>
      </c>
      <c r="F4720" s="29" t="n">
        <f aca="false">Sens!F4719-Sens!F4718</f>
        <v>3347.46666666667</v>
      </c>
      <c r="G4720" s="29" t="n">
        <f aca="false">Sens!G4719-Sens!G4718</f>
        <v>5032.26666666667</v>
      </c>
      <c r="H4720" s="29" t="n">
        <f aca="false">Sens!H4719-Sens!H4718</f>
        <v>6717.06666666667</v>
      </c>
      <c r="I4720" s="29" t="n">
        <f aca="false">Sens!I4719-Sens!I4718</f>
        <v>7912.47733333333</v>
      </c>
      <c r="J4720" s="29" t="n">
        <f aca="false">Sens!J4719-Sens!J4718</f>
        <v>8642.40688</v>
      </c>
      <c r="K4720" s="29" t="n">
        <f aca="false">Sens!K4719-Sens!K4718</f>
        <v>8916.7990864</v>
      </c>
    </row>
    <row r="4721" customFormat="false" ht="17.15" hidden="false" customHeight="false" outlineLevel="0" collapsed="false">
      <c r="A4721" s="1" t="s">
        <v>819</v>
      </c>
      <c r="B4721" s="0" t="s">
        <v>399</v>
      </c>
      <c r="C4721" s="29" t="n">
        <f aca="false">Sens!C4719</f>
        <v>816.666666666667</v>
      </c>
      <c r="D4721" s="29" t="n">
        <f aca="false">Sens!D4719-Sens!C4719</f>
        <v>1233.33333333333</v>
      </c>
      <c r="E4721" s="29" t="n">
        <f aca="false">Sens!E4719-Sens!D4719</f>
        <v>2450</v>
      </c>
      <c r="F4721" s="29" t="n">
        <f aca="false">Sens!F4719-Sens!E4719</f>
        <v>3868.66666666667</v>
      </c>
      <c r="G4721" s="29" t="n">
        <f aca="false">Sens!G4719-Sens!F4719</f>
        <v>4212</v>
      </c>
      <c r="H4721" s="29" t="n">
        <f aca="false">Sens!H4719-Sens!G4719</f>
        <v>4212</v>
      </c>
      <c r="I4721" s="29" t="n">
        <f aca="false">Sens!I4719-Sens!H4719</f>
        <v>2988.52666666667</v>
      </c>
      <c r="J4721" s="29" t="n">
        <f aca="false">Sens!J4719-Sens!I4719</f>
        <v>1824.82386666667</v>
      </c>
      <c r="K4721" s="29" t="n">
        <f aca="false">Sens!K4719-Sens!J4719</f>
        <v>685.980516</v>
      </c>
    </row>
    <row r="4722" customFormat="false" ht="17.15" hidden="false" customHeight="false" outlineLevel="0" collapsed="false">
      <c r="A4722" s="1" t="s">
        <v>820</v>
      </c>
      <c r="B4722" s="0" t="s">
        <v>399</v>
      </c>
      <c r="D4722" s="29" t="n">
        <f aca="false">Sens!D4716-Sens!C4716</f>
        <v>990</v>
      </c>
      <c r="E4722" s="29" t="n">
        <f aca="false">Sens!E4716-Sens!D4716</f>
        <v>1620</v>
      </c>
      <c r="F4722" s="29" t="n">
        <f aca="false">Sens!F4716-Sens!E4716</f>
        <v>2527.2</v>
      </c>
      <c r="G4722" s="29" t="n">
        <f aca="false">Sens!G4716-Sens!F4716</f>
        <v>2527.2</v>
      </c>
      <c r="H4722" s="29" t="n">
        <f aca="false">Sens!H4716-Sens!G4716</f>
        <v>2527.2</v>
      </c>
      <c r="I4722" s="29" t="n">
        <f aca="false">Sens!I4716-Sens!H4716</f>
        <v>1793.116</v>
      </c>
      <c r="J4722" s="29" t="n">
        <f aca="false">Sens!J4716-Sens!I4716</f>
        <v>1094.89432</v>
      </c>
      <c r="K4722" s="29" t="n">
        <f aca="false">Sens!K4716-Sens!J4716</f>
        <v>411.5883096</v>
      </c>
    </row>
    <row r="4723" customFormat="false" ht="17.15" hidden="false" customHeight="false" outlineLevel="0" collapsed="false">
      <c r="A4723" s="1" t="s">
        <v>821</v>
      </c>
      <c r="B4723" s="0" t="s">
        <v>399</v>
      </c>
      <c r="F4723" s="29" t="n">
        <f aca="false">Sens!F4740*ext_sh</f>
        <v>0</v>
      </c>
      <c r="G4723" s="29" t="n">
        <f aca="false">Sens!G4740*ext_sh</f>
        <v>0</v>
      </c>
      <c r="H4723" s="29" t="n">
        <f aca="false">Sens!H4740*ext_sh</f>
        <v>0</v>
      </c>
      <c r="I4723" s="29" t="n">
        <f aca="false">Sens!I4740*ext_sh</f>
        <v>0</v>
      </c>
      <c r="J4723" s="29" t="n">
        <f aca="false">Sens!J4740*ext_sh</f>
        <v>490</v>
      </c>
      <c r="K4723" s="29" t="n">
        <f aca="false">Sens!K4740*ext_sh</f>
        <v>740</v>
      </c>
      <c r="L4723" s="1" t="s">
        <v>822</v>
      </c>
    </row>
    <row r="4724" customFormat="false" ht="17.15" hidden="false" customHeight="false" outlineLevel="0" collapsed="false">
      <c r="A4724" s="1" t="s">
        <v>823</v>
      </c>
      <c r="B4724" s="0" t="s">
        <v>399</v>
      </c>
      <c r="C4724" s="29" t="n">
        <f aca="false">mix_h*Sens!C4716</f>
        <v>128</v>
      </c>
      <c r="D4724" s="29" t="n">
        <f aca="false">mix_h*Sens!D4716</f>
        <v>326</v>
      </c>
      <c r="E4724" s="29" t="n">
        <f aca="false">mix_h*Sens!E4716</f>
        <v>650</v>
      </c>
      <c r="F4724" s="29" t="n">
        <f aca="false">Sens!E4724-Sens!F4723*mix_h</f>
        <v>650</v>
      </c>
      <c r="G4724" s="29" t="n">
        <f aca="false">Sens!F4724-Sens!G4723*mix_h</f>
        <v>650</v>
      </c>
      <c r="H4724" s="29" t="n">
        <f aca="false">Sens!G4724-Sens!H4723*mix_h</f>
        <v>650</v>
      </c>
      <c r="I4724" s="29" t="n">
        <f aca="false">Sens!H4724-Sens!I4723*mix_h</f>
        <v>650</v>
      </c>
      <c r="J4724" s="29" t="n">
        <f aca="false">Sens!I4724-Sens!J4723*mix_h</f>
        <v>552</v>
      </c>
      <c r="K4724" s="29" t="n">
        <f aca="false">Sens!J4724-Sens!K4723*mix_h</f>
        <v>404</v>
      </c>
    </row>
    <row r="4725" customFormat="false" ht="17.15" hidden="false" customHeight="false" outlineLevel="0" collapsed="false">
      <c r="A4725" s="1" t="s">
        <v>824</v>
      </c>
      <c r="B4725" s="0" t="s">
        <v>399</v>
      </c>
      <c r="C4725" s="29" t="n">
        <f aca="false">mix_g2*Sens!C4716</f>
        <v>288</v>
      </c>
      <c r="D4725" s="29" t="n">
        <f aca="false">mix_g2*Sens!D4716</f>
        <v>733.5</v>
      </c>
      <c r="E4725" s="29" t="n">
        <f aca="false">mix_g2*Sens!E4716</f>
        <v>1462.5</v>
      </c>
      <c r="F4725" s="29" t="n">
        <f aca="false">Sens!E4725-Sens!F4723*mix_g2</f>
        <v>1462.5</v>
      </c>
      <c r="G4725" s="29" t="n">
        <f aca="false">Sens!F4725-Sens!G4723*mix_g2</f>
        <v>1462.5</v>
      </c>
      <c r="H4725" s="29" t="n">
        <f aca="false">Sens!G4725-Sens!H4723*mix_g2</f>
        <v>1462.5</v>
      </c>
      <c r="I4725" s="29" t="n">
        <f aca="false">Sens!H4725-Sens!I4723*mix_g2</f>
        <v>1462.5</v>
      </c>
      <c r="J4725" s="29" t="n">
        <f aca="false">Sens!I4725-Sens!J4723*mix_g2</f>
        <v>1242</v>
      </c>
      <c r="K4725" s="29" t="n">
        <f aca="false">Sens!J4725-Sens!K4723*mix_g2</f>
        <v>909</v>
      </c>
    </row>
    <row r="4726" customFormat="false" ht="17.15" hidden="false" customHeight="false" outlineLevel="0" collapsed="false">
      <c r="A4726" s="1" t="s">
        <v>825</v>
      </c>
      <c r="B4726" s="0" t="s">
        <v>399</v>
      </c>
      <c r="C4726" s="29" t="n">
        <f aca="false">mix_g3*Sens!C4716</f>
        <v>224</v>
      </c>
      <c r="D4726" s="29" t="n">
        <f aca="false">mix_g3*Sens!D4716</f>
        <v>570.5</v>
      </c>
      <c r="E4726" s="29" t="n">
        <f aca="false">mix_g3*Sens!E4716</f>
        <v>1137.5</v>
      </c>
      <c r="F4726" s="29" t="n">
        <f aca="false">Sens!E4726+(Sens!F4722+Sens!F4723)*a_g3_27-Sens!F4723*mix_g3</f>
        <v>2906.54</v>
      </c>
      <c r="G4726" s="29" t="n">
        <f aca="false">Sens!F4726+(Sens!G4722+Sens!G4723)*a_g3_28-Sens!G4723*mix_g3</f>
        <v>3664.7</v>
      </c>
      <c r="H4726" s="29" t="n">
        <f aca="false">Sens!G4726+(Sens!H4722+Sens!H4723)*a_g3_29-Sens!H4723*mix_g3</f>
        <v>3917.42</v>
      </c>
      <c r="I4726" s="29" t="n">
        <f aca="false">Sens!H4726+(Sens!I4722+Sens!I4723)*a_g3_29-Sens!I4723*mix_g3</f>
        <v>4096.7316</v>
      </c>
      <c r="J4726" s="29" t="n">
        <f aca="false">Sens!I4726+(Sens!J4722+Sens!J4723)*a_g3_29-Sens!J4723*mix_g3</f>
        <v>4083.721032</v>
      </c>
      <c r="K4726" s="29" t="n">
        <f aca="false">Sens!J4726+(Sens!K4722+Sens!K4723)*a_g3_29-Sens!K4723*mix_g3</f>
        <v>3939.87986296</v>
      </c>
    </row>
    <row r="4727" customFormat="false" ht="17.15" hidden="false" customHeight="false" outlineLevel="0" collapsed="false">
      <c r="A4727" s="1" t="s">
        <v>826</v>
      </c>
      <c r="B4727" s="0" t="s">
        <v>399</v>
      </c>
      <c r="C4727" s="29" t="n">
        <v>0</v>
      </c>
      <c r="D4727" s="29" t="n">
        <v>0</v>
      </c>
      <c r="E4727" s="29" t="n">
        <v>0</v>
      </c>
      <c r="F4727" s="29" t="n">
        <f aca="false">Sens!E4727+(Sens!F4722+Sens!F4723)*(1-a_g3_27)</f>
        <v>758.16</v>
      </c>
      <c r="G4727" s="29" t="n">
        <f aca="false">Sens!F4727+(Sens!G4722+Sens!G4723)*(1-a_g3_28)</f>
        <v>2527.2</v>
      </c>
      <c r="H4727" s="29" t="n">
        <f aca="false">Sens!G4727+(Sens!H4722+Sens!H4723)*(1-a_g3_29)</f>
        <v>4801.68</v>
      </c>
      <c r="I4727" s="29" t="n">
        <f aca="false">Sens!H4727+(Sens!I4722+Sens!I4723)*(1-a_g3_29)</f>
        <v>6415.4844</v>
      </c>
      <c r="J4727" s="29" t="n">
        <f aca="false">Sens!I4727+(Sens!J4722+Sens!J4723)*(1-a_g3_29)</f>
        <v>7841.889288</v>
      </c>
      <c r="K4727" s="29" t="n">
        <f aca="false">Sens!J4727+(Sens!K4722+Sens!K4723)*(1-a_g3_29)</f>
        <v>8878.31876664</v>
      </c>
    </row>
    <row r="4728" customFormat="false" ht="17.15" hidden="false" customHeight="false" outlineLevel="0" collapsed="false">
      <c r="A4728" s="1" t="s">
        <v>827</v>
      </c>
      <c r="B4728" s="0" t="s">
        <v>346</v>
      </c>
      <c r="C4728" s="14" t="n">
        <f aca="false">(Sens!C4724*tk_hold_h100+Sens!C4725*tk_hold_gb200+Sens!C4726*tk_hold_gb300+Sens!C4727*tk_hold_vr200)/Sens!C4716</f>
        <v>9.7235358126469</v>
      </c>
      <c r="D4728" s="14" t="n">
        <f aca="false">(Sens!D4724*tk_hold_h100+Sens!D4725*tk_hold_gb200+Sens!D4726*tk_hold_gb300+Sens!D4727*tk_hold_vr200)/Sens!D4716</f>
        <v>9.7235358126469</v>
      </c>
      <c r="E4728" s="14" t="n">
        <f aca="false">(Sens!E4724*tk_hold_h100+Sens!E4725*tk_hold_gb200+Sens!E4726*tk_hold_gb300+Sens!E4727*tk_hold_vr200)/Sens!E4716</f>
        <v>9.7235358126469</v>
      </c>
      <c r="F4728" s="14" t="n">
        <f aca="false">(Sens!F4724*tk_hold_h100+Sens!F4725*tk_hold_gb200+Sens!F4726*tk_hold_gb300+Sens!F4727*tk_hold_vr200)/Sens!F4716</f>
        <v>10.4079573161931</v>
      </c>
      <c r="G4728" s="14" t="n">
        <f aca="false">(Sens!G4724*tk_hold_h100+Sens!G4725*tk_hold_gb200+Sens!G4726*tk_hold_gb300+Sens!G4727*tk_hold_vr200)/Sens!G4716</f>
        <v>10.8388131109316</v>
      </c>
      <c r="H4728" s="14" t="n">
        <f aca="false">(Sens!H4724*tk_hold_h100+Sens!H4725*tk_hold_gb200+Sens!H4726*tk_hold_gb300+Sens!H4727*tk_hold_vr200)/Sens!H4716</f>
        <v>11.1311018388216</v>
      </c>
      <c r="I4728" s="14" t="n">
        <f aca="false">(Sens!I4724*tk_hold_h100+Sens!I4725*tk_hold_gb200+Sens!I4726*tk_hold_gb300+Sens!I4727*tk_hold_vr200)/Sens!I4716</f>
        <v>11.267518520947</v>
      </c>
      <c r="J4728" s="14" t="n">
        <f aca="false">(Sens!J4724*tk_hold_h100+Sens!J4725*tk_hold_gb200+Sens!J4726*tk_hold_gb300+Sens!J4727*tk_hold_vr200)/Sens!J4716</f>
        <v>11.417856472966</v>
      </c>
      <c r="K4728" s="14" t="n">
        <f aca="false">(Sens!K4724*tk_hold_h100+Sens!K4725*tk_hold_gb200+Sens!K4726*tk_hold_gb300+Sens!K4727*tk_hold_vr200)/Sens!K4716</f>
        <v>11.5614842154272</v>
      </c>
    </row>
    <row r="4729" customFormat="false" ht="17.15" hidden="false" customHeight="false" outlineLevel="0" collapsed="false">
      <c r="A4729" s="0" t="s">
        <v>828</v>
      </c>
      <c r="B4729" s="0" t="s">
        <v>185</v>
      </c>
      <c r="C4729" s="14" t="n">
        <f aca="false">k_B</f>
        <v>1.17213932619116</v>
      </c>
      <c r="D4729" s="14" t="n">
        <f aca="false">k_B</f>
        <v>1.17213932619116</v>
      </c>
      <c r="E4729" s="14" t="n">
        <f aca="false">k_B</f>
        <v>1.17213932619116</v>
      </c>
      <c r="F4729" s="14" t="n">
        <f aca="false">(k_B+((ls_A*k_long+(1-ls_A)*k_spot)-k_B)*MIN(1,(Sens!F4714-base_fy)/k_ramp))</f>
        <v>1.25022828131298</v>
      </c>
      <c r="G4729" s="14" t="n">
        <f aca="false">(k_B+((ls_A*k_long+(1-ls_A)*k_spot)-k_B)*MIN(1,(Sens!G4714-base_fy)/k_ramp))</f>
        <v>1.3283172364348</v>
      </c>
      <c r="H4729" s="14" t="n">
        <f aca="false">(k_B+((ls_A*k_long+(1-ls_A)*k_spot)-k_B)*MIN(1,(Sens!H4714-base_fy)/k_ramp))</f>
        <v>1.40640619155662</v>
      </c>
      <c r="I4729" s="14" t="n">
        <f aca="false">(k_B+((ls_A*k_long+(1-ls_A)*k_spot)-k_B)*MIN(1,(Sens!I4714-base_fy)/k_ramp))</f>
        <v>1.40640619155662</v>
      </c>
      <c r="J4729" s="14" t="n">
        <f aca="false">(k_B+((ls_A*k_long+(1-ls_A)*k_spot)-k_B)*MIN(1,(Sens!J4714-base_fy)/k_ramp))</f>
        <v>1.40640619155662</v>
      </c>
      <c r="K4729" s="14" t="n">
        <f aca="false">(k_B+((ls_A*k_long+(1-ls_A)*k_spot)-k_B)*MIN(1,(Sens!K4714-base_fy)/k_ramp))</f>
        <v>1.40640619155662</v>
      </c>
      <c r="L4729" s="1" t="s">
        <v>829</v>
      </c>
    </row>
    <row r="4730" customFormat="false" ht="17.15" hidden="false" customHeight="false" outlineLevel="0" collapsed="false">
      <c r="A4730" s="1" t="s">
        <v>830</v>
      </c>
      <c r="B4730" s="0" t="s">
        <v>346</v>
      </c>
      <c r="C4730" s="14" t="n">
        <f aca="false">Sens!C4728*Sens!C4729*chip_f</f>
        <v>11.3973387156315</v>
      </c>
      <c r="D4730" s="14" t="n">
        <f aca="false">Sens!D4728*Sens!D4729*chip_f</f>
        <v>11.3973387156315</v>
      </c>
      <c r="E4730" s="14" t="n">
        <f aca="false">Sens!E4728*Sens!E4729*chip_f</f>
        <v>11.3973387156315</v>
      </c>
      <c r="F4730" s="14" t="n">
        <f aca="false">Sens!F4728*Sens!F4729*chip_f</f>
        <v>13.0123225874029</v>
      </c>
      <c r="G4730" s="14" t="n">
        <f aca="false">Sens!G4728*Sens!G4729*chip_f</f>
        <v>14.3973822777458</v>
      </c>
      <c r="H4730" s="14" t="n">
        <f aca="false">Sens!H4728*Sens!H4729*chip_f</f>
        <v>15.6548505449659</v>
      </c>
      <c r="I4730" s="14" t="n">
        <f aca="false">Sens!I4728*Sens!I4729*chip_f</f>
        <v>15.8467078113387</v>
      </c>
      <c r="J4730" s="14" t="n">
        <f aca="false">Sens!J4728*Sens!J4729*chip_f</f>
        <v>16.0581440378842</v>
      </c>
      <c r="K4730" s="14" t="n">
        <f aca="false">Sens!K4728*Sens!K4729*chip_f</f>
        <v>16.2601429841609</v>
      </c>
      <c r="L4730" s="1" t="s">
        <v>831</v>
      </c>
    </row>
    <row r="4731" customFormat="false" ht="17.15" hidden="false" customHeight="false" outlineLevel="0" collapsed="false">
      <c r="A4731" s="0" t="s">
        <v>832</v>
      </c>
      <c r="B4731" s="0" t="s">
        <v>98</v>
      </c>
      <c r="D4731" s="6" t="n">
        <f aca="false">(Sens!C4716+Sens!D4716)/2*Sens!D4730/1000</f>
        <v>12.9359794422418</v>
      </c>
      <c r="E4731" s="6" t="n">
        <f aca="false">(Sens!D4716+Sens!E4716)/2*Sens!E4730/1000</f>
        <v>27.8095064661409</v>
      </c>
      <c r="F4731" s="6" t="n">
        <f aca="false">(Sens!E4716+Sens!F4716)/2*Sens!F4730/1000</f>
        <v>58.7324192305018</v>
      </c>
      <c r="G4731" s="6" t="n">
        <f aca="false">(Sens!F4716+Sens!G4716)/2*Sens!G4730/1000</f>
        <v>101.369089141153</v>
      </c>
      <c r="H4731" s="6" t="n">
        <f aca="false">(Sens!G4716+Sens!H4716)/2*Sens!H4730/1000</f>
        <v>149.785610014234</v>
      </c>
      <c r="I4731" s="6" t="n">
        <f aca="false">(Sens!H4716+Sens!I4716)/2*Sens!I4730/1000</f>
        <v>185.852692991215</v>
      </c>
      <c r="J4731" s="6" t="n">
        <f aca="false">(Sens!I4716+Sens!J4716)/2*Sens!J4730/1000</f>
        <v>211.520493313792</v>
      </c>
      <c r="K4731" s="6" t="n">
        <f aca="false">(Sens!J4716+Sens!K4716)/2*Sens!K4730/1000</f>
        <v>226.429067872522</v>
      </c>
      <c r="L4731" s="11" t="s">
        <v>833</v>
      </c>
    </row>
    <row r="4732" customFormat="false" ht="17.15" hidden="false" customHeight="false" outlineLevel="0" collapsed="false">
      <c r="A4732" s="1" t="s">
        <v>834</v>
      </c>
      <c r="B4732" s="0" t="s">
        <v>346</v>
      </c>
      <c r="C4732" s="14" t="n">
        <f aca="false">(Sens!C4724*tk_opex_h100+Sens!C4725*tk_opex_gb200+Sens!C4726*tk_opex_gb300+Sens!C4727*tk_opex_vr200)/Sens!C4716</f>
        <v>1.88636041306092</v>
      </c>
      <c r="D4732" s="14" t="n">
        <f aca="false">(Sens!D4724*tk_opex_h100+Sens!D4725*tk_opex_gb200+Sens!D4726*tk_opex_gb300+Sens!D4727*tk_opex_vr200)/Sens!D4716</f>
        <v>1.88636041306092</v>
      </c>
      <c r="E4732" s="14" t="n">
        <f aca="false">(Sens!E4724*tk_opex_h100+Sens!E4725*tk_opex_gb200+Sens!E4726*tk_opex_gb300+Sens!E4727*tk_opex_vr200)/Sens!E4716</f>
        <v>1.88636041306092</v>
      </c>
      <c r="F4732" s="14" t="n">
        <f aca="false">(Sens!F4724*tk_opex_h100+Sens!F4725*tk_opex_gb200+Sens!F4726*tk_opex_gb300+Sens!F4727*tk_opex_vr200)/Sens!F4716</f>
        <v>1.9430236476499</v>
      </c>
      <c r="G4732" s="14" t="n">
        <f aca="false">(Sens!G4724*tk_opex_h100+Sens!G4725*tk_opex_gb200+Sens!G4726*tk_opex_gb300+Sens!G4727*tk_opex_vr200)/Sens!G4716</f>
        <v>1.9786941852423</v>
      </c>
      <c r="H4732" s="14" t="n">
        <f aca="false">(Sens!H4724*tk_opex_h100+Sens!H4725*tk_opex_gb200+Sens!H4726*tk_opex_gb300+Sens!H4727*tk_opex_vr200)/Sens!H4716</f>
        <v>2.00289275976156</v>
      </c>
      <c r="I4732" s="14" t="n">
        <f aca="false">(Sens!I4724*tk_opex_h100+Sens!I4725*tk_opex_gb200+Sens!I4726*tk_opex_gb300+Sens!I4727*tk_opex_vr200)/Sens!I4716</f>
        <v>2.01418669255163</v>
      </c>
      <c r="J4732" s="14" t="n">
        <f aca="false">(Sens!J4724*tk_opex_h100+Sens!J4725*tk_opex_gb200+Sens!J4726*tk_opex_gb300+Sens!J4727*tk_opex_vr200)/Sens!J4716</f>
        <v>2.02663316683501</v>
      </c>
      <c r="K4732" s="14" t="n">
        <f aca="false">(Sens!K4724*tk_opex_h100+Sens!K4725*tk_opex_gb200+Sens!K4726*tk_opex_gb300+Sens!K4727*tk_opex_vr200)/Sens!K4716</f>
        <v>2.03852410308175</v>
      </c>
    </row>
    <row r="4733" customFormat="false" ht="17.15" hidden="false" customHeight="false" outlineLevel="0" collapsed="false">
      <c r="A4733" s="0" t="s">
        <v>835</v>
      </c>
      <c r="B4733" s="0" t="s">
        <v>98</v>
      </c>
      <c r="D4733" s="6" t="n">
        <f aca="false">(Sens!C4719+Sens!D4719)/2*Sens!D4732/1000</f>
        <v>2.70378325872065</v>
      </c>
      <c r="E4733" s="6" t="n">
        <f aca="false">(Sens!D4719+Sens!E4719)/2*Sens!E4732/1000</f>
        <v>6.17783035277451</v>
      </c>
      <c r="F4733" s="6" t="n">
        <f aca="false">(Sens!E4719+Sens!F4719)/2*Sens!F4732/1000</f>
        <v>12.5020618235287</v>
      </c>
      <c r="G4733" s="6" t="n">
        <f aca="false">(Sens!F4719+Sens!G4719)/2*Sens!G4732/1000</f>
        <v>20.7261620256847</v>
      </c>
      <c r="H4733" s="6" t="n">
        <f aca="false">(Sens!G4719+Sens!H4719)/2*Sens!H4732/1000</f>
        <v>29.4158183316982</v>
      </c>
      <c r="I4733" s="6" t="n">
        <f aca="false">(Sens!H4719+Sens!I4719)/2*Sens!I4732/1000</f>
        <v>36.8332910536231</v>
      </c>
      <c r="J4733" s="6" t="n">
        <f aca="false">(Sens!I4719+Sens!J4719)/2*Sens!J4732/1000</f>
        <v>41.9383467748182</v>
      </c>
      <c r="K4733" s="6" t="n">
        <f aca="false">(Sens!J4719+Sens!K4719)/2*Sens!K4732/1000</f>
        <v>44.743580741854</v>
      </c>
    </row>
    <row r="4734" customFormat="false" ht="17.15" hidden="false" customHeight="false" outlineLevel="0" collapsed="false">
      <c r="A4734" s="0" t="s">
        <v>836</v>
      </c>
      <c r="B4734" s="0" t="s">
        <v>98</v>
      </c>
      <c r="D4734" s="6" t="n">
        <f aca="false">(Sens!C4717+Sens!D4717)/2*rent_mw/1000</f>
        <v>2.44475</v>
      </c>
      <c r="E4734" s="6" t="n">
        <f aca="false">(Sens!D4717+Sens!E4717)/2*rent_mw/1000</f>
        <v>4.22275</v>
      </c>
      <c r="F4734" s="6" t="n">
        <f aca="false">(Sens!E4717+Sens!F4717)/2*rent_mw/1000</f>
        <v>5.80517</v>
      </c>
      <c r="G4734" s="6" t="n">
        <f aca="false">(Sens!F4717+Sens!G4717)/2*rent_mw/1000</f>
        <v>6.72084</v>
      </c>
      <c r="H4734" s="6" t="n">
        <f aca="false">(Sens!G4717+Sens!H4717)/2*rent_mw/1000</f>
        <v>6.72084</v>
      </c>
      <c r="I4734" s="6" t="n">
        <f aca="false">(Sens!H4717+Sens!I4717)/2*rent_mw/1000</f>
        <v>6.72084</v>
      </c>
      <c r="J4734" s="6" t="n">
        <f aca="false">(Sens!I4717+Sens!J4717)/2*rent_mw/1000</f>
        <v>6.72084</v>
      </c>
      <c r="K4734" s="6" t="n">
        <f aca="false">(Sens!J4717+Sens!K4717)/2*rent_mw/1000</f>
        <v>6.72084</v>
      </c>
    </row>
    <row r="4735" customFormat="false" ht="17.15" hidden="false" customHeight="false" outlineLevel="0" collapsed="false">
      <c r="A4735" s="0" t="s">
        <v>837</v>
      </c>
      <c r="B4735" s="0" t="s">
        <v>98</v>
      </c>
      <c r="D4735" s="6" t="n">
        <f aca="false">(Sens!C4719+Sens!D4719)/2*(1-self_build)*fac_rent/1000</f>
        <v>0.853242375631075</v>
      </c>
      <c r="E4735" s="6" t="n">
        <f aca="false">(Sens!D4719+Sens!E4719)/2*(1-self_build)*fac_rent/1000</f>
        <v>1.94955961408728</v>
      </c>
      <c r="F4735" s="6" t="n">
        <f aca="false">(Sens!E4719+Sens!F4719)/2*(1-self_build)*fac_rent/1000</f>
        <v>3.83026455274573</v>
      </c>
      <c r="G4735" s="6" t="n">
        <f aca="false">(Sens!F4719+Sens!G4719)/2*(1-self_build)*fac_rent/1000</f>
        <v>6.23541590972812</v>
      </c>
      <c r="H4735" s="6" t="n">
        <f aca="false">(Sens!G4719+Sens!H4719)/2*(1-self_build)*fac_rent/1000</f>
        <v>8.74275792332679</v>
      </c>
      <c r="I4735" s="6" t="n">
        <f aca="false">(Sens!H4719+Sens!I4719)/2*(1-self_build)*fac_rent/1000</f>
        <v>10.8859420438599</v>
      </c>
      <c r="J4735" s="6" t="n">
        <f aca="false">(Sens!I4719+Sens!J4719)/2*(1-self_build)*fac_rent/1000</f>
        <v>12.3186006405366</v>
      </c>
      <c r="K4735" s="6" t="n">
        <f aca="false">(Sens!J4719+Sens!K4719)/2*(1-self_build)*fac_rent/1000</f>
        <v>13.0659232089824</v>
      </c>
      <c r="L4735" s="11" t="s">
        <v>838</v>
      </c>
    </row>
    <row r="4736" customFormat="false" ht="17.15" hidden="false" customHeight="false" outlineLevel="0" collapsed="false">
      <c r="A4736" s="1" t="s">
        <v>839</v>
      </c>
      <c r="B4736" s="0" t="s">
        <v>129</v>
      </c>
      <c r="D4736" s="7" t="n">
        <f aca="false">(Sens!C4718+Sens!D4718)/(Sens!C4719+Sens!D4719)</f>
        <v>0.6</v>
      </c>
      <c r="E4736" s="7" t="n">
        <f aca="false">(Sens!D4718+Sens!E4718)/(Sens!D4719+Sens!E4719)</f>
        <v>0.6</v>
      </c>
      <c r="F4736" s="7" t="n">
        <f aca="false">(Sens!E4718+Sens!F4718)/(Sens!E4719+Sens!F4719)</f>
        <v>0.6</v>
      </c>
      <c r="G4736" s="7" t="n">
        <f aca="false">(Sens!F4718+Sens!G4718)/(Sens!F4719+Sens!G4719)</f>
        <v>0.6</v>
      </c>
      <c r="H4736" s="7" t="n">
        <f aca="false">(Sens!G4718+Sens!H4718)/(Sens!G4719+Sens!H4719)</f>
        <v>0.6</v>
      </c>
      <c r="I4736" s="7" t="n">
        <f aca="false">(Sens!H4718+Sens!I4718)/(Sens!H4719+Sens!I4719)</f>
        <v>0.6</v>
      </c>
      <c r="J4736" s="7" t="n">
        <f aca="false">(Sens!I4718+Sens!J4718)/(Sens!I4719+Sens!J4719)</f>
        <v>0.6</v>
      </c>
      <c r="K4736" s="7" t="n">
        <f aca="false">(Sens!J4718+Sens!K4718)/(Sens!J4719+Sens!K4719)</f>
        <v>0.6</v>
      </c>
    </row>
    <row r="4737" customFormat="false" ht="17.15" hidden="false" customHeight="false" outlineLevel="0" collapsed="false">
      <c r="A4737" s="0" t="s">
        <v>840</v>
      </c>
      <c r="B4737" s="0" t="s">
        <v>98</v>
      </c>
      <c r="D4737" s="6" t="n">
        <f aca="false">Sens!D4731-Sens!D4736*(Sens!D4733+Sens!D4735)-Sens!D4734</f>
        <v>8.35701406163072</v>
      </c>
      <c r="E4737" s="6" t="n">
        <f aca="false">Sens!E4731-Sens!E4736*(Sens!E4733+Sens!E4735)-Sens!E4734</f>
        <v>18.7103224860238</v>
      </c>
      <c r="F4737" s="6" t="n">
        <f aca="false">Sens!F4731-Sens!F4736*(Sens!F4733+Sens!F4735)-Sens!F4734</f>
        <v>43.1278534047371</v>
      </c>
      <c r="G4737" s="6" t="n">
        <f aca="false">Sens!G4731-Sens!G4736*(Sens!G4733+Sens!G4735)-Sens!G4734</f>
        <v>78.4713023799053</v>
      </c>
      <c r="H4737" s="6" t="n">
        <f aca="false">Sens!H4731-Sens!H4736*(Sens!H4733+Sens!H4735)-Sens!H4734</f>
        <v>120.169624261219</v>
      </c>
      <c r="I4737" s="6" t="n">
        <f aca="false">Sens!I4731-Sens!I4736*(Sens!I4733+Sens!I4735)-Sens!I4734</f>
        <v>150.500313132725</v>
      </c>
      <c r="J4737" s="6" t="n">
        <f aca="false">Sens!J4731-Sens!J4736*(Sens!J4733+Sens!J4735)-Sens!J4734</f>
        <v>172.245484864579</v>
      </c>
      <c r="K4737" s="6" t="n">
        <f aca="false">Sens!K4731-Sens!K4736*(Sens!K4733+Sens!K4735)-Sens!K4734</f>
        <v>185.02252550202</v>
      </c>
    </row>
    <row r="4738" customFormat="false" ht="17.15" hidden="false" customHeight="false" outlineLevel="0" collapsed="false">
      <c r="A4738" s="1" t="s">
        <v>841</v>
      </c>
      <c r="B4738" s="0" t="s">
        <v>98</v>
      </c>
      <c r="D4738" s="6" t="n">
        <f aca="false">(1-Sens!D4736)*(Sens!D4733+Sens!D4735)</f>
        <v>1.42281025374069</v>
      </c>
      <c r="E4738" s="6" t="n">
        <f aca="false">(1-Sens!E4736)*(Sens!E4733+Sens!E4735)</f>
        <v>3.25095598674472</v>
      </c>
      <c r="F4738" s="6" t="n">
        <f aca="false">(1-Sens!F4736)*(Sens!F4733+Sens!F4735)</f>
        <v>6.53293055050977</v>
      </c>
      <c r="G4738" s="6" t="n">
        <f aca="false">(1-Sens!G4736)*(Sens!G4733+Sens!G4735)</f>
        <v>10.7846311741651</v>
      </c>
      <c r="H4738" s="6" t="n">
        <f aca="false">(1-Sens!H4736)*(Sens!H4733+Sens!H4735)</f>
        <v>15.26343050201</v>
      </c>
      <c r="I4738" s="6" t="n">
        <f aca="false">(1-Sens!I4736)*(Sens!I4733+Sens!I4735)</f>
        <v>19.0876932389932</v>
      </c>
      <c r="J4738" s="6" t="n">
        <f aca="false">(1-Sens!J4736)*(Sens!J4733+Sens!J4735)</f>
        <v>21.7027789661419</v>
      </c>
      <c r="K4738" s="6" t="n">
        <f aca="false">(1-Sens!K4736)*(Sens!K4733+Sens!K4735)</f>
        <v>23.1238015803346</v>
      </c>
    </row>
    <row r="4739" customFormat="false" ht="17.15" hidden="false" customHeight="false" outlineLevel="0" collapsed="false">
      <c r="A4739" s="1" t="s">
        <v>842</v>
      </c>
      <c r="B4739" s="0" t="s">
        <v>357</v>
      </c>
      <c r="C4739" s="8" t="n">
        <f aca="false">cxit_open</f>
        <v>27.5918995</v>
      </c>
      <c r="D4739" s="8" t="n">
        <f aca="false">cxit_open</f>
        <v>27.5918995</v>
      </c>
      <c r="E4739" s="8" t="n">
        <f aca="false">cxit_open</f>
        <v>27.5918995</v>
      </c>
      <c r="F4739" s="8" t="n">
        <f aca="false">(a_g3_27*tk_cxit_gb300+(1-a_g3_27)*tk_cxit_vr200)</f>
        <v>33.8419624</v>
      </c>
      <c r="G4739" s="8" t="n">
        <f aca="false">(a_g3_28*tk_cxit_gb300+(1-a_g3_28)*tk_cxit_vr200)</f>
        <v>35.9816136</v>
      </c>
      <c r="H4739" s="8" t="n">
        <f aca="false">(a_g3_29*tk_cxit_gb300+(1-a_g3_29)*tk_cxit_vr200)</f>
        <v>37.0514392</v>
      </c>
      <c r="I4739" s="8" t="n">
        <f aca="false">(a_g3_29*tk_cxit_gb300+(1-a_g3_29)*tk_cxit_vr200)</f>
        <v>37.0514392</v>
      </c>
      <c r="J4739" s="8" t="n">
        <f aca="false">(a_g3_29*tk_cxit_gb300+(1-a_g3_29)*tk_cxit_vr200)</f>
        <v>37.0514392</v>
      </c>
      <c r="K4739" s="8" t="n">
        <f aca="false">(a_g3_29*tk_cxit_gb300+(1-a_g3_29)*tk_cxit_vr200)</f>
        <v>37.0514392</v>
      </c>
      <c r="L4739" s="11" t="s">
        <v>843</v>
      </c>
    </row>
    <row r="4740" customFormat="false" ht="17.15" hidden="false" customHeight="false" outlineLevel="0" collapsed="false">
      <c r="A4740" s="0" t="s">
        <v>844</v>
      </c>
      <c r="B4740" s="0" t="s">
        <v>399</v>
      </c>
      <c r="F4740" s="29" t="n">
        <f aca="false">Sens!C4721*IF(Sens!F4714-Sens!C4714=life_it_hi,1,0)+Sens!D4721*IF(Sens!F4714-Sens!D4714=life_it_hi,1,0)+Sens!E4721*IF(Sens!F4714-Sens!E4714=life_it_hi,1,0)</f>
        <v>0</v>
      </c>
      <c r="G4740" s="29" t="n">
        <f aca="false">Sens!C4721*IF(Sens!G4714-Sens!C4714=life_it_hi,1,0)+Sens!D4721*IF(Sens!G4714-Sens!D4714=life_it_hi,1,0)+Sens!E4721*IF(Sens!G4714-Sens!E4714=life_it_hi,1,0)+Sens!F4721*IF(Sens!G4714-Sens!F4714=life_it_hi,1,0)</f>
        <v>0</v>
      </c>
      <c r="H4740" s="29" t="n">
        <f aca="false">Sens!C4721*IF(Sens!H4714-Sens!C4714=life_it_hi,1,0)+Sens!D4721*IF(Sens!H4714-Sens!D4714=life_it_hi,1,0)+Sens!E4721*IF(Sens!H4714-Sens!E4714=life_it_hi,1,0)+Sens!F4721*IF(Sens!H4714-Sens!F4714=life_it_hi,1,0)+Sens!G4721*IF(Sens!H4714-Sens!G4714=life_it_hi,1,0)</f>
        <v>0</v>
      </c>
      <c r="I4740" s="29" t="n">
        <f aca="false">Sens!C4721*IF(Sens!I4714-Sens!C4714=life_it_hi,1,0)+Sens!D4721*IF(Sens!I4714-Sens!D4714=life_it_hi,1,0)+Sens!E4721*IF(Sens!I4714-Sens!E4714=life_it_hi,1,0)+Sens!F4721*IF(Sens!I4714-Sens!F4714=life_it_hi,1,0)+Sens!G4721*IF(Sens!I4714-Sens!G4714=life_it_hi,1,0)+Sens!H4721*IF(Sens!I4714-Sens!H4714=life_it_hi,1,0)</f>
        <v>0</v>
      </c>
      <c r="J4740" s="29" t="n">
        <f aca="false">Sens!C4721*IF(Sens!J4714-Sens!C4714=life_it_hi,1,0)+Sens!D4721*IF(Sens!J4714-Sens!D4714=life_it_hi,1,0)+Sens!E4721*IF(Sens!J4714-Sens!E4714=life_it_hi,1,0)+Sens!F4721*IF(Sens!J4714-Sens!F4714=life_it_hi,1,0)+Sens!G4721*IF(Sens!J4714-Sens!G4714=life_it_hi,1,0)+Sens!H4721*IF(Sens!J4714-Sens!H4714=life_it_hi,1,0)+Sens!I4721*IF(Sens!J4714-Sens!I4714=life_it_hi,1,0)</f>
        <v>816.666666666667</v>
      </c>
      <c r="K4740" s="29" t="n">
        <f aca="false">Sens!C4721*IF(Sens!K4714-Sens!C4714=life_it_hi,1,0)+Sens!D4721*IF(Sens!K4714-Sens!D4714=life_it_hi,1,0)+Sens!E4721*IF(Sens!K4714-Sens!E4714=life_it_hi,1,0)+Sens!F4721*IF(Sens!K4714-Sens!F4714=life_it_hi,1,0)+Sens!G4721*IF(Sens!K4714-Sens!G4714=life_it_hi,1,0)+Sens!H4721*IF(Sens!K4714-Sens!H4714=life_it_hi,1,0)+Sens!I4721*IF(Sens!K4714-Sens!I4714=life_it_hi,1,0)+Sens!J4721*IF(Sens!K4714-Sens!J4714=life_it_hi,1,0)</f>
        <v>1233.33333333333</v>
      </c>
      <c r="L4740" s="1" t="s">
        <v>845</v>
      </c>
    </row>
    <row r="4741" customFormat="false" ht="17.15" hidden="false" customHeight="false" outlineLevel="0" collapsed="false">
      <c r="A4741" s="0" t="s">
        <v>846</v>
      </c>
      <c r="B4741" s="0" t="s">
        <v>98</v>
      </c>
      <c r="C4741" s="6" t="n">
        <f aca="false">Sens!C4721*Sens!C4739/1000</f>
        <v>22.5333845916667</v>
      </c>
      <c r="D4741" s="6" t="n">
        <f aca="false">Sens!D4721*Sens!D4739/1000</f>
        <v>34.0300093833333</v>
      </c>
      <c r="E4741" s="6" t="n">
        <f aca="false">Sens!E4721*Sens!E4739/1000</f>
        <v>67.600153775</v>
      </c>
      <c r="F4741" s="6" t="n">
        <f aca="false">(Sens!F4721+Sens!F4740)*Sens!F4739/1000</f>
        <v>130.923271871467</v>
      </c>
      <c r="G4741" s="6" t="n">
        <f aca="false">(Sens!G4721+Sens!G4740)*Sens!G4739/1000</f>
        <v>151.5545564832</v>
      </c>
      <c r="H4741" s="6" t="n">
        <f aca="false">(Sens!H4721+Sens!H4740)*Sens!H4739/1000</f>
        <v>156.0606619104</v>
      </c>
      <c r="I4741" s="6" t="n">
        <f aca="false">(Sens!I4721+Sens!I4740)*Sens!I4739/1000</f>
        <v>110.729214087579</v>
      </c>
      <c r="J4741" s="6" t="n">
        <f aca="false">(Sens!J4721+Sens!J4740)*Sens!J4739/1000</f>
        <v>97.8710258931755</v>
      </c>
      <c r="K4741" s="6" t="n">
        <f aca="false">(Sens!K4721+Sens!K4740)*Sens!K4739/1000</f>
        <v>71.1133403942919</v>
      </c>
    </row>
    <row r="4742" customFormat="false" ht="17.15" hidden="false" customHeight="false" outlineLevel="0" collapsed="false">
      <c r="A4742" s="0" t="s">
        <v>847</v>
      </c>
      <c r="B4742" s="0" t="s">
        <v>98</v>
      </c>
      <c r="C4742" s="6" t="n">
        <f aca="false">Sens!C4721*self_build*tk_cxfac/1000</f>
        <v>6.2083</v>
      </c>
      <c r="D4742" s="6" t="n">
        <f aca="false">Sens!D4721*self_build*tk_cxfac/1000</f>
        <v>9.3758</v>
      </c>
      <c r="E4742" s="6" t="n">
        <f aca="false">Sens!E4721*self_build*tk_cxfac/1000</f>
        <v>18.6249</v>
      </c>
      <c r="F4742" s="6" t="n">
        <f aca="false">Sens!F4721*self_build*tk_cxfac/1000</f>
        <v>29.409604</v>
      </c>
      <c r="G4742" s="6" t="n">
        <f aca="false">Sens!G4721*self_build*tk_cxfac/1000</f>
        <v>32.019624</v>
      </c>
      <c r="H4742" s="6" t="n">
        <f aca="false">Sens!H4721*self_build*tk_cxfac/1000</f>
        <v>32.019624</v>
      </c>
      <c r="I4742" s="6" t="n">
        <f aca="false">Sens!I4721*self_build*tk_cxfac/1000</f>
        <v>22.71877972</v>
      </c>
      <c r="J4742" s="6" t="n">
        <f aca="false">Sens!J4721*self_build*tk_cxfac/1000</f>
        <v>13.8723110344</v>
      </c>
      <c r="K4742" s="6" t="n">
        <f aca="false">Sens!K4721*self_build*tk_cxfac/1000</f>
        <v>5.214823882632</v>
      </c>
    </row>
    <row r="4743" customFormat="false" ht="17.15" hidden="false" customHeight="false" outlineLevel="0" collapsed="false">
      <c r="A4743" s="0" t="s">
        <v>848</v>
      </c>
      <c r="B4743" s="0" t="s">
        <v>98</v>
      </c>
      <c r="F4743" s="6" t="n">
        <f aca="false">MAX(0,capex_floor27-Sens!F4741-Sens!F4742-Sens!F4837)</f>
        <v>8.13777689897088</v>
      </c>
    </row>
    <row r="4744" customFormat="false" ht="17.15" hidden="false" customHeight="false" outlineLevel="0" collapsed="false">
      <c r="A4744" s="0" t="s">
        <v>849</v>
      </c>
      <c r="B4744" s="0" t="s">
        <v>98</v>
      </c>
      <c r="C4744" s="6" t="n">
        <f aca="false">Sens!C4741</f>
        <v>22.5333845916667</v>
      </c>
      <c r="D4744" s="6" t="n">
        <f aca="false">Sens!D4741</f>
        <v>34.0300093833333</v>
      </c>
      <c r="E4744" s="6" t="n">
        <f aca="false">Sens!E4741</f>
        <v>67.600153775</v>
      </c>
      <c r="F4744" s="6" t="n">
        <f aca="false">Sens!F4741</f>
        <v>130.923271871467</v>
      </c>
      <c r="G4744" s="6" t="n">
        <f aca="false">Sens!G4741</f>
        <v>151.5545564832</v>
      </c>
      <c r="H4744" s="6" t="n">
        <f aca="false">Sens!H4741</f>
        <v>156.0606619104</v>
      </c>
      <c r="I4744" s="6" t="n">
        <f aca="false">Sens!I4741</f>
        <v>110.729214087579</v>
      </c>
      <c r="J4744" s="6" t="n">
        <f aca="false">Sens!J4741</f>
        <v>97.8710258931755</v>
      </c>
      <c r="K4744" s="6" t="n">
        <f aca="false">Sens!K4741</f>
        <v>71.1133403942919</v>
      </c>
    </row>
    <row r="4745" customFormat="false" ht="17.15" hidden="false" customHeight="false" outlineLevel="0" collapsed="false">
      <c r="A4745" s="0" t="s">
        <v>850</v>
      </c>
      <c r="B4745" s="0" t="s">
        <v>98</v>
      </c>
      <c r="C4745" s="6" t="n">
        <f aca="false">Sens!C4744+Sens!C4742</f>
        <v>28.7416845916667</v>
      </c>
      <c r="D4745" s="6" t="n">
        <f aca="false">Sens!D4744+Sens!D4742</f>
        <v>43.4058093833333</v>
      </c>
      <c r="E4745" s="6" t="n">
        <f aca="false">Sens!E4744+Sens!E4742</f>
        <v>86.225053775</v>
      </c>
      <c r="F4745" s="6" t="n">
        <f aca="false">Sens!F4744+Sens!F4742</f>
        <v>160.332875871467</v>
      </c>
      <c r="G4745" s="6" t="n">
        <f aca="false">Sens!G4744+Sens!G4742</f>
        <v>183.5741804832</v>
      </c>
      <c r="H4745" s="6" t="n">
        <f aca="false">Sens!H4744+Sens!H4742</f>
        <v>188.0802859104</v>
      </c>
      <c r="I4745" s="6" t="n">
        <f aca="false">Sens!I4744+Sens!I4742</f>
        <v>133.447993807579</v>
      </c>
      <c r="J4745" s="6" t="n">
        <f aca="false">Sens!J4744+Sens!J4742</f>
        <v>111.743336927576</v>
      </c>
      <c r="K4745" s="6" t="n">
        <f aca="false">Sens!K4744+Sens!K4742</f>
        <v>76.3281642769239</v>
      </c>
      <c r="L4745" s="11" t="s">
        <v>851</v>
      </c>
    </row>
    <row r="4746" customFormat="false" ht="17.15" hidden="false" customHeight="false" outlineLevel="0" collapsed="false">
      <c r="A4746" s="0" t="s">
        <v>852</v>
      </c>
      <c r="B4746" s="0" t="s">
        <v>98</v>
      </c>
      <c r="E4746" s="6" t="n">
        <f aca="false">(Sens!C4744*IF(2&lt;life_it_hi,1,IF(2=life_it_hi,0.5,0))+Sens!D4744*IF(1&lt;life_it_hi,1,IF(1=life_it_hi,0.5,0))+Sens!E4744*0.5)/life_it_hi</f>
        <v>12.9090672660714</v>
      </c>
      <c r="F4746" s="6" t="n">
        <f aca="false">(Sens!C4744*IF(3&lt;life_it_hi,1,IF(3=life_it_hi,0.5,0))+Sens!D4744*IF(2&lt;life_it_hi,1,IF(2=life_it_hi,0.5,0))+Sens!E4744*IF(1&lt;life_it_hi,1,IF(1=life_it_hi,0.5,0))+Sens!F4744*0.5)/life_it_hi</f>
        <v>27.0893119551048</v>
      </c>
      <c r="G4746" s="6" t="n">
        <f aca="false">(Sens!C4744*IF(4&lt;life_it_hi,1,IF(4=life_it_hi,0.5,0))+Sens!D4744*IF(3&lt;life_it_hi,1,IF(3=life_it_hi,0.5,0))+Sens!E4744*IF(2&lt;life_it_hi,1,IF(2=life_it_hi,0.5,0))+Sens!F4744*IF(1&lt;life_it_hi,1,IF(1=life_it_hi,0.5,0))+Sens!G4744*0.5)/life_it_hi</f>
        <v>47.2662996947238</v>
      </c>
      <c r="H4746" s="6" t="n">
        <f aca="false">(Sens!C4744*IF(5&lt;life_it_hi,1,IF(5=life_it_hi,0.5,0))+Sens!D4744*IF(4&lt;life_it_hi,1,IF(4=life_it_hi,0.5,0))+Sens!E4744*IF(3&lt;life_it_hi,1,IF(3=life_it_hi,0.5,0))+Sens!F4744*IF(2&lt;life_it_hi,1,IF(2=life_it_hi,0.5,0))+Sens!G4744*IF(1&lt;life_it_hi,1,IF(1=life_it_hi,0.5,0))+Sens!H4744*0.5)/life_it_hi</f>
        <v>69.2388152942666</v>
      </c>
      <c r="I4746" s="6" t="n">
        <f aca="false">(Sens!C4744*IF(6&lt;life_it_hi,1,IF(6=life_it_hi,0.5,0))+Sens!D4744*IF(5&lt;life_it_hi,1,IF(5=life_it_hi,0.5,0))+Sens!E4744*IF(4&lt;life_it_hi,1,IF(4=life_it_hi,0.5,0))+Sens!F4744*IF(3&lt;life_it_hi,1,IF(3=life_it_hi,0.5,0))+Sens!G4744*IF(2&lt;life_it_hi,1,IF(2=life_it_hi,0.5,0))+Sens!H4744*IF(1&lt;life_it_hi,1,IF(1=life_it_hi,0.5,0))+Sens!I4744*0.5)/life_it_hi</f>
        <v>88.295235008408</v>
      </c>
      <c r="J4746" s="6" t="n">
        <f aca="false">(Sens!C4744*IF(7&lt;life_it_hi,1,IF(7=life_it_hi,0.5,0))+Sens!D4744*IF(6&lt;life_it_hi,1,IF(6=life_it_hi,0.5,0))+Sens!E4744*IF(5&lt;life_it_hi,1,IF(5=life_it_hi,0.5,0))+Sens!F4744*IF(4&lt;life_it_hi,1,IF(4=life_it_hi,0.5,0))+Sens!G4744*IF(3&lt;life_it_hi,1,IF(3=life_it_hi,0.5,0))+Sens!H4744*IF(2&lt;life_it_hi,1,IF(2=life_it_hi,0.5,0))+Sens!I4744*IF(1&lt;life_it_hi,1,IF(1=life_it_hi,0.5,0))+Sens!J4744*0.5)/life_it_hi</f>
        <v>101.585724679057</v>
      </c>
      <c r="K4746" s="6" t="n">
        <f aca="false">(Sens!C4744*IF(8&lt;life_it_hi,1,IF(8=life_it_hi,0.5,0))+Sens!D4744*IF(7&lt;life_it_hi,1,IF(7=life_it_hi,0.5,0))+Sens!E4744*IF(6&lt;life_it_hi,1,IF(6=life_it_hi,0.5,0))+Sens!F4744*IF(5&lt;life_it_hi,1,IF(5=life_it_hi,0.5,0))+Sens!G4744*IF(4&lt;life_it_hi,1,IF(4=life_it_hi,0.5,0))+Sens!H4744*IF(3&lt;life_it_hi,1,IF(3=life_it_hi,0.5,0))+Sens!I4744*IF(2&lt;life_it_hi,1,IF(2=life_it_hi,0.5,0))+Sens!J4744*IF(1&lt;life_it_hi,1,IF(1=life_it_hi,0.5,0))+Sens!K4744*0.5)/life_it_hi</f>
        <v>109.615794129948</v>
      </c>
    </row>
    <row r="4747" customFormat="false" ht="17.15" hidden="false" customHeight="false" outlineLevel="0" collapsed="false">
      <c r="A4747" s="0" t="s">
        <v>853</v>
      </c>
      <c r="B4747" s="0" t="s">
        <v>98</v>
      </c>
      <c r="E4747" s="6" t="n">
        <f aca="false">(Sens!C4742*IF(2&lt;life_fac,1,IF(2=life_fac,0.5,0))+Sens!D4742*IF(1&lt;life_fac,1,IF(1=life_fac,0.5,0))+Sens!E4742*0.5)/life_fac</f>
        <v>1.2448275</v>
      </c>
      <c r="F4747" s="6" t="n">
        <f aca="false">(Sens!C4742*IF(3&lt;life_fac,1,IF(3=life_fac,0.5,0))+Sens!D4742*IF(2&lt;life_fac,1,IF(2=life_fac,0.5,0))+Sens!E4742*IF(1&lt;life_fac,1,IF(1=life_fac,0.5,0))+Sens!F4742*0.5)/life_fac</f>
        <v>2.4456901</v>
      </c>
      <c r="G4747" s="6" t="n">
        <f aca="false">(Sens!C4742*IF(4&lt;life_fac,1,IF(4=life_fac,0.5,0))+Sens!D4742*IF(3&lt;life_fac,1,IF(3=life_fac,0.5,0))+Sens!E4742*IF(2&lt;life_fac,1,IF(2=life_fac,0.5,0))+Sens!F4742*IF(1&lt;life_fac,1,IF(1=life_fac,0.5,0))+Sens!G4742*0.5)/life_fac</f>
        <v>3.9814208</v>
      </c>
      <c r="H4747" s="6" t="n">
        <f aca="false">(Sens!C4742*IF(5&lt;life_fac,1,IF(5=life_fac,0.5,0))+Sens!D4742*IF(4&lt;life_fac,1,IF(4=life_fac,0.5,0))+Sens!E4742*IF(3&lt;life_fac,1,IF(3=life_fac,0.5,0))+Sens!F4742*IF(2&lt;life_fac,1,IF(2=life_fac,0.5,0))+Sens!G4742*IF(1&lt;life_fac,1,IF(1=life_fac,0.5,0))+Sens!H4742*0.5)/life_fac</f>
        <v>5.582402</v>
      </c>
      <c r="I4747" s="6" t="n">
        <f aca="false">(Sens!C4742*IF(6&lt;life_fac,1,IF(6=life_fac,0.5,0))+Sens!D4742*IF(5&lt;life_fac,1,IF(5=life_fac,0.5,0))+Sens!E4742*IF(4&lt;life_fac,1,IF(4=life_fac,0.5,0))+Sens!F4742*IF(3&lt;life_fac,1,IF(3=life_fac,0.5,0))+Sens!G4742*IF(2&lt;life_fac,1,IF(2=life_fac,0.5,0))+Sens!H4742*IF(1&lt;life_fac,1,IF(1=life_fac,0.5,0))+Sens!I4742*0.5)/life_fac</f>
        <v>6.950862093</v>
      </c>
      <c r="J4747" s="6" t="n">
        <f aca="false">(Sens!C4742*IF(7&lt;life_fac,1,IF(7=life_fac,0.5,0))+Sens!D4742*IF(6&lt;life_fac,1,IF(6=life_fac,0.5,0))+Sens!E4742*IF(5&lt;life_fac,1,IF(5=life_fac,0.5,0))+Sens!F4742*IF(4&lt;life_fac,1,IF(4=life_fac,0.5,0))+Sens!G4742*IF(3&lt;life_fac,1,IF(3=life_fac,0.5,0))+Sens!H4742*IF(2&lt;life_fac,1,IF(2=life_fac,0.5,0))+Sens!I4742*IF(1&lt;life_fac,1,IF(1=life_fac,0.5,0))+Sens!J4742*0.5)/life_fac</f>
        <v>7.86563936186</v>
      </c>
      <c r="K4747" s="6" t="n">
        <f aca="false">(Sens!C4742*IF(8&lt;life_fac,1,IF(8=life_fac,0.5,0))+Sens!D4742*IF(7&lt;life_fac,1,IF(7=life_fac,0.5,0))+Sens!E4742*IF(6&lt;life_fac,1,IF(6=life_fac,0.5,0))+Sens!F4742*IF(5&lt;life_fac,1,IF(5=life_fac,0.5,0))+Sens!G4742*IF(4&lt;life_fac,1,IF(4=life_fac,0.5,0))+Sens!H4742*IF(3&lt;life_fac,1,IF(3=life_fac,0.5,0))+Sens!I4742*IF(2&lt;life_fac,1,IF(2=life_fac,0.5,0))+Sens!J4742*IF(1&lt;life_fac,1,IF(1=life_fac,0.5,0))+Sens!K4742*0.5)/life_fac</f>
        <v>8.3428177347858</v>
      </c>
    </row>
    <row r="4748" customFormat="false" ht="17.15" hidden="false" customHeight="false" outlineLevel="0" collapsed="false">
      <c r="A4748" s="0" t="s">
        <v>854</v>
      </c>
      <c r="B4748" s="0" t="s">
        <v>98</v>
      </c>
      <c r="E4748" s="6" t="n">
        <f aca="false">Sens!E4746+Sens!E4747</f>
        <v>14.1538947660714</v>
      </c>
      <c r="F4748" s="6" t="n">
        <f aca="false">Sens!F4746+Sens!F4747</f>
        <v>29.5350020551048</v>
      </c>
      <c r="G4748" s="6" t="n">
        <f aca="false">Sens!G4746+Sens!G4747</f>
        <v>51.2477204947238</v>
      </c>
      <c r="H4748" s="6" t="n">
        <f aca="false">Sens!H4746+Sens!H4747</f>
        <v>74.8212172942667</v>
      </c>
      <c r="I4748" s="6" t="n">
        <f aca="false">Sens!I4746+Sens!I4747</f>
        <v>95.246097101408</v>
      </c>
      <c r="J4748" s="6" t="n">
        <f aca="false">Sens!J4746+Sens!J4747</f>
        <v>109.451364040917</v>
      </c>
      <c r="K4748" s="6" t="n">
        <f aca="false">Sens!K4746+Sens!K4747</f>
        <v>117.958611864733</v>
      </c>
    </row>
    <row r="4749" customFormat="false" ht="17.15" hidden="false" customHeight="false" outlineLevel="0" collapsed="false">
      <c r="A4749" s="0" t="s">
        <v>855</v>
      </c>
      <c r="B4749" s="0" t="s">
        <v>98</v>
      </c>
      <c r="E4749" s="6" t="n">
        <f aca="false">Sens!E4737-Sens!E4736*Sens!E4748</f>
        <v>10.2179856263809</v>
      </c>
      <c r="F4749" s="6" t="n">
        <f aca="false">Sens!F4737-Sens!F4736*Sens!F4748</f>
        <v>25.4068521716743</v>
      </c>
      <c r="G4749" s="6" t="n">
        <f aca="false">Sens!G4737-Sens!G4736*Sens!G4748</f>
        <v>47.722670083071</v>
      </c>
      <c r="H4749" s="6" t="n">
        <f aca="false">Sens!H4737-Sens!H4736*Sens!H4748</f>
        <v>75.2768938846589</v>
      </c>
      <c r="I4749" s="6" t="n">
        <f aca="false">Sens!I4737-Sens!I4736*Sens!I4748</f>
        <v>93.3526548718801</v>
      </c>
      <c r="J4749" s="6" t="n">
        <f aca="false">Sens!J4737-Sens!J4736*Sens!J4748</f>
        <v>106.574666440028</v>
      </c>
      <c r="K4749" s="6" t="n">
        <f aca="false">Sens!K4737-Sens!K4736*Sens!K4748</f>
        <v>114.24735838318</v>
      </c>
    </row>
    <row r="4750" customFormat="false" ht="17.15" hidden="false" customHeight="false" outlineLevel="0" collapsed="false">
      <c r="A4750" s="3" t="s">
        <v>1383</v>
      </c>
    </row>
    <row r="4751" customFormat="false" ht="15" hidden="false" customHeight="false" outlineLevel="0" collapsed="false">
      <c r="A4751" s="4" t="s">
        <v>43</v>
      </c>
      <c r="B4751" s="4" t="s">
        <v>65</v>
      </c>
      <c r="C4751" s="20" t="s">
        <v>799</v>
      </c>
      <c r="D4751" s="20" t="s">
        <v>800</v>
      </c>
      <c r="E4751" s="20" t="s">
        <v>801</v>
      </c>
      <c r="F4751" s="20" t="s">
        <v>802</v>
      </c>
      <c r="G4751" s="20" t="s">
        <v>803</v>
      </c>
      <c r="H4751" s="20" t="s">
        <v>804</v>
      </c>
      <c r="I4751" s="20" t="s">
        <v>805</v>
      </c>
      <c r="J4751" s="20" t="s">
        <v>806</v>
      </c>
      <c r="K4751" s="20" t="s">
        <v>807</v>
      </c>
      <c r="L4751" s="4" t="s">
        <v>47</v>
      </c>
    </row>
    <row r="4752" customFormat="false" ht="17.15" hidden="false" customHeight="false" outlineLevel="0" collapsed="false">
      <c r="A4752" s="0" t="s">
        <v>874</v>
      </c>
      <c r="B4752" s="0" t="s">
        <v>98</v>
      </c>
      <c r="D4752" s="6" t="n">
        <f aca="false">Sens!D4731</f>
        <v>12.9359794422418</v>
      </c>
      <c r="E4752" s="6" t="n">
        <f aca="false">Sens!E4731</f>
        <v>27.8095064661409</v>
      </c>
      <c r="F4752" s="6" t="n">
        <f aca="false">Sens!F4731</f>
        <v>58.7324192305018</v>
      </c>
      <c r="G4752" s="6" t="n">
        <f aca="false">Sens!G4731</f>
        <v>101.369089141153</v>
      </c>
      <c r="H4752" s="6" t="n">
        <f aca="false">Sens!H4731</f>
        <v>149.785610014234</v>
      </c>
      <c r="I4752" s="6" t="n">
        <f aca="false">Sens!I4731</f>
        <v>185.852692991215</v>
      </c>
      <c r="J4752" s="6" t="n">
        <f aca="false">Sens!J4731</f>
        <v>211.520493313792</v>
      </c>
      <c r="K4752" s="6" t="n">
        <f aca="false">Sens!K4731</f>
        <v>226.429067872522</v>
      </c>
    </row>
    <row r="4753" customFormat="false" ht="17.15" hidden="false" customHeight="false" outlineLevel="0" collapsed="false">
      <c r="A4753" s="0" t="s">
        <v>875</v>
      </c>
      <c r="B4753" s="0" t="s">
        <v>98</v>
      </c>
      <c r="D4753" s="6" t="n">
        <f aca="false">Q!L6-Sens!D4752</f>
        <v>59.6740205577583</v>
      </c>
      <c r="E4753" s="6" t="n">
        <f aca="false">Q!M6-Sens!E4752</f>
        <v>74.1284935338591</v>
      </c>
      <c r="F4753" s="6" t="n">
        <f aca="false">Sens!E4753*(1+Sens!F4754)</f>
        <v>90.0799497373663</v>
      </c>
      <c r="G4753" s="6" t="n">
        <f aca="false">Sens!F4753*(1+Sens!G4754)</f>
        <v>107.02842520331</v>
      </c>
      <c r="H4753" s="6" t="n">
        <f aca="false">Sens!G4753*(1+Sens!H4754)</f>
        <v>124.271982585636</v>
      </c>
      <c r="I4753" s="6" t="n">
        <f aca="false">Sens!H4753*(1+Sens!I4754)</f>
        <v>140.933702381855</v>
      </c>
      <c r="J4753" s="6" t="n">
        <f aca="false">Sens!I4753*(1+Sens!J4754)</f>
        <v>156.018867314332</v>
      </c>
      <c r="K4753" s="6" t="n">
        <f aca="false">Sens!J4753*(1+Sens!K4754)</f>
        <v>168.500376699478</v>
      </c>
    </row>
    <row r="4754" customFormat="false" ht="15" hidden="false" customHeight="false" outlineLevel="0" collapsed="false">
      <c r="A4754" s="1" t="s">
        <v>876</v>
      </c>
      <c r="B4754" s="0" t="s">
        <v>129</v>
      </c>
      <c r="E4754" s="7" t="n">
        <f aca="false">Sens!E4753/Sens!D4753-1</f>
        <v>0.242223883039864</v>
      </c>
      <c r="F4754" s="7" t="n">
        <f aca="false">Sens!$E$4754+(glt_azo-Sens!$E$4754)*MIN(1,(Sens!F4714-base_fy)/n_conv)</f>
        <v>0.215186569199887</v>
      </c>
      <c r="G4754" s="7" t="n">
        <f aca="false">Sens!$E$4754+(glt_azo-Sens!$E$4754)*MIN(1,(Sens!G4714-base_fy)/n_conv)</f>
        <v>0.18814925535991</v>
      </c>
      <c r="H4754" s="7" t="n">
        <f aca="false">Sens!$E$4754+(glt_azo-Sens!$E$4754)*MIN(1,(Sens!H4714-base_fy)/n_conv)</f>
        <v>0.161111941519932</v>
      </c>
      <c r="I4754" s="7" t="n">
        <f aca="false">Sens!$E$4754+(glt_azo-Sens!$E$4754)*MIN(1,(Sens!I4714-base_fy)/n_conv)</f>
        <v>0.134074627679955</v>
      </c>
      <c r="J4754" s="7" t="n">
        <f aca="false">Sens!$E$4754+(glt_azo-Sens!$E$4754)*MIN(1,(Sens!J4714-base_fy)/n_conv)</f>
        <v>0.107037313839977</v>
      </c>
      <c r="K4754" s="7" t="n">
        <f aca="false">Sens!$E$4754+(glt_azo-Sens!$E$4754)*MIN(1,(Sens!K4714-base_fy)/n_conv)</f>
        <v>0.08</v>
      </c>
    </row>
    <row r="4755" customFormat="false" ht="15" hidden="false" customHeight="false" outlineLevel="0" collapsed="false">
      <c r="A4755" s="0" t="s">
        <v>877</v>
      </c>
      <c r="B4755" s="0" t="s">
        <v>98</v>
      </c>
      <c r="D4755" s="6" t="n">
        <f aca="false">Sens!D4752+Sens!D4753</f>
        <v>72.61</v>
      </c>
      <c r="E4755" s="6" t="n">
        <f aca="false">Sens!E4752+Sens!E4753</f>
        <v>101.938</v>
      </c>
      <c r="F4755" s="6" t="n">
        <f aca="false">Sens!F4752+Sens!F4753</f>
        <v>148.812368967868</v>
      </c>
      <c r="G4755" s="6" t="n">
        <f aca="false">Sens!G4752+Sens!G4753</f>
        <v>208.397514344463</v>
      </c>
      <c r="H4755" s="6" t="n">
        <f aca="false">Sens!H4752+Sens!H4753</f>
        <v>274.05759259987</v>
      </c>
      <c r="I4755" s="6" t="n">
        <f aca="false">Sens!I4752+Sens!I4753</f>
        <v>326.78639537307</v>
      </c>
      <c r="J4755" s="6" t="n">
        <f aca="false">Sens!J4752+Sens!J4753</f>
        <v>367.539360628123</v>
      </c>
      <c r="K4755" s="6" t="n">
        <f aca="false">Sens!K4752+Sens!K4753</f>
        <v>394.929444572</v>
      </c>
    </row>
    <row r="4756" customFormat="false" ht="17.15" hidden="false" customHeight="false" outlineLevel="0" collapsed="false">
      <c r="A4756" s="0" t="s">
        <v>878</v>
      </c>
      <c r="B4756" s="1" t="s">
        <v>528</v>
      </c>
      <c r="C4756" s="29" t="n">
        <f aca="false">cop_s24</f>
        <v>1</v>
      </c>
      <c r="D4756" s="29" t="n">
        <f aca="false">cop_s25</f>
        <v>5</v>
      </c>
      <c r="E4756" s="29" t="n">
        <f aca="false">cop_s26</f>
        <v>30</v>
      </c>
      <c r="F4756" s="29" t="n">
        <f aca="false">Sens!E4756+cop_add_A</f>
        <v>60</v>
      </c>
      <c r="G4756" s="29" t="n">
        <f aca="false">Sens!F4756+cop_add_A</f>
        <v>90</v>
      </c>
      <c r="H4756" s="29" t="n">
        <f aca="false">Sens!G4756+cop_add_A</f>
        <v>120</v>
      </c>
      <c r="I4756" s="29" t="n">
        <f aca="false">Sens!H4756+cop_add_A*cop_tail</f>
        <v>135</v>
      </c>
      <c r="J4756" s="29" t="n">
        <f aca="false">Sens!I4756+cop_add_A*cop_tail</f>
        <v>150</v>
      </c>
      <c r="K4756" s="29" t="n">
        <f aca="false">Sens!J4756+cop_add_A*cop_tail</f>
        <v>165</v>
      </c>
      <c r="L4756" s="11" t="s">
        <v>879</v>
      </c>
    </row>
    <row r="4757" customFormat="false" ht="17.15" hidden="false" customHeight="false" outlineLevel="0" collapsed="false">
      <c r="A4757" s="0" t="s">
        <v>880</v>
      </c>
      <c r="B4757" s="0" t="s">
        <v>98</v>
      </c>
      <c r="D4757" s="6" t="n">
        <f aca="false">(Sens!C4756+Sens!D4756)/2*cop_px*12/1000</f>
        <v>0.9</v>
      </c>
      <c r="E4757" s="6" t="n">
        <f aca="false">(Sens!D4756+Sens!E4756)/2*cop_px*12/1000</f>
        <v>5.25</v>
      </c>
      <c r="F4757" s="6" t="n">
        <f aca="false">(Sens!E4756+Sens!F4756)/2*cop_px*12/1000</f>
        <v>13.5</v>
      </c>
      <c r="G4757" s="6" t="n">
        <f aca="false">(Sens!F4756+Sens!G4756)/2*cop_px*12/1000</f>
        <v>22.5</v>
      </c>
      <c r="H4757" s="6" t="n">
        <f aca="false">(Sens!G4756+Sens!H4756)/2*cop_px*12/1000</f>
        <v>31.5</v>
      </c>
      <c r="I4757" s="6" t="n">
        <f aca="false">(Sens!H4756+Sens!I4756)/2*cop_px*12/1000</f>
        <v>38.25</v>
      </c>
      <c r="J4757" s="6" t="n">
        <f aca="false">(Sens!I4756+Sens!J4756)/2*cop_px*12/1000</f>
        <v>42.75</v>
      </c>
      <c r="K4757" s="6" t="n">
        <f aca="false">(Sens!J4756+Sens!K4756)/2*cop_px*12/1000</f>
        <v>47.25</v>
      </c>
      <c r="L4757" s="1" t="s">
        <v>881</v>
      </c>
    </row>
    <row r="4758" customFormat="false" ht="17.15" hidden="false" customHeight="false" outlineLevel="0" collapsed="false">
      <c r="A4758" s="0" t="s">
        <v>882</v>
      </c>
      <c r="B4758" s="0" t="s">
        <v>98</v>
      </c>
      <c r="D4758" s="6" t="n">
        <f aca="false">Q!L7-Sens!D4757</f>
        <v>83.705</v>
      </c>
      <c r="E4758" s="6" t="n">
        <f aca="false">Q!M7-Sens!E4757</f>
        <v>95.049</v>
      </c>
      <c r="F4758" s="6" t="n">
        <f aca="false">Sens!E4758*(1+Sens!F4759)</f>
        <v>106.89238776686</v>
      </c>
      <c r="G4758" s="6" t="n">
        <f aca="false">Sens!F4758*(1+Sens!G4759)</f>
        <v>119.044168448684</v>
      </c>
      <c r="H4758" s="6" t="n">
        <f aca="false">Sens!G4758*(1+Sens!H4759)</f>
        <v>131.277359388781</v>
      </c>
      <c r="I4758" s="6" t="n">
        <f aca="false">Sens!H4758*(1+Sens!I4759)</f>
        <v>143.334028071957</v>
      </c>
      <c r="J4758" s="6" t="n">
        <f aca="false">Sens!I4758*(1+Sens!J4759)</f>
        <v>154.932702785465</v>
      </c>
      <c r="K4758" s="6" t="n">
        <f aca="false">Sens!J4758*(1+Sens!K4759)</f>
        <v>165.777991980448</v>
      </c>
    </row>
    <row r="4759" customFormat="false" ht="15" hidden="false" customHeight="false" outlineLevel="0" collapsed="false">
      <c r="A4759" s="1" t="s">
        <v>876</v>
      </c>
      <c r="B4759" s="0" t="s">
        <v>129</v>
      </c>
      <c r="E4759" s="7" t="n">
        <f aca="false">Sens!E4758/Sens!D4758-1</f>
        <v>0.135523564900544</v>
      </c>
      <c r="F4759" s="7" t="n">
        <f aca="false">Sens!$E$4759+(glt_m365b-Sens!$E$4759)*MIN(1,(Sens!F4714-base_fy)/n_conv)</f>
        <v>0.124602970750453</v>
      </c>
      <c r="G4759" s="7" t="n">
        <f aca="false">Sens!$E$4759+(glt_m365b-Sens!$E$4759)*MIN(1,(Sens!G4714-base_fy)/n_conv)</f>
        <v>0.113682376600363</v>
      </c>
      <c r="H4759" s="7" t="n">
        <f aca="false">Sens!$E$4759+(glt_m365b-Sens!$E$4759)*MIN(1,(Sens!H4714-base_fy)/n_conv)</f>
        <v>0.102761782450272</v>
      </c>
      <c r="I4759" s="7" t="n">
        <f aca="false">Sens!$E$4759+(glt_m365b-Sens!$E$4759)*MIN(1,(Sens!I4714-base_fy)/n_conv)</f>
        <v>0.0918411883001813</v>
      </c>
      <c r="J4759" s="7" t="n">
        <f aca="false">Sens!$E$4759+(glt_m365b-Sens!$E$4759)*MIN(1,(Sens!J4714-base_fy)/n_conv)</f>
        <v>0.0809205941500906</v>
      </c>
      <c r="K4759" s="7" t="n">
        <f aca="false">Sens!$E$4759+(glt_m365b-Sens!$E$4759)*MIN(1,(Sens!K4714-base_fy)/n_conv)</f>
        <v>0.07</v>
      </c>
    </row>
    <row r="4760" customFormat="false" ht="15" hidden="false" customHeight="false" outlineLevel="0" collapsed="false">
      <c r="A4760" s="0" t="s">
        <v>883</v>
      </c>
      <c r="B4760" s="0" t="s">
        <v>98</v>
      </c>
      <c r="D4760" s="6" t="n">
        <f aca="false">Sens!D4758+Sens!D4757</f>
        <v>84.605</v>
      </c>
      <c r="E4760" s="6" t="n">
        <f aca="false">Sens!E4758+Sens!E4757</f>
        <v>100.299</v>
      </c>
      <c r="F4760" s="6" t="n">
        <f aca="false">Sens!F4758+Sens!F4757</f>
        <v>120.39238776686</v>
      </c>
      <c r="G4760" s="6" t="n">
        <f aca="false">Sens!G4758+Sens!G4757</f>
        <v>141.544168448684</v>
      </c>
      <c r="H4760" s="6" t="n">
        <f aca="false">Sens!H4758+Sens!H4757</f>
        <v>162.777359388781</v>
      </c>
      <c r="I4760" s="6" t="n">
        <f aca="false">Sens!I4758+Sens!I4757</f>
        <v>181.584028071957</v>
      </c>
      <c r="J4760" s="6" t="n">
        <f aca="false">Sens!J4758+Sens!J4757</f>
        <v>197.682702785465</v>
      </c>
      <c r="K4760" s="6" t="n">
        <f aca="false">Sens!K4758+Sens!K4757</f>
        <v>213.027991980448</v>
      </c>
    </row>
    <row r="4761" customFormat="false" ht="15" hidden="false" customHeight="false" outlineLevel="0" collapsed="false">
      <c r="A4761" s="0" t="s">
        <v>884</v>
      </c>
      <c r="B4761" s="0" t="s">
        <v>98</v>
      </c>
      <c r="D4761" s="6" t="n">
        <f aca="false">Q!L8</f>
        <v>35.391</v>
      </c>
      <c r="E4761" s="6" t="n">
        <f aca="false">Q!M8</f>
        <v>37.285</v>
      </c>
      <c r="F4761" s="6" t="n">
        <f aca="false">Sens!E4761*(1+Sens!F4762)</f>
        <v>39.0720834331704</v>
      </c>
      <c r="G4761" s="6" t="n">
        <f aca="false">Sens!F4761*(1+Sens!G4762)</f>
        <v>40.726562953769</v>
      </c>
      <c r="H4761" s="6" t="n">
        <f aca="false">Sens!G4761*(1+Sens!H4762)</f>
        <v>42.2235987259198</v>
      </c>
      <c r="I4761" s="6" t="n">
        <f aca="false">Sens!H4761*(1+Sens!I4762)</f>
        <v>43.5397988077414</v>
      </c>
      <c r="J4761" s="6" t="n">
        <f aca="false">Sens!I4761*(1+Sens!J4762)</f>
        <v>44.653811225693</v>
      </c>
      <c r="K4761" s="6" t="n">
        <f aca="false">Sens!J4761*(1+Sens!K4762)</f>
        <v>45.5468874502068</v>
      </c>
    </row>
    <row r="4762" customFormat="false" ht="15" hidden="false" customHeight="false" outlineLevel="0" collapsed="false">
      <c r="A4762" s="1" t="s">
        <v>876</v>
      </c>
      <c r="B4762" s="0" t="s">
        <v>129</v>
      </c>
      <c r="E4762" s="7" t="n">
        <f aca="false">Sens!E4761/Sens!D4761-1</f>
        <v>0.0535164307309768</v>
      </c>
      <c r="F4762" s="7" t="n">
        <f aca="false">Sens!$E$4762+(glt_lic-Sens!$E$4762)*MIN(1,(Sens!F4714-base_fy)/n_conv)</f>
        <v>0.0479303589424807</v>
      </c>
      <c r="G4762" s="7" t="n">
        <f aca="false">Sens!$E$4762+(glt_lic-Sens!$E$4762)*MIN(1,(Sens!G4714-base_fy)/n_conv)</f>
        <v>0.0423442871539845</v>
      </c>
      <c r="H4762" s="7" t="n">
        <f aca="false">Sens!$E$4762+(glt_lic-Sens!$E$4762)*MIN(1,(Sens!H4714-base_fy)/n_conv)</f>
        <v>0.0367582153654884</v>
      </c>
      <c r="I4762" s="7" t="n">
        <f aca="false">Sens!$E$4762+(glt_lic-Sens!$E$4762)*MIN(1,(Sens!I4714-base_fy)/n_conv)</f>
        <v>0.0311721435769923</v>
      </c>
      <c r="J4762" s="7" t="n">
        <f aca="false">Sens!$E$4762+(glt_lic-Sens!$E$4762)*MIN(1,(Sens!J4714-base_fy)/n_conv)</f>
        <v>0.0255860717884961</v>
      </c>
      <c r="K4762" s="7" t="n">
        <f aca="false">Sens!$E$4762+(glt_lic-Sens!$E$4762)*MIN(1,(Sens!K4714-base_fy)/n_conv)</f>
        <v>0.02</v>
      </c>
    </row>
    <row r="4763" customFormat="false" ht="15" hidden="false" customHeight="false" outlineLevel="0" collapsed="false">
      <c r="A4763" s="0" t="s">
        <v>885</v>
      </c>
      <c r="B4763" s="0" t="s">
        <v>98</v>
      </c>
      <c r="D4763" s="6" t="n">
        <f aca="false">Q!L9</f>
        <v>18.417</v>
      </c>
      <c r="E4763" s="6" t="n">
        <f aca="false">Q!M9</f>
        <v>20.345</v>
      </c>
      <c r="F4763" s="6" t="n">
        <f aca="false">Sens!E4763*(1+Sens!F4764)</f>
        <v>22.3572203267814</v>
      </c>
      <c r="G4763" s="6" t="n">
        <f aca="false">Sens!F4763*(1+Sens!G4764)</f>
        <v>24.4392124437232</v>
      </c>
      <c r="H4763" s="6" t="n">
        <f aca="false">Sens!G4763*(1+Sens!H4764)</f>
        <v>26.5738052080665</v>
      </c>
      <c r="I4763" s="6" t="n">
        <f aca="false">Sens!H4763*(1+Sens!I4764)</f>
        <v>28.7412169166967</v>
      </c>
      <c r="J4763" s="6" t="n">
        <f aca="false">Sens!I4763*(1+Sens!J4764)</f>
        <v>30.9192545395413</v>
      </c>
      <c r="K4763" s="6" t="n">
        <f aca="false">Sens!J4763*(1+Sens!K4764)</f>
        <v>33.0836023573092</v>
      </c>
    </row>
    <row r="4764" customFormat="false" ht="15" hidden="false" customHeight="false" outlineLevel="0" collapsed="false">
      <c r="A4764" s="1" t="s">
        <v>876</v>
      </c>
      <c r="B4764" s="0" t="s">
        <v>129</v>
      </c>
      <c r="E4764" s="7" t="n">
        <f aca="false">Sens!E4763/Sens!D4763-1</f>
        <v>0.104685888038225</v>
      </c>
      <c r="F4764" s="7" t="n">
        <f aca="false">Sens!$E$4764+(glt_ind-Sens!$E$4764)*MIN(1,(Sens!F4714-base_fy)/n_conv)</f>
        <v>0.0989049066985211</v>
      </c>
      <c r="G4764" s="7" t="n">
        <f aca="false">Sens!$E$4764+(glt_ind-Sens!$E$4764)*MIN(1,(Sens!G4714-base_fy)/n_conv)</f>
        <v>0.0931239253588169</v>
      </c>
      <c r="H4764" s="7" t="n">
        <f aca="false">Sens!$E$4764+(glt_ind-Sens!$E$4764)*MIN(1,(Sens!H4714-base_fy)/n_conv)</f>
        <v>0.0873429440191127</v>
      </c>
      <c r="I4764" s="7" t="n">
        <f aca="false">Sens!$E$4764+(glt_ind-Sens!$E$4764)*MIN(1,(Sens!I4714-base_fy)/n_conv)</f>
        <v>0.0815619626794085</v>
      </c>
      <c r="J4764" s="7" t="n">
        <f aca="false">Sens!$E$4764+(glt_ind-Sens!$E$4764)*MIN(1,(Sens!J4714-base_fy)/n_conv)</f>
        <v>0.0757809813397042</v>
      </c>
      <c r="K4764" s="7" t="n">
        <f aca="false">Sens!$E$4764+(glt_ind-Sens!$E$4764)*MIN(1,(Sens!K4714-base_fy)/n_conv)</f>
        <v>0.07</v>
      </c>
    </row>
    <row r="4765" customFormat="false" ht="15" hidden="false" customHeight="false" outlineLevel="0" collapsed="false">
      <c r="A4765" s="0" t="s">
        <v>886</v>
      </c>
      <c r="B4765" s="0" t="s">
        <v>98</v>
      </c>
      <c r="D4765" s="6" t="n">
        <f aca="false">Q!L10</f>
        <v>7.76</v>
      </c>
      <c r="E4765" s="6" t="n">
        <f aca="false">Q!M10</f>
        <v>8.26</v>
      </c>
      <c r="F4765" s="6" t="n">
        <f aca="false">Sens!E4765*(1+Sens!F4766)</f>
        <v>8.79988041237113</v>
      </c>
      <c r="G4765" s="6" t="n">
        <f aca="false">Sens!F4765*(1+Sens!G4766)</f>
        <v>9.38321269125306</v>
      </c>
      <c r="H4765" s="6" t="n">
        <f aca="false">Sens!G4765*(1+Sens!H4766)</f>
        <v>10.0139193587476</v>
      </c>
      <c r="I4765" s="6" t="n">
        <f aca="false">Sens!H4765*(1+Sens!I4766)</f>
        <v>10.6963111830911</v>
      </c>
      <c r="J4765" s="6" t="n">
        <f aca="false">Sens!I4765*(1+Sens!J4766)</f>
        <v>11.4351285534696</v>
      </c>
      <c r="K4765" s="6" t="n">
        <f aca="false">Sens!J4765*(1+Sens!K4766)</f>
        <v>12.2355875522124</v>
      </c>
    </row>
    <row r="4766" customFormat="false" ht="15" hidden="false" customHeight="false" outlineLevel="0" collapsed="false">
      <c r="A4766" s="1" t="s">
        <v>876</v>
      </c>
      <c r="B4766" s="0" t="s">
        <v>129</v>
      </c>
      <c r="E4766" s="7" t="n">
        <f aca="false">Sens!E4765/Sens!D4765-1</f>
        <v>0.0644329896907216</v>
      </c>
      <c r="F4766" s="7" t="n">
        <f aca="false">Sens!$E$4766+(glt_fro-Sens!$E$4766)*MIN(1,(Sens!F4714-base_fy)/n_conv)</f>
        <v>0.065360824742268</v>
      </c>
      <c r="G4766" s="7" t="n">
        <f aca="false">Sens!$E$4766+(glt_fro-Sens!$E$4766)*MIN(1,(Sens!G4714-base_fy)/n_conv)</f>
        <v>0.0662886597938144</v>
      </c>
      <c r="H4766" s="7" t="n">
        <f aca="false">Sens!$E$4766+(glt_fro-Sens!$E$4766)*MIN(1,(Sens!H4714-base_fy)/n_conv)</f>
        <v>0.0672164948453608</v>
      </c>
      <c r="I4766" s="7" t="n">
        <f aca="false">Sens!$E$4766+(glt_fro-Sens!$E$4766)*MIN(1,(Sens!I4714-base_fy)/n_conv)</f>
        <v>0.0681443298969072</v>
      </c>
      <c r="J4766" s="7" t="n">
        <f aca="false">Sens!$E$4766+(glt_fro-Sens!$E$4766)*MIN(1,(Sens!J4714-base_fy)/n_conv)</f>
        <v>0.0690721649484536</v>
      </c>
      <c r="K4766" s="7" t="n">
        <f aca="false">Sens!$E$4766+(glt_fro-Sens!$E$4766)*MIN(1,(Sens!K4714-base_fy)/n_conv)</f>
        <v>0.07</v>
      </c>
    </row>
    <row r="4767" customFormat="false" ht="15" hidden="false" customHeight="false" outlineLevel="0" collapsed="false">
      <c r="A4767" s="0" t="s">
        <v>715</v>
      </c>
      <c r="B4767" s="0" t="s">
        <v>98</v>
      </c>
      <c r="D4767" s="6" t="n">
        <f aca="false">Sens!D4755+Sens!D4760+Sens!D4761+Sens!D4763+Sens!D4765</f>
        <v>218.783</v>
      </c>
      <c r="E4767" s="6" t="n">
        <f aca="false">Sens!E4755+Sens!E4760+Sens!E4761+Sens!E4763+Sens!E4765</f>
        <v>268.127</v>
      </c>
      <c r="F4767" s="6" t="n">
        <f aca="false">Sens!F4755+Sens!F4760+Sens!F4761+Sens!F4763+Sens!F4765</f>
        <v>339.433940907051</v>
      </c>
      <c r="G4767" s="6" t="n">
        <f aca="false">Sens!G4755+Sens!G4760+Sens!G4761+Sens!G4763+Sens!G4765</f>
        <v>424.490670881892</v>
      </c>
      <c r="H4767" s="6" t="n">
        <f aca="false">Sens!H4755+Sens!H4760+Sens!H4761+Sens!H4763+Sens!H4765</f>
        <v>515.646275281385</v>
      </c>
      <c r="I4767" s="6" t="n">
        <f aca="false">Sens!I4755+Sens!I4760+Sens!I4761+Sens!I4763+Sens!I4765</f>
        <v>591.347750352556</v>
      </c>
      <c r="J4767" s="6" t="n">
        <f aca="false">Sens!J4755+Sens!J4760+Sens!J4761+Sens!J4763+Sens!J4765</f>
        <v>652.230257732292</v>
      </c>
      <c r="K4767" s="6" t="n">
        <f aca="false">Sens!K4755+Sens!K4760+Sens!K4761+Sens!K4763+Sens!K4765</f>
        <v>698.823513912177</v>
      </c>
    </row>
    <row r="4768" customFormat="false" ht="15" hidden="false" customHeight="false" outlineLevel="0" collapsed="false">
      <c r="A4768" s="0" t="s">
        <v>887</v>
      </c>
      <c r="B4768" s="0" t="s">
        <v>98</v>
      </c>
      <c r="D4768" s="6" t="n">
        <f aca="false">Q!L13</f>
        <v>22.171</v>
      </c>
      <c r="E4768" s="6" t="n">
        <f aca="false">Q!M13</f>
        <v>24.835</v>
      </c>
      <c r="F4768" s="6" t="n">
        <f aca="false">Sens!E4768*(1+Sens!F4769)</f>
        <v>27.6114901218559</v>
      </c>
      <c r="G4768" s="6" t="n">
        <f aca="false">Sens!F4768*(1+Sens!G4769)</f>
        <v>30.4675667338515</v>
      </c>
      <c r="H4768" s="6" t="n">
        <f aca="false">Sens!G4768*(1+Sens!H4769)</f>
        <v>33.3643766955789</v>
      </c>
      <c r="I4768" s="6" t="n">
        <f aca="false">Sens!H4768*(1+Sens!I4769)</f>
        <v>36.2577016533691</v>
      </c>
      <c r="J4768" s="6" t="n">
        <f aca="false">Sens!I4768*(1+Sens!J4769)</f>
        <v>39.0988367952171</v>
      </c>
      <c r="K4768" s="6" t="n">
        <f aca="false">Sens!J4768*(1+Sens!K4769)</f>
        <v>41.8357553708823</v>
      </c>
    </row>
    <row r="4769" customFormat="false" ht="15" hidden="false" customHeight="false" outlineLevel="0" collapsed="false">
      <c r="A4769" s="1" t="s">
        <v>876</v>
      </c>
      <c r="B4769" s="0" t="s">
        <v>129</v>
      </c>
      <c r="E4769" s="7" t="n">
        <f aca="false">Sens!E4768/Sens!D4768-1</f>
        <v>0.120156961796942</v>
      </c>
      <c r="F4769" s="7" t="n">
        <f aca="false">Sens!$E$4769+(glt_srch-Sens!$E$4769)*MIN(1,(Sens!F4714-base_fy)/n_conv)</f>
        <v>0.111797468164118</v>
      </c>
      <c r="G4769" s="7" t="n">
        <f aca="false">Sens!$E$4769+(glt_srch-Sens!$E$4769)*MIN(1,(Sens!G4714-base_fy)/n_conv)</f>
        <v>0.103437974531295</v>
      </c>
      <c r="H4769" s="7" t="n">
        <f aca="false">Sens!$E$4769+(glt_srch-Sens!$E$4769)*MIN(1,(Sens!H4714-base_fy)/n_conv)</f>
        <v>0.095078480898471</v>
      </c>
      <c r="I4769" s="7" t="n">
        <f aca="false">Sens!$E$4769+(glt_srch-Sens!$E$4769)*MIN(1,(Sens!I4714-base_fy)/n_conv)</f>
        <v>0.0867189872656474</v>
      </c>
      <c r="J4769" s="7" t="n">
        <f aca="false">Sens!$E$4769+(glt_srch-Sens!$E$4769)*MIN(1,(Sens!J4714-base_fy)/n_conv)</f>
        <v>0.0783594936328237</v>
      </c>
      <c r="K4769" s="7" t="n">
        <f aca="false">Sens!$E$4769+(glt_srch-Sens!$E$4769)*MIN(1,(Sens!K4714-base_fy)/n_conv)</f>
        <v>0.07</v>
      </c>
    </row>
    <row r="4770" customFormat="false" ht="15" hidden="false" customHeight="false" outlineLevel="0" collapsed="false">
      <c r="A4770" s="0" t="s">
        <v>888</v>
      </c>
      <c r="B4770" s="0" t="s">
        <v>98</v>
      </c>
      <c r="D4770" s="6" t="n">
        <f aca="false">Q!L14</f>
        <v>23.455</v>
      </c>
      <c r="E4770" s="6" t="n">
        <f aca="false">Q!M14</f>
        <v>21.79</v>
      </c>
      <c r="F4770" s="6" t="n">
        <f aca="false">Sens!E4770*(1+Sens!F4771)</f>
        <v>20.5736277908051</v>
      </c>
      <c r="G4770" s="6" t="n">
        <f aca="false">Sens!F4770*(1+Sens!G4771)</f>
        <v>19.7371452817919</v>
      </c>
      <c r="H4770" s="6" t="n">
        <f aca="false">Sens!G4770*(1+Sens!H4771)</f>
        <v>19.2339764043138</v>
      </c>
      <c r="I4770" s="6" t="n">
        <f aca="false">Sens!H4770*(1+Sens!I4771)</f>
        <v>19.0353086852681</v>
      </c>
      <c r="J4770" s="6" t="n">
        <f aca="false">Sens!I4770*(1+Sens!J4771)</f>
        <v>19.1273539319129</v>
      </c>
      <c r="K4770" s="6" t="n">
        <f aca="false">Sens!J4770*(1+Sens!K4771)</f>
        <v>19.5099010105511</v>
      </c>
    </row>
    <row r="4771" customFormat="false" ht="15" hidden="false" customHeight="false" outlineLevel="0" collapsed="false">
      <c r="A4771" s="1" t="s">
        <v>876</v>
      </c>
      <c r="B4771" s="0" t="s">
        <v>129</v>
      </c>
      <c r="E4771" s="7" t="n">
        <f aca="false">Sens!E4770/Sens!D4770-1</f>
        <v>-0.0709869963760392</v>
      </c>
      <c r="F4771" s="7" t="n">
        <f aca="false">Sens!$E$4771+(glt_xbox-Sens!$E$4771)*MIN(1,(Sens!F4714-base_fy)/n_conv)</f>
        <v>-0.0558224969800327</v>
      </c>
      <c r="G4771" s="7" t="n">
        <f aca="false">Sens!$E$4771+(glt_xbox-Sens!$E$4771)*MIN(1,(Sens!G4714-base_fy)/n_conv)</f>
        <v>-0.0406579975840262</v>
      </c>
      <c r="H4771" s="7" t="n">
        <f aca="false">Sens!$E$4771+(glt_xbox-Sens!$E$4771)*MIN(1,(Sens!H4714-base_fy)/n_conv)</f>
        <v>-0.0254934981880196</v>
      </c>
      <c r="I4771" s="7" t="n">
        <f aca="false">Sens!$E$4771+(glt_xbox-Sens!$E$4771)*MIN(1,(Sens!I4714-base_fy)/n_conv)</f>
        <v>-0.0103289987920131</v>
      </c>
      <c r="J4771" s="7" t="n">
        <f aca="false">Sens!$E$4771+(glt_xbox-Sens!$E$4771)*MIN(1,(Sens!J4714-base_fy)/n_conv)</f>
        <v>0.00483550060399347</v>
      </c>
      <c r="K4771" s="7" t="n">
        <f aca="false">Sens!$E$4771+(glt_xbox-Sens!$E$4771)*MIN(1,(Sens!K4714-base_fy)/n_conv)</f>
        <v>0.02</v>
      </c>
    </row>
    <row r="4772" customFormat="false" ht="15" hidden="false" customHeight="false" outlineLevel="0" collapsed="false">
      <c r="A4772" s="0" t="s">
        <v>889</v>
      </c>
      <c r="B4772" s="0" t="s">
        <v>98</v>
      </c>
      <c r="D4772" s="6" t="n">
        <f aca="false">Q!L15</f>
        <v>17.315</v>
      </c>
      <c r="E4772" s="6" t="n">
        <f aca="false">Q!M15</f>
        <v>17.087</v>
      </c>
      <c r="F4772" s="6" t="n">
        <f aca="false">Sens!E4772*(1+Sens!F4773)</f>
        <v>16.9564585436519</v>
      </c>
      <c r="G4772" s="6" t="n">
        <f aca="false">Sens!F4772*(1+Sens!G4773)</f>
        <v>16.9206490624268</v>
      </c>
      <c r="H4772" s="6" t="n">
        <f aca="false">Sens!G4772*(1+Sens!H4773)</f>
        <v>16.9784519149849</v>
      </c>
      <c r="I4772" s="6" t="n">
        <f aca="false">Sens!H4772*(1+Sens!I4773)</f>
        <v>17.1303084701817</v>
      </c>
      <c r="J4772" s="6" t="n">
        <f aca="false">Sens!I4772*(1+Sens!J4773)</f>
        <v>17.3782189407267</v>
      </c>
      <c r="K4772" s="6" t="n">
        <f aca="false">Sens!J4772*(1+Sens!K4773)</f>
        <v>17.7257833195413</v>
      </c>
    </row>
    <row r="4773" customFormat="false" ht="15" hidden="false" customHeight="false" outlineLevel="0" collapsed="false">
      <c r="A4773" s="1" t="s">
        <v>876</v>
      </c>
      <c r="B4773" s="0" t="s">
        <v>129</v>
      </c>
      <c r="E4773" s="7" t="n">
        <f aca="false">Sens!E4772/Sens!D4772-1</f>
        <v>-0.0131677736066995</v>
      </c>
      <c r="F4773" s="7" t="n">
        <f aca="false">Sens!$E$4773+(glt_win-Sens!$E$4773)*MIN(1,(Sens!F4714-base_fy)/n_conv)</f>
        <v>-0.00763981133891627</v>
      </c>
      <c r="G4773" s="7" t="n">
        <f aca="false">Sens!$E$4773+(glt_win-Sens!$E$4773)*MIN(1,(Sens!G4714-base_fy)/n_conv)</f>
        <v>-0.00211184907113301</v>
      </c>
      <c r="H4773" s="7" t="n">
        <f aca="false">Sens!$E$4773+(glt_win-Sens!$E$4773)*MIN(1,(Sens!H4714-base_fy)/n_conv)</f>
        <v>0.00341611319665024</v>
      </c>
      <c r="I4773" s="7" t="n">
        <f aca="false">Sens!$E$4773+(glt_win-Sens!$E$4773)*MIN(1,(Sens!I4714-base_fy)/n_conv)</f>
        <v>0.00894407546443349</v>
      </c>
      <c r="J4773" s="7" t="n">
        <f aca="false">Sens!$E$4773+(glt_win-Sens!$E$4773)*MIN(1,(Sens!J4714-base_fy)/n_conv)</f>
        <v>0.0144720377322168</v>
      </c>
      <c r="K4773" s="7" t="n">
        <f aca="false">Sens!$E$4773+(glt_win-Sens!$E$4773)*MIN(1,(Sens!K4714-base_fy)/n_conv)</f>
        <v>0.02</v>
      </c>
    </row>
    <row r="4774" customFormat="false" ht="15" hidden="false" customHeight="false" outlineLevel="0" collapsed="false">
      <c r="A4774" s="0" t="s">
        <v>729</v>
      </c>
      <c r="B4774" s="0" t="s">
        <v>98</v>
      </c>
      <c r="D4774" s="6" t="n">
        <f aca="false">Sens!D4768+Sens!D4770+Sens!D4772</f>
        <v>62.941</v>
      </c>
      <c r="E4774" s="6" t="n">
        <f aca="false">Sens!E4768+Sens!E4770+Sens!E4772</f>
        <v>63.712</v>
      </c>
      <c r="F4774" s="6" t="n">
        <f aca="false">Sens!F4768+Sens!F4770+Sens!F4772</f>
        <v>65.1415764563129</v>
      </c>
      <c r="G4774" s="6" t="n">
        <f aca="false">Sens!G4768+Sens!G4770+Sens!G4772</f>
        <v>67.1253610780702</v>
      </c>
      <c r="H4774" s="6" t="n">
        <f aca="false">Sens!H4768+Sens!H4770+Sens!H4772</f>
        <v>69.5768050148776</v>
      </c>
      <c r="I4774" s="6" t="n">
        <f aca="false">Sens!I4768+Sens!I4770+Sens!I4772</f>
        <v>72.4233188088189</v>
      </c>
      <c r="J4774" s="6" t="n">
        <f aca="false">Sens!J4768+Sens!J4770+Sens!J4772</f>
        <v>75.6044096678567</v>
      </c>
      <c r="K4774" s="6" t="n">
        <f aca="false">Sens!K4768+Sens!K4770+Sens!K4772</f>
        <v>79.0714397009747</v>
      </c>
    </row>
    <row r="4775" customFormat="false" ht="15" hidden="false" customHeight="false" outlineLevel="0" collapsed="false">
      <c r="A4775" s="1" t="s">
        <v>890</v>
      </c>
      <c r="B4775" s="0" t="s">
        <v>98</v>
      </c>
      <c r="D4775" s="6" t="n">
        <f aca="false">Sens!D4767+Sens!D4774</f>
        <v>281.724</v>
      </c>
      <c r="E4775" s="6" t="n">
        <f aca="false">Sens!E4767+Sens!E4774</f>
        <v>331.839</v>
      </c>
      <c r="F4775" s="6" t="n">
        <f aca="false">Sens!F4767+Sens!F4774</f>
        <v>404.575517363364</v>
      </c>
      <c r="G4775" s="6" t="n">
        <f aca="false">Sens!G4767+Sens!G4774</f>
        <v>491.616031959962</v>
      </c>
      <c r="H4775" s="6" t="n">
        <f aca="false">Sens!H4767+Sens!H4774</f>
        <v>585.223080296262</v>
      </c>
      <c r="I4775" s="6" t="n">
        <f aca="false">Sens!I4767+Sens!I4774</f>
        <v>663.771069161375</v>
      </c>
      <c r="J4775" s="6" t="n">
        <f aca="false">Sens!J4767+Sens!J4774</f>
        <v>727.834667400149</v>
      </c>
      <c r="K4775" s="6" t="n">
        <f aca="false">Sens!K4767+Sens!K4774</f>
        <v>777.894953613151</v>
      </c>
    </row>
    <row r="4776" customFormat="false" ht="15" hidden="false" customHeight="false" outlineLevel="0" collapsed="false">
      <c r="A4776" s="23" t="s">
        <v>891</v>
      </c>
      <c r="B4776" s="30" t="s">
        <v>98</v>
      </c>
      <c r="C4776" s="30"/>
      <c r="D4776" s="24" t="n">
        <f aca="false">(Sens!D4755+Sens!D4760+Sens!D4761+Sens!D4763+Sens!D4765-Sens!D4767)+(Sens!D4768+Sens!D4770+Sens!D4772-Sens!D4774)+(Sens!D4767-Q!L5)+(Sens!D4774-Q!L12)+(Sens!D4755-Q!L6)+(Sens!D4760-Q!L7)</f>
        <v>0</v>
      </c>
      <c r="E4776" s="24" t="n">
        <f aca="false">(Sens!E4755+Sens!E4760+Sens!E4761+Sens!E4763+Sens!E4765-Sens!E4767)+(Sens!E4768+Sens!E4770+Sens!E4772-Sens!E4774)+(Sens!E4767-Q!M5)+(Sens!E4774-Q!M12)+(Sens!E4755-Q!M6)+(Sens!E4760-Q!M7)</f>
        <v>0</v>
      </c>
      <c r="F4776" s="24" t="n">
        <f aca="false">(Sens!F4755+Sens!F4760+Sens!F4761+Sens!F4763+Sens!F4765-Sens!F4767)+(Sens!F4768+Sens!F4770+Sens!F4772-Sens!F4774)</f>
        <v>0</v>
      </c>
      <c r="G4776" s="24" t="n">
        <f aca="false">(Sens!G4755+Sens!G4760+Sens!G4761+Sens!G4763+Sens!G4765-Sens!G4767)+(Sens!G4768+Sens!G4770+Sens!G4772-Sens!G4774)</f>
        <v>0</v>
      </c>
      <c r="H4776" s="24" t="n">
        <f aca="false">(Sens!H4755+Sens!H4760+Sens!H4761+Sens!H4763+Sens!H4765-Sens!H4767)+(Sens!H4768+Sens!H4770+Sens!H4772-Sens!H4774)</f>
        <v>0</v>
      </c>
      <c r="I4776" s="24" t="n">
        <f aca="false">(Sens!I4755+Sens!I4760+Sens!I4761+Sens!I4763+Sens!I4765-Sens!I4767)+(Sens!I4768+Sens!I4770+Sens!I4772-Sens!I4774)</f>
        <v>0</v>
      </c>
      <c r="J4776" s="24" t="n">
        <f aca="false">(Sens!J4755+Sens!J4760+Sens!J4761+Sens!J4763+Sens!J4765-Sens!J4767)+(Sens!J4768+Sens!J4770+Sens!J4772-Sens!J4774)</f>
        <v>0</v>
      </c>
      <c r="K4776" s="24" t="n">
        <f aca="false">(Sens!K4755+Sens!K4760+Sens!K4761+Sens!K4763+Sens!K4765-Sens!K4767)+(Sens!K4768+Sens!K4770+Sens!K4772-Sens!K4774)</f>
        <v>0</v>
      </c>
    </row>
    <row r="4777" customFormat="false" ht="17.15" hidden="false" customHeight="false" outlineLevel="0" collapsed="false">
      <c r="A4777" s="3" t="s">
        <v>1384</v>
      </c>
    </row>
    <row r="4778" customFormat="false" ht="15" hidden="false" customHeight="false" outlineLevel="0" collapsed="false">
      <c r="A4778" s="4" t="s">
        <v>43</v>
      </c>
      <c r="B4778" s="4" t="s">
        <v>65</v>
      </c>
      <c r="C4778" s="20" t="s">
        <v>799</v>
      </c>
      <c r="D4778" s="20" t="s">
        <v>800</v>
      </c>
      <c r="E4778" s="20" t="s">
        <v>801</v>
      </c>
      <c r="F4778" s="20" t="s">
        <v>802</v>
      </c>
      <c r="G4778" s="20" t="s">
        <v>803</v>
      </c>
      <c r="H4778" s="20" t="s">
        <v>804</v>
      </c>
      <c r="I4778" s="20" t="s">
        <v>805</v>
      </c>
      <c r="J4778" s="20" t="s">
        <v>806</v>
      </c>
      <c r="K4778" s="20" t="s">
        <v>807</v>
      </c>
      <c r="L4778" s="4" t="s">
        <v>47</v>
      </c>
    </row>
    <row r="4779" customFormat="false" ht="15" hidden="false" customHeight="false" outlineLevel="0" collapsed="false">
      <c r="A4779" s="0" t="s">
        <v>877</v>
      </c>
      <c r="B4779" s="0" t="s">
        <v>98</v>
      </c>
      <c r="D4779" s="6" t="n">
        <f aca="false">Sens!D4755</f>
        <v>72.61</v>
      </c>
      <c r="E4779" s="6" t="n">
        <f aca="false">Sens!E4755</f>
        <v>101.938</v>
      </c>
      <c r="F4779" s="6" t="n">
        <f aca="false">Sens!F4755</f>
        <v>148.812368967868</v>
      </c>
      <c r="G4779" s="6" t="n">
        <f aca="false">Sens!G4755</f>
        <v>208.397514344463</v>
      </c>
      <c r="H4779" s="6" t="n">
        <f aca="false">Sens!H4755</f>
        <v>274.05759259987</v>
      </c>
      <c r="I4779" s="6" t="n">
        <f aca="false">Sens!I4755</f>
        <v>326.78639537307</v>
      </c>
      <c r="J4779" s="6" t="n">
        <f aca="false">Sens!J4755</f>
        <v>367.539360628123</v>
      </c>
      <c r="K4779" s="6" t="n">
        <f aca="false">Sens!K4755</f>
        <v>394.929444572</v>
      </c>
    </row>
    <row r="4780" customFormat="false" ht="17.15" hidden="false" customHeight="false" outlineLevel="0" collapsed="false">
      <c r="A4780" s="0" t="s">
        <v>874</v>
      </c>
      <c r="B4780" s="0" t="s">
        <v>98</v>
      </c>
      <c r="D4780" s="6" t="n">
        <f aca="false">Sens!D4752</f>
        <v>12.9359794422418</v>
      </c>
      <c r="E4780" s="6" t="n">
        <f aca="false">Sens!E4752</f>
        <v>27.8095064661409</v>
      </c>
      <c r="F4780" s="6" t="n">
        <f aca="false">Sens!F4752</f>
        <v>58.7324192305018</v>
      </c>
      <c r="G4780" s="6" t="n">
        <f aca="false">Sens!G4752</f>
        <v>101.369089141153</v>
      </c>
      <c r="H4780" s="6" t="n">
        <f aca="false">Sens!H4752</f>
        <v>149.785610014234</v>
      </c>
      <c r="I4780" s="6" t="n">
        <f aca="false">Sens!I4752</f>
        <v>185.852692991215</v>
      </c>
      <c r="J4780" s="6" t="n">
        <f aca="false">Sens!J4752</f>
        <v>211.520493313792</v>
      </c>
      <c r="K4780" s="6" t="n">
        <f aca="false">Sens!K4752</f>
        <v>226.429067872522</v>
      </c>
    </row>
    <row r="4781" customFormat="false" ht="17.15" hidden="false" customHeight="false" outlineLevel="0" collapsed="false">
      <c r="A4781" s="0" t="s">
        <v>902</v>
      </c>
      <c r="B4781" s="0" t="s">
        <v>98</v>
      </c>
      <c r="D4781" s="6" t="n">
        <f aca="false">Sens!D4753</f>
        <v>59.6740205577583</v>
      </c>
      <c r="E4781" s="6" t="n">
        <f aca="false">Sens!E4753</f>
        <v>74.1284935338591</v>
      </c>
      <c r="F4781" s="6" t="n">
        <f aca="false">Sens!F4753</f>
        <v>90.0799497373663</v>
      </c>
      <c r="G4781" s="6" t="n">
        <f aca="false">Sens!G4753</f>
        <v>107.02842520331</v>
      </c>
      <c r="H4781" s="6" t="n">
        <f aca="false">Sens!H4753</f>
        <v>124.271982585636</v>
      </c>
      <c r="I4781" s="6" t="n">
        <f aca="false">Sens!I4753</f>
        <v>140.933702381855</v>
      </c>
      <c r="J4781" s="6" t="n">
        <f aca="false">Sens!J4753</f>
        <v>156.018867314332</v>
      </c>
      <c r="K4781" s="6" t="n">
        <f aca="false">Sens!K4753</f>
        <v>168.500376699478</v>
      </c>
    </row>
    <row r="4782" customFormat="false" ht="15" hidden="false" customHeight="false" outlineLevel="0" collapsed="false">
      <c r="A4782" s="0" t="s">
        <v>883</v>
      </c>
      <c r="B4782" s="0" t="s">
        <v>98</v>
      </c>
      <c r="D4782" s="6" t="n">
        <f aca="false">Sens!D4760</f>
        <v>84.605</v>
      </c>
      <c r="E4782" s="6" t="n">
        <f aca="false">Sens!E4760</f>
        <v>100.299</v>
      </c>
      <c r="F4782" s="6" t="n">
        <f aca="false">Sens!F4760</f>
        <v>120.39238776686</v>
      </c>
      <c r="G4782" s="6" t="n">
        <f aca="false">Sens!G4760</f>
        <v>141.544168448684</v>
      </c>
      <c r="H4782" s="6" t="n">
        <f aca="false">Sens!H4760</f>
        <v>162.777359388781</v>
      </c>
      <c r="I4782" s="6" t="n">
        <f aca="false">Sens!I4760</f>
        <v>181.584028071957</v>
      </c>
      <c r="J4782" s="6" t="n">
        <f aca="false">Sens!J4760</f>
        <v>197.682702785465</v>
      </c>
      <c r="K4782" s="6" t="n">
        <f aca="false">Sens!K4760</f>
        <v>213.027991980448</v>
      </c>
    </row>
    <row r="4783" customFormat="false" ht="17.15" hidden="false" customHeight="false" outlineLevel="0" collapsed="false">
      <c r="A4783" s="0" t="s">
        <v>903</v>
      </c>
      <c r="B4783" s="0" t="s">
        <v>98</v>
      </c>
      <c r="D4783" s="6" t="n">
        <f aca="false">Sens!D4758</f>
        <v>83.705</v>
      </c>
      <c r="E4783" s="6" t="n">
        <f aca="false">Sens!E4758</f>
        <v>95.049</v>
      </c>
      <c r="F4783" s="6" t="n">
        <f aca="false">Sens!F4758</f>
        <v>106.89238776686</v>
      </c>
      <c r="G4783" s="6" t="n">
        <f aca="false">Sens!G4758</f>
        <v>119.044168448684</v>
      </c>
      <c r="H4783" s="6" t="n">
        <f aca="false">Sens!H4758</f>
        <v>131.277359388781</v>
      </c>
      <c r="I4783" s="6" t="n">
        <f aca="false">Sens!I4758</f>
        <v>143.334028071957</v>
      </c>
      <c r="J4783" s="6" t="n">
        <f aca="false">Sens!J4758</f>
        <v>154.932702785465</v>
      </c>
      <c r="K4783" s="6" t="n">
        <f aca="false">Sens!K4758</f>
        <v>165.777991980448</v>
      </c>
    </row>
    <row r="4784" customFormat="false" ht="17.15" hidden="false" customHeight="false" outlineLevel="0" collapsed="false">
      <c r="A4784" s="0" t="s">
        <v>904</v>
      </c>
      <c r="B4784" s="0" t="s">
        <v>98</v>
      </c>
      <c r="D4784" s="6" t="n">
        <f aca="false">Sens!D4757</f>
        <v>0.9</v>
      </c>
      <c r="E4784" s="6" t="n">
        <f aca="false">Sens!E4757</f>
        <v>5.25</v>
      </c>
      <c r="F4784" s="6" t="n">
        <f aca="false">Sens!F4757</f>
        <v>13.5</v>
      </c>
      <c r="G4784" s="6" t="n">
        <f aca="false">Sens!G4757</f>
        <v>22.5</v>
      </c>
      <c r="H4784" s="6" t="n">
        <f aca="false">Sens!H4757</f>
        <v>31.5</v>
      </c>
      <c r="I4784" s="6" t="n">
        <f aca="false">Sens!I4757</f>
        <v>38.25</v>
      </c>
      <c r="J4784" s="6" t="n">
        <f aca="false">Sens!J4757</f>
        <v>42.75</v>
      </c>
      <c r="K4784" s="6" t="n">
        <f aca="false">Sens!K4757</f>
        <v>47.25</v>
      </c>
    </row>
    <row r="4785" customFormat="false" ht="15" hidden="false" customHeight="false" outlineLevel="0" collapsed="false">
      <c r="A4785" s="0" t="s">
        <v>884</v>
      </c>
      <c r="B4785" s="0" t="s">
        <v>98</v>
      </c>
      <c r="D4785" s="6" t="n">
        <f aca="false">Sens!D4761</f>
        <v>35.391</v>
      </c>
      <c r="E4785" s="6" t="n">
        <f aca="false">Sens!E4761</f>
        <v>37.285</v>
      </c>
      <c r="F4785" s="6" t="n">
        <f aca="false">Sens!F4761</f>
        <v>39.0720834331704</v>
      </c>
      <c r="G4785" s="6" t="n">
        <f aca="false">Sens!G4761</f>
        <v>40.726562953769</v>
      </c>
      <c r="H4785" s="6" t="n">
        <f aca="false">Sens!H4761</f>
        <v>42.2235987259198</v>
      </c>
      <c r="I4785" s="6" t="n">
        <f aca="false">Sens!I4761</f>
        <v>43.5397988077414</v>
      </c>
      <c r="J4785" s="6" t="n">
        <f aca="false">Sens!J4761</f>
        <v>44.653811225693</v>
      </c>
      <c r="K4785" s="6" t="n">
        <f aca="false">Sens!K4761</f>
        <v>45.5468874502068</v>
      </c>
    </row>
    <row r="4786" customFormat="false" ht="15" hidden="false" customHeight="false" outlineLevel="0" collapsed="false">
      <c r="A4786" s="0" t="s">
        <v>885</v>
      </c>
      <c r="B4786" s="0" t="s">
        <v>98</v>
      </c>
      <c r="D4786" s="6" t="n">
        <f aca="false">Sens!D4763</f>
        <v>18.417</v>
      </c>
      <c r="E4786" s="6" t="n">
        <f aca="false">Sens!E4763</f>
        <v>20.345</v>
      </c>
      <c r="F4786" s="6" t="n">
        <f aca="false">Sens!F4763</f>
        <v>22.3572203267814</v>
      </c>
      <c r="G4786" s="6" t="n">
        <f aca="false">Sens!G4763</f>
        <v>24.4392124437232</v>
      </c>
      <c r="H4786" s="6" t="n">
        <f aca="false">Sens!H4763</f>
        <v>26.5738052080665</v>
      </c>
      <c r="I4786" s="6" t="n">
        <f aca="false">Sens!I4763</f>
        <v>28.7412169166967</v>
      </c>
      <c r="J4786" s="6" t="n">
        <f aca="false">Sens!J4763</f>
        <v>30.9192545395413</v>
      </c>
      <c r="K4786" s="6" t="n">
        <f aca="false">Sens!K4763</f>
        <v>33.0836023573092</v>
      </c>
    </row>
    <row r="4787" customFormat="false" ht="15" hidden="false" customHeight="false" outlineLevel="0" collapsed="false">
      <c r="A4787" s="0" t="s">
        <v>886</v>
      </c>
      <c r="B4787" s="0" t="s">
        <v>98</v>
      </c>
      <c r="D4787" s="6" t="n">
        <f aca="false">Sens!D4765</f>
        <v>7.76</v>
      </c>
      <c r="E4787" s="6" t="n">
        <f aca="false">Sens!E4765</f>
        <v>8.26</v>
      </c>
      <c r="F4787" s="6" t="n">
        <f aca="false">Sens!F4765</f>
        <v>8.79988041237113</v>
      </c>
      <c r="G4787" s="6" t="n">
        <f aca="false">Sens!G4765</f>
        <v>9.38321269125306</v>
      </c>
      <c r="H4787" s="6" t="n">
        <f aca="false">Sens!H4765</f>
        <v>10.0139193587476</v>
      </c>
      <c r="I4787" s="6" t="n">
        <f aca="false">Sens!I4765</f>
        <v>10.6963111830911</v>
      </c>
      <c r="J4787" s="6" t="n">
        <f aca="false">Sens!J4765</f>
        <v>11.4351285534696</v>
      </c>
      <c r="K4787" s="6" t="n">
        <f aca="false">Sens!K4765</f>
        <v>12.2355875522124</v>
      </c>
    </row>
    <row r="4788" customFormat="false" ht="15" hidden="false" customHeight="false" outlineLevel="0" collapsed="false">
      <c r="A4788" s="0" t="s">
        <v>715</v>
      </c>
      <c r="B4788" s="0" t="s">
        <v>98</v>
      </c>
      <c r="D4788" s="6" t="n">
        <f aca="false">Sens!D4767</f>
        <v>218.783</v>
      </c>
      <c r="E4788" s="6" t="n">
        <f aca="false">Sens!E4767</f>
        <v>268.127</v>
      </c>
      <c r="F4788" s="6" t="n">
        <f aca="false">Sens!F4767</f>
        <v>339.433940907051</v>
      </c>
      <c r="G4788" s="6" t="n">
        <f aca="false">Sens!G4767</f>
        <v>424.490670881892</v>
      </c>
      <c r="H4788" s="6" t="n">
        <f aca="false">Sens!H4767</f>
        <v>515.646275281385</v>
      </c>
      <c r="I4788" s="6" t="n">
        <f aca="false">Sens!I4767</f>
        <v>591.347750352556</v>
      </c>
      <c r="J4788" s="6" t="n">
        <f aca="false">Sens!J4767</f>
        <v>652.230257732292</v>
      </c>
      <c r="K4788" s="6" t="n">
        <f aca="false">Sens!K4767</f>
        <v>698.823513912177</v>
      </c>
    </row>
    <row r="4789" customFormat="false" ht="15" hidden="false" customHeight="false" outlineLevel="0" collapsed="false">
      <c r="A4789" s="0" t="s">
        <v>887</v>
      </c>
      <c r="B4789" s="0" t="s">
        <v>98</v>
      </c>
      <c r="D4789" s="6" t="n">
        <f aca="false">Sens!D4768</f>
        <v>22.171</v>
      </c>
      <c r="E4789" s="6" t="n">
        <f aca="false">Sens!E4768</f>
        <v>24.835</v>
      </c>
      <c r="F4789" s="6" t="n">
        <f aca="false">Sens!F4768</f>
        <v>27.6114901218559</v>
      </c>
      <c r="G4789" s="6" t="n">
        <f aca="false">Sens!G4768</f>
        <v>30.4675667338515</v>
      </c>
      <c r="H4789" s="6" t="n">
        <f aca="false">Sens!H4768</f>
        <v>33.3643766955789</v>
      </c>
      <c r="I4789" s="6" t="n">
        <f aca="false">Sens!I4768</f>
        <v>36.2577016533691</v>
      </c>
      <c r="J4789" s="6" t="n">
        <f aca="false">Sens!J4768</f>
        <v>39.0988367952171</v>
      </c>
      <c r="K4789" s="6" t="n">
        <f aca="false">Sens!K4768</f>
        <v>41.8357553708823</v>
      </c>
    </row>
    <row r="4790" customFormat="false" ht="15" hidden="false" customHeight="false" outlineLevel="0" collapsed="false">
      <c r="A4790" s="0" t="s">
        <v>888</v>
      </c>
      <c r="B4790" s="0" t="s">
        <v>98</v>
      </c>
      <c r="D4790" s="6" t="n">
        <f aca="false">Sens!D4770</f>
        <v>23.455</v>
      </c>
      <c r="E4790" s="6" t="n">
        <f aca="false">Sens!E4770</f>
        <v>21.79</v>
      </c>
      <c r="F4790" s="6" t="n">
        <f aca="false">Sens!F4770</f>
        <v>20.5736277908051</v>
      </c>
      <c r="G4790" s="6" t="n">
        <f aca="false">Sens!G4770</f>
        <v>19.7371452817919</v>
      </c>
      <c r="H4790" s="6" t="n">
        <f aca="false">Sens!H4770</f>
        <v>19.2339764043138</v>
      </c>
      <c r="I4790" s="6" t="n">
        <f aca="false">Sens!I4770</f>
        <v>19.0353086852681</v>
      </c>
      <c r="J4790" s="6" t="n">
        <f aca="false">Sens!J4770</f>
        <v>19.1273539319129</v>
      </c>
      <c r="K4790" s="6" t="n">
        <f aca="false">Sens!K4770</f>
        <v>19.5099010105511</v>
      </c>
    </row>
    <row r="4791" customFormat="false" ht="15" hidden="false" customHeight="false" outlineLevel="0" collapsed="false">
      <c r="A4791" s="0" t="s">
        <v>889</v>
      </c>
      <c r="B4791" s="0" t="s">
        <v>98</v>
      </c>
      <c r="D4791" s="6" t="n">
        <f aca="false">Sens!D4772</f>
        <v>17.315</v>
      </c>
      <c r="E4791" s="6" t="n">
        <f aca="false">Sens!E4772</f>
        <v>17.087</v>
      </c>
      <c r="F4791" s="6" t="n">
        <f aca="false">Sens!F4772</f>
        <v>16.9564585436519</v>
      </c>
      <c r="G4791" s="6" t="n">
        <f aca="false">Sens!G4772</f>
        <v>16.9206490624268</v>
      </c>
      <c r="H4791" s="6" t="n">
        <f aca="false">Sens!H4772</f>
        <v>16.9784519149849</v>
      </c>
      <c r="I4791" s="6" t="n">
        <f aca="false">Sens!I4772</f>
        <v>17.1303084701817</v>
      </c>
      <c r="J4791" s="6" t="n">
        <f aca="false">Sens!J4772</f>
        <v>17.3782189407267</v>
      </c>
      <c r="K4791" s="6" t="n">
        <f aca="false">Sens!K4772</f>
        <v>17.7257833195413</v>
      </c>
    </row>
    <row r="4792" customFormat="false" ht="15" hidden="false" customHeight="false" outlineLevel="0" collapsed="false">
      <c r="A4792" s="0" t="s">
        <v>729</v>
      </c>
      <c r="B4792" s="0" t="s">
        <v>98</v>
      </c>
      <c r="D4792" s="6" t="n">
        <f aca="false">Sens!D4774</f>
        <v>62.941</v>
      </c>
      <c r="E4792" s="6" t="n">
        <f aca="false">Sens!E4774</f>
        <v>63.712</v>
      </c>
      <c r="F4792" s="6" t="n">
        <f aca="false">Sens!F4774</f>
        <v>65.1415764563129</v>
      </c>
      <c r="G4792" s="6" t="n">
        <f aca="false">Sens!G4774</f>
        <v>67.1253610780702</v>
      </c>
      <c r="H4792" s="6" t="n">
        <f aca="false">Sens!H4774</f>
        <v>69.5768050148776</v>
      </c>
      <c r="I4792" s="6" t="n">
        <f aca="false">Sens!I4774</f>
        <v>72.4233188088189</v>
      </c>
      <c r="J4792" s="6" t="n">
        <f aca="false">Sens!J4774</f>
        <v>75.6044096678567</v>
      </c>
      <c r="K4792" s="6" t="n">
        <f aca="false">Sens!K4774</f>
        <v>79.0714397009747</v>
      </c>
    </row>
    <row r="4793" customFormat="false" ht="15" hidden="false" customHeight="false" outlineLevel="0" collapsed="false">
      <c r="A4793" s="1" t="s">
        <v>905</v>
      </c>
      <c r="B4793" s="0" t="s">
        <v>98</v>
      </c>
      <c r="D4793" s="6" t="n">
        <f aca="false">Sens!D4775</f>
        <v>281.724</v>
      </c>
      <c r="E4793" s="6" t="n">
        <f aca="false">Sens!E4775</f>
        <v>331.839</v>
      </c>
      <c r="F4793" s="6" t="n">
        <f aca="false">Sens!F4775</f>
        <v>404.575517363364</v>
      </c>
      <c r="G4793" s="6" t="n">
        <f aca="false">Sens!G4775</f>
        <v>491.616031959962</v>
      </c>
      <c r="H4793" s="6" t="n">
        <f aca="false">Sens!H4775</f>
        <v>585.223080296262</v>
      </c>
      <c r="I4793" s="6" t="n">
        <f aca="false">Sens!I4775</f>
        <v>663.771069161375</v>
      </c>
      <c r="J4793" s="6" t="n">
        <f aca="false">Sens!J4775</f>
        <v>727.834667400149</v>
      </c>
      <c r="K4793" s="6" t="n">
        <f aca="false">Sens!K4775</f>
        <v>777.894953613151</v>
      </c>
    </row>
    <row r="4794" customFormat="false" ht="15" hidden="false" customHeight="false" outlineLevel="0" collapsed="false">
      <c r="A4794" s="1" t="s">
        <v>906</v>
      </c>
      <c r="B4794" s="0" t="s">
        <v>129</v>
      </c>
      <c r="E4794" s="7" t="n">
        <f aca="false">Sens!E4793/Sens!D4793-1</f>
        <v>0.177886867998467</v>
      </c>
      <c r="F4794" s="7" t="n">
        <f aca="false">Sens!F4793/Sens!E4793-1</f>
        <v>0.219192190680914</v>
      </c>
      <c r="G4794" s="7" t="n">
        <f aca="false">Sens!G4793/Sens!F4793-1</f>
        <v>0.215140340581766</v>
      </c>
      <c r="H4794" s="7" t="n">
        <f aca="false">Sens!H4793/Sens!G4793-1</f>
        <v>0.19040682616291</v>
      </c>
      <c r="I4794" s="7" t="n">
        <f aca="false">Sens!I4793/Sens!H4793-1</f>
        <v>0.134218884233596</v>
      </c>
      <c r="J4794" s="7" t="n">
        <f aca="false">Sens!J4793/Sens!I4793-1</f>
        <v>0.0965145985041402</v>
      </c>
      <c r="K4794" s="7" t="n">
        <f aca="false">Sens!K4793/Sens!J4793-1</f>
        <v>0.0687797496536129</v>
      </c>
    </row>
    <row r="4795" customFormat="false" ht="17.15" hidden="false" customHeight="false" outlineLevel="0" collapsed="false">
      <c r="A4795" s="23" t="s">
        <v>907</v>
      </c>
      <c r="B4795" s="30" t="s">
        <v>98</v>
      </c>
      <c r="C4795" s="30"/>
      <c r="D4795" s="24" t="n">
        <f aca="false">(Sens!D4788+Sens!D4792-Sens!D4793)+(Sens!D4780+Sens!D4781-Sens!D4779)+(Sens!D4783+Sens!D4784-Sens!D4782)+(Sens!D4793-Q!L18)</f>
        <v>0</v>
      </c>
      <c r="E4795" s="24" t="n">
        <f aca="false">(Sens!E4788+Sens!E4792-Sens!E4793)+(Sens!E4780+Sens!E4781-Sens!E4779)+(Sens!E4783+Sens!E4784-Sens!E4782)+(Sens!E4793-Q!M18)</f>
        <v>0</v>
      </c>
      <c r="F4795" s="24" t="n">
        <f aca="false">(Sens!F4788+Sens!F4792-Sens!F4793)+(Sens!F4780+Sens!F4781-Sens!F4779)+(Sens!F4783+Sens!F4784-Sens!F4782)</f>
        <v>0</v>
      </c>
      <c r="G4795" s="24" t="n">
        <f aca="false">(Sens!G4788+Sens!G4792-Sens!G4793)+(Sens!G4780+Sens!G4781-Sens!G4779)+(Sens!G4783+Sens!G4784-Sens!G4782)</f>
        <v>0</v>
      </c>
      <c r="H4795" s="24" t="n">
        <f aca="false">(Sens!H4788+Sens!H4792-Sens!H4793)+(Sens!H4780+Sens!H4781-Sens!H4779)+(Sens!H4783+Sens!H4784-Sens!H4782)</f>
        <v>0</v>
      </c>
      <c r="I4795" s="24" t="n">
        <f aca="false">(Sens!I4788+Sens!I4792-Sens!I4793)+(Sens!I4780+Sens!I4781-Sens!I4779)+(Sens!I4783+Sens!I4784-Sens!I4782)</f>
        <v>0</v>
      </c>
      <c r="J4795" s="24" t="n">
        <f aca="false">(Sens!J4788+Sens!J4792-Sens!J4793)+(Sens!J4780+Sens!J4781-Sens!J4779)+(Sens!J4783+Sens!J4784-Sens!J4782)</f>
        <v>0</v>
      </c>
      <c r="K4795" s="24" t="n">
        <f aca="false">(Sens!K4788+Sens!K4792-Sens!K4793)+(Sens!K4780+Sens!K4781-Sens!K4779)+(Sens!K4783+Sens!K4784-Sens!K4782)</f>
        <v>0</v>
      </c>
    </row>
    <row r="4796" customFormat="false" ht="17.15" hidden="false" customHeight="false" outlineLevel="0" collapsed="false">
      <c r="A4796" s="0" t="s">
        <v>908</v>
      </c>
      <c r="B4796" s="0" t="s">
        <v>129</v>
      </c>
      <c r="E4796" s="7" t="n">
        <f aca="false">(Q!M21+Sens!E4733+Sens!E4734+Sens!E4735+Sens!E4748-Sens!E4731)/(Q!M5-Sens!E4731)</f>
        <v>0.562004564381674</v>
      </c>
      <c r="F4796" s="7" t="n">
        <f aca="false">Sens!$E$4796+dm_seg</f>
        <v>0.562004564381674</v>
      </c>
      <c r="G4796" s="7" t="n">
        <f aca="false">Sens!$E$4796+dm_seg</f>
        <v>0.562004564381674</v>
      </c>
      <c r="H4796" s="7" t="n">
        <f aca="false">Sens!$E$4796+dm_seg</f>
        <v>0.562004564381674</v>
      </c>
      <c r="I4796" s="7" t="n">
        <f aca="false">Sens!$E$4796+dm_seg</f>
        <v>0.562004564381674</v>
      </c>
      <c r="J4796" s="7" t="n">
        <f aca="false">Sens!$E$4796+dm_seg</f>
        <v>0.562004564381674</v>
      </c>
      <c r="K4796" s="7" t="n">
        <f aca="false">Sens!$E$4796+dm_seg</f>
        <v>0.562004564381674</v>
      </c>
      <c r="L4796" s="11" t="s">
        <v>909</v>
      </c>
    </row>
    <row r="4797" customFormat="false" ht="17.15" hidden="false" customHeight="false" outlineLevel="0" collapsed="false">
      <c r="A4797" s="0" t="s">
        <v>743</v>
      </c>
      <c r="B4797" s="0" t="s">
        <v>98</v>
      </c>
      <c r="D4797" s="6" t="n">
        <f aca="false">Q!L21</f>
        <v>110.814</v>
      </c>
      <c r="E4797" s="6" t="n">
        <f aca="false">Q!M21</f>
        <v>136.365</v>
      </c>
      <c r="F4797" s="6" t="n">
        <f aca="false">Sens!F4796*(Sens!F4767-Sens!F4731)+Sens!F4731-(Sens!F4733+Sens!F4734+Sens!F4735)-Sens!F4748-Sens!F4831</f>
        <v>164.001679520328</v>
      </c>
      <c r="G4797" s="6" t="n">
        <f aca="false">Sens!G4796*(Sens!G4767-Sens!G4731)+Sens!G4731-(Sens!G4733+Sens!G4734+Sens!G4735)-Sens!G4748-Sens!G4831</f>
        <v>197.302354578631</v>
      </c>
      <c r="H4797" s="6" t="n">
        <f aca="false">Sens!H4796*(Sens!H4767-Sens!H4731)+Sens!H4731-(Sens!H4733+Sens!H4734+Sens!H4735)-Sens!H4748-Sens!H4831</f>
        <v>235.04118034398</v>
      </c>
      <c r="I4797" s="6" t="n">
        <f aca="false">Sens!I4796*(Sens!I4767-Sens!I4731)+Sens!I4731-(Sens!I4733+Sens!I4734+Sens!I4735)-Sens!I4748-Sens!I4831</f>
        <v>263.463351927671</v>
      </c>
      <c r="J4797" s="6" t="n">
        <f aca="false">Sens!J4796*(Sens!J4767-Sens!J4731)+Sens!J4731-(Sens!J4733+Sens!J4734+Sens!J4735)-Sens!J4748-Sens!J4831</f>
        <v>288.238321485948</v>
      </c>
      <c r="K4797" s="6" t="n">
        <f aca="false">Sens!K4796*(Sens!K4767-Sens!K4731)+Sens!K4731-(Sens!K4733+Sens!K4734+Sens!K4735)-Sens!K4748-Sens!K4831</f>
        <v>308.947419331684</v>
      </c>
      <c r="L4797" s="1" t="s">
        <v>910</v>
      </c>
    </row>
    <row r="4798" customFormat="false" ht="17.15" hidden="false" customHeight="false" outlineLevel="0" collapsed="false">
      <c r="A4798" s="0" t="s">
        <v>911</v>
      </c>
      <c r="B4798" s="0" t="s">
        <v>129</v>
      </c>
      <c r="E4798" s="7" t="n">
        <f aca="false">Q!M22/Q!M12</f>
        <v>0.296207935710698</v>
      </c>
      <c r="F4798" s="7" t="n">
        <f aca="false">Sens!$E$4798+dm_seg</f>
        <v>0.296207935710698</v>
      </c>
      <c r="G4798" s="7" t="n">
        <f aca="false">Sens!$E$4798+dm_seg</f>
        <v>0.296207935710698</v>
      </c>
      <c r="H4798" s="7" t="n">
        <f aca="false">Sens!$E$4798+dm_seg</f>
        <v>0.296207935710698</v>
      </c>
      <c r="I4798" s="7" t="n">
        <f aca="false">Sens!$E$4798+dm_seg</f>
        <v>0.296207935710698</v>
      </c>
      <c r="J4798" s="7" t="n">
        <f aca="false">Sens!$E$4798+dm_seg</f>
        <v>0.296207935710698</v>
      </c>
      <c r="K4798" s="7" t="n">
        <f aca="false">Sens!$E$4798+dm_seg</f>
        <v>0.296207935710698</v>
      </c>
      <c r="L4798" s="11" t="s">
        <v>912</v>
      </c>
    </row>
    <row r="4799" customFormat="false" ht="17.15" hidden="false" customHeight="false" outlineLevel="0" collapsed="false">
      <c r="A4799" s="0" t="s">
        <v>745</v>
      </c>
      <c r="B4799" s="0" t="s">
        <v>98</v>
      </c>
      <c r="D4799" s="6" t="n">
        <f aca="false">Q!L22</f>
        <v>17.714</v>
      </c>
      <c r="E4799" s="6" t="n">
        <f aca="false">Q!M22</f>
        <v>18.872</v>
      </c>
      <c r="F4799" s="6" t="n">
        <f aca="false">Sens!F4774*Sens!F4798</f>
        <v>19.2954518910651</v>
      </c>
      <c r="G4799" s="6" t="n">
        <f aca="false">Sens!G4774*Sens!G4798</f>
        <v>19.8830646387704</v>
      </c>
      <c r="H4799" s="6" t="n">
        <f aca="false">Sens!H4774*Sens!H4798</f>
        <v>20.6092017868026</v>
      </c>
      <c r="I4799" s="6" t="n">
        <f aca="false">Sens!I4774*Sens!I4798</f>
        <v>21.452361761678</v>
      </c>
      <c r="J4799" s="6" t="n">
        <f aca="false">Sens!J4774*Sens!J4798</f>
        <v>22.3946261183418</v>
      </c>
      <c r="K4799" s="6" t="n">
        <f aca="false">Sens!K4774*Sens!K4798</f>
        <v>23.4215879274986</v>
      </c>
    </row>
    <row r="4800" customFormat="false" ht="15" hidden="false" customHeight="false" outlineLevel="0" collapsed="false">
      <c r="A4800" s="1" t="s">
        <v>913</v>
      </c>
      <c r="B4800" s="0" t="s">
        <v>98</v>
      </c>
      <c r="D4800" s="6" t="n">
        <f aca="false">Sens!D4797+Sens!D4799</f>
        <v>128.528</v>
      </c>
      <c r="E4800" s="6" t="n">
        <f aca="false">Sens!E4797+Sens!E4799</f>
        <v>155.237</v>
      </c>
      <c r="F4800" s="6" t="n">
        <f aca="false">Sens!F4797+Sens!F4799</f>
        <v>183.297131411393</v>
      </c>
      <c r="G4800" s="6" t="n">
        <f aca="false">Sens!G4797+Sens!G4799</f>
        <v>217.185419217401</v>
      </c>
      <c r="H4800" s="6" t="n">
        <f aca="false">Sens!H4797+Sens!H4799</f>
        <v>255.650382130783</v>
      </c>
      <c r="I4800" s="6" t="n">
        <f aca="false">Sens!I4797+Sens!I4799</f>
        <v>284.915713689349</v>
      </c>
      <c r="J4800" s="6" t="n">
        <f aca="false">Sens!J4797+Sens!J4799</f>
        <v>310.63294760429</v>
      </c>
      <c r="K4800" s="6" t="n">
        <f aca="false">Sens!K4797+Sens!K4799</f>
        <v>332.369007259182</v>
      </c>
    </row>
    <row r="4801" customFormat="false" ht="15" hidden="false" customHeight="false" outlineLevel="0" collapsed="false">
      <c r="A4801" s="23" t="s">
        <v>914</v>
      </c>
      <c r="B4801" s="30" t="s">
        <v>98</v>
      </c>
      <c r="C4801" s="30"/>
      <c r="D4801" s="24" t="n">
        <f aca="false">Sens!D4800-Q!L23</f>
        <v>0</v>
      </c>
      <c r="E4801" s="24" t="n">
        <f aca="false">Sens!E4800-Q!M23</f>
        <v>0</v>
      </c>
      <c r="F4801" s="30"/>
      <c r="G4801" s="30"/>
      <c r="H4801" s="30"/>
      <c r="I4801" s="30"/>
      <c r="J4801" s="30"/>
      <c r="K4801" s="30"/>
    </row>
    <row r="4802" customFormat="false" ht="15" hidden="false" customHeight="false" outlineLevel="0" collapsed="false">
      <c r="A4802" s="1" t="s">
        <v>915</v>
      </c>
      <c r="B4802" s="0" t="s">
        <v>129</v>
      </c>
      <c r="D4802" s="7" t="n">
        <f aca="false">Sens!D4800/Sens!D4793</f>
        <v>0.456219562408598</v>
      </c>
      <c r="E4802" s="7" t="n">
        <f aca="false">Sens!E4800/Sens!E4793</f>
        <v>0.467808184089272</v>
      </c>
      <c r="F4802" s="7" t="n">
        <f aca="false">Sens!F4800/Sens!F4793</f>
        <v>0.453060364616099</v>
      </c>
      <c r="G4802" s="7" t="n">
        <f aca="false">Sens!G4800/Sens!G4793</f>
        <v>0.441778552972595</v>
      </c>
      <c r="H4802" s="7" t="n">
        <f aca="false">Sens!H4800/Sens!H4793</f>
        <v>0.436842617350913</v>
      </c>
      <c r="I4802" s="7" t="n">
        <f aca="false">Sens!I4800/Sens!I4793</f>
        <v>0.429237920913485</v>
      </c>
      <c r="J4802" s="7" t="n">
        <f aca="false">Sens!J4800/Sens!J4793</f>
        <v>0.426790535704876</v>
      </c>
      <c r="K4802" s="7" t="n">
        <f aca="false">Sens!K4800/Sens!K4793</f>
        <v>0.427267210971611</v>
      </c>
    </row>
    <row r="4803" customFormat="false" ht="17.15" hidden="false" customHeight="false" outlineLevel="0" collapsed="false">
      <c r="A4803" s="1" t="s">
        <v>916</v>
      </c>
      <c r="B4803" s="0" t="s">
        <v>98</v>
      </c>
      <c r="F4803" s="6" t="n">
        <f aca="false">Sens!F4818</f>
        <v>8.51634493623494</v>
      </c>
      <c r="G4803" s="6" t="n">
        <f aca="false">Sens!G4818</f>
        <v>21.5197578488175</v>
      </c>
      <c r="H4803" s="6" t="n">
        <f aca="false">Sens!H4818</f>
        <v>36.0571497119219</v>
      </c>
      <c r="I4803" s="6" t="n">
        <f aca="false">Sens!I4818</f>
        <v>49.1127290994687</v>
      </c>
      <c r="J4803" s="6" t="n">
        <f aca="false">Sens!J4818</f>
        <v>58.478082793307</v>
      </c>
      <c r="K4803" s="6" t="n">
        <f aca="false">Sens!K4818</f>
        <v>62.7555052817444</v>
      </c>
      <c r="L4803" s="1" t="s">
        <v>917</v>
      </c>
    </row>
    <row r="4804" customFormat="false" ht="17.15" hidden="false" customHeight="false" outlineLevel="0" collapsed="false">
      <c r="A4804" s="1" t="s">
        <v>918</v>
      </c>
      <c r="B4804" s="0" t="s">
        <v>98</v>
      </c>
      <c r="D4804" s="6" t="n">
        <f aca="false">Sens!D4800</f>
        <v>128.528</v>
      </c>
      <c r="E4804" s="6" t="n">
        <f aca="false">Sens!E4800</f>
        <v>155.237</v>
      </c>
      <c r="F4804" s="6" t="n">
        <f aca="false">Sens!F4800+Sens!F4803</f>
        <v>191.813476347628</v>
      </c>
      <c r="G4804" s="6" t="n">
        <f aca="false">Sens!G4800+Sens!G4803</f>
        <v>238.705177066219</v>
      </c>
      <c r="H4804" s="6" t="n">
        <f aca="false">Sens!H4800+Sens!H4803</f>
        <v>291.707531842705</v>
      </c>
      <c r="I4804" s="6" t="n">
        <f aca="false">Sens!I4800+Sens!I4803</f>
        <v>334.028442788818</v>
      </c>
      <c r="J4804" s="6" t="n">
        <f aca="false">Sens!J4800+Sens!J4803</f>
        <v>369.111030397597</v>
      </c>
      <c r="K4804" s="6" t="n">
        <f aca="false">Sens!K4800+Sens!K4803</f>
        <v>395.124512540927</v>
      </c>
    </row>
    <row r="4805" customFormat="false" ht="17.15" hidden="false" customHeight="false" outlineLevel="0" collapsed="false">
      <c r="A4805" s="1" t="s">
        <v>919</v>
      </c>
      <c r="B4805" s="0" t="s">
        <v>98</v>
      </c>
      <c r="E4805" s="6" t="n">
        <f aca="false">Sens!E4748</f>
        <v>14.1538947660714</v>
      </c>
      <c r="F4805" s="6" t="n">
        <f aca="false">Sens!F4748</f>
        <v>29.5350020551048</v>
      </c>
      <c r="G4805" s="6" t="n">
        <f aca="false">Sens!G4748</f>
        <v>51.2477204947238</v>
      </c>
      <c r="H4805" s="6" t="n">
        <f aca="false">Sens!H4748</f>
        <v>74.8212172942667</v>
      </c>
      <c r="I4805" s="6" t="n">
        <f aca="false">Sens!I4748</f>
        <v>95.246097101408</v>
      </c>
      <c r="J4805" s="6" t="n">
        <f aca="false">Sens!J4748</f>
        <v>109.451364040917</v>
      </c>
      <c r="K4805" s="6" t="n">
        <f aca="false">Sens!K4748</f>
        <v>117.958611864733</v>
      </c>
    </row>
    <row r="4806" customFormat="false" ht="17.15" hidden="false" customHeight="false" outlineLevel="0" collapsed="false">
      <c r="A4806" s="1" t="s">
        <v>920</v>
      </c>
      <c r="B4806" s="0" t="s">
        <v>98</v>
      </c>
      <c r="E4806" s="6" t="n">
        <f aca="false">Sens!E4830</f>
        <v>24.3801052339286</v>
      </c>
      <c r="F4806" s="6" t="n">
        <f aca="false">Sens!F4830</f>
        <v>26.328807123389</v>
      </c>
      <c r="G4806" s="6" t="n">
        <f aca="false">Sens!G4830</f>
        <v>27.8562157680891</v>
      </c>
      <c r="H4806" s="6" t="n">
        <f aca="false">Sens!H4830</f>
        <v>29.8267455556891</v>
      </c>
      <c r="I4806" s="6" t="n">
        <f aca="false">Sens!I4830</f>
        <v>32.1614110312846</v>
      </c>
      <c r="J4806" s="6" t="n">
        <f aca="false">Sens!J4830</f>
        <v>34.7658612531935</v>
      </c>
      <c r="K4806" s="6" t="n">
        <f aca="false">Sens!K4830</f>
        <v>37.5536454020736</v>
      </c>
    </row>
    <row r="4807" customFormat="false" ht="17.15" hidden="false" customHeight="false" outlineLevel="0" collapsed="false">
      <c r="A4807" s="1" t="s">
        <v>921</v>
      </c>
      <c r="B4807" s="0" t="s">
        <v>98</v>
      </c>
      <c r="D4807" s="6" t="n">
        <f aca="false">Q!L27</f>
        <v>-4.901</v>
      </c>
      <c r="E4807" s="6" t="n">
        <f aca="false">Q!M27</f>
        <v>10.697</v>
      </c>
      <c r="F4807" s="6" t="n">
        <f aca="false">oie_f</f>
        <v>-0.4</v>
      </c>
      <c r="G4807" s="6" t="n">
        <f aca="false">oie_f</f>
        <v>-0.4</v>
      </c>
      <c r="H4807" s="6" t="n">
        <f aca="false">oie_f</f>
        <v>-0.4</v>
      </c>
      <c r="I4807" s="6" t="n">
        <f aca="false">oie_f</f>
        <v>-0.4</v>
      </c>
      <c r="J4807" s="6" t="n">
        <f aca="false">oie_f</f>
        <v>-0.4</v>
      </c>
      <c r="K4807" s="6" t="n">
        <f aca="false">oie_f</f>
        <v>-0.4</v>
      </c>
      <c r="L4807" s="11" t="s">
        <v>922</v>
      </c>
    </row>
    <row r="4808" customFormat="false" ht="15" hidden="false" customHeight="false" outlineLevel="0" collapsed="false">
      <c r="A4808" s="1" t="s">
        <v>923</v>
      </c>
      <c r="B4808" s="0" t="s">
        <v>98</v>
      </c>
      <c r="D4808" s="6" t="n">
        <f aca="false">Sens!D4800+Sens!D4807</f>
        <v>123.627</v>
      </c>
      <c r="E4808" s="6" t="n">
        <f aca="false">Sens!E4800+Sens!E4807</f>
        <v>165.934</v>
      </c>
      <c r="F4808" s="6" t="n">
        <f aca="false">Sens!F4800+Sens!F4807</f>
        <v>182.897131411393</v>
      </c>
      <c r="G4808" s="6" t="n">
        <f aca="false">Sens!G4800+Sens!G4807</f>
        <v>216.785419217401</v>
      </c>
      <c r="H4808" s="6" t="n">
        <f aca="false">Sens!H4800+Sens!H4807</f>
        <v>255.250382130783</v>
      </c>
      <c r="I4808" s="6" t="n">
        <f aca="false">Sens!I4800+Sens!I4807</f>
        <v>284.515713689349</v>
      </c>
      <c r="J4808" s="6" t="n">
        <f aca="false">Sens!J4800+Sens!J4807</f>
        <v>310.23294760429</v>
      </c>
      <c r="K4808" s="6" t="n">
        <f aca="false">Sens!K4800+Sens!K4807</f>
        <v>331.969007259182</v>
      </c>
    </row>
    <row r="4809" customFormat="false" ht="15" hidden="false" customHeight="false" outlineLevel="0" collapsed="false">
      <c r="A4809" s="1" t="s">
        <v>924</v>
      </c>
      <c r="B4809" s="0" t="s">
        <v>98</v>
      </c>
      <c r="D4809" s="6" t="n">
        <f aca="false">Q!L29</f>
        <v>21.795</v>
      </c>
      <c r="E4809" s="6" t="n">
        <f aca="false">Q!M29</f>
        <v>32.185</v>
      </c>
      <c r="F4809" s="6" t="n">
        <f aca="false">Sens!F4808*tax_f</f>
        <v>36.5794262822785</v>
      </c>
      <c r="G4809" s="6" t="n">
        <f aca="false">Sens!G4808*tax_f</f>
        <v>43.3570838434802</v>
      </c>
      <c r="H4809" s="6" t="n">
        <f aca="false">Sens!H4808*tax_f</f>
        <v>51.0500764261566</v>
      </c>
      <c r="I4809" s="6" t="n">
        <f aca="false">Sens!I4808*tax_f</f>
        <v>56.9031427378699</v>
      </c>
      <c r="J4809" s="6" t="n">
        <f aca="false">Sens!J4808*tax_f</f>
        <v>62.0465895208579</v>
      </c>
      <c r="K4809" s="6" t="n">
        <f aca="false">Sens!K4808*tax_f</f>
        <v>66.3938014518364</v>
      </c>
    </row>
    <row r="4810" customFormat="false" ht="15" hidden="false" customHeight="false" outlineLevel="0" collapsed="false">
      <c r="A4810" s="1" t="s">
        <v>925</v>
      </c>
      <c r="B4810" s="0" t="s">
        <v>98</v>
      </c>
      <c r="D4810" s="6" t="n">
        <f aca="false">Sens!D4808-Sens!D4809</f>
        <v>101.832</v>
      </c>
      <c r="E4810" s="6" t="n">
        <f aca="false">Sens!E4808-Sens!E4809</f>
        <v>133.749</v>
      </c>
      <c r="F4810" s="6" t="n">
        <f aca="false">Sens!F4808-Sens!F4809</f>
        <v>146.317705129114</v>
      </c>
      <c r="G4810" s="6" t="n">
        <f aca="false">Sens!G4808-Sens!G4809</f>
        <v>173.428335373921</v>
      </c>
      <c r="H4810" s="6" t="n">
        <f aca="false">Sens!H4808-Sens!H4809</f>
        <v>204.200305704626</v>
      </c>
      <c r="I4810" s="6" t="n">
        <f aca="false">Sens!I4808-Sens!I4809</f>
        <v>227.612570951479</v>
      </c>
      <c r="J4810" s="6" t="n">
        <f aca="false">Sens!J4808-Sens!J4809</f>
        <v>248.186358083432</v>
      </c>
      <c r="K4810" s="6" t="n">
        <f aca="false">Sens!K4808-Sens!K4809</f>
        <v>265.575205807346</v>
      </c>
    </row>
    <row r="4811" customFormat="false" ht="17.15" hidden="false" customHeight="false" outlineLevel="0" collapsed="false">
      <c r="A4811" s="1" t="s">
        <v>926</v>
      </c>
      <c r="B4811" s="1" t="s">
        <v>81</v>
      </c>
      <c r="D4811" s="14" t="n">
        <f aca="false">Q!L31</f>
        <v>7.465</v>
      </c>
      <c r="E4811" s="14" t="n">
        <f aca="false">Q!M31</f>
        <v>7.453</v>
      </c>
      <c r="F4811" s="14" t="n">
        <f aca="false">Sens!F4854</f>
        <v>7.4735</v>
      </c>
      <c r="G4811" s="14" t="n">
        <f aca="false">Sens!G4854</f>
        <v>7.50998370170221</v>
      </c>
      <c r="H4811" s="14" t="n">
        <f aca="false">Sens!H4854</f>
        <v>7.52921898925436</v>
      </c>
      <c r="I4811" s="14" t="n">
        <f aca="false">Sens!I4854</f>
        <v>7.54099982126167</v>
      </c>
      <c r="J4811" s="14" t="n">
        <f aca="false">Sens!J4854</f>
        <v>7.55524133237956</v>
      </c>
      <c r="K4811" s="14" t="n">
        <f aca="false">Sens!K4854</f>
        <v>7.5717612500813</v>
      </c>
    </row>
    <row r="4812" customFormat="false" ht="17.15" hidden="false" customHeight="false" outlineLevel="0" collapsed="false">
      <c r="A4812" s="0" t="s">
        <v>927</v>
      </c>
      <c r="B4812" s="0" t="s">
        <v>75</v>
      </c>
      <c r="D4812" s="8" t="n">
        <f aca="false">Sens!D4810/Sens!D4811</f>
        <v>13.641259209645</v>
      </c>
      <c r="E4812" s="8" t="n">
        <f aca="false">Sens!E4810/Sens!E4811</f>
        <v>17.9456594659869</v>
      </c>
      <c r="F4812" s="8" t="n">
        <f aca="false">Sens!F4810/Sens!F4811</f>
        <v>19.5782036701832</v>
      </c>
      <c r="G4812" s="8" t="n">
        <f aca="false">Sens!G4810/Sens!G4811</f>
        <v>23.093037516794</v>
      </c>
      <c r="H4812" s="8" t="n">
        <f aca="false">Sens!H4810/Sens!H4811</f>
        <v>27.1210474812938</v>
      </c>
      <c r="I4812" s="8" t="n">
        <f aca="false">Sens!I4810/Sens!I4811</f>
        <v>30.1833412473676</v>
      </c>
      <c r="J4812" s="8" t="n">
        <f aca="false">Sens!J4810/Sens!J4811</f>
        <v>32.8495606116217</v>
      </c>
      <c r="K4812" s="8" t="n">
        <f aca="false">Sens!K4810/Sens!K4811</f>
        <v>35.0744294538466</v>
      </c>
      <c r="L4812" s="1" t="s">
        <v>928</v>
      </c>
    </row>
    <row r="4813" customFormat="false" ht="17.15" hidden="false" customHeight="false" outlineLevel="0" collapsed="false">
      <c r="A4813" s="1" t="s">
        <v>929</v>
      </c>
      <c r="B4813" s="0" t="s">
        <v>98</v>
      </c>
      <c r="D4813" s="6" t="n">
        <f aca="false">Sens!D4810</f>
        <v>101.832</v>
      </c>
      <c r="E4813" s="6" t="n">
        <f aca="false">Sens!E4810</f>
        <v>133.749</v>
      </c>
      <c r="F4813" s="6" t="n">
        <f aca="false">Sens!F4810+Sens!F4803*(1-tax_f)</f>
        <v>153.130781078102</v>
      </c>
      <c r="G4813" s="6" t="n">
        <f aca="false">Sens!G4810+Sens!G4803*(1-tax_f)</f>
        <v>190.644141652975</v>
      </c>
      <c r="H4813" s="6" t="n">
        <f aca="false">Sens!H4810+Sens!H4803*(1-tax_f)</f>
        <v>233.046025474164</v>
      </c>
      <c r="I4813" s="6" t="n">
        <f aca="false">Sens!I4810+Sens!I4803*(1-tax_f)</f>
        <v>266.902754231054</v>
      </c>
      <c r="J4813" s="6" t="n">
        <f aca="false">Sens!J4810+Sens!J4803*(1-tax_f)</f>
        <v>294.968824318077</v>
      </c>
      <c r="K4813" s="6" t="n">
        <f aca="false">Sens!K4810+Sens!K4803*(1-tax_f)</f>
        <v>315.779610032741</v>
      </c>
    </row>
    <row r="4814" customFormat="false" ht="17.15" hidden="false" customHeight="false" outlineLevel="0" collapsed="false">
      <c r="A4814" s="0" t="s">
        <v>930</v>
      </c>
      <c r="B4814" s="0" t="s">
        <v>75</v>
      </c>
      <c r="D4814" s="8" t="n">
        <f aca="false">Sens!D4813/Sens!D4811</f>
        <v>13.641259209645</v>
      </c>
      <c r="E4814" s="8" t="n">
        <f aca="false">Sens!E4813/Sens!E4811</f>
        <v>17.9456594659869</v>
      </c>
      <c r="F4814" s="8" t="n">
        <f aca="false">Sens!F4813/Sens!F4811</f>
        <v>20.4898348937047</v>
      </c>
      <c r="G4814" s="8" t="n">
        <f aca="false">Sens!G4813/Sens!G4811</f>
        <v>25.3854268165407</v>
      </c>
      <c r="H4814" s="8" t="n">
        <f aca="false">Sens!H4813/Sens!H4811</f>
        <v>30.9522177275977</v>
      </c>
      <c r="I4814" s="8" t="n">
        <f aca="false">Sens!I4813/Sens!I4811</f>
        <v>35.3935500009599</v>
      </c>
      <c r="J4814" s="8" t="n">
        <f aca="false">Sens!J4813/Sens!J4811</f>
        <v>39.0416151306679</v>
      </c>
      <c r="K4814" s="8" t="n">
        <f aca="false">Sens!K4813/Sens!K4811</f>
        <v>41.7049084886757</v>
      </c>
      <c r="L4814" s="1" t="s">
        <v>931</v>
      </c>
    </row>
    <row r="4815" customFormat="false" ht="17.15" hidden="false" customHeight="false" outlineLevel="0" collapsed="false">
      <c r="A4815" s="0" t="s">
        <v>932</v>
      </c>
      <c r="B4815" s="0" t="s">
        <v>129</v>
      </c>
      <c r="E4815" s="7" t="n">
        <f aca="false">Sens!E4814/Sens!D4814-1</f>
        <v>0.315542736208578</v>
      </c>
      <c r="F4815" s="7" t="n">
        <f aca="false">Sens!F4814/Sens!E4814-1</f>
        <v>0.14177107464565</v>
      </c>
      <c r="G4815" s="7" t="n">
        <f aca="false">Sens!G4814/Sens!F4814-1</f>
        <v>0.238927836570325</v>
      </c>
      <c r="H4815" s="7" t="n">
        <f aca="false">Sens!H4814/Sens!G4814-1</f>
        <v>0.219290814028375</v>
      </c>
      <c r="I4815" s="7" t="n">
        <f aca="false">Sens!I4814/Sens!H4814-1</f>
        <v>0.143489953206235</v>
      </c>
      <c r="J4815" s="7" t="n">
        <f aca="false">Sens!J4814/Sens!I4814-1</f>
        <v>0.103071467247821</v>
      </c>
      <c r="K4815" s="7" t="n">
        <f aca="false">Sens!K4814/Sens!J4814-1</f>
        <v>0.0682167822487372</v>
      </c>
    </row>
    <row r="4816" customFormat="false" ht="17.15" hidden="false" customHeight="false" outlineLevel="0" collapsed="false">
      <c r="A4816" s="0" t="s">
        <v>856</v>
      </c>
      <c r="B4816" s="0" t="s">
        <v>98</v>
      </c>
      <c r="E4816" s="6" t="n">
        <f aca="false">Sens!E4757</f>
        <v>5.25</v>
      </c>
      <c r="F4816" s="6" t="n">
        <f aca="false">Sens!F4757</f>
        <v>13.5</v>
      </c>
      <c r="G4816" s="6" t="n">
        <f aca="false">Sens!G4757</f>
        <v>22.5</v>
      </c>
      <c r="H4816" s="6" t="n">
        <f aca="false">Sens!H4757</f>
        <v>31.5</v>
      </c>
      <c r="I4816" s="6" t="n">
        <f aca="false">Sens!I4757</f>
        <v>38.25</v>
      </c>
      <c r="J4816" s="6" t="n">
        <f aca="false">Sens!J4757</f>
        <v>42.75</v>
      </c>
      <c r="K4816" s="6" t="n">
        <f aca="false">Sens!K4757</f>
        <v>47.25</v>
      </c>
    </row>
    <row r="4817" customFormat="false" ht="17.15" hidden="false" customHeight="false" outlineLevel="0" collapsed="false">
      <c r="A4817" s="1" t="s">
        <v>857</v>
      </c>
      <c r="B4817" s="0" t="s">
        <v>98</v>
      </c>
      <c r="F4817" s="6" t="n">
        <f aca="false">MAX(0,((Sens!E4720+Sens!F4720)/2-(shadow_base*(Sens!$D$4720+Sens!$E$4720)/2+(1-shadow_base)*Sens!$E$4720))*Sens!F4728/1000-(Sens!F4816-Sens!$E$4816)*Sens!F4796)</f>
        <v>8.51634493623494</v>
      </c>
      <c r="G4817" s="6" t="n">
        <f aca="false">MAX(0,((Sens!F4720+Sens!G4720)/2-(shadow_base*(Sens!$D$4720+Sens!$E$4720)/2+(1-shadow_base)*Sens!$E$4720))*Sens!G4728/1000-(Sens!G4816-Sens!$E$4816)*Sens!G4796)</f>
        <v>21.5197578488175</v>
      </c>
      <c r="H4817" s="6" t="n">
        <f aca="false">MAX(0,((Sens!G4720+Sens!H4720)/2-(shadow_base*(Sens!$D$4720+Sens!$E$4720)/2+(1-shadow_base)*Sens!$E$4720))*Sens!H4728/1000-(Sens!H4816-Sens!$E$4816)*Sens!H4796)</f>
        <v>36.0571497119219</v>
      </c>
      <c r="I4817" s="6" t="n">
        <f aca="false">MAX(0,((Sens!H4720+Sens!I4720)/2-(shadow_base*(Sens!$D$4720+Sens!$E$4720)/2+(1-shadow_base)*Sens!$E$4720))*Sens!I4728/1000-(Sens!I4816-Sens!$E$4816)*Sens!I4796)</f>
        <v>49.1127290994687</v>
      </c>
      <c r="J4817" s="6" t="n">
        <f aca="false">MAX(0,((Sens!I4720+Sens!J4720)/2-(shadow_base*(Sens!$D$4720+Sens!$E$4720)/2+(1-shadow_base)*Sens!$E$4720))*Sens!J4728/1000-(Sens!J4816-Sens!$E$4816)*Sens!J4796)</f>
        <v>58.478082793307</v>
      </c>
      <c r="K4817" s="6" t="n">
        <f aca="false">MAX(0,((Sens!J4720+Sens!K4720)/2-(shadow_base*(Sens!$D$4720+Sens!$E$4720)/2+(1-shadow_base)*Sens!$E$4720))*Sens!K4728/1000-(Sens!K4816-Sens!$E$4816)*Sens!K4796)</f>
        <v>62.7555052817444</v>
      </c>
      <c r="L4817" s="1" t="s">
        <v>858</v>
      </c>
    </row>
    <row r="4818" customFormat="false" ht="17.15" hidden="false" customHeight="false" outlineLevel="0" collapsed="false">
      <c r="A4818" s="1" t="s">
        <v>859</v>
      </c>
      <c r="B4818" s="0" t="s">
        <v>98</v>
      </c>
      <c r="F4818" s="6" t="n">
        <f aca="false">IF(internal_ai_reading=2,1,0)*Sens!F4817</f>
        <v>8.51634493623494</v>
      </c>
      <c r="G4818" s="6" t="n">
        <f aca="false">IF(internal_ai_reading=2,1,0)*Sens!G4817</f>
        <v>21.5197578488175</v>
      </c>
      <c r="H4818" s="6" t="n">
        <f aca="false">IF(internal_ai_reading=2,1,0)*Sens!H4817</f>
        <v>36.0571497119219</v>
      </c>
      <c r="I4818" s="6" t="n">
        <f aca="false">IF(internal_ai_reading=2,1,0)*Sens!I4817</f>
        <v>49.1127290994687</v>
      </c>
      <c r="J4818" s="6" t="n">
        <f aca="false">IF(internal_ai_reading=2,1,0)*Sens!J4817</f>
        <v>58.478082793307</v>
      </c>
      <c r="K4818" s="6" t="n">
        <f aca="false">IF(internal_ai_reading=2,1,0)*Sens!K4817</f>
        <v>62.7555052817444</v>
      </c>
    </row>
    <row r="4819" customFormat="false" ht="17.15" hidden="false" customHeight="false" outlineLevel="0" collapsed="false">
      <c r="A4819" s="0" t="s">
        <v>860</v>
      </c>
      <c r="B4819" s="0" t="s">
        <v>98</v>
      </c>
      <c r="F4819" s="6" t="n">
        <f aca="false">Sens!F4737+Sens!F4816*Sens!F4796+Sens!F4818-Sens!F4738-Sens!F4748</f>
        <v>23.1633273545101</v>
      </c>
      <c r="G4819" s="6" t="n">
        <f aca="false">Sens!G4737+Sens!G4816*Sens!G4796+Sens!G4818-Sens!G4738-Sens!G4748</f>
        <v>50.6038112584216</v>
      </c>
      <c r="H4819" s="6" t="n">
        <f aca="false">Sens!H4737+Sens!H4816*Sens!H4796+Sens!H4818-Sens!H4738-Sens!H4748</f>
        <v>83.8452699548869</v>
      </c>
      <c r="I4819" s="6" t="n">
        <f aca="false">Sens!I4737+Sens!I4816*Sens!I4796+Sens!I4818-Sens!I4738-Sens!I4748</f>
        <v>106.775926479391</v>
      </c>
      <c r="J4819" s="6" t="n">
        <f aca="false">Sens!J4737+Sens!J4816*Sens!J4796+Sens!J4818-Sens!J4738-Sens!J4748</f>
        <v>123.595119778143</v>
      </c>
      <c r="K4819" s="6" t="n">
        <f aca="false">Sens!K4737+Sens!K4816*Sens!K4796+Sens!K4818-Sens!K4738-Sens!K4748</f>
        <v>133.250333005731</v>
      </c>
    </row>
    <row r="4820" customFormat="false" ht="17.15" hidden="false" customHeight="false" outlineLevel="0" collapsed="false">
      <c r="A4820" s="0" t="s">
        <v>861</v>
      </c>
      <c r="B4820" s="0" t="s">
        <v>98</v>
      </c>
      <c r="E4820" s="6" t="n">
        <f aca="false">Sens!E4719*(cxit_open+self_build*tk_cxfac)/1000*ai_net_open</f>
        <v>126.6980382</v>
      </c>
      <c r="F4820" s="6" t="n">
        <f aca="false">Sens!E4820+Sens!F4745-Sens!F4748</f>
        <v>257.495912016362</v>
      </c>
      <c r="G4820" s="6" t="n">
        <f aca="false">Sens!F4820+Sens!G4745-Sens!G4748</f>
        <v>389.822372004838</v>
      </c>
      <c r="H4820" s="6" t="n">
        <f aca="false">Sens!G4820+Sens!H4745-Sens!H4748</f>
        <v>503.081440620971</v>
      </c>
      <c r="I4820" s="6" t="n">
        <f aca="false">Sens!H4820+Sens!I4745-Sens!I4748</f>
        <v>541.283337327142</v>
      </c>
      <c r="J4820" s="6" t="n">
        <f aca="false">Sens!I4820+Sens!J4745-Sens!J4748</f>
        <v>543.575310213801</v>
      </c>
      <c r="K4820" s="6" t="n">
        <f aca="false">Sens!J4820+Sens!K4745-Sens!K4748</f>
        <v>501.944862625991</v>
      </c>
      <c r="L4820" s="1" t="s">
        <v>862</v>
      </c>
    </row>
    <row r="4821" customFormat="false" ht="17.15" hidden="false" customHeight="false" outlineLevel="0" collapsed="false">
      <c r="A4821" s="0" t="s">
        <v>863</v>
      </c>
      <c r="B4821" s="0" t="s">
        <v>129</v>
      </c>
      <c r="F4821" s="7" t="n">
        <f aca="false">Sens!F4819*(1-tax_f)/((Sens!E4820+Sens!F4820)/2)</f>
        <v>0.0964651414899814</v>
      </c>
      <c r="G4821" s="7" t="n">
        <f aca="false">Sens!G4819*(1-tax_f)/((Sens!F4820+Sens!G4820)/2)</f>
        <v>0.125079269367313</v>
      </c>
      <c r="H4821" s="7" t="n">
        <f aca="false">Sens!H4819*(1-tax_f)/((Sens!G4820+Sens!H4820)/2)</f>
        <v>0.150242870543144</v>
      </c>
      <c r="I4821" s="7" t="n">
        <f aca="false">Sens!I4819*(1-tax_f)/((Sens!H4820+Sens!I4820)/2)</f>
        <v>0.163584109665861</v>
      </c>
      <c r="J4821" s="7" t="n">
        <f aca="false">Sens!J4819*(1-tax_f)/((Sens!I4820+Sens!J4820)/2)</f>
        <v>0.182283832177838</v>
      </c>
      <c r="K4821" s="7" t="n">
        <f aca="false">Sens!K4819*(1-tax_f)/((Sens!J4820+Sens!K4820)/2)</f>
        <v>0.203918143664397</v>
      </c>
    </row>
    <row r="4822" customFormat="false" ht="17.15" hidden="false" customHeight="false" outlineLevel="0" collapsed="false">
      <c r="A4822" s="1" t="s">
        <v>864</v>
      </c>
      <c r="B4822" s="0" t="s">
        <v>129</v>
      </c>
      <c r="F4822" s="7" t="n">
        <f aca="false">(Sens!F4819-Sens!F4818)*(1-tax_f)/((Sens!E4820+Sens!F4820)/2)</f>
        <v>0.0609982844759596</v>
      </c>
      <c r="G4822" s="7" t="n">
        <f aca="false">(Sens!G4819-Sens!G4818)*(1-tax_f)/((Sens!F4820+Sens!G4820)/2)</f>
        <v>0.0718881060585683</v>
      </c>
      <c r="H4822" s="7" t="n">
        <f aca="false">(Sens!H4819-Sens!H4818)*(1-tax_f)/((Sens!G4820+Sens!H4820)/2)</f>
        <v>0.0856318354872862</v>
      </c>
      <c r="I4822" s="7" t="n">
        <f aca="false">(Sens!I4819-Sens!I4818)*(1-tax_f)/((Sens!H4820+Sens!I4820)/2)</f>
        <v>0.0883418492809992</v>
      </c>
      <c r="J4822" s="7" t="n">
        <f aca="false">(Sens!J4819-Sens!J4818)*(1-tax_f)/((Sens!I4820+Sens!J4820)/2)</f>
        <v>0.0960376353287131</v>
      </c>
      <c r="K4822" s="7" t="n">
        <f aca="false">(Sens!K4819-Sens!K4818)*(1-tax_f)/((Sens!J4820+Sens!K4820)/2)</f>
        <v>0.107880964220919</v>
      </c>
    </row>
    <row r="4823" customFormat="false" ht="17.15" hidden="false" customHeight="false" outlineLevel="0" collapsed="false">
      <c r="A4823" s="1" t="s">
        <v>865</v>
      </c>
      <c r="B4823" s="0" t="s">
        <v>129</v>
      </c>
      <c r="F4823" s="7" t="n">
        <f aca="false">(Sens!F4819-Sens!F4818+Sens!F4817)*(1-tax_f)/((Sens!E4820+Sens!F4820)/2)</f>
        <v>0.0964651414899814</v>
      </c>
      <c r="G4823" s="7" t="n">
        <f aca="false">(Sens!G4819-Sens!G4818+Sens!G4817)*(1-tax_f)/((Sens!F4820+Sens!G4820)/2)</f>
        <v>0.125079269367313</v>
      </c>
      <c r="H4823" s="7" t="n">
        <f aca="false">(Sens!H4819-Sens!H4818+Sens!H4817)*(1-tax_f)/((Sens!G4820+Sens!H4820)/2)</f>
        <v>0.150242870543144</v>
      </c>
      <c r="I4823" s="7" t="n">
        <f aca="false">(Sens!I4819-Sens!I4818+Sens!I4817)*(1-tax_f)/((Sens!H4820+Sens!I4820)/2)</f>
        <v>0.163584109665861</v>
      </c>
      <c r="J4823" s="7" t="n">
        <f aca="false">(Sens!J4819-Sens!J4818+Sens!J4817)*(1-tax_f)/((Sens!I4820+Sens!J4820)/2)</f>
        <v>0.182283832177838</v>
      </c>
      <c r="K4823" s="7" t="n">
        <f aca="false">(Sens!K4819-Sens!K4818+Sens!K4817)*(1-tax_f)/((Sens!J4820+Sens!K4820)/2)</f>
        <v>0.203918143664397</v>
      </c>
    </row>
    <row r="4824" customFormat="false" ht="17.15" hidden="false" customHeight="false" outlineLevel="0" collapsed="false">
      <c r="A4824" s="1" t="s">
        <v>866</v>
      </c>
      <c r="B4824" s="0" t="s">
        <v>129</v>
      </c>
      <c r="F4824" s="7" t="n">
        <f aca="false">Sens!F4749*(1-tax_f)/(Sens!F4736*(Sens!E4820+Sens!F4820)/2)</f>
        <v>0.176347404098832</v>
      </c>
      <c r="G4824" s="7" t="n">
        <f aca="false">Sens!G4749*(1-tax_f)/(Sens!G4736*(Sens!F4820+Sens!G4820)/2)</f>
        <v>0.196596414308433</v>
      </c>
      <c r="H4824" s="7" t="n">
        <f aca="false">Sens!H4749*(1-tax_f)/(Sens!H4736*(Sens!G4820+Sens!H4820)/2)</f>
        <v>0.224815238611314</v>
      </c>
      <c r="I4824" s="7" t="n">
        <f aca="false">Sens!I4749*(1-tax_f)/(Sens!I4736*(Sens!H4820+Sens!I4820)/2)</f>
        <v>0.238365385589486</v>
      </c>
      <c r="J4824" s="7" t="n">
        <f aca="false">Sens!J4749*(1-tax_f)/(Sens!J4736*(Sens!I4820+Sens!J4820)/2)</f>
        <v>0.261968793032105</v>
      </c>
      <c r="K4824" s="7" t="n">
        <f aca="false">Sens!K4749*(1-tax_f)/(Sens!K4736*(Sens!J4820+Sens!K4820)/2)</f>
        <v>0.291395259765908</v>
      </c>
    </row>
    <row r="4825" customFormat="false" ht="17.15" hidden="false" customHeight="false" outlineLevel="0" collapsed="false">
      <c r="A4825" s="0" t="s">
        <v>867</v>
      </c>
      <c r="B4825" s="0" t="s">
        <v>209</v>
      </c>
      <c r="F4825" s="7" t="n">
        <f aca="false">Sens!F4821-wacc</f>
        <v>-0.00646927860289434</v>
      </c>
      <c r="G4825" s="7" t="n">
        <f aca="false">Sens!G4821-wacc</f>
        <v>0.0221448492744372</v>
      </c>
      <c r="H4825" s="7" t="n">
        <f aca="false">Sens!H4821-wacc</f>
        <v>0.047308450450268</v>
      </c>
      <c r="I4825" s="7" t="n">
        <f aca="false">Sens!I4821-wacc</f>
        <v>0.0606496895729848</v>
      </c>
      <c r="J4825" s="7" t="n">
        <f aca="false">Sens!J4821-wacc</f>
        <v>0.0793494120849619</v>
      </c>
      <c r="K4825" s="7" t="n">
        <f aca="false">Sens!K4821-wacc</f>
        <v>0.100983723571521</v>
      </c>
    </row>
    <row r="4826" customFormat="false" ht="17.15" hidden="false" customHeight="false" outlineLevel="0" collapsed="false">
      <c r="A4826" s="0" t="s">
        <v>868</v>
      </c>
      <c r="B4826" s="0" t="s">
        <v>98</v>
      </c>
      <c r="F4826" s="6" t="n">
        <f aca="false">Sens!F4819*(1-tax_f)-wacc*(Sens!E4820+Sens!F4820)/2</f>
        <v>-1.24272885074808</v>
      </c>
      <c r="G4826" s="6" t="n">
        <f aca="false">Sens!G4819*(1-tax_f)-wacc*(Sens!F4820+Sens!G4820)/2</f>
        <v>7.16738291611842</v>
      </c>
      <c r="H4826" s="6" t="n">
        <f aca="false">Sens!H4819*(1-tax_f)-wacc*(Sens!G4820+Sens!H4820)/2</f>
        <v>21.1209478882318</v>
      </c>
      <c r="I4826" s="6" t="n">
        <f aca="false">Sens!I4819*(1-tax_f)-wacc*(Sens!H4820+Sens!I4820)/2</f>
        <v>31.6701997917562</v>
      </c>
      <c r="J4826" s="6" t="n">
        <f aca="false">Sens!J4819*(1-tax_f)-wacc*(Sens!I4820+Sens!J4820)/2</f>
        <v>43.0414479388303</v>
      </c>
      <c r="K4826" s="6" t="n">
        <f aca="false">Sens!K4819*(1-tax_f)-wacc*(Sens!J4820+Sens!K4820)/2</f>
        <v>52.7902600612511</v>
      </c>
    </row>
    <row r="4827" customFormat="false" ht="17.15" hidden="false" customHeight="false" outlineLevel="0" collapsed="false">
      <c r="A4827" s="3" t="s">
        <v>1385</v>
      </c>
    </row>
    <row r="4828" customFormat="false" ht="15" hidden="false" customHeight="false" outlineLevel="0" collapsed="false">
      <c r="A4828" s="4" t="s">
        <v>43</v>
      </c>
      <c r="B4828" s="4" t="s">
        <v>65</v>
      </c>
      <c r="C4828" s="20" t="s">
        <v>799</v>
      </c>
      <c r="D4828" s="20" t="s">
        <v>800</v>
      </c>
      <c r="E4828" s="20" t="s">
        <v>801</v>
      </c>
      <c r="F4828" s="20" t="s">
        <v>802</v>
      </c>
      <c r="G4828" s="20" t="s">
        <v>803</v>
      </c>
      <c r="H4828" s="20" t="s">
        <v>804</v>
      </c>
      <c r="I4828" s="20" t="s">
        <v>805</v>
      </c>
      <c r="J4828" s="20" t="s">
        <v>806</v>
      </c>
      <c r="K4828" s="20" t="s">
        <v>807</v>
      </c>
      <c r="L4828" s="4" t="s">
        <v>47</v>
      </c>
    </row>
    <row r="4829" customFormat="false" ht="15" hidden="false" customHeight="false" outlineLevel="0" collapsed="false">
      <c r="A4829" s="1" t="s">
        <v>925</v>
      </c>
      <c r="B4829" s="0" t="s">
        <v>98</v>
      </c>
      <c r="F4829" s="6" t="n">
        <f aca="false">Sens!F4810</f>
        <v>146.317705129114</v>
      </c>
      <c r="G4829" s="6" t="n">
        <f aca="false">Sens!G4810</f>
        <v>173.428335373921</v>
      </c>
      <c r="H4829" s="6" t="n">
        <f aca="false">Sens!H4810</f>
        <v>204.200305704626</v>
      </c>
      <c r="I4829" s="6" t="n">
        <f aca="false">Sens!I4810</f>
        <v>227.612570951479</v>
      </c>
      <c r="J4829" s="6" t="n">
        <f aca="false">Sens!J4810</f>
        <v>248.186358083432</v>
      </c>
      <c r="K4829" s="6" t="n">
        <f aca="false">Sens!K4810</f>
        <v>265.575205807346</v>
      </c>
    </row>
    <row r="4830" customFormat="false" ht="17.15" hidden="false" customHeight="false" outlineLevel="0" collapsed="false">
      <c r="A4830" s="1" t="s">
        <v>947</v>
      </c>
      <c r="B4830" s="0" t="s">
        <v>98</v>
      </c>
      <c r="E4830" s="6" t="n">
        <f aca="false">Q!M38-Sens!E4748</f>
        <v>24.3801052339286</v>
      </c>
      <c r="F4830" s="6" t="n">
        <f aca="false">Sens!E4830*(1-1/life_nonai)+(Sens!F4837+Sens!F4838)/life_nonai</f>
        <v>26.328807123389</v>
      </c>
      <c r="G4830" s="6" t="n">
        <f aca="false">Sens!F4830*(1-1/life_nonai)+(Sens!G4837)/life_nonai</f>
        <v>27.8562157680891</v>
      </c>
      <c r="H4830" s="6" t="n">
        <f aca="false">Sens!G4830*(1-1/life_nonai)+(Sens!H4837)/life_nonai</f>
        <v>29.8267455556891</v>
      </c>
      <c r="I4830" s="6" t="n">
        <f aca="false">Sens!H4830*(1-1/life_nonai)+(Sens!I4837)/life_nonai</f>
        <v>32.1614110312846</v>
      </c>
      <c r="J4830" s="6" t="n">
        <f aca="false">Sens!I4830*(1-1/life_nonai)+(Sens!J4837)/life_nonai</f>
        <v>34.7658612531935</v>
      </c>
      <c r="K4830" s="6" t="n">
        <f aca="false">Sens!J4830*(1-1/life_nonai)+(Sens!K4837)/life_nonai</f>
        <v>37.5536454020736</v>
      </c>
      <c r="L4830" s="11" t="s">
        <v>948</v>
      </c>
    </row>
    <row r="4831" customFormat="false" ht="17.15" hidden="false" customHeight="false" outlineLevel="0" collapsed="false">
      <c r="A4831" s="1" t="s">
        <v>949</v>
      </c>
      <c r="B4831" s="0" t="s">
        <v>98</v>
      </c>
      <c r="F4831" s="6" t="n">
        <f aca="false">Sens!$F$4838/life_nonai*(1-1/life_nonai)^(Sens!F4714-2027)</f>
        <v>0.813777689897088</v>
      </c>
      <c r="G4831" s="6" t="n">
        <f aca="false">Sens!$F$4838/life_nonai*(1-1/life_nonai)^(Sens!G4714-2027)</f>
        <v>0.73239992090738</v>
      </c>
      <c r="H4831" s="6" t="n">
        <f aca="false">Sens!$F$4838/life_nonai*(1-1/life_nonai)^(Sens!H4714-2027)</f>
        <v>0.659159928816642</v>
      </c>
      <c r="I4831" s="6" t="n">
        <f aca="false">Sens!$F$4838/life_nonai*(1-1/life_nonai)^(Sens!I4714-2027)</f>
        <v>0.593243935934978</v>
      </c>
      <c r="J4831" s="6" t="n">
        <f aca="false">Sens!$F$4838/life_nonai*(1-1/life_nonai)^(Sens!J4714-2027)</f>
        <v>0.53391954234148</v>
      </c>
      <c r="K4831" s="6" t="n">
        <f aca="false">Sens!$F$4838/life_nonai*(1-1/life_nonai)^(Sens!K4714-2027)</f>
        <v>0.480527588107332</v>
      </c>
      <c r="L4831" s="1" t="s">
        <v>950</v>
      </c>
    </row>
    <row r="4832" customFormat="false" ht="17.15" hidden="false" customHeight="false" outlineLevel="0" collapsed="false">
      <c r="A4832" s="1" t="s">
        <v>951</v>
      </c>
      <c r="B4832" s="0" t="s">
        <v>98</v>
      </c>
      <c r="E4832" s="6" t="n">
        <f aca="false">Sens!E4748+Sens!E4830</f>
        <v>38.534</v>
      </c>
      <c r="F4832" s="6" t="n">
        <f aca="false">Sens!F4748+Sens!F4830</f>
        <v>55.8638091784938</v>
      </c>
      <c r="G4832" s="6" t="n">
        <f aca="false">Sens!G4748+Sens!G4830</f>
        <v>79.1039362628129</v>
      </c>
      <c r="H4832" s="6" t="n">
        <f aca="false">Sens!H4748+Sens!H4830</f>
        <v>104.647962849956</v>
      </c>
      <c r="I4832" s="6" t="n">
        <f aca="false">Sens!I4748+Sens!I4830</f>
        <v>127.407508132693</v>
      </c>
      <c r="J4832" s="6" t="n">
        <f aca="false">Sens!J4748+Sens!J4830</f>
        <v>144.217225294111</v>
      </c>
      <c r="K4832" s="6" t="n">
        <f aca="false">Sens!K4748+Sens!K4830</f>
        <v>155.512257266807</v>
      </c>
    </row>
    <row r="4833" customFormat="false" ht="17.15" hidden="false" customHeight="false" outlineLevel="0" collapsed="false">
      <c r="A4833" s="1" t="s">
        <v>952</v>
      </c>
      <c r="B4833" s="0" t="s">
        <v>98</v>
      </c>
      <c r="F4833" s="6" t="n">
        <f aca="false">Sens!F4775*sbc_r</f>
        <v>15.1240791253967</v>
      </c>
      <c r="G4833" s="6" t="n">
        <f aca="false">Sens!G4775*sbc_r</f>
        <v>18.3778786594202</v>
      </c>
      <c r="H4833" s="6" t="n">
        <f aca="false">Sens!H4775*sbc_r</f>
        <v>21.8771522065674</v>
      </c>
      <c r="I4833" s="6" t="n">
        <f aca="false">Sens!I4775*sbc_r</f>
        <v>24.8134791659415</v>
      </c>
      <c r="J4833" s="6" t="n">
        <f aca="false">Sens!J4775*sbc_r</f>
        <v>27.2083421451332</v>
      </c>
      <c r="K4833" s="6" t="n">
        <f aca="false">Sens!K4775*sbc_r</f>
        <v>29.0797251063653</v>
      </c>
    </row>
    <row r="4834" customFormat="false" ht="17.15" hidden="false" customHeight="false" outlineLevel="0" collapsed="false">
      <c r="A4834" s="1" t="s">
        <v>953</v>
      </c>
      <c r="B4834" s="0" t="s">
        <v>98</v>
      </c>
      <c r="F4834" s="6" t="n">
        <f aca="false">wc27</f>
        <v>-4.895</v>
      </c>
      <c r="G4834" s="6" t="n">
        <f aca="false">wc_f</f>
        <v>0</v>
      </c>
      <c r="H4834" s="6" t="n">
        <f aca="false">wc_f</f>
        <v>0</v>
      </c>
      <c r="I4834" s="6" t="n">
        <f aca="false">wc_f</f>
        <v>0</v>
      </c>
      <c r="J4834" s="6" t="n">
        <f aca="false">wc_f</f>
        <v>0</v>
      </c>
      <c r="K4834" s="6" t="n">
        <f aca="false">wc_f</f>
        <v>0</v>
      </c>
      <c r="L4834" s="11" t="s">
        <v>954</v>
      </c>
    </row>
    <row r="4835" customFormat="false" ht="15" hidden="false" customHeight="false" outlineLevel="0" collapsed="false">
      <c r="A4835" s="1" t="s">
        <v>767</v>
      </c>
      <c r="B4835" s="0" t="s">
        <v>98</v>
      </c>
      <c r="E4835" s="6" t="n">
        <f aca="false">Q!M35</f>
        <v>182.935</v>
      </c>
      <c r="F4835" s="6" t="n">
        <f aca="false">Sens!F4829+Sens!F4832+Sens!F4833+Sens!F4834</f>
        <v>212.410593433005</v>
      </c>
      <c r="G4835" s="6" t="n">
        <f aca="false">Sens!G4829+Sens!G4832+Sens!G4833+Sens!G4834</f>
        <v>270.910150296154</v>
      </c>
      <c r="H4835" s="6" t="n">
        <f aca="false">Sens!H4829+Sens!H4832+Sens!H4833+Sens!H4834</f>
        <v>330.72542076115</v>
      </c>
      <c r="I4835" s="6" t="n">
        <f aca="false">Sens!I4829+Sens!I4832+Sens!I4833+Sens!I4834</f>
        <v>379.833558250114</v>
      </c>
      <c r="J4835" s="6" t="n">
        <f aca="false">Sens!J4829+Sens!J4832+Sens!J4833+Sens!J4834</f>
        <v>419.611925522675</v>
      </c>
      <c r="K4835" s="6" t="n">
        <f aca="false">Sens!K4829+Sens!K4832+Sens!K4833+Sens!K4834</f>
        <v>450.167188180518</v>
      </c>
    </row>
    <row r="4836" customFormat="false" ht="17.15" hidden="false" customHeight="false" outlineLevel="0" collapsed="false">
      <c r="A4836" s="0" t="s">
        <v>955</v>
      </c>
      <c r="B4836" s="0" t="s">
        <v>98</v>
      </c>
      <c r="F4836" s="6" t="n">
        <f aca="false">Sens!F4745</f>
        <v>160.332875871467</v>
      </c>
      <c r="G4836" s="6" t="n">
        <f aca="false">Sens!G4745</f>
        <v>183.5741804832</v>
      </c>
      <c r="H4836" s="6" t="n">
        <f aca="false">Sens!H4745</f>
        <v>188.0802859104</v>
      </c>
      <c r="I4836" s="6" t="n">
        <f aca="false">Sens!I4745</f>
        <v>133.447993807579</v>
      </c>
      <c r="J4836" s="6" t="n">
        <f aca="false">Sens!J4745</f>
        <v>111.743336927576</v>
      </c>
      <c r="K4836" s="6" t="n">
        <f aca="false">Sens!K4745</f>
        <v>76.3281642769239</v>
      </c>
    </row>
    <row r="4837" customFormat="false" ht="17.15" hidden="false" customHeight="false" outlineLevel="0" collapsed="false">
      <c r="A4837" s="1" t="s">
        <v>956</v>
      </c>
      <c r="B4837" s="0" t="s">
        <v>98</v>
      </c>
      <c r="E4837" s="6" t="n">
        <f aca="false">Sens!E4753*cx_azo+Sens!E4760*cx_m365+Sens!E4761*cx_lic+(Sens!E4763+Sens!E4765)*cx_ind+Sens!E4768*cx_srch+(Sens!E4770+Sens!E4772)*cx_dev</f>
        <v>30.1846587067718</v>
      </c>
      <c r="F4837" s="6" t="n">
        <f aca="false">Sens!F4753*cx_azo+Sens!F4760*cx_m365+Sens!F4761*cx_lic+(Sens!F4763+Sens!F4765)*cx_ind+Sens!F4768*cx_srch+(Sens!F4770+Sens!F4772)*cx_dev</f>
        <v>35.7293472295625</v>
      </c>
      <c r="G4837" s="6" t="n">
        <f aca="false">Sens!G4753*cx_azo+Sens!G4760*cx_m365+Sens!G4761*cx_lic+(Sens!G4763+Sens!G4765)*cx_ind+Sens!G4768*cx_srch+(Sens!G4770+Sens!G4772)*cx_dev</f>
        <v>41.6028935703892</v>
      </c>
      <c r="H4837" s="6" t="n">
        <f aca="false">Sens!H4753*cx_azo+Sens!H4760*cx_m365+Sens!H4761*cx_lic+(Sens!H4763+Sens!H4765)*cx_ind+Sens!H4768*cx_srch+(Sens!H4770+Sens!H4772)*cx_dev</f>
        <v>47.5615136440897</v>
      </c>
      <c r="I4837" s="6" t="n">
        <f aca="false">Sens!I4753*cx_azo+Sens!I4760*cx_m365+Sens!I4761*cx_lic+(Sens!I4763+Sens!I4765)*cx_ind+Sens!I4768*cx_srch+(Sens!I4770+Sens!I4772)*cx_dev</f>
        <v>53.1734003116439</v>
      </c>
      <c r="J4837" s="6" t="n">
        <f aca="false">Sens!J4753*cx_azo+Sens!J4760*cx_m365+Sens!J4761*cx_lic+(Sens!J4763+Sens!J4765)*cx_ind+Sens!J4768*cx_srch+(Sens!J4770+Sens!J4772)*cx_dev</f>
        <v>58.2059132503738</v>
      </c>
      <c r="K4837" s="6" t="n">
        <f aca="false">Sens!K4753*cx_azo+Sens!K4760*cx_m365+Sens!K4761*cx_lic+(Sens!K4763+Sens!K4765)*cx_ind+Sens!K4768*cx_srch+(Sens!K4770+Sens!K4772)*cx_dev</f>
        <v>62.643702741994</v>
      </c>
    </row>
    <row r="4838" customFormat="false" ht="17.15" hidden="false" customHeight="false" outlineLevel="0" collapsed="false">
      <c r="A4838" s="0" t="s">
        <v>957</v>
      </c>
      <c r="B4838" s="0" t="s">
        <v>98</v>
      </c>
      <c r="F4838" s="6" t="n">
        <f aca="false">Sens!F4743</f>
        <v>8.13777689897088</v>
      </c>
      <c r="L4838" s="1" t="s">
        <v>958</v>
      </c>
    </row>
    <row r="4839" customFormat="false" ht="17.15" hidden="false" customHeight="false" outlineLevel="0" collapsed="false">
      <c r="A4839" s="1" t="s">
        <v>959</v>
      </c>
      <c r="B4839" s="0" t="s">
        <v>98</v>
      </c>
      <c r="E4839" s="6" t="n">
        <f aca="false">Q!M42</f>
        <v>145.3</v>
      </c>
      <c r="F4839" s="6" t="n">
        <f aca="false">Sens!F4836+Sens!F4837+Sens!F4838</f>
        <v>204.2</v>
      </c>
      <c r="G4839" s="6" t="n">
        <f aca="false">Sens!G4836+Sens!G4837</f>
        <v>225.177074053589</v>
      </c>
      <c r="H4839" s="6" t="n">
        <f aca="false">Sens!H4836+Sens!H4837</f>
        <v>235.64179955449</v>
      </c>
      <c r="I4839" s="6" t="n">
        <f aca="false">Sens!I4836+Sens!I4837</f>
        <v>186.621394119223</v>
      </c>
      <c r="J4839" s="6" t="n">
        <f aca="false">Sens!J4836+Sens!J4837</f>
        <v>169.949250177949</v>
      </c>
      <c r="K4839" s="6" t="n">
        <f aca="false">Sens!K4836+Sens!K4837</f>
        <v>138.971867018918</v>
      </c>
      <c r="L4839" s="1" t="s">
        <v>960</v>
      </c>
    </row>
    <row r="4840" customFormat="false" ht="15" hidden="false" customHeight="false" outlineLevel="0" collapsed="false">
      <c r="A4840" s="1" t="s">
        <v>961</v>
      </c>
      <c r="B4840" s="0" t="s">
        <v>98</v>
      </c>
      <c r="E4840" s="6" t="n">
        <f aca="false">fl_liab</f>
        <v>66.594</v>
      </c>
      <c r="F4840" s="6" t="n">
        <f aca="false">Sens!E4840-Sens!F4841</f>
        <v>62.46973</v>
      </c>
      <c r="G4840" s="6" t="n">
        <f aca="false">Sens!F4840-Sens!G4841</f>
        <v>57.98686785</v>
      </c>
      <c r="H4840" s="6" t="n">
        <f aca="false">Sens!G4840-Sens!H4841</f>
        <v>53.92827690325</v>
      </c>
      <c r="I4840" s="6" t="n">
        <f aca="false">Sens!H4840-Sens!I4841</f>
        <v>49.7850493638962</v>
      </c>
      <c r="J4840" s="6" t="n">
        <f aca="false">Sens!I4840-Sens!J4841</f>
        <v>45.4823765852716</v>
      </c>
      <c r="K4840" s="6" t="n">
        <f aca="false">Sens!J4840-Sens!K4841</f>
        <v>40.9860835316088</v>
      </c>
    </row>
    <row r="4841" customFormat="false" ht="15" hidden="false" customHeight="false" outlineLevel="0" collapsed="false">
      <c r="A4841" s="1" t="s">
        <v>962</v>
      </c>
      <c r="B4841" s="0" t="s">
        <v>98</v>
      </c>
      <c r="F4841" s="6" t="n">
        <f aca="false">fl_pay_27-Sens!E4840*fl_rate</f>
        <v>4.12427</v>
      </c>
      <c r="G4841" s="6" t="n">
        <f aca="false">fl_pay_28-Sens!F4840*fl_rate</f>
        <v>4.48286215</v>
      </c>
      <c r="H4841" s="6" t="n">
        <f aca="false">fl_pay_29-Sens!G4840*fl_rate</f>
        <v>4.05859094675</v>
      </c>
      <c r="I4841" s="6" t="n">
        <f aca="false">fl_pay_30-Sens!H4840*fl_rate</f>
        <v>4.14322753935375</v>
      </c>
      <c r="J4841" s="6" t="n">
        <f aca="false">fl_pay_31-Sens!I4840*fl_rate</f>
        <v>4.30267277862467</v>
      </c>
      <c r="K4841" s="6" t="n">
        <f aca="false">fl_pay_32-Sens!J4840*fl_rate</f>
        <v>4.49629305366278</v>
      </c>
    </row>
    <row r="4842" customFormat="false" ht="17.15" hidden="false" customHeight="false" outlineLevel="0" collapsed="false">
      <c r="A4842" s="1" t="s">
        <v>963</v>
      </c>
      <c r="B4842" s="0" t="s">
        <v>98</v>
      </c>
      <c r="E4842" s="6" t="n">
        <f aca="false">Q!M35-Q!M36-Q!M43</f>
        <v>63.886</v>
      </c>
      <c r="F4842" s="6" t="n">
        <f aca="false">Sens!F4835-Sens!F4839-Sens!F4841</f>
        <v>4.08632343300465</v>
      </c>
      <c r="G4842" s="6" t="n">
        <f aca="false">Sens!G4835-Sens!G4839-Sens!G4841</f>
        <v>41.2502140925646</v>
      </c>
      <c r="H4842" s="6" t="n">
        <f aca="false">Sens!H4835-Sens!H4839-Sens!H4841</f>
        <v>91.0250302599099</v>
      </c>
      <c r="I4842" s="6" t="n">
        <f aca="false">Sens!I4835-Sens!I4839-Sens!I4841</f>
        <v>189.068936591537</v>
      </c>
      <c r="J4842" s="6" t="n">
        <f aca="false">Sens!J4835-Sens!J4839-Sens!J4841</f>
        <v>245.360002566101</v>
      </c>
      <c r="K4842" s="6" t="n">
        <f aca="false">Sens!K4835-Sens!K4839-Sens!K4841</f>
        <v>306.699028107937</v>
      </c>
      <c r="L4842" s="11" t="s">
        <v>964</v>
      </c>
    </row>
    <row r="4843" customFormat="false" ht="15" hidden="false" customHeight="false" outlineLevel="0" collapsed="false">
      <c r="A4843" s="1" t="s">
        <v>965</v>
      </c>
      <c r="B4843" s="0" t="s">
        <v>75</v>
      </c>
      <c r="F4843" s="8" t="n">
        <f aca="false">dps_27</f>
        <v>3.85</v>
      </c>
      <c r="G4843" s="8" t="n">
        <f aca="false">Sens!F4843*(1+dps_g)</f>
        <v>4.158</v>
      </c>
      <c r="H4843" s="8" t="n">
        <f aca="false">Sens!G4843*(1+dps_g)</f>
        <v>4.49064</v>
      </c>
      <c r="I4843" s="8" t="n">
        <f aca="false">Sens!H4843*(1+dps_g)</f>
        <v>4.8498912</v>
      </c>
      <c r="J4843" s="8" t="n">
        <f aca="false">Sens!I4843*(1+dps_g)</f>
        <v>5.237882496</v>
      </c>
      <c r="K4843" s="8" t="n">
        <f aca="false">Sens!J4843*(1+dps_g)</f>
        <v>5.65691309568</v>
      </c>
    </row>
    <row r="4844" customFormat="false" ht="17.15" hidden="false" customHeight="false" outlineLevel="0" collapsed="false">
      <c r="A4844" s="1" t="s">
        <v>966</v>
      </c>
      <c r="B4844" s="0" t="s">
        <v>98</v>
      </c>
      <c r="E4844" s="6" t="n">
        <f aca="false">Q!M41</f>
        <v>26.445</v>
      </c>
      <c r="F4844" s="6" t="n">
        <f aca="false">Sens!F4843*Sens!E4853</f>
        <v>28.59395</v>
      </c>
      <c r="G4844" s="6" t="n">
        <f aca="false">Sens!G4843*Sens!F4853</f>
        <v>31.068576</v>
      </c>
      <c r="H4844" s="6" t="n">
        <f aca="false">Sens!H4843*Sens!G4853</f>
        <v>33.679653620424</v>
      </c>
      <c r="I4844" s="6" t="n">
        <f aca="false">Sens!I4843*Sens!H4853</f>
        <v>36.4249651500574</v>
      </c>
      <c r="J4844" s="6" t="n">
        <f aca="false">Sens!J4843*Sens!I4853</f>
        <v>39.4073612103814</v>
      </c>
      <c r="K4844" s="6" t="n">
        <f aca="false">Sens!K4843*Sens!J4853</f>
        <v>42.6472053325169</v>
      </c>
      <c r="L4844" s="1" t="s">
        <v>967</v>
      </c>
    </row>
    <row r="4845" customFormat="false" ht="15" hidden="false" customHeight="false" outlineLevel="0" collapsed="false">
      <c r="A4845" s="1" t="s">
        <v>968</v>
      </c>
      <c r="B4845" s="0" t="s">
        <v>98</v>
      </c>
      <c r="E4845" s="6" t="n">
        <f aca="false">Sens!E4842-Sens!E4844</f>
        <v>37.441</v>
      </c>
      <c r="F4845" s="6" t="n">
        <f aca="false">Sens!F4842-Sens!F4844</f>
        <v>-24.5076265669954</v>
      </c>
      <c r="G4845" s="6" t="n">
        <f aca="false">Sens!G4842-Sens!G4844</f>
        <v>10.1816380925646</v>
      </c>
      <c r="H4845" s="6" t="n">
        <f aca="false">Sens!H4842-Sens!H4844</f>
        <v>57.3453766394859</v>
      </c>
      <c r="I4845" s="6" t="n">
        <f aca="false">Sens!I4842-Sens!I4844</f>
        <v>152.64397144148</v>
      </c>
      <c r="J4845" s="6" t="n">
        <f aca="false">Sens!J4842-Sens!J4844</f>
        <v>205.95264135572</v>
      </c>
      <c r="K4845" s="6" t="n">
        <f aca="false">Sens!K4842-Sens!K4844</f>
        <v>264.05182277542</v>
      </c>
    </row>
    <row r="4846" customFormat="false" ht="15" hidden="false" customHeight="false" outlineLevel="0" collapsed="false">
      <c r="A4846" s="1" t="s">
        <v>969</v>
      </c>
      <c r="B4846" s="0" t="s">
        <v>98</v>
      </c>
      <c r="F4846" s="6" t="n">
        <f aca="false">debt_mat_27</f>
        <v>9.25</v>
      </c>
      <c r="G4846" s="6" t="n">
        <f aca="false">debt_mat_28</f>
        <v>0</v>
      </c>
      <c r="H4846" s="6" t="n">
        <f aca="false">debt_mat_29</f>
        <v>2.001</v>
      </c>
      <c r="I4846" s="6" t="n">
        <f aca="false">debt_mat_30</f>
        <v>0</v>
      </c>
      <c r="J4846" s="6" t="n">
        <f aca="false">debt_mat_31</f>
        <v>0.5</v>
      </c>
      <c r="K4846" s="6" t="n">
        <f aca="false">debt_mat_32</f>
        <v>0</v>
      </c>
    </row>
    <row r="4847" customFormat="false" ht="15" hidden="false" customHeight="false" outlineLevel="0" collapsed="false">
      <c r="A4847" s="1" t="s">
        <v>970</v>
      </c>
      <c r="B4847" s="0" t="s">
        <v>98</v>
      </c>
      <c r="E4847" s="6" t="n">
        <f aca="false">Q!M40</f>
        <v>22.271</v>
      </c>
      <c r="F4847" s="6" t="n">
        <f aca="false">MAX(0,MIN(bb_target,Sens!E4849+Sens!F4845-Sens!F4846-min_cash))</f>
        <v>0</v>
      </c>
      <c r="G4847" s="6" t="n">
        <f aca="false">MAX(0,MIN(bb_target,Sens!F4849+Sens!G4845-Sens!G4846-min_cash))</f>
        <v>10.1816380925646</v>
      </c>
      <c r="H4847" s="6" t="n">
        <f aca="false">MAX(0,MIN(bb_target,Sens!G4849+Sens!H4845-Sens!H4846-min_cash))</f>
        <v>22.271</v>
      </c>
      <c r="I4847" s="6" t="n">
        <f aca="false">MAX(0,MIN(bb_target,Sens!H4849+Sens!I4845-Sens!I4846-min_cash))</f>
        <v>22.271</v>
      </c>
      <c r="J4847" s="6" t="n">
        <f aca="false">MAX(0,MIN(bb_target,Sens!I4849+Sens!J4845-Sens!J4846-min_cash))</f>
        <v>22.271</v>
      </c>
      <c r="K4847" s="6" t="n">
        <f aca="false">MAX(0,MIN(bb_target,Sens!J4849+Sens!K4845-Sens!K4846-min_cash))</f>
        <v>22.271</v>
      </c>
    </row>
    <row r="4848" customFormat="false" ht="15" hidden="false" customHeight="false" outlineLevel="0" collapsed="false">
      <c r="A4848" s="1" t="s">
        <v>971</v>
      </c>
      <c r="B4848" s="0" t="s">
        <v>98</v>
      </c>
      <c r="F4848" s="6" t="n">
        <f aca="false">MAX(0,min_cash-(Sens!E4849+Sens!F4845-Sens!F4846-Sens!F4847))</f>
        <v>6.91462656699535</v>
      </c>
      <c r="G4848" s="6" t="n">
        <f aca="false">MAX(0,min_cash-(Sens!F4849+Sens!G4845-Sens!G4846-Sens!G4847))</f>
        <v>0</v>
      </c>
      <c r="H4848" s="6" t="n">
        <f aca="false">MAX(0,min_cash-(Sens!G4849+Sens!H4845-Sens!H4846-Sens!H4847))</f>
        <v>0</v>
      </c>
      <c r="I4848" s="6" t="n">
        <f aca="false">MAX(0,min_cash-(Sens!H4849+Sens!I4845-Sens!I4846-Sens!I4847))</f>
        <v>0</v>
      </c>
      <c r="J4848" s="6" t="n">
        <f aca="false">MAX(0,min_cash-(Sens!I4849+Sens!J4845-Sens!J4846-Sens!J4847))</f>
        <v>0</v>
      </c>
      <c r="K4848" s="6" t="n">
        <f aca="false">MAX(0,min_cash-(Sens!J4849+Sens!K4845-Sens!K4846-Sens!K4847))</f>
        <v>0</v>
      </c>
    </row>
    <row r="4849" customFormat="false" ht="15" hidden="false" customHeight="false" outlineLevel="0" collapsed="false">
      <c r="A4849" s="1" t="s">
        <v>972</v>
      </c>
      <c r="B4849" s="0" t="s">
        <v>98</v>
      </c>
      <c r="E4849" s="6" t="n">
        <f aca="false">cash_open</f>
        <v>76.843</v>
      </c>
      <c r="F4849" s="6" t="n">
        <f aca="false">Sens!E4849+Sens!F4845-Sens!F4846-Sens!F4847+Sens!F4848</f>
        <v>50</v>
      </c>
      <c r="G4849" s="6" t="n">
        <f aca="false">Sens!F4849+Sens!G4845-Sens!G4846-Sens!G4847+Sens!G4848</f>
        <v>50</v>
      </c>
      <c r="H4849" s="6" t="n">
        <f aca="false">Sens!G4849+Sens!H4845-Sens!H4846-Sens!H4847+Sens!H4848</f>
        <v>83.0733766394859</v>
      </c>
      <c r="I4849" s="6" t="n">
        <f aca="false">Sens!H4849+Sens!I4845-Sens!I4846-Sens!I4847+Sens!I4848</f>
        <v>213.446348080966</v>
      </c>
      <c r="J4849" s="6" t="n">
        <f aca="false">Sens!I4849+Sens!J4845-Sens!J4846-Sens!J4847+Sens!J4848</f>
        <v>396.627989436686</v>
      </c>
      <c r="K4849" s="6" t="n">
        <f aca="false">Sens!J4849+Sens!K4845-Sens!K4846-Sens!K4847+Sens!K4848</f>
        <v>638.408812212106</v>
      </c>
    </row>
    <row r="4850" customFormat="false" ht="15" hidden="false" customHeight="false" outlineLevel="0" collapsed="false">
      <c r="A4850" s="1" t="s">
        <v>973</v>
      </c>
      <c r="B4850" s="0" t="s">
        <v>98</v>
      </c>
      <c r="E4850" s="6" t="n">
        <f aca="false">debt_face</f>
        <v>46.136</v>
      </c>
      <c r="F4850" s="6" t="n">
        <f aca="false">Sens!E4850-Sens!F4846+Sens!F4848</f>
        <v>43.8006265669954</v>
      </c>
      <c r="G4850" s="6" t="n">
        <f aca="false">Sens!F4850-Sens!G4846+Sens!G4848</f>
        <v>43.8006265669954</v>
      </c>
      <c r="H4850" s="6" t="n">
        <f aca="false">Sens!G4850-Sens!H4846+Sens!H4848</f>
        <v>41.7996265669954</v>
      </c>
      <c r="I4850" s="6" t="n">
        <f aca="false">Sens!H4850-Sens!I4846+Sens!I4848</f>
        <v>41.7996265669954</v>
      </c>
      <c r="J4850" s="6" t="n">
        <f aca="false">Sens!I4850-Sens!J4846+Sens!J4848</f>
        <v>41.2996265669954</v>
      </c>
      <c r="K4850" s="6" t="n">
        <f aca="false">Sens!J4850-Sens!K4846+Sens!K4848</f>
        <v>41.2996265669954</v>
      </c>
    </row>
    <row r="4851" customFormat="false" ht="15" hidden="false" customHeight="false" outlineLevel="0" collapsed="false">
      <c r="A4851" s="1" t="s">
        <v>974</v>
      </c>
      <c r="B4851" s="0" t="s">
        <v>98</v>
      </c>
      <c r="E4851" s="6" t="n">
        <f aca="false">Sens!E4849-Sens!E4850</f>
        <v>30.707</v>
      </c>
      <c r="F4851" s="6" t="n">
        <f aca="false">Sens!F4849-Sens!F4850</f>
        <v>6.19937343300465</v>
      </c>
      <c r="G4851" s="6" t="n">
        <f aca="false">Sens!G4849-Sens!G4850</f>
        <v>6.19937343300465</v>
      </c>
      <c r="H4851" s="6" t="n">
        <f aca="false">Sens!H4849-Sens!H4850</f>
        <v>41.2737500724906</v>
      </c>
      <c r="I4851" s="6" t="n">
        <f aca="false">Sens!I4849-Sens!I4850</f>
        <v>171.64672151397</v>
      </c>
      <c r="J4851" s="6" t="n">
        <f aca="false">Sens!J4849-Sens!J4850</f>
        <v>355.32836286969</v>
      </c>
      <c r="K4851" s="6" t="n">
        <f aca="false">Sens!K4849-Sens!K4850</f>
        <v>597.109185645111</v>
      </c>
    </row>
    <row r="4852" customFormat="false" ht="15" hidden="false" customHeight="false" outlineLevel="0" collapsed="false">
      <c r="A4852" s="1" t="s">
        <v>975</v>
      </c>
      <c r="B4852" s="0" t="s">
        <v>75</v>
      </c>
      <c r="F4852" s="29" t="n">
        <f aca="false">px*(1+bb_g)^(Sens!F4714-base_fy-mid_yr)</f>
        <v>553.494156066711</v>
      </c>
      <c r="G4852" s="29" t="n">
        <f aca="false">px*(1+bb_g)^(Sens!G4714-base_fy-mid_yr)</f>
        <v>597.773688552047</v>
      </c>
      <c r="H4852" s="29" t="n">
        <f aca="false">px*(1+bb_g)^(Sens!H4714-base_fy-mid_yr)</f>
        <v>645.595583636211</v>
      </c>
      <c r="I4852" s="29" t="n">
        <f aca="false">px*(1+bb_g)^(Sens!I4714-base_fy-mid_yr)</f>
        <v>697.243230327108</v>
      </c>
      <c r="J4852" s="29" t="n">
        <f aca="false">px*(1+bb_g)^(Sens!J4714-base_fy-mid_yr)</f>
        <v>753.022688753277</v>
      </c>
      <c r="K4852" s="29" t="n">
        <f aca="false">px*(1+bb_g)^(Sens!K4714-base_fy-mid_yr)</f>
        <v>813.264503853539</v>
      </c>
    </row>
    <row r="4853" customFormat="false" ht="15" hidden="false" customHeight="false" outlineLevel="0" collapsed="false">
      <c r="A4853" s="1" t="s">
        <v>976</v>
      </c>
      <c r="B4853" s="1" t="s">
        <v>81</v>
      </c>
      <c r="E4853" s="14" t="n">
        <f aca="false">sh_out26</f>
        <v>7.427</v>
      </c>
      <c r="F4853" s="14" t="n">
        <f aca="false">Sens!E4853+sh_iss-Sens!F4847/Sens!F4852</f>
        <v>7.472</v>
      </c>
      <c r="G4853" s="14" t="n">
        <f aca="false">Sens!F4853+sh_iss-Sens!G4847/Sens!G4852</f>
        <v>7.49996740340441</v>
      </c>
      <c r="H4853" s="14" t="n">
        <f aca="false">Sens!G4853+sh_iss-Sens!H4847/Sens!H4852</f>
        <v>7.51047057510431</v>
      </c>
      <c r="I4853" s="14" t="n">
        <f aca="false">Sens!H4853+sh_iss-Sens!I4847/Sens!I4852</f>
        <v>7.52352906741904</v>
      </c>
      <c r="J4853" s="14" t="n">
        <f aca="false">Sens!I4853+sh_iss-Sens!J4847/Sens!J4852</f>
        <v>7.53895359734008</v>
      </c>
      <c r="K4853" s="14" t="n">
        <f aca="false">Sens!J4853+sh_iss-Sens!K4847/Sens!K4852</f>
        <v>7.55656890282252</v>
      </c>
    </row>
    <row r="4854" customFormat="false" ht="15" hidden="false" customHeight="false" outlineLevel="0" collapsed="false">
      <c r="A4854" s="1" t="s">
        <v>977</v>
      </c>
      <c r="B4854" s="1" t="s">
        <v>81</v>
      </c>
      <c r="E4854" s="14" t="n">
        <f aca="false">sh_dil26</f>
        <v>7.453</v>
      </c>
      <c r="F4854" s="14" t="n">
        <f aca="false">(Sens!E4853+Sens!F4853)/2+dil_gap</f>
        <v>7.4735</v>
      </c>
      <c r="G4854" s="14" t="n">
        <f aca="false">(Sens!F4853+Sens!G4853)/2+dil_gap</f>
        <v>7.50998370170221</v>
      </c>
      <c r="H4854" s="14" t="n">
        <f aca="false">(Sens!G4853+Sens!H4853)/2+dil_gap</f>
        <v>7.52921898925436</v>
      </c>
      <c r="I4854" s="14" t="n">
        <f aca="false">(Sens!H4853+Sens!I4853)/2+dil_gap</f>
        <v>7.54099982126167</v>
      </c>
      <c r="J4854" s="14" t="n">
        <f aca="false">(Sens!I4853+Sens!J4853)/2+dil_gap</f>
        <v>7.55524133237956</v>
      </c>
      <c r="K4854" s="14" t="n">
        <f aca="false">(Sens!J4853+Sens!K4853)/2+dil_gap</f>
        <v>7.5717612500813</v>
      </c>
    </row>
    <row r="4855" customFormat="false" ht="17.15" hidden="false" customHeight="false" outlineLevel="0" collapsed="false">
      <c r="A4855" s="1" t="s">
        <v>978</v>
      </c>
      <c r="B4855" s="0" t="s">
        <v>98</v>
      </c>
      <c r="C4855" s="6" t="n">
        <f aca="false">SUM(Sens!F4845:J4845)</f>
        <v>401.616000962255</v>
      </c>
    </row>
    <row r="4856" customFormat="false" ht="15" hidden="false" customHeight="false" outlineLevel="0" collapsed="false">
      <c r="A4856" s="23" t="s">
        <v>945</v>
      </c>
      <c r="B4856" s="30" t="s">
        <v>98</v>
      </c>
      <c r="C4856" s="24" t="n">
        <f aca="false">Sens!$C$4855-(Sens!F4845+Sens!G4845+Sens!H4845+Sens!I4845+Sens!J4845)</f>
        <v>0</v>
      </c>
      <c r="D4856" s="30"/>
      <c r="E4856" s="30"/>
      <c r="F4856" s="30"/>
      <c r="G4856" s="30"/>
      <c r="H4856" s="30"/>
      <c r="I4856" s="30"/>
      <c r="J4856" s="30"/>
      <c r="K4856" s="30"/>
    </row>
    <row r="4857" customFormat="false" ht="17.15" hidden="false" customHeight="false" outlineLevel="0" collapsed="false">
      <c r="A4857" s="1" t="s">
        <v>939</v>
      </c>
      <c r="B4857" s="1" t="s">
        <v>979</v>
      </c>
      <c r="C4857" s="32" t="str">
        <f aca="false">IF(SUM(Sens!F4848:J4848)&gt;0.05,"需要舉債 "&amp;TEXT(SUM(Sens!F4848:J4848),"0.0")&amp;" 十億美元","不需舉債")&amp;"；"&amp;IF(SUM(Sens!F4847:J4847)&lt;COUNT(Sens!F4847:J4847)*bb_target-0.05,"回購較每年 "&amp;TEXT(bb_target,"0.0")&amp;" 的目標少 "&amp;TEXT(COUNT(Sens!F4847:J4847)*bb_target-SUM(Sens!F4847:J4847),"0.0")&amp;" 十億美元（"&amp;TEXT(COUNTIF(Sens!F4847:J4847,"&lt;"&amp;(bb_target-0.05)),"0")&amp;" 年減少）","回購不減")</f>
        <v>需要舉債 6.9 十億美元；回購較每年 22.3 的目標少 34.4 十億美元（2 年減少）</v>
      </c>
    </row>
    <row r="4858" customFormat="false" ht="17.15" hidden="false" customHeight="false" outlineLevel="0" collapsed="false">
      <c r="A4858" s="3" t="s">
        <v>1386</v>
      </c>
    </row>
    <row r="4859" customFormat="false" ht="15" hidden="false" customHeight="false" outlineLevel="0" collapsed="false">
      <c r="A4859" s="4" t="s">
        <v>43</v>
      </c>
      <c r="B4859" s="4" t="s">
        <v>65</v>
      </c>
      <c r="C4859" s="20" t="s">
        <v>799</v>
      </c>
      <c r="D4859" s="20" t="s">
        <v>800</v>
      </c>
      <c r="E4859" s="20" t="s">
        <v>801</v>
      </c>
      <c r="F4859" s="20" t="s">
        <v>802</v>
      </c>
      <c r="G4859" s="20" t="s">
        <v>803</v>
      </c>
      <c r="H4859" s="20" t="s">
        <v>804</v>
      </c>
      <c r="I4859" s="20" t="s">
        <v>805</v>
      </c>
      <c r="J4859" s="20" t="s">
        <v>806</v>
      </c>
      <c r="K4859" s="20" t="s">
        <v>807</v>
      </c>
      <c r="L4859" s="4" t="s">
        <v>47</v>
      </c>
    </row>
    <row r="4860" customFormat="false" ht="15" hidden="false" customHeight="false" outlineLevel="0" collapsed="false">
      <c r="A4860" s="1" t="s">
        <v>1057</v>
      </c>
      <c r="B4860" s="1" t="s">
        <v>235</v>
      </c>
      <c r="F4860" s="36" t="n">
        <f aca="false">Sens!F4714-base_fy-mid_yr</f>
        <v>0.5</v>
      </c>
      <c r="G4860" s="36" t="n">
        <f aca="false">Sens!G4714-base_fy-mid_yr</f>
        <v>1.5</v>
      </c>
      <c r="H4860" s="36" t="n">
        <f aca="false">Sens!H4714-base_fy-mid_yr</f>
        <v>2.5</v>
      </c>
      <c r="I4860" s="36" t="n">
        <f aca="false">Sens!I4714-base_fy-mid_yr</f>
        <v>3.5</v>
      </c>
      <c r="J4860" s="36" t="n">
        <f aca="false">Sens!J4714-base_fy-mid_yr</f>
        <v>4.5</v>
      </c>
      <c r="K4860" s="36" t="n">
        <f aca="false">Sens!K4714-base_fy-mid_yr</f>
        <v>5.5</v>
      </c>
    </row>
    <row r="4861" customFormat="false" ht="15" hidden="false" customHeight="false" outlineLevel="0" collapsed="false">
      <c r="A4861" s="1" t="s">
        <v>1058</v>
      </c>
      <c r="B4861" s="0" t="s">
        <v>185</v>
      </c>
      <c r="F4861" s="14" t="n">
        <f aca="false">1/(1+wacc)^Sens!F4860</f>
        <v>0.952193373608246</v>
      </c>
      <c r="G4861" s="14" t="n">
        <f aca="false">1/(1+wacc)^Sens!G4860</f>
        <v>0.863327280626589</v>
      </c>
      <c r="H4861" s="14" t="n">
        <f aca="false">1/(1+wacc)^Sens!H4860</f>
        <v>0.782754862754115</v>
      </c>
      <c r="I4861" s="14" t="n">
        <f aca="false">1/(1+wacc)^Sens!I4860</f>
        <v>0.709702089711011</v>
      </c>
      <c r="J4861" s="14" t="n">
        <f aca="false">1/(1+wacc)^Sens!J4860</f>
        <v>0.643467169744551</v>
      </c>
      <c r="K4861" s="14" t="n">
        <f aca="false">1/(1+wacc)^Sens!K4860</f>
        <v>0.583413807767797</v>
      </c>
    </row>
    <row r="4862" customFormat="false" ht="17.15" hidden="false" customHeight="false" outlineLevel="0" collapsed="false">
      <c r="A4862" s="1" t="s">
        <v>1059</v>
      </c>
      <c r="B4862" s="0" t="s">
        <v>98</v>
      </c>
      <c r="F4862" s="6" t="n">
        <f aca="false">Sens!F4835-Sens!F4833-Sens!F4839+Sens!F4818*(1-tax_f)</f>
        <v>-0.10040974340412</v>
      </c>
      <c r="G4862" s="6" t="n">
        <f aca="false">Sens!G4835-Sens!G4833-Sens!G4839+Sens!G4818*(1-tax_f)</f>
        <v>44.5710038621985</v>
      </c>
      <c r="H4862" s="6" t="n">
        <f aca="false">Sens!H4835-Sens!H4833-Sens!H4839+Sens!H4818*(1-tax_f)</f>
        <v>102.05218876963</v>
      </c>
      <c r="I4862" s="6" t="n">
        <f aca="false">Sens!I4835-Sens!I4833-Sens!I4839+Sens!I4818*(1-tax_f)</f>
        <v>207.688868244524</v>
      </c>
      <c r="J4862" s="6" t="n">
        <f aca="false">Sens!J4835-Sens!J4833-Sens!J4839+Sens!J4818*(1-tax_f)</f>
        <v>269.236799434239</v>
      </c>
      <c r="K4862" s="6" t="n">
        <f aca="false">Sens!K4835-Sens!K4833-Sens!K4839+Sens!K4818*(1-tax_f)</f>
        <v>332.32000028063</v>
      </c>
      <c r="L4862" s="1" t="s">
        <v>1060</v>
      </c>
    </row>
    <row r="4863" customFormat="false" ht="15" hidden="false" customHeight="false" outlineLevel="0" collapsed="false">
      <c r="A4863" s="1" t="s">
        <v>1061</v>
      </c>
      <c r="B4863" s="0" t="s">
        <v>98</v>
      </c>
      <c r="F4863" s="6" t="n">
        <f aca="false">Sens!F4862*Sens!F4861</f>
        <v>-0.0956094923151069</v>
      </c>
      <c r="G4863" s="6" t="n">
        <f aca="false">Sens!G4862*Sens!G4861</f>
        <v>38.479363559149</v>
      </c>
      <c r="H4863" s="6" t="n">
        <f aca="false">Sens!H4862*Sens!H4861</f>
        <v>79.8818470141288</v>
      </c>
      <c r="I4863" s="6" t="n">
        <f aca="false">Sens!I4862*Sens!I4861</f>
        <v>147.397223802854</v>
      </c>
      <c r="J4863" s="6" t="n">
        <f aca="false">Sens!J4862*Sens!J4861</f>
        <v>173.245041323031</v>
      </c>
      <c r="K4863" s="6" t="n">
        <f aca="false">Sens!K4862*Sens!K4861</f>
        <v>193.880076761118</v>
      </c>
    </row>
    <row r="4864" customFormat="false" ht="17.15" hidden="false" customHeight="false" outlineLevel="0" collapsed="false">
      <c r="A4864" s="1" t="s">
        <v>1062</v>
      </c>
      <c r="B4864" s="0" t="s">
        <v>98</v>
      </c>
      <c r="C4864" s="6" t="n">
        <f aca="false">SUM(Sens!F4863:K4863)</f>
        <v>632.787942967965</v>
      </c>
    </row>
    <row r="4865" customFormat="false" ht="17.15" hidden="false" customHeight="false" outlineLevel="0" collapsed="false">
      <c r="A4865" s="1" t="s">
        <v>1063</v>
      </c>
      <c r="B4865" s="0" t="s">
        <v>98</v>
      </c>
      <c r="C4865" s="6" t="n">
        <f aca="false">Sens!K4804*(1+g_tv)*(1-tax_f)</f>
        <v>325.582598333723</v>
      </c>
    </row>
    <row r="4866" customFormat="false" ht="17.15" hidden="false" customHeight="false" outlineLevel="0" collapsed="false">
      <c r="A4866" s="1" t="s">
        <v>1064</v>
      </c>
      <c r="B4866" s="0" t="s">
        <v>98</v>
      </c>
      <c r="C4866" s="6" t="n">
        <f aca="false">Sens!$C$4865*(1-g_tv/(wacc+ronic_prem))</f>
        <v>230.692298847908</v>
      </c>
    </row>
    <row r="4867" customFormat="false" ht="17.15" hidden="false" customHeight="false" outlineLevel="0" collapsed="false">
      <c r="A4867" s="1" t="s">
        <v>1065</v>
      </c>
      <c r="B4867" s="0" t="s">
        <v>98</v>
      </c>
      <c r="C4867" s="6" t="n">
        <f aca="false">Sens!$C$4866/(wacc-g_tv)</f>
        <v>3163.00998286051</v>
      </c>
    </row>
    <row r="4868" customFormat="false" ht="15" hidden="false" customHeight="false" outlineLevel="0" collapsed="false">
      <c r="A4868" s="1" t="s">
        <v>1066</v>
      </c>
      <c r="B4868" s="0" t="s">
        <v>98</v>
      </c>
      <c r="C4868" s="6" t="n">
        <f aca="false">Sens!$C$4867/(1+wacc)^(Sens!K4860+mid_yr)</f>
        <v>1757.12404136837</v>
      </c>
    </row>
    <row r="4869" customFormat="false" ht="17.15" hidden="false" customHeight="false" outlineLevel="0" collapsed="false">
      <c r="A4869" s="0" t="s">
        <v>986</v>
      </c>
      <c r="B4869" s="0" t="s">
        <v>98</v>
      </c>
      <c r="C4869" s="6" t="n">
        <f aca="false">Sens!$C$4864+Sens!$C$4868</f>
        <v>2389.91198433633</v>
      </c>
    </row>
    <row r="4870" customFormat="false" ht="15" hidden="false" customHeight="false" outlineLevel="0" collapsed="false">
      <c r="A4870" s="1" t="s">
        <v>987</v>
      </c>
      <c r="B4870" s="0" t="s">
        <v>129</v>
      </c>
      <c r="C4870" s="7" t="n">
        <f aca="false">Sens!$C$4868/Sens!$C$4869</f>
        <v>0.735225419548793</v>
      </c>
    </row>
    <row r="4871" customFormat="false" ht="17.15" hidden="false" customHeight="false" outlineLevel="0" collapsed="false">
      <c r="A4871" s="1" t="s">
        <v>1067</v>
      </c>
      <c r="B4871" s="0" t="s">
        <v>98</v>
      </c>
      <c r="C4871" s="6" t="n">
        <f aca="false">Sens!$C$4869+Sens!E4851-Sens!E4840+oai_v</f>
        <v>2524.42498433633</v>
      </c>
    </row>
    <row r="4872" customFormat="false" ht="17.15" hidden="false" customHeight="false" outlineLevel="0" collapsed="false">
      <c r="A4872" s="0" t="s">
        <v>994</v>
      </c>
      <c r="B4872" s="0" t="s">
        <v>75</v>
      </c>
      <c r="C4872" s="5" t="n">
        <f aca="false">Sens!$C$4871/sh_dil26</f>
        <v>338.712596851782</v>
      </c>
    </row>
    <row r="4873" customFormat="false" ht="15" hidden="false" customHeight="false" outlineLevel="0" collapsed="false">
      <c r="A4873" s="1" t="s">
        <v>1068</v>
      </c>
      <c r="B4873" s="0" t="s">
        <v>75</v>
      </c>
      <c r="C4873" s="8" t="n">
        <f aca="false">dps_27+Sens!G4843*roll_div_q/q_per_yr</f>
        <v>4.8895</v>
      </c>
    </row>
    <row r="4874" customFormat="false" ht="17.15" hidden="false" customHeight="false" outlineLevel="0" collapsed="false">
      <c r="A4874" s="0" t="s">
        <v>1069</v>
      </c>
      <c r="B4874" s="0" t="s">
        <v>75</v>
      </c>
      <c r="C4874" s="5" t="n">
        <f aca="false">Sens!$C$4872*(1+wacc)^t_roll-Sens!$C$4873</f>
        <v>380.813843488096</v>
      </c>
    </row>
    <row r="4875" customFormat="false" ht="17.15" hidden="false" customHeight="false" outlineLevel="0" collapsed="false">
      <c r="A4875" s="1" t="s">
        <v>1070</v>
      </c>
      <c r="B4875" s="0" t="s">
        <v>129</v>
      </c>
      <c r="F4875" s="7" t="n">
        <f aca="false">Sens!F4830/(Sens!F4775-Sens!F4731)</f>
        <v>0.076129340922323</v>
      </c>
      <c r="G4875" s="7" t="n">
        <f aca="false">Sens!G4830/(Sens!G4775-Sens!G4731)</f>
        <v>0.0713809967782954</v>
      </c>
      <c r="H4875" s="7" t="n">
        <f aca="false">Sens!H4830/(Sens!H4775-Sens!H4731)</f>
        <v>0.0684983438296448</v>
      </c>
      <c r="I4875" s="7" t="n">
        <f aca="false">Sens!I4830/(Sens!I4775-Sens!I4731)</f>
        <v>0.0672947780100294</v>
      </c>
      <c r="J4875" s="7" t="n">
        <f aca="false">Sens!J4830/(Sens!J4775-Sens!J4731)</f>
        <v>0.0673347023926147</v>
      </c>
      <c r="K4875" s="7" t="n">
        <f aca="false">Sens!K4830/(Sens!K4775-Sens!K4731)</f>
        <v>0.0680978576791533</v>
      </c>
    </row>
    <row r="4876" customFormat="false" ht="17.15" hidden="false" customHeight="false" outlineLevel="0" collapsed="false">
      <c r="A4876" s="0" t="s">
        <v>1071</v>
      </c>
      <c r="B4876" s="0" t="s">
        <v>98</v>
      </c>
      <c r="F4876" s="6" t="n">
        <f aca="false">Sens!F4760*(al_m365+Sens!F4875+sbc_r)</f>
        <v>85.9014045984005</v>
      </c>
      <c r="G4876" s="6" t="n">
        <f aca="false">Sens!G4760*(al_m365+Sens!G4875+sbc_r)</f>
        <v>100.321351969979</v>
      </c>
      <c r="H4876" s="6" t="n">
        <f aca="false">Sens!H4760*(al_m365+Sens!H4875+sbc_r)</f>
        <v>114.90143382232</v>
      </c>
      <c r="I4876" s="6" t="n">
        <f aca="false">Sens!I4760*(al_m365+Sens!I4875+sbc_r)</f>
        <v>127.958154272336</v>
      </c>
      <c r="J4876" s="6" t="n">
        <f aca="false">Sens!J4760*(al_m365+Sens!J4875+sbc_r)</f>
        <v>139.310418295514</v>
      </c>
      <c r="K4876" s="6" t="n">
        <f aca="false">Sens!K4760*(al_m365+Sens!K4875+sbc_r)</f>
        <v>150.287082326914</v>
      </c>
      <c r="L4876" s="11" t="s">
        <v>1072</v>
      </c>
    </row>
    <row r="4877" customFormat="false" ht="17.15" hidden="false" customHeight="false" outlineLevel="0" collapsed="false">
      <c r="A4877" s="0" t="s">
        <v>1073</v>
      </c>
      <c r="B4877" s="0" t="s">
        <v>98</v>
      </c>
      <c r="F4877" s="6" t="n">
        <f aca="false">Sens!F4761*(al_lic+Sens!F4875+sbc_r)</f>
        <v>33.7392100594682</v>
      </c>
      <c r="G4877" s="6" t="n">
        <f aca="false">Sens!G4761*(al_lic+Sens!G4875+sbc_r)</f>
        <v>34.974489121867</v>
      </c>
      <c r="H4877" s="6" t="n">
        <f aca="false">Sens!H4761*(al_lic+Sens!H4875+sbc_r)</f>
        <v>36.1383729439366</v>
      </c>
      <c r="I4877" s="6" t="n">
        <f aca="false">Sens!I4761*(al_lic+Sens!I4875+sbc_r)</f>
        <v>37.212480480346</v>
      </c>
      <c r="J4877" s="6" t="n">
        <f aca="false">Sens!J4761*(al_lic+Sens!J4875+sbc_r)</f>
        <v>38.1663844531874</v>
      </c>
      <c r="K4877" s="6" t="n">
        <f aca="false">Sens!K4761*(al_lic+Sens!K4875+sbc_r)</f>
        <v>38.9644714901942</v>
      </c>
    </row>
    <row r="4878" customFormat="false" ht="17.15" hidden="false" customHeight="false" outlineLevel="0" collapsed="false">
      <c r="A4878" s="0" t="s">
        <v>1074</v>
      </c>
      <c r="B4878" s="0" t="s">
        <v>98</v>
      </c>
      <c r="F4878" s="6" t="n">
        <f aca="false">Sens!F4763*(al_ind+Sens!F4875+sbc_r)</f>
        <v>9.24497726094206</v>
      </c>
      <c r="G4878" s="6" t="n">
        <f aca="false">Sens!G4763*(al_ind+Sens!G4875+sbc_r)</f>
        <v>9.98986004204219</v>
      </c>
      <c r="H4878" s="6" t="n">
        <f aca="false">Sens!H4763*(al_ind+Sens!H4875+sbc_r)</f>
        <v>10.7858007705132</v>
      </c>
      <c r="I4878" s="6" t="n">
        <f aca="false">Sens!I4763*(al_ind+Sens!I4875+sbc_r)</f>
        <v>11.6309199041302</v>
      </c>
      <c r="J4878" s="6" t="n">
        <f aca="false">Sens!J4763*(al_ind+Sens!J4875+sbc_r)</f>
        <v>12.5135568604962</v>
      </c>
      <c r="K4878" s="6" t="n">
        <f aca="false">Sens!K4763*(al_ind+Sens!K4875+sbc_r)</f>
        <v>13.4147537667676</v>
      </c>
    </row>
    <row r="4879" customFormat="false" ht="17.15" hidden="false" customHeight="false" outlineLevel="0" collapsed="false">
      <c r="A4879" s="0" t="s">
        <v>1075</v>
      </c>
      <c r="B4879" s="0" t="s">
        <v>98</v>
      </c>
      <c r="F4879" s="6" t="n">
        <f aca="false">Sens!F4765*(al_fro+Sens!F4875+sbc_r)</f>
        <v>3.63885550718158</v>
      </c>
      <c r="G4879" s="6" t="n">
        <f aca="false">Sens!G4765*(al_fro+Sens!G4875+sbc_r)</f>
        <v>3.83551563890132</v>
      </c>
      <c r="H4879" s="6" t="n">
        <f aca="false">Sens!H4765*(al_fro+Sens!H4875+sbc_r)</f>
        <v>4.06445890190578</v>
      </c>
      <c r="I4879" s="6" t="n">
        <f aca="false">Sens!I4765*(al_fro+Sens!I4875+sbc_r)</f>
        <v>4.32855501563373</v>
      </c>
      <c r="J4879" s="6" t="n">
        <f aca="false">Sens!J4765*(al_fro+Sens!J4875+sbc_r)</f>
        <v>4.62799422210933</v>
      </c>
      <c r="K4879" s="6" t="n">
        <f aca="false">Sens!K4765*(al_fro+Sens!K4875+sbc_r)</f>
        <v>4.96129147098135</v>
      </c>
    </row>
    <row r="4880" customFormat="false" ht="17.15" hidden="false" customHeight="false" outlineLevel="0" collapsed="false">
      <c r="A4880" s="0" t="s">
        <v>1076</v>
      </c>
      <c r="B4880" s="0" t="s">
        <v>98</v>
      </c>
      <c r="F4880" s="6" t="n">
        <f aca="false">Sens!F4768*(al_srch+Sens!F4875+sbc_r)</f>
        <v>11.4176804891752</v>
      </c>
      <c r="G4880" s="6" t="n">
        <f aca="false">Sens!G4768*(al_srch+Sens!G4875+sbc_r)</f>
        <v>12.4540317407375</v>
      </c>
      <c r="H4880" s="6" t="n">
        <f aca="false">Sens!H4768*(al_srch+Sens!H4875+sbc_r)</f>
        <v>13.5419642408468</v>
      </c>
      <c r="I4880" s="6" t="n">
        <f aca="false">Sens!I4768*(al_srch+Sens!I4875+sbc_r)</f>
        <v>14.6726711349928</v>
      </c>
      <c r="J4880" s="6" t="n">
        <f aca="false">Sens!J4768*(al_srch+Sens!J4875+sbc_r)</f>
        <v>15.8239752122907</v>
      </c>
      <c r="K4880" s="6" t="n">
        <f aca="false">Sens!K4768*(al_srch+Sens!K4875+sbc_r)</f>
        <v>16.9635806550287</v>
      </c>
    </row>
    <row r="4881" customFormat="false" ht="17.15" hidden="false" customHeight="false" outlineLevel="0" collapsed="false">
      <c r="A4881" s="0" t="s">
        <v>1077</v>
      </c>
      <c r="B4881" s="0" t="s">
        <v>98</v>
      </c>
      <c r="F4881" s="6" t="n">
        <f aca="false">Sens!F4737-Sens!F4738+Sens!F4818</f>
        <v>45.1112677904623</v>
      </c>
      <c r="G4881" s="6" t="n">
        <f aca="false">Sens!G4737-Sens!G4738+Sens!G4818</f>
        <v>89.2064290545577</v>
      </c>
      <c r="H4881" s="6" t="n">
        <f aca="false">Sens!H4737-Sens!H4738+Sens!H4818</f>
        <v>140.963343471131</v>
      </c>
      <c r="I4881" s="6" t="n">
        <f aca="false">Sens!I4737-Sens!I4738+Sens!I4818</f>
        <v>180.5253489932</v>
      </c>
      <c r="J4881" s="6" t="n">
        <f aca="false">Sens!J4737-Sens!J4738+Sens!J4818</f>
        <v>209.020788691744</v>
      </c>
      <c r="K4881" s="6" t="n">
        <f aca="false">Sens!K4737-Sens!K4738+Sens!K4818</f>
        <v>224.65422920343</v>
      </c>
    </row>
    <row r="4882" customFormat="false" ht="17.15" hidden="false" customHeight="false" outlineLevel="0" collapsed="false">
      <c r="A4882" s="0" t="s">
        <v>1078</v>
      </c>
      <c r="B4882" s="0" t="s">
        <v>98</v>
      </c>
      <c r="F4882" s="6" t="n">
        <f aca="false">Sens!F4797+Sens!F4818+Sens!F4748+Sens!F4875*(Sens!F4767-Sens!F4731)+sbc_r*Sens!F4767</f>
        <v>236.111566885434</v>
      </c>
      <c r="G4882" s="6" t="n">
        <f aca="false">Sens!G4797+Sens!G4818+Sens!G4748+Sens!G4875*(Sens!G4767-Sens!G4731)+sbc_r*Sens!G4767</f>
        <v>309.003132574573</v>
      </c>
      <c r="H4882" s="6" t="n">
        <f aca="false">Sens!H4797+Sens!H4818+Sens!H4748+Sens!H4875*(Sens!H4767-Sens!H4731)+sbc_r*Sens!H4767</f>
        <v>390.256588293576</v>
      </c>
      <c r="I4882" s="6" t="n">
        <f aca="false">Sens!I4797+Sens!I4818+Sens!I4748+Sens!I4875*(Sens!I4767-Sens!I4731)+sbc_r*Sens!I4767</f>
        <v>457.21598621033</v>
      </c>
      <c r="J4882" s="6" t="n">
        <f aca="false">Sens!J4797+Sens!J4818+Sens!J4748+Sens!J4875*(Sens!J4767-Sens!J4731)+sbc_r*Sens!J4767</f>
        <v>510.224882937453</v>
      </c>
      <c r="K4882" s="6" t="n">
        <f aca="false">Sens!K4797+Sens!K4818+Sens!K4748+Sens!K4875*(Sens!K4767-Sens!K4731)+sbc_r*Sens!K4767</f>
        <v>547.954416434025</v>
      </c>
    </row>
    <row r="4883" customFormat="false" ht="17.15" hidden="false" customHeight="false" outlineLevel="0" collapsed="false">
      <c r="A4883" s="0" t="s">
        <v>1079</v>
      </c>
      <c r="B4883" s="0" t="s">
        <v>98</v>
      </c>
      <c r="F4883" s="6" t="n">
        <f aca="false">Sens!F4882-Sens!F4876-Sens!F4877-Sens!F4878-Sens!F4879-Sens!F4881</f>
        <v>58.4758516689791</v>
      </c>
      <c r="G4883" s="6" t="n">
        <f aca="false">Sens!G4882-Sens!G4876-Sens!G4877-Sens!G4878-Sens!G4879-Sens!G4881</f>
        <v>70.6754867472256</v>
      </c>
      <c r="H4883" s="6" t="n">
        <f aca="false">Sens!H4882-Sens!H4876-Sens!H4877-Sens!H4878-Sens!H4879-Sens!H4881</f>
        <v>83.4031783837696</v>
      </c>
      <c r="I4883" s="6" t="n">
        <f aca="false">Sens!I4882-Sens!I4876-Sens!I4877-Sens!I4878-Sens!I4879-Sens!I4881</f>
        <v>95.5605275446841</v>
      </c>
      <c r="J4883" s="6" t="n">
        <f aca="false">Sens!J4882-Sens!J4876-Sens!J4877-Sens!J4878-Sens!J4879-Sens!J4881</f>
        <v>106.585740414402</v>
      </c>
      <c r="K4883" s="6" t="n">
        <f aca="false">Sens!K4882-Sens!K4876-Sens!K4877-Sens!K4878-Sens!K4879-Sens!K4881</f>
        <v>115.672588175738</v>
      </c>
    </row>
    <row r="4884" customFormat="false" ht="17.15" hidden="false" customHeight="false" outlineLevel="0" collapsed="false">
      <c r="A4884" s="0" t="s">
        <v>1080</v>
      </c>
      <c r="B4884" s="0" t="s">
        <v>98</v>
      </c>
      <c r="F4884" s="6" t="n">
        <f aca="false">Sens!F4799+Sens!F4875*Sens!F4774+sbc_r*Sens!F4774</f>
        <v>26.6897977660843</v>
      </c>
      <c r="G4884" s="6" t="n">
        <f aca="false">Sens!G4799+Sens!G4875*Sens!G4774+sbc_r*Sens!G4774</f>
        <v>27.1838594138785</v>
      </c>
      <c r="H4884" s="6" t="n">
        <f aca="false">Sens!H4799+Sens!H4875*Sens!H4774+sbc_r*Sens!H4774</f>
        <v>27.9760586056518</v>
      </c>
      <c r="I4884" s="6" t="n">
        <f aca="false">Sens!I4799+Sens!I4875*Sens!I4774+sbc_r*Sens!I4774</f>
        <v>29.0334438771216</v>
      </c>
      <c r="J4884" s="6" t="n">
        <f aca="false">Sens!J4799+Sens!J4875*Sens!J4774+sbc_r*Sens!J4774</f>
        <v>30.3117148993877</v>
      </c>
      <c r="K4884" s="6" t="n">
        <f aca="false">Sens!K4799+Sens!K4875*Sens!K4774+sbc_r*Sens!K4774</f>
        <v>31.7620784800737</v>
      </c>
    </row>
    <row r="4885" customFormat="false" ht="17.15" hidden="false" customHeight="false" outlineLevel="0" collapsed="false">
      <c r="A4885" s="0" t="s">
        <v>1081</v>
      </c>
      <c r="B4885" s="0" t="s">
        <v>98</v>
      </c>
      <c r="F4885" s="6" t="n">
        <f aca="false">(Sens!F4884-Sens!F4880)*Sens!F4770/(Sens!F4770+Sens!F4772)</f>
        <v>8.37202594293463</v>
      </c>
      <c r="G4885" s="6" t="n">
        <f aca="false">(Sens!G4884-Sens!G4880)*Sens!G4770/(Sens!G4770+Sens!G4772)</f>
        <v>7.93077581347695</v>
      </c>
      <c r="H4885" s="6" t="n">
        <f aca="false">(Sens!H4884-Sens!H4880)*Sens!H4770/(Sens!H4770+Sens!H4772)</f>
        <v>7.66656762099393</v>
      </c>
      <c r="I4885" s="6" t="n">
        <f aca="false">(Sens!I4884-Sens!I4880)*Sens!I4770/(Sens!I4770+Sens!I4772)</f>
        <v>7.55860852395854</v>
      </c>
      <c r="J4885" s="6" t="n">
        <f aca="false">(Sens!J4884-Sens!J4880)*Sens!J4770/(Sens!J4770+Sens!J4772)</f>
        <v>7.59095400681182</v>
      </c>
      <c r="K4885" s="6" t="n">
        <f aca="false">(Sens!K4884-Sens!K4880)*Sens!K4770/(Sens!K4770+Sens!K4772)</f>
        <v>7.75377793817411</v>
      </c>
    </row>
    <row r="4886" customFormat="false" ht="17.15" hidden="false" customHeight="false" outlineLevel="0" collapsed="false">
      <c r="A4886" s="0" t="s">
        <v>1082</v>
      </c>
      <c r="B4886" s="0" t="s">
        <v>98</v>
      </c>
      <c r="F4886" s="6" t="n">
        <f aca="false">Sens!F4884-Sens!F4880-Sens!F4885</f>
        <v>6.90009133397443</v>
      </c>
      <c r="G4886" s="6" t="n">
        <f aca="false">Sens!G4884-Sens!G4880-Sens!G4885</f>
        <v>6.79905185966402</v>
      </c>
      <c r="H4886" s="6" t="n">
        <f aca="false">Sens!H4884-Sens!H4880-Sens!H4885</f>
        <v>6.76752674381108</v>
      </c>
      <c r="I4886" s="6" t="n">
        <f aca="false">Sens!I4884-Sens!I4880-Sens!I4885</f>
        <v>6.8021642181702</v>
      </c>
      <c r="J4886" s="6" t="n">
        <f aca="false">Sens!J4884-Sens!J4880-Sens!J4885</f>
        <v>6.89678568028515</v>
      </c>
      <c r="K4886" s="6" t="n">
        <f aca="false">Sens!K4884-Sens!K4880-Sens!K4885</f>
        <v>7.04471988687097</v>
      </c>
    </row>
    <row r="4887" customFormat="false" ht="17.15" hidden="false" customHeight="false" outlineLevel="0" collapsed="false">
      <c r="A4887" s="0" t="s">
        <v>1083</v>
      </c>
      <c r="B4887" s="0" t="s">
        <v>98</v>
      </c>
      <c r="F4887" s="6" t="n">
        <f aca="false">Sens!F4881-tax_f*(Sens!F4881-Sens!F4748)-Sens!F4745</f>
        <v>-118.336861228076</v>
      </c>
      <c r="G4887" s="6" t="n">
        <f aca="false">Sens!G4881-tax_f*(Sens!G4881-Sens!G4748)-Sens!G4745</f>
        <v>-101.959493140609</v>
      </c>
      <c r="H4887" s="6" t="n">
        <f aca="false">Sens!H4881-tax_f*(Sens!H4881-Sens!H4748)-Sens!H4745</f>
        <v>-60.345367674642</v>
      </c>
      <c r="I4887" s="6" t="n">
        <f aca="false">Sens!I4881-tax_f*(Sens!I4881-Sens!I4748)-Sens!I4745</f>
        <v>30.0215048072632</v>
      </c>
      <c r="J4887" s="6" t="n">
        <f aca="false">Sens!J4881-tax_f*(Sens!J4881-Sens!J4748)-Sens!J4745</f>
        <v>77.3635668340029</v>
      </c>
      <c r="K4887" s="6" t="n">
        <f aca="false">Sens!K4881-tax_f*(Sens!K4881-Sens!K4748)-Sens!K4745</f>
        <v>126.986941458767</v>
      </c>
    </row>
    <row r="4888" customFormat="false" ht="17.15" hidden="false" customHeight="false" outlineLevel="0" collapsed="false">
      <c r="A4888" s="0" t="s">
        <v>1084</v>
      </c>
      <c r="B4888" s="0" t="s">
        <v>98</v>
      </c>
      <c r="G4888" s="6" t="n">
        <f aca="false">Sens!G4887/(1+wacc)^(Sens!G4860-(Sens!F4860+mid_yr))</f>
        <v>-97.0851537449434</v>
      </c>
      <c r="H4888" s="6" t="n">
        <f aca="false">Sens!H4887/(1+wacc)^(Sens!H4860-(Sens!F4860+mid_yr))</f>
        <v>-52.0978021729603</v>
      </c>
      <c r="I4888" s="6" t="n">
        <f aca="false">Sens!I4887/(1+wacc)^(Sens!I4860-(Sens!F4860+mid_yr))</f>
        <v>23.4994788750813</v>
      </c>
      <c r="J4888" s="6" t="n">
        <f aca="false">Sens!J4887/(1+wacc)^(Sens!J4860-(Sens!F4860+mid_yr))</f>
        <v>54.9050850495893</v>
      </c>
      <c r="K4888" s="6" t="n">
        <f aca="false">Sens!K4887/(1+wacc)^(Sens!K4860-(Sens!F4860+mid_yr))</f>
        <v>81.7119278149898</v>
      </c>
      <c r="L4888" s="1" t="s">
        <v>1085</v>
      </c>
    </row>
    <row r="4889" customFormat="false" ht="17.15" hidden="false" customHeight="false" outlineLevel="0" collapsed="false">
      <c r="A4889" s="0" t="s">
        <v>1086</v>
      </c>
      <c r="B4889" s="0" t="s">
        <v>98</v>
      </c>
      <c r="C4889" s="6" t="n">
        <f aca="false">(Sens!K4881-Sens!K4748)*(1-tax_f)*(1+g_tv)*(1-g_tv/(wacc+ronic_prem))/(wacc-g_tv)/(1+wacc)^(Sens!K4860+mid_yr-(Sens!F4860+mid_yr))</f>
        <v>523.31685014547</v>
      </c>
    </row>
    <row r="4890" customFormat="false" ht="17.15" hidden="false" customHeight="false" outlineLevel="0" collapsed="false">
      <c r="A4890" s="1" t="s">
        <v>1087</v>
      </c>
      <c r="B4890" s="0" t="s">
        <v>98</v>
      </c>
      <c r="C4890" s="6" t="n">
        <f aca="false">(SUM(Sens!G4888:K4888)+Sens!$C$4889)*(1+wacc)^(t_roll-(Sens!F4860+mid_yr))</f>
        <v>551.591048193661</v>
      </c>
      <c r="L4890" s="11" t="s">
        <v>1088</v>
      </c>
    </row>
    <row r="4891" customFormat="false" ht="17.15" hidden="false" customHeight="false" outlineLevel="0" collapsed="false">
      <c r="A4891" s="1" t="s">
        <v>1089</v>
      </c>
      <c r="B4891" s="0" t="s">
        <v>98</v>
      </c>
      <c r="C4891" s="6" t="n">
        <f aca="false">(w_ntm28*Sens!G4737+(1-w_ntm28)*Sens!H4737)*m_ai</f>
        <v>551.711134531404</v>
      </c>
    </row>
    <row r="4892" customFormat="false" ht="17.15" hidden="false" customHeight="false" outlineLevel="0" collapsed="false">
      <c r="A4892" s="1" t="s">
        <v>1090</v>
      </c>
      <c r="B4892" s="0" t="s">
        <v>98</v>
      </c>
      <c r="C4892" s="6" t="n">
        <f aca="false">(w_ntm28*Sens!G4883+(1-w_ntm28)*Sens!H4883)*m_cloud</f>
        <v>1033.60046085545</v>
      </c>
    </row>
    <row r="4893" customFormat="false" ht="17.15" hidden="false" customHeight="false" outlineLevel="0" collapsed="false">
      <c r="A4893" s="1" t="s">
        <v>1091</v>
      </c>
      <c r="B4893" s="0" t="s">
        <v>98</v>
      </c>
      <c r="C4893" s="6" t="n">
        <f aca="false">(w_ntm28*Sens!G4876+(1-w_ntm28)*Sens!H4876)*m_sw</f>
        <v>1134.3770569268</v>
      </c>
    </row>
    <row r="4894" customFormat="false" ht="17.15" hidden="false" customHeight="false" outlineLevel="0" collapsed="false">
      <c r="A4894" s="1" t="s">
        <v>1092</v>
      </c>
      <c r="B4894" s="0" t="s">
        <v>98</v>
      </c>
      <c r="C4894" s="6" t="n">
        <f aca="false">(w_ntm28*Sens!G4877+(1-w_ntm28)*Sens!H4877)*m_sw</f>
        <v>381.788190852727</v>
      </c>
    </row>
    <row r="4895" customFormat="false" ht="17.15" hidden="false" customHeight="false" outlineLevel="0" collapsed="false">
      <c r="A4895" s="1" t="s">
        <v>1093</v>
      </c>
      <c r="B4895" s="0" t="s">
        <v>98</v>
      </c>
      <c r="C4895" s="6" t="n">
        <f aca="false">(w_ntm28*Sens!G4878+(1-w_ntm28)*Sens!H4878)*m_sw</f>
        <v>110.669520959161</v>
      </c>
    </row>
    <row r="4896" customFormat="false" ht="17.15" hidden="false" customHeight="false" outlineLevel="0" collapsed="false">
      <c r="A4896" s="1" t="s">
        <v>1094</v>
      </c>
      <c r="B4896" s="0" t="s">
        <v>98</v>
      </c>
      <c r="C4896" s="6" t="n">
        <f aca="false">(w_ntm28*Sens!G4879+(1-w_ntm28)*Sens!H4879)*m_sw</f>
        <v>42.2229258710189</v>
      </c>
    </row>
    <row r="4897" customFormat="false" ht="17.15" hidden="false" customHeight="false" outlineLevel="0" collapsed="false">
      <c r="A4897" s="1" t="s">
        <v>1095</v>
      </c>
      <c r="B4897" s="0" t="s">
        <v>98</v>
      </c>
      <c r="C4897" s="6" t="n">
        <f aca="false">(w_ntm28*Sens!G4880+(1-w_ntm28)*Sens!H4880)*m_ads</f>
        <v>116.660354305975</v>
      </c>
    </row>
    <row r="4898" customFormat="false" ht="17.15" hidden="false" customHeight="false" outlineLevel="0" collapsed="false">
      <c r="A4898" s="1" t="s">
        <v>1096</v>
      </c>
      <c r="B4898" s="0" t="s">
        <v>98</v>
      </c>
      <c r="C4898" s="6" t="n">
        <f aca="false">(w_ntm28*Sens!G4885+(1-w_ntm28)*Sens!H4885)*m_game</f>
        <v>99.0869039006929</v>
      </c>
    </row>
    <row r="4899" customFormat="false" ht="17.15" hidden="false" customHeight="false" outlineLevel="0" collapsed="false">
      <c r="A4899" s="1" t="s">
        <v>1097</v>
      </c>
      <c r="B4899" s="0" t="s">
        <v>98</v>
      </c>
      <c r="C4899" s="6" t="n">
        <f aca="false">(w_ntm28*Sens!G4886+(1-w_ntm28)*Sens!H4886)*m_pc</f>
        <v>98.2348067810801</v>
      </c>
    </row>
    <row r="4900" customFormat="false" ht="17.15" hidden="false" customHeight="false" outlineLevel="0" collapsed="false">
      <c r="A4900" s="1" t="s">
        <v>1098</v>
      </c>
      <c r="B4900" s="0" t="s">
        <v>98</v>
      </c>
      <c r="C4900" s="6" t="n">
        <f aca="false">Sens!$C$4890+Sens!$C$4892+Sens!$C$4893+Sens!$C$4894+Sens!$C$4895+Sens!$C$4896+Sens!$C$4897+Sens!$C$4898+Sens!$C$4899</f>
        <v>3568.23126864657</v>
      </c>
    </row>
    <row r="4901" customFormat="false" ht="17.15" hidden="false" customHeight="false" outlineLevel="0" collapsed="false">
      <c r="A4901" s="1" t="s">
        <v>1099</v>
      </c>
      <c r="B4901" s="0" t="s">
        <v>98</v>
      </c>
      <c r="C4901" s="6" t="n">
        <f aca="false">(Sens!G4862-Sens!G4887)*t_stub</f>
        <v>47.7729565570797</v>
      </c>
      <c r="L4901" s="1" t="s">
        <v>1100</v>
      </c>
    </row>
    <row r="4902" customFormat="false" ht="17.15" hidden="false" customHeight="false" outlineLevel="0" collapsed="false">
      <c r="A4902" s="1" t="s">
        <v>1014</v>
      </c>
      <c r="B4902" s="0" t="s">
        <v>98</v>
      </c>
      <c r="C4902" s="6" t="n">
        <f aca="false">Sens!F4851+oai_v-Sens!F4840+Sens!$C$4901</f>
        <v>161.902599990084</v>
      </c>
      <c r="L4902" s="1" t="s">
        <v>1101</v>
      </c>
    </row>
    <row r="4903" customFormat="false" ht="17.15" hidden="false" customHeight="false" outlineLevel="0" collapsed="false">
      <c r="A4903" s="1" t="s">
        <v>1102</v>
      </c>
      <c r="B4903" s="0" t="s">
        <v>75</v>
      </c>
      <c r="C4903" s="5" t="n">
        <f aca="false">(Sens!$C$4900+Sens!$C$4902)/(Sens!F4853+dil_gap)-Sens!G4843*roll_div_q/q_per_yr</f>
        <v>496.57707799315</v>
      </c>
      <c r="L4903" s="1" t="s">
        <v>1103</v>
      </c>
    </row>
    <row r="4904" customFormat="false" ht="17.15" hidden="false" customHeight="false" outlineLevel="0" collapsed="false">
      <c r="A4904" s="1" t="s">
        <v>1104</v>
      </c>
      <c r="B4904" s="0" t="s">
        <v>75</v>
      </c>
      <c r="C4904" s="5" t="n">
        <f aca="false">w_dcf*Sens!$C$4874+(1-w_dcf)*Sens!$C$4903</f>
        <v>438.695460740623</v>
      </c>
    </row>
    <row r="4905" customFormat="false" ht="17.15" hidden="false" customHeight="false" outlineLevel="0" collapsed="false">
      <c r="A4905" s="3" t="s">
        <v>1387</v>
      </c>
    </row>
    <row r="4906" customFormat="false" ht="15" hidden="false" customHeight="false" outlineLevel="0" collapsed="false">
      <c r="A4906" s="4" t="s">
        <v>43</v>
      </c>
      <c r="B4906" s="4" t="s">
        <v>65</v>
      </c>
      <c r="C4906" s="20" t="s">
        <v>799</v>
      </c>
      <c r="D4906" s="20" t="s">
        <v>800</v>
      </c>
      <c r="E4906" s="20" t="s">
        <v>801</v>
      </c>
      <c r="F4906" s="20" t="s">
        <v>802</v>
      </c>
      <c r="G4906" s="20" t="s">
        <v>803</v>
      </c>
      <c r="H4906" s="20" t="s">
        <v>804</v>
      </c>
      <c r="I4906" s="20" t="s">
        <v>805</v>
      </c>
      <c r="J4906" s="20" t="s">
        <v>806</v>
      </c>
      <c r="K4906" s="20" t="s">
        <v>807</v>
      </c>
      <c r="L4906" s="4" t="s">
        <v>47</v>
      </c>
    </row>
    <row r="4907" customFormat="false" ht="17.15" hidden="false" customHeight="false" outlineLevel="0" collapsed="false">
      <c r="A4907" s="1" t="s">
        <v>808</v>
      </c>
      <c r="B4907" s="1" t="s">
        <v>235</v>
      </c>
      <c r="C4907" s="28" t="n">
        <v>2024</v>
      </c>
      <c r="D4907" s="28" t="n">
        <v>2025</v>
      </c>
      <c r="E4907" s="28" t="n">
        <v>2026</v>
      </c>
      <c r="F4907" s="28" t="n">
        <v>2027</v>
      </c>
      <c r="G4907" s="28" t="n">
        <v>2028</v>
      </c>
      <c r="H4907" s="28" t="n">
        <v>2029</v>
      </c>
      <c r="I4907" s="28" t="n">
        <v>2030</v>
      </c>
      <c r="J4907" s="28" t="n">
        <v>2031</v>
      </c>
      <c r="K4907" s="28" t="n">
        <v>2032</v>
      </c>
    </row>
    <row r="4908" customFormat="false" ht="17.15" hidden="false" customHeight="false" outlineLevel="0" collapsed="false">
      <c r="A4908" s="1" t="s">
        <v>809</v>
      </c>
      <c r="B4908" s="0" t="s">
        <v>399</v>
      </c>
      <c r="F4908" s="29" t="n">
        <f aca="false">pace</f>
        <v>2527.2</v>
      </c>
      <c r="G4908" s="29" t="n">
        <f aca="false">pace</f>
        <v>2527.2</v>
      </c>
      <c r="H4908" s="29" t="n">
        <f aca="false">pace</f>
        <v>2527.2</v>
      </c>
      <c r="I4908" s="29" t="n">
        <f aca="false">pace+(g_tv*Sens!H4909-pace)*MIN(1,(Sens!I4907-pace_y0)/(pace_y1-pace_y0))</f>
        <v>1793.116</v>
      </c>
      <c r="J4908" s="29" t="n">
        <f aca="false">pace+(g_tv*Sens!I4909-pace)*MIN(1,(Sens!J4907-pace_y0)/(pace_y1-pace_y0))</f>
        <v>1094.89432</v>
      </c>
      <c r="K4908" s="29" t="n">
        <f aca="false">pace+(g_tv*Sens!J4909-pace)*MIN(1,(Sens!K4907-pace_y0)/(pace_y1-pace_y0))</f>
        <v>411.5883096</v>
      </c>
      <c r="L4908" s="11" t="s">
        <v>810</v>
      </c>
    </row>
    <row r="4909" customFormat="false" ht="17.15" hidden="false" customHeight="false" outlineLevel="0" collapsed="false">
      <c r="A4909" s="1" t="s">
        <v>811</v>
      </c>
      <c r="B4909" s="0" t="s">
        <v>399</v>
      </c>
      <c r="C4909" s="29" t="n">
        <f aca="false">mw_ext_24</f>
        <v>640</v>
      </c>
      <c r="D4909" s="29" t="n">
        <f aca="false">mw_ext_25</f>
        <v>1630</v>
      </c>
      <c r="E4909" s="29" t="n">
        <f aca="false">mw_ext_26</f>
        <v>3250</v>
      </c>
      <c r="F4909" s="29" t="n">
        <f aca="false">Sens!E4909+Sens!F4908</f>
        <v>5777.2</v>
      </c>
      <c r="G4909" s="29" t="n">
        <f aca="false">Sens!F4909+Sens!G4908</f>
        <v>8304.4</v>
      </c>
      <c r="H4909" s="29" t="n">
        <f aca="false">Sens!G4909+Sens!H4908</f>
        <v>10831.6</v>
      </c>
      <c r="I4909" s="29" t="n">
        <f aca="false">Sens!H4909+Sens!I4908</f>
        <v>12624.716</v>
      </c>
      <c r="J4909" s="29" t="n">
        <f aca="false">Sens!I4909+Sens!J4908</f>
        <v>13719.61032</v>
      </c>
      <c r="K4909" s="29" t="n">
        <f aca="false">Sens!J4909+Sens!K4908</f>
        <v>14131.1986296</v>
      </c>
      <c r="L4909" s="1" t="s">
        <v>812</v>
      </c>
    </row>
    <row r="4910" customFormat="false" ht="17.15" hidden="false" customHeight="false" outlineLevel="0" collapsed="false">
      <c r="A4910" s="1" t="s">
        <v>813</v>
      </c>
      <c r="B4910" s="0" t="s">
        <v>399</v>
      </c>
      <c r="C4910" s="29" t="n">
        <f aca="false">rent_ext_24</f>
        <v>150</v>
      </c>
      <c r="D4910" s="29" t="n">
        <f aca="false">rent_ext_25</f>
        <v>400</v>
      </c>
      <c r="E4910" s="29" t="n">
        <f aca="false">rent_ext_26</f>
        <v>550</v>
      </c>
      <c r="F4910" s="29" t="n">
        <f aca="false">rent_ext_f</f>
        <v>756</v>
      </c>
      <c r="G4910" s="29" t="n">
        <f aca="false">rent_ext_f</f>
        <v>756</v>
      </c>
      <c r="H4910" s="29" t="n">
        <f aca="false">rent_ext_f</f>
        <v>756</v>
      </c>
      <c r="I4910" s="29" t="n">
        <f aca="false">rent_ext_f</f>
        <v>756</v>
      </c>
      <c r="J4910" s="29" t="n">
        <f aca="false">rent_ext_f</f>
        <v>756</v>
      </c>
      <c r="K4910" s="29" t="n">
        <f aca="false">rent_ext_f</f>
        <v>756</v>
      </c>
      <c r="L4910" s="1" t="s">
        <v>814</v>
      </c>
    </row>
    <row r="4911" customFormat="false" ht="17.15" hidden="false" customHeight="false" outlineLevel="0" collapsed="false">
      <c r="A4911" s="1" t="s">
        <v>815</v>
      </c>
      <c r="B4911" s="0" t="s">
        <v>399</v>
      </c>
      <c r="C4911" s="29" t="n">
        <f aca="false">Sens!C4909-Sens!C4910</f>
        <v>490</v>
      </c>
      <c r="D4911" s="29" t="n">
        <f aca="false">Sens!D4909-Sens!D4910</f>
        <v>1230</v>
      </c>
      <c r="E4911" s="29" t="n">
        <f aca="false">Sens!E4909-Sens!E4910</f>
        <v>2700</v>
      </c>
      <c r="F4911" s="29" t="n">
        <f aca="false">Sens!F4909-Sens!F4910</f>
        <v>5021.2</v>
      </c>
      <c r="G4911" s="29" t="n">
        <f aca="false">Sens!G4909-Sens!G4910</f>
        <v>7548.4</v>
      </c>
      <c r="H4911" s="29" t="n">
        <f aca="false">Sens!H4909-Sens!H4910</f>
        <v>10075.6</v>
      </c>
      <c r="I4911" s="29" t="n">
        <f aca="false">Sens!I4909-Sens!I4910</f>
        <v>11868.716</v>
      </c>
      <c r="J4911" s="29" t="n">
        <f aca="false">Sens!J4909-Sens!J4910</f>
        <v>12963.61032</v>
      </c>
      <c r="K4911" s="29" t="n">
        <f aca="false">Sens!K4909-Sens!K4910</f>
        <v>13375.1986296</v>
      </c>
    </row>
    <row r="4912" customFormat="false" ht="17.15" hidden="false" customHeight="false" outlineLevel="0" collapsed="false">
      <c r="A4912" s="1" t="s">
        <v>816</v>
      </c>
      <c r="B4912" s="0" t="s">
        <v>399</v>
      </c>
      <c r="C4912" s="29" t="n">
        <f aca="false">Sens!C4911/ext_sh</f>
        <v>816.666666666667</v>
      </c>
      <c r="D4912" s="29" t="n">
        <f aca="false">Sens!D4911/ext_sh</f>
        <v>2050</v>
      </c>
      <c r="E4912" s="29" t="n">
        <f aca="false">Sens!E4911/ext_sh</f>
        <v>4500</v>
      </c>
      <c r="F4912" s="29" t="n">
        <f aca="false">Sens!F4911/ext_sh</f>
        <v>8368.66666666667</v>
      </c>
      <c r="G4912" s="29" t="n">
        <f aca="false">Sens!G4911/ext_sh</f>
        <v>12580.6666666667</v>
      </c>
      <c r="H4912" s="29" t="n">
        <f aca="false">Sens!H4911/ext_sh</f>
        <v>16792.6666666667</v>
      </c>
      <c r="I4912" s="29" t="n">
        <f aca="false">Sens!I4911/ext_sh</f>
        <v>19781.1933333333</v>
      </c>
      <c r="J4912" s="29" t="n">
        <f aca="false">Sens!J4911/ext_sh</f>
        <v>21606.0172</v>
      </c>
      <c r="K4912" s="29" t="n">
        <f aca="false">Sens!K4911/ext_sh</f>
        <v>22291.997716</v>
      </c>
      <c r="L4912" s="1" t="s">
        <v>817</v>
      </c>
    </row>
    <row r="4913" customFormat="false" ht="17.15" hidden="false" customHeight="false" outlineLevel="0" collapsed="false">
      <c r="A4913" s="1" t="s">
        <v>818</v>
      </c>
      <c r="B4913" s="0" t="s">
        <v>399</v>
      </c>
      <c r="C4913" s="29" t="n">
        <f aca="false">Sens!C4912-Sens!C4911</f>
        <v>326.666666666667</v>
      </c>
      <c r="D4913" s="29" t="n">
        <f aca="false">Sens!D4912-Sens!D4911</f>
        <v>820</v>
      </c>
      <c r="E4913" s="29" t="n">
        <f aca="false">Sens!E4912-Sens!E4911</f>
        <v>1800</v>
      </c>
      <c r="F4913" s="29" t="n">
        <f aca="false">Sens!F4912-Sens!F4911</f>
        <v>3347.46666666667</v>
      </c>
      <c r="G4913" s="29" t="n">
        <f aca="false">Sens!G4912-Sens!G4911</f>
        <v>5032.26666666667</v>
      </c>
      <c r="H4913" s="29" t="n">
        <f aca="false">Sens!H4912-Sens!H4911</f>
        <v>6717.06666666667</v>
      </c>
      <c r="I4913" s="29" t="n">
        <f aca="false">Sens!I4912-Sens!I4911</f>
        <v>7912.47733333333</v>
      </c>
      <c r="J4913" s="29" t="n">
        <f aca="false">Sens!J4912-Sens!J4911</f>
        <v>8642.40688</v>
      </c>
      <c r="K4913" s="29" t="n">
        <f aca="false">Sens!K4912-Sens!K4911</f>
        <v>8916.7990864</v>
      </c>
    </row>
    <row r="4914" customFormat="false" ht="17.15" hidden="false" customHeight="false" outlineLevel="0" collapsed="false">
      <c r="A4914" s="1" t="s">
        <v>819</v>
      </c>
      <c r="B4914" s="0" t="s">
        <v>399</v>
      </c>
      <c r="C4914" s="29" t="n">
        <f aca="false">Sens!C4912</f>
        <v>816.666666666667</v>
      </c>
      <c r="D4914" s="29" t="n">
        <f aca="false">Sens!D4912-Sens!C4912</f>
        <v>1233.33333333333</v>
      </c>
      <c r="E4914" s="29" t="n">
        <f aca="false">Sens!E4912-Sens!D4912</f>
        <v>2450</v>
      </c>
      <c r="F4914" s="29" t="n">
        <f aca="false">Sens!F4912-Sens!E4912</f>
        <v>3868.66666666667</v>
      </c>
      <c r="G4914" s="29" t="n">
        <f aca="false">Sens!G4912-Sens!F4912</f>
        <v>4212</v>
      </c>
      <c r="H4914" s="29" t="n">
        <f aca="false">Sens!H4912-Sens!G4912</f>
        <v>4212</v>
      </c>
      <c r="I4914" s="29" t="n">
        <f aca="false">Sens!I4912-Sens!H4912</f>
        <v>2988.52666666667</v>
      </c>
      <c r="J4914" s="29" t="n">
        <f aca="false">Sens!J4912-Sens!I4912</f>
        <v>1824.82386666667</v>
      </c>
      <c r="K4914" s="29" t="n">
        <f aca="false">Sens!K4912-Sens!J4912</f>
        <v>685.980516</v>
      </c>
    </row>
    <row r="4915" customFormat="false" ht="17.15" hidden="false" customHeight="false" outlineLevel="0" collapsed="false">
      <c r="A4915" s="1" t="s">
        <v>820</v>
      </c>
      <c r="B4915" s="0" t="s">
        <v>399</v>
      </c>
      <c r="D4915" s="29" t="n">
        <f aca="false">Sens!D4909-Sens!C4909</f>
        <v>990</v>
      </c>
      <c r="E4915" s="29" t="n">
        <f aca="false">Sens!E4909-Sens!D4909</f>
        <v>1620</v>
      </c>
      <c r="F4915" s="29" t="n">
        <f aca="false">Sens!F4909-Sens!E4909</f>
        <v>2527.2</v>
      </c>
      <c r="G4915" s="29" t="n">
        <f aca="false">Sens!G4909-Sens!F4909</f>
        <v>2527.2</v>
      </c>
      <c r="H4915" s="29" t="n">
        <f aca="false">Sens!H4909-Sens!G4909</f>
        <v>2527.2</v>
      </c>
      <c r="I4915" s="29" t="n">
        <f aca="false">Sens!I4909-Sens!H4909</f>
        <v>1793.116</v>
      </c>
      <c r="J4915" s="29" t="n">
        <f aca="false">Sens!J4909-Sens!I4909</f>
        <v>1094.89432</v>
      </c>
      <c r="K4915" s="29" t="n">
        <f aca="false">Sens!K4909-Sens!J4909</f>
        <v>411.5883096</v>
      </c>
    </row>
    <row r="4916" customFormat="false" ht="17.15" hidden="false" customHeight="false" outlineLevel="0" collapsed="false">
      <c r="A4916" s="1" t="s">
        <v>821</v>
      </c>
      <c r="B4916" s="0" t="s">
        <v>399</v>
      </c>
      <c r="F4916" s="29" t="n">
        <f aca="false">Sens!F4933*ext_sh</f>
        <v>0</v>
      </c>
      <c r="G4916" s="29" t="n">
        <f aca="false">Sens!G4933*ext_sh</f>
        <v>0</v>
      </c>
      <c r="H4916" s="29" t="n">
        <f aca="false">Sens!H4933*ext_sh</f>
        <v>0</v>
      </c>
      <c r="I4916" s="29" t="n">
        <f aca="false">Sens!I4933*ext_sh</f>
        <v>0</v>
      </c>
      <c r="J4916" s="29" t="n">
        <f aca="false">Sens!J4933*ext_sh</f>
        <v>490</v>
      </c>
      <c r="K4916" s="29" t="n">
        <f aca="false">Sens!K4933*ext_sh</f>
        <v>740</v>
      </c>
      <c r="L4916" s="1" t="s">
        <v>822</v>
      </c>
    </row>
    <row r="4917" customFormat="false" ht="17.15" hidden="false" customHeight="false" outlineLevel="0" collapsed="false">
      <c r="A4917" s="1" t="s">
        <v>823</v>
      </c>
      <c r="B4917" s="0" t="s">
        <v>399</v>
      </c>
      <c r="C4917" s="29" t="n">
        <f aca="false">mix_h*Sens!C4909</f>
        <v>128</v>
      </c>
      <c r="D4917" s="29" t="n">
        <f aca="false">mix_h*Sens!D4909</f>
        <v>326</v>
      </c>
      <c r="E4917" s="29" t="n">
        <f aca="false">mix_h*Sens!E4909</f>
        <v>650</v>
      </c>
      <c r="F4917" s="29" t="n">
        <f aca="false">Sens!E4917-Sens!F4916*mix_h</f>
        <v>650</v>
      </c>
      <c r="G4917" s="29" t="n">
        <f aca="false">Sens!F4917-Sens!G4916*mix_h</f>
        <v>650</v>
      </c>
      <c r="H4917" s="29" t="n">
        <f aca="false">Sens!G4917-Sens!H4916*mix_h</f>
        <v>650</v>
      </c>
      <c r="I4917" s="29" t="n">
        <f aca="false">Sens!H4917-Sens!I4916*mix_h</f>
        <v>650</v>
      </c>
      <c r="J4917" s="29" t="n">
        <f aca="false">Sens!I4917-Sens!J4916*mix_h</f>
        <v>552</v>
      </c>
      <c r="K4917" s="29" t="n">
        <f aca="false">Sens!J4917-Sens!K4916*mix_h</f>
        <v>404</v>
      </c>
    </row>
    <row r="4918" customFormat="false" ht="17.15" hidden="false" customHeight="false" outlineLevel="0" collapsed="false">
      <c r="A4918" s="1" t="s">
        <v>824</v>
      </c>
      <c r="B4918" s="0" t="s">
        <v>399</v>
      </c>
      <c r="C4918" s="29" t="n">
        <f aca="false">mix_g2*Sens!C4909</f>
        <v>288</v>
      </c>
      <c r="D4918" s="29" t="n">
        <f aca="false">mix_g2*Sens!D4909</f>
        <v>733.5</v>
      </c>
      <c r="E4918" s="29" t="n">
        <f aca="false">mix_g2*Sens!E4909</f>
        <v>1462.5</v>
      </c>
      <c r="F4918" s="29" t="n">
        <f aca="false">Sens!E4918-Sens!F4916*mix_g2</f>
        <v>1462.5</v>
      </c>
      <c r="G4918" s="29" t="n">
        <f aca="false">Sens!F4918-Sens!G4916*mix_g2</f>
        <v>1462.5</v>
      </c>
      <c r="H4918" s="29" t="n">
        <f aca="false">Sens!G4918-Sens!H4916*mix_g2</f>
        <v>1462.5</v>
      </c>
      <c r="I4918" s="29" t="n">
        <f aca="false">Sens!H4918-Sens!I4916*mix_g2</f>
        <v>1462.5</v>
      </c>
      <c r="J4918" s="29" t="n">
        <f aca="false">Sens!I4918-Sens!J4916*mix_g2</f>
        <v>1242</v>
      </c>
      <c r="K4918" s="29" t="n">
        <f aca="false">Sens!J4918-Sens!K4916*mix_g2</f>
        <v>909</v>
      </c>
    </row>
    <row r="4919" customFormat="false" ht="17.15" hidden="false" customHeight="false" outlineLevel="0" collapsed="false">
      <c r="A4919" s="1" t="s">
        <v>825</v>
      </c>
      <c r="B4919" s="0" t="s">
        <v>399</v>
      </c>
      <c r="C4919" s="29" t="n">
        <f aca="false">mix_g3*Sens!C4909</f>
        <v>224</v>
      </c>
      <c r="D4919" s="29" t="n">
        <f aca="false">mix_g3*Sens!D4909</f>
        <v>570.5</v>
      </c>
      <c r="E4919" s="29" t="n">
        <f aca="false">mix_g3*Sens!E4909</f>
        <v>1137.5</v>
      </c>
      <c r="F4919" s="29" t="n">
        <f aca="false">Sens!E4919+(Sens!F4915+Sens!F4916)*a_g3_27-Sens!F4916*mix_g3</f>
        <v>2906.54</v>
      </c>
      <c r="G4919" s="29" t="n">
        <f aca="false">Sens!F4919+(Sens!G4915+Sens!G4916)*a_g3_28-Sens!G4916*mix_g3</f>
        <v>3664.7</v>
      </c>
      <c r="H4919" s="29" t="n">
        <f aca="false">Sens!G4919+(Sens!H4915+Sens!H4916)*a_g3_29-Sens!H4916*mix_g3</f>
        <v>3917.42</v>
      </c>
      <c r="I4919" s="29" t="n">
        <f aca="false">Sens!H4919+(Sens!I4915+Sens!I4916)*a_g3_29-Sens!I4916*mix_g3</f>
        <v>4096.7316</v>
      </c>
      <c r="J4919" s="29" t="n">
        <f aca="false">Sens!I4919+(Sens!J4915+Sens!J4916)*a_g3_29-Sens!J4916*mix_g3</f>
        <v>4083.721032</v>
      </c>
      <c r="K4919" s="29" t="n">
        <f aca="false">Sens!J4919+(Sens!K4915+Sens!K4916)*a_g3_29-Sens!K4916*mix_g3</f>
        <v>3939.87986296</v>
      </c>
    </row>
    <row r="4920" customFormat="false" ht="17.15" hidden="false" customHeight="false" outlineLevel="0" collapsed="false">
      <c r="A4920" s="1" t="s">
        <v>826</v>
      </c>
      <c r="B4920" s="0" t="s">
        <v>399</v>
      </c>
      <c r="C4920" s="29" t="n">
        <v>0</v>
      </c>
      <c r="D4920" s="29" t="n">
        <v>0</v>
      </c>
      <c r="E4920" s="29" t="n">
        <v>0</v>
      </c>
      <c r="F4920" s="29" t="n">
        <f aca="false">Sens!E4920+(Sens!F4915+Sens!F4916)*(1-a_g3_27)</f>
        <v>758.16</v>
      </c>
      <c r="G4920" s="29" t="n">
        <f aca="false">Sens!F4920+(Sens!G4915+Sens!G4916)*(1-a_g3_28)</f>
        <v>2527.2</v>
      </c>
      <c r="H4920" s="29" t="n">
        <f aca="false">Sens!G4920+(Sens!H4915+Sens!H4916)*(1-a_g3_29)</f>
        <v>4801.68</v>
      </c>
      <c r="I4920" s="29" t="n">
        <f aca="false">Sens!H4920+(Sens!I4915+Sens!I4916)*(1-a_g3_29)</f>
        <v>6415.4844</v>
      </c>
      <c r="J4920" s="29" t="n">
        <f aca="false">Sens!I4920+(Sens!J4915+Sens!J4916)*(1-a_g3_29)</f>
        <v>7841.889288</v>
      </c>
      <c r="K4920" s="29" t="n">
        <f aca="false">Sens!J4920+(Sens!K4915+Sens!K4916)*(1-a_g3_29)</f>
        <v>8878.31876664</v>
      </c>
    </row>
    <row r="4921" customFormat="false" ht="17.15" hidden="false" customHeight="false" outlineLevel="0" collapsed="false">
      <c r="A4921" s="1" t="s">
        <v>827</v>
      </c>
      <c r="B4921" s="0" t="s">
        <v>346</v>
      </c>
      <c r="C4921" s="14" t="n">
        <f aca="false">(Sens!C4917*tk_hold_h100+Sens!C4918*tk_hold_gb200+Sens!C4919*tk_hold_gb300+Sens!C4920*tk_hold_vr200)/Sens!C4909</f>
        <v>9.7235358126469</v>
      </c>
      <c r="D4921" s="14" t="n">
        <f aca="false">(Sens!D4917*tk_hold_h100+Sens!D4918*tk_hold_gb200+Sens!D4919*tk_hold_gb300+Sens!D4920*tk_hold_vr200)/Sens!D4909</f>
        <v>9.7235358126469</v>
      </c>
      <c r="E4921" s="14" t="n">
        <f aca="false">(Sens!E4917*tk_hold_h100+Sens!E4918*tk_hold_gb200+Sens!E4919*tk_hold_gb300+Sens!E4920*tk_hold_vr200)/Sens!E4909</f>
        <v>9.7235358126469</v>
      </c>
      <c r="F4921" s="14" t="n">
        <f aca="false">(Sens!F4917*tk_hold_h100+Sens!F4918*tk_hold_gb200+Sens!F4919*tk_hold_gb300+Sens!F4920*tk_hold_vr200)/Sens!F4909</f>
        <v>10.4079573161931</v>
      </c>
      <c r="G4921" s="14" t="n">
        <f aca="false">(Sens!G4917*tk_hold_h100+Sens!G4918*tk_hold_gb200+Sens!G4919*tk_hold_gb300+Sens!G4920*tk_hold_vr200)/Sens!G4909</f>
        <v>10.8388131109316</v>
      </c>
      <c r="H4921" s="14" t="n">
        <f aca="false">(Sens!H4917*tk_hold_h100+Sens!H4918*tk_hold_gb200+Sens!H4919*tk_hold_gb300+Sens!H4920*tk_hold_vr200)/Sens!H4909</f>
        <v>11.1311018388216</v>
      </c>
      <c r="I4921" s="14" t="n">
        <f aca="false">(Sens!I4917*tk_hold_h100+Sens!I4918*tk_hold_gb200+Sens!I4919*tk_hold_gb300+Sens!I4920*tk_hold_vr200)/Sens!I4909</f>
        <v>11.267518520947</v>
      </c>
      <c r="J4921" s="14" t="n">
        <f aca="false">(Sens!J4917*tk_hold_h100+Sens!J4918*tk_hold_gb200+Sens!J4919*tk_hold_gb300+Sens!J4920*tk_hold_vr200)/Sens!J4909</f>
        <v>11.417856472966</v>
      </c>
      <c r="K4921" s="14" t="n">
        <f aca="false">(Sens!K4917*tk_hold_h100+Sens!K4918*tk_hold_gb200+Sens!K4919*tk_hold_gb300+Sens!K4920*tk_hold_vr200)/Sens!K4909</f>
        <v>11.5614842154272</v>
      </c>
    </row>
    <row r="4922" customFormat="false" ht="17.15" hidden="false" customHeight="false" outlineLevel="0" collapsed="false">
      <c r="A4922" s="0" t="s">
        <v>828</v>
      </c>
      <c r="B4922" s="0" t="s">
        <v>185</v>
      </c>
      <c r="C4922" s="14" t="n">
        <f aca="false">k_B</f>
        <v>1.17213932619116</v>
      </c>
      <c r="D4922" s="14" t="n">
        <f aca="false">k_B</f>
        <v>1.17213932619116</v>
      </c>
      <c r="E4922" s="14" t="n">
        <f aca="false">k_B</f>
        <v>1.17213932619116</v>
      </c>
      <c r="F4922" s="14" t="n">
        <f aca="false">(k_B+((ls_B*k_long+(1-ls_B)*k_spot)-k_B)*MIN(1,(Sens!F4907-base_fy)/k_ramp))</f>
        <v>1.17213932619116</v>
      </c>
      <c r="G4922" s="14" t="n">
        <f aca="false">(k_B+((ls_B*k_long+(1-ls_B)*k_spot)-k_B)*MIN(1,(Sens!G4907-base_fy)/k_ramp))</f>
        <v>1.17213932619116</v>
      </c>
      <c r="H4922" s="14" t="n">
        <f aca="false">(k_B+((ls_B*k_long+(1-ls_B)*k_spot)-k_B)*MIN(1,(Sens!H4907-base_fy)/k_ramp))</f>
        <v>1.17213932619116</v>
      </c>
      <c r="I4922" s="14" t="n">
        <f aca="false">(k_B+((ls_B*k_long+(1-ls_B)*k_spot)-k_B)*MIN(1,(Sens!I4907-base_fy)/k_ramp))</f>
        <v>1.17213932619116</v>
      </c>
      <c r="J4922" s="14" t="n">
        <f aca="false">(k_B+((ls_B*k_long+(1-ls_B)*k_spot)-k_B)*MIN(1,(Sens!J4907-base_fy)/k_ramp))</f>
        <v>1.17213932619116</v>
      </c>
      <c r="K4922" s="14" t="n">
        <f aca="false">(k_B+((ls_B*k_long+(1-ls_B)*k_spot)-k_B)*MIN(1,(Sens!K4907-base_fy)/k_ramp))</f>
        <v>1.17213932619116</v>
      </c>
      <c r="L4922" s="1" t="s">
        <v>829</v>
      </c>
    </row>
    <row r="4923" customFormat="false" ht="17.15" hidden="false" customHeight="false" outlineLevel="0" collapsed="false">
      <c r="A4923" s="1" t="s">
        <v>830</v>
      </c>
      <c r="B4923" s="0" t="s">
        <v>346</v>
      </c>
      <c r="C4923" s="14" t="n">
        <f aca="false">Sens!C4921*Sens!C4922*chip_f</f>
        <v>11.3973387156315</v>
      </c>
      <c r="D4923" s="14" t="n">
        <f aca="false">Sens!D4921*Sens!D4922*chip_f</f>
        <v>11.3973387156315</v>
      </c>
      <c r="E4923" s="14" t="n">
        <f aca="false">Sens!E4921*Sens!E4922*chip_f</f>
        <v>11.3973387156315</v>
      </c>
      <c r="F4923" s="14" t="n">
        <f aca="false">Sens!F4921*Sens!F4922*chip_f</f>
        <v>12.1995760756289</v>
      </c>
      <c r="G4923" s="14" t="n">
        <f aca="false">Sens!G4921*Sens!G4922*chip_f</f>
        <v>12.7045990965592</v>
      </c>
      <c r="H4923" s="14" t="n">
        <f aca="false">Sens!H4921*Sens!H4922*chip_f</f>
        <v>13.0472022091214</v>
      </c>
      <c r="I4923" s="14" t="n">
        <f aca="false">Sens!I4921*Sens!I4922*chip_f</f>
        <v>13.2071015669892</v>
      </c>
      <c r="J4923" s="14" t="n">
        <f aca="false">Sens!J4921*Sens!J4922*chip_f</f>
        <v>13.3833185927697</v>
      </c>
      <c r="K4923" s="14" t="n">
        <f aca="false">Sens!K4921*Sens!K4922*chip_f</f>
        <v>13.5516703180405</v>
      </c>
      <c r="L4923" s="1" t="s">
        <v>831</v>
      </c>
    </row>
    <row r="4924" customFormat="false" ht="17.15" hidden="false" customHeight="false" outlineLevel="0" collapsed="false">
      <c r="A4924" s="0" t="s">
        <v>832</v>
      </c>
      <c r="B4924" s="0" t="s">
        <v>98</v>
      </c>
      <c r="D4924" s="6" t="n">
        <f aca="false">(Sens!C4909+Sens!D4909)/2*Sens!D4923/1000</f>
        <v>12.9359794422418</v>
      </c>
      <c r="E4924" s="6" t="n">
        <f aca="false">(Sens!D4909+Sens!E4909)/2*Sens!E4923/1000</f>
        <v>27.8095064661409</v>
      </c>
      <c r="F4924" s="6" t="n">
        <f aca="false">(Sens!E4909+Sens!F4909)/2*Sens!F4923/1000</f>
        <v>55.0640065749585</v>
      </c>
      <c r="G4924" s="6" t="n">
        <f aca="false">(Sens!F4909+Sens!G4909)/2*Sens!G4923/1000</f>
        <v>89.4505413190538</v>
      </c>
      <c r="H4924" s="6" t="n">
        <f aca="false">(Sens!G4909+Sens!H4909)/2*Sens!H4923/1000</f>
        <v>124.835630736874</v>
      </c>
      <c r="I4924" s="6" t="n">
        <f aca="false">(Sens!H4909+Sens!I4909)/2*Sens!I4923/1000</f>
        <v>154.894973899697</v>
      </c>
      <c r="J4924" s="6" t="n">
        <f aca="false">(Sens!I4909+Sens!J4909)/2*Sens!J4923/1000</f>
        <v>176.287256126224</v>
      </c>
      <c r="K4924" s="6" t="n">
        <f aca="false">(Sens!J4909+Sens!K4909)/2*Sens!K4923/1000</f>
        <v>188.712490487856</v>
      </c>
      <c r="L4924" s="11" t="s">
        <v>833</v>
      </c>
    </row>
    <row r="4925" customFormat="false" ht="17.15" hidden="false" customHeight="false" outlineLevel="0" collapsed="false">
      <c r="A4925" s="1" t="s">
        <v>834</v>
      </c>
      <c r="B4925" s="0" t="s">
        <v>346</v>
      </c>
      <c r="C4925" s="14" t="n">
        <f aca="false">(Sens!C4917*tk_opex_h100+Sens!C4918*tk_opex_gb200+Sens!C4919*tk_opex_gb300+Sens!C4920*tk_opex_vr200)/Sens!C4909</f>
        <v>1.88636041306092</v>
      </c>
      <c r="D4925" s="14" t="n">
        <f aca="false">(Sens!D4917*tk_opex_h100+Sens!D4918*tk_opex_gb200+Sens!D4919*tk_opex_gb300+Sens!D4920*tk_opex_vr200)/Sens!D4909</f>
        <v>1.88636041306092</v>
      </c>
      <c r="E4925" s="14" t="n">
        <f aca="false">(Sens!E4917*tk_opex_h100+Sens!E4918*tk_opex_gb200+Sens!E4919*tk_opex_gb300+Sens!E4920*tk_opex_vr200)/Sens!E4909</f>
        <v>1.88636041306092</v>
      </c>
      <c r="F4925" s="14" t="n">
        <f aca="false">(Sens!F4917*tk_opex_h100+Sens!F4918*tk_opex_gb200+Sens!F4919*tk_opex_gb300+Sens!F4920*tk_opex_vr200)/Sens!F4909</f>
        <v>1.9430236476499</v>
      </c>
      <c r="G4925" s="14" t="n">
        <f aca="false">(Sens!G4917*tk_opex_h100+Sens!G4918*tk_opex_gb200+Sens!G4919*tk_opex_gb300+Sens!G4920*tk_opex_vr200)/Sens!G4909</f>
        <v>1.9786941852423</v>
      </c>
      <c r="H4925" s="14" t="n">
        <f aca="false">(Sens!H4917*tk_opex_h100+Sens!H4918*tk_opex_gb200+Sens!H4919*tk_opex_gb300+Sens!H4920*tk_opex_vr200)/Sens!H4909</f>
        <v>2.00289275976156</v>
      </c>
      <c r="I4925" s="14" t="n">
        <f aca="false">(Sens!I4917*tk_opex_h100+Sens!I4918*tk_opex_gb200+Sens!I4919*tk_opex_gb300+Sens!I4920*tk_opex_vr200)/Sens!I4909</f>
        <v>2.01418669255163</v>
      </c>
      <c r="J4925" s="14" t="n">
        <f aca="false">(Sens!J4917*tk_opex_h100+Sens!J4918*tk_opex_gb200+Sens!J4919*tk_opex_gb300+Sens!J4920*tk_opex_vr200)/Sens!J4909</f>
        <v>2.02663316683501</v>
      </c>
      <c r="K4925" s="14" t="n">
        <f aca="false">(Sens!K4917*tk_opex_h100+Sens!K4918*tk_opex_gb200+Sens!K4919*tk_opex_gb300+Sens!K4920*tk_opex_vr200)/Sens!K4909</f>
        <v>2.03852410308175</v>
      </c>
    </row>
    <row r="4926" customFormat="false" ht="17.15" hidden="false" customHeight="false" outlineLevel="0" collapsed="false">
      <c r="A4926" s="0" t="s">
        <v>835</v>
      </c>
      <c r="B4926" s="0" t="s">
        <v>98</v>
      </c>
      <c r="D4926" s="6" t="n">
        <f aca="false">(Sens!C4912+Sens!D4912)/2*Sens!D4925/1000</f>
        <v>2.70378325872065</v>
      </c>
      <c r="E4926" s="6" t="n">
        <f aca="false">(Sens!D4912+Sens!E4912)/2*Sens!E4925/1000</f>
        <v>6.17783035277451</v>
      </c>
      <c r="F4926" s="6" t="n">
        <f aca="false">(Sens!E4912+Sens!F4912)/2*Sens!F4925/1000</f>
        <v>12.5020618235287</v>
      </c>
      <c r="G4926" s="6" t="n">
        <f aca="false">(Sens!F4912+Sens!G4912)/2*Sens!G4925/1000</f>
        <v>20.7261620256847</v>
      </c>
      <c r="H4926" s="6" t="n">
        <f aca="false">(Sens!G4912+Sens!H4912)/2*Sens!H4925/1000</f>
        <v>29.4158183316982</v>
      </c>
      <c r="I4926" s="6" t="n">
        <f aca="false">(Sens!H4912+Sens!I4912)/2*Sens!I4925/1000</f>
        <v>36.8332910536231</v>
      </c>
      <c r="J4926" s="6" t="n">
        <f aca="false">(Sens!I4912+Sens!J4912)/2*Sens!J4925/1000</f>
        <v>41.9383467748182</v>
      </c>
      <c r="K4926" s="6" t="n">
        <f aca="false">(Sens!J4912+Sens!K4912)/2*Sens!K4925/1000</f>
        <v>44.743580741854</v>
      </c>
    </row>
    <row r="4927" customFormat="false" ht="17.15" hidden="false" customHeight="false" outlineLevel="0" collapsed="false">
      <c r="A4927" s="0" t="s">
        <v>836</v>
      </c>
      <c r="B4927" s="0" t="s">
        <v>98</v>
      </c>
      <c r="D4927" s="6" t="n">
        <f aca="false">(Sens!C4910+Sens!D4910)/2*rent_mw/1000</f>
        <v>2.44475</v>
      </c>
      <c r="E4927" s="6" t="n">
        <f aca="false">(Sens!D4910+Sens!E4910)/2*rent_mw/1000</f>
        <v>4.22275</v>
      </c>
      <c r="F4927" s="6" t="n">
        <f aca="false">(Sens!E4910+Sens!F4910)/2*rent_mw/1000</f>
        <v>5.80517</v>
      </c>
      <c r="G4927" s="6" t="n">
        <f aca="false">(Sens!F4910+Sens!G4910)/2*rent_mw/1000</f>
        <v>6.72084</v>
      </c>
      <c r="H4927" s="6" t="n">
        <f aca="false">(Sens!G4910+Sens!H4910)/2*rent_mw/1000</f>
        <v>6.72084</v>
      </c>
      <c r="I4927" s="6" t="n">
        <f aca="false">(Sens!H4910+Sens!I4910)/2*rent_mw/1000</f>
        <v>6.72084</v>
      </c>
      <c r="J4927" s="6" t="n">
        <f aca="false">(Sens!I4910+Sens!J4910)/2*rent_mw/1000</f>
        <v>6.72084</v>
      </c>
      <c r="K4927" s="6" t="n">
        <f aca="false">(Sens!J4910+Sens!K4910)/2*rent_mw/1000</f>
        <v>6.72084</v>
      </c>
    </row>
    <row r="4928" customFormat="false" ht="17.15" hidden="false" customHeight="false" outlineLevel="0" collapsed="false">
      <c r="A4928" s="0" t="s">
        <v>837</v>
      </c>
      <c r="B4928" s="0" t="s">
        <v>98</v>
      </c>
      <c r="D4928" s="6" t="n">
        <f aca="false">(Sens!C4912+Sens!D4912)/2*(1-self_build)*fac_rent/1000</f>
        <v>0.853242375631075</v>
      </c>
      <c r="E4928" s="6" t="n">
        <f aca="false">(Sens!D4912+Sens!E4912)/2*(1-self_build)*fac_rent/1000</f>
        <v>1.94955961408728</v>
      </c>
      <c r="F4928" s="6" t="n">
        <f aca="false">(Sens!E4912+Sens!F4912)/2*(1-self_build)*fac_rent/1000</f>
        <v>3.83026455274573</v>
      </c>
      <c r="G4928" s="6" t="n">
        <f aca="false">(Sens!F4912+Sens!G4912)/2*(1-self_build)*fac_rent/1000</f>
        <v>6.23541590972812</v>
      </c>
      <c r="H4928" s="6" t="n">
        <f aca="false">(Sens!G4912+Sens!H4912)/2*(1-self_build)*fac_rent/1000</f>
        <v>8.74275792332679</v>
      </c>
      <c r="I4928" s="6" t="n">
        <f aca="false">(Sens!H4912+Sens!I4912)/2*(1-self_build)*fac_rent/1000</f>
        <v>10.8859420438599</v>
      </c>
      <c r="J4928" s="6" t="n">
        <f aca="false">(Sens!I4912+Sens!J4912)/2*(1-self_build)*fac_rent/1000</f>
        <v>12.3186006405366</v>
      </c>
      <c r="K4928" s="6" t="n">
        <f aca="false">(Sens!J4912+Sens!K4912)/2*(1-self_build)*fac_rent/1000</f>
        <v>13.0659232089824</v>
      </c>
      <c r="L4928" s="11" t="s">
        <v>838</v>
      </c>
    </row>
    <row r="4929" customFormat="false" ht="17.15" hidden="false" customHeight="false" outlineLevel="0" collapsed="false">
      <c r="A4929" s="1" t="s">
        <v>839</v>
      </c>
      <c r="B4929" s="0" t="s">
        <v>129</v>
      </c>
      <c r="D4929" s="7" t="n">
        <f aca="false">(Sens!C4911+Sens!D4911)/(Sens!C4912+Sens!D4912)</f>
        <v>0.6</v>
      </c>
      <c r="E4929" s="7" t="n">
        <f aca="false">(Sens!D4911+Sens!E4911)/(Sens!D4912+Sens!E4912)</f>
        <v>0.6</v>
      </c>
      <c r="F4929" s="7" t="n">
        <f aca="false">(Sens!E4911+Sens!F4911)/(Sens!E4912+Sens!F4912)</f>
        <v>0.6</v>
      </c>
      <c r="G4929" s="7" t="n">
        <f aca="false">(Sens!F4911+Sens!G4911)/(Sens!F4912+Sens!G4912)</f>
        <v>0.6</v>
      </c>
      <c r="H4929" s="7" t="n">
        <f aca="false">(Sens!G4911+Sens!H4911)/(Sens!G4912+Sens!H4912)</f>
        <v>0.6</v>
      </c>
      <c r="I4929" s="7" t="n">
        <f aca="false">(Sens!H4911+Sens!I4911)/(Sens!H4912+Sens!I4912)</f>
        <v>0.6</v>
      </c>
      <c r="J4929" s="7" t="n">
        <f aca="false">(Sens!I4911+Sens!J4911)/(Sens!I4912+Sens!J4912)</f>
        <v>0.6</v>
      </c>
      <c r="K4929" s="7" t="n">
        <f aca="false">(Sens!J4911+Sens!K4911)/(Sens!J4912+Sens!K4912)</f>
        <v>0.6</v>
      </c>
    </row>
    <row r="4930" customFormat="false" ht="17.15" hidden="false" customHeight="false" outlineLevel="0" collapsed="false">
      <c r="A4930" s="0" t="s">
        <v>840</v>
      </c>
      <c r="B4930" s="0" t="s">
        <v>98</v>
      </c>
      <c r="D4930" s="6" t="n">
        <f aca="false">Sens!D4924-Sens!D4929*(Sens!D4926+Sens!D4928)-Sens!D4927</f>
        <v>8.35701406163072</v>
      </c>
      <c r="E4930" s="6" t="n">
        <f aca="false">Sens!E4924-Sens!E4929*(Sens!E4926+Sens!E4928)-Sens!E4927</f>
        <v>18.7103224860238</v>
      </c>
      <c r="F4930" s="6" t="n">
        <f aca="false">Sens!F4924-Sens!F4929*(Sens!F4926+Sens!F4928)-Sens!F4927</f>
        <v>39.4594407491938</v>
      </c>
      <c r="G4930" s="6" t="n">
        <f aca="false">Sens!G4924-Sens!G4929*(Sens!G4926+Sens!G4928)-Sens!G4927</f>
        <v>66.5527545578061</v>
      </c>
      <c r="H4930" s="6" t="n">
        <f aca="false">Sens!H4924-Sens!H4929*(Sens!H4926+Sens!H4928)-Sens!H4927</f>
        <v>95.219644983859</v>
      </c>
      <c r="I4930" s="6" t="n">
        <f aca="false">Sens!I4924-Sens!I4929*(Sens!I4926+Sens!I4928)-Sens!I4927</f>
        <v>119.542594041207</v>
      </c>
      <c r="J4930" s="6" t="n">
        <f aca="false">Sens!J4924-Sens!J4929*(Sens!J4926+Sens!J4928)-Sens!J4927</f>
        <v>137.012247677011</v>
      </c>
      <c r="K4930" s="6" t="n">
        <f aca="false">Sens!K4924-Sens!K4929*(Sens!K4926+Sens!K4928)-Sens!K4927</f>
        <v>147.305948117354</v>
      </c>
    </row>
    <row r="4931" customFormat="false" ht="17.15" hidden="false" customHeight="false" outlineLevel="0" collapsed="false">
      <c r="A4931" s="1" t="s">
        <v>841</v>
      </c>
      <c r="B4931" s="0" t="s">
        <v>98</v>
      </c>
      <c r="D4931" s="6" t="n">
        <f aca="false">(1-Sens!D4929)*(Sens!D4926+Sens!D4928)</f>
        <v>1.42281025374069</v>
      </c>
      <c r="E4931" s="6" t="n">
        <f aca="false">(1-Sens!E4929)*(Sens!E4926+Sens!E4928)</f>
        <v>3.25095598674472</v>
      </c>
      <c r="F4931" s="6" t="n">
        <f aca="false">(1-Sens!F4929)*(Sens!F4926+Sens!F4928)</f>
        <v>6.53293055050977</v>
      </c>
      <c r="G4931" s="6" t="n">
        <f aca="false">(1-Sens!G4929)*(Sens!G4926+Sens!G4928)</f>
        <v>10.7846311741651</v>
      </c>
      <c r="H4931" s="6" t="n">
        <f aca="false">(1-Sens!H4929)*(Sens!H4926+Sens!H4928)</f>
        <v>15.26343050201</v>
      </c>
      <c r="I4931" s="6" t="n">
        <f aca="false">(1-Sens!I4929)*(Sens!I4926+Sens!I4928)</f>
        <v>19.0876932389932</v>
      </c>
      <c r="J4931" s="6" t="n">
        <f aca="false">(1-Sens!J4929)*(Sens!J4926+Sens!J4928)</f>
        <v>21.7027789661419</v>
      </c>
      <c r="K4931" s="6" t="n">
        <f aca="false">(1-Sens!K4929)*(Sens!K4926+Sens!K4928)</f>
        <v>23.1238015803346</v>
      </c>
    </row>
    <row r="4932" customFormat="false" ht="17.15" hidden="false" customHeight="false" outlineLevel="0" collapsed="false">
      <c r="A4932" s="1" t="s">
        <v>842</v>
      </c>
      <c r="B4932" s="0" t="s">
        <v>357</v>
      </c>
      <c r="C4932" s="8" t="n">
        <f aca="false">cxit_open</f>
        <v>27.5918995</v>
      </c>
      <c r="D4932" s="8" t="n">
        <f aca="false">cxit_open</f>
        <v>27.5918995</v>
      </c>
      <c r="E4932" s="8" t="n">
        <f aca="false">cxit_open</f>
        <v>27.5918995</v>
      </c>
      <c r="F4932" s="8" t="n">
        <f aca="false">(a_g3_27*tk_cxit_gb300+(1-a_g3_27)*tk_cxit_vr200)</f>
        <v>33.8419624</v>
      </c>
      <c r="G4932" s="8" t="n">
        <f aca="false">(a_g3_28*tk_cxit_gb300+(1-a_g3_28)*tk_cxit_vr200)</f>
        <v>35.9816136</v>
      </c>
      <c r="H4932" s="8" t="n">
        <f aca="false">(a_g3_29*tk_cxit_gb300+(1-a_g3_29)*tk_cxit_vr200)</f>
        <v>37.0514392</v>
      </c>
      <c r="I4932" s="8" t="n">
        <f aca="false">(a_g3_29*tk_cxit_gb300+(1-a_g3_29)*tk_cxit_vr200)</f>
        <v>37.0514392</v>
      </c>
      <c r="J4932" s="8" t="n">
        <f aca="false">(a_g3_29*tk_cxit_gb300+(1-a_g3_29)*tk_cxit_vr200)</f>
        <v>37.0514392</v>
      </c>
      <c r="K4932" s="8" t="n">
        <f aca="false">(a_g3_29*tk_cxit_gb300+(1-a_g3_29)*tk_cxit_vr200)</f>
        <v>37.0514392</v>
      </c>
      <c r="L4932" s="11" t="s">
        <v>843</v>
      </c>
    </row>
    <row r="4933" customFormat="false" ht="17.15" hidden="false" customHeight="false" outlineLevel="0" collapsed="false">
      <c r="A4933" s="0" t="s">
        <v>844</v>
      </c>
      <c r="B4933" s="0" t="s">
        <v>399</v>
      </c>
      <c r="F4933" s="29" t="n">
        <f aca="false">Sens!C4914*IF(Sens!F4907-Sens!C4907=life_it_hi,1,0)+Sens!D4914*IF(Sens!F4907-Sens!D4907=life_it_hi,1,0)+Sens!E4914*IF(Sens!F4907-Sens!E4907=life_it_hi,1,0)</f>
        <v>0</v>
      </c>
      <c r="G4933" s="29" t="n">
        <f aca="false">Sens!C4914*IF(Sens!G4907-Sens!C4907=life_it_hi,1,0)+Sens!D4914*IF(Sens!G4907-Sens!D4907=life_it_hi,1,0)+Sens!E4914*IF(Sens!G4907-Sens!E4907=life_it_hi,1,0)+Sens!F4914*IF(Sens!G4907-Sens!F4907=life_it_hi,1,0)</f>
        <v>0</v>
      </c>
      <c r="H4933" s="29" t="n">
        <f aca="false">Sens!C4914*IF(Sens!H4907-Sens!C4907=life_it_hi,1,0)+Sens!D4914*IF(Sens!H4907-Sens!D4907=life_it_hi,1,0)+Sens!E4914*IF(Sens!H4907-Sens!E4907=life_it_hi,1,0)+Sens!F4914*IF(Sens!H4907-Sens!F4907=life_it_hi,1,0)+Sens!G4914*IF(Sens!H4907-Sens!G4907=life_it_hi,1,0)</f>
        <v>0</v>
      </c>
      <c r="I4933" s="29" t="n">
        <f aca="false">Sens!C4914*IF(Sens!I4907-Sens!C4907=life_it_hi,1,0)+Sens!D4914*IF(Sens!I4907-Sens!D4907=life_it_hi,1,0)+Sens!E4914*IF(Sens!I4907-Sens!E4907=life_it_hi,1,0)+Sens!F4914*IF(Sens!I4907-Sens!F4907=life_it_hi,1,0)+Sens!G4914*IF(Sens!I4907-Sens!G4907=life_it_hi,1,0)+Sens!H4914*IF(Sens!I4907-Sens!H4907=life_it_hi,1,0)</f>
        <v>0</v>
      </c>
      <c r="J4933" s="29" t="n">
        <f aca="false">Sens!C4914*IF(Sens!J4907-Sens!C4907=life_it_hi,1,0)+Sens!D4914*IF(Sens!J4907-Sens!D4907=life_it_hi,1,0)+Sens!E4914*IF(Sens!J4907-Sens!E4907=life_it_hi,1,0)+Sens!F4914*IF(Sens!J4907-Sens!F4907=life_it_hi,1,0)+Sens!G4914*IF(Sens!J4907-Sens!G4907=life_it_hi,1,0)+Sens!H4914*IF(Sens!J4907-Sens!H4907=life_it_hi,1,0)+Sens!I4914*IF(Sens!J4907-Sens!I4907=life_it_hi,1,0)</f>
        <v>816.666666666667</v>
      </c>
      <c r="K4933" s="29" t="n">
        <f aca="false">Sens!C4914*IF(Sens!K4907-Sens!C4907=life_it_hi,1,0)+Sens!D4914*IF(Sens!K4907-Sens!D4907=life_it_hi,1,0)+Sens!E4914*IF(Sens!K4907-Sens!E4907=life_it_hi,1,0)+Sens!F4914*IF(Sens!K4907-Sens!F4907=life_it_hi,1,0)+Sens!G4914*IF(Sens!K4907-Sens!G4907=life_it_hi,1,0)+Sens!H4914*IF(Sens!K4907-Sens!H4907=life_it_hi,1,0)+Sens!I4914*IF(Sens!K4907-Sens!I4907=life_it_hi,1,0)+Sens!J4914*IF(Sens!K4907-Sens!J4907=life_it_hi,1,0)</f>
        <v>1233.33333333333</v>
      </c>
      <c r="L4933" s="1" t="s">
        <v>845</v>
      </c>
    </row>
    <row r="4934" customFormat="false" ht="17.15" hidden="false" customHeight="false" outlineLevel="0" collapsed="false">
      <c r="A4934" s="0" t="s">
        <v>846</v>
      </c>
      <c r="B4934" s="0" t="s">
        <v>98</v>
      </c>
      <c r="C4934" s="6" t="n">
        <f aca="false">Sens!C4914*Sens!C4932/1000</f>
        <v>22.5333845916667</v>
      </c>
      <c r="D4934" s="6" t="n">
        <f aca="false">Sens!D4914*Sens!D4932/1000</f>
        <v>34.0300093833333</v>
      </c>
      <c r="E4934" s="6" t="n">
        <f aca="false">Sens!E4914*Sens!E4932/1000</f>
        <v>67.600153775</v>
      </c>
      <c r="F4934" s="6" t="n">
        <f aca="false">(Sens!F4914+Sens!F4933)*Sens!F4932/1000</f>
        <v>130.923271871467</v>
      </c>
      <c r="G4934" s="6" t="n">
        <f aca="false">(Sens!G4914+Sens!G4933)*Sens!G4932/1000</f>
        <v>151.5545564832</v>
      </c>
      <c r="H4934" s="6" t="n">
        <f aca="false">(Sens!H4914+Sens!H4933)*Sens!H4932/1000</f>
        <v>156.0606619104</v>
      </c>
      <c r="I4934" s="6" t="n">
        <f aca="false">(Sens!I4914+Sens!I4933)*Sens!I4932/1000</f>
        <v>110.729214087579</v>
      </c>
      <c r="J4934" s="6" t="n">
        <f aca="false">(Sens!J4914+Sens!J4933)*Sens!J4932/1000</f>
        <v>97.8710258931755</v>
      </c>
      <c r="K4934" s="6" t="n">
        <f aca="false">(Sens!K4914+Sens!K4933)*Sens!K4932/1000</f>
        <v>71.1133403942919</v>
      </c>
    </row>
    <row r="4935" customFormat="false" ht="17.15" hidden="false" customHeight="false" outlineLevel="0" collapsed="false">
      <c r="A4935" s="0" t="s">
        <v>847</v>
      </c>
      <c r="B4935" s="0" t="s">
        <v>98</v>
      </c>
      <c r="C4935" s="6" t="n">
        <f aca="false">Sens!C4914*self_build*tk_cxfac/1000</f>
        <v>6.2083</v>
      </c>
      <c r="D4935" s="6" t="n">
        <f aca="false">Sens!D4914*self_build*tk_cxfac/1000</f>
        <v>9.3758</v>
      </c>
      <c r="E4935" s="6" t="n">
        <f aca="false">Sens!E4914*self_build*tk_cxfac/1000</f>
        <v>18.6249</v>
      </c>
      <c r="F4935" s="6" t="n">
        <f aca="false">Sens!F4914*self_build*tk_cxfac/1000</f>
        <v>29.409604</v>
      </c>
      <c r="G4935" s="6" t="n">
        <f aca="false">Sens!G4914*self_build*tk_cxfac/1000</f>
        <v>32.019624</v>
      </c>
      <c r="H4935" s="6" t="n">
        <f aca="false">Sens!H4914*self_build*tk_cxfac/1000</f>
        <v>32.019624</v>
      </c>
      <c r="I4935" s="6" t="n">
        <f aca="false">Sens!I4914*self_build*tk_cxfac/1000</f>
        <v>22.71877972</v>
      </c>
      <c r="J4935" s="6" t="n">
        <f aca="false">Sens!J4914*self_build*tk_cxfac/1000</f>
        <v>13.8723110344</v>
      </c>
      <c r="K4935" s="6" t="n">
        <f aca="false">Sens!K4914*self_build*tk_cxfac/1000</f>
        <v>5.214823882632</v>
      </c>
    </row>
    <row r="4936" customFormat="false" ht="17.15" hidden="false" customHeight="false" outlineLevel="0" collapsed="false">
      <c r="A4936" s="0" t="s">
        <v>848</v>
      </c>
      <c r="B4936" s="0" t="s">
        <v>98</v>
      </c>
      <c r="F4936" s="6" t="n">
        <f aca="false">MAX(0,capex_floor27-Sens!F4934-Sens!F4935-Sens!F5030)</f>
        <v>8.28777689897088</v>
      </c>
    </row>
    <row r="4937" customFormat="false" ht="17.15" hidden="false" customHeight="false" outlineLevel="0" collapsed="false">
      <c r="A4937" s="0" t="s">
        <v>849</v>
      </c>
      <c r="B4937" s="0" t="s">
        <v>98</v>
      </c>
      <c r="C4937" s="6" t="n">
        <f aca="false">Sens!C4934</f>
        <v>22.5333845916667</v>
      </c>
      <c r="D4937" s="6" t="n">
        <f aca="false">Sens!D4934</f>
        <v>34.0300093833333</v>
      </c>
      <c r="E4937" s="6" t="n">
        <f aca="false">Sens!E4934</f>
        <v>67.600153775</v>
      </c>
      <c r="F4937" s="6" t="n">
        <f aca="false">Sens!F4934</f>
        <v>130.923271871467</v>
      </c>
      <c r="G4937" s="6" t="n">
        <f aca="false">Sens!G4934</f>
        <v>151.5545564832</v>
      </c>
      <c r="H4937" s="6" t="n">
        <f aca="false">Sens!H4934</f>
        <v>156.0606619104</v>
      </c>
      <c r="I4937" s="6" t="n">
        <f aca="false">Sens!I4934</f>
        <v>110.729214087579</v>
      </c>
      <c r="J4937" s="6" t="n">
        <f aca="false">Sens!J4934</f>
        <v>97.8710258931755</v>
      </c>
      <c r="K4937" s="6" t="n">
        <f aca="false">Sens!K4934</f>
        <v>71.1133403942919</v>
      </c>
    </row>
    <row r="4938" customFormat="false" ht="17.15" hidden="false" customHeight="false" outlineLevel="0" collapsed="false">
      <c r="A4938" s="0" t="s">
        <v>850</v>
      </c>
      <c r="B4938" s="0" t="s">
        <v>98</v>
      </c>
      <c r="C4938" s="6" t="n">
        <f aca="false">Sens!C4937+Sens!C4935</f>
        <v>28.7416845916667</v>
      </c>
      <c r="D4938" s="6" t="n">
        <f aca="false">Sens!D4937+Sens!D4935</f>
        <v>43.4058093833333</v>
      </c>
      <c r="E4938" s="6" t="n">
        <f aca="false">Sens!E4937+Sens!E4935</f>
        <v>86.225053775</v>
      </c>
      <c r="F4938" s="6" t="n">
        <f aca="false">Sens!F4937+Sens!F4935</f>
        <v>160.332875871467</v>
      </c>
      <c r="G4938" s="6" t="n">
        <f aca="false">Sens!G4937+Sens!G4935</f>
        <v>183.5741804832</v>
      </c>
      <c r="H4938" s="6" t="n">
        <f aca="false">Sens!H4937+Sens!H4935</f>
        <v>188.0802859104</v>
      </c>
      <c r="I4938" s="6" t="n">
        <f aca="false">Sens!I4937+Sens!I4935</f>
        <v>133.447993807579</v>
      </c>
      <c r="J4938" s="6" t="n">
        <f aca="false">Sens!J4937+Sens!J4935</f>
        <v>111.743336927576</v>
      </c>
      <c r="K4938" s="6" t="n">
        <f aca="false">Sens!K4937+Sens!K4935</f>
        <v>76.3281642769239</v>
      </c>
      <c r="L4938" s="11" t="s">
        <v>851</v>
      </c>
    </row>
    <row r="4939" customFormat="false" ht="17.15" hidden="false" customHeight="false" outlineLevel="0" collapsed="false">
      <c r="A4939" s="0" t="s">
        <v>852</v>
      </c>
      <c r="B4939" s="0" t="s">
        <v>98</v>
      </c>
      <c r="E4939" s="6" t="n">
        <f aca="false">(Sens!C4937*IF(2&lt;life_it_hi,1,IF(2=life_it_hi,0.5,0))+Sens!D4937*IF(1&lt;life_it_hi,1,IF(1=life_it_hi,0.5,0))+Sens!E4937*0.5)/life_it_hi</f>
        <v>12.9090672660714</v>
      </c>
      <c r="F4939" s="6" t="n">
        <f aca="false">(Sens!C4937*IF(3&lt;life_it_hi,1,IF(3=life_it_hi,0.5,0))+Sens!D4937*IF(2&lt;life_it_hi,1,IF(2=life_it_hi,0.5,0))+Sens!E4937*IF(1&lt;life_it_hi,1,IF(1=life_it_hi,0.5,0))+Sens!F4937*0.5)/life_it_hi</f>
        <v>27.0893119551048</v>
      </c>
      <c r="G4939" s="6" t="n">
        <f aca="false">(Sens!C4937*IF(4&lt;life_it_hi,1,IF(4=life_it_hi,0.5,0))+Sens!D4937*IF(3&lt;life_it_hi,1,IF(3=life_it_hi,0.5,0))+Sens!E4937*IF(2&lt;life_it_hi,1,IF(2=life_it_hi,0.5,0))+Sens!F4937*IF(1&lt;life_it_hi,1,IF(1=life_it_hi,0.5,0))+Sens!G4937*0.5)/life_it_hi</f>
        <v>47.2662996947238</v>
      </c>
      <c r="H4939" s="6" t="n">
        <f aca="false">(Sens!C4937*IF(5&lt;life_it_hi,1,IF(5=life_it_hi,0.5,0))+Sens!D4937*IF(4&lt;life_it_hi,1,IF(4=life_it_hi,0.5,0))+Sens!E4937*IF(3&lt;life_it_hi,1,IF(3=life_it_hi,0.5,0))+Sens!F4937*IF(2&lt;life_it_hi,1,IF(2=life_it_hi,0.5,0))+Sens!G4937*IF(1&lt;life_it_hi,1,IF(1=life_it_hi,0.5,0))+Sens!H4937*0.5)/life_it_hi</f>
        <v>69.2388152942666</v>
      </c>
      <c r="I4939" s="6" t="n">
        <f aca="false">(Sens!C4937*IF(6&lt;life_it_hi,1,IF(6=life_it_hi,0.5,0))+Sens!D4937*IF(5&lt;life_it_hi,1,IF(5=life_it_hi,0.5,0))+Sens!E4937*IF(4&lt;life_it_hi,1,IF(4=life_it_hi,0.5,0))+Sens!F4937*IF(3&lt;life_it_hi,1,IF(3=life_it_hi,0.5,0))+Sens!G4937*IF(2&lt;life_it_hi,1,IF(2=life_it_hi,0.5,0))+Sens!H4937*IF(1&lt;life_it_hi,1,IF(1=life_it_hi,0.5,0))+Sens!I4937*0.5)/life_it_hi</f>
        <v>88.295235008408</v>
      </c>
      <c r="J4939" s="6" t="n">
        <f aca="false">(Sens!C4937*IF(7&lt;life_it_hi,1,IF(7=life_it_hi,0.5,0))+Sens!D4937*IF(6&lt;life_it_hi,1,IF(6=life_it_hi,0.5,0))+Sens!E4937*IF(5&lt;life_it_hi,1,IF(5=life_it_hi,0.5,0))+Sens!F4937*IF(4&lt;life_it_hi,1,IF(4=life_it_hi,0.5,0))+Sens!G4937*IF(3&lt;life_it_hi,1,IF(3=life_it_hi,0.5,0))+Sens!H4937*IF(2&lt;life_it_hi,1,IF(2=life_it_hi,0.5,0))+Sens!I4937*IF(1&lt;life_it_hi,1,IF(1=life_it_hi,0.5,0))+Sens!J4937*0.5)/life_it_hi</f>
        <v>101.585724679057</v>
      </c>
      <c r="K4939" s="6" t="n">
        <f aca="false">(Sens!C4937*IF(8&lt;life_it_hi,1,IF(8=life_it_hi,0.5,0))+Sens!D4937*IF(7&lt;life_it_hi,1,IF(7=life_it_hi,0.5,0))+Sens!E4937*IF(6&lt;life_it_hi,1,IF(6=life_it_hi,0.5,0))+Sens!F4937*IF(5&lt;life_it_hi,1,IF(5=life_it_hi,0.5,0))+Sens!G4937*IF(4&lt;life_it_hi,1,IF(4=life_it_hi,0.5,0))+Sens!H4937*IF(3&lt;life_it_hi,1,IF(3=life_it_hi,0.5,0))+Sens!I4937*IF(2&lt;life_it_hi,1,IF(2=life_it_hi,0.5,0))+Sens!J4937*IF(1&lt;life_it_hi,1,IF(1=life_it_hi,0.5,0))+Sens!K4937*0.5)/life_it_hi</f>
        <v>109.615794129948</v>
      </c>
    </row>
    <row r="4940" customFormat="false" ht="17.15" hidden="false" customHeight="false" outlineLevel="0" collapsed="false">
      <c r="A4940" s="0" t="s">
        <v>853</v>
      </c>
      <c r="B4940" s="0" t="s">
        <v>98</v>
      </c>
      <c r="E4940" s="6" t="n">
        <f aca="false">(Sens!C4935*IF(2&lt;life_fac,1,IF(2=life_fac,0.5,0))+Sens!D4935*IF(1&lt;life_fac,1,IF(1=life_fac,0.5,0))+Sens!E4935*0.5)/life_fac</f>
        <v>1.2448275</v>
      </c>
      <c r="F4940" s="6" t="n">
        <f aca="false">(Sens!C4935*IF(3&lt;life_fac,1,IF(3=life_fac,0.5,0))+Sens!D4935*IF(2&lt;life_fac,1,IF(2=life_fac,0.5,0))+Sens!E4935*IF(1&lt;life_fac,1,IF(1=life_fac,0.5,0))+Sens!F4935*0.5)/life_fac</f>
        <v>2.4456901</v>
      </c>
      <c r="G4940" s="6" t="n">
        <f aca="false">(Sens!C4935*IF(4&lt;life_fac,1,IF(4=life_fac,0.5,0))+Sens!D4935*IF(3&lt;life_fac,1,IF(3=life_fac,0.5,0))+Sens!E4935*IF(2&lt;life_fac,1,IF(2=life_fac,0.5,0))+Sens!F4935*IF(1&lt;life_fac,1,IF(1=life_fac,0.5,0))+Sens!G4935*0.5)/life_fac</f>
        <v>3.9814208</v>
      </c>
      <c r="H4940" s="6" t="n">
        <f aca="false">(Sens!C4935*IF(5&lt;life_fac,1,IF(5=life_fac,0.5,0))+Sens!D4935*IF(4&lt;life_fac,1,IF(4=life_fac,0.5,0))+Sens!E4935*IF(3&lt;life_fac,1,IF(3=life_fac,0.5,0))+Sens!F4935*IF(2&lt;life_fac,1,IF(2=life_fac,0.5,0))+Sens!G4935*IF(1&lt;life_fac,1,IF(1=life_fac,0.5,0))+Sens!H4935*0.5)/life_fac</f>
        <v>5.582402</v>
      </c>
      <c r="I4940" s="6" t="n">
        <f aca="false">(Sens!C4935*IF(6&lt;life_fac,1,IF(6=life_fac,0.5,0))+Sens!D4935*IF(5&lt;life_fac,1,IF(5=life_fac,0.5,0))+Sens!E4935*IF(4&lt;life_fac,1,IF(4=life_fac,0.5,0))+Sens!F4935*IF(3&lt;life_fac,1,IF(3=life_fac,0.5,0))+Sens!G4935*IF(2&lt;life_fac,1,IF(2=life_fac,0.5,0))+Sens!H4935*IF(1&lt;life_fac,1,IF(1=life_fac,0.5,0))+Sens!I4935*0.5)/life_fac</f>
        <v>6.950862093</v>
      </c>
      <c r="J4940" s="6" t="n">
        <f aca="false">(Sens!C4935*IF(7&lt;life_fac,1,IF(7=life_fac,0.5,0))+Sens!D4935*IF(6&lt;life_fac,1,IF(6=life_fac,0.5,0))+Sens!E4935*IF(5&lt;life_fac,1,IF(5=life_fac,0.5,0))+Sens!F4935*IF(4&lt;life_fac,1,IF(4=life_fac,0.5,0))+Sens!G4935*IF(3&lt;life_fac,1,IF(3=life_fac,0.5,0))+Sens!H4935*IF(2&lt;life_fac,1,IF(2=life_fac,0.5,0))+Sens!I4935*IF(1&lt;life_fac,1,IF(1=life_fac,0.5,0))+Sens!J4935*0.5)/life_fac</f>
        <v>7.86563936186</v>
      </c>
      <c r="K4940" s="6" t="n">
        <f aca="false">(Sens!C4935*IF(8&lt;life_fac,1,IF(8=life_fac,0.5,0))+Sens!D4935*IF(7&lt;life_fac,1,IF(7=life_fac,0.5,0))+Sens!E4935*IF(6&lt;life_fac,1,IF(6=life_fac,0.5,0))+Sens!F4935*IF(5&lt;life_fac,1,IF(5=life_fac,0.5,0))+Sens!G4935*IF(4&lt;life_fac,1,IF(4=life_fac,0.5,0))+Sens!H4935*IF(3&lt;life_fac,1,IF(3=life_fac,0.5,0))+Sens!I4935*IF(2&lt;life_fac,1,IF(2=life_fac,0.5,0))+Sens!J4935*IF(1&lt;life_fac,1,IF(1=life_fac,0.5,0))+Sens!K4935*0.5)/life_fac</f>
        <v>8.3428177347858</v>
      </c>
    </row>
    <row r="4941" customFormat="false" ht="17.15" hidden="false" customHeight="false" outlineLevel="0" collapsed="false">
      <c r="A4941" s="0" t="s">
        <v>854</v>
      </c>
      <c r="B4941" s="0" t="s">
        <v>98</v>
      </c>
      <c r="E4941" s="6" t="n">
        <f aca="false">Sens!E4939+Sens!E4940</f>
        <v>14.1538947660714</v>
      </c>
      <c r="F4941" s="6" t="n">
        <f aca="false">Sens!F4939+Sens!F4940</f>
        <v>29.5350020551048</v>
      </c>
      <c r="G4941" s="6" t="n">
        <f aca="false">Sens!G4939+Sens!G4940</f>
        <v>51.2477204947238</v>
      </c>
      <c r="H4941" s="6" t="n">
        <f aca="false">Sens!H4939+Sens!H4940</f>
        <v>74.8212172942667</v>
      </c>
      <c r="I4941" s="6" t="n">
        <f aca="false">Sens!I4939+Sens!I4940</f>
        <v>95.246097101408</v>
      </c>
      <c r="J4941" s="6" t="n">
        <f aca="false">Sens!J4939+Sens!J4940</f>
        <v>109.451364040917</v>
      </c>
      <c r="K4941" s="6" t="n">
        <f aca="false">Sens!K4939+Sens!K4940</f>
        <v>117.958611864733</v>
      </c>
    </row>
    <row r="4942" customFormat="false" ht="17.15" hidden="false" customHeight="false" outlineLevel="0" collapsed="false">
      <c r="A4942" s="0" t="s">
        <v>855</v>
      </c>
      <c r="B4942" s="0" t="s">
        <v>98</v>
      </c>
      <c r="E4942" s="6" t="n">
        <f aca="false">Sens!E4930-Sens!E4929*Sens!E4941</f>
        <v>10.2179856263809</v>
      </c>
      <c r="F4942" s="6" t="n">
        <f aca="false">Sens!F4930-Sens!F4929*Sens!F4941</f>
        <v>21.738439516131</v>
      </c>
      <c r="G4942" s="6" t="n">
        <f aca="false">Sens!G4930-Sens!G4929*Sens!G4941</f>
        <v>35.8041222609718</v>
      </c>
      <c r="H4942" s="6" t="n">
        <f aca="false">Sens!H4930-Sens!H4929*Sens!H4941</f>
        <v>50.326914607299</v>
      </c>
      <c r="I4942" s="6" t="n">
        <f aca="false">Sens!I4930-Sens!I4929*Sens!I4941</f>
        <v>62.394935780362</v>
      </c>
      <c r="J4942" s="6" t="n">
        <f aca="false">Sens!J4930-Sens!J4929*Sens!J4941</f>
        <v>71.3414292524605</v>
      </c>
      <c r="K4942" s="6" t="n">
        <f aca="false">Sens!K4930-Sens!K4929*Sens!K4941</f>
        <v>76.5307809985138</v>
      </c>
    </row>
    <row r="4943" customFormat="false" ht="17.15" hidden="false" customHeight="false" outlineLevel="0" collapsed="false">
      <c r="A4943" s="3" t="s">
        <v>1388</v>
      </c>
    </row>
    <row r="4944" customFormat="false" ht="15" hidden="false" customHeight="false" outlineLevel="0" collapsed="false">
      <c r="A4944" s="4" t="s">
        <v>43</v>
      </c>
      <c r="B4944" s="4" t="s">
        <v>65</v>
      </c>
      <c r="C4944" s="20" t="s">
        <v>799</v>
      </c>
      <c r="D4944" s="20" t="s">
        <v>800</v>
      </c>
      <c r="E4944" s="20" t="s">
        <v>801</v>
      </c>
      <c r="F4944" s="20" t="s">
        <v>802</v>
      </c>
      <c r="G4944" s="20" t="s">
        <v>803</v>
      </c>
      <c r="H4944" s="20" t="s">
        <v>804</v>
      </c>
      <c r="I4944" s="20" t="s">
        <v>805</v>
      </c>
      <c r="J4944" s="20" t="s">
        <v>806</v>
      </c>
      <c r="K4944" s="20" t="s">
        <v>807</v>
      </c>
      <c r="L4944" s="4" t="s">
        <v>47</v>
      </c>
    </row>
    <row r="4945" customFormat="false" ht="17.15" hidden="false" customHeight="false" outlineLevel="0" collapsed="false">
      <c r="A4945" s="0" t="s">
        <v>874</v>
      </c>
      <c r="B4945" s="0" t="s">
        <v>98</v>
      </c>
      <c r="D4945" s="6" t="n">
        <f aca="false">Sens!D4924</f>
        <v>12.9359794422418</v>
      </c>
      <c r="E4945" s="6" t="n">
        <f aca="false">Sens!E4924</f>
        <v>27.8095064661409</v>
      </c>
      <c r="F4945" s="6" t="n">
        <f aca="false">Sens!F4924</f>
        <v>55.0640065749585</v>
      </c>
      <c r="G4945" s="6" t="n">
        <f aca="false">Sens!G4924</f>
        <v>89.4505413190538</v>
      </c>
      <c r="H4945" s="6" t="n">
        <f aca="false">Sens!H4924</f>
        <v>124.835630736874</v>
      </c>
      <c r="I4945" s="6" t="n">
        <f aca="false">Sens!I4924</f>
        <v>154.894973899697</v>
      </c>
      <c r="J4945" s="6" t="n">
        <f aca="false">Sens!J4924</f>
        <v>176.287256126224</v>
      </c>
      <c r="K4945" s="6" t="n">
        <f aca="false">Sens!K4924</f>
        <v>188.712490487856</v>
      </c>
    </row>
    <row r="4946" customFormat="false" ht="17.15" hidden="false" customHeight="false" outlineLevel="0" collapsed="false">
      <c r="A4946" s="0" t="s">
        <v>875</v>
      </c>
      <c r="B4946" s="0" t="s">
        <v>98</v>
      </c>
      <c r="D4946" s="6" t="n">
        <f aca="false">Q!L6-Sens!D4945</f>
        <v>59.6740205577583</v>
      </c>
      <c r="E4946" s="6" t="n">
        <f aca="false">Q!M6-Sens!E4945</f>
        <v>74.1284935338591</v>
      </c>
      <c r="F4946" s="6" t="n">
        <f aca="false">Sens!E4946*(1+Sens!F4947)</f>
        <v>90.0799497373663</v>
      </c>
      <c r="G4946" s="6" t="n">
        <f aca="false">Sens!F4946*(1+Sens!G4947)</f>
        <v>107.02842520331</v>
      </c>
      <c r="H4946" s="6" t="n">
        <f aca="false">Sens!G4946*(1+Sens!H4947)</f>
        <v>124.271982585636</v>
      </c>
      <c r="I4946" s="6" t="n">
        <f aca="false">Sens!H4946*(1+Sens!I4947)</f>
        <v>140.933702381855</v>
      </c>
      <c r="J4946" s="6" t="n">
        <f aca="false">Sens!I4946*(1+Sens!J4947)</f>
        <v>156.018867314332</v>
      </c>
      <c r="K4946" s="6" t="n">
        <f aca="false">Sens!J4946*(1+Sens!K4947)</f>
        <v>168.500376699478</v>
      </c>
    </row>
    <row r="4947" customFormat="false" ht="15" hidden="false" customHeight="false" outlineLevel="0" collapsed="false">
      <c r="A4947" s="1" t="s">
        <v>876</v>
      </c>
      <c r="B4947" s="0" t="s">
        <v>129</v>
      </c>
      <c r="E4947" s="7" t="n">
        <f aca="false">Sens!E4946/Sens!D4946-1</f>
        <v>0.242223883039864</v>
      </c>
      <c r="F4947" s="7" t="n">
        <f aca="false">Sens!$E$4947+(glt_azo-Sens!$E$4947)*MIN(1,(Sens!F4907-base_fy)/n_conv)</f>
        <v>0.215186569199887</v>
      </c>
      <c r="G4947" s="7" t="n">
        <f aca="false">Sens!$E$4947+(glt_azo-Sens!$E$4947)*MIN(1,(Sens!G4907-base_fy)/n_conv)</f>
        <v>0.18814925535991</v>
      </c>
      <c r="H4947" s="7" t="n">
        <f aca="false">Sens!$E$4947+(glt_azo-Sens!$E$4947)*MIN(1,(Sens!H4907-base_fy)/n_conv)</f>
        <v>0.161111941519932</v>
      </c>
      <c r="I4947" s="7" t="n">
        <f aca="false">Sens!$E$4947+(glt_azo-Sens!$E$4947)*MIN(1,(Sens!I4907-base_fy)/n_conv)</f>
        <v>0.134074627679955</v>
      </c>
      <c r="J4947" s="7" t="n">
        <f aca="false">Sens!$E$4947+(glt_azo-Sens!$E$4947)*MIN(1,(Sens!J4907-base_fy)/n_conv)</f>
        <v>0.107037313839977</v>
      </c>
      <c r="K4947" s="7" t="n">
        <f aca="false">Sens!$E$4947+(glt_azo-Sens!$E$4947)*MIN(1,(Sens!K4907-base_fy)/n_conv)</f>
        <v>0.08</v>
      </c>
    </row>
    <row r="4948" customFormat="false" ht="15" hidden="false" customHeight="false" outlineLevel="0" collapsed="false">
      <c r="A4948" s="0" t="s">
        <v>877</v>
      </c>
      <c r="B4948" s="0" t="s">
        <v>98</v>
      </c>
      <c r="D4948" s="6" t="n">
        <f aca="false">Sens!D4945+Sens!D4946</f>
        <v>72.61</v>
      </c>
      <c r="E4948" s="6" t="n">
        <f aca="false">Sens!E4945+Sens!E4946</f>
        <v>101.938</v>
      </c>
      <c r="F4948" s="6" t="n">
        <f aca="false">Sens!F4945+Sens!F4946</f>
        <v>145.143956312325</v>
      </c>
      <c r="G4948" s="6" t="n">
        <f aca="false">Sens!G4945+Sens!G4946</f>
        <v>196.478966522364</v>
      </c>
      <c r="H4948" s="6" t="n">
        <f aca="false">Sens!H4945+Sens!H4946</f>
        <v>249.10761332251</v>
      </c>
      <c r="I4948" s="6" t="n">
        <f aca="false">Sens!I4945+Sens!I4946</f>
        <v>295.828676281552</v>
      </c>
      <c r="J4948" s="6" t="n">
        <f aca="false">Sens!J4945+Sens!J4946</f>
        <v>332.306123440555</v>
      </c>
      <c r="K4948" s="6" t="n">
        <f aca="false">Sens!K4945+Sens!K4946</f>
        <v>357.212867187334</v>
      </c>
    </row>
    <row r="4949" customFormat="false" ht="17.15" hidden="false" customHeight="false" outlineLevel="0" collapsed="false">
      <c r="A4949" s="0" t="s">
        <v>878</v>
      </c>
      <c r="B4949" s="1" t="s">
        <v>528</v>
      </c>
      <c r="C4949" s="29" t="n">
        <f aca="false">cop_s24</f>
        <v>1</v>
      </c>
      <c r="D4949" s="29" t="n">
        <f aca="false">cop_s25</f>
        <v>5</v>
      </c>
      <c r="E4949" s="29" t="n">
        <f aca="false">cop_s26</f>
        <v>30</v>
      </c>
      <c r="F4949" s="29" t="n">
        <f aca="false">Sens!E4949+cop_add_B</f>
        <v>50</v>
      </c>
      <c r="G4949" s="29" t="n">
        <f aca="false">Sens!F4949+cop_add_B</f>
        <v>70</v>
      </c>
      <c r="H4949" s="29" t="n">
        <f aca="false">Sens!G4949+cop_add_B</f>
        <v>90</v>
      </c>
      <c r="I4949" s="29" t="n">
        <f aca="false">Sens!H4949+cop_add_B*cop_tail</f>
        <v>100</v>
      </c>
      <c r="J4949" s="29" t="n">
        <f aca="false">Sens!I4949+cop_add_B*cop_tail</f>
        <v>110</v>
      </c>
      <c r="K4949" s="29" t="n">
        <f aca="false">Sens!J4949+cop_add_B*cop_tail</f>
        <v>120</v>
      </c>
      <c r="L4949" s="11" t="s">
        <v>879</v>
      </c>
    </row>
    <row r="4950" customFormat="false" ht="17.15" hidden="false" customHeight="false" outlineLevel="0" collapsed="false">
      <c r="A4950" s="0" t="s">
        <v>880</v>
      </c>
      <c r="B4950" s="0" t="s">
        <v>98</v>
      </c>
      <c r="D4950" s="6" t="n">
        <f aca="false">(Sens!C4949+Sens!D4949)/2*cop_px*12/1000</f>
        <v>0.9</v>
      </c>
      <c r="E4950" s="6" t="n">
        <f aca="false">(Sens!D4949+Sens!E4949)/2*cop_px*12/1000</f>
        <v>5.25</v>
      </c>
      <c r="F4950" s="6" t="n">
        <f aca="false">(Sens!E4949+Sens!F4949)/2*cop_px*12/1000</f>
        <v>12</v>
      </c>
      <c r="G4950" s="6" t="n">
        <f aca="false">(Sens!F4949+Sens!G4949)/2*cop_px*12/1000</f>
        <v>18</v>
      </c>
      <c r="H4950" s="6" t="n">
        <f aca="false">(Sens!G4949+Sens!H4949)/2*cop_px*12/1000</f>
        <v>24</v>
      </c>
      <c r="I4950" s="6" t="n">
        <f aca="false">(Sens!H4949+Sens!I4949)/2*cop_px*12/1000</f>
        <v>28.5</v>
      </c>
      <c r="J4950" s="6" t="n">
        <f aca="false">(Sens!I4949+Sens!J4949)/2*cop_px*12/1000</f>
        <v>31.5</v>
      </c>
      <c r="K4950" s="6" t="n">
        <f aca="false">(Sens!J4949+Sens!K4949)/2*cop_px*12/1000</f>
        <v>34.5</v>
      </c>
      <c r="L4950" s="1" t="s">
        <v>881</v>
      </c>
    </row>
    <row r="4951" customFormat="false" ht="17.15" hidden="false" customHeight="false" outlineLevel="0" collapsed="false">
      <c r="A4951" s="0" t="s">
        <v>882</v>
      </c>
      <c r="B4951" s="0" t="s">
        <v>98</v>
      </c>
      <c r="D4951" s="6" t="n">
        <f aca="false">Q!L7-Sens!D4950</f>
        <v>83.705</v>
      </c>
      <c r="E4951" s="6" t="n">
        <f aca="false">Q!M7-Sens!E4950</f>
        <v>95.049</v>
      </c>
      <c r="F4951" s="6" t="n">
        <f aca="false">Sens!E4951*(1+Sens!F4952)</f>
        <v>106.89238776686</v>
      </c>
      <c r="G4951" s="6" t="n">
        <f aca="false">Sens!F4951*(1+Sens!G4952)</f>
        <v>119.044168448684</v>
      </c>
      <c r="H4951" s="6" t="n">
        <f aca="false">Sens!G4951*(1+Sens!H4952)</f>
        <v>131.277359388781</v>
      </c>
      <c r="I4951" s="6" t="n">
        <f aca="false">Sens!H4951*(1+Sens!I4952)</f>
        <v>143.334028071957</v>
      </c>
      <c r="J4951" s="6" t="n">
        <f aca="false">Sens!I4951*(1+Sens!J4952)</f>
        <v>154.932702785465</v>
      </c>
      <c r="K4951" s="6" t="n">
        <f aca="false">Sens!J4951*(1+Sens!K4952)</f>
        <v>165.777991980448</v>
      </c>
    </row>
    <row r="4952" customFormat="false" ht="15" hidden="false" customHeight="false" outlineLevel="0" collapsed="false">
      <c r="A4952" s="1" t="s">
        <v>876</v>
      </c>
      <c r="B4952" s="0" t="s">
        <v>129</v>
      </c>
      <c r="E4952" s="7" t="n">
        <f aca="false">Sens!E4951/Sens!D4951-1</f>
        <v>0.135523564900544</v>
      </c>
      <c r="F4952" s="7" t="n">
        <f aca="false">Sens!$E$4952+(glt_m365b-Sens!$E$4952)*MIN(1,(Sens!F4907-base_fy)/n_conv)</f>
        <v>0.124602970750453</v>
      </c>
      <c r="G4952" s="7" t="n">
        <f aca="false">Sens!$E$4952+(glt_m365b-Sens!$E$4952)*MIN(1,(Sens!G4907-base_fy)/n_conv)</f>
        <v>0.113682376600363</v>
      </c>
      <c r="H4952" s="7" t="n">
        <f aca="false">Sens!$E$4952+(glt_m365b-Sens!$E$4952)*MIN(1,(Sens!H4907-base_fy)/n_conv)</f>
        <v>0.102761782450272</v>
      </c>
      <c r="I4952" s="7" t="n">
        <f aca="false">Sens!$E$4952+(glt_m365b-Sens!$E$4952)*MIN(1,(Sens!I4907-base_fy)/n_conv)</f>
        <v>0.0918411883001813</v>
      </c>
      <c r="J4952" s="7" t="n">
        <f aca="false">Sens!$E$4952+(glt_m365b-Sens!$E$4952)*MIN(1,(Sens!J4907-base_fy)/n_conv)</f>
        <v>0.0809205941500906</v>
      </c>
      <c r="K4952" s="7" t="n">
        <f aca="false">Sens!$E$4952+(glt_m365b-Sens!$E$4952)*MIN(1,(Sens!K4907-base_fy)/n_conv)</f>
        <v>0.07</v>
      </c>
    </row>
    <row r="4953" customFormat="false" ht="15" hidden="false" customHeight="false" outlineLevel="0" collapsed="false">
      <c r="A4953" s="0" t="s">
        <v>883</v>
      </c>
      <c r="B4953" s="0" t="s">
        <v>98</v>
      </c>
      <c r="D4953" s="6" t="n">
        <f aca="false">Sens!D4951+Sens!D4950</f>
        <v>84.605</v>
      </c>
      <c r="E4953" s="6" t="n">
        <f aca="false">Sens!E4951+Sens!E4950</f>
        <v>100.299</v>
      </c>
      <c r="F4953" s="6" t="n">
        <f aca="false">Sens!F4951+Sens!F4950</f>
        <v>118.89238776686</v>
      </c>
      <c r="G4953" s="6" t="n">
        <f aca="false">Sens!G4951+Sens!G4950</f>
        <v>137.044168448684</v>
      </c>
      <c r="H4953" s="6" t="n">
        <f aca="false">Sens!H4951+Sens!H4950</f>
        <v>155.277359388781</v>
      </c>
      <c r="I4953" s="6" t="n">
        <f aca="false">Sens!I4951+Sens!I4950</f>
        <v>171.834028071957</v>
      </c>
      <c r="J4953" s="6" t="n">
        <f aca="false">Sens!J4951+Sens!J4950</f>
        <v>186.432702785465</v>
      </c>
      <c r="K4953" s="6" t="n">
        <f aca="false">Sens!K4951+Sens!K4950</f>
        <v>200.277991980448</v>
      </c>
    </row>
    <row r="4954" customFormat="false" ht="15" hidden="false" customHeight="false" outlineLevel="0" collapsed="false">
      <c r="A4954" s="0" t="s">
        <v>884</v>
      </c>
      <c r="B4954" s="0" t="s">
        <v>98</v>
      </c>
      <c r="D4954" s="6" t="n">
        <f aca="false">Q!L8</f>
        <v>35.391</v>
      </c>
      <c r="E4954" s="6" t="n">
        <f aca="false">Q!M8</f>
        <v>37.285</v>
      </c>
      <c r="F4954" s="6" t="n">
        <f aca="false">Sens!E4954*(1+Sens!F4955)</f>
        <v>39.0720834331704</v>
      </c>
      <c r="G4954" s="6" t="n">
        <f aca="false">Sens!F4954*(1+Sens!G4955)</f>
        <v>40.726562953769</v>
      </c>
      <c r="H4954" s="6" t="n">
        <f aca="false">Sens!G4954*(1+Sens!H4955)</f>
        <v>42.2235987259198</v>
      </c>
      <c r="I4954" s="6" t="n">
        <f aca="false">Sens!H4954*(1+Sens!I4955)</f>
        <v>43.5397988077414</v>
      </c>
      <c r="J4954" s="6" t="n">
        <f aca="false">Sens!I4954*(1+Sens!J4955)</f>
        <v>44.653811225693</v>
      </c>
      <c r="K4954" s="6" t="n">
        <f aca="false">Sens!J4954*(1+Sens!K4955)</f>
        <v>45.5468874502068</v>
      </c>
    </row>
    <row r="4955" customFormat="false" ht="15" hidden="false" customHeight="false" outlineLevel="0" collapsed="false">
      <c r="A4955" s="1" t="s">
        <v>876</v>
      </c>
      <c r="B4955" s="0" t="s">
        <v>129</v>
      </c>
      <c r="E4955" s="7" t="n">
        <f aca="false">Sens!E4954/Sens!D4954-1</f>
        <v>0.0535164307309768</v>
      </c>
      <c r="F4955" s="7" t="n">
        <f aca="false">Sens!$E$4955+(glt_lic-Sens!$E$4955)*MIN(1,(Sens!F4907-base_fy)/n_conv)</f>
        <v>0.0479303589424807</v>
      </c>
      <c r="G4955" s="7" t="n">
        <f aca="false">Sens!$E$4955+(glt_lic-Sens!$E$4955)*MIN(1,(Sens!G4907-base_fy)/n_conv)</f>
        <v>0.0423442871539845</v>
      </c>
      <c r="H4955" s="7" t="n">
        <f aca="false">Sens!$E$4955+(glt_lic-Sens!$E$4955)*MIN(1,(Sens!H4907-base_fy)/n_conv)</f>
        <v>0.0367582153654884</v>
      </c>
      <c r="I4955" s="7" t="n">
        <f aca="false">Sens!$E$4955+(glt_lic-Sens!$E$4955)*MIN(1,(Sens!I4907-base_fy)/n_conv)</f>
        <v>0.0311721435769923</v>
      </c>
      <c r="J4955" s="7" t="n">
        <f aca="false">Sens!$E$4955+(glt_lic-Sens!$E$4955)*MIN(1,(Sens!J4907-base_fy)/n_conv)</f>
        <v>0.0255860717884961</v>
      </c>
      <c r="K4955" s="7" t="n">
        <f aca="false">Sens!$E$4955+(glt_lic-Sens!$E$4955)*MIN(1,(Sens!K4907-base_fy)/n_conv)</f>
        <v>0.02</v>
      </c>
    </row>
    <row r="4956" customFormat="false" ht="15" hidden="false" customHeight="false" outlineLevel="0" collapsed="false">
      <c r="A4956" s="0" t="s">
        <v>885</v>
      </c>
      <c r="B4956" s="0" t="s">
        <v>98</v>
      </c>
      <c r="D4956" s="6" t="n">
        <f aca="false">Q!L9</f>
        <v>18.417</v>
      </c>
      <c r="E4956" s="6" t="n">
        <f aca="false">Q!M9</f>
        <v>20.345</v>
      </c>
      <c r="F4956" s="6" t="n">
        <f aca="false">Sens!E4956*(1+Sens!F4957)</f>
        <v>22.3572203267814</v>
      </c>
      <c r="G4956" s="6" t="n">
        <f aca="false">Sens!F4956*(1+Sens!G4957)</f>
        <v>24.4392124437232</v>
      </c>
      <c r="H4956" s="6" t="n">
        <f aca="false">Sens!G4956*(1+Sens!H4957)</f>
        <v>26.5738052080665</v>
      </c>
      <c r="I4956" s="6" t="n">
        <f aca="false">Sens!H4956*(1+Sens!I4957)</f>
        <v>28.7412169166967</v>
      </c>
      <c r="J4956" s="6" t="n">
        <f aca="false">Sens!I4956*(1+Sens!J4957)</f>
        <v>30.9192545395413</v>
      </c>
      <c r="K4956" s="6" t="n">
        <f aca="false">Sens!J4956*(1+Sens!K4957)</f>
        <v>33.0836023573092</v>
      </c>
    </row>
    <row r="4957" customFormat="false" ht="15" hidden="false" customHeight="false" outlineLevel="0" collapsed="false">
      <c r="A4957" s="1" t="s">
        <v>876</v>
      </c>
      <c r="B4957" s="0" t="s">
        <v>129</v>
      </c>
      <c r="E4957" s="7" t="n">
        <f aca="false">Sens!E4956/Sens!D4956-1</f>
        <v>0.104685888038225</v>
      </c>
      <c r="F4957" s="7" t="n">
        <f aca="false">Sens!$E$4957+(glt_ind-Sens!$E$4957)*MIN(1,(Sens!F4907-base_fy)/n_conv)</f>
        <v>0.0989049066985211</v>
      </c>
      <c r="G4957" s="7" t="n">
        <f aca="false">Sens!$E$4957+(glt_ind-Sens!$E$4957)*MIN(1,(Sens!G4907-base_fy)/n_conv)</f>
        <v>0.0931239253588169</v>
      </c>
      <c r="H4957" s="7" t="n">
        <f aca="false">Sens!$E$4957+(glt_ind-Sens!$E$4957)*MIN(1,(Sens!H4907-base_fy)/n_conv)</f>
        <v>0.0873429440191127</v>
      </c>
      <c r="I4957" s="7" t="n">
        <f aca="false">Sens!$E$4957+(glt_ind-Sens!$E$4957)*MIN(1,(Sens!I4907-base_fy)/n_conv)</f>
        <v>0.0815619626794085</v>
      </c>
      <c r="J4957" s="7" t="n">
        <f aca="false">Sens!$E$4957+(glt_ind-Sens!$E$4957)*MIN(1,(Sens!J4907-base_fy)/n_conv)</f>
        <v>0.0757809813397042</v>
      </c>
      <c r="K4957" s="7" t="n">
        <f aca="false">Sens!$E$4957+(glt_ind-Sens!$E$4957)*MIN(1,(Sens!K4907-base_fy)/n_conv)</f>
        <v>0.07</v>
      </c>
    </row>
    <row r="4958" customFormat="false" ht="15" hidden="false" customHeight="false" outlineLevel="0" collapsed="false">
      <c r="A4958" s="0" t="s">
        <v>886</v>
      </c>
      <c r="B4958" s="0" t="s">
        <v>98</v>
      </c>
      <c r="D4958" s="6" t="n">
        <f aca="false">Q!L10</f>
        <v>7.76</v>
      </c>
      <c r="E4958" s="6" t="n">
        <f aca="false">Q!M10</f>
        <v>8.26</v>
      </c>
      <c r="F4958" s="6" t="n">
        <f aca="false">Sens!E4958*(1+Sens!F4959)</f>
        <v>8.79988041237113</v>
      </c>
      <c r="G4958" s="6" t="n">
        <f aca="false">Sens!F4958*(1+Sens!G4959)</f>
        <v>9.38321269125306</v>
      </c>
      <c r="H4958" s="6" t="n">
        <f aca="false">Sens!G4958*(1+Sens!H4959)</f>
        <v>10.0139193587476</v>
      </c>
      <c r="I4958" s="6" t="n">
        <f aca="false">Sens!H4958*(1+Sens!I4959)</f>
        <v>10.6963111830911</v>
      </c>
      <c r="J4958" s="6" t="n">
        <f aca="false">Sens!I4958*(1+Sens!J4959)</f>
        <v>11.4351285534696</v>
      </c>
      <c r="K4958" s="6" t="n">
        <f aca="false">Sens!J4958*(1+Sens!K4959)</f>
        <v>12.2355875522124</v>
      </c>
    </row>
    <row r="4959" customFormat="false" ht="15" hidden="false" customHeight="false" outlineLevel="0" collapsed="false">
      <c r="A4959" s="1" t="s">
        <v>876</v>
      </c>
      <c r="B4959" s="0" t="s">
        <v>129</v>
      </c>
      <c r="E4959" s="7" t="n">
        <f aca="false">Sens!E4958/Sens!D4958-1</f>
        <v>0.0644329896907216</v>
      </c>
      <c r="F4959" s="7" t="n">
        <f aca="false">Sens!$E$4959+(glt_fro-Sens!$E$4959)*MIN(1,(Sens!F4907-base_fy)/n_conv)</f>
        <v>0.065360824742268</v>
      </c>
      <c r="G4959" s="7" t="n">
        <f aca="false">Sens!$E$4959+(glt_fro-Sens!$E$4959)*MIN(1,(Sens!G4907-base_fy)/n_conv)</f>
        <v>0.0662886597938144</v>
      </c>
      <c r="H4959" s="7" t="n">
        <f aca="false">Sens!$E$4959+(glt_fro-Sens!$E$4959)*MIN(1,(Sens!H4907-base_fy)/n_conv)</f>
        <v>0.0672164948453608</v>
      </c>
      <c r="I4959" s="7" t="n">
        <f aca="false">Sens!$E$4959+(glt_fro-Sens!$E$4959)*MIN(1,(Sens!I4907-base_fy)/n_conv)</f>
        <v>0.0681443298969072</v>
      </c>
      <c r="J4959" s="7" t="n">
        <f aca="false">Sens!$E$4959+(glt_fro-Sens!$E$4959)*MIN(1,(Sens!J4907-base_fy)/n_conv)</f>
        <v>0.0690721649484536</v>
      </c>
      <c r="K4959" s="7" t="n">
        <f aca="false">Sens!$E$4959+(glt_fro-Sens!$E$4959)*MIN(1,(Sens!K4907-base_fy)/n_conv)</f>
        <v>0.07</v>
      </c>
    </row>
    <row r="4960" customFormat="false" ht="15" hidden="false" customHeight="false" outlineLevel="0" collapsed="false">
      <c r="A4960" s="0" t="s">
        <v>715</v>
      </c>
      <c r="B4960" s="0" t="s">
        <v>98</v>
      </c>
      <c r="D4960" s="6" t="n">
        <f aca="false">Sens!D4948+Sens!D4953+Sens!D4954+Sens!D4956+Sens!D4958</f>
        <v>218.783</v>
      </c>
      <c r="E4960" s="6" t="n">
        <f aca="false">Sens!E4948+Sens!E4953+Sens!E4954+Sens!E4956+Sens!E4958</f>
        <v>268.127</v>
      </c>
      <c r="F4960" s="6" t="n">
        <f aca="false">Sens!F4948+Sens!F4953+Sens!F4954+Sens!F4956+Sens!F4958</f>
        <v>334.265528251508</v>
      </c>
      <c r="G4960" s="6" t="n">
        <f aca="false">Sens!G4948+Sens!G4953+Sens!G4954+Sens!G4956+Sens!G4958</f>
        <v>408.072123059793</v>
      </c>
      <c r="H4960" s="6" t="n">
        <f aca="false">Sens!H4948+Sens!H4953+Sens!H4954+Sens!H4956+Sens!H4958</f>
        <v>483.196296004025</v>
      </c>
      <c r="I4960" s="6" t="n">
        <f aca="false">Sens!I4948+Sens!I4953+Sens!I4954+Sens!I4956+Sens!I4958</f>
        <v>550.640031261038</v>
      </c>
      <c r="J4960" s="6" t="n">
        <f aca="false">Sens!J4948+Sens!J4953+Sens!J4954+Sens!J4956+Sens!J4958</f>
        <v>605.747020544724</v>
      </c>
      <c r="K4960" s="6" t="n">
        <f aca="false">Sens!K4948+Sens!K4953+Sens!K4954+Sens!K4956+Sens!K4958</f>
        <v>648.35693652751</v>
      </c>
    </row>
    <row r="4961" customFormat="false" ht="15" hidden="false" customHeight="false" outlineLevel="0" collapsed="false">
      <c r="A4961" s="0" t="s">
        <v>887</v>
      </c>
      <c r="B4961" s="0" t="s">
        <v>98</v>
      </c>
      <c r="D4961" s="6" t="n">
        <f aca="false">Q!L13</f>
        <v>22.171</v>
      </c>
      <c r="E4961" s="6" t="n">
        <f aca="false">Q!M13</f>
        <v>24.835</v>
      </c>
      <c r="F4961" s="6" t="n">
        <f aca="false">Sens!E4961*(1+Sens!F4962)</f>
        <v>27.6114901218559</v>
      </c>
      <c r="G4961" s="6" t="n">
        <f aca="false">Sens!F4961*(1+Sens!G4962)</f>
        <v>30.4675667338515</v>
      </c>
      <c r="H4961" s="6" t="n">
        <f aca="false">Sens!G4961*(1+Sens!H4962)</f>
        <v>33.3643766955789</v>
      </c>
      <c r="I4961" s="6" t="n">
        <f aca="false">Sens!H4961*(1+Sens!I4962)</f>
        <v>36.2577016533691</v>
      </c>
      <c r="J4961" s="6" t="n">
        <f aca="false">Sens!I4961*(1+Sens!J4962)</f>
        <v>39.0988367952171</v>
      </c>
      <c r="K4961" s="6" t="n">
        <f aca="false">Sens!J4961*(1+Sens!K4962)</f>
        <v>41.8357553708823</v>
      </c>
    </row>
    <row r="4962" customFormat="false" ht="15" hidden="false" customHeight="false" outlineLevel="0" collapsed="false">
      <c r="A4962" s="1" t="s">
        <v>876</v>
      </c>
      <c r="B4962" s="0" t="s">
        <v>129</v>
      </c>
      <c r="E4962" s="7" t="n">
        <f aca="false">Sens!E4961/Sens!D4961-1</f>
        <v>0.120156961796942</v>
      </c>
      <c r="F4962" s="7" t="n">
        <f aca="false">Sens!$E$4962+(glt_srch-Sens!$E$4962)*MIN(1,(Sens!F4907-base_fy)/n_conv)</f>
        <v>0.111797468164118</v>
      </c>
      <c r="G4962" s="7" t="n">
        <f aca="false">Sens!$E$4962+(glt_srch-Sens!$E$4962)*MIN(1,(Sens!G4907-base_fy)/n_conv)</f>
        <v>0.103437974531295</v>
      </c>
      <c r="H4962" s="7" t="n">
        <f aca="false">Sens!$E$4962+(glt_srch-Sens!$E$4962)*MIN(1,(Sens!H4907-base_fy)/n_conv)</f>
        <v>0.095078480898471</v>
      </c>
      <c r="I4962" s="7" t="n">
        <f aca="false">Sens!$E$4962+(glt_srch-Sens!$E$4962)*MIN(1,(Sens!I4907-base_fy)/n_conv)</f>
        <v>0.0867189872656474</v>
      </c>
      <c r="J4962" s="7" t="n">
        <f aca="false">Sens!$E$4962+(glt_srch-Sens!$E$4962)*MIN(1,(Sens!J4907-base_fy)/n_conv)</f>
        <v>0.0783594936328237</v>
      </c>
      <c r="K4962" s="7" t="n">
        <f aca="false">Sens!$E$4962+(glt_srch-Sens!$E$4962)*MIN(1,(Sens!K4907-base_fy)/n_conv)</f>
        <v>0.07</v>
      </c>
    </row>
    <row r="4963" customFormat="false" ht="15" hidden="false" customHeight="false" outlineLevel="0" collapsed="false">
      <c r="A4963" s="0" t="s">
        <v>888</v>
      </c>
      <c r="B4963" s="0" t="s">
        <v>98</v>
      </c>
      <c r="D4963" s="6" t="n">
        <f aca="false">Q!L14</f>
        <v>23.455</v>
      </c>
      <c r="E4963" s="6" t="n">
        <f aca="false">Q!M14</f>
        <v>21.79</v>
      </c>
      <c r="F4963" s="6" t="n">
        <f aca="false">Sens!E4963*(1+Sens!F4964)</f>
        <v>20.5736277908051</v>
      </c>
      <c r="G4963" s="6" t="n">
        <f aca="false">Sens!F4963*(1+Sens!G4964)</f>
        <v>19.7371452817919</v>
      </c>
      <c r="H4963" s="6" t="n">
        <f aca="false">Sens!G4963*(1+Sens!H4964)</f>
        <v>19.2339764043138</v>
      </c>
      <c r="I4963" s="6" t="n">
        <f aca="false">Sens!H4963*(1+Sens!I4964)</f>
        <v>19.0353086852681</v>
      </c>
      <c r="J4963" s="6" t="n">
        <f aca="false">Sens!I4963*(1+Sens!J4964)</f>
        <v>19.1273539319129</v>
      </c>
      <c r="K4963" s="6" t="n">
        <f aca="false">Sens!J4963*(1+Sens!K4964)</f>
        <v>19.5099010105511</v>
      </c>
    </row>
    <row r="4964" customFormat="false" ht="15" hidden="false" customHeight="false" outlineLevel="0" collapsed="false">
      <c r="A4964" s="1" t="s">
        <v>876</v>
      </c>
      <c r="B4964" s="0" t="s">
        <v>129</v>
      </c>
      <c r="E4964" s="7" t="n">
        <f aca="false">Sens!E4963/Sens!D4963-1</f>
        <v>-0.0709869963760392</v>
      </c>
      <c r="F4964" s="7" t="n">
        <f aca="false">Sens!$E$4964+(glt_xbox-Sens!$E$4964)*MIN(1,(Sens!F4907-base_fy)/n_conv)</f>
        <v>-0.0558224969800327</v>
      </c>
      <c r="G4964" s="7" t="n">
        <f aca="false">Sens!$E$4964+(glt_xbox-Sens!$E$4964)*MIN(1,(Sens!G4907-base_fy)/n_conv)</f>
        <v>-0.0406579975840262</v>
      </c>
      <c r="H4964" s="7" t="n">
        <f aca="false">Sens!$E$4964+(glt_xbox-Sens!$E$4964)*MIN(1,(Sens!H4907-base_fy)/n_conv)</f>
        <v>-0.0254934981880196</v>
      </c>
      <c r="I4964" s="7" t="n">
        <f aca="false">Sens!$E$4964+(glt_xbox-Sens!$E$4964)*MIN(1,(Sens!I4907-base_fy)/n_conv)</f>
        <v>-0.0103289987920131</v>
      </c>
      <c r="J4964" s="7" t="n">
        <f aca="false">Sens!$E$4964+(glt_xbox-Sens!$E$4964)*MIN(1,(Sens!J4907-base_fy)/n_conv)</f>
        <v>0.00483550060399347</v>
      </c>
      <c r="K4964" s="7" t="n">
        <f aca="false">Sens!$E$4964+(glt_xbox-Sens!$E$4964)*MIN(1,(Sens!K4907-base_fy)/n_conv)</f>
        <v>0.02</v>
      </c>
    </row>
    <row r="4965" customFormat="false" ht="15" hidden="false" customHeight="false" outlineLevel="0" collapsed="false">
      <c r="A4965" s="0" t="s">
        <v>889</v>
      </c>
      <c r="B4965" s="0" t="s">
        <v>98</v>
      </c>
      <c r="D4965" s="6" t="n">
        <f aca="false">Q!L15</f>
        <v>17.315</v>
      </c>
      <c r="E4965" s="6" t="n">
        <f aca="false">Q!M15</f>
        <v>17.087</v>
      </c>
      <c r="F4965" s="6" t="n">
        <f aca="false">Sens!E4965*(1+Sens!F4966)</f>
        <v>16.9564585436519</v>
      </c>
      <c r="G4965" s="6" t="n">
        <f aca="false">Sens!F4965*(1+Sens!G4966)</f>
        <v>16.9206490624268</v>
      </c>
      <c r="H4965" s="6" t="n">
        <f aca="false">Sens!G4965*(1+Sens!H4966)</f>
        <v>16.9784519149849</v>
      </c>
      <c r="I4965" s="6" t="n">
        <f aca="false">Sens!H4965*(1+Sens!I4966)</f>
        <v>17.1303084701817</v>
      </c>
      <c r="J4965" s="6" t="n">
        <f aca="false">Sens!I4965*(1+Sens!J4966)</f>
        <v>17.3782189407267</v>
      </c>
      <c r="K4965" s="6" t="n">
        <f aca="false">Sens!J4965*(1+Sens!K4966)</f>
        <v>17.7257833195413</v>
      </c>
    </row>
    <row r="4966" customFormat="false" ht="15" hidden="false" customHeight="false" outlineLevel="0" collapsed="false">
      <c r="A4966" s="1" t="s">
        <v>876</v>
      </c>
      <c r="B4966" s="0" t="s">
        <v>129</v>
      </c>
      <c r="E4966" s="7" t="n">
        <f aca="false">Sens!E4965/Sens!D4965-1</f>
        <v>-0.0131677736066995</v>
      </c>
      <c r="F4966" s="7" t="n">
        <f aca="false">Sens!$E$4966+(glt_win-Sens!$E$4966)*MIN(1,(Sens!F4907-base_fy)/n_conv)</f>
        <v>-0.00763981133891627</v>
      </c>
      <c r="G4966" s="7" t="n">
        <f aca="false">Sens!$E$4966+(glt_win-Sens!$E$4966)*MIN(1,(Sens!G4907-base_fy)/n_conv)</f>
        <v>-0.00211184907113301</v>
      </c>
      <c r="H4966" s="7" t="n">
        <f aca="false">Sens!$E$4966+(glt_win-Sens!$E$4966)*MIN(1,(Sens!H4907-base_fy)/n_conv)</f>
        <v>0.00341611319665024</v>
      </c>
      <c r="I4966" s="7" t="n">
        <f aca="false">Sens!$E$4966+(glt_win-Sens!$E$4966)*MIN(1,(Sens!I4907-base_fy)/n_conv)</f>
        <v>0.00894407546443349</v>
      </c>
      <c r="J4966" s="7" t="n">
        <f aca="false">Sens!$E$4966+(glt_win-Sens!$E$4966)*MIN(1,(Sens!J4907-base_fy)/n_conv)</f>
        <v>0.0144720377322168</v>
      </c>
      <c r="K4966" s="7" t="n">
        <f aca="false">Sens!$E$4966+(glt_win-Sens!$E$4966)*MIN(1,(Sens!K4907-base_fy)/n_conv)</f>
        <v>0.02</v>
      </c>
    </row>
    <row r="4967" customFormat="false" ht="15" hidden="false" customHeight="false" outlineLevel="0" collapsed="false">
      <c r="A4967" s="0" t="s">
        <v>729</v>
      </c>
      <c r="B4967" s="0" t="s">
        <v>98</v>
      </c>
      <c r="D4967" s="6" t="n">
        <f aca="false">Sens!D4961+Sens!D4963+Sens!D4965</f>
        <v>62.941</v>
      </c>
      <c r="E4967" s="6" t="n">
        <f aca="false">Sens!E4961+Sens!E4963+Sens!E4965</f>
        <v>63.712</v>
      </c>
      <c r="F4967" s="6" t="n">
        <f aca="false">Sens!F4961+Sens!F4963+Sens!F4965</f>
        <v>65.1415764563129</v>
      </c>
      <c r="G4967" s="6" t="n">
        <f aca="false">Sens!G4961+Sens!G4963+Sens!G4965</f>
        <v>67.1253610780702</v>
      </c>
      <c r="H4967" s="6" t="n">
        <f aca="false">Sens!H4961+Sens!H4963+Sens!H4965</f>
        <v>69.5768050148776</v>
      </c>
      <c r="I4967" s="6" t="n">
        <f aca="false">Sens!I4961+Sens!I4963+Sens!I4965</f>
        <v>72.4233188088189</v>
      </c>
      <c r="J4967" s="6" t="n">
        <f aca="false">Sens!J4961+Sens!J4963+Sens!J4965</f>
        <v>75.6044096678567</v>
      </c>
      <c r="K4967" s="6" t="n">
        <f aca="false">Sens!K4961+Sens!K4963+Sens!K4965</f>
        <v>79.0714397009747</v>
      </c>
    </row>
    <row r="4968" customFormat="false" ht="15" hidden="false" customHeight="false" outlineLevel="0" collapsed="false">
      <c r="A4968" s="1" t="s">
        <v>890</v>
      </c>
      <c r="B4968" s="0" t="s">
        <v>98</v>
      </c>
      <c r="D4968" s="6" t="n">
        <f aca="false">Sens!D4960+Sens!D4967</f>
        <v>281.724</v>
      </c>
      <c r="E4968" s="6" t="n">
        <f aca="false">Sens!E4960+Sens!E4967</f>
        <v>331.839</v>
      </c>
      <c r="F4968" s="6" t="n">
        <f aca="false">Sens!F4960+Sens!F4967</f>
        <v>399.407104707821</v>
      </c>
      <c r="G4968" s="6" t="n">
        <f aca="false">Sens!G4960+Sens!G4967</f>
        <v>475.197484137863</v>
      </c>
      <c r="H4968" s="6" t="n">
        <f aca="false">Sens!H4960+Sens!H4967</f>
        <v>552.773101018903</v>
      </c>
      <c r="I4968" s="6" t="n">
        <f aca="false">Sens!I4960+Sens!I4967</f>
        <v>623.063350069856</v>
      </c>
      <c r="J4968" s="6" t="n">
        <f aca="false">Sens!J4960+Sens!J4967</f>
        <v>681.351430212581</v>
      </c>
      <c r="K4968" s="6" t="n">
        <f aca="false">Sens!K4960+Sens!K4967</f>
        <v>727.428376228485</v>
      </c>
    </row>
    <row r="4969" customFormat="false" ht="15" hidden="false" customHeight="false" outlineLevel="0" collapsed="false">
      <c r="A4969" s="23" t="s">
        <v>891</v>
      </c>
      <c r="B4969" s="30" t="s">
        <v>98</v>
      </c>
      <c r="C4969" s="30"/>
      <c r="D4969" s="24" t="n">
        <f aca="false">(Sens!D4948+Sens!D4953+Sens!D4954+Sens!D4956+Sens!D4958-Sens!D4960)+(Sens!D4961+Sens!D4963+Sens!D4965-Sens!D4967)+(Sens!D4960-Q!L5)+(Sens!D4967-Q!L12)+(Sens!D4948-Q!L6)+(Sens!D4953-Q!L7)</f>
        <v>0</v>
      </c>
      <c r="E4969" s="24" t="n">
        <f aca="false">(Sens!E4948+Sens!E4953+Sens!E4954+Sens!E4956+Sens!E4958-Sens!E4960)+(Sens!E4961+Sens!E4963+Sens!E4965-Sens!E4967)+(Sens!E4960-Q!M5)+(Sens!E4967-Q!M12)+(Sens!E4948-Q!M6)+(Sens!E4953-Q!M7)</f>
        <v>0</v>
      </c>
      <c r="F4969" s="24" t="n">
        <f aca="false">(Sens!F4948+Sens!F4953+Sens!F4954+Sens!F4956+Sens!F4958-Sens!F4960)+(Sens!F4961+Sens!F4963+Sens!F4965-Sens!F4967)</f>
        <v>0</v>
      </c>
      <c r="G4969" s="24" t="n">
        <f aca="false">(Sens!G4948+Sens!G4953+Sens!G4954+Sens!G4956+Sens!G4958-Sens!G4960)+(Sens!G4961+Sens!G4963+Sens!G4965-Sens!G4967)</f>
        <v>0</v>
      </c>
      <c r="H4969" s="24" t="n">
        <f aca="false">(Sens!H4948+Sens!H4953+Sens!H4954+Sens!H4956+Sens!H4958-Sens!H4960)+(Sens!H4961+Sens!H4963+Sens!H4965-Sens!H4967)</f>
        <v>0</v>
      </c>
      <c r="I4969" s="24" t="n">
        <f aca="false">(Sens!I4948+Sens!I4953+Sens!I4954+Sens!I4956+Sens!I4958-Sens!I4960)+(Sens!I4961+Sens!I4963+Sens!I4965-Sens!I4967)</f>
        <v>0</v>
      </c>
      <c r="J4969" s="24" t="n">
        <f aca="false">(Sens!J4948+Sens!J4953+Sens!J4954+Sens!J4956+Sens!J4958-Sens!J4960)+(Sens!J4961+Sens!J4963+Sens!J4965-Sens!J4967)</f>
        <v>0</v>
      </c>
      <c r="K4969" s="24" t="n">
        <f aca="false">(Sens!K4948+Sens!K4953+Sens!K4954+Sens!K4956+Sens!K4958-Sens!K4960)+(Sens!K4961+Sens!K4963+Sens!K4965-Sens!K4967)</f>
        <v>0</v>
      </c>
    </row>
    <row r="4970" customFormat="false" ht="17.15" hidden="false" customHeight="false" outlineLevel="0" collapsed="false">
      <c r="A4970" s="3" t="s">
        <v>1389</v>
      </c>
    </row>
    <row r="4971" customFormat="false" ht="15" hidden="false" customHeight="false" outlineLevel="0" collapsed="false">
      <c r="A4971" s="4" t="s">
        <v>43</v>
      </c>
      <c r="B4971" s="4" t="s">
        <v>65</v>
      </c>
      <c r="C4971" s="20" t="s">
        <v>799</v>
      </c>
      <c r="D4971" s="20" t="s">
        <v>800</v>
      </c>
      <c r="E4971" s="20" t="s">
        <v>801</v>
      </c>
      <c r="F4971" s="20" t="s">
        <v>802</v>
      </c>
      <c r="G4971" s="20" t="s">
        <v>803</v>
      </c>
      <c r="H4971" s="20" t="s">
        <v>804</v>
      </c>
      <c r="I4971" s="20" t="s">
        <v>805</v>
      </c>
      <c r="J4971" s="20" t="s">
        <v>806</v>
      </c>
      <c r="K4971" s="20" t="s">
        <v>807</v>
      </c>
      <c r="L4971" s="4" t="s">
        <v>47</v>
      </c>
    </row>
    <row r="4972" customFormat="false" ht="15" hidden="false" customHeight="false" outlineLevel="0" collapsed="false">
      <c r="A4972" s="0" t="s">
        <v>877</v>
      </c>
      <c r="B4972" s="0" t="s">
        <v>98</v>
      </c>
      <c r="D4972" s="6" t="n">
        <f aca="false">Sens!D4948</f>
        <v>72.61</v>
      </c>
      <c r="E4972" s="6" t="n">
        <f aca="false">Sens!E4948</f>
        <v>101.938</v>
      </c>
      <c r="F4972" s="6" t="n">
        <f aca="false">Sens!F4948</f>
        <v>145.143956312325</v>
      </c>
      <c r="G4972" s="6" t="n">
        <f aca="false">Sens!G4948</f>
        <v>196.478966522364</v>
      </c>
      <c r="H4972" s="6" t="n">
        <f aca="false">Sens!H4948</f>
        <v>249.10761332251</v>
      </c>
      <c r="I4972" s="6" t="n">
        <f aca="false">Sens!I4948</f>
        <v>295.828676281552</v>
      </c>
      <c r="J4972" s="6" t="n">
        <f aca="false">Sens!J4948</f>
        <v>332.306123440555</v>
      </c>
      <c r="K4972" s="6" t="n">
        <f aca="false">Sens!K4948</f>
        <v>357.212867187334</v>
      </c>
    </row>
    <row r="4973" customFormat="false" ht="17.15" hidden="false" customHeight="false" outlineLevel="0" collapsed="false">
      <c r="A4973" s="0" t="s">
        <v>874</v>
      </c>
      <c r="B4973" s="0" t="s">
        <v>98</v>
      </c>
      <c r="D4973" s="6" t="n">
        <f aca="false">Sens!D4945</f>
        <v>12.9359794422418</v>
      </c>
      <c r="E4973" s="6" t="n">
        <f aca="false">Sens!E4945</f>
        <v>27.8095064661409</v>
      </c>
      <c r="F4973" s="6" t="n">
        <f aca="false">Sens!F4945</f>
        <v>55.0640065749585</v>
      </c>
      <c r="G4973" s="6" t="n">
        <f aca="false">Sens!G4945</f>
        <v>89.4505413190538</v>
      </c>
      <c r="H4973" s="6" t="n">
        <f aca="false">Sens!H4945</f>
        <v>124.835630736874</v>
      </c>
      <c r="I4973" s="6" t="n">
        <f aca="false">Sens!I4945</f>
        <v>154.894973899697</v>
      </c>
      <c r="J4973" s="6" t="n">
        <f aca="false">Sens!J4945</f>
        <v>176.287256126224</v>
      </c>
      <c r="K4973" s="6" t="n">
        <f aca="false">Sens!K4945</f>
        <v>188.712490487856</v>
      </c>
    </row>
    <row r="4974" customFormat="false" ht="17.15" hidden="false" customHeight="false" outlineLevel="0" collapsed="false">
      <c r="A4974" s="0" t="s">
        <v>902</v>
      </c>
      <c r="B4974" s="0" t="s">
        <v>98</v>
      </c>
      <c r="D4974" s="6" t="n">
        <f aca="false">Sens!D4946</f>
        <v>59.6740205577583</v>
      </c>
      <c r="E4974" s="6" t="n">
        <f aca="false">Sens!E4946</f>
        <v>74.1284935338591</v>
      </c>
      <c r="F4974" s="6" t="n">
        <f aca="false">Sens!F4946</f>
        <v>90.0799497373663</v>
      </c>
      <c r="G4974" s="6" t="n">
        <f aca="false">Sens!G4946</f>
        <v>107.02842520331</v>
      </c>
      <c r="H4974" s="6" t="n">
        <f aca="false">Sens!H4946</f>
        <v>124.271982585636</v>
      </c>
      <c r="I4974" s="6" t="n">
        <f aca="false">Sens!I4946</f>
        <v>140.933702381855</v>
      </c>
      <c r="J4974" s="6" t="n">
        <f aca="false">Sens!J4946</f>
        <v>156.018867314332</v>
      </c>
      <c r="K4974" s="6" t="n">
        <f aca="false">Sens!K4946</f>
        <v>168.500376699478</v>
      </c>
    </row>
    <row r="4975" customFormat="false" ht="15" hidden="false" customHeight="false" outlineLevel="0" collapsed="false">
      <c r="A4975" s="0" t="s">
        <v>883</v>
      </c>
      <c r="B4975" s="0" t="s">
        <v>98</v>
      </c>
      <c r="D4975" s="6" t="n">
        <f aca="false">Sens!D4953</f>
        <v>84.605</v>
      </c>
      <c r="E4975" s="6" t="n">
        <f aca="false">Sens!E4953</f>
        <v>100.299</v>
      </c>
      <c r="F4975" s="6" t="n">
        <f aca="false">Sens!F4953</f>
        <v>118.89238776686</v>
      </c>
      <c r="G4975" s="6" t="n">
        <f aca="false">Sens!G4953</f>
        <v>137.044168448684</v>
      </c>
      <c r="H4975" s="6" t="n">
        <f aca="false">Sens!H4953</f>
        <v>155.277359388781</v>
      </c>
      <c r="I4975" s="6" t="n">
        <f aca="false">Sens!I4953</f>
        <v>171.834028071957</v>
      </c>
      <c r="J4975" s="6" t="n">
        <f aca="false">Sens!J4953</f>
        <v>186.432702785465</v>
      </c>
      <c r="K4975" s="6" t="n">
        <f aca="false">Sens!K4953</f>
        <v>200.277991980448</v>
      </c>
    </row>
    <row r="4976" customFormat="false" ht="17.15" hidden="false" customHeight="false" outlineLevel="0" collapsed="false">
      <c r="A4976" s="0" t="s">
        <v>903</v>
      </c>
      <c r="B4976" s="0" t="s">
        <v>98</v>
      </c>
      <c r="D4976" s="6" t="n">
        <f aca="false">Sens!D4951</f>
        <v>83.705</v>
      </c>
      <c r="E4976" s="6" t="n">
        <f aca="false">Sens!E4951</f>
        <v>95.049</v>
      </c>
      <c r="F4976" s="6" t="n">
        <f aca="false">Sens!F4951</f>
        <v>106.89238776686</v>
      </c>
      <c r="G4976" s="6" t="n">
        <f aca="false">Sens!G4951</f>
        <v>119.044168448684</v>
      </c>
      <c r="H4976" s="6" t="n">
        <f aca="false">Sens!H4951</f>
        <v>131.277359388781</v>
      </c>
      <c r="I4976" s="6" t="n">
        <f aca="false">Sens!I4951</f>
        <v>143.334028071957</v>
      </c>
      <c r="J4976" s="6" t="n">
        <f aca="false">Sens!J4951</f>
        <v>154.932702785465</v>
      </c>
      <c r="K4976" s="6" t="n">
        <f aca="false">Sens!K4951</f>
        <v>165.777991980448</v>
      </c>
    </row>
    <row r="4977" customFormat="false" ht="17.15" hidden="false" customHeight="false" outlineLevel="0" collapsed="false">
      <c r="A4977" s="0" t="s">
        <v>904</v>
      </c>
      <c r="B4977" s="0" t="s">
        <v>98</v>
      </c>
      <c r="D4977" s="6" t="n">
        <f aca="false">Sens!D4950</f>
        <v>0.9</v>
      </c>
      <c r="E4977" s="6" t="n">
        <f aca="false">Sens!E4950</f>
        <v>5.25</v>
      </c>
      <c r="F4977" s="6" t="n">
        <f aca="false">Sens!F4950</f>
        <v>12</v>
      </c>
      <c r="G4977" s="6" t="n">
        <f aca="false">Sens!G4950</f>
        <v>18</v>
      </c>
      <c r="H4977" s="6" t="n">
        <f aca="false">Sens!H4950</f>
        <v>24</v>
      </c>
      <c r="I4977" s="6" t="n">
        <f aca="false">Sens!I4950</f>
        <v>28.5</v>
      </c>
      <c r="J4977" s="6" t="n">
        <f aca="false">Sens!J4950</f>
        <v>31.5</v>
      </c>
      <c r="K4977" s="6" t="n">
        <f aca="false">Sens!K4950</f>
        <v>34.5</v>
      </c>
    </row>
    <row r="4978" customFormat="false" ht="15" hidden="false" customHeight="false" outlineLevel="0" collapsed="false">
      <c r="A4978" s="0" t="s">
        <v>884</v>
      </c>
      <c r="B4978" s="0" t="s">
        <v>98</v>
      </c>
      <c r="D4978" s="6" t="n">
        <f aca="false">Sens!D4954</f>
        <v>35.391</v>
      </c>
      <c r="E4978" s="6" t="n">
        <f aca="false">Sens!E4954</f>
        <v>37.285</v>
      </c>
      <c r="F4978" s="6" t="n">
        <f aca="false">Sens!F4954</f>
        <v>39.0720834331704</v>
      </c>
      <c r="G4978" s="6" t="n">
        <f aca="false">Sens!G4954</f>
        <v>40.726562953769</v>
      </c>
      <c r="H4978" s="6" t="n">
        <f aca="false">Sens!H4954</f>
        <v>42.2235987259198</v>
      </c>
      <c r="I4978" s="6" t="n">
        <f aca="false">Sens!I4954</f>
        <v>43.5397988077414</v>
      </c>
      <c r="J4978" s="6" t="n">
        <f aca="false">Sens!J4954</f>
        <v>44.653811225693</v>
      </c>
      <c r="K4978" s="6" t="n">
        <f aca="false">Sens!K4954</f>
        <v>45.5468874502068</v>
      </c>
    </row>
    <row r="4979" customFormat="false" ht="15" hidden="false" customHeight="false" outlineLevel="0" collapsed="false">
      <c r="A4979" s="0" t="s">
        <v>885</v>
      </c>
      <c r="B4979" s="0" t="s">
        <v>98</v>
      </c>
      <c r="D4979" s="6" t="n">
        <f aca="false">Sens!D4956</f>
        <v>18.417</v>
      </c>
      <c r="E4979" s="6" t="n">
        <f aca="false">Sens!E4956</f>
        <v>20.345</v>
      </c>
      <c r="F4979" s="6" t="n">
        <f aca="false">Sens!F4956</f>
        <v>22.3572203267814</v>
      </c>
      <c r="G4979" s="6" t="n">
        <f aca="false">Sens!G4956</f>
        <v>24.4392124437232</v>
      </c>
      <c r="H4979" s="6" t="n">
        <f aca="false">Sens!H4956</f>
        <v>26.5738052080665</v>
      </c>
      <c r="I4979" s="6" t="n">
        <f aca="false">Sens!I4956</f>
        <v>28.7412169166967</v>
      </c>
      <c r="J4979" s="6" t="n">
        <f aca="false">Sens!J4956</f>
        <v>30.9192545395413</v>
      </c>
      <c r="K4979" s="6" t="n">
        <f aca="false">Sens!K4956</f>
        <v>33.0836023573092</v>
      </c>
    </row>
    <row r="4980" customFormat="false" ht="15" hidden="false" customHeight="false" outlineLevel="0" collapsed="false">
      <c r="A4980" s="0" t="s">
        <v>886</v>
      </c>
      <c r="B4980" s="0" t="s">
        <v>98</v>
      </c>
      <c r="D4980" s="6" t="n">
        <f aca="false">Sens!D4958</f>
        <v>7.76</v>
      </c>
      <c r="E4980" s="6" t="n">
        <f aca="false">Sens!E4958</f>
        <v>8.26</v>
      </c>
      <c r="F4980" s="6" t="n">
        <f aca="false">Sens!F4958</f>
        <v>8.79988041237113</v>
      </c>
      <c r="G4980" s="6" t="n">
        <f aca="false">Sens!G4958</f>
        <v>9.38321269125306</v>
      </c>
      <c r="H4980" s="6" t="n">
        <f aca="false">Sens!H4958</f>
        <v>10.0139193587476</v>
      </c>
      <c r="I4980" s="6" t="n">
        <f aca="false">Sens!I4958</f>
        <v>10.6963111830911</v>
      </c>
      <c r="J4980" s="6" t="n">
        <f aca="false">Sens!J4958</f>
        <v>11.4351285534696</v>
      </c>
      <c r="K4980" s="6" t="n">
        <f aca="false">Sens!K4958</f>
        <v>12.2355875522124</v>
      </c>
    </row>
    <row r="4981" customFormat="false" ht="15" hidden="false" customHeight="false" outlineLevel="0" collapsed="false">
      <c r="A4981" s="0" t="s">
        <v>715</v>
      </c>
      <c r="B4981" s="0" t="s">
        <v>98</v>
      </c>
      <c r="D4981" s="6" t="n">
        <f aca="false">Sens!D4960</f>
        <v>218.783</v>
      </c>
      <c r="E4981" s="6" t="n">
        <f aca="false">Sens!E4960</f>
        <v>268.127</v>
      </c>
      <c r="F4981" s="6" t="n">
        <f aca="false">Sens!F4960</f>
        <v>334.265528251508</v>
      </c>
      <c r="G4981" s="6" t="n">
        <f aca="false">Sens!G4960</f>
        <v>408.072123059793</v>
      </c>
      <c r="H4981" s="6" t="n">
        <f aca="false">Sens!H4960</f>
        <v>483.196296004025</v>
      </c>
      <c r="I4981" s="6" t="n">
        <f aca="false">Sens!I4960</f>
        <v>550.640031261038</v>
      </c>
      <c r="J4981" s="6" t="n">
        <f aca="false">Sens!J4960</f>
        <v>605.747020544724</v>
      </c>
      <c r="K4981" s="6" t="n">
        <f aca="false">Sens!K4960</f>
        <v>648.35693652751</v>
      </c>
    </row>
    <row r="4982" customFormat="false" ht="15" hidden="false" customHeight="false" outlineLevel="0" collapsed="false">
      <c r="A4982" s="0" t="s">
        <v>887</v>
      </c>
      <c r="B4982" s="0" t="s">
        <v>98</v>
      </c>
      <c r="D4982" s="6" t="n">
        <f aca="false">Sens!D4961</f>
        <v>22.171</v>
      </c>
      <c r="E4982" s="6" t="n">
        <f aca="false">Sens!E4961</f>
        <v>24.835</v>
      </c>
      <c r="F4982" s="6" t="n">
        <f aca="false">Sens!F4961</f>
        <v>27.6114901218559</v>
      </c>
      <c r="G4982" s="6" t="n">
        <f aca="false">Sens!G4961</f>
        <v>30.4675667338515</v>
      </c>
      <c r="H4982" s="6" t="n">
        <f aca="false">Sens!H4961</f>
        <v>33.3643766955789</v>
      </c>
      <c r="I4982" s="6" t="n">
        <f aca="false">Sens!I4961</f>
        <v>36.2577016533691</v>
      </c>
      <c r="J4982" s="6" t="n">
        <f aca="false">Sens!J4961</f>
        <v>39.0988367952171</v>
      </c>
      <c r="K4982" s="6" t="n">
        <f aca="false">Sens!K4961</f>
        <v>41.8357553708823</v>
      </c>
    </row>
    <row r="4983" customFormat="false" ht="15" hidden="false" customHeight="false" outlineLevel="0" collapsed="false">
      <c r="A4983" s="0" t="s">
        <v>888</v>
      </c>
      <c r="B4983" s="0" t="s">
        <v>98</v>
      </c>
      <c r="D4983" s="6" t="n">
        <f aca="false">Sens!D4963</f>
        <v>23.455</v>
      </c>
      <c r="E4983" s="6" t="n">
        <f aca="false">Sens!E4963</f>
        <v>21.79</v>
      </c>
      <c r="F4983" s="6" t="n">
        <f aca="false">Sens!F4963</f>
        <v>20.5736277908051</v>
      </c>
      <c r="G4983" s="6" t="n">
        <f aca="false">Sens!G4963</f>
        <v>19.7371452817919</v>
      </c>
      <c r="H4983" s="6" t="n">
        <f aca="false">Sens!H4963</f>
        <v>19.2339764043138</v>
      </c>
      <c r="I4983" s="6" t="n">
        <f aca="false">Sens!I4963</f>
        <v>19.0353086852681</v>
      </c>
      <c r="J4983" s="6" t="n">
        <f aca="false">Sens!J4963</f>
        <v>19.1273539319129</v>
      </c>
      <c r="K4983" s="6" t="n">
        <f aca="false">Sens!K4963</f>
        <v>19.5099010105511</v>
      </c>
    </row>
    <row r="4984" customFormat="false" ht="15" hidden="false" customHeight="false" outlineLevel="0" collapsed="false">
      <c r="A4984" s="0" t="s">
        <v>889</v>
      </c>
      <c r="B4984" s="0" t="s">
        <v>98</v>
      </c>
      <c r="D4984" s="6" t="n">
        <f aca="false">Sens!D4965</f>
        <v>17.315</v>
      </c>
      <c r="E4984" s="6" t="n">
        <f aca="false">Sens!E4965</f>
        <v>17.087</v>
      </c>
      <c r="F4984" s="6" t="n">
        <f aca="false">Sens!F4965</f>
        <v>16.9564585436519</v>
      </c>
      <c r="G4984" s="6" t="n">
        <f aca="false">Sens!G4965</f>
        <v>16.9206490624268</v>
      </c>
      <c r="H4984" s="6" t="n">
        <f aca="false">Sens!H4965</f>
        <v>16.9784519149849</v>
      </c>
      <c r="I4984" s="6" t="n">
        <f aca="false">Sens!I4965</f>
        <v>17.1303084701817</v>
      </c>
      <c r="J4984" s="6" t="n">
        <f aca="false">Sens!J4965</f>
        <v>17.3782189407267</v>
      </c>
      <c r="K4984" s="6" t="n">
        <f aca="false">Sens!K4965</f>
        <v>17.7257833195413</v>
      </c>
    </row>
    <row r="4985" customFormat="false" ht="15" hidden="false" customHeight="false" outlineLevel="0" collapsed="false">
      <c r="A4985" s="0" t="s">
        <v>729</v>
      </c>
      <c r="B4985" s="0" t="s">
        <v>98</v>
      </c>
      <c r="D4985" s="6" t="n">
        <f aca="false">Sens!D4967</f>
        <v>62.941</v>
      </c>
      <c r="E4985" s="6" t="n">
        <f aca="false">Sens!E4967</f>
        <v>63.712</v>
      </c>
      <c r="F4985" s="6" t="n">
        <f aca="false">Sens!F4967</f>
        <v>65.1415764563129</v>
      </c>
      <c r="G4985" s="6" t="n">
        <f aca="false">Sens!G4967</f>
        <v>67.1253610780702</v>
      </c>
      <c r="H4985" s="6" t="n">
        <f aca="false">Sens!H4967</f>
        <v>69.5768050148776</v>
      </c>
      <c r="I4985" s="6" t="n">
        <f aca="false">Sens!I4967</f>
        <v>72.4233188088189</v>
      </c>
      <c r="J4985" s="6" t="n">
        <f aca="false">Sens!J4967</f>
        <v>75.6044096678567</v>
      </c>
      <c r="K4985" s="6" t="n">
        <f aca="false">Sens!K4967</f>
        <v>79.0714397009747</v>
      </c>
    </row>
    <row r="4986" customFormat="false" ht="15" hidden="false" customHeight="false" outlineLevel="0" collapsed="false">
      <c r="A4986" s="1" t="s">
        <v>905</v>
      </c>
      <c r="B4986" s="0" t="s">
        <v>98</v>
      </c>
      <c r="D4986" s="6" t="n">
        <f aca="false">Sens!D4968</f>
        <v>281.724</v>
      </c>
      <c r="E4986" s="6" t="n">
        <f aca="false">Sens!E4968</f>
        <v>331.839</v>
      </c>
      <c r="F4986" s="6" t="n">
        <f aca="false">Sens!F4968</f>
        <v>399.407104707821</v>
      </c>
      <c r="G4986" s="6" t="n">
        <f aca="false">Sens!G4968</f>
        <v>475.197484137863</v>
      </c>
      <c r="H4986" s="6" t="n">
        <f aca="false">Sens!H4968</f>
        <v>552.773101018903</v>
      </c>
      <c r="I4986" s="6" t="n">
        <f aca="false">Sens!I4968</f>
        <v>623.063350069856</v>
      </c>
      <c r="J4986" s="6" t="n">
        <f aca="false">Sens!J4968</f>
        <v>681.351430212581</v>
      </c>
      <c r="K4986" s="6" t="n">
        <f aca="false">Sens!K4968</f>
        <v>727.428376228485</v>
      </c>
    </row>
    <row r="4987" customFormat="false" ht="15" hidden="false" customHeight="false" outlineLevel="0" collapsed="false">
      <c r="A4987" s="1" t="s">
        <v>906</v>
      </c>
      <c r="B4987" s="0" t="s">
        <v>129</v>
      </c>
      <c r="E4987" s="7" t="n">
        <f aca="false">Sens!E4986/Sens!D4986-1</f>
        <v>0.177886867998467</v>
      </c>
      <c r="F4987" s="7" t="n">
        <f aca="false">Sens!F4986/Sens!E4986-1</f>
        <v>0.203617129715978</v>
      </c>
      <c r="G4987" s="7" t="n">
        <f aca="false">Sens!G4986/Sens!F4986-1</f>
        <v>0.189757213972159</v>
      </c>
      <c r="H4987" s="7" t="n">
        <f aca="false">Sens!H4986/Sens!G4986-1</f>
        <v>0.163249216316418</v>
      </c>
      <c r="I4987" s="7" t="n">
        <f aca="false">Sens!I4986/Sens!H4986-1</f>
        <v>0.127159315316521</v>
      </c>
      <c r="J4987" s="7" t="n">
        <f aca="false">Sens!J4986/Sens!I4986-1</f>
        <v>0.0935508084951382</v>
      </c>
      <c r="K4987" s="7" t="n">
        <f aca="false">Sens!K4986/Sens!J4986-1</f>
        <v>0.0676258153615794</v>
      </c>
    </row>
    <row r="4988" customFormat="false" ht="17.15" hidden="false" customHeight="false" outlineLevel="0" collapsed="false">
      <c r="A4988" s="23" t="s">
        <v>907</v>
      </c>
      <c r="B4988" s="30" t="s">
        <v>98</v>
      </c>
      <c r="C4988" s="30"/>
      <c r="D4988" s="24" t="n">
        <f aca="false">(Sens!D4981+Sens!D4985-Sens!D4986)+(Sens!D4973+Sens!D4974-Sens!D4972)+(Sens!D4976+Sens!D4977-Sens!D4975)+(Sens!D4986-Q!L18)</f>
        <v>0</v>
      </c>
      <c r="E4988" s="24" t="n">
        <f aca="false">(Sens!E4981+Sens!E4985-Sens!E4986)+(Sens!E4973+Sens!E4974-Sens!E4972)+(Sens!E4976+Sens!E4977-Sens!E4975)+(Sens!E4986-Q!M18)</f>
        <v>0</v>
      </c>
      <c r="F4988" s="24" t="n">
        <f aca="false">(Sens!F4981+Sens!F4985-Sens!F4986)+(Sens!F4973+Sens!F4974-Sens!F4972)+(Sens!F4976+Sens!F4977-Sens!F4975)</f>
        <v>0</v>
      </c>
      <c r="G4988" s="24" t="n">
        <f aca="false">(Sens!G4981+Sens!G4985-Sens!G4986)+(Sens!G4973+Sens!G4974-Sens!G4972)+(Sens!G4976+Sens!G4977-Sens!G4975)</f>
        <v>0</v>
      </c>
      <c r="H4988" s="24" t="n">
        <f aca="false">(Sens!H4981+Sens!H4985-Sens!H4986)+(Sens!H4973+Sens!H4974-Sens!H4972)+(Sens!H4976+Sens!H4977-Sens!H4975)</f>
        <v>0</v>
      </c>
      <c r="I4988" s="24" t="n">
        <f aca="false">(Sens!I4981+Sens!I4985-Sens!I4986)+(Sens!I4973+Sens!I4974-Sens!I4972)+(Sens!I4976+Sens!I4977-Sens!I4975)</f>
        <v>0</v>
      </c>
      <c r="J4988" s="24" t="n">
        <f aca="false">(Sens!J4981+Sens!J4985-Sens!J4986)+(Sens!J4973+Sens!J4974-Sens!J4972)+(Sens!J4976+Sens!J4977-Sens!J4975)</f>
        <v>0</v>
      </c>
      <c r="K4988" s="24" t="n">
        <f aca="false">(Sens!K4981+Sens!K4985-Sens!K4986)+(Sens!K4973+Sens!K4974-Sens!K4972)+(Sens!K4976+Sens!K4977-Sens!K4975)</f>
        <v>0</v>
      </c>
    </row>
    <row r="4989" customFormat="false" ht="17.15" hidden="false" customHeight="false" outlineLevel="0" collapsed="false">
      <c r="A4989" s="0" t="s">
        <v>908</v>
      </c>
      <c r="B4989" s="0" t="s">
        <v>129</v>
      </c>
      <c r="E4989" s="7" t="n">
        <f aca="false">(Q!M21+Sens!E4926+Sens!E4927+Sens!E4928+Sens!E4941-Sens!E4924)/(Q!M5-Sens!E4924)</f>
        <v>0.562004564381674</v>
      </c>
      <c r="F4989" s="7" t="n">
        <f aca="false">Sens!$E$4989+dm_seg</f>
        <v>0.562004564381674</v>
      </c>
      <c r="G4989" s="7" t="n">
        <f aca="false">Sens!$E$4989+dm_seg</f>
        <v>0.562004564381674</v>
      </c>
      <c r="H4989" s="7" t="n">
        <f aca="false">Sens!$E$4989+dm_seg</f>
        <v>0.562004564381674</v>
      </c>
      <c r="I4989" s="7" t="n">
        <f aca="false">Sens!$E$4989+dm_seg</f>
        <v>0.562004564381674</v>
      </c>
      <c r="J4989" s="7" t="n">
        <f aca="false">Sens!$E$4989+dm_seg</f>
        <v>0.562004564381674</v>
      </c>
      <c r="K4989" s="7" t="n">
        <f aca="false">Sens!$E$4989+dm_seg</f>
        <v>0.562004564381674</v>
      </c>
      <c r="L4989" s="11" t="s">
        <v>909</v>
      </c>
    </row>
    <row r="4990" customFormat="false" ht="17.15" hidden="false" customHeight="false" outlineLevel="0" collapsed="false">
      <c r="A4990" s="0" t="s">
        <v>743</v>
      </c>
      <c r="B4990" s="0" t="s">
        <v>98</v>
      </c>
      <c r="D4990" s="6" t="n">
        <f aca="false">Q!L21</f>
        <v>110.814</v>
      </c>
      <c r="E4990" s="6" t="n">
        <f aca="false">Q!M21</f>
        <v>136.365</v>
      </c>
      <c r="F4990" s="6" t="n">
        <f aca="false">Sens!F4989*(Sens!F4960-Sens!F4924)+Sens!F4924-(Sens!F4926+Sens!F4927+Sens!F4928)-Sens!F4941-Sens!F5024</f>
        <v>159.475260018212</v>
      </c>
      <c r="G4990" s="6" t="n">
        <f aca="false">Sens!G4989*(Sens!G4960-Sens!G4924)+Sens!G4924-(Sens!G4926+Sens!G4927+Sens!G4928)-Sens!G4941-Sens!G5024</f>
        <v>182.841286216814</v>
      </c>
      <c r="H4990" s="6" t="n">
        <f aca="false">Sens!H4989*(Sens!H4960-Sens!H4924)+Sens!H4924-(Sens!H4926+Sens!H4927+Sens!H4928)-Sens!H4941-Sens!H5024</f>
        <v>205.864016833758</v>
      </c>
      <c r="I4990" s="6" t="n">
        <f aca="false">Sens!I4989*(Sens!I4960-Sens!I4924)+Sens!I4924-(Sens!I4926+Sens!I4927+Sens!I4928)-Sens!I4941-Sens!I5024</f>
        <v>227.015153333432</v>
      </c>
      <c r="J4990" s="6" t="n">
        <f aca="false">Sens!J4989*(Sens!J4960-Sens!J4924)+Sens!J4924-(Sens!J4926+Sens!J4927+Sens!J4928)-Sens!J4941-Sens!J5024</f>
        <v>246.672691449086</v>
      </c>
      <c r="K4990" s="6" t="n">
        <f aca="false">Sens!K4989*(Sens!K4960-Sens!K4924)+Sens!K4924-(Sens!K4926+Sens!K4927+Sens!K4928)-Sens!K4941-Sens!K5024</f>
        <v>264.056426401151</v>
      </c>
      <c r="L4990" s="1" t="s">
        <v>910</v>
      </c>
    </row>
    <row r="4991" customFormat="false" ht="17.15" hidden="false" customHeight="false" outlineLevel="0" collapsed="false">
      <c r="A4991" s="0" t="s">
        <v>911</v>
      </c>
      <c r="B4991" s="0" t="s">
        <v>129</v>
      </c>
      <c r="E4991" s="7" t="n">
        <f aca="false">Q!M22/Q!M12</f>
        <v>0.296207935710698</v>
      </c>
      <c r="F4991" s="7" t="n">
        <f aca="false">Sens!$E$4991+dm_seg</f>
        <v>0.296207935710698</v>
      </c>
      <c r="G4991" s="7" t="n">
        <f aca="false">Sens!$E$4991+dm_seg</f>
        <v>0.296207935710698</v>
      </c>
      <c r="H4991" s="7" t="n">
        <f aca="false">Sens!$E$4991+dm_seg</f>
        <v>0.296207935710698</v>
      </c>
      <c r="I4991" s="7" t="n">
        <f aca="false">Sens!$E$4991+dm_seg</f>
        <v>0.296207935710698</v>
      </c>
      <c r="J4991" s="7" t="n">
        <f aca="false">Sens!$E$4991+dm_seg</f>
        <v>0.296207935710698</v>
      </c>
      <c r="K4991" s="7" t="n">
        <f aca="false">Sens!$E$4991+dm_seg</f>
        <v>0.296207935710698</v>
      </c>
      <c r="L4991" s="11" t="s">
        <v>912</v>
      </c>
    </row>
    <row r="4992" customFormat="false" ht="17.15" hidden="false" customHeight="false" outlineLevel="0" collapsed="false">
      <c r="A4992" s="0" t="s">
        <v>745</v>
      </c>
      <c r="B4992" s="0" t="s">
        <v>98</v>
      </c>
      <c r="D4992" s="6" t="n">
        <f aca="false">Q!L22</f>
        <v>17.714</v>
      </c>
      <c r="E4992" s="6" t="n">
        <f aca="false">Q!M22</f>
        <v>18.872</v>
      </c>
      <c r="F4992" s="6" t="n">
        <f aca="false">Sens!F4967*Sens!F4991</f>
        <v>19.2954518910651</v>
      </c>
      <c r="G4992" s="6" t="n">
        <f aca="false">Sens!G4967*Sens!G4991</f>
        <v>19.8830646387704</v>
      </c>
      <c r="H4992" s="6" t="n">
        <f aca="false">Sens!H4967*Sens!H4991</f>
        <v>20.6092017868026</v>
      </c>
      <c r="I4992" s="6" t="n">
        <f aca="false">Sens!I4967*Sens!I4991</f>
        <v>21.452361761678</v>
      </c>
      <c r="J4992" s="6" t="n">
        <f aca="false">Sens!J4967*Sens!J4991</f>
        <v>22.3946261183418</v>
      </c>
      <c r="K4992" s="6" t="n">
        <f aca="false">Sens!K4967*Sens!K4991</f>
        <v>23.4215879274986</v>
      </c>
    </row>
    <row r="4993" customFormat="false" ht="15" hidden="false" customHeight="false" outlineLevel="0" collapsed="false">
      <c r="A4993" s="1" t="s">
        <v>913</v>
      </c>
      <c r="B4993" s="0" t="s">
        <v>98</v>
      </c>
      <c r="D4993" s="6" t="n">
        <f aca="false">Sens!D4990+Sens!D4992</f>
        <v>128.528</v>
      </c>
      <c r="E4993" s="6" t="n">
        <f aca="false">Sens!E4990+Sens!E4992</f>
        <v>155.237</v>
      </c>
      <c r="F4993" s="6" t="n">
        <f aca="false">Sens!F4990+Sens!F4992</f>
        <v>178.770711909277</v>
      </c>
      <c r="G4993" s="6" t="n">
        <f aca="false">Sens!G4990+Sens!G4992</f>
        <v>202.724350855584</v>
      </c>
      <c r="H4993" s="6" t="n">
        <f aca="false">Sens!H4990+Sens!H4992</f>
        <v>226.473218620561</v>
      </c>
      <c r="I4993" s="6" t="n">
        <f aca="false">Sens!I4990+Sens!I4992</f>
        <v>248.46751509511</v>
      </c>
      <c r="J4993" s="6" t="n">
        <f aca="false">Sens!J4990+Sens!J4992</f>
        <v>269.067317567428</v>
      </c>
      <c r="K4993" s="6" t="n">
        <f aca="false">Sens!K4990+Sens!K4992</f>
        <v>287.478014328649</v>
      </c>
    </row>
    <row r="4994" customFormat="false" ht="15" hidden="false" customHeight="false" outlineLevel="0" collapsed="false">
      <c r="A4994" s="23" t="s">
        <v>914</v>
      </c>
      <c r="B4994" s="30" t="s">
        <v>98</v>
      </c>
      <c r="C4994" s="30"/>
      <c r="D4994" s="24" t="n">
        <f aca="false">Sens!D4993-Q!L23</f>
        <v>0</v>
      </c>
      <c r="E4994" s="24" t="n">
        <f aca="false">Sens!E4993-Q!M23</f>
        <v>0</v>
      </c>
      <c r="F4994" s="30"/>
      <c r="G4994" s="30"/>
      <c r="H4994" s="30"/>
      <c r="I4994" s="30"/>
      <c r="J4994" s="30"/>
      <c r="K4994" s="30"/>
    </row>
    <row r="4995" customFormat="false" ht="15" hidden="false" customHeight="false" outlineLevel="0" collapsed="false">
      <c r="A4995" s="1" t="s">
        <v>915</v>
      </c>
      <c r="B4995" s="0" t="s">
        <v>129</v>
      </c>
      <c r="D4995" s="7" t="n">
        <f aca="false">Sens!D4993/Sens!D4986</f>
        <v>0.456219562408598</v>
      </c>
      <c r="E4995" s="7" t="n">
        <f aca="false">Sens!E4993/Sens!E4986</f>
        <v>0.467808184089272</v>
      </c>
      <c r="F4995" s="7" t="n">
        <f aca="false">Sens!F4993/Sens!F4986</f>
        <v>0.44759021510159</v>
      </c>
      <c r="G4995" s="7" t="n">
        <f aca="false">Sens!G4993/Sens!G4986</f>
        <v>0.426610741055124</v>
      </c>
      <c r="H4995" s="7" t="n">
        <f aca="false">Sens!H4993/Sens!H4986</f>
        <v>0.40970376127766</v>
      </c>
      <c r="I4995" s="7" t="n">
        <f aca="false">Sens!I4993/Sens!I4986</f>
        <v>0.398783711266683</v>
      </c>
      <c r="J4995" s="7" t="n">
        <f aca="false">Sens!J4993/Sens!J4986</f>
        <v>0.394902403717681</v>
      </c>
      <c r="K4995" s="7" t="n">
        <f aca="false">Sens!K4993/Sens!K4986</f>
        <v>0.395197690553596</v>
      </c>
    </row>
    <row r="4996" customFormat="false" ht="17.15" hidden="false" customHeight="false" outlineLevel="0" collapsed="false">
      <c r="A4996" s="1" t="s">
        <v>916</v>
      </c>
      <c r="B4996" s="0" t="s">
        <v>98</v>
      </c>
      <c r="F4996" s="6" t="n">
        <f aca="false">Sens!F5011</f>
        <v>9.35935178280745</v>
      </c>
      <c r="G4996" s="6" t="n">
        <f aca="false">Sens!G5011</f>
        <v>24.0487783885351</v>
      </c>
      <c r="H4996" s="6" t="n">
        <f aca="false">Sens!H5011</f>
        <v>40.2721839447844</v>
      </c>
      <c r="I4996" s="6" t="n">
        <f aca="false">Sens!I5011</f>
        <v>54.59227360219</v>
      </c>
      <c r="J4996" s="6" t="n">
        <f aca="false">Sens!J5011</f>
        <v>64.8006341426008</v>
      </c>
      <c r="K4996" s="6" t="n">
        <f aca="false">Sens!K5011</f>
        <v>69.9210634776108</v>
      </c>
      <c r="L4996" s="1" t="s">
        <v>917</v>
      </c>
    </row>
    <row r="4997" customFormat="false" ht="17.15" hidden="false" customHeight="false" outlineLevel="0" collapsed="false">
      <c r="A4997" s="1" t="s">
        <v>918</v>
      </c>
      <c r="B4997" s="0" t="s">
        <v>98</v>
      </c>
      <c r="D4997" s="6" t="n">
        <f aca="false">Sens!D4993</f>
        <v>128.528</v>
      </c>
      <c r="E4997" s="6" t="n">
        <f aca="false">Sens!E4993</f>
        <v>155.237</v>
      </c>
      <c r="F4997" s="6" t="n">
        <f aca="false">Sens!F4993+Sens!F4996</f>
        <v>188.130063692084</v>
      </c>
      <c r="G4997" s="6" t="n">
        <f aca="false">Sens!G4993+Sens!G4996</f>
        <v>226.773129244119</v>
      </c>
      <c r="H4997" s="6" t="n">
        <f aca="false">Sens!H4993+Sens!H4996</f>
        <v>266.745402565345</v>
      </c>
      <c r="I4997" s="6" t="n">
        <f aca="false">Sens!I4993+Sens!I4996</f>
        <v>303.0597886973</v>
      </c>
      <c r="J4997" s="6" t="n">
        <f aca="false">Sens!J4993+Sens!J4996</f>
        <v>333.867951710029</v>
      </c>
      <c r="K4997" s="6" t="n">
        <f aca="false">Sens!K4993+Sens!K4996</f>
        <v>357.39907780626</v>
      </c>
    </row>
    <row r="4998" customFormat="false" ht="17.15" hidden="false" customHeight="false" outlineLevel="0" collapsed="false">
      <c r="A4998" s="1" t="s">
        <v>919</v>
      </c>
      <c r="B4998" s="0" t="s">
        <v>98</v>
      </c>
      <c r="E4998" s="6" t="n">
        <f aca="false">Sens!E4941</f>
        <v>14.1538947660714</v>
      </c>
      <c r="F4998" s="6" t="n">
        <f aca="false">Sens!F4941</f>
        <v>29.5350020551048</v>
      </c>
      <c r="G4998" s="6" t="n">
        <f aca="false">Sens!G4941</f>
        <v>51.2477204947238</v>
      </c>
      <c r="H4998" s="6" t="n">
        <f aca="false">Sens!H4941</f>
        <v>74.8212172942667</v>
      </c>
      <c r="I4998" s="6" t="n">
        <f aca="false">Sens!I4941</f>
        <v>95.246097101408</v>
      </c>
      <c r="J4998" s="6" t="n">
        <f aca="false">Sens!J4941</f>
        <v>109.451364040917</v>
      </c>
      <c r="K4998" s="6" t="n">
        <f aca="false">Sens!K4941</f>
        <v>117.958611864733</v>
      </c>
    </row>
    <row r="4999" customFormat="false" ht="17.15" hidden="false" customHeight="false" outlineLevel="0" collapsed="false">
      <c r="A4999" s="1" t="s">
        <v>920</v>
      </c>
      <c r="B4999" s="0" t="s">
        <v>98</v>
      </c>
      <c r="E4999" s="6" t="n">
        <f aca="false">Sens!E5023</f>
        <v>24.3801052339286</v>
      </c>
      <c r="F4999" s="6" t="n">
        <f aca="false">Sens!F5023</f>
        <v>26.328807123389</v>
      </c>
      <c r="G4999" s="6" t="n">
        <f aca="false">Sens!G5023</f>
        <v>27.8112157680891</v>
      </c>
      <c r="H4999" s="6" t="n">
        <f aca="false">Sens!H5023</f>
        <v>29.7112455556891</v>
      </c>
      <c r="I4999" s="6" t="n">
        <f aca="false">Sens!I5023</f>
        <v>31.9599610312846</v>
      </c>
      <c r="J4999" s="6" t="n">
        <f aca="false">Sens!J5023</f>
        <v>34.4720562531935</v>
      </c>
      <c r="K4999" s="6" t="n">
        <f aca="false">Sens!K5023</f>
        <v>37.1617209020736</v>
      </c>
    </row>
    <row r="5000" customFormat="false" ht="17.15" hidden="false" customHeight="false" outlineLevel="0" collapsed="false">
      <c r="A5000" s="1" t="s">
        <v>921</v>
      </c>
      <c r="B5000" s="0" t="s">
        <v>98</v>
      </c>
      <c r="D5000" s="6" t="n">
        <f aca="false">Q!L27</f>
        <v>-4.901</v>
      </c>
      <c r="E5000" s="6" t="n">
        <f aca="false">Q!M27</f>
        <v>10.697</v>
      </c>
      <c r="F5000" s="6" t="n">
        <f aca="false">oie_f</f>
        <v>-0.4</v>
      </c>
      <c r="G5000" s="6" t="n">
        <f aca="false">oie_f</f>
        <v>-0.4</v>
      </c>
      <c r="H5000" s="6" t="n">
        <f aca="false">oie_f</f>
        <v>-0.4</v>
      </c>
      <c r="I5000" s="6" t="n">
        <f aca="false">oie_f</f>
        <v>-0.4</v>
      </c>
      <c r="J5000" s="6" t="n">
        <f aca="false">oie_f</f>
        <v>-0.4</v>
      </c>
      <c r="K5000" s="6" t="n">
        <f aca="false">oie_f</f>
        <v>-0.4</v>
      </c>
      <c r="L5000" s="11" t="s">
        <v>922</v>
      </c>
    </row>
    <row r="5001" customFormat="false" ht="15" hidden="false" customHeight="false" outlineLevel="0" collapsed="false">
      <c r="A5001" s="1" t="s">
        <v>923</v>
      </c>
      <c r="B5001" s="0" t="s">
        <v>98</v>
      </c>
      <c r="D5001" s="6" t="n">
        <f aca="false">Sens!D4993+Sens!D5000</f>
        <v>123.627</v>
      </c>
      <c r="E5001" s="6" t="n">
        <f aca="false">Sens!E4993+Sens!E5000</f>
        <v>165.934</v>
      </c>
      <c r="F5001" s="6" t="n">
        <f aca="false">Sens!F4993+Sens!F5000</f>
        <v>178.370711909277</v>
      </c>
      <c r="G5001" s="6" t="n">
        <f aca="false">Sens!G4993+Sens!G5000</f>
        <v>202.324350855584</v>
      </c>
      <c r="H5001" s="6" t="n">
        <f aca="false">Sens!H4993+Sens!H5000</f>
        <v>226.07321862056</v>
      </c>
      <c r="I5001" s="6" t="n">
        <f aca="false">Sens!I4993+Sens!I5000</f>
        <v>248.06751509511</v>
      </c>
      <c r="J5001" s="6" t="n">
        <f aca="false">Sens!J4993+Sens!J5000</f>
        <v>268.667317567428</v>
      </c>
      <c r="K5001" s="6" t="n">
        <f aca="false">Sens!K4993+Sens!K5000</f>
        <v>287.078014328649</v>
      </c>
    </row>
    <row r="5002" customFormat="false" ht="15" hidden="false" customHeight="false" outlineLevel="0" collapsed="false">
      <c r="A5002" s="1" t="s">
        <v>924</v>
      </c>
      <c r="B5002" s="0" t="s">
        <v>98</v>
      </c>
      <c r="D5002" s="6" t="n">
        <f aca="false">Q!L29</f>
        <v>21.795</v>
      </c>
      <c r="E5002" s="6" t="n">
        <f aca="false">Q!M29</f>
        <v>32.185</v>
      </c>
      <c r="F5002" s="6" t="n">
        <f aca="false">Sens!F5001*tax_f</f>
        <v>35.6741423818554</v>
      </c>
      <c r="G5002" s="6" t="n">
        <f aca="false">Sens!G5001*tax_f</f>
        <v>40.4648701711169</v>
      </c>
      <c r="H5002" s="6" t="n">
        <f aca="false">Sens!H5001*tax_f</f>
        <v>45.2146437241121</v>
      </c>
      <c r="I5002" s="6" t="n">
        <f aca="false">Sens!I5001*tax_f</f>
        <v>49.613503019022</v>
      </c>
      <c r="J5002" s="6" t="n">
        <f aca="false">Sens!J5001*tax_f</f>
        <v>53.7334635134856</v>
      </c>
      <c r="K5002" s="6" t="n">
        <f aca="false">Sens!K5001*tax_f</f>
        <v>57.4156028657298</v>
      </c>
    </row>
    <row r="5003" customFormat="false" ht="15" hidden="false" customHeight="false" outlineLevel="0" collapsed="false">
      <c r="A5003" s="1" t="s">
        <v>925</v>
      </c>
      <c r="B5003" s="0" t="s">
        <v>98</v>
      </c>
      <c r="D5003" s="6" t="n">
        <f aca="false">Sens!D5001-Sens!D5002</f>
        <v>101.832</v>
      </c>
      <c r="E5003" s="6" t="n">
        <f aca="false">Sens!E5001-Sens!E5002</f>
        <v>133.749</v>
      </c>
      <c r="F5003" s="6" t="n">
        <f aca="false">Sens!F5001-Sens!F5002</f>
        <v>142.696569527421</v>
      </c>
      <c r="G5003" s="6" t="n">
        <f aca="false">Sens!G5001-Sens!G5002</f>
        <v>161.859480684467</v>
      </c>
      <c r="H5003" s="6" t="n">
        <f aca="false">Sens!H5001-Sens!H5002</f>
        <v>180.858574896448</v>
      </c>
      <c r="I5003" s="6" t="n">
        <f aca="false">Sens!I5001-Sens!I5002</f>
        <v>198.454012076088</v>
      </c>
      <c r="J5003" s="6" t="n">
        <f aca="false">Sens!J5001-Sens!J5002</f>
        <v>214.933854053942</v>
      </c>
      <c r="K5003" s="6" t="n">
        <f aca="false">Sens!K5001-Sens!K5002</f>
        <v>229.662411462919</v>
      </c>
    </row>
    <row r="5004" customFormat="false" ht="17.15" hidden="false" customHeight="false" outlineLevel="0" collapsed="false">
      <c r="A5004" s="1" t="s">
        <v>926</v>
      </c>
      <c r="B5004" s="1" t="s">
        <v>81</v>
      </c>
      <c r="D5004" s="14" t="n">
        <f aca="false">Q!L31</f>
        <v>7.465</v>
      </c>
      <c r="E5004" s="14" t="n">
        <f aca="false">Q!M31</f>
        <v>7.453</v>
      </c>
      <c r="F5004" s="14" t="n">
        <f aca="false">Sens!F5047</f>
        <v>7.4735</v>
      </c>
      <c r="G5004" s="14" t="n">
        <f aca="false">Sens!G5047</f>
        <v>7.5185</v>
      </c>
      <c r="H5004" s="14" t="n">
        <f aca="false">Sens!H5047</f>
        <v>7.54625158584995</v>
      </c>
      <c r="I5004" s="14" t="n">
        <f aca="false">Sens!I5047</f>
        <v>7.55803241785726</v>
      </c>
      <c r="J5004" s="14" t="n">
        <f aca="false">Sens!J5047</f>
        <v>7.57227392897515</v>
      </c>
      <c r="K5004" s="14" t="n">
        <f aca="false">Sens!K5047</f>
        <v>7.58879384667689</v>
      </c>
    </row>
    <row r="5005" customFormat="false" ht="17.15" hidden="false" customHeight="false" outlineLevel="0" collapsed="false">
      <c r="A5005" s="0" t="s">
        <v>927</v>
      </c>
      <c r="B5005" s="0" t="s">
        <v>75</v>
      </c>
      <c r="D5005" s="8" t="n">
        <f aca="false">Sens!D5003/Sens!D5004</f>
        <v>13.641259209645</v>
      </c>
      <c r="E5005" s="8" t="n">
        <f aca="false">Sens!E5003/Sens!E5004</f>
        <v>17.9456594659869</v>
      </c>
      <c r="F5005" s="8" t="n">
        <f aca="false">Sens!F5003/Sens!F5004</f>
        <v>19.0936735836518</v>
      </c>
      <c r="G5005" s="8" t="n">
        <f aca="false">Sens!G5003/Sens!G5004</f>
        <v>21.5281612934053</v>
      </c>
      <c r="H5005" s="8" t="n">
        <f aca="false">Sens!H5003/Sens!H5004</f>
        <v>23.9666770765473</v>
      </c>
      <c r="I5005" s="8" t="n">
        <f aca="false">Sens!I5003/Sens!I5004</f>
        <v>26.2573644970354</v>
      </c>
      <c r="J5005" s="8" t="n">
        <f aca="false">Sens!J5003/Sens!J5004</f>
        <v>28.3843210203348</v>
      </c>
      <c r="K5005" s="8" t="n">
        <f aca="false">Sens!K5003/Sens!K5004</f>
        <v>30.2633614910343</v>
      </c>
      <c r="L5005" s="1" t="s">
        <v>928</v>
      </c>
    </row>
    <row r="5006" customFormat="false" ht="17.15" hidden="false" customHeight="false" outlineLevel="0" collapsed="false">
      <c r="A5006" s="1" t="s">
        <v>929</v>
      </c>
      <c r="B5006" s="0" t="s">
        <v>98</v>
      </c>
      <c r="D5006" s="6" t="n">
        <f aca="false">Sens!D5003</f>
        <v>101.832</v>
      </c>
      <c r="E5006" s="6" t="n">
        <f aca="false">Sens!E5003</f>
        <v>133.749</v>
      </c>
      <c r="F5006" s="6" t="n">
        <f aca="false">Sens!F5003+Sens!F4996*(1-tax_f)</f>
        <v>150.184050953667</v>
      </c>
      <c r="G5006" s="6" t="n">
        <f aca="false">Sens!G5003+Sens!G4996*(1-tax_f)</f>
        <v>181.098503395296</v>
      </c>
      <c r="H5006" s="6" t="n">
        <f aca="false">Sens!H5003+Sens!H4996*(1-tax_f)</f>
        <v>213.076322052276</v>
      </c>
      <c r="I5006" s="6" t="n">
        <f aca="false">Sens!I5003+Sens!I4996*(1-tax_f)</f>
        <v>242.12783095784</v>
      </c>
      <c r="J5006" s="6" t="n">
        <f aca="false">Sens!J5003+Sens!J4996*(1-tax_f)</f>
        <v>266.774361368023</v>
      </c>
      <c r="K5006" s="6" t="n">
        <f aca="false">Sens!K5003+Sens!K4996*(1-tax_f)</f>
        <v>285.599262245008</v>
      </c>
    </row>
    <row r="5007" customFormat="false" ht="17.15" hidden="false" customHeight="false" outlineLevel="0" collapsed="false">
      <c r="A5007" s="0" t="s">
        <v>930</v>
      </c>
      <c r="B5007" s="0" t="s">
        <v>75</v>
      </c>
      <c r="D5007" s="8" t="n">
        <f aca="false">Sens!D5006/Sens!D5004</f>
        <v>13.641259209645</v>
      </c>
      <c r="E5007" s="8" t="n">
        <f aca="false">Sens!E5006/Sens!E5004</f>
        <v>17.9456594659869</v>
      </c>
      <c r="F5007" s="8" t="n">
        <f aca="false">Sens!F5006/Sens!F5004</f>
        <v>20.0955443839791</v>
      </c>
      <c r="G5007" s="8" t="n">
        <f aca="false">Sens!G5006/Sens!G5004</f>
        <v>24.0870523901437</v>
      </c>
      <c r="H5007" s="8" t="n">
        <f aca="false">Sens!H5006/Sens!H5004</f>
        <v>28.2360480071745</v>
      </c>
      <c r="I5007" s="8" t="n">
        <f aca="false">Sens!I5006/Sens!I5004</f>
        <v>32.0358285822865</v>
      </c>
      <c r="J5007" s="8" t="n">
        <f aca="false">Sens!J5006/Sens!J5004</f>
        <v>35.2304161035718</v>
      </c>
      <c r="K5007" s="8" t="n">
        <f aca="false">Sens!K5006/Sens!K5004</f>
        <v>37.6343419013907</v>
      </c>
      <c r="L5007" s="1" t="s">
        <v>931</v>
      </c>
    </row>
    <row r="5008" customFormat="false" ht="17.15" hidden="false" customHeight="false" outlineLevel="0" collapsed="false">
      <c r="A5008" s="0" t="s">
        <v>932</v>
      </c>
      <c r="B5008" s="0" t="s">
        <v>129</v>
      </c>
      <c r="E5008" s="7" t="n">
        <f aca="false">Sens!E5007/Sens!D5007-1</f>
        <v>0.315542736208578</v>
      </c>
      <c r="F5008" s="7" t="n">
        <f aca="false">Sens!F5007/Sens!E5007-1</f>
        <v>0.119799716587009</v>
      </c>
      <c r="G5008" s="7" t="n">
        <f aca="false">Sens!G5007/Sens!F5007-1</f>
        <v>0.198626517893531</v>
      </c>
      <c r="H5008" s="7" t="n">
        <f aca="false">Sens!H5007/Sens!G5007-1</f>
        <v>0.172250034990937</v>
      </c>
      <c r="I5008" s="7" t="n">
        <f aca="false">Sens!I5007/Sens!H5007-1</f>
        <v>0.134571968929452</v>
      </c>
      <c r="J5008" s="7" t="n">
        <f aca="false">Sens!J5007/Sens!I5007-1</f>
        <v>0.0997192101050155</v>
      </c>
      <c r="K5008" s="7" t="n">
        <f aca="false">Sens!K5007/Sens!J5007-1</f>
        <v>0.068234385615876</v>
      </c>
    </row>
    <row r="5009" customFormat="false" ht="17.15" hidden="false" customHeight="false" outlineLevel="0" collapsed="false">
      <c r="A5009" s="0" t="s">
        <v>856</v>
      </c>
      <c r="B5009" s="0" t="s">
        <v>98</v>
      </c>
      <c r="E5009" s="6" t="n">
        <f aca="false">Sens!E4950</f>
        <v>5.25</v>
      </c>
      <c r="F5009" s="6" t="n">
        <f aca="false">Sens!F4950</f>
        <v>12</v>
      </c>
      <c r="G5009" s="6" t="n">
        <f aca="false">Sens!G4950</f>
        <v>18</v>
      </c>
      <c r="H5009" s="6" t="n">
        <f aca="false">Sens!H4950</f>
        <v>24</v>
      </c>
      <c r="I5009" s="6" t="n">
        <f aca="false">Sens!I4950</f>
        <v>28.5</v>
      </c>
      <c r="J5009" s="6" t="n">
        <f aca="false">Sens!J4950</f>
        <v>31.5</v>
      </c>
      <c r="K5009" s="6" t="n">
        <f aca="false">Sens!K4950</f>
        <v>34.5</v>
      </c>
    </row>
    <row r="5010" customFormat="false" ht="17.15" hidden="false" customHeight="false" outlineLevel="0" collapsed="false">
      <c r="A5010" s="1" t="s">
        <v>857</v>
      </c>
      <c r="B5010" s="0" t="s">
        <v>98</v>
      </c>
      <c r="F5010" s="6" t="n">
        <f aca="false">MAX(0,((Sens!E4913+Sens!F4913)/2-(shadow_base*(Sens!$D$4913+Sens!$E$4913)/2+(1-shadow_base)*Sens!$E$4913))*Sens!F4921/1000-(Sens!F5009-Sens!$E$5009)*Sens!F4989)</f>
        <v>9.35935178280745</v>
      </c>
      <c r="G5010" s="6" t="n">
        <f aca="false">MAX(0,((Sens!F4913+Sens!G4913)/2-(shadow_base*(Sens!$D$4913+Sens!$E$4913)/2+(1-shadow_base)*Sens!$E$4913))*Sens!G4921/1000-(Sens!G5009-Sens!$E$5009)*Sens!G4989)</f>
        <v>24.0487783885351</v>
      </c>
      <c r="H5010" s="6" t="n">
        <f aca="false">MAX(0,((Sens!G4913+Sens!H4913)/2-(shadow_base*(Sens!$D$4913+Sens!$E$4913)/2+(1-shadow_base)*Sens!$E$4913))*Sens!H4921/1000-(Sens!H5009-Sens!$E$5009)*Sens!H4989)</f>
        <v>40.2721839447844</v>
      </c>
      <c r="I5010" s="6" t="n">
        <f aca="false">MAX(0,((Sens!H4913+Sens!I4913)/2-(shadow_base*(Sens!$D$4913+Sens!$E$4913)/2+(1-shadow_base)*Sens!$E$4913))*Sens!I4921/1000-(Sens!I5009-Sens!$E$5009)*Sens!I4989)</f>
        <v>54.59227360219</v>
      </c>
      <c r="J5010" s="6" t="n">
        <f aca="false">MAX(0,((Sens!I4913+Sens!J4913)/2-(shadow_base*(Sens!$D$4913+Sens!$E$4913)/2+(1-shadow_base)*Sens!$E$4913))*Sens!J4921/1000-(Sens!J5009-Sens!$E$5009)*Sens!J4989)</f>
        <v>64.8006341426008</v>
      </c>
      <c r="K5010" s="6" t="n">
        <f aca="false">MAX(0,((Sens!J4913+Sens!K4913)/2-(shadow_base*(Sens!$D$4913+Sens!$E$4913)/2+(1-shadow_base)*Sens!$E$4913))*Sens!K4921/1000-(Sens!K5009-Sens!$E$5009)*Sens!K4989)</f>
        <v>69.9210634776108</v>
      </c>
      <c r="L5010" s="1" t="s">
        <v>858</v>
      </c>
    </row>
    <row r="5011" customFormat="false" ht="17.15" hidden="false" customHeight="false" outlineLevel="0" collapsed="false">
      <c r="A5011" s="1" t="s">
        <v>859</v>
      </c>
      <c r="B5011" s="0" t="s">
        <v>98</v>
      </c>
      <c r="F5011" s="6" t="n">
        <f aca="false">IF(internal_ai_reading=2,1,0)*Sens!F5010</f>
        <v>9.35935178280745</v>
      </c>
      <c r="G5011" s="6" t="n">
        <f aca="false">IF(internal_ai_reading=2,1,0)*Sens!G5010</f>
        <v>24.0487783885351</v>
      </c>
      <c r="H5011" s="6" t="n">
        <f aca="false">IF(internal_ai_reading=2,1,0)*Sens!H5010</f>
        <v>40.2721839447844</v>
      </c>
      <c r="I5011" s="6" t="n">
        <f aca="false">IF(internal_ai_reading=2,1,0)*Sens!I5010</f>
        <v>54.59227360219</v>
      </c>
      <c r="J5011" s="6" t="n">
        <f aca="false">IF(internal_ai_reading=2,1,0)*Sens!J5010</f>
        <v>64.8006341426008</v>
      </c>
      <c r="K5011" s="6" t="n">
        <f aca="false">IF(internal_ai_reading=2,1,0)*Sens!K5010</f>
        <v>69.9210634776108</v>
      </c>
    </row>
    <row r="5012" customFormat="false" ht="17.15" hidden="false" customHeight="false" outlineLevel="0" collapsed="false">
      <c r="A5012" s="0" t="s">
        <v>860</v>
      </c>
      <c r="B5012" s="0" t="s">
        <v>98</v>
      </c>
      <c r="F5012" s="6" t="n">
        <f aca="false">Sens!F4930+Sens!F5009*Sens!F4989+Sens!F5011-Sens!F4931-Sens!F4941</f>
        <v>19.4949146989669</v>
      </c>
      <c r="G5012" s="6" t="n">
        <f aca="false">Sens!G4930+Sens!G5009*Sens!G4989+Sens!G5011-Sens!G4931-Sens!G4941</f>
        <v>38.6852634363224</v>
      </c>
      <c r="H5012" s="6" t="n">
        <f aca="false">Sens!H4930+Sens!H5009*Sens!H4989+Sens!H5011-Sens!H4931-Sens!H4941</f>
        <v>58.895290677527</v>
      </c>
      <c r="I5012" s="6" t="n">
        <f aca="false">Sens!I4930+Sens!I5009*Sens!I4989+Sens!I5011-Sens!I4931-Sens!I4941</f>
        <v>75.8182073878733</v>
      </c>
      <c r="J5012" s="6" t="n">
        <f aca="false">Sens!J4930+Sens!J5009*Sens!J4989+Sens!J5011-Sens!J4931-Sens!J4941</f>
        <v>88.3618825905754</v>
      </c>
      <c r="K5012" s="6" t="n">
        <f aca="false">Sens!K4930+Sens!K5009*Sens!K4989+Sens!K5011-Sens!K4931-Sens!K4941</f>
        <v>95.5337556210643</v>
      </c>
    </row>
    <row r="5013" customFormat="false" ht="17.15" hidden="false" customHeight="false" outlineLevel="0" collapsed="false">
      <c r="A5013" s="0" t="s">
        <v>861</v>
      </c>
      <c r="B5013" s="0" t="s">
        <v>98</v>
      </c>
      <c r="E5013" s="6" t="n">
        <f aca="false">Sens!E4912*(cxit_open+self_build*tk_cxfac)/1000*ai_net_open</f>
        <v>126.6980382</v>
      </c>
      <c r="F5013" s="6" t="n">
        <f aca="false">Sens!E5013+Sens!F4938-Sens!F4941</f>
        <v>257.495912016362</v>
      </c>
      <c r="G5013" s="6" t="n">
        <f aca="false">Sens!F5013+Sens!G4938-Sens!G4941</f>
        <v>389.822372004838</v>
      </c>
      <c r="H5013" s="6" t="n">
        <f aca="false">Sens!G5013+Sens!H4938-Sens!H4941</f>
        <v>503.081440620971</v>
      </c>
      <c r="I5013" s="6" t="n">
        <f aca="false">Sens!H5013+Sens!I4938-Sens!I4941</f>
        <v>541.283337327142</v>
      </c>
      <c r="J5013" s="6" t="n">
        <f aca="false">Sens!I5013+Sens!J4938-Sens!J4941</f>
        <v>543.575310213801</v>
      </c>
      <c r="K5013" s="6" t="n">
        <f aca="false">Sens!J5013+Sens!K4938-Sens!K4941</f>
        <v>501.944862625991</v>
      </c>
      <c r="L5013" s="1" t="s">
        <v>862</v>
      </c>
    </row>
    <row r="5014" customFormat="false" ht="17.15" hidden="false" customHeight="false" outlineLevel="0" collapsed="false">
      <c r="A5014" s="0" t="s">
        <v>863</v>
      </c>
      <c r="B5014" s="0" t="s">
        <v>129</v>
      </c>
      <c r="F5014" s="7" t="n">
        <f aca="false">Sens!F5012*(1-tax_f)/((Sens!E5013+Sens!F5013)/2)</f>
        <v>0.0811878050156205</v>
      </c>
      <c r="G5014" s="7" t="n">
        <f aca="false">Sens!G5012*(1-tax_f)/((Sens!F5013+Sens!G5013)/2)</f>
        <v>0.0956197639183149</v>
      </c>
      <c r="H5014" s="7" t="n">
        <f aca="false">Sens!H5012*(1-tax_f)/((Sens!G5013+Sens!H5013)/2)</f>
        <v>0.105534844572932</v>
      </c>
      <c r="I5014" s="7" t="n">
        <f aca="false">Sens!I5012*(1-tax_f)/((Sens!H5013+Sens!I5013)/2)</f>
        <v>0.116155901062592</v>
      </c>
      <c r="J5014" s="7" t="n">
        <f aca="false">Sens!J5012*(1-tax_f)/((Sens!I5013+Sens!J5013)/2)</f>
        <v>0.13032021495647</v>
      </c>
      <c r="K5014" s="7" t="n">
        <f aca="false">Sens!K5012*(1-tax_f)/((Sens!J5013+Sens!K5013)/2)</f>
        <v>0.146199005016353</v>
      </c>
    </row>
    <row r="5015" customFormat="false" ht="17.15" hidden="false" customHeight="false" outlineLevel="0" collapsed="false">
      <c r="A5015" s="1" t="s">
        <v>864</v>
      </c>
      <c r="B5015" s="0" t="s">
        <v>129</v>
      </c>
      <c r="F5015" s="7" t="n">
        <f aca="false">(Sens!F5012-Sens!F5011)*(1-tax_f)/((Sens!E5013+Sens!F5013)/2)</f>
        <v>0.0422101926819055</v>
      </c>
      <c r="G5015" s="7" t="n">
        <f aca="false">(Sens!G5012-Sens!G5011)*(1-tax_f)/((Sens!F5013+Sens!G5013)/2)</f>
        <v>0.0361775291298473</v>
      </c>
      <c r="H5015" s="7" t="n">
        <f aca="false">(Sens!H5012-Sens!H5011)*(1-tax_f)/((Sens!G5013+Sens!H5013)/2)</f>
        <v>0.0333708629653652</v>
      </c>
      <c r="I5015" s="7" t="n">
        <f aca="false">(Sens!I5012-Sens!I5011)*(1-tax_f)/((Sens!H5013+Sens!I5013)/2)</f>
        <v>0.0325188045156197</v>
      </c>
      <c r="J5015" s="7" t="n">
        <f aca="false">(Sens!J5012-Sens!J5011)*(1-tax_f)/((Sens!I5013+Sens!J5013)/2)</f>
        <v>0.0347492252582487</v>
      </c>
      <c r="K5015" s="7" t="n">
        <f aca="false">(Sens!K5012-Sens!K5011)*(1-tax_f)/((Sens!J5013+Sens!K5013)/2)</f>
        <v>0.0391960944361475</v>
      </c>
    </row>
    <row r="5016" customFormat="false" ht="17.15" hidden="false" customHeight="false" outlineLevel="0" collapsed="false">
      <c r="A5016" s="1" t="s">
        <v>865</v>
      </c>
      <c r="B5016" s="0" t="s">
        <v>129</v>
      </c>
      <c r="F5016" s="7" t="n">
        <f aca="false">(Sens!F5012-Sens!F5011+Sens!F5010)*(1-tax_f)/((Sens!E5013+Sens!F5013)/2)</f>
        <v>0.0811878050156205</v>
      </c>
      <c r="G5016" s="7" t="n">
        <f aca="false">(Sens!G5012-Sens!G5011+Sens!G5010)*(1-tax_f)/((Sens!F5013+Sens!G5013)/2)</f>
        <v>0.0956197639183149</v>
      </c>
      <c r="H5016" s="7" t="n">
        <f aca="false">(Sens!H5012-Sens!H5011+Sens!H5010)*(1-tax_f)/((Sens!G5013+Sens!H5013)/2)</f>
        <v>0.105534844572932</v>
      </c>
      <c r="I5016" s="7" t="n">
        <f aca="false">(Sens!I5012-Sens!I5011+Sens!I5010)*(1-tax_f)/((Sens!H5013+Sens!I5013)/2)</f>
        <v>0.116155901062592</v>
      </c>
      <c r="J5016" s="7" t="n">
        <f aca="false">(Sens!J5012-Sens!J5011+Sens!J5010)*(1-tax_f)/((Sens!I5013+Sens!J5013)/2)</f>
        <v>0.13032021495647</v>
      </c>
      <c r="K5016" s="7" t="n">
        <f aca="false">(Sens!K5012-Sens!K5011+Sens!K5010)*(1-tax_f)/((Sens!J5013+Sens!K5013)/2)</f>
        <v>0.146199005016353</v>
      </c>
    </row>
    <row r="5017" customFormat="false" ht="17.15" hidden="false" customHeight="false" outlineLevel="0" collapsed="false">
      <c r="A5017" s="1" t="s">
        <v>866</v>
      </c>
      <c r="B5017" s="0" t="s">
        <v>129</v>
      </c>
      <c r="F5017" s="7" t="n">
        <f aca="false">Sens!F4942*(1-tax_f)/(Sens!F4929*(Sens!E5013+Sens!F5013)/2)</f>
        <v>0.150885176641564</v>
      </c>
      <c r="G5017" s="7" t="n">
        <f aca="false">Sens!G4942*(1-tax_f)/(Sens!G4929*(Sens!F5013+Sens!G5013)/2)</f>
        <v>0.147497238560103</v>
      </c>
      <c r="H5017" s="7" t="n">
        <f aca="false">Sens!H4942*(1-tax_f)/(Sens!H4929*(Sens!G5013+Sens!H5013)/2)</f>
        <v>0.150301861994295</v>
      </c>
      <c r="I5017" s="7" t="n">
        <f aca="false">Sens!I4942*(1-tax_f)/(Sens!I4929*(Sens!H5013+Sens!I5013)/2)</f>
        <v>0.159318371250706</v>
      </c>
      <c r="J5017" s="7" t="n">
        <f aca="false">Sens!J4942*(1-tax_f)/(Sens!J4929*(Sens!I5013+Sens!J5013)/2)</f>
        <v>0.175362764329825</v>
      </c>
      <c r="K5017" s="7" t="n">
        <f aca="false">Sens!K4942*(1-tax_f)/(Sens!K4929*(Sens!J5013+Sens!K5013)/2)</f>
        <v>0.195196695352501</v>
      </c>
    </row>
    <row r="5018" customFormat="false" ht="17.15" hidden="false" customHeight="false" outlineLevel="0" collapsed="false">
      <c r="A5018" s="0" t="s">
        <v>867</v>
      </c>
      <c r="B5018" s="0" t="s">
        <v>209</v>
      </c>
      <c r="F5018" s="7" t="n">
        <f aca="false">Sens!F5014-wacc</f>
        <v>-0.0217466150772553</v>
      </c>
      <c r="G5018" s="7" t="n">
        <f aca="false">Sens!G5014-wacc</f>
        <v>-0.00731465617456087</v>
      </c>
      <c r="H5018" s="7" t="n">
        <f aca="false">Sens!H5014-wacc</f>
        <v>0.00260042448005622</v>
      </c>
      <c r="I5018" s="7" t="n">
        <f aca="false">Sens!I5014-wacc</f>
        <v>0.0132214809697166</v>
      </c>
      <c r="J5018" s="7" t="n">
        <f aca="false">Sens!J5014-wacc</f>
        <v>0.0273857948635939</v>
      </c>
      <c r="K5018" s="7" t="n">
        <f aca="false">Sens!K5014-wacc</f>
        <v>0.0432645849234772</v>
      </c>
    </row>
    <row r="5019" customFormat="false" ht="17.15" hidden="false" customHeight="false" outlineLevel="0" collapsed="false">
      <c r="A5019" s="0" t="s">
        <v>868</v>
      </c>
      <c r="B5019" s="0" t="s">
        <v>98</v>
      </c>
      <c r="F5019" s="6" t="n">
        <f aca="false">Sens!F5012*(1-tax_f)-wacc*(Sens!E5013+Sens!F5013)/2</f>
        <v>-4.1774589751827</v>
      </c>
      <c r="G5019" s="6" t="n">
        <f aca="false">Sens!G5012*(1-tax_f)-wacc*(Sens!F5013+Sens!G5013)/2</f>
        <v>-2.36745534156091</v>
      </c>
      <c r="H5019" s="6" t="n">
        <f aca="false">Sens!H5012*(1-tax_f)-wacc*(Sens!G5013+Sens!H5013)/2</f>
        <v>1.16096446634384</v>
      </c>
      <c r="I5019" s="6" t="n">
        <f aca="false">Sens!I5012*(1-tax_f)-wacc*(Sens!H5013+Sens!I5013)/2</f>
        <v>6.90402451854166</v>
      </c>
      <c r="J5019" s="6" t="n">
        <f aca="false">Sens!J5012*(1-tax_f)-wacc*(Sens!I5013+Sens!J5013)/2</f>
        <v>14.8548581887761</v>
      </c>
      <c r="K5019" s="6" t="n">
        <f aca="false">Sens!K5012*(1-tax_f)-wacc*(Sens!J5013+Sens!K5013)/2</f>
        <v>22.6169981535179</v>
      </c>
    </row>
    <row r="5020" customFormat="false" ht="17.15" hidden="false" customHeight="false" outlineLevel="0" collapsed="false">
      <c r="A5020" s="3" t="s">
        <v>1390</v>
      </c>
    </row>
    <row r="5021" customFormat="false" ht="15" hidden="false" customHeight="false" outlineLevel="0" collapsed="false">
      <c r="A5021" s="4" t="s">
        <v>43</v>
      </c>
      <c r="B5021" s="4" t="s">
        <v>65</v>
      </c>
      <c r="C5021" s="20" t="s">
        <v>799</v>
      </c>
      <c r="D5021" s="20" t="s">
        <v>800</v>
      </c>
      <c r="E5021" s="20" t="s">
        <v>801</v>
      </c>
      <c r="F5021" s="20" t="s">
        <v>802</v>
      </c>
      <c r="G5021" s="20" t="s">
        <v>803</v>
      </c>
      <c r="H5021" s="20" t="s">
        <v>804</v>
      </c>
      <c r="I5021" s="20" t="s">
        <v>805</v>
      </c>
      <c r="J5021" s="20" t="s">
        <v>806</v>
      </c>
      <c r="K5021" s="20" t="s">
        <v>807</v>
      </c>
      <c r="L5021" s="4" t="s">
        <v>47</v>
      </c>
    </row>
    <row r="5022" customFormat="false" ht="15" hidden="false" customHeight="false" outlineLevel="0" collapsed="false">
      <c r="A5022" s="1" t="s">
        <v>925</v>
      </c>
      <c r="B5022" s="0" t="s">
        <v>98</v>
      </c>
      <c r="F5022" s="6" t="n">
        <f aca="false">Sens!F5003</f>
        <v>142.696569527421</v>
      </c>
      <c r="G5022" s="6" t="n">
        <f aca="false">Sens!G5003</f>
        <v>161.859480684467</v>
      </c>
      <c r="H5022" s="6" t="n">
        <f aca="false">Sens!H5003</f>
        <v>180.858574896448</v>
      </c>
      <c r="I5022" s="6" t="n">
        <f aca="false">Sens!I5003</f>
        <v>198.454012076088</v>
      </c>
      <c r="J5022" s="6" t="n">
        <f aca="false">Sens!J5003</f>
        <v>214.933854053942</v>
      </c>
      <c r="K5022" s="6" t="n">
        <f aca="false">Sens!K5003</f>
        <v>229.662411462919</v>
      </c>
    </row>
    <row r="5023" customFormat="false" ht="17.15" hidden="false" customHeight="false" outlineLevel="0" collapsed="false">
      <c r="A5023" s="1" t="s">
        <v>947</v>
      </c>
      <c r="B5023" s="0" t="s">
        <v>98</v>
      </c>
      <c r="E5023" s="6" t="n">
        <f aca="false">Q!M38-Sens!E4941</f>
        <v>24.3801052339286</v>
      </c>
      <c r="F5023" s="6" t="n">
        <f aca="false">Sens!E5023*(1-1/life_nonai)+(Sens!F5030+Sens!F5031)/life_nonai</f>
        <v>26.328807123389</v>
      </c>
      <c r="G5023" s="6" t="n">
        <f aca="false">Sens!F5023*(1-1/life_nonai)+(Sens!G5030)/life_nonai</f>
        <v>27.8112157680891</v>
      </c>
      <c r="H5023" s="6" t="n">
        <f aca="false">Sens!G5023*(1-1/life_nonai)+(Sens!H5030)/life_nonai</f>
        <v>29.7112455556891</v>
      </c>
      <c r="I5023" s="6" t="n">
        <f aca="false">Sens!H5023*(1-1/life_nonai)+(Sens!I5030)/life_nonai</f>
        <v>31.9599610312846</v>
      </c>
      <c r="J5023" s="6" t="n">
        <f aca="false">Sens!I5023*(1-1/life_nonai)+(Sens!J5030)/life_nonai</f>
        <v>34.4720562531935</v>
      </c>
      <c r="K5023" s="6" t="n">
        <f aca="false">Sens!J5023*(1-1/life_nonai)+(Sens!K5030)/life_nonai</f>
        <v>37.1617209020736</v>
      </c>
      <c r="L5023" s="11" t="s">
        <v>948</v>
      </c>
    </row>
    <row r="5024" customFormat="false" ht="17.15" hidden="false" customHeight="false" outlineLevel="0" collapsed="false">
      <c r="A5024" s="1" t="s">
        <v>949</v>
      </c>
      <c r="B5024" s="0" t="s">
        <v>98</v>
      </c>
      <c r="F5024" s="6" t="n">
        <f aca="false">Sens!$F$5031/life_nonai*(1-1/life_nonai)^(Sens!F4907-2027)</f>
        <v>0.828777689897088</v>
      </c>
      <c r="G5024" s="6" t="n">
        <f aca="false">Sens!$F$5031/life_nonai*(1-1/life_nonai)^(Sens!G4907-2027)</f>
        <v>0.745899920907379</v>
      </c>
      <c r="H5024" s="6" t="n">
        <f aca="false">Sens!$F$5031/life_nonai*(1-1/life_nonai)^(Sens!H4907-2027)</f>
        <v>0.671309928816642</v>
      </c>
      <c r="I5024" s="6" t="n">
        <f aca="false">Sens!$F$5031/life_nonai*(1-1/life_nonai)^(Sens!I4907-2027)</f>
        <v>0.604178935934977</v>
      </c>
      <c r="J5024" s="6" t="n">
        <f aca="false">Sens!$F$5031/life_nonai*(1-1/life_nonai)^(Sens!J4907-2027)</f>
        <v>0.54376104234148</v>
      </c>
      <c r="K5024" s="6" t="n">
        <f aca="false">Sens!$F$5031/life_nonai*(1-1/life_nonai)^(Sens!K4907-2027)</f>
        <v>0.489384938107332</v>
      </c>
      <c r="L5024" s="1" t="s">
        <v>950</v>
      </c>
    </row>
    <row r="5025" customFormat="false" ht="17.15" hidden="false" customHeight="false" outlineLevel="0" collapsed="false">
      <c r="A5025" s="1" t="s">
        <v>951</v>
      </c>
      <c r="B5025" s="0" t="s">
        <v>98</v>
      </c>
      <c r="E5025" s="6" t="n">
        <f aca="false">Sens!E4941+Sens!E5023</f>
        <v>38.534</v>
      </c>
      <c r="F5025" s="6" t="n">
        <f aca="false">Sens!F4941+Sens!F5023</f>
        <v>55.8638091784938</v>
      </c>
      <c r="G5025" s="6" t="n">
        <f aca="false">Sens!G4941+Sens!G5023</f>
        <v>79.0589362628129</v>
      </c>
      <c r="H5025" s="6" t="n">
        <f aca="false">Sens!H4941+Sens!H5023</f>
        <v>104.532462849956</v>
      </c>
      <c r="I5025" s="6" t="n">
        <f aca="false">Sens!I4941+Sens!I5023</f>
        <v>127.206058132693</v>
      </c>
      <c r="J5025" s="6" t="n">
        <f aca="false">Sens!J4941+Sens!J5023</f>
        <v>143.923420294111</v>
      </c>
      <c r="K5025" s="6" t="n">
        <f aca="false">Sens!K4941+Sens!K5023</f>
        <v>155.120332766807</v>
      </c>
    </row>
    <row r="5026" customFormat="false" ht="17.15" hidden="false" customHeight="false" outlineLevel="0" collapsed="false">
      <c r="A5026" s="1" t="s">
        <v>952</v>
      </c>
      <c r="B5026" s="0" t="s">
        <v>98</v>
      </c>
      <c r="F5026" s="6" t="n">
        <f aca="false">Sens!F4968*sbc_r</f>
        <v>14.9308704941267</v>
      </c>
      <c r="G5026" s="6" t="n">
        <f aca="false">Sens!G4968*sbc_r</f>
        <v>17.7641108812713</v>
      </c>
      <c r="H5026" s="6" t="n">
        <f aca="false">Sens!H4968*sbc_r</f>
        <v>20.6640880611968</v>
      </c>
      <c r="I5026" s="6" t="n">
        <f aca="false">Sens!I4968*sbc_r</f>
        <v>23.2917193506989</v>
      </c>
      <c r="J5026" s="6" t="n">
        <f aca="false">Sens!J4968*sbc_r</f>
        <v>25.4706785271986</v>
      </c>
      <c r="K5026" s="6" t="n">
        <f aca="false">Sens!K4968*sbc_r</f>
        <v>27.1931539304131</v>
      </c>
    </row>
    <row r="5027" customFormat="false" ht="17.15" hidden="false" customHeight="false" outlineLevel="0" collapsed="false">
      <c r="A5027" s="1" t="s">
        <v>953</v>
      </c>
      <c r="B5027" s="0" t="s">
        <v>98</v>
      </c>
      <c r="F5027" s="6" t="n">
        <f aca="false">wc27</f>
        <v>-4.895</v>
      </c>
      <c r="G5027" s="6" t="n">
        <f aca="false">wc_f</f>
        <v>0</v>
      </c>
      <c r="H5027" s="6" t="n">
        <f aca="false">wc_f</f>
        <v>0</v>
      </c>
      <c r="I5027" s="6" t="n">
        <f aca="false">wc_f</f>
        <v>0</v>
      </c>
      <c r="J5027" s="6" t="n">
        <f aca="false">wc_f</f>
        <v>0</v>
      </c>
      <c r="K5027" s="6" t="n">
        <f aca="false">wc_f</f>
        <v>0</v>
      </c>
      <c r="L5027" s="11" t="s">
        <v>954</v>
      </c>
    </row>
    <row r="5028" customFormat="false" ht="15" hidden="false" customHeight="false" outlineLevel="0" collapsed="false">
      <c r="A5028" s="1" t="s">
        <v>767</v>
      </c>
      <c r="B5028" s="0" t="s">
        <v>98</v>
      </c>
      <c r="E5028" s="6" t="n">
        <f aca="false">Q!M35</f>
        <v>182.935</v>
      </c>
      <c r="F5028" s="6" t="n">
        <f aca="false">Sens!F5022+Sens!F5025+Sens!F5026+Sens!F5027</f>
        <v>208.596249200042</v>
      </c>
      <c r="G5028" s="6" t="n">
        <f aca="false">Sens!G5022+Sens!G5025+Sens!G5026+Sens!G5027</f>
        <v>258.682527828552</v>
      </c>
      <c r="H5028" s="6" t="n">
        <f aca="false">Sens!H5022+Sens!H5025+Sens!H5026+Sens!H5027</f>
        <v>306.055125807601</v>
      </c>
      <c r="I5028" s="6" t="n">
        <f aca="false">Sens!I5022+Sens!I5025+Sens!I5026+Sens!I5027</f>
        <v>348.951789559479</v>
      </c>
      <c r="J5028" s="6" t="n">
        <f aca="false">Sens!J5022+Sens!J5025+Sens!J5026+Sens!J5027</f>
        <v>384.327952875252</v>
      </c>
      <c r="K5028" s="6" t="n">
        <f aca="false">Sens!K5022+Sens!K5025+Sens!K5026+Sens!K5027</f>
        <v>411.975898160139</v>
      </c>
    </row>
    <row r="5029" customFormat="false" ht="17.15" hidden="false" customHeight="false" outlineLevel="0" collapsed="false">
      <c r="A5029" s="0" t="s">
        <v>955</v>
      </c>
      <c r="B5029" s="0" t="s">
        <v>98</v>
      </c>
      <c r="F5029" s="6" t="n">
        <f aca="false">Sens!F4938</f>
        <v>160.332875871467</v>
      </c>
      <c r="G5029" s="6" t="n">
        <f aca="false">Sens!G4938</f>
        <v>183.5741804832</v>
      </c>
      <c r="H5029" s="6" t="n">
        <f aca="false">Sens!H4938</f>
        <v>188.0802859104</v>
      </c>
      <c r="I5029" s="6" t="n">
        <f aca="false">Sens!I4938</f>
        <v>133.447993807579</v>
      </c>
      <c r="J5029" s="6" t="n">
        <f aca="false">Sens!J4938</f>
        <v>111.743336927576</v>
      </c>
      <c r="K5029" s="6" t="n">
        <f aca="false">Sens!K4938</f>
        <v>76.3281642769239</v>
      </c>
    </row>
    <row r="5030" customFormat="false" ht="17.15" hidden="false" customHeight="false" outlineLevel="0" collapsed="false">
      <c r="A5030" s="1" t="s">
        <v>956</v>
      </c>
      <c r="B5030" s="0" t="s">
        <v>98</v>
      </c>
      <c r="E5030" s="6" t="n">
        <f aca="false">Sens!E4946*cx_azo+Sens!E4953*cx_m365+Sens!E4954*cx_lic+(Sens!E4956+Sens!E4958)*cx_ind+Sens!E4961*cx_srch+(Sens!E4963+Sens!E4965)*cx_dev</f>
        <v>30.1846587067718</v>
      </c>
      <c r="F5030" s="6" t="n">
        <f aca="false">Sens!F4946*cx_azo+Sens!F4953*cx_m365+Sens!F4954*cx_lic+(Sens!F4956+Sens!F4958)*cx_ind+Sens!F4961*cx_srch+(Sens!F4963+Sens!F4965)*cx_dev</f>
        <v>35.5793472295625</v>
      </c>
      <c r="G5030" s="6" t="n">
        <f aca="false">Sens!G4946*cx_azo+Sens!G4953*cx_m365+Sens!G4954*cx_lic+(Sens!G4956+Sens!G4958)*cx_ind+Sens!G4961*cx_srch+(Sens!G4963+Sens!G4965)*cx_dev</f>
        <v>41.1528935703892</v>
      </c>
      <c r="H5030" s="6" t="n">
        <f aca="false">Sens!H4946*cx_azo+Sens!H4953*cx_m365+Sens!H4954*cx_lic+(Sens!H4956+Sens!H4958)*cx_ind+Sens!H4961*cx_srch+(Sens!H4963+Sens!H4965)*cx_dev</f>
        <v>46.8115136440897</v>
      </c>
      <c r="I5030" s="6" t="n">
        <f aca="false">Sens!I4946*cx_azo+Sens!I4953*cx_m365+Sens!I4954*cx_lic+(Sens!I4956+Sens!I4958)*cx_ind+Sens!I4961*cx_srch+(Sens!I4963+Sens!I4965)*cx_dev</f>
        <v>52.1984003116439</v>
      </c>
      <c r="J5030" s="6" t="n">
        <f aca="false">Sens!J4946*cx_azo+Sens!J4953*cx_m365+Sens!J4954*cx_lic+(Sens!J4956+Sens!J4958)*cx_ind+Sens!J4961*cx_srch+(Sens!J4963+Sens!J4965)*cx_dev</f>
        <v>57.0809132503738</v>
      </c>
      <c r="K5030" s="6" t="n">
        <f aca="false">Sens!K4946*cx_azo+Sens!K4953*cx_m365+Sens!K4954*cx_lic+(Sens!K4956+Sens!K4958)*cx_ind+Sens!K4961*cx_srch+(Sens!K4963+Sens!K4965)*cx_dev</f>
        <v>61.368702741994</v>
      </c>
    </row>
    <row r="5031" customFormat="false" ht="17.15" hidden="false" customHeight="false" outlineLevel="0" collapsed="false">
      <c r="A5031" s="0" t="s">
        <v>957</v>
      </c>
      <c r="B5031" s="0" t="s">
        <v>98</v>
      </c>
      <c r="F5031" s="6" t="n">
        <f aca="false">Sens!F4936</f>
        <v>8.28777689897088</v>
      </c>
      <c r="L5031" s="1" t="s">
        <v>958</v>
      </c>
    </row>
    <row r="5032" customFormat="false" ht="17.15" hidden="false" customHeight="false" outlineLevel="0" collapsed="false">
      <c r="A5032" s="1" t="s">
        <v>959</v>
      </c>
      <c r="B5032" s="0" t="s">
        <v>98</v>
      </c>
      <c r="E5032" s="6" t="n">
        <f aca="false">Q!M42</f>
        <v>145.3</v>
      </c>
      <c r="F5032" s="6" t="n">
        <f aca="false">Sens!F5029+Sens!F5030+Sens!F5031</f>
        <v>204.2</v>
      </c>
      <c r="G5032" s="6" t="n">
        <f aca="false">Sens!G5029+Sens!G5030</f>
        <v>224.727074053589</v>
      </c>
      <c r="H5032" s="6" t="n">
        <f aca="false">Sens!H5029+Sens!H5030</f>
        <v>234.89179955449</v>
      </c>
      <c r="I5032" s="6" t="n">
        <f aca="false">Sens!I5029+Sens!I5030</f>
        <v>185.646394119223</v>
      </c>
      <c r="J5032" s="6" t="n">
        <f aca="false">Sens!J5029+Sens!J5030</f>
        <v>168.824250177949</v>
      </c>
      <c r="K5032" s="6" t="n">
        <f aca="false">Sens!K5029+Sens!K5030</f>
        <v>137.696867018918</v>
      </c>
      <c r="L5032" s="1" t="s">
        <v>960</v>
      </c>
    </row>
    <row r="5033" customFormat="false" ht="15" hidden="false" customHeight="false" outlineLevel="0" collapsed="false">
      <c r="A5033" s="1" t="s">
        <v>961</v>
      </c>
      <c r="B5033" s="0" t="s">
        <v>98</v>
      </c>
      <c r="E5033" s="6" t="n">
        <f aca="false">fl_liab</f>
        <v>66.594</v>
      </c>
      <c r="F5033" s="6" t="n">
        <f aca="false">Sens!E5033-Sens!F5034</f>
        <v>62.46973</v>
      </c>
      <c r="G5033" s="6" t="n">
        <f aca="false">Sens!F5033-Sens!G5034</f>
        <v>57.98686785</v>
      </c>
      <c r="H5033" s="6" t="n">
        <f aca="false">Sens!G5033-Sens!H5034</f>
        <v>53.92827690325</v>
      </c>
      <c r="I5033" s="6" t="n">
        <f aca="false">Sens!H5033-Sens!I5034</f>
        <v>49.7850493638962</v>
      </c>
      <c r="J5033" s="6" t="n">
        <f aca="false">Sens!I5033-Sens!J5034</f>
        <v>45.4823765852716</v>
      </c>
      <c r="K5033" s="6" t="n">
        <f aca="false">Sens!J5033-Sens!K5034</f>
        <v>40.9860835316088</v>
      </c>
    </row>
    <row r="5034" customFormat="false" ht="15" hidden="false" customHeight="false" outlineLevel="0" collapsed="false">
      <c r="A5034" s="1" t="s">
        <v>962</v>
      </c>
      <c r="B5034" s="0" t="s">
        <v>98</v>
      </c>
      <c r="F5034" s="6" t="n">
        <f aca="false">fl_pay_27-Sens!E5033*fl_rate</f>
        <v>4.12427</v>
      </c>
      <c r="G5034" s="6" t="n">
        <f aca="false">fl_pay_28-Sens!F5033*fl_rate</f>
        <v>4.48286215</v>
      </c>
      <c r="H5034" s="6" t="n">
        <f aca="false">fl_pay_29-Sens!G5033*fl_rate</f>
        <v>4.05859094675</v>
      </c>
      <c r="I5034" s="6" t="n">
        <f aca="false">fl_pay_30-Sens!H5033*fl_rate</f>
        <v>4.14322753935375</v>
      </c>
      <c r="J5034" s="6" t="n">
        <f aca="false">fl_pay_31-Sens!I5033*fl_rate</f>
        <v>4.30267277862467</v>
      </c>
      <c r="K5034" s="6" t="n">
        <f aca="false">fl_pay_32-Sens!J5033*fl_rate</f>
        <v>4.49629305366278</v>
      </c>
    </row>
    <row r="5035" customFormat="false" ht="17.15" hidden="false" customHeight="false" outlineLevel="0" collapsed="false">
      <c r="A5035" s="1" t="s">
        <v>963</v>
      </c>
      <c r="B5035" s="0" t="s">
        <v>98</v>
      </c>
      <c r="E5035" s="6" t="n">
        <f aca="false">Q!M35-Q!M36-Q!M43</f>
        <v>63.886</v>
      </c>
      <c r="F5035" s="6" t="n">
        <f aca="false">Sens!F5028-Sens!F5032-Sens!F5034</f>
        <v>0.271979200041978</v>
      </c>
      <c r="G5035" s="6" t="n">
        <f aca="false">Sens!G5028-Sens!G5032-Sens!G5034</f>
        <v>29.4725916249624</v>
      </c>
      <c r="H5035" s="6" t="n">
        <f aca="false">Sens!H5028-Sens!H5032-Sens!H5034</f>
        <v>67.1047353063614</v>
      </c>
      <c r="I5035" s="6" t="n">
        <f aca="false">Sens!I5028-Sens!I5032-Sens!I5034</f>
        <v>159.162167900903</v>
      </c>
      <c r="J5035" s="6" t="n">
        <f aca="false">Sens!J5028-Sens!J5032-Sens!J5034</f>
        <v>211.201029918678</v>
      </c>
      <c r="K5035" s="6" t="n">
        <f aca="false">Sens!K5028-Sens!K5032-Sens!K5034</f>
        <v>269.782738087559</v>
      </c>
      <c r="L5035" s="11" t="s">
        <v>964</v>
      </c>
    </row>
    <row r="5036" customFormat="false" ht="15" hidden="false" customHeight="false" outlineLevel="0" collapsed="false">
      <c r="A5036" s="1" t="s">
        <v>965</v>
      </c>
      <c r="B5036" s="0" t="s">
        <v>75</v>
      </c>
      <c r="F5036" s="8" t="n">
        <f aca="false">dps_27</f>
        <v>3.85</v>
      </c>
      <c r="G5036" s="8" t="n">
        <f aca="false">Sens!F5036*(1+dps_g)</f>
        <v>4.158</v>
      </c>
      <c r="H5036" s="8" t="n">
        <f aca="false">Sens!G5036*(1+dps_g)</f>
        <v>4.49064</v>
      </c>
      <c r="I5036" s="8" t="n">
        <f aca="false">Sens!H5036*(1+dps_g)</f>
        <v>4.8498912</v>
      </c>
      <c r="J5036" s="8" t="n">
        <f aca="false">Sens!I5036*(1+dps_g)</f>
        <v>5.237882496</v>
      </c>
      <c r="K5036" s="8" t="n">
        <f aca="false">Sens!J5036*(1+dps_g)</f>
        <v>5.65691309568</v>
      </c>
    </row>
    <row r="5037" customFormat="false" ht="17.15" hidden="false" customHeight="false" outlineLevel="0" collapsed="false">
      <c r="A5037" s="1" t="s">
        <v>966</v>
      </c>
      <c r="B5037" s="0" t="s">
        <v>98</v>
      </c>
      <c r="E5037" s="6" t="n">
        <f aca="false">Q!M41</f>
        <v>26.445</v>
      </c>
      <c r="F5037" s="6" t="n">
        <f aca="false">Sens!F5036*Sens!E5046</f>
        <v>28.59395</v>
      </c>
      <c r="G5037" s="6" t="n">
        <f aca="false">Sens!G5036*Sens!F5046</f>
        <v>31.068576</v>
      </c>
      <c r="H5037" s="6" t="n">
        <f aca="false">Sens!H5036*Sens!G5046</f>
        <v>33.75614088</v>
      </c>
      <c r="I5037" s="6" t="n">
        <f aca="false">Sens!I5036*Sens!H5046</f>
        <v>36.5075713903995</v>
      </c>
      <c r="J5037" s="6" t="n">
        <f aca="false">Sens!J5036*Sens!I5046</f>
        <v>39.4965759499509</v>
      </c>
      <c r="K5037" s="6" t="n">
        <f aca="false">Sens!K5036*Sens!J5046</f>
        <v>42.743557251252</v>
      </c>
      <c r="L5037" s="1" t="s">
        <v>967</v>
      </c>
    </row>
    <row r="5038" customFormat="false" ht="15" hidden="false" customHeight="false" outlineLevel="0" collapsed="false">
      <c r="A5038" s="1" t="s">
        <v>968</v>
      </c>
      <c r="B5038" s="0" t="s">
        <v>98</v>
      </c>
      <c r="E5038" s="6" t="n">
        <f aca="false">Sens!E5035-Sens!E5037</f>
        <v>37.441</v>
      </c>
      <c r="F5038" s="6" t="n">
        <f aca="false">Sens!F5035-Sens!F5037</f>
        <v>-28.321970799958</v>
      </c>
      <c r="G5038" s="6" t="n">
        <f aca="false">Sens!G5035-Sens!G5037</f>
        <v>-1.59598437503758</v>
      </c>
      <c r="H5038" s="6" t="n">
        <f aca="false">Sens!H5035-Sens!H5037</f>
        <v>33.3485944263614</v>
      </c>
      <c r="I5038" s="6" t="n">
        <f aca="false">Sens!I5035-Sens!I5037</f>
        <v>122.654596510503</v>
      </c>
      <c r="J5038" s="6" t="n">
        <f aca="false">Sens!J5035-Sens!J5037</f>
        <v>171.704453968727</v>
      </c>
      <c r="K5038" s="6" t="n">
        <f aca="false">Sens!K5035-Sens!K5037</f>
        <v>227.039180836307</v>
      </c>
    </row>
    <row r="5039" customFormat="false" ht="15" hidden="false" customHeight="false" outlineLevel="0" collapsed="false">
      <c r="A5039" s="1" t="s">
        <v>969</v>
      </c>
      <c r="B5039" s="0" t="s">
        <v>98</v>
      </c>
      <c r="F5039" s="6" t="n">
        <f aca="false">debt_mat_27</f>
        <v>9.25</v>
      </c>
      <c r="G5039" s="6" t="n">
        <f aca="false">debt_mat_28</f>
        <v>0</v>
      </c>
      <c r="H5039" s="6" t="n">
        <f aca="false">debt_mat_29</f>
        <v>2.001</v>
      </c>
      <c r="I5039" s="6" t="n">
        <f aca="false">debt_mat_30</f>
        <v>0</v>
      </c>
      <c r="J5039" s="6" t="n">
        <f aca="false">debt_mat_31</f>
        <v>0.5</v>
      </c>
      <c r="K5039" s="6" t="n">
        <f aca="false">debt_mat_32</f>
        <v>0</v>
      </c>
    </row>
    <row r="5040" customFormat="false" ht="15" hidden="false" customHeight="false" outlineLevel="0" collapsed="false">
      <c r="A5040" s="1" t="s">
        <v>970</v>
      </c>
      <c r="B5040" s="0" t="s">
        <v>98</v>
      </c>
      <c r="E5040" s="6" t="n">
        <f aca="false">Q!M40</f>
        <v>22.271</v>
      </c>
      <c r="F5040" s="6" t="n">
        <f aca="false">MAX(0,MIN(bb_target,Sens!E5042+Sens!F5038-Sens!F5039-min_cash))</f>
        <v>0</v>
      </c>
      <c r="G5040" s="6" t="n">
        <f aca="false">MAX(0,MIN(bb_target,Sens!F5042+Sens!G5038-Sens!G5039-min_cash))</f>
        <v>0</v>
      </c>
      <c r="H5040" s="6" t="n">
        <f aca="false">MAX(0,MIN(bb_target,Sens!G5042+Sens!H5038-Sens!H5039-min_cash))</f>
        <v>22.271</v>
      </c>
      <c r="I5040" s="6" t="n">
        <f aca="false">MAX(0,MIN(bb_target,Sens!H5042+Sens!I5038-Sens!I5039-min_cash))</f>
        <v>22.271</v>
      </c>
      <c r="J5040" s="6" t="n">
        <f aca="false">MAX(0,MIN(bb_target,Sens!I5042+Sens!J5038-Sens!J5039-min_cash))</f>
        <v>22.271</v>
      </c>
      <c r="K5040" s="6" t="n">
        <f aca="false">MAX(0,MIN(bb_target,Sens!J5042+Sens!K5038-Sens!K5039-min_cash))</f>
        <v>22.271</v>
      </c>
    </row>
    <row r="5041" customFormat="false" ht="15" hidden="false" customHeight="false" outlineLevel="0" collapsed="false">
      <c r="A5041" s="1" t="s">
        <v>971</v>
      </c>
      <c r="B5041" s="0" t="s">
        <v>98</v>
      </c>
      <c r="F5041" s="6" t="n">
        <f aca="false">MAX(0,min_cash-(Sens!E5042+Sens!F5038-Sens!F5039-Sens!F5040))</f>
        <v>10.728970799958</v>
      </c>
      <c r="G5041" s="6" t="n">
        <f aca="false">MAX(0,min_cash-(Sens!F5042+Sens!G5038-Sens!G5039-Sens!G5040))</f>
        <v>1.59598437503757</v>
      </c>
      <c r="H5041" s="6" t="n">
        <f aca="false">MAX(0,min_cash-(Sens!G5042+Sens!H5038-Sens!H5039-Sens!H5040))</f>
        <v>0</v>
      </c>
      <c r="I5041" s="6" t="n">
        <f aca="false">MAX(0,min_cash-(Sens!H5042+Sens!I5038-Sens!I5039-Sens!I5040))</f>
        <v>0</v>
      </c>
      <c r="J5041" s="6" t="n">
        <f aca="false">MAX(0,min_cash-(Sens!I5042+Sens!J5038-Sens!J5039-Sens!J5040))</f>
        <v>0</v>
      </c>
      <c r="K5041" s="6" t="n">
        <f aca="false">MAX(0,min_cash-(Sens!J5042+Sens!K5038-Sens!K5039-Sens!K5040))</f>
        <v>0</v>
      </c>
    </row>
    <row r="5042" customFormat="false" ht="15" hidden="false" customHeight="false" outlineLevel="0" collapsed="false">
      <c r="A5042" s="1" t="s">
        <v>972</v>
      </c>
      <c r="B5042" s="0" t="s">
        <v>98</v>
      </c>
      <c r="E5042" s="6" t="n">
        <f aca="false">cash_open</f>
        <v>76.843</v>
      </c>
      <c r="F5042" s="6" t="n">
        <f aca="false">Sens!E5042+Sens!F5038-Sens!F5039-Sens!F5040+Sens!F5041</f>
        <v>50</v>
      </c>
      <c r="G5042" s="6" t="n">
        <f aca="false">Sens!F5042+Sens!G5038-Sens!G5039-Sens!G5040+Sens!G5041</f>
        <v>50</v>
      </c>
      <c r="H5042" s="6" t="n">
        <f aca="false">Sens!G5042+Sens!H5038-Sens!H5039-Sens!H5040+Sens!H5041</f>
        <v>59.0765944263614</v>
      </c>
      <c r="I5042" s="6" t="n">
        <f aca="false">Sens!H5042+Sens!I5038-Sens!I5039-Sens!I5040+Sens!I5041</f>
        <v>159.460190936865</v>
      </c>
      <c r="J5042" s="6" t="n">
        <f aca="false">Sens!I5042+Sens!J5038-Sens!J5039-Sens!J5040+Sens!J5041</f>
        <v>308.393644905592</v>
      </c>
      <c r="K5042" s="6" t="n">
        <f aca="false">Sens!J5042+Sens!K5038-Sens!K5039-Sens!K5040+Sens!K5041</f>
        <v>513.161825741898</v>
      </c>
    </row>
    <row r="5043" customFormat="false" ht="15" hidden="false" customHeight="false" outlineLevel="0" collapsed="false">
      <c r="A5043" s="1" t="s">
        <v>973</v>
      </c>
      <c r="B5043" s="0" t="s">
        <v>98</v>
      </c>
      <c r="E5043" s="6" t="n">
        <f aca="false">debt_face</f>
        <v>46.136</v>
      </c>
      <c r="F5043" s="6" t="n">
        <f aca="false">Sens!E5043-Sens!F5039+Sens!F5041</f>
        <v>47.614970799958</v>
      </c>
      <c r="G5043" s="6" t="n">
        <f aca="false">Sens!F5043-Sens!G5039+Sens!G5041</f>
        <v>49.2109551749956</v>
      </c>
      <c r="H5043" s="6" t="n">
        <f aca="false">Sens!G5043-Sens!H5039+Sens!H5041</f>
        <v>47.2099551749956</v>
      </c>
      <c r="I5043" s="6" t="n">
        <f aca="false">Sens!H5043-Sens!I5039+Sens!I5041</f>
        <v>47.2099551749956</v>
      </c>
      <c r="J5043" s="6" t="n">
        <f aca="false">Sens!I5043-Sens!J5039+Sens!J5041</f>
        <v>46.7099551749956</v>
      </c>
      <c r="K5043" s="6" t="n">
        <f aca="false">Sens!J5043-Sens!K5039+Sens!K5041</f>
        <v>46.7099551749956</v>
      </c>
    </row>
    <row r="5044" customFormat="false" ht="15" hidden="false" customHeight="false" outlineLevel="0" collapsed="false">
      <c r="A5044" s="1" t="s">
        <v>974</v>
      </c>
      <c r="B5044" s="0" t="s">
        <v>98</v>
      </c>
      <c r="E5044" s="6" t="n">
        <f aca="false">Sens!E5042-Sens!E5043</f>
        <v>30.707</v>
      </c>
      <c r="F5044" s="6" t="n">
        <f aca="false">Sens!F5042-Sens!F5043</f>
        <v>2.38502920004198</v>
      </c>
      <c r="G5044" s="6" t="n">
        <f aca="false">Sens!G5042-Sens!G5043</f>
        <v>0.789044825004403</v>
      </c>
      <c r="H5044" s="6" t="n">
        <f aca="false">Sens!H5042-Sens!H5043</f>
        <v>11.8666392513658</v>
      </c>
      <c r="I5044" s="6" t="n">
        <f aca="false">Sens!I5042-Sens!I5043</f>
        <v>112.250235761869</v>
      </c>
      <c r="J5044" s="6" t="n">
        <f aca="false">Sens!J5042-Sens!J5043</f>
        <v>261.683689730596</v>
      </c>
      <c r="K5044" s="6" t="n">
        <f aca="false">Sens!K5042-Sens!K5043</f>
        <v>466.451870566903</v>
      </c>
    </row>
    <row r="5045" customFormat="false" ht="15" hidden="false" customHeight="false" outlineLevel="0" collapsed="false">
      <c r="A5045" s="1" t="s">
        <v>975</v>
      </c>
      <c r="B5045" s="0" t="s">
        <v>75</v>
      </c>
      <c r="F5045" s="29" t="n">
        <f aca="false">px*(1+bb_g)^(Sens!F4907-base_fy-mid_yr)</f>
        <v>553.494156066711</v>
      </c>
      <c r="G5045" s="29" t="n">
        <f aca="false">px*(1+bb_g)^(Sens!G4907-base_fy-mid_yr)</f>
        <v>597.773688552047</v>
      </c>
      <c r="H5045" s="29" t="n">
        <f aca="false">px*(1+bb_g)^(Sens!H4907-base_fy-mid_yr)</f>
        <v>645.595583636211</v>
      </c>
      <c r="I5045" s="29" t="n">
        <f aca="false">px*(1+bb_g)^(Sens!I4907-base_fy-mid_yr)</f>
        <v>697.243230327108</v>
      </c>
      <c r="J5045" s="29" t="n">
        <f aca="false">px*(1+bb_g)^(Sens!J4907-base_fy-mid_yr)</f>
        <v>753.022688753277</v>
      </c>
      <c r="K5045" s="29" t="n">
        <f aca="false">px*(1+bb_g)^(Sens!K4907-base_fy-mid_yr)</f>
        <v>813.264503853539</v>
      </c>
    </row>
    <row r="5046" customFormat="false" ht="15" hidden="false" customHeight="false" outlineLevel="0" collapsed="false">
      <c r="A5046" s="1" t="s">
        <v>976</v>
      </c>
      <c r="B5046" s="1" t="s">
        <v>81</v>
      </c>
      <c r="E5046" s="14" t="n">
        <f aca="false">sh_out26</f>
        <v>7.427</v>
      </c>
      <c r="F5046" s="14" t="n">
        <f aca="false">Sens!E5046+sh_iss-Sens!F5040/Sens!F5045</f>
        <v>7.472</v>
      </c>
      <c r="G5046" s="14" t="n">
        <f aca="false">Sens!F5046+sh_iss-Sens!G5040/Sens!G5045</f>
        <v>7.517</v>
      </c>
      <c r="H5046" s="14" t="n">
        <f aca="false">Sens!G5046+sh_iss-Sens!H5040/Sens!H5045</f>
        <v>7.5275031716999</v>
      </c>
      <c r="I5046" s="14" t="n">
        <f aca="false">Sens!H5046+sh_iss-Sens!I5040/Sens!I5045</f>
        <v>7.54056166401463</v>
      </c>
      <c r="J5046" s="14" t="n">
        <f aca="false">Sens!I5046+sh_iss-Sens!J5040/Sens!J5045</f>
        <v>7.55598619393567</v>
      </c>
      <c r="K5046" s="14" t="n">
        <f aca="false">Sens!J5046+sh_iss-Sens!K5040/Sens!K5045</f>
        <v>7.57360149941811</v>
      </c>
    </row>
    <row r="5047" customFormat="false" ht="15" hidden="false" customHeight="false" outlineLevel="0" collapsed="false">
      <c r="A5047" s="1" t="s">
        <v>977</v>
      </c>
      <c r="B5047" s="1" t="s">
        <v>81</v>
      </c>
      <c r="E5047" s="14" t="n">
        <f aca="false">sh_dil26</f>
        <v>7.453</v>
      </c>
      <c r="F5047" s="14" t="n">
        <f aca="false">(Sens!E5046+Sens!F5046)/2+dil_gap</f>
        <v>7.4735</v>
      </c>
      <c r="G5047" s="14" t="n">
        <f aca="false">(Sens!F5046+Sens!G5046)/2+dil_gap</f>
        <v>7.5185</v>
      </c>
      <c r="H5047" s="14" t="n">
        <f aca="false">(Sens!G5046+Sens!H5046)/2+dil_gap</f>
        <v>7.54625158584995</v>
      </c>
      <c r="I5047" s="14" t="n">
        <f aca="false">(Sens!H5046+Sens!I5046)/2+dil_gap</f>
        <v>7.55803241785726</v>
      </c>
      <c r="J5047" s="14" t="n">
        <f aca="false">(Sens!I5046+Sens!J5046)/2+dil_gap</f>
        <v>7.57227392897515</v>
      </c>
      <c r="K5047" s="14" t="n">
        <f aca="false">(Sens!J5046+Sens!K5046)/2+dil_gap</f>
        <v>7.58879384667689</v>
      </c>
    </row>
    <row r="5048" customFormat="false" ht="17.15" hidden="false" customHeight="false" outlineLevel="0" collapsed="false">
      <c r="A5048" s="1" t="s">
        <v>978</v>
      </c>
      <c r="B5048" s="0" t="s">
        <v>98</v>
      </c>
      <c r="C5048" s="6" t="n">
        <f aca="false">SUM(Sens!F5038:J5038)</f>
        <v>297.789689730596</v>
      </c>
    </row>
    <row r="5049" customFormat="false" ht="15" hidden="false" customHeight="false" outlineLevel="0" collapsed="false">
      <c r="A5049" s="23" t="s">
        <v>945</v>
      </c>
      <c r="B5049" s="30" t="s">
        <v>98</v>
      </c>
      <c r="C5049" s="24" t="n">
        <f aca="false">Sens!$C$5048-(Sens!F5038+Sens!G5038+Sens!H5038+Sens!I5038+Sens!J5038)</f>
        <v>0</v>
      </c>
      <c r="D5049" s="30"/>
      <c r="E5049" s="30"/>
      <c r="F5049" s="30"/>
      <c r="G5049" s="30"/>
      <c r="H5049" s="30"/>
      <c r="I5049" s="30"/>
      <c r="J5049" s="30"/>
      <c r="K5049" s="30"/>
    </row>
    <row r="5050" customFormat="false" ht="17.15" hidden="false" customHeight="false" outlineLevel="0" collapsed="false">
      <c r="A5050" s="1" t="s">
        <v>939</v>
      </c>
      <c r="B5050" s="1" t="s">
        <v>979</v>
      </c>
      <c r="C5050" s="32" t="str">
        <f aca="false">IF(SUM(Sens!F5041:J5041)&gt;0.05,"需要舉債 "&amp;TEXT(SUM(Sens!F5041:J5041),"0.0")&amp;" 十億美元","不需舉債")&amp;"；"&amp;IF(SUM(Sens!F5040:J5040)&lt;COUNT(Sens!F5040:J5040)*bb_target-0.05,"回購較每年 "&amp;TEXT(bb_target,"0.0")&amp;" 的目標少 "&amp;TEXT(COUNT(Sens!F5040:J5040)*bb_target-SUM(Sens!F5040:J5040),"0.0")&amp;" 十億美元（"&amp;TEXT(COUNTIF(Sens!F5040:J5040,"&lt;"&amp;(bb_target-0.05)),"0")&amp;" 年減少）","回購不減")</f>
        <v>需要舉債 12.3 十億美元；回購較每年 22.3 的目標少 44.5 十億美元（2 年減少）</v>
      </c>
    </row>
    <row r="5051" customFormat="false" ht="17.15" hidden="false" customHeight="false" outlineLevel="0" collapsed="false">
      <c r="A5051" s="3" t="s">
        <v>1391</v>
      </c>
    </row>
    <row r="5052" customFormat="false" ht="15" hidden="false" customHeight="false" outlineLevel="0" collapsed="false">
      <c r="A5052" s="4" t="s">
        <v>43</v>
      </c>
      <c r="B5052" s="4" t="s">
        <v>65</v>
      </c>
      <c r="C5052" s="20" t="s">
        <v>799</v>
      </c>
      <c r="D5052" s="20" t="s">
        <v>800</v>
      </c>
      <c r="E5052" s="20" t="s">
        <v>801</v>
      </c>
      <c r="F5052" s="20" t="s">
        <v>802</v>
      </c>
      <c r="G5052" s="20" t="s">
        <v>803</v>
      </c>
      <c r="H5052" s="20" t="s">
        <v>804</v>
      </c>
      <c r="I5052" s="20" t="s">
        <v>805</v>
      </c>
      <c r="J5052" s="20" t="s">
        <v>806</v>
      </c>
      <c r="K5052" s="20" t="s">
        <v>807</v>
      </c>
      <c r="L5052" s="4" t="s">
        <v>47</v>
      </c>
    </row>
    <row r="5053" customFormat="false" ht="15" hidden="false" customHeight="false" outlineLevel="0" collapsed="false">
      <c r="A5053" s="1" t="s">
        <v>1057</v>
      </c>
      <c r="B5053" s="1" t="s">
        <v>235</v>
      </c>
      <c r="F5053" s="36" t="n">
        <f aca="false">Sens!F4907-base_fy-mid_yr</f>
        <v>0.5</v>
      </c>
      <c r="G5053" s="36" t="n">
        <f aca="false">Sens!G4907-base_fy-mid_yr</f>
        <v>1.5</v>
      </c>
      <c r="H5053" s="36" t="n">
        <f aca="false">Sens!H4907-base_fy-mid_yr</f>
        <v>2.5</v>
      </c>
      <c r="I5053" s="36" t="n">
        <f aca="false">Sens!I4907-base_fy-mid_yr</f>
        <v>3.5</v>
      </c>
      <c r="J5053" s="36" t="n">
        <f aca="false">Sens!J4907-base_fy-mid_yr</f>
        <v>4.5</v>
      </c>
      <c r="K5053" s="36" t="n">
        <f aca="false">Sens!K4907-base_fy-mid_yr</f>
        <v>5.5</v>
      </c>
    </row>
    <row r="5054" customFormat="false" ht="15" hidden="false" customHeight="false" outlineLevel="0" collapsed="false">
      <c r="A5054" s="1" t="s">
        <v>1058</v>
      </c>
      <c r="B5054" s="0" t="s">
        <v>185</v>
      </c>
      <c r="F5054" s="14" t="n">
        <f aca="false">1/(1+wacc)^Sens!F5053</f>
        <v>0.952193373608246</v>
      </c>
      <c r="G5054" s="14" t="n">
        <f aca="false">1/(1+wacc)^Sens!G5053</f>
        <v>0.863327280626589</v>
      </c>
      <c r="H5054" s="14" t="n">
        <f aca="false">1/(1+wacc)^Sens!H5053</f>
        <v>0.782754862754115</v>
      </c>
      <c r="I5054" s="14" t="n">
        <f aca="false">1/(1+wacc)^Sens!I5053</f>
        <v>0.709702089711011</v>
      </c>
      <c r="J5054" s="14" t="n">
        <f aca="false">1/(1+wacc)^Sens!J5053</f>
        <v>0.643467169744551</v>
      </c>
      <c r="K5054" s="14" t="n">
        <f aca="false">1/(1+wacc)^Sens!K5053</f>
        <v>0.583413807767797</v>
      </c>
    </row>
    <row r="5055" customFormat="false" ht="17.15" hidden="false" customHeight="false" outlineLevel="0" collapsed="false">
      <c r="A5055" s="1" t="s">
        <v>1059</v>
      </c>
      <c r="B5055" s="0" t="s">
        <v>98</v>
      </c>
      <c r="F5055" s="6" t="n">
        <f aca="false">Sens!F5028-Sens!F5026-Sens!F5032+Sens!F5011*(1-tax_f)</f>
        <v>-3.04713986783877</v>
      </c>
      <c r="G5055" s="6" t="n">
        <f aca="false">Sens!G5028-Sens!G5026-Sens!G5032+Sens!G5011*(1-tax_f)</f>
        <v>35.4303656045192</v>
      </c>
      <c r="H5055" s="6" t="n">
        <f aca="false">Sens!H5028-Sens!H5026-Sens!H5032+Sens!H5011*(1-tax_f)</f>
        <v>82.7169853477421</v>
      </c>
      <c r="I5055" s="6" t="n">
        <f aca="false">Sens!I5028-Sens!I5026-Sens!I5032+Sens!I5011*(1-tax_f)</f>
        <v>183.68749497131</v>
      </c>
      <c r="J5055" s="6" t="n">
        <f aca="false">Sens!J5028-Sens!J5026-Sens!J5032+Sens!J5011*(1-tax_f)</f>
        <v>241.873531484184</v>
      </c>
      <c r="K5055" s="6" t="n">
        <f aca="false">Sens!K5028-Sens!K5026-Sens!K5032+Sens!K5011*(1-tax_f)</f>
        <v>303.022727992897</v>
      </c>
      <c r="L5055" s="1" t="s">
        <v>1060</v>
      </c>
    </row>
    <row r="5056" customFormat="false" ht="15" hidden="false" customHeight="false" outlineLevel="0" collapsed="false">
      <c r="A5056" s="1" t="s">
        <v>1061</v>
      </c>
      <c r="B5056" s="0" t="s">
        <v>98</v>
      </c>
      <c r="F5056" s="6" t="n">
        <f aca="false">Sens!F5055*Sens!F5054</f>
        <v>-2.90146639061358</v>
      </c>
      <c r="G5056" s="6" t="n">
        <f aca="false">Sens!G5055*Sens!G5054</f>
        <v>30.5880011889554</v>
      </c>
      <c r="H5056" s="6" t="n">
        <f aca="false">Sens!H5055*Sens!H5054</f>
        <v>64.7471225133061</v>
      </c>
      <c r="I5056" s="6" t="n">
        <f aca="false">Sens!I5055*Sens!I5054</f>
        <v>130.363399034919</v>
      </c>
      <c r="J5056" s="6" t="n">
        <f aca="false">Sens!J5055*Sens!J5054</f>
        <v>155.637676740248</v>
      </c>
      <c r="K5056" s="6" t="n">
        <f aca="false">Sens!K5055*Sens!K5054</f>
        <v>176.787643578521</v>
      </c>
    </row>
    <row r="5057" customFormat="false" ht="17.15" hidden="false" customHeight="false" outlineLevel="0" collapsed="false">
      <c r="A5057" s="1" t="s">
        <v>1062</v>
      </c>
      <c r="B5057" s="0" t="s">
        <v>98</v>
      </c>
      <c r="C5057" s="6" t="n">
        <f aca="false">SUM(Sens!F5056:K5056)</f>
        <v>555.222376665336</v>
      </c>
    </row>
    <row r="5058" customFormat="false" ht="17.15" hidden="false" customHeight="false" outlineLevel="0" collapsed="false">
      <c r="A5058" s="1" t="s">
        <v>1063</v>
      </c>
      <c r="B5058" s="0" t="s">
        <v>98</v>
      </c>
      <c r="C5058" s="6" t="n">
        <f aca="false">Sens!K4997*(1+g_tv)*(1-tax_f)</f>
        <v>294.496840112358</v>
      </c>
    </row>
    <row r="5059" customFormat="false" ht="17.15" hidden="false" customHeight="false" outlineLevel="0" collapsed="false">
      <c r="A5059" s="1" t="s">
        <v>1064</v>
      </c>
      <c r="B5059" s="0" t="s">
        <v>98</v>
      </c>
      <c r="C5059" s="6" t="n">
        <f aca="false">Sens!$C$5058*(1-g_tv/(wacc+ronic_prem))</f>
        <v>208.666413366871</v>
      </c>
    </row>
    <row r="5060" customFormat="false" ht="17.15" hidden="false" customHeight="false" outlineLevel="0" collapsed="false">
      <c r="A5060" s="1" t="s">
        <v>1065</v>
      </c>
      <c r="B5060" s="0" t="s">
        <v>98</v>
      </c>
      <c r="C5060" s="6" t="n">
        <f aca="false">Sens!$C$5059/(wacc-g_tv)</f>
        <v>2861.01422484956</v>
      </c>
    </row>
    <row r="5061" customFormat="false" ht="15" hidden="false" customHeight="false" outlineLevel="0" collapsed="false">
      <c r="A5061" s="1" t="s">
        <v>1066</v>
      </c>
      <c r="B5061" s="0" t="s">
        <v>98</v>
      </c>
      <c r="C5061" s="6" t="n">
        <f aca="false">Sens!$C$5060/(1+wacc)^(Sens!K5053+mid_yr)</f>
        <v>1589.35852381777</v>
      </c>
    </row>
    <row r="5062" customFormat="false" ht="17.15" hidden="false" customHeight="false" outlineLevel="0" collapsed="false">
      <c r="A5062" s="0" t="s">
        <v>986</v>
      </c>
      <c r="B5062" s="0" t="s">
        <v>98</v>
      </c>
      <c r="C5062" s="6" t="n">
        <f aca="false">Sens!$C$5057+Sens!$C$5061</f>
        <v>2144.58090048311</v>
      </c>
    </row>
    <row r="5063" customFormat="false" ht="15" hidden="false" customHeight="false" outlineLevel="0" collapsed="false">
      <c r="A5063" s="1" t="s">
        <v>987</v>
      </c>
      <c r="B5063" s="0" t="s">
        <v>129</v>
      </c>
      <c r="C5063" s="7" t="n">
        <f aca="false">Sens!$C$5061/Sens!$C$5062</f>
        <v>0.741104485011378</v>
      </c>
    </row>
    <row r="5064" customFormat="false" ht="17.15" hidden="false" customHeight="false" outlineLevel="0" collapsed="false">
      <c r="A5064" s="1" t="s">
        <v>1067</v>
      </c>
      <c r="B5064" s="0" t="s">
        <v>98</v>
      </c>
      <c r="C5064" s="6" t="n">
        <f aca="false">Sens!$C$5062+Sens!E5044-Sens!E5033+oai_v</f>
        <v>2279.09390048311</v>
      </c>
    </row>
    <row r="5065" customFormat="false" ht="17.15" hidden="false" customHeight="false" outlineLevel="0" collapsed="false">
      <c r="A5065" s="0" t="s">
        <v>994</v>
      </c>
      <c r="B5065" s="0" t="s">
        <v>75</v>
      </c>
      <c r="C5065" s="5" t="n">
        <f aca="false">Sens!$C$5064/sh_dil26</f>
        <v>305.795505230525</v>
      </c>
    </row>
    <row r="5066" customFormat="false" ht="15" hidden="false" customHeight="false" outlineLevel="0" collapsed="false">
      <c r="A5066" s="1" t="s">
        <v>1068</v>
      </c>
      <c r="B5066" s="0" t="s">
        <v>75</v>
      </c>
      <c r="C5066" s="8" t="n">
        <f aca="false">dps_27+Sens!G5036*roll_div_q/q_per_yr</f>
        <v>4.8895</v>
      </c>
    </row>
    <row r="5067" customFormat="false" ht="17.15" hidden="false" customHeight="false" outlineLevel="0" collapsed="false">
      <c r="A5067" s="0" t="s">
        <v>1069</v>
      </c>
      <c r="B5067" s="0" t="s">
        <v>75</v>
      </c>
      <c r="C5067" s="5" t="n">
        <f aca="false">Sens!$C$5065*(1+wacc)^t_roll-Sens!$C$5066</f>
        <v>343.330052172893</v>
      </c>
    </row>
    <row r="5068" customFormat="false" ht="17.15" hidden="false" customHeight="false" outlineLevel="0" collapsed="false">
      <c r="A5068" s="1" t="s">
        <v>1070</v>
      </c>
      <c r="B5068" s="0" t="s">
        <v>129</v>
      </c>
      <c r="F5068" s="7" t="n">
        <f aca="false">Sens!F5023/(Sens!F4968-Sens!F4924)</f>
        <v>0.0764609694985967</v>
      </c>
      <c r="G5068" s="7" t="n">
        <f aca="false">Sens!G5023/(Sens!G4968-Sens!G4924)</f>
        <v>0.0720970477817951</v>
      </c>
      <c r="H5068" s="7" t="n">
        <f aca="false">Sens!H5023/(Sens!H4968-Sens!H4924)</f>
        <v>0.0694289414201289</v>
      </c>
      <c r="I5068" s="7" t="n">
        <f aca="false">Sens!I5023/(Sens!I4968-Sens!I4924)</f>
        <v>0.0682659544259104</v>
      </c>
      <c r="J5068" s="7" t="n">
        <f aca="false">Sens!J5023/(Sens!J4968-Sens!J4924)</f>
        <v>0.0682528241397288</v>
      </c>
      <c r="K5068" s="7" t="n">
        <f aca="false">Sens!K5023/(Sens!K4968-Sens!K4924)</f>
        <v>0.0689820402288369</v>
      </c>
    </row>
    <row r="5069" customFormat="false" ht="17.15" hidden="false" customHeight="false" outlineLevel="0" collapsed="false">
      <c r="A5069" s="0" t="s">
        <v>1071</v>
      </c>
      <c r="B5069" s="0" t="s">
        <v>98</v>
      </c>
      <c r="F5069" s="6" t="n">
        <f aca="false">Sens!F4953*(al_m365+Sens!F5068+sbc_r)</f>
        <v>84.8705648211015</v>
      </c>
      <c r="G5069" s="6" t="n">
        <f aca="false">Sens!G4953*(al_m365+Sens!G5068+sbc_r)</f>
        <v>97.2300464612171</v>
      </c>
      <c r="H5069" s="6" t="n">
        <f aca="false">Sens!H4953*(al_m365+Sens!H5068+sbc_r)</f>
        <v>109.751827584099</v>
      </c>
      <c r="I5069" s="6" t="n">
        <f aca="false">Sens!I4953*(al_m365+Sens!I5068+sbc_r)</f>
        <v>121.254431127445</v>
      </c>
      <c r="J5069" s="6" t="n">
        <f aca="false">Sens!J4953*(al_m365+Sens!J5068+sbc_r)</f>
        <v>131.553516718394</v>
      </c>
      <c r="K5069" s="6" t="n">
        <f aca="false">Sens!K4953*(al_m365+Sens!K5068+sbc_r)</f>
        <v>141.469288973896</v>
      </c>
      <c r="L5069" s="11" t="s">
        <v>1072</v>
      </c>
    </row>
    <row r="5070" customFormat="false" ht="17.15" hidden="false" customHeight="false" outlineLevel="0" collapsed="false">
      <c r="A5070" s="0" t="s">
        <v>1073</v>
      </c>
      <c r="B5070" s="0" t="s">
        <v>98</v>
      </c>
      <c r="F5070" s="6" t="n">
        <f aca="false">Sens!F4954*(al_lic+Sens!F5068+sbc_r)</f>
        <v>33.7521674788692</v>
      </c>
      <c r="G5070" s="6" t="n">
        <f aca="false">Sens!G4954*(al_lic+Sens!G5068+sbc_r)</f>
        <v>35.0036514181392</v>
      </c>
      <c r="H5070" s="6" t="n">
        <f aca="false">Sens!H4954*(al_lic+Sens!H5068+sbc_r)</f>
        <v>36.1776661231726</v>
      </c>
      <c r="I5070" s="6" t="n">
        <f aca="false">Sens!I4954*(al_lic+Sens!I5068+sbc_r)</f>
        <v>37.2547653061003</v>
      </c>
      <c r="J5070" s="6" t="n">
        <f aca="false">Sens!J4954*(al_lic+Sens!J5068+sbc_r)</f>
        <v>38.2073820883652</v>
      </c>
      <c r="K5070" s="6" t="n">
        <f aca="false">Sens!K4954*(al_lic+Sens!K5068+sbc_r)</f>
        <v>39.00474325327</v>
      </c>
    </row>
    <row r="5071" customFormat="false" ht="17.15" hidden="false" customHeight="false" outlineLevel="0" collapsed="false">
      <c r="A5071" s="0" t="s">
        <v>1074</v>
      </c>
      <c r="B5071" s="0" t="s">
        <v>98</v>
      </c>
      <c r="F5071" s="6" t="n">
        <f aca="false">Sens!F4956*(al_ind+Sens!F5068+sbc_r)</f>
        <v>9.25239155408847</v>
      </c>
      <c r="G5071" s="6" t="n">
        <f aca="false">Sens!G4956*(al_ind+Sens!G5068+sbc_r)</f>
        <v>10.0073597646373</v>
      </c>
      <c r="H5071" s="6" t="n">
        <f aca="false">Sens!H4956*(al_ind+Sens!H5068+sbc_r)</f>
        <v>10.8105302896098</v>
      </c>
      <c r="I5071" s="6" t="n">
        <f aca="false">Sens!I4956*(al_ind+Sens!I5068+sbc_r)</f>
        <v>11.6588326961634</v>
      </c>
      <c r="J5071" s="6" t="n">
        <f aca="false">Sens!J4956*(al_ind+Sens!J5068+sbc_r)</f>
        <v>12.5419445004935</v>
      </c>
      <c r="K5071" s="6" t="n">
        <f aca="false">Sens!K4956*(al_ind+Sens!K5068+sbc_r)</f>
        <v>13.4440057106526</v>
      </c>
    </row>
    <row r="5072" customFormat="false" ht="17.15" hidden="false" customHeight="false" outlineLevel="0" collapsed="false">
      <c r="A5072" s="0" t="s">
        <v>1075</v>
      </c>
      <c r="B5072" s="0" t="s">
        <v>98</v>
      </c>
      <c r="F5072" s="6" t="n">
        <f aca="false">Sens!F4958*(al_fro+Sens!F5068+sbc_r)</f>
        <v>3.64177379899412</v>
      </c>
      <c r="G5072" s="6" t="n">
        <f aca="false">Sens!G4958*(al_fro+Sens!G5068+sbc_r)</f>
        <v>3.84223449776494</v>
      </c>
      <c r="H5072" s="6" t="n">
        <f aca="false">Sens!H4958*(al_fro+Sens!H5068+sbc_r)</f>
        <v>4.07377783113234</v>
      </c>
      <c r="I5072" s="6" t="n">
        <f aca="false">Sens!I4958*(al_fro+Sens!I5068+sbc_r)</f>
        <v>4.33894302079168</v>
      </c>
      <c r="J5072" s="6" t="n">
        <f aca="false">Sens!J4958*(al_fro+Sens!J5068+sbc_r)</f>
        <v>4.63849306231531</v>
      </c>
      <c r="K5072" s="6" t="n">
        <f aca="false">Sens!K4958*(al_fro+Sens!K5068+sbc_r)</f>
        <v>4.97210996398015</v>
      </c>
    </row>
    <row r="5073" customFormat="false" ht="17.15" hidden="false" customHeight="false" outlineLevel="0" collapsed="false">
      <c r="A5073" s="0" t="s">
        <v>1076</v>
      </c>
      <c r="B5073" s="0" t="s">
        <v>98</v>
      </c>
      <c r="F5073" s="6" t="n">
        <f aca="false">Sens!F4961*(al_srch+Sens!F5068+sbc_r)</f>
        <v>11.4268372483331</v>
      </c>
      <c r="G5073" s="6" t="n">
        <f aca="false">Sens!G4961*(al_srch+Sens!G5068+sbc_r)</f>
        <v>12.4758480724715</v>
      </c>
      <c r="H5073" s="6" t="n">
        <f aca="false">Sens!H4961*(al_srch+Sens!H5068+sbc_r)</f>
        <v>13.5730130494077</v>
      </c>
      <c r="I5073" s="6" t="n">
        <f aca="false">Sens!I4961*(al_srch+Sens!I5068+sbc_r)</f>
        <v>14.7078837597327</v>
      </c>
      <c r="J5073" s="6" t="n">
        <f aca="false">Sens!J4961*(al_srch+Sens!J5068+sbc_r)</f>
        <v>15.8598727046392</v>
      </c>
      <c r="K5073" s="6" t="n">
        <f aca="false">Sens!K4961*(al_srch+Sens!K5068+sbc_r)</f>
        <v>17.0005710998804</v>
      </c>
    </row>
    <row r="5074" customFormat="false" ht="17.15" hidden="false" customHeight="false" outlineLevel="0" collapsed="false">
      <c r="A5074" s="0" t="s">
        <v>1077</v>
      </c>
      <c r="B5074" s="0" t="s">
        <v>98</v>
      </c>
      <c r="F5074" s="6" t="n">
        <f aca="false">Sens!F4930-Sens!F4931+Sens!F5011</f>
        <v>42.2858619814915</v>
      </c>
      <c r="G5074" s="6" t="n">
        <f aca="false">Sens!G4930-Sens!G4931+Sens!G5011</f>
        <v>79.8169017721761</v>
      </c>
      <c r="H5074" s="6" t="n">
        <f aca="false">Sens!H4930-Sens!H4931+Sens!H5011</f>
        <v>120.228398426633</v>
      </c>
      <c r="I5074" s="6" t="n">
        <f aca="false">Sens!I4930-Sens!I4931+Sens!I5011</f>
        <v>155.047174404404</v>
      </c>
      <c r="J5074" s="6" t="n">
        <f aca="false">Sens!J4930-Sens!J4931+Sens!J5011</f>
        <v>180.11010285347</v>
      </c>
      <c r="K5074" s="6" t="n">
        <f aca="false">Sens!K4930-Sens!K4931+Sens!K5011</f>
        <v>194.10321001463</v>
      </c>
    </row>
    <row r="5075" customFormat="false" ht="17.15" hidden="false" customHeight="false" outlineLevel="0" collapsed="false">
      <c r="A5075" s="0" t="s">
        <v>1078</v>
      </c>
      <c r="B5075" s="0" t="s">
        <v>98</v>
      </c>
      <c r="F5075" s="6" t="n">
        <f aca="false">Sens!F4990+Sens!F5011+Sens!F4941+Sens!F5068*(Sens!F4960-Sens!F4924)+sbc_r*Sens!F4960</f>
        <v>232.213342790364</v>
      </c>
      <c r="G5075" s="6" t="n">
        <f aca="false">Sens!G4990+Sens!G5011+Sens!G4941+Sens!G5068*(Sens!G4960-Sens!G4924)+sbc_r*Sens!G4960</f>
        <v>296.364251792165</v>
      </c>
      <c r="H5075" s="6" t="n">
        <f aca="false">Sens!H4990+Sens!H5011+Sens!H4941+Sens!H5068*(Sens!H4960-Sens!H4924)+sbc_r*Sens!H4960</f>
        <v>363.901146863745</v>
      </c>
      <c r="I5075" s="6" t="n">
        <f aca="false">Sens!I4990+Sens!I5011+Sens!I4941+Sens!I5068*(Sens!I4960-Sens!I4924)+sbc_r*Sens!I4960</f>
        <v>424.453786484383</v>
      </c>
      <c r="J5075" s="6" t="n">
        <f aca="false">Sens!J4990+Sens!J5011+Sens!J4941+Sens!J5068*(Sens!J4960-Sens!J4924)+sbc_r*Sens!J4960</f>
        <v>472.880921579257</v>
      </c>
      <c r="K5075" s="6" t="n">
        <f aca="false">Sens!K4990+Sens!K5011+Sens!K4941+Sens!K5068*(Sens!K4960-Sens!K4924)+sbc_r*Sens!K4960</f>
        <v>507.880572436244</v>
      </c>
    </row>
    <row r="5076" customFormat="false" ht="17.15" hidden="false" customHeight="false" outlineLevel="0" collapsed="false">
      <c r="A5076" s="0" t="s">
        <v>1079</v>
      </c>
      <c r="B5076" s="0" t="s">
        <v>98</v>
      </c>
      <c r="F5076" s="6" t="n">
        <f aca="false">Sens!F5075-Sens!F5069-Sens!F5070-Sens!F5071-Sens!F5072-Sens!F5074</f>
        <v>58.4105831558193</v>
      </c>
      <c r="G5076" s="6" t="n">
        <f aca="false">Sens!G5075-Sens!G5069-Sens!G5070-Sens!G5071-Sens!G5072-Sens!G5074</f>
        <v>70.4640578782303</v>
      </c>
      <c r="H5076" s="6" t="n">
        <f aca="false">Sens!H5075-Sens!H5069-Sens!H5070-Sens!H5071-Sens!H5072-Sens!H5074</f>
        <v>82.8589466090977</v>
      </c>
      <c r="I5076" s="6" t="n">
        <f aca="false">Sens!I5075-Sens!I5069-Sens!I5070-Sens!I5071-Sens!I5072-Sens!I5074</f>
        <v>94.8996399294791</v>
      </c>
      <c r="J5076" s="6" t="n">
        <f aca="false">Sens!J5075-Sens!J5069-Sens!J5070-Sens!J5071-Sens!J5072-Sens!J5074</f>
        <v>105.829482356219</v>
      </c>
      <c r="K5076" s="6" t="n">
        <f aca="false">Sens!K5075-Sens!K5069-Sens!K5070-Sens!K5071-Sens!K5072-Sens!K5074</f>
        <v>114.887214519816</v>
      </c>
    </row>
    <row r="5077" customFormat="false" ht="17.15" hidden="false" customHeight="false" outlineLevel="0" collapsed="false">
      <c r="A5077" s="0" t="s">
        <v>1080</v>
      </c>
      <c r="B5077" s="0" t="s">
        <v>98</v>
      </c>
      <c r="F5077" s="6" t="n">
        <f aca="false">Sens!F4992+Sens!F5068*Sens!F4967+sbc_r*Sens!F4967</f>
        <v>26.7114005743407</v>
      </c>
      <c r="G5077" s="6" t="n">
        <f aca="false">Sens!G4992+Sens!G5068*Sens!G4967+sbc_r*Sens!G4967</f>
        <v>27.2319245960387</v>
      </c>
      <c r="H5077" s="6" t="n">
        <f aca="false">Sens!H4992+Sens!H5068*Sens!H4967+sbc_r*Sens!H4967</f>
        <v>28.0408066127523</v>
      </c>
      <c r="I5077" s="6" t="n">
        <f aca="false">Sens!I4992+Sens!I5068*Sens!I4967+sbc_r*Sens!I4967</f>
        <v>29.1037796963086</v>
      </c>
      <c r="J5077" s="6" t="n">
        <f aca="false">Sens!J4992+Sens!J5068*Sens!J4967+sbc_r*Sens!J4967</f>
        <v>30.3811289520814</v>
      </c>
      <c r="K5077" s="6" t="n">
        <f aca="false">Sens!K4992+Sens!K5068*Sens!K4967+sbc_r*Sens!K4967</f>
        <v>31.8319920672357</v>
      </c>
    </row>
    <row r="5078" customFormat="false" ht="17.15" hidden="false" customHeight="false" outlineLevel="0" collapsed="false">
      <c r="A5078" s="0" t="s">
        <v>1081</v>
      </c>
      <c r="B5078" s="0" t="s">
        <v>98</v>
      </c>
      <c r="F5078" s="6" t="n">
        <f aca="false">(Sens!F5077-Sens!F5073)*Sens!F4963/(Sens!F4963+Sens!F4965)</f>
        <v>8.37884874582768</v>
      </c>
      <c r="G5078" s="6" t="n">
        <f aca="false">(Sens!G5077-Sens!G5073)*Sens!G4963/(Sens!G4963+Sens!G4965)</f>
        <v>7.94490861616219</v>
      </c>
      <c r="H5078" s="6" t="n">
        <f aca="false">(Sens!H5077-Sens!H5073)*Sens!H4963/(Sens!H4963+Sens!H4965)</f>
        <v>7.68446671309121</v>
      </c>
      <c r="I5078" s="6" t="n">
        <f aca="false">(Sens!I5077-Sens!I5073)*Sens!I4963/(Sens!I4963+Sens!I4965)</f>
        <v>7.57709516682269</v>
      </c>
      <c r="J5078" s="6" t="n">
        <f aca="false">(Sens!J5077-Sens!J5073)*Sens!J4963/(Sens!J4963+Sens!J4965)</f>
        <v>7.60851524642146</v>
      </c>
      <c r="K5078" s="6" t="n">
        <f aca="false">(Sens!K5077-Sens!K5073)*Sens!K4963/(Sens!K4963+Sens!K4965)</f>
        <v>7.7710282521937</v>
      </c>
    </row>
    <row r="5079" customFormat="false" ht="17.15" hidden="false" customHeight="false" outlineLevel="0" collapsed="false">
      <c r="A5079" s="0" t="s">
        <v>1082</v>
      </c>
      <c r="B5079" s="0" t="s">
        <v>98</v>
      </c>
      <c r="F5079" s="6" t="n">
        <f aca="false">Sens!F5077-Sens!F5073-Sens!F5078</f>
        <v>6.9057145801799</v>
      </c>
      <c r="G5079" s="6" t="n">
        <f aca="false">Sens!G5077-Sens!G5073-Sens!G5078</f>
        <v>6.81116790740503</v>
      </c>
      <c r="H5079" s="6" t="n">
        <f aca="false">Sens!H5077-Sens!H5073-Sens!H5078</f>
        <v>6.78332685025332</v>
      </c>
      <c r="I5079" s="6" t="n">
        <f aca="false">Sens!I5077-Sens!I5073-Sens!I5078</f>
        <v>6.81880076975321</v>
      </c>
      <c r="J5079" s="6" t="n">
        <f aca="false">Sens!J5077-Sens!J5073-Sens!J5078</f>
        <v>6.91274100102074</v>
      </c>
      <c r="K5079" s="6" t="n">
        <f aca="false">Sens!K5077-Sens!K5073-Sens!K5078</f>
        <v>7.06039271516158</v>
      </c>
    </row>
    <row r="5080" customFormat="false" ht="17.15" hidden="false" customHeight="false" outlineLevel="0" collapsed="false">
      <c r="A5080" s="0" t="s">
        <v>1083</v>
      </c>
      <c r="B5080" s="0" t="s">
        <v>98</v>
      </c>
      <c r="F5080" s="6" t="n">
        <f aca="false">Sens!F5074-tax_f*(Sens!F5074-Sens!F4941)-Sens!F4938</f>
        <v>-120.597185875252</v>
      </c>
      <c r="G5080" s="6" t="n">
        <f aca="false">Sens!G5074-tax_f*(Sens!G5074-Sens!G4941)-Sens!G4938</f>
        <v>-109.471114966514</v>
      </c>
      <c r="H5080" s="6" t="n">
        <f aca="false">Sens!H5074-tax_f*(Sens!H5074-Sens!H4941)-Sens!H4938</f>
        <v>-76.9333237102398</v>
      </c>
      <c r="I5080" s="6" t="n">
        <f aca="false">Sens!I5074-tax_f*(Sens!I5074-Sens!I4941)-Sens!I4938</f>
        <v>9.63896513622575</v>
      </c>
      <c r="J5080" s="6" t="n">
        <f aca="false">Sens!J5074-tax_f*(Sens!J5074-Sens!J4941)-Sens!J4938</f>
        <v>54.2350181633837</v>
      </c>
      <c r="K5080" s="6" t="n">
        <f aca="false">Sens!K5074-tax_f*(Sens!K5074-Sens!K4941)-Sens!K4938</f>
        <v>102.546126107727</v>
      </c>
    </row>
    <row r="5081" customFormat="false" ht="17.15" hidden="false" customHeight="false" outlineLevel="0" collapsed="false">
      <c r="A5081" s="0" t="s">
        <v>1084</v>
      </c>
      <c r="B5081" s="0" t="s">
        <v>98</v>
      </c>
      <c r="G5081" s="6" t="n">
        <f aca="false">Sens!G5080/(1+wacc)^(Sens!G5053-(Sens!F5053+mid_yr))</f>
        <v>-104.237670272621</v>
      </c>
      <c r="H5081" s="6" t="n">
        <f aca="false">Sens!H5080/(1+wacc)^(Sens!H5053-(Sens!F5053+mid_yr))</f>
        <v>-66.4186371483264</v>
      </c>
      <c r="I5081" s="6" t="n">
        <f aca="false">Sens!I5080/(1+wacc)^(Sens!I5053-(Sens!F5053+mid_yr))</f>
        <v>7.54494683229809</v>
      </c>
      <c r="J5081" s="6" t="n">
        <f aca="false">Sens!J5080/(1+wacc)^(Sens!J5053-(Sens!F5053+mid_yr))</f>
        <v>38.490705726068</v>
      </c>
      <c r="K5081" s="6" t="n">
        <f aca="false">Sens!K5080/(1+wacc)^(Sens!K5053-(Sens!F5053+mid_yr))</f>
        <v>65.9850655348068</v>
      </c>
      <c r="L5081" s="1" t="s">
        <v>1085</v>
      </c>
    </row>
    <row r="5082" customFormat="false" ht="17.15" hidden="false" customHeight="false" outlineLevel="0" collapsed="false">
      <c r="A5082" s="0" t="s">
        <v>1086</v>
      </c>
      <c r="B5082" s="0" t="s">
        <v>98</v>
      </c>
      <c r="C5082" s="6" t="n">
        <f aca="false">(Sens!K5074-Sens!K4941)*(1-tax_f)*(1+g_tv)*(1-g_tv/(wacc+ronic_prem))/(wacc-g_tv)/(1+wacc)^(Sens!K5053+mid_yr-(Sens!F5053+mid_yr))</f>
        <v>373.471303257967</v>
      </c>
    </row>
    <row r="5083" customFormat="false" ht="17.15" hidden="false" customHeight="false" outlineLevel="0" collapsed="false">
      <c r="A5083" s="1" t="s">
        <v>1087</v>
      </c>
      <c r="B5083" s="0" t="s">
        <v>98</v>
      </c>
      <c r="C5083" s="6" t="n">
        <f aca="false">(SUM(Sens!G5081:K5081)+Sens!$C$5082)*(1+wacc)^(t_roll-(Sens!F5053+mid_yr))</f>
        <v>325.054629845803</v>
      </c>
      <c r="L5083" s="11" t="s">
        <v>1088</v>
      </c>
    </row>
    <row r="5084" customFormat="false" ht="17.15" hidden="false" customHeight="false" outlineLevel="0" collapsed="false">
      <c r="A5084" s="1" t="s">
        <v>1089</v>
      </c>
      <c r="B5084" s="0" t="s">
        <v>98</v>
      </c>
      <c r="C5084" s="6" t="n">
        <f aca="false">(w_ntm28*Sens!G4930+(1-w_ntm28)*Sens!H4930)*m_ai</f>
        <v>454.922440830797</v>
      </c>
    </row>
    <row r="5085" customFormat="false" ht="17.15" hidden="false" customHeight="false" outlineLevel="0" collapsed="false">
      <c r="A5085" s="1" t="s">
        <v>1090</v>
      </c>
      <c r="B5085" s="0" t="s">
        <v>98</v>
      </c>
      <c r="C5085" s="6" t="n">
        <f aca="false">(w_ntm28*Sens!G5076+(1-w_ntm28)*Sens!H5076)*m_cloud</f>
        <v>1029.1916052107</v>
      </c>
    </row>
    <row r="5086" customFormat="false" ht="17.15" hidden="false" customHeight="false" outlineLevel="0" collapsed="false">
      <c r="A5086" s="1" t="s">
        <v>1091</v>
      </c>
      <c r="B5086" s="0" t="s">
        <v>98</v>
      </c>
      <c r="C5086" s="6" t="n">
        <f aca="false">(w_ntm28*Sens!G5069+(1-w_ntm28)*Sens!H5069)*m_sw</f>
        <v>1093.80438633731</v>
      </c>
    </row>
    <row r="5087" customFormat="false" ht="17.15" hidden="false" customHeight="false" outlineLevel="0" collapsed="false">
      <c r="A5087" s="1" t="s">
        <v>1092</v>
      </c>
      <c r="B5087" s="0" t="s">
        <v>98</v>
      </c>
      <c r="C5087" s="6" t="n">
        <f aca="false">(w_ntm28*Sens!G5070+(1-w_ntm28)*Sens!H5070)*m_sw</f>
        <v>382.138515699724</v>
      </c>
    </row>
    <row r="5088" customFormat="false" ht="17.15" hidden="false" customHeight="false" outlineLevel="0" collapsed="false">
      <c r="A5088" s="1" t="s">
        <v>1093</v>
      </c>
      <c r="B5088" s="0" t="s">
        <v>98</v>
      </c>
      <c r="C5088" s="6" t="n">
        <f aca="false">(w_ntm28*Sens!G5071+(1-w_ntm28)*Sens!H5071)*m_sw</f>
        <v>110.883760847192</v>
      </c>
    </row>
    <row r="5089" customFormat="false" ht="17.15" hidden="false" customHeight="false" outlineLevel="0" collapsed="false">
      <c r="A5089" s="1" t="s">
        <v>1094</v>
      </c>
      <c r="B5089" s="0" t="s">
        <v>98</v>
      </c>
      <c r="C5089" s="6" t="n">
        <f aca="false">(w_ntm28*Sens!G5072+(1-w_ntm28)*Sens!H5072)*m_sw</f>
        <v>42.3045677102269</v>
      </c>
    </row>
    <row r="5090" customFormat="false" ht="17.15" hidden="false" customHeight="false" outlineLevel="0" collapsed="false">
      <c r="A5090" s="1" t="s">
        <v>1095</v>
      </c>
      <c r="B5090" s="0" t="s">
        <v>98</v>
      </c>
      <c r="C5090" s="6" t="n">
        <f aca="false">(w_ntm28*Sens!G5073+(1-w_ntm28)*Sens!H5073)*m_ads</f>
        <v>116.886292123522</v>
      </c>
    </row>
    <row r="5091" customFormat="false" ht="17.15" hidden="false" customHeight="false" outlineLevel="0" collapsed="false">
      <c r="A5091" s="1" t="s">
        <v>1096</v>
      </c>
      <c r="B5091" s="0" t="s">
        <v>98</v>
      </c>
      <c r="C5091" s="6" t="n">
        <f aca="false">(w_ntm28*Sens!G5078+(1-w_ntm28)*Sens!H5078)*m_game</f>
        <v>99.280779422614</v>
      </c>
    </row>
    <row r="5092" customFormat="false" ht="17.15" hidden="false" customHeight="false" outlineLevel="0" collapsed="false">
      <c r="A5092" s="1" t="s">
        <v>1097</v>
      </c>
      <c r="B5092" s="0" t="s">
        <v>98</v>
      </c>
      <c r="C5092" s="6" t="n">
        <f aca="false">(w_ntm28*Sens!G5079+(1-w_ntm28)*Sens!H5079)*m_pc</f>
        <v>98.4273599175638</v>
      </c>
    </row>
    <row r="5093" customFormat="false" ht="17.15" hidden="false" customHeight="false" outlineLevel="0" collapsed="false">
      <c r="A5093" s="1" t="s">
        <v>1098</v>
      </c>
      <c r="B5093" s="0" t="s">
        <v>98</v>
      </c>
      <c r="C5093" s="6" t="n">
        <f aca="false">Sens!$C$5083+Sens!$C$5085+Sens!$C$5086+Sens!$C$5087+Sens!$C$5088+Sens!$C$5089+Sens!$C$5090+Sens!$C$5091+Sens!$C$5092</f>
        <v>3297.97189711466</v>
      </c>
    </row>
    <row r="5094" customFormat="false" ht="17.15" hidden="false" customHeight="false" outlineLevel="0" collapsed="false">
      <c r="A5094" s="1" t="s">
        <v>1099</v>
      </c>
      <c r="B5094" s="0" t="s">
        <v>98</v>
      </c>
      <c r="C5094" s="6" t="n">
        <f aca="false">(Sens!G5055-Sens!G5080)*t_stub</f>
        <v>47.2418525697342</v>
      </c>
      <c r="L5094" s="1" t="s">
        <v>1100</v>
      </c>
    </row>
    <row r="5095" customFormat="false" ht="17.15" hidden="false" customHeight="false" outlineLevel="0" collapsed="false">
      <c r="A5095" s="1" t="s">
        <v>1014</v>
      </c>
      <c r="B5095" s="0" t="s">
        <v>98</v>
      </c>
      <c r="C5095" s="6" t="n">
        <f aca="false">Sens!F5044+oai_v-Sens!F5033+Sens!$C$5094</f>
        <v>157.557151769776</v>
      </c>
      <c r="L5095" s="1" t="s">
        <v>1101</v>
      </c>
    </row>
    <row r="5096" customFormat="false" ht="17.15" hidden="false" customHeight="false" outlineLevel="0" collapsed="false">
      <c r="A5096" s="1" t="s">
        <v>1102</v>
      </c>
      <c r="B5096" s="0" t="s">
        <v>75</v>
      </c>
      <c r="C5096" s="5" t="n">
        <f aca="false">(Sens!$C$5093+Sens!$C$5095)/(Sens!F5046+dil_gap)-Sens!G5036*roll_div_q/q_per_yr</f>
        <v>459.943564152139</v>
      </c>
      <c r="L5096" s="1" t="s">
        <v>1103</v>
      </c>
    </row>
    <row r="5097" customFormat="false" ht="17.15" hidden="false" customHeight="false" outlineLevel="0" collapsed="false">
      <c r="A5097" s="1" t="s">
        <v>1104</v>
      </c>
      <c r="B5097" s="0" t="s">
        <v>75</v>
      </c>
      <c r="C5097" s="5" t="n">
        <f aca="false">w_dcf*Sens!$C$5067+(1-w_dcf)*Sens!$C$5096</f>
        <v>401.636808162516</v>
      </c>
    </row>
    <row r="5098" customFormat="false" ht="17.15" hidden="false" customHeight="false" outlineLevel="0" collapsed="false">
      <c r="A5098" s="3" t="s">
        <v>1392</v>
      </c>
    </row>
    <row r="5099" customFormat="false" ht="15" hidden="false" customHeight="false" outlineLevel="0" collapsed="false">
      <c r="A5099" s="4" t="s">
        <v>43</v>
      </c>
      <c r="B5099" s="4" t="s">
        <v>65</v>
      </c>
      <c r="C5099" s="20" t="s">
        <v>799</v>
      </c>
      <c r="D5099" s="20" t="s">
        <v>800</v>
      </c>
      <c r="E5099" s="20" t="s">
        <v>801</v>
      </c>
      <c r="F5099" s="20" t="s">
        <v>802</v>
      </c>
      <c r="G5099" s="20" t="s">
        <v>803</v>
      </c>
      <c r="H5099" s="20" t="s">
        <v>804</v>
      </c>
      <c r="I5099" s="20" t="s">
        <v>805</v>
      </c>
      <c r="J5099" s="20" t="s">
        <v>806</v>
      </c>
      <c r="K5099" s="20" t="s">
        <v>807</v>
      </c>
      <c r="L5099" s="4" t="s">
        <v>47</v>
      </c>
    </row>
    <row r="5100" customFormat="false" ht="17.15" hidden="false" customHeight="false" outlineLevel="0" collapsed="false">
      <c r="A5100" s="1" t="s">
        <v>808</v>
      </c>
      <c r="B5100" s="1" t="s">
        <v>235</v>
      </c>
      <c r="C5100" s="28" t="n">
        <v>2024</v>
      </c>
      <c r="D5100" s="28" t="n">
        <v>2025</v>
      </c>
      <c r="E5100" s="28" t="n">
        <v>2026</v>
      </c>
      <c r="F5100" s="28" t="n">
        <v>2027</v>
      </c>
      <c r="G5100" s="28" t="n">
        <v>2028</v>
      </c>
      <c r="H5100" s="28" t="n">
        <v>2029</v>
      </c>
      <c r="I5100" s="28" t="n">
        <v>2030</v>
      </c>
      <c r="J5100" s="28" t="n">
        <v>2031</v>
      </c>
      <c r="K5100" s="28" t="n">
        <v>2032</v>
      </c>
    </row>
    <row r="5101" customFormat="false" ht="17.15" hidden="false" customHeight="false" outlineLevel="0" collapsed="false">
      <c r="A5101" s="1" t="s">
        <v>809</v>
      </c>
      <c r="B5101" s="0" t="s">
        <v>399</v>
      </c>
      <c r="F5101" s="29" t="n">
        <f aca="false">pace</f>
        <v>2527.2</v>
      </c>
      <c r="G5101" s="29" t="n">
        <f aca="false">pace</f>
        <v>2527.2</v>
      </c>
      <c r="H5101" s="29" t="n">
        <f aca="false">pace</f>
        <v>2527.2</v>
      </c>
      <c r="I5101" s="29" t="n">
        <f aca="false">pace+(g_tv*Sens!H5102-pace)*MIN(1,(Sens!I5100-pace_y0)/(pace_y1-pace_y0))</f>
        <v>1793.116</v>
      </c>
      <c r="J5101" s="29" t="n">
        <f aca="false">pace+(g_tv*Sens!I5102-pace)*MIN(1,(Sens!J5100-pace_y0)/(pace_y1-pace_y0))</f>
        <v>1094.89432</v>
      </c>
      <c r="K5101" s="29" t="n">
        <f aca="false">pace+(g_tv*Sens!J5102-pace)*MIN(1,(Sens!K5100-pace_y0)/(pace_y1-pace_y0))</f>
        <v>411.5883096</v>
      </c>
      <c r="L5101" s="11" t="s">
        <v>810</v>
      </c>
    </row>
    <row r="5102" customFormat="false" ht="17.15" hidden="false" customHeight="false" outlineLevel="0" collapsed="false">
      <c r="A5102" s="1" t="s">
        <v>811</v>
      </c>
      <c r="B5102" s="0" t="s">
        <v>399</v>
      </c>
      <c r="C5102" s="29" t="n">
        <f aca="false">mw_ext_24</f>
        <v>640</v>
      </c>
      <c r="D5102" s="29" t="n">
        <f aca="false">mw_ext_25</f>
        <v>1630</v>
      </c>
      <c r="E5102" s="29" t="n">
        <f aca="false">mw_ext_26</f>
        <v>3250</v>
      </c>
      <c r="F5102" s="29" t="n">
        <f aca="false">Sens!E5102+Sens!F5101</f>
        <v>5777.2</v>
      </c>
      <c r="G5102" s="29" t="n">
        <f aca="false">Sens!F5102+Sens!G5101</f>
        <v>8304.4</v>
      </c>
      <c r="H5102" s="29" t="n">
        <f aca="false">Sens!G5102+Sens!H5101</f>
        <v>10831.6</v>
      </c>
      <c r="I5102" s="29" t="n">
        <f aca="false">Sens!H5102+Sens!I5101</f>
        <v>12624.716</v>
      </c>
      <c r="J5102" s="29" t="n">
        <f aca="false">Sens!I5102+Sens!J5101</f>
        <v>13719.61032</v>
      </c>
      <c r="K5102" s="29" t="n">
        <f aca="false">Sens!J5102+Sens!K5101</f>
        <v>14131.1986296</v>
      </c>
      <c r="L5102" s="1" t="s">
        <v>812</v>
      </c>
    </row>
    <row r="5103" customFormat="false" ht="17.15" hidden="false" customHeight="false" outlineLevel="0" collapsed="false">
      <c r="A5103" s="1" t="s">
        <v>813</v>
      </c>
      <c r="B5103" s="0" t="s">
        <v>399</v>
      </c>
      <c r="C5103" s="29" t="n">
        <f aca="false">rent_ext_24</f>
        <v>150</v>
      </c>
      <c r="D5103" s="29" t="n">
        <f aca="false">rent_ext_25</f>
        <v>400</v>
      </c>
      <c r="E5103" s="29" t="n">
        <f aca="false">rent_ext_26</f>
        <v>550</v>
      </c>
      <c r="F5103" s="29" t="n">
        <f aca="false">rent_ext_f</f>
        <v>756</v>
      </c>
      <c r="G5103" s="29" t="n">
        <f aca="false">rent_ext_f</f>
        <v>756</v>
      </c>
      <c r="H5103" s="29" t="n">
        <f aca="false">rent_ext_f</f>
        <v>756</v>
      </c>
      <c r="I5103" s="29" t="n">
        <f aca="false">rent_ext_f</f>
        <v>756</v>
      </c>
      <c r="J5103" s="29" t="n">
        <f aca="false">rent_ext_f</f>
        <v>756</v>
      </c>
      <c r="K5103" s="29" t="n">
        <f aca="false">rent_ext_f</f>
        <v>756</v>
      </c>
      <c r="L5103" s="1" t="s">
        <v>814</v>
      </c>
    </row>
    <row r="5104" customFormat="false" ht="17.15" hidden="false" customHeight="false" outlineLevel="0" collapsed="false">
      <c r="A5104" s="1" t="s">
        <v>815</v>
      </c>
      <c r="B5104" s="0" t="s">
        <v>399</v>
      </c>
      <c r="C5104" s="29" t="n">
        <f aca="false">Sens!C5102-Sens!C5103</f>
        <v>490</v>
      </c>
      <c r="D5104" s="29" t="n">
        <f aca="false">Sens!D5102-Sens!D5103</f>
        <v>1230</v>
      </c>
      <c r="E5104" s="29" t="n">
        <f aca="false">Sens!E5102-Sens!E5103</f>
        <v>2700</v>
      </c>
      <c r="F5104" s="29" t="n">
        <f aca="false">Sens!F5102-Sens!F5103</f>
        <v>5021.2</v>
      </c>
      <c r="G5104" s="29" t="n">
        <f aca="false">Sens!G5102-Sens!G5103</f>
        <v>7548.4</v>
      </c>
      <c r="H5104" s="29" t="n">
        <f aca="false">Sens!H5102-Sens!H5103</f>
        <v>10075.6</v>
      </c>
      <c r="I5104" s="29" t="n">
        <f aca="false">Sens!I5102-Sens!I5103</f>
        <v>11868.716</v>
      </c>
      <c r="J5104" s="29" t="n">
        <f aca="false">Sens!J5102-Sens!J5103</f>
        <v>12963.61032</v>
      </c>
      <c r="K5104" s="29" t="n">
        <f aca="false">Sens!K5102-Sens!K5103</f>
        <v>13375.1986296</v>
      </c>
    </row>
    <row r="5105" customFormat="false" ht="17.15" hidden="false" customHeight="false" outlineLevel="0" collapsed="false">
      <c r="A5105" s="1" t="s">
        <v>816</v>
      </c>
      <c r="B5105" s="0" t="s">
        <v>399</v>
      </c>
      <c r="C5105" s="29" t="n">
        <f aca="false">Sens!C5104/ext_sh</f>
        <v>816.666666666667</v>
      </c>
      <c r="D5105" s="29" t="n">
        <f aca="false">Sens!D5104/ext_sh</f>
        <v>2050</v>
      </c>
      <c r="E5105" s="29" t="n">
        <f aca="false">Sens!E5104/ext_sh</f>
        <v>4500</v>
      </c>
      <c r="F5105" s="29" t="n">
        <f aca="false">Sens!F5104/ext_sh</f>
        <v>8368.66666666667</v>
      </c>
      <c r="G5105" s="29" t="n">
        <f aca="false">Sens!G5104/ext_sh</f>
        <v>12580.6666666667</v>
      </c>
      <c r="H5105" s="29" t="n">
        <f aca="false">Sens!H5104/ext_sh</f>
        <v>16792.6666666667</v>
      </c>
      <c r="I5105" s="29" t="n">
        <f aca="false">Sens!I5104/ext_sh</f>
        <v>19781.1933333333</v>
      </c>
      <c r="J5105" s="29" t="n">
        <f aca="false">Sens!J5104/ext_sh</f>
        <v>21606.0172</v>
      </c>
      <c r="K5105" s="29" t="n">
        <f aca="false">Sens!K5104/ext_sh</f>
        <v>22291.997716</v>
      </c>
      <c r="L5105" s="1" t="s">
        <v>817</v>
      </c>
    </row>
    <row r="5106" customFormat="false" ht="17.15" hidden="false" customHeight="false" outlineLevel="0" collapsed="false">
      <c r="A5106" s="1" t="s">
        <v>818</v>
      </c>
      <c r="B5106" s="0" t="s">
        <v>399</v>
      </c>
      <c r="C5106" s="29" t="n">
        <f aca="false">Sens!C5105-Sens!C5104</f>
        <v>326.666666666667</v>
      </c>
      <c r="D5106" s="29" t="n">
        <f aca="false">Sens!D5105-Sens!D5104</f>
        <v>820</v>
      </c>
      <c r="E5106" s="29" t="n">
        <f aca="false">Sens!E5105-Sens!E5104</f>
        <v>1800</v>
      </c>
      <c r="F5106" s="29" t="n">
        <f aca="false">Sens!F5105-Sens!F5104</f>
        <v>3347.46666666667</v>
      </c>
      <c r="G5106" s="29" t="n">
        <f aca="false">Sens!G5105-Sens!G5104</f>
        <v>5032.26666666667</v>
      </c>
      <c r="H5106" s="29" t="n">
        <f aca="false">Sens!H5105-Sens!H5104</f>
        <v>6717.06666666667</v>
      </c>
      <c r="I5106" s="29" t="n">
        <f aca="false">Sens!I5105-Sens!I5104</f>
        <v>7912.47733333333</v>
      </c>
      <c r="J5106" s="29" t="n">
        <f aca="false">Sens!J5105-Sens!J5104</f>
        <v>8642.40688</v>
      </c>
      <c r="K5106" s="29" t="n">
        <f aca="false">Sens!K5105-Sens!K5104</f>
        <v>8916.7990864</v>
      </c>
    </row>
    <row r="5107" customFormat="false" ht="17.15" hidden="false" customHeight="false" outlineLevel="0" collapsed="false">
      <c r="A5107" s="1" t="s">
        <v>819</v>
      </c>
      <c r="B5107" s="0" t="s">
        <v>399</v>
      </c>
      <c r="C5107" s="29" t="n">
        <f aca="false">Sens!C5105</f>
        <v>816.666666666667</v>
      </c>
      <c r="D5107" s="29" t="n">
        <f aca="false">Sens!D5105-Sens!C5105</f>
        <v>1233.33333333333</v>
      </c>
      <c r="E5107" s="29" t="n">
        <f aca="false">Sens!E5105-Sens!D5105</f>
        <v>2450</v>
      </c>
      <c r="F5107" s="29" t="n">
        <f aca="false">Sens!F5105-Sens!E5105</f>
        <v>3868.66666666667</v>
      </c>
      <c r="G5107" s="29" t="n">
        <f aca="false">Sens!G5105-Sens!F5105</f>
        <v>4212</v>
      </c>
      <c r="H5107" s="29" t="n">
        <f aca="false">Sens!H5105-Sens!G5105</f>
        <v>4212</v>
      </c>
      <c r="I5107" s="29" t="n">
        <f aca="false">Sens!I5105-Sens!H5105</f>
        <v>2988.52666666667</v>
      </c>
      <c r="J5107" s="29" t="n">
        <f aca="false">Sens!J5105-Sens!I5105</f>
        <v>1824.82386666667</v>
      </c>
      <c r="K5107" s="29" t="n">
        <f aca="false">Sens!K5105-Sens!J5105</f>
        <v>685.980516</v>
      </c>
    </row>
    <row r="5108" customFormat="false" ht="17.15" hidden="false" customHeight="false" outlineLevel="0" collapsed="false">
      <c r="A5108" s="1" t="s">
        <v>820</v>
      </c>
      <c r="B5108" s="0" t="s">
        <v>399</v>
      </c>
      <c r="D5108" s="29" t="n">
        <f aca="false">Sens!D5102-Sens!C5102</f>
        <v>990</v>
      </c>
      <c r="E5108" s="29" t="n">
        <f aca="false">Sens!E5102-Sens!D5102</f>
        <v>1620</v>
      </c>
      <c r="F5108" s="29" t="n">
        <f aca="false">Sens!F5102-Sens!E5102</f>
        <v>2527.2</v>
      </c>
      <c r="G5108" s="29" t="n">
        <f aca="false">Sens!G5102-Sens!F5102</f>
        <v>2527.2</v>
      </c>
      <c r="H5108" s="29" t="n">
        <f aca="false">Sens!H5102-Sens!G5102</f>
        <v>2527.2</v>
      </c>
      <c r="I5108" s="29" t="n">
        <f aca="false">Sens!I5102-Sens!H5102</f>
        <v>1793.116</v>
      </c>
      <c r="J5108" s="29" t="n">
        <f aca="false">Sens!J5102-Sens!I5102</f>
        <v>1094.89432</v>
      </c>
      <c r="K5108" s="29" t="n">
        <f aca="false">Sens!K5102-Sens!J5102</f>
        <v>411.5883096</v>
      </c>
    </row>
    <row r="5109" customFormat="false" ht="17.15" hidden="false" customHeight="false" outlineLevel="0" collapsed="false">
      <c r="A5109" s="1" t="s">
        <v>821</v>
      </c>
      <c r="B5109" s="0" t="s">
        <v>399</v>
      </c>
      <c r="F5109" s="29" t="n">
        <f aca="false">Sens!F5126*ext_sh</f>
        <v>0</v>
      </c>
      <c r="G5109" s="29" t="n">
        <f aca="false">Sens!G5126*ext_sh</f>
        <v>0</v>
      </c>
      <c r="H5109" s="29" t="n">
        <f aca="false">Sens!H5126*ext_sh</f>
        <v>0</v>
      </c>
      <c r="I5109" s="29" t="n">
        <f aca="false">Sens!I5126*ext_sh</f>
        <v>0</v>
      </c>
      <c r="J5109" s="29" t="n">
        <f aca="false">Sens!J5126*ext_sh</f>
        <v>490</v>
      </c>
      <c r="K5109" s="29" t="n">
        <f aca="false">Sens!K5126*ext_sh</f>
        <v>740</v>
      </c>
      <c r="L5109" s="1" t="s">
        <v>822</v>
      </c>
    </row>
    <row r="5110" customFormat="false" ht="17.15" hidden="false" customHeight="false" outlineLevel="0" collapsed="false">
      <c r="A5110" s="1" t="s">
        <v>823</v>
      </c>
      <c r="B5110" s="0" t="s">
        <v>399</v>
      </c>
      <c r="C5110" s="29" t="n">
        <f aca="false">mix_h*Sens!C5102</f>
        <v>128</v>
      </c>
      <c r="D5110" s="29" t="n">
        <f aca="false">mix_h*Sens!D5102</f>
        <v>326</v>
      </c>
      <c r="E5110" s="29" t="n">
        <f aca="false">mix_h*Sens!E5102</f>
        <v>650</v>
      </c>
      <c r="F5110" s="29" t="n">
        <f aca="false">Sens!E5110-Sens!F5109*mix_h</f>
        <v>650</v>
      </c>
      <c r="G5110" s="29" t="n">
        <f aca="false">Sens!F5110-Sens!G5109*mix_h</f>
        <v>650</v>
      </c>
      <c r="H5110" s="29" t="n">
        <f aca="false">Sens!G5110-Sens!H5109*mix_h</f>
        <v>650</v>
      </c>
      <c r="I5110" s="29" t="n">
        <f aca="false">Sens!H5110-Sens!I5109*mix_h</f>
        <v>650</v>
      </c>
      <c r="J5110" s="29" t="n">
        <f aca="false">Sens!I5110-Sens!J5109*mix_h</f>
        <v>552</v>
      </c>
      <c r="K5110" s="29" t="n">
        <f aca="false">Sens!J5110-Sens!K5109*mix_h</f>
        <v>404</v>
      </c>
    </row>
    <row r="5111" customFormat="false" ht="17.15" hidden="false" customHeight="false" outlineLevel="0" collapsed="false">
      <c r="A5111" s="1" t="s">
        <v>824</v>
      </c>
      <c r="B5111" s="0" t="s">
        <v>399</v>
      </c>
      <c r="C5111" s="29" t="n">
        <f aca="false">mix_g2*Sens!C5102</f>
        <v>288</v>
      </c>
      <c r="D5111" s="29" t="n">
        <f aca="false">mix_g2*Sens!D5102</f>
        <v>733.5</v>
      </c>
      <c r="E5111" s="29" t="n">
        <f aca="false">mix_g2*Sens!E5102</f>
        <v>1462.5</v>
      </c>
      <c r="F5111" s="29" t="n">
        <f aca="false">Sens!E5111-Sens!F5109*mix_g2</f>
        <v>1462.5</v>
      </c>
      <c r="G5111" s="29" t="n">
        <f aca="false">Sens!F5111-Sens!G5109*mix_g2</f>
        <v>1462.5</v>
      </c>
      <c r="H5111" s="29" t="n">
        <f aca="false">Sens!G5111-Sens!H5109*mix_g2</f>
        <v>1462.5</v>
      </c>
      <c r="I5111" s="29" t="n">
        <f aca="false">Sens!H5111-Sens!I5109*mix_g2</f>
        <v>1462.5</v>
      </c>
      <c r="J5111" s="29" t="n">
        <f aca="false">Sens!I5111-Sens!J5109*mix_g2</f>
        <v>1242</v>
      </c>
      <c r="K5111" s="29" t="n">
        <f aca="false">Sens!J5111-Sens!K5109*mix_g2</f>
        <v>909</v>
      </c>
    </row>
    <row r="5112" customFormat="false" ht="17.15" hidden="false" customHeight="false" outlineLevel="0" collapsed="false">
      <c r="A5112" s="1" t="s">
        <v>825</v>
      </c>
      <c r="B5112" s="0" t="s">
        <v>399</v>
      </c>
      <c r="C5112" s="29" t="n">
        <f aca="false">mix_g3*Sens!C5102</f>
        <v>224</v>
      </c>
      <c r="D5112" s="29" t="n">
        <f aca="false">mix_g3*Sens!D5102</f>
        <v>570.5</v>
      </c>
      <c r="E5112" s="29" t="n">
        <f aca="false">mix_g3*Sens!E5102</f>
        <v>1137.5</v>
      </c>
      <c r="F5112" s="29" t="n">
        <f aca="false">Sens!E5112+(Sens!F5108+Sens!F5109)*a_g3_27-Sens!F5109*mix_g3</f>
        <v>2906.54</v>
      </c>
      <c r="G5112" s="29" t="n">
        <f aca="false">Sens!F5112+(Sens!G5108+Sens!G5109)*a_g3_28-Sens!G5109*mix_g3</f>
        <v>3664.7</v>
      </c>
      <c r="H5112" s="29" t="n">
        <f aca="false">Sens!G5112+(Sens!H5108+Sens!H5109)*a_g3_29-Sens!H5109*mix_g3</f>
        <v>3917.42</v>
      </c>
      <c r="I5112" s="29" t="n">
        <f aca="false">Sens!H5112+(Sens!I5108+Sens!I5109)*a_g3_29-Sens!I5109*mix_g3</f>
        <v>4096.7316</v>
      </c>
      <c r="J5112" s="29" t="n">
        <f aca="false">Sens!I5112+(Sens!J5108+Sens!J5109)*a_g3_29-Sens!J5109*mix_g3</f>
        <v>4083.721032</v>
      </c>
      <c r="K5112" s="29" t="n">
        <f aca="false">Sens!J5112+(Sens!K5108+Sens!K5109)*a_g3_29-Sens!K5109*mix_g3</f>
        <v>3939.87986296</v>
      </c>
    </row>
    <row r="5113" customFormat="false" ht="17.15" hidden="false" customHeight="false" outlineLevel="0" collapsed="false">
      <c r="A5113" s="1" t="s">
        <v>826</v>
      </c>
      <c r="B5113" s="0" t="s">
        <v>399</v>
      </c>
      <c r="C5113" s="29" t="n">
        <v>0</v>
      </c>
      <c r="D5113" s="29" t="n">
        <v>0</v>
      </c>
      <c r="E5113" s="29" t="n">
        <v>0</v>
      </c>
      <c r="F5113" s="29" t="n">
        <f aca="false">Sens!E5113+(Sens!F5108+Sens!F5109)*(1-a_g3_27)</f>
        <v>758.16</v>
      </c>
      <c r="G5113" s="29" t="n">
        <f aca="false">Sens!F5113+(Sens!G5108+Sens!G5109)*(1-a_g3_28)</f>
        <v>2527.2</v>
      </c>
      <c r="H5113" s="29" t="n">
        <f aca="false">Sens!G5113+(Sens!H5108+Sens!H5109)*(1-a_g3_29)</f>
        <v>4801.68</v>
      </c>
      <c r="I5113" s="29" t="n">
        <f aca="false">Sens!H5113+(Sens!I5108+Sens!I5109)*(1-a_g3_29)</f>
        <v>6415.4844</v>
      </c>
      <c r="J5113" s="29" t="n">
        <f aca="false">Sens!I5113+(Sens!J5108+Sens!J5109)*(1-a_g3_29)</f>
        <v>7841.889288</v>
      </c>
      <c r="K5113" s="29" t="n">
        <f aca="false">Sens!J5113+(Sens!K5108+Sens!K5109)*(1-a_g3_29)</f>
        <v>8878.31876664</v>
      </c>
    </row>
    <row r="5114" customFormat="false" ht="17.15" hidden="false" customHeight="false" outlineLevel="0" collapsed="false">
      <c r="A5114" s="1" t="s">
        <v>827</v>
      </c>
      <c r="B5114" s="0" t="s">
        <v>346</v>
      </c>
      <c r="C5114" s="14" t="n">
        <f aca="false">(Sens!C5110*tk_hold_h100+Sens!C5111*tk_hold_gb200+Sens!C5112*tk_hold_gb300+Sens!C5113*tk_hold_vr200)/Sens!C5102</f>
        <v>9.7235358126469</v>
      </c>
      <c r="D5114" s="14" t="n">
        <f aca="false">(Sens!D5110*tk_hold_h100+Sens!D5111*tk_hold_gb200+Sens!D5112*tk_hold_gb300+Sens!D5113*tk_hold_vr200)/Sens!D5102</f>
        <v>9.7235358126469</v>
      </c>
      <c r="E5114" s="14" t="n">
        <f aca="false">(Sens!E5110*tk_hold_h100+Sens!E5111*tk_hold_gb200+Sens!E5112*tk_hold_gb300+Sens!E5113*tk_hold_vr200)/Sens!E5102</f>
        <v>9.7235358126469</v>
      </c>
      <c r="F5114" s="14" t="n">
        <f aca="false">(Sens!F5110*tk_hold_h100+Sens!F5111*tk_hold_gb200+Sens!F5112*tk_hold_gb300+Sens!F5113*tk_hold_vr200)/Sens!F5102</f>
        <v>10.4079573161931</v>
      </c>
      <c r="G5114" s="14" t="n">
        <f aca="false">(Sens!G5110*tk_hold_h100+Sens!G5111*tk_hold_gb200+Sens!G5112*tk_hold_gb300+Sens!G5113*tk_hold_vr200)/Sens!G5102</f>
        <v>10.8388131109316</v>
      </c>
      <c r="H5114" s="14" t="n">
        <f aca="false">(Sens!H5110*tk_hold_h100+Sens!H5111*tk_hold_gb200+Sens!H5112*tk_hold_gb300+Sens!H5113*tk_hold_vr200)/Sens!H5102</f>
        <v>11.1311018388216</v>
      </c>
      <c r="I5114" s="14" t="n">
        <f aca="false">(Sens!I5110*tk_hold_h100+Sens!I5111*tk_hold_gb200+Sens!I5112*tk_hold_gb300+Sens!I5113*tk_hold_vr200)/Sens!I5102</f>
        <v>11.267518520947</v>
      </c>
      <c r="J5114" s="14" t="n">
        <f aca="false">(Sens!J5110*tk_hold_h100+Sens!J5111*tk_hold_gb200+Sens!J5112*tk_hold_gb300+Sens!J5113*tk_hold_vr200)/Sens!J5102</f>
        <v>11.417856472966</v>
      </c>
      <c r="K5114" s="14" t="n">
        <f aca="false">(Sens!K5110*tk_hold_h100+Sens!K5111*tk_hold_gb200+Sens!K5112*tk_hold_gb300+Sens!K5113*tk_hold_vr200)/Sens!K5102</f>
        <v>11.5614842154272</v>
      </c>
    </row>
    <row r="5115" customFormat="false" ht="17.15" hidden="false" customHeight="false" outlineLevel="0" collapsed="false">
      <c r="A5115" s="0" t="s">
        <v>828</v>
      </c>
      <c r="B5115" s="0" t="s">
        <v>185</v>
      </c>
      <c r="C5115" s="14" t="n">
        <f aca="false">k_B</f>
        <v>1.17213932619116</v>
      </c>
      <c r="D5115" s="14" t="n">
        <f aca="false">k_B</f>
        <v>1.17213932619116</v>
      </c>
      <c r="E5115" s="14" t="n">
        <f aca="false">k_B</f>
        <v>1.17213932619116</v>
      </c>
      <c r="F5115" s="14" t="n">
        <f aca="false">(k_B+((ls_C*k_long+(1-ls_C)*k_spot)-k_B)*MIN(1,(Sens!F5100-base_fy)/k_ramp))</f>
        <v>1.07843258004497</v>
      </c>
      <c r="G5115" s="14" t="n">
        <f aca="false">(k_B+((ls_C*k_long+(1-ls_C)*k_spot)-k_B)*MIN(1,(Sens!G5100-base_fy)/k_ramp))</f>
        <v>0.984725833898784</v>
      </c>
      <c r="H5115" s="14" t="n">
        <f aca="false">(k_B+((ls_C*k_long+(1-ls_C)*k_spot)-k_B)*MIN(1,(Sens!H5100-base_fy)/k_ramp))</f>
        <v>0.891019087752599</v>
      </c>
      <c r="I5115" s="14" t="n">
        <f aca="false">(k_B+((ls_C*k_long+(1-ls_C)*k_spot)-k_B)*MIN(1,(Sens!I5100-base_fy)/k_ramp))</f>
        <v>0.891019087752599</v>
      </c>
      <c r="J5115" s="14" t="n">
        <f aca="false">(k_B+((ls_C*k_long+(1-ls_C)*k_spot)-k_B)*MIN(1,(Sens!J5100-base_fy)/k_ramp))</f>
        <v>0.891019087752599</v>
      </c>
      <c r="K5115" s="14" t="n">
        <f aca="false">(k_B+((ls_C*k_long+(1-ls_C)*k_spot)-k_B)*MIN(1,(Sens!K5100-base_fy)/k_ramp))</f>
        <v>0.891019087752599</v>
      </c>
      <c r="L5115" s="1" t="s">
        <v>829</v>
      </c>
    </row>
    <row r="5116" customFormat="false" ht="17.15" hidden="false" customHeight="false" outlineLevel="0" collapsed="false">
      <c r="A5116" s="1" t="s">
        <v>830</v>
      </c>
      <c r="B5116" s="0" t="s">
        <v>346</v>
      </c>
      <c r="C5116" s="14" t="n">
        <f aca="false">Sens!C5114*Sens!C5115*chip_f</f>
        <v>11.3973387156315</v>
      </c>
      <c r="D5116" s="14" t="n">
        <f aca="false">Sens!D5114*Sens!D5115*chip_f</f>
        <v>11.3973387156315</v>
      </c>
      <c r="E5116" s="14" t="n">
        <f aca="false">Sens!E5114*Sens!E5115*chip_f</f>
        <v>11.3973387156315</v>
      </c>
      <c r="F5116" s="14" t="n">
        <f aca="false">Sens!F5114*Sens!F5115*chip_f</f>
        <v>11.2242802615</v>
      </c>
      <c r="G5116" s="14" t="n">
        <f aca="false">Sens!G5114*Sens!G5115*chip_f</f>
        <v>10.6732592791352</v>
      </c>
      <c r="H5116" s="14" t="n">
        <f aca="false">Sens!H5114*Sens!H5115*chip_f</f>
        <v>9.91802420610807</v>
      </c>
      <c r="I5116" s="14" t="n">
        <f aca="false">Sens!I5114*Sens!I5115*chip_f</f>
        <v>10.0395740737697</v>
      </c>
      <c r="J5116" s="14" t="n">
        <f aca="false">Sens!J5114*Sens!J5115*chip_f</f>
        <v>10.1735280586323</v>
      </c>
      <c r="K5116" s="14" t="n">
        <f aca="false">Sens!K5114*Sens!K5115*chip_f</f>
        <v>10.301503118696</v>
      </c>
      <c r="L5116" s="1" t="s">
        <v>831</v>
      </c>
    </row>
    <row r="5117" customFormat="false" ht="17.15" hidden="false" customHeight="false" outlineLevel="0" collapsed="false">
      <c r="A5117" s="0" t="s">
        <v>832</v>
      </c>
      <c r="B5117" s="0" t="s">
        <v>98</v>
      </c>
      <c r="D5117" s="6" t="n">
        <f aca="false">(Sens!C5102+Sens!D5102)/2*Sens!D5116/1000</f>
        <v>12.9359794422418</v>
      </c>
      <c r="E5117" s="6" t="n">
        <f aca="false">(Sens!D5102+Sens!E5102)/2*Sens!E5116/1000</f>
        <v>27.8095064661409</v>
      </c>
      <c r="F5117" s="6" t="n">
        <f aca="false">(Sens!E5102+Sens!F5102)/2*Sens!F5116/1000</f>
        <v>50.6619113883066</v>
      </c>
      <c r="G5117" s="6" t="n">
        <f aca="false">(Sens!F5102+Sens!G5102)/2*Sens!G5116/1000</f>
        <v>75.1482839325348</v>
      </c>
      <c r="H5117" s="6" t="n">
        <f aca="false">(Sens!G5102+Sens!H5102)/2*Sens!H5116/1000</f>
        <v>94.895655604042</v>
      </c>
      <c r="I5117" s="6" t="n">
        <f aca="false">(Sens!H5102+Sens!I5102)/2*Sens!I5116/1000</f>
        <v>117.745710989875</v>
      </c>
      <c r="J5117" s="6" t="n">
        <f aca="false">(Sens!I5102+Sens!J5102)/2*Sens!J5116/1000</f>
        <v>134.007371501142</v>
      </c>
      <c r="K5117" s="6" t="n">
        <f aca="false">(Sens!J5102+Sens!K5102)/2*Sens!K5116/1000</f>
        <v>143.452597626256</v>
      </c>
      <c r="L5117" s="11" t="s">
        <v>833</v>
      </c>
    </row>
    <row r="5118" customFormat="false" ht="17.15" hidden="false" customHeight="false" outlineLevel="0" collapsed="false">
      <c r="A5118" s="1" t="s">
        <v>834</v>
      </c>
      <c r="B5118" s="0" t="s">
        <v>346</v>
      </c>
      <c r="C5118" s="14" t="n">
        <f aca="false">(Sens!C5110*tk_opex_h100+Sens!C5111*tk_opex_gb200+Sens!C5112*tk_opex_gb300+Sens!C5113*tk_opex_vr200)/Sens!C5102</f>
        <v>1.88636041306092</v>
      </c>
      <c r="D5118" s="14" t="n">
        <f aca="false">(Sens!D5110*tk_opex_h100+Sens!D5111*tk_opex_gb200+Sens!D5112*tk_opex_gb300+Sens!D5113*tk_opex_vr200)/Sens!D5102</f>
        <v>1.88636041306092</v>
      </c>
      <c r="E5118" s="14" t="n">
        <f aca="false">(Sens!E5110*tk_opex_h100+Sens!E5111*tk_opex_gb200+Sens!E5112*tk_opex_gb300+Sens!E5113*tk_opex_vr200)/Sens!E5102</f>
        <v>1.88636041306092</v>
      </c>
      <c r="F5118" s="14" t="n">
        <f aca="false">(Sens!F5110*tk_opex_h100+Sens!F5111*tk_opex_gb200+Sens!F5112*tk_opex_gb300+Sens!F5113*tk_opex_vr200)/Sens!F5102</f>
        <v>1.9430236476499</v>
      </c>
      <c r="G5118" s="14" t="n">
        <f aca="false">(Sens!G5110*tk_opex_h100+Sens!G5111*tk_opex_gb200+Sens!G5112*tk_opex_gb300+Sens!G5113*tk_opex_vr200)/Sens!G5102</f>
        <v>1.9786941852423</v>
      </c>
      <c r="H5118" s="14" t="n">
        <f aca="false">(Sens!H5110*tk_opex_h100+Sens!H5111*tk_opex_gb200+Sens!H5112*tk_opex_gb300+Sens!H5113*tk_opex_vr200)/Sens!H5102</f>
        <v>2.00289275976156</v>
      </c>
      <c r="I5118" s="14" t="n">
        <f aca="false">(Sens!I5110*tk_opex_h100+Sens!I5111*tk_opex_gb200+Sens!I5112*tk_opex_gb300+Sens!I5113*tk_opex_vr200)/Sens!I5102</f>
        <v>2.01418669255163</v>
      </c>
      <c r="J5118" s="14" t="n">
        <f aca="false">(Sens!J5110*tk_opex_h100+Sens!J5111*tk_opex_gb200+Sens!J5112*tk_opex_gb300+Sens!J5113*tk_opex_vr200)/Sens!J5102</f>
        <v>2.02663316683501</v>
      </c>
      <c r="K5118" s="14" t="n">
        <f aca="false">(Sens!K5110*tk_opex_h100+Sens!K5111*tk_opex_gb200+Sens!K5112*tk_opex_gb300+Sens!K5113*tk_opex_vr200)/Sens!K5102</f>
        <v>2.03852410308175</v>
      </c>
    </row>
    <row r="5119" customFormat="false" ht="17.15" hidden="false" customHeight="false" outlineLevel="0" collapsed="false">
      <c r="A5119" s="0" t="s">
        <v>835</v>
      </c>
      <c r="B5119" s="0" t="s">
        <v>98</v>
      </c>
      <c r="D5119" s="6" t="n">
        <f aca="false">(Sens!C5105+Sens!D5105)/2*Sens!D5118/1000</f>
        <v>2.70378325872065</v>
      </c>
      <c r="E5119" s="6" t="n">
        <f aca="false">(Sens!D5105+Sens!E5105)/2*Sens!E5118/1000</f>
        <v>6.17783035277451</v>
      </c>
      <c r="F5119" s="6" t="n">
        <f aca="false">(Sens!E5105+Sens!F5105)/2*Sens!F5118/1000</f>
        <v>12.5020618235287</v>
      </c>
      <c r="G5119" s="6" t="n">
        <f aca="false">(Sens!F5105+Sens!G5105)/2*Sens!G5118/1000</f>
        <v>20.7261620256847</v>
      </c>
      <c r="H5119" s="6" t="n">
        <f aca="false">(Sens!G5105+Sens!H5105)/2*Sens!H5118/1000</f>
        <v>29.4158183316982</v>
      </c>
      <c r="I5119" s="6" t="n">
        <f aca="false">(Sens!H5105+Sens!I5105)/2*Sens!I5118/1000</f>
        <v>36.8332910536231</v>
      </c>
      <c r="J5119" s="6" t="n">
        <f aca="false">(Sens!I5105+Sens!J5105)/2*Sens!J5118/1000</f>
        <v>41.9383467748182</v>
      </c>
      <c r="K5119" s="6" t="n">
        <f aca="false">(Sens!J5105+Sens!K5105)/2*Sens!K5118/1000</f>
        <v>44.743580741854</v>
      </c>
    </row>
    <row r="5120" customFormat="false" ht="17.15" hidden="false" customHeight="false" outlineLevel="0" collapsed="false">
      <c r="A5120" s="0" t="s">
        <v>836</v>
      </c>
      <c r="B5120" s="0" t="s">
        <v>98</v>
      </c>
      <c r="D5120" s="6" t="n">
        <f aca="false">(Sens!C5103+Sens!D5103)/2*rent_mw/1000</f>
        <v>2.44475</v>
      </c>
      <c r="E5120" s="6" t="n">
        <f aca="false">(Sens!D5103+Sens!E5103)/2*rent_mw/1000</f>
        <v>4.22275</v>
      </c>
      <c r="F5120" s="6" t="n">
        <f aca="false">(Sens!E5103+Sens!F5103)/2*rent_mw/1000</f>
        <v>5.80517</v>
      </c>
      <c r="G5120" s="6" t="n">
        <f aca="false">(Sens!F5103+Sens!G5103)/2*rent_mw/1000</f>
        <v>6.72084</v>
      </c>
      <c r="H5120" s="6" t="n">
        <f aca="false">(Sens!G5103+Sens!H5103)/2*rent_mw/1000</f>
        <v>6.72084</v>
      </c>
      <c r="I5120" s="6" t="n">
        <f aca="false">(Sens!H5103+Sens!I5103)/2*rent_mw/1000</f>
        <v>6.72084</v>
      </c>
      <c r="J5120" s="6" t="n">
        <f aca="false">(Sens!I5103+Sens!J5103)/2*rent_mw/1000</f>
        <v>6.72084</v>
      </c>
      <c r="K5120" s="6" t="n">
        <f aca="false">(Sens!J5103+Sens!K5103)/2*rent_mw/1000</f>
        <v>6.72084</v>
      </c>
    </row>
    <row r="5121" customFormat="false" ht="17.15" hidden="false" customHeight="false" outlineLevel="0" collapsed="false">
      <c r="A5121" s="0" t="s">
        <v>837</v>
      </c>
      <c r="B5121" s="0" t="s">
        <v>98</v>
      </c>
      <c r="D5121" s="6" t="n">
        <f aca="false">(Sens!C5105+Sens!D5105)/2*(1-self_build)*fac_rent/1000</f>
        <v>0.853242375631075</v>
      </c>
      <c r="E5121" s="6" t="n">
        <f aca="false">(Sens!D5105+Sens!E5105)/2*(1-self_build)*fac_rent/1000</f>
        <v>1.94955961408728</v>
      </c>
      <c r="F5121" s="6" t="n">
        <f aca="false">(Sens!E5105+Sens!F5105)/2*(1-self_build)*fac_rent/1000</f>
        <v>3.83026455274573</v>
      </c>
      <c r="G5121" s="6" t="n">
        <f aca="false">(Sens!F5105+Sens!G5105)/2*(1-self_build)*fac_rent/1000</f>
        <v>6.23541590972812</v>
      </c>
      <c r="H5121" s="6" t="n">
        <f aca="false">(Sens!G5105+Sens!H5105)/2*(1-self_build)*fac_rent/1000</f>
        <v>8.74275792332679</v>
      </c>
      <c r="I5121" s="6" t="n">
        <f aca="false">(Sens!H5105+Sens!I5105)/2*(1-self_build)*fac_rent/1000</f>
        <v>10.8859420438599</v>
      </c>
      <c r="J5121" s="6" t="n">
        <f aca="false">(Sens!I5105+Sens!J5105)/2*(1-self_build)*fac_rent/1000</f>
        <v>12.3186006405366</v>
      </c>
      <c r="K5121" s="6" t="n">
        <f aca="false">(Sens!J5105+Sens!K5105)/2*(1-self_build)*fac_rent/1000</f>
        <v>13.0659232089824</v>
      </c>
      <c r="L5121" s="11" t="s">
        <v>838</v>
      </c>
    </row>
    <row r="5122" customFormat="false" ht="17.15" hidden="false" customHeight="false" outlineLevel="0" collapsed="false">
      <c r="A5122" s="1" t="s">
        <v>839</v>
      </c>
      <c r="B5122" s="0" t="s">
        <v>129</v>
      </c>
      <c r="D5122" s="7" t="n">
        <f aca="false">(Sens!C5104+Sens!D5104)/(Sens!C5105+Sens!D5105)</f>
        <v>0.6</v>
      </c>
      <c r="E5122" s="7" t="n">
        <f aca="false">(Sens!D5104+Sens!E5104)/(Sens!D5105+Sens!E5105)</f>
        <v>0.6</v>
      </c>
      <c r="F5122" s="7" t="n">
        <f aca="false">(Sens!E5104+Sens!F5104)/(Sens!E5105+Sens!F5105)</f>
        <v>0.6</v>
      </c>
      <c r="G5122" s="7" t="n">
        <f aca="false">(Sens!F5104+Sens!G5104)/(Sens!F5105+Sens!G5105)</f>
        <v>0.6</v>
      </c>
      <c r="H5122" s="7" t="n">
        <f aca="false">(Sens!G5104+Sens!H5104)/(Sens!G5105+Sens!H5105)</f>
        <v>0.6</v>
      </c>
      <c r="I5122" s="7" t="n">
        <f aca="false">(Sens!H5104+Sens!I5104)/(Sens!H5105+Sens!I5105)</f>
        <v>0.6</v>
      </c>
      <c r="J5122" s="7" t="n">
        <f aca="false">(Sens!I5104+Sens!J5104)/(Sens!I5105+Sens!J5105)</f>
        <v>0.6</v>
      </c>
      <c r="K5122" s="7" t="n">
        <f aca="false">(Sens!J5104+Sens!K5104)/(Sens!J5105+Sens!K5105)</f>
        <v>0.6</v>
      </c>
    </row>
    <row r="5123" customFormat="false" ht="17.15" hidden="false" customHeight="false" outlineLevel="0" collapsed="false">
      <c r="A5123" s="0" t="s">
        <v>840</v>
      </c>
      <c r="B5123" s="0" t="s">
        <v>98</v>
      </c>
      <c r="D5123" s="6" t="n">
        <f aca="false">Sens!D5117-Sens!D5122*(Sens!D5119+Sens!D5121)-Sens!D5120</f>
        <v>8.35701406163072</v>
      </c>
      <c r="E5123" s="6" t="n">
        <f aca="false">Sens!E5117-Sens!E5122*(Sens!E5119+Sens!E5121)-Sens!E5120</f>
        <v>18.7103224860238</v>
      </c>
      <c r="F5123" s="6" t="n">
        <f aca="false">Sens!F5117-Sens!F5122*(Sens!F5119+Sens!F5121)-Sens!F5120</f>
        <v>35.0573455625419</v>
      </c>
      <c r="G5123" s="6" t="n">
        <f aca="false">Sens!G5117-Sens!G5122*(Sens!G5119+Sens!G5121)-Sens!G5120</f>
        <v>52.2504971712871</v>
      </c>
      <c r="H5123" s="6" t="n">
        <f aca="false">Sens!H5117-Sens!H5122*(Sens!H5119+Sens!H5121)-Sens!H5120</f>
        <v>65.2796698510271</v>
      </c>
      <c r="I5123" s="6" t="n">
        <f aca="false">Sens!I5117-Sens!I5122*(Sens!I5119+Sens!I5121)-Sens!I5120</f>
        <v>82.393331131385</v>
      </c>
      <c r="J5123" s="6" t="n">
        <f aca="false">Sens!J5117-Sens!J5122*(Sens!J5119+Sens!J5121)-Sens!J5120</f>
        <v>94.7323630519293</v>
      </c>
      <c r="K5123" s="6" t="n">
        <f aca="false">Sens!K5117-Sens!K5122*(Sens!K5119+Sens!K5121)-Sens!K5120</f>
        <v>102.046055255754</v>
      </c>
    </row>
    <row r="5124" customFormat="false" ht="17.15" hidden="false" customHeight="false" outlineLevel="0" collapsed="false">
      <c r="A5124" s="1" t="s">
        <v>841</v>
      </c>
      <c r="B5124" s="0" t="s">
        <v>98</v>
      </c>
      <c r="D5124" s="6" t="n">
        <f aca="false">(1-Sens!D5122)*(Sens!D5119+Sens!D5121)</f>
        <v>1.42281025374069</v>
      </c>
      <c r="E5124" s="6" t="n">
        <f aca="false">(1-Sens!E5122)*(Sens!E5119+Sens!E5121)</f>
        <v>3.25095598674472</v>
      </c>
      <c r="F5124" s="6" t="n">
        <f aca="false">(1-Sens!F5122)*(Sens!F5119+Sens!F5121)</f>
        <v>6.53293055050977</v>
      </c>
      <c r="G5124" s="6" t="n">
        <f aca="false">(1-Sens!G5122)*(Sens!G5119+Sens!G5121)</f>
        <v>10.7846311741651</v>
      </c>
      <c r="H5124" s="6" t="n">
        <f aca="false">(1-Sens!H5122)*(Sens!H5119+Sens!H5121)</f>
        <v>15.26343050201</v>
      </c>
      <c r="I5124" s="6" t="n">
        <f aca="false">(1-Sens!I5122)*(Sens!I5119+Sens!I5121)</f>
        <v>19.0876932389932</v>
      </c>
      <c r="J5124" s="6" t="n">
        <f aca="false">(1-Sens!J5122)*(Sens!J5119+Sens!J5121)</f>
        <v>21.7027789661419</v>
      </c>
      <c r="K5124" s="6" t="n">
        <f aca="false">(1-Sens!K5122)*(Sens!K5119+Sens!K5121)</f>
        <v>23.1238015803346</v>
      </c>
    </row>
    <row r="5125" customFormat="false" ht="17.15" hidden="false" customHeight="false" outlineLevel="0" collapsed="false">
      <c r="A5125" s="1" t="s">
        <v>842</v>
      </c>
      <c r="B5125" s="0" t="s">
        <v>357</v>
      </c>
      <c r="C5125" s="8" t="n">
        <f aca="false">cxit_open</f>
        <v>27.5918995</v>
      </c>
      <c r="D5125" s="8" t="n">
        <f aca="false">cxit_open</f>
        <v>27.5918995</v>
      </c>
      <c r="E5125" s="8" t="n">
        <f aca="false">cxit_open</f>
        <v>27.5918995</v>
      </c>
      <c r="F5125" s="8" t="n">
        <f aca="false">(a_g3_27*tk_cxit_gb300+(1-a_g3_27)*tk_cxit_vr200)</f>
        <v>33.8419624</v>
      </c>
      <c r="G5125" s="8" t="n">
        <f aca="false">(a_g3_28*tk_cxit_gb300+(1-a_g3_28)*tk_cxit_vr200)</f>
        <v>35.9816136</v>
      </c>
      <c r="H5125" s="8" t="n">
        <f aca="false">(a_g3_29*tk_cxit_gb300+(1-a_g3_29)*tk_cxit_vr200)</f>
        <v>37.0514392</v>
      </c>
      <c r="I5125" s="8" t="n">
        <f aca="false">(a_g3_29*tk_cxit_gb300+(1-a_g3_29)*tk_cxit_vr200)</f>
        <v>37.0514392</v>
      </c>
      <c r="J5125" s="8" t="n">
        <f aca="false">(a_g3_29*tk_cxit_gb300+(1-a_g3_29)*tk_cxit_vr200)</f>
        <v>37.0514392</v>
      </c>
      <c r="K5125" s="8" t="n">
        <f aca="false">(a_g3_29*tk_cxit_gb300+(1-a_g3_29)*tk_cxit_vr200)</f>
        <v>37.0514392</v>
      </c>
      <c r="L5125" s="11" t="s">
        <v>843</v>
      </c>
    </row>
    <row r="5126" customFormat="false" ht="17.15" hidden="false" customHeight="false" outlineLevel="0" collapsed="false">
      <c r="A5126" s="0" t="s">
        <v>844</v>
      </c>
      <c r="B5126" s="0" t="s">
        <v>399</v>
      </c>
      <c r="F5126" s="29" t="n">
        <f aca="false">Sens!C5107*IF(Sens!F5100-Sens!C5100=life_it_hi,1,0)+Sens!D5107*IF(Sens!F5100-Sens!D5100=life_it_hi,1,0)+Sens!E5107*IF(Sens!F5100-Sens!E5100=life_it_hi,1,0)</f>
        <v>0</v>
      </c>
      <c r="G5126" s="29" t="n">
        <f aca="false">Sens!C5107*IF(Sens!G5100-Sens!C5100=life_it_hi,1,0)+Sens!D5107*IF(Sens!G5100-Sens!D5100=life_it_hi,1,0)+Sens!E5107*IF(Sens!G5100-Sens!E5100=life_it_hi,1,0)+Sens!F5107*IF(Sens!G5100-Sens!F5100=life_it_hi,1,0)</f>
        <v>0</v>
      </c>
      <c r="H5126" s="29" t="n">
        <f aca="false">Sens!C5107*IF(Sens!H5100-Sens!C5100=life_it_hi,1,0)+Sens!D5107*IF(Sens!H5100-Sens!D5100=life_it_hi,1,0)+Sens!E5107*IF(Sens!H5100-Sens!E5100=life_it_hi,1,0)+Sens!F5107*IF(Sens!H5100-Sens!F5100=life_it_hi,1,0)+Sens!G5107*IF(Sens!H5100-Sens!G5100=life_it_hi,1,0)</f>
        <v>0</v>
      </c>
      <c r="I5126" s="29" t="n">
        <f aca="false">Sens!C5107*IF(Sens!I5100-Sens!C5100=life_it_hi,1,0)+Sens!D5107*IF(Sens!I5100-Sens!D5100=life_it_hi,1,0)+Sens!E5107*IF(Sens!I5100-Sens!E5100=life_it_hi,1,0)+Sens!F5107*IF(Sens!I5100-Sens!F5100=life_it_hi,1,0)+Sens!G5107*IF(Sens!I5100-Sens!G5100=life_it_hi,1,0)+Sens!H5107*IF(Sens!I5100-Sens!H5100=life_it_hi,1,0)</f>
        <v>0</v>
      </c>
      <c r="J5126" s="29" t="n">
        <f aca="false">Sens!C5107*IF(Sens!J5100-Sens!C5100=life_it_hi,1,0)+Sens!D5107*IF(Sens!J5100-Sens!D5100=life_it_hi,1,0)+Sens!E5107*IF(Sens!J5100-Sens!E5100=life_it_hi,1,0)+Sens!F5107*IF(Sens!J5100-Sens!F5100=life_it_hi,1,0)+Sens!G5107*IF(Sens!J5100-Sens!G5100=life_it_hi,1,0)+Sens!H5107*IF(Sens!J5100-Sens!H5100=life_it_hi,1,0)+Sens!I5107*IF(Sens!J5100-Sens!I5100=life_it_hi,1,0)</f>
        <v>816.666666666667</v>
      </c>
      <c r="K5126" s="29" t="n">
        <f aca="false">Sens!C5107*IF(Sens!K5100-Sens!C5100=life_it_hi,1,0)+Sens!D5107*IF(Sens!K5100-Sens!D5100=life_it_hi,1,0)+Sens!E5107*IF(Sens!K5100-Sens!E5100=life_it_hi,1,0)+Sens!F5107*IF(Sens!K5100-Sens!F5100=life_it_hi,1,0)+Sens!G5107*IF(Sens!K5100-Sens!G5100=life_it_hi,1,0)+Sens!H5107*IF(Sens!K5100-Sens!H5100=life_it_hi,1,0)+Sens!I5107*IF(Sens!K5100-Sens!I5100=life_it_hi,1,0)+Sens!J5107*IF(Sens!K5100-Sens!J5100=life_it_hi,1,0)</f>
        <v>1233.33333333333</v>
      </c>
      <c r="L5126" s="1" t="s">
        <v>845</v>
      </c>
    </row>
    <row r="5127" customFormat="false" ht="17.15" hidden="false" customHeight="false" outlineLevel="0" collapsed="false">
      <c r="A5127" s="0" t="s">
        <v>846</v>
      </c>
      <c r="B5127" s="0" t="s">
        <v>98</v>
      </c>
      <c r="C5127" s="6" t="n">
        <f aca="false">Sens!C5107*Sens!C5125/1000</f>
        <v>22.5333845916667</v>
      </c>
      <c r="D5127" s="6" t="n">
        <f aca="false">Sens!D5107*Sens!D5125/1000</f>
        <v>34.0300093833333</v>
      </c>
      <c r="E5127" s="6" t="n">
        <f aca="false">Sens!E5107*Sens!E5125/1000</f>
        <v>67.600153775</v>
      </c>
      <c r="F5127" s="6" t="n">
        <f aca="false">(Sens!F5107+Sens!F5126)*Sens!F5125/1000</f>
        <v>130.923271871467</v>
      </c>
      <c r="G5127" s="6" t="n">
        <f aca="false">(Sens!G5107+Sens!G5126)*Sens!G5125/1000</f>
        <v>151.5545564832</v>
      </c>
      <c r="H5127" s="6" t="n">
        <f aca="false">(Sens!H5107+Sens!H5126)*Sens!H5125/1000</f>
        <v>156.0606619104</v>
      </c>
      <c r="I5127" s="6" t="n">
        <f aca="false">(Sens!I5107+Sens!I5126)*Sens!I5125/1000</f>
        <v>110.729214087579</v>
      </c>
      <c r="J5127" s="6" t="n">
        <f aca="false">(Sens!J5107+Sens!J5126)*Sens!J5125/1000</f>
        <v>97.8710258931755</v>
      </c>
      <c r="K5127" s="6" t="n">
        <f aca="false">(Sens!K5107+Sens!K5126)*Sens!K5125/1000</f>
        <v>71.1133403942919</v>
      </c>
    </row>
    <row r="5128" customFormat="false" ht="17.15" hidden="false" customHeight="false" outlineLevel="0" collapsed="false">
      <c r="A5128" s="0" t="s">
        <v>847</v>
      </c>
      <c r="B5128" s="0" t="s">
        <v>98</v>
      </c>
      <c r="C5128" s="6" t="n">
        <f aca="false">Sens!C5107*self_build*tk_cxfac/1000</f>
        <v>6.2083</v>
      </c>
      <c r="D5128" s="6" t="n">
        <f aca="false">Sens!D5107*self_build*tk_cxfac/1000</f>
        <v>9.3758</v>
      </c>
      <c r="E5128" s="6" t="n">
        <f aca="false">Sens!E5107*self_build*tk_cxfac/1000</f>
        <v>18.6249</v>
      </c>
      <c r="F5128" s="6" t="n">
        <f aca="false">Sens!F5107*self_build*tk_cxfac/1000</f>
        <v>29.409604</v>
      </c>
      <c r="G5128" s="6" t="n">
        <f aca="false">Sens!G5107*self_build*tk_cxfac/1000</f>
        <v>32.019624</v>
      </c>
      <c r="H5128" s="6" t="n">
        <f aca="false">Sens!H5107*self_build*tk_cxfac/1000</f>
        <v>32.019624</v>
      </c>
      <c r="I5128" s="6" t="n">
        <f aca="false">Sens!I5107*self_build*tk_cxfac/1000</f>
        <v>22.71877972</v>
      </c>
      <c r="J5128" s="6" t="n">
        <f aca="false">Sens!J5107*self_build*tk_cxfac/1000</f>
        <v>13.8723110344</v>
      </c>
      <c r="K5128" s="6" t="n">
        <f aca="false">Sens!K5107*self_build*tk_cxfac/1000</f>
        <v>5.214823882632</v>
      </c>
    </row>
    <row r="5129" customFormat="false" ht="17.15" hidden="false" customHeight="false" outlineLevel="0" collapsed="false">
      <c r="A5129" s="0" t="s">
        <v>848</v>
      </c>
      <c r="B5129" s="0" t="s">
        <v>98</v>
      </c>
      <c r="F5129" s="6" t="n">
        <f aca="false">MAX(0,capex_floor27-Sens!F5127-Sens!F5128-Sens!F5223)</f>
        <v>8.43777689897088</v>
      </c>
    </row>
    <row r="5130" customFormat="false" ht="17.15" hidden="false" customHeight="false" outlineLevel="0" collapsed="false">
      <c r="A5130" s="0" t="s">
        <v>849</v>
      </c>
      <c r="B5130" s="0" t="s">
        <v>98</v>
      </c>
      <c r="C5130" s="6" t="n">
        <f aca="false">Sens!C5127</f>
        <v>22.5333845916667</v>
      </c>
      <c r="D5130" s="6" t="n">
        <f aca="false">Sens!D5127</f>
        <v>34.0300093833333</v>
      </c>
      <c r="E5130" s="6" t="n">
        <f aca="false">Sens!E5127</f>
        <v>67.600153775</v>
      </c>
      <c r="F5130" s="6" t="n">
        <f aca="false">Sens!F5127</f>
        <v>130.923271871467</v>
      </c>
      <c r="G5130" s="6" t="n">
        <f aca="false">Sens!G5127</f>
        <v>151.5545564832</v>
      </c>
      <c r="H5130" s="6" t="n">
        <f aca="false">Sens!H5127</f>
        <v>156.0606619104</v>
      </c>
      <c r="I5130" s="6" t="n">
        <f aca="false">Sens!I5127</f>
        <v>110.729214087579</v>
      </c>
      <c r="J5130" s="6" t="n">
        <f aca="false">Sens!J5127</f>
        <v>97.8710258931755</v>
      </c>
      <c r="K5130" s="6" t="n">
        <f aca="false">Sens!K5127</f>
        <v>71.1133403942919</v>
      </c>
    </row>
    <row r="5131" customFormat="false" ht="17.15" hidden="false" customHeight="false" outlineLevel="0" collapsed="false">
      <c r="A5131" s="0" t="s">
        <v>850</v>
      </c>
      <c r="B5131" s="0" t="s">
        <v>98</v>
      </c>
      <c r="C5131" s="6" t="n">
        <f aca="false">Sens!C5130+Sens!C5128</f>
        <v>28.7416845916667</v>
      </c>
      <c r="D5131" s="6" t="n">
        <f aca="false">Sens!D5130+Sens!D5128</f>
        <v>43.4058093833333</v>
      </c>
      <c r="E5131" s="6" t="n">
        <f aca="false">Sens!E5130+Sens!E5128</f>
        <v>86.225053775</v>
      </c>
      <c r="F5131" s="6" t="n">
        <f aca="false">Sens!F5130+Sens!F5128</f>
        <v>160.332875871467</v>
      </c>
      <c r="G5131" s="6" t="n">
        <f aca="false">Sens!G5130+Sens!G5128</f>
        <v>183.5741804832</v>
      </c>
      <c r="H5131" s="6" t="n">
        <f aca="false">Sens!H5130+Sens!H5128</f>
        <v>188.0802859104</v>
      </c>
      <c r="I5131" s="6" t="n">
        <f aca="false">Sens!I5130+Sens!I5128</f>
        <v>133.447993807579</v>
      </c>
      <c r="J5131" s="6" t="n">
        <f aca="false">Sens!J5130+Sens!J5128</f>
        <v>111.743336927576</v>
      </c>
      <c r="K5131" s="6" t="n">
        <f aca="false">Sens!K5130+Sens!K5128</f>
        <v>76.3281642769239</v>
      </c>
      <c r="L5131" s="11" t="s">
        <v>851</v>
      </c>
    </row>
    <row r="5132" customFormat="false" ht="17.15" hidden="false" customHeight="false" outlineLevel="0" collapsed="false">
      <c r="A5132" s="0" t="s">
        <v>852</v>
      </c>
      <c r="B5132" s="0" t="s">
        <v>98</v>
      </c>
      <c r="E5132" s="6" t="n">
        <f aca="false">(Sens!C5130*IF(2&lt;life_it_hi,1,IF(2=life_it_hi,0.5,0))+Sens!D5130*IF(1&lt;life_it_hi,1,IF(1=life_it_hi,0.5,0))+Sens!E5130*0.5)/life_it_hi</f>
        <v>12.9090672660714</v>
      </c>
      <c r="F5132" s="6" t="n">
        <f aca="false">(Sens!C5130*IF(3&lt;life_it_hi,1,IF(3=life_it_hi,0.5,0))+Sens!D5130*IF(2&lt;life_it_hi,1,IF(2=life_it_hi,0.5,0))+Sens!E5130*IF(1&lt;life_it_hi,1,IF(1=life_it_hi,0.5,0))+Sens!F5130*0.5)/life_it_hi</f>
        <v>27.0893119551048</v>
      </c>
      <c r="G5132" s="6" t="n">
        <f aca="false">(Sens!C5130*IF(4&lt;life_it_hi,1,IF(4=life_it_hi,0.5,0))+Sens!D5130*IF(3&lt;life_it_hi,1,IF(3=life_it_hi,0.5,0))+Sens!E5130*IF(2&lt;life_it_hi,1,IF(2=life_it_hi,0.5,0))+Sens!F5130*IF(1&lt;life_it_hi,1,IF(1=life_it_hi,0.5,0))+Sens!G5130*0.5)/life_it_hi</f>
        <v>47.2662996947238</v>
      </c>
      <c r="H5132" s="6" t="n">
        <f aca="false">(Sens!C5130*IF(5&lt;life_it_hi,1,IF(5=life_it_hi,0.5,0))+Sens!D5130*IF(4&lt;life_it_hi,1,IF(4=life_it_hi,0.5,0))+Sens!E5130*IF(3&lt;life_it_hi,1,IF(3=life_it_hi,0.5,0))+Sens!F5130*IF(2&lt;life_it_hi,1,IF(2=life_it_hi,0.5,0))+Sens!G5130*IF(1&lt;life_it_hi,1,IF(1=life_it_hi,0.5,0))+Sens!H5130*0.5)/life_it_hi</f>
        <v>69.2388152942666</v>
      </c>
      <c r="I5132" s="6" t="n">
        <f aca="false">(Sens!C5130*IF(6&lt;life_it_hi,1,IF(6=life_it_hi,0.5,0))+Sens!D5130*IF(5&lt;life_it_hi,1,IF(5=life_it_hi,0.5,0))+Sens!E5130*IF(4&lt;life_it_hi,1,IF(4=life_it_hi,0.5,0))+Sens!F5130*IF(3&lt;life_it_hi,1,IF(3=life_it_hi,0.5,0))+Sens!G5130*IF(2&lt;life_it_hi,1,IF(2=life_it_hi,0.5,0))+Sens!H5130*IF(1&lt;life_it_hi,1,IF(1=life_it_hi,0.5,0))+Sens!I5130*0.5)/life_it_hi</f>
        <v>88.295235008408</v>
      </c>
      <c r="J5132" s="6" t="n">
        <f aca="false">(Sens!C5130*IF(7&lt;life_it_hi,1,IF(7=life_it_hi,0.5,0))+Sens!D5130*IF(6&lt;life_it_hi,1,IF(6=life_it_hi,0.5,0))+Sens!E5130*IF(5&lt;life_it_hi,1,IF(5=life_it_hi,0.5,0))+Sens!F5130*IF(4&lt;life_it_hi,1,IF(4=life_it_hi,0.5,0))+Sens!G5130*IF(3&lt;life_it_hi,1,IF(3=life_it_hi,0.5,0))+Sens!H5130*IF(2&lt;life_it_hi,1,IF(2=life_it_hi,0.5,0))+Sens!I5130*IF(1&lt;life_it_hi,1,IF(1=life_it_hi,0.5,0))+Sens!J5130*0.5)/life_it_hi</f>
        <v>101.585724679057</v>
      </c>
      <c r="K5132" s="6" t="n">
        <f aca="false">(Sens!C5130*IF(8&lt;life_it_hi,1,IF(8=life_it_hi,0.5,0))+Sens!D5130*IF(7&lt;life_it_hi,1,IF(7=life_it_hi,0.5,0))+Sens!E5130*IF(6&lt;life_it_hi,1,IF(6=life_it_hi,0.5,0))+Sens!F5130*IF(5&lt;life_it_hi,1,IF(5=life_it_hi,0.5,0))+Sens!G5130*IF(4&lt;life_it_hi,1,IF(4=life_it_hi,0.5,0))+Sens!H5130*IF(3&lt;life_it_hi,1,IF(3=life_it_hi,0.5,0))+Sens!I5130*IF(2&lt;life_it_hi,1,IF(2=life_it_hi,0.5,0))+Sens!J5130*IF(1&lt;life_it_hi,1,IF(1=life_it_hi,0.5,0))+Sens!K5130*0.5)/life_it_hi</f>
        <v>109.615794129948</v>
      </c>
    </row>
    <row r="5133" customFormat="false" ht="17.15" hidden="false" customHeight="false" outlineLevel="0" collapsed="false">
      <c r="A5133" s="0" t="s">
        <v>853</v>
      </c>
      <c r="B5133" s="0" t="s">
        <v>98</v>
      </c>
      <c r="E5133" s="6" t="n">
        <f aca="false">(Sens!C5128*IF(2&lt;life_fac,1,IF(2=life_fac,0.5,0))+Sens!D5128*IF(1&lt;life_fac,1,IF(1=life_fac,0.5,0))+Sens!E5128*0.5)/life_fac</f>
        <v>1.2448275</v>
      </c>
      <c r="F5133" s="6" t="n">
        <f aca="false">(Sens!C5128*IF(3&lt;life_fac,1,IF(3=life_fac,0.5,0))+Sens!D5128*IF(2&lt;life_fac,1,IF(2=life_fac,0.5,0))+Sens!E5128*IF(1&lt;life_fac,1,IF(1=life_fac,0.5,0))+Sens!F5128*0.5)/life_fac</f>
        <v>2.4456901</v>
      </c>
      <c r="G5133" s="6" t="n">
        <f aca="false">(Sens!C5128*IF(4&lt;life_fac,1,IF(4=life_fac,0.5,0))+Sens!D5128*IF(3&lt;life_fac,1,IF(3=life_fac,0.5,0))+Sens!E5128*IF(2&lt;life_fac,1,IF(2=life_fac,0.5,0))+Sens!F5128*IF(1&lt;life_fac,1,IF(1=life_fac,0.5,0))+Sens!G5128*0.5)/life_fac</f>
        <v>3.9814208</v>
      </c>
      <c r="H5133" s="6" t="n">
        <f aca="false">(Sens!C5128*IF(5&lt;life_fac,1,IF(5=life_fac,0.5,0))+Sens!D5128*IF(4&lt;life_fac,1,IF(4=life_fac,0.5,0))+Sens!E5128*IF(3&lt;life_fac,1,IF(3=life_fac,0.5,0))+Sens!F5128*IF(2&lt;life_fac,1,IF(2=life_fac,0.5,0))+Sens!G5128*IF(1&lt;life_fac,1,IF(1=life_fac,0.5,0))+Sens!H5128*0.5)/life_fac</f>
        <v>5.582402</v>
      </c>
      <c r="I5133" s="6" t="n">
        <f aca="false">(Sens!C5128*IF(6&lt;life_fac,1,IF(6=life_fac,0.5,0))+Sens!D5128*IF(5&lt;life_fac,1,IF(5=life_fac,0.5,0))+Sens!E5128*IF(4&lt;life_fac,1,IF(4=life_fac,0.5,0))+Sens!F5128*IF(3&lt;life_fac,1,IF(3=life_fac,0.5,0))+Sens!G5128*IF(2&lt;life_fac,1,IF(2=life_fac,0.5,0))+Sens!H5128*IF(1&lt;life_fac,1,IF(1=life_fac,0.5,0))+Sens!I5128*0.5)/life_fac</f>
        <v>6.950862093</v>
      </c>
      <c r="J5133" s="6" t="n">
        <f aca="false">(Sens!C5128*IF(7&lt;life_fac,1,IF(7=life_fac,0.5,0))+Sens!D5128*IF(6&lt;life_fac,1,IF(6=life_fac,0.5,0))+Sens!E5128*IF(5&lt;life_fac,1,IF(5=life_fac,0.5,0))+Sens!F5128*IF(4&lt;life_fac,1,IF(4=life_fac,0.5,0))+Sens!G5128*IF(3&lt;life_fac,1,IF(3=life_fac,0.5,0))+Sens!H5128*IF(2&lt;life_fac,1,IF(2=life_fac,0.5,0))+Sens!I5128*IF(1&lt;life_fac,1,IF(1=life_fac,0.5,0))+Sens!J5128*0.5)/life_fac</f>
        <v>7.86563936186</v>
      </c>
      <c r="K5133" s="6" t="n">
        <f aca="false">(Sens!C5128*IF(8&lt;life_fac,1,IF(8=life_fac,0.5,0))+Sens!D5128*IF(7&lt;life_fac,1,IF(7=life_fac,0.5,0))+Sens!E5128*IF(6&lt;life_fac,1,IF(6=life_fac,0.5,0))+Sens!F5128*IF(5&lt;life_fac,1,IF(5=life_fac,0.5,0))+Sens!G5128*IF(4&lt;life_fac,1,IF(4=life_fac,0.5,0))+Sens!H5128*IF(3&lt;life_fac,1,IF(3=life_fac,0.5,0))+Sens!I5128*IF(2&lt;life_fac,1,IF(2=life_fac,0.5,0))+Sens!J5128*IF(1&lt;life_fac,1,IF(1=life_fac,0.5,0))+Sens!K5128*0.5)/life_fac</f>
        <v>8.3428177347858</v>
      </c>
    </row>
    <row r="5134" customFormat="false" ht="17.15" hidden="false" customHeight="false" outlineLevel="0" collapsed="false">
      <c r="A5134" s="0" t="s">
        <v>854</v>
      </c>
      <c r="B5134" s="0" t="s">
        <v>98</v>
      </c>
      <c r="E5134" s="6" t="n">
        <f aca="false">Sens!E5132+Sens!E5133</f>
        <v>14.1538947660714</v>
      </c>
      <c r="F5134" s="6" t="n">
        <f aca="false">Sens!F5132+Sens!F5133</f>
        <v>29.5350020551048</v>
      </c>
      <c r="G5134" s="6" t="n">
        <f aca="false">Sens!G5132+Sens!G5133</f>
        <v>51.2477204947238</v>
      </c>
      <c r="H5134" s="6" t="n">
        <f aca="false">Sens!H5132+Sens!H5133</f>
        <v>74.8212172942667</v>
      </c>
      <c r="I5134" s="6" t="n">
        <f aca="false">Sens!I5132+Sens!I5133</f>
        <v>95.246097101408</v>
      </c>
      <c r="J5134" s="6" t="n">
        <f aca="false">Sens!J5132+Sens!J5133</f>
        <v>109.451364040917</v>
      </c>
      <c r="K5134" s="6" t="n">
        <f aca="false">Sens!K5132+Sens!K5133</f>
        <v>117.958611864733</v>
      </c>
    </row>
    <row r="5135" customFormat="false" ht="17.15" hidden="false" customHeight="false" outlineLevel="0" collapsed="false">
      <c r="A5135" s="0" t="s">
        <v>855</v>
      </c>
      <c r="B5135" s="0" t="s">
        <v>98</v>
      </c>
      <c r="E5135" s="6" t="n">
        <f aca="false">Sens!E5123-Sens!E5122*Sens!E5134</f>
        <v>10.2179856263809</v>
      </c>
      <c r="F5135" s="6" t="n">
        <f aca="false">Sens!F5123-Sens!F5122*Sens!F5134</f>
        <v>17.3363443294791</v>
      </c>
      <c r="G5135" s="6" t="n">
        <f aca="false">Sens!G5123-Sens!G5122*Sens!G5134</f>
        <v>21.5018648744528</v>
      </c>
      <c r="H5135" s="6" t="n">
        <f aca="false">Sens!H5123-Sens!H5122*Sens!H5134</f>
        <v>20.3869394744671</v>
      </c>
      <c r="I5135" s="6" t="n">
        <f aca="false">Sens!I5123-Sens!I5122*Sens!I5134</f>
        <v>25.2456728705402</v>
      </c>
      <c r="J5135" s="6" t="n">
        <f aca="false">Sens!J5123-Sens!J5122*Sens!J5134</f>
        <v>29.0615446273791</v>
      </c>
      <c r="K5135" s="6" t="n">
        <f aca="false">Sens!K5123-Sens!K5122*Sens!K5134</f>
        <v>31.2708881369138</v>
      </c>
    </row>
    <row r="5136" customFormat="false" ht="17.15" hidden="false" customHeight="false" outlineLevel="0" collapsed="false">
      <c r="A5136" s="3" t="s">
        <v>1393</v>
      </c>
    </row>
    <row r="5137" customFormat="false" ht="15" hidden="false" customHeight="false" outlineLevel="0" collapsed="false">
      <c r="A5137" s="4" t="s">
        <v>43</v>
      </c>
      <c r="B5137" s="4" t="s">
        <v>65</v>
      </c>
      <c r="C5137" s="20" t="s">
        <v>799</v>
      </c>
      <c r="D5137" s="20" t="s">
        <v>800</v>
      </c>
      <c r="E5137" s="20" t="s">
        <v>801</v>
      </c>
      <c r="F5137" s="20" t="s">
        <v>802</v>
      </c>
      <c r="G5137" s="20" t="s">
        <v>803</v>
      </c>
      <c r="H5137" s="20" t="s">
        <v>804</v>
      </c>
      <c r="I5137" s="20" t="s">
        <v>805</v>
      </c>
      <c r="J5137" s="20" t="s">
        <v>806</v>
      </c>
      <c r="K5137" s="20" t="s">
        <v>807</v>
      </c>
      <c r="L5137" s="4" t="s">
        <v>47</v>
      </c>
    </row>
    <row r="5138" customFormat="false" ht="17.15" hidden="false" customHeight="false" outlineLevel="0" collapsed="false">
      <c r="A5138" s="0" t="s">
        <v>874</v>
      </c>
      <c r="B5138" s="0" t="s">
        <v>98</v>
      </c>
      <c r="D5138" s="6" t="n">
        <f aca="false">Sens!D5117</f>
        <v>12.9359794422418</v>
      </c>
      <c r="E5138" s="6" t="n">
        <f aca="false">Sens!E5117</f>
        <v>27.8095064661409</v>
      </c>
      <c r="F5138" s="6" t="n">
        <f aca="false">Sens!F5117</f>
        <v>50.6619113883066</v>
      </c>
      <c r="G5138" s="6" t="n">
        <f aca="false">Sens!G5117</f>
        <v>75.1482839325348</v>
      </c>
      <c r="H5138" s="6" t="n">
        <f aca="false">Sens!H5117</f>
        <v>94.895655604042</v>
      </c>
      <c r="I5138" s="6" t="n">
        <f aca="false">Sens!I5117</f>
        <v>117.745710989875</v>
      </c>
      <c r="J5138" s="6" t="n">
        <f aca="false">Sens!J5117</f>
        <v>134.007371501142</v>
      </c>
      <c r="K5138" s="6" t="n">
        <f aca="false">Sens!K5117</f>
        <v>143.452597626256</v>
      </c>
    </row>
    <row r="5139" customFormat="false" ht="17.15" hidden="false" customHeight="false" outlineLevel="0" collapsed="false">
      <c r="A5139" s="0" t="s">
        <v>875</v>
      </c>
      <c r="B5139" s="0" t="s">
        <v>98</v>
      </c>
      <c r="D5139" s="6" t="n">
        <f aca="false">Q!L6-Sens!D5138</f>
        <v>59.6740205577583</v>
      </c>
      <c r="E5139" s="6" t="n">
        <f aca="false">Q!M6-Sens!E5138</f>
        <v>74.1284935338591</v>
      </c>
      <c r="F5139" s="6" t="n">
        <f aca="false">Sens!E5139*(1+Sens!F5140)</f>
        <v>90.0799497373663</v>
      </c>
      <c r="G5139" s="6" t="n">
        <f aca="false">Sens!F5139*(1+Sens!G5140)</f>
        <v>107.02842520331</v>
      </c>
      <c r="H5139" s="6" t="n">
        <f aca="false">Sens!G5139*(1+Sens!H5140)</f>
        <v>124.271982585636</v>
      </c>
      <c r="I5139" s="6" t="n">
        <f aca="false">Sens!H5139*(1+Sens!I5140)</f>
        <v>140.933702381855</v>
      </c>
      <c r="J5139" s="6" t="n">
        <f aca="false">Sens!I5139*(1+Sens!J5140)</f>
        <v>156.018867314332</v>
      </c>
      <c r="K5139" s="6" t="n">
        <f aca="false">Sens!J5139*(1+Sens!K5140)</f>
        <v>168.500376699478</v>
      </c>
    </row>
    <row r="5140" customFormat="false" ht="15" hidden="false" customHeight="false" outlineLevel="0" collapsed="false">
      <c r="A5140" s="1" t="s">
        <v>876</v>
      </c>
      <c r="B5140" s="0" t="s">
        <v>129</v>
      </c>
      <c r="E5140" s="7" t="n">
        <f aca="false">Sens!E5139/Sens!D5139-1</f>
        <v>0.242223883039864</v>
      </c>
      <c r="F5140" s="7" t="n">
        <f aca="false">Sens!$E$5140+(glt_azo-Sens!$E$5140)*MIN(1,(Sens!F5100-base_fy)/n_conv)</f>
        <v>0.215186569199887</v>
      </c>
      <c r="G5140" s="7" t="n">
        <f aca="false">Sens!$E$5140+(glt_azo-Sens!$E$5140)*MIN(1,(Sens!G5100-base_fy)/n_conv)</f>
        <v>0.18814925535991</v>
      </c>
      <c r="H5140" s="7" t="n">
        <f aca="false">Sens!$E$5140+(glt_azo-Sens!$E$5140)*MIN(1,(Sens!H5100-base_fy)/n_conv)</f>
        <v>0.161111941519932</v>
      </c>
      <c r="I5140" s="7" t="n">
        <f aca="false">Sens!$E$5140+(glt_azo-Sens!$E$5140)*MIN(1,(Sens!I5100-base_fy)/n_conv)</f>
        <v>0.134074627679955</v>
      </c>
      <c r="J5140" s="7" t="n">
        <f aca="false">Sens!$E$5140+(glt_azo-Sens!$E$5140)*MIN(1,(Sens!J5100-base_fy)/n_conv)</f>
        <v>0.107037313839977</v>
      </c>
      <c r="K5140" s="7" t="n">
        <f aca="false">Sens!$E$5140+(glt_azo-Sens!$E$5140)*MIN(1,(Sens!K5100-base_fy)/n_conv)</f>
        <v>0.08</v>
      </c>
    </row>
    <row r="5141" customFormat="false" ht="15" hidden="false" customHeight="false" outlineLevel="0" collapsed="false">
      <c r="A5141" s="0" t="s">
        <v>877</v>
      </c>
      <c r="B5141" s="0" t="s">
        <v>98</v>
      </c>
      <c r="D5141" s="6" t="n">
        <f aca="false">Sens!D5138+Sens!D5139</f>
        <v>72.61</v>
      </c>
      <c r="E5141" s="6" t="n">
        <f aca="false">Sens!E5138+Sens!E5139</f>
        <v>101.938</v>
      </c>
      <c r="F5141" s="6" t="n">
        <f aca="false">Sens!F5138+Sens!F5139</f>
        <v>140.741861125673</v>
      </c>
      <c r="G5141" s="6" t="n">
        <f aca="false">Sens!G5138+Sens!G5139</f>
        <v>182.176709135845</v>
      </c>
      <c r="H5141" s="6" t="n">
        <f aca="false">Sens!H5138+Sens!H5139</f>
        <v>219.167638189678</v>
      </c>
      <c r="I5141" s="6" t="n">
        <f aca="false">Sens!I5138+Sens!I5139</f>
        <v>258.67941337173</v>
      </c>
      <c r="J5141" s="6" t="n">
        <f aca="false">Sens!J5138+Sens!J5139</f>
        <v>290.026238815474</v>
      </c>
      <c r="K5141" s="6" t="n">
        <f aca="false">Sens!K5138+Sens!K5139</f>
        <v>311.952974325734</v>
      </c>
    </row>
    <row r="5142" customFormat="false" ht="17.15" hidden="false" customHeight="false" outlineLevel="0" collapsed="false">
      <c r="A5142" s="0" t="s">
        <v>878</v>
      </c>
      <c r="B5142" s="1" t="s">
        <v>528</v>
      </c>
      <c r="C5142" s="29" t="n">
        <f aca="false">cop_s24</f>
        <v>1</v>
      </c>
      <c r="D5142" s="29" t="n">
        <f aca="false">cop_s25</f>
        <v>5</v>
      </c>
      <c r="E5142" s="29" t="n">
        <f aca="false">cop_s26</f>
        <v>30</v>
      </c>
      <c r="F5142" s="29" t="n">
        <f aca="false">Sens!E5142+cop_add_C</f>
        <v>40</v>
      </c>
      <c r="G5142" s="29" t="n">
        <f aca="false">Sens!F5142+cop_add_C</f>
        <v>50</v>
      </c>
      <c r="H5142" s="29" t="n">
        <f aca="false">Sens!G5142+cop_add_C</f>
        <v>60</v>
      </c>
      <c r="I5142" s="29" t="n">
        <f aca="false">Sens!H5142+cop_add_C*cop_tail</f>
        <v>65</v>
      </c>
      <c r="J5142" s="29" t="n">
        <f aca="false">Sens!I5142+cop_add_C*cop_tail</f>
        <v>70</v>
      </c>
      <c r="K5142" s="29" t="n">
        <f aca="false">Sens!J5142+cop_add_C*cop_tail</f>
        <v>75</v>
      </c>
      <c r="L5142" s="11" t="s">
        <v>879</v>
      </c>
    </row>
    <row r="5143" customFormat="false" ht="17.15" hidden="false" customHeight="false" outlineLevel="0" collapsed="false">
      <c r="A5143" s="0" t="s">
        <v>880</v>
      </c>
      <c r="B5143" s="0" t="s">
        <v>98</v>
      </c>
      <c r="D5143" s="6" t="n">
        <f aca="false">(Sens!C5142+Sens!D5142)/2*cop_px*12/1000</f>
        <v>0.9</v>
      </c>
      <c r="E5143" s="6" t="n">
        <f aca="false">(Sens!D5142+Sens!E5142)/2*cop_px*12/1000</f>
        <v>5.25</v>
      </c>
      <c r="F5143" s="6" t="n">
        <f aca="false">(Sens!E5142+Sens!F5142)/2*cop_px*12/1000</f>
        <v>10.5</v>
      </c>
      <c r="G5143" s="6" t="n">
        <f aca="false">(Sens!F5142+Sens!G5142)/2*cop_px*12/1000</f>
        <v>13.5</v>
      </c>
      <c r="H5143" s="6" t="n">
        <f aca="false">(Sens!G5142+Sens!H5142)/2*cop_px*12/1000</f>
        <v>16.5</v>
      </c>
      <c r="I5143" s="6" t="n">
        <f aca="false">(Sens!H5142+Sens!I5142)/2*cop_px*12/1000</f>
        <v>18.75</v>
      </c>
      <c r="J5143" s="6" t="n">
        <f aca="false">(Sens!I5142+Sens!J5142)/2*cop_px*12/1000</f>
        <v>20.25</v>
      </c>
      <c r="K5143" s="6" t="n">
        <f aca="false">(Sens!J5142+Sens!K5142)/2*cop_px*12/1000</f>
        <v>21.75</v>
      </c>
      <c r="L5143" s="1" t="s">
        <v>881</v>
      </c>
    </row>
    <row r="5144" customFormat="false" ht="17.15" hidden="false" customHeight="false" outlineLevel="0" collapsed="false">
      <c r="A5144" s="0" t="s">
        <v>882</v>
      </c>
      <c r="B5144" s="0" t="s">
        <v>98</v>
      </c>
      <c r="D5144" s="6" t="n">
        <f aca="false">Q!L7-Sens!D5143</f>
        <v>83.705</v>
      </c>
      <c r="E5144" s="6" t="n">
        <f aca="false">Q!M7-Sens!E5143</f>
        <v>95.049</v>
      </c>
      <c r="F5144" s="6" t="n">
        <f aca="false">Sens!E5144*(1+Sens!F5145)</f>
        <v>106.89238776686</v>
      </c>
      <c r="G5144" s="6" t="n">
        <f aca="false">Sens!F5144*(1+Sens!G5145)</f>
        <v>119.044168448684</v>
      </c>
      <c r="H5144" s="6" t="n">
        <f aca="false">Sens!G5144*(1+Sens!H5145)</f>
        <v>131.277359388781</v>
      </c>
      <c r="I5144" s="6" t="n">
        <f aca="false">Sens!H5144*(1+Sens!I5145)</f>
        <v>143.334028071957</v>
      </c>
      <c r="J5144" s="6" t="n">
        <f aca="false">Sens!I5144*(1+Sens!J5145)</f>
        <v>154.932702785465</v>
      </c>
      <c r="K5144" s="6" t="n">
        <f aca="false">Sens!J5144*(1+Sens!K5145)</f>
        <v>165.777991980448</v>
      </c>
    </row>
    <row r="5145" customFormat="false" ht="15" hidden="false" customHeight="false" outlineLevel="0" collapsed="false">
      <c r="A5145" s="1" t="s">
        <v>876</v>
      </c>
      <c r="B5145" s="0" t="s">
        <v>129</v>
      </c>
      <c r="E5145" s="7" t="n">
        <f aca="false">Sens!E5144/Sens!D5144-1</f>
        <v>0.135523564900544</v>
      </c>
      <c r="F5145" s="7" t="n">
        <f aca="false">Sens!$E$5145+(glt_m365b-Sens!$E$5145)*MIN(1,(Sens!F5100-base_fy)/n_conv)</f>
        <v>0.124602970750453</v>
      </c>
      <c r="G5145" s="7" t="n">
        <f aca="false">Sens!$E$5145+(glt_m365b-Sens!$E$5145)*MIN(1,(Sens!G5100-base_fy)/n_conv)</f>
        <v>0.113682376600363</v>
      </c>
      <c r="H5145" s="7" t="n">
        <f aca="false">Sens!$E$5145+(glt_m365b-Sens!$E$5145)*MIN(1,(Sens!H5100-base_fy)/n_conv)</f>
        <v>0.102761782450272</v>
      </c>
      <c r="I5145" s="7" t="n">
        <f aca="false">Sens!$E$5145+(glt_m365b-Sens!$E$5145)*MIN(1,(Sens!I5100-base_fy)/n_conv)</f>
        <v>0.0918411883001813</v>
      </c>
      <c r="J5145" s="7" t="n">
        <f aca="false">Sens!$E$5145+(glt_m365b-Sens!$E$5145)*MIN(1,(Sens!J5100-base_fy)/n_conv)</f>
        <v>0.0809205941500906</v>
      </c>
      <c r="K5145" s="7" t="n">
        <f aca="false">Sens!$E$5145+(glt_m365b-Sens!$E$5145)*MIN(1,(Sens!K5100-base_fy)/n_conv)</f>
        <v>0.07</v>
      </c>
    </row>
    <row r="5146" customFormat="false" ht="15" hidden="false" customHeight="false" outlineLevel="0" collapsed="false">
      <c r="A5146" s="0" t="s">
        <v>883</v>
      </c>
      <c r="B5146" s="0" t="s">
        <v>98</v>
      </c>
      <c r="D5146" s="6" t="n">
        <f aca="false">Sens!D5144+Sens!D5143</f>
        <v>84.605</v>
      </c>
      <c r="E5146" s="6" t="n">
        <f aca="false">Sens!E5144+Sens!E5143</f>
        <v>100.299</v>
      </c>
      <c r="F5146" s="6" t="n">
        <f aca="false">Sens!F5144+Sens!F5143</f>
        <v>117.39238776686</v>
      </c>
      <c r="G5146" s="6" t="n">
        <f aca="false">Sens!G5144+Sens!G5143</f>
        <v>132.544168448684</v>
      </c>
      <c r="H5146" s="6" t="n">
        <f aca="false">Sens!H5144+Sens!H5143</f>
        <v>147.777359388781</v>
      </c>
      <c r="I5146" s="6" t="n">
        <f aca="false">Sens!I5144+Sens!I5143</f>
        <v>162.084028071957</v>
      </c>
      <c r="J5146" s="6" t="n">
        <f aca="false">Sens!J5144+Sens!J5143</f>
        <v>175.182702785465</v>
      </c>
      <c r="K5146" s="6" t="n">
        <f aca="false">Sens!K5144+Sens!K5143</f>
        <v>187.527991980448</v>
      </c>
    </row>
    <row r="5147" customFormat="false" ht="15" hidden="false" customHeight="false" outlineLevel="0" collapsed="false">
      <c r="A5147" s="0" t="s">
        <v>884</v>
      </c>
      <c r="B5147" s="0" t="s">
        <v>98</v>
      </c>
      <c r="D5147" s="6" t="n">
        <f aca="false">Q!L8</f>
        <v>35.391</v>
      </c>
      <c r="E5147" s="6" t="n">
        <f aca="false">Q!M8</f>
        <v>37.285</v>
      </c>
      <c r="F5147" s="6" t="n">
        <f aca="false">Sens!E5147*(1+Sens!F5148)</f>
        <v>39.0720834331704</v>
      </c>
      <c r="G5147" s="6" t="n">
        <f aca="false">Sens!F5147*(1+Sens!G5148)</f>
        <v>40.726562953769</v>
      </c>
      <c r="H5147" s="6" t="n">
        <f aca="false">Sens!G5147*(1+Sens!H5148)</f>
        <v>42.2235987259198</v>
      </c>
      <c r="I5147" s="6" t="n">
        <f aca="false">Sens!H5147*(1+Sens!I5148)</f>
        <v>43.5397988077414</v>
      </c>
      <c r="J5147" s="6" t="n">
        <f aca="false">Sens!I5147*(1+Sens!J5148)</f>
        <v>44.653811225693</v>
      </c>
      <c r="K5147" s="6" t="n">
        <f aca="false">Sens!J5147*(1+Sens!K5148)</f>
        <v>45.5468874502068</v>
      </c>
    </row>
    <row r="5148" customFormat="false" ht="15" hidden="false" customHeight="false" outlineLevel="0" collapsed="false">
      <c r="A5148" s="1" t="s">
        <v>876</v>
      </c>
      <c r="B5148" s="0" t="s">
        <v>129</v>
      </c>
      <c r="E5148" s="7" t="n">
        <f aca="false">Sens!E5147/Sens!D5147-1</f>
        <v>0.0535164307309768</v>
      </c>
      <c r="F5148" s="7" t="n">
        <f aca="false">Sens!$E$5148+(glt_lic-Sens!$E$5148)*MIN(1,(Sens!F5100-base_fy)/n_conv)</f>
        <v>0.0479303589424807</v>
      </c>
      <c r="G5148" s="7" t="n">
        <f aca="false">Sens!$E$5148+(glt_lic-Sens!$E$5148)*MIN(1,(Sens!G5100-base_fy)/n_conv)</f>
        <v>0.0423442871539845</v>
      </c>
      <c r="H5148" s="7" t="n">
        <f aca="false">Sens!$E$5148+(glt_lic-Sens!$E$5148)*MIN(1,(Sens!H5100-base_fy)/n_conv)</f>
        <v>0.0367582153654884</v>
      </c>
      <c r="I5148" s="7" t="n">
        <f aca="false">Sens!$E$5148+(glt_lic-Sens!$E$5148)*MIN(1,(Sens!I5100-base_fy)/n_conv)</f>
        <v>0.0311721435769923</v>
      </c>
      <c r="J5148" s="7" t="n">
        <f aca="false">Sens!$E$5148+(glt_lic-Sens!$E$5148)*MIN(1,(Sens!J5100-base_fy)/n_conv)</f>
        <v>0.0255860717884961</v>
      </c>
      <c r="K5148" s="7" t="n">
        <f aca="false">Sens!$E$5148+(glt_lic-Sens!$E$5148)*MIN(1,(Sens!K5100-base_fy)/n_conv)</f>
        <v>0.02</v>
      </c>
    </row>
    <row r="5149" customFormat="false" ht="15" hidden="false" customHeight="false" outlineLevel="0" collapsed="false">
      <c r="A5149" s="0" t="s">
        <v>885</v>
      </c>
      <c r="B5149" s="0" t="s">
        <v>98</v>
      </c>
      <c r="D5149" s="6" t="n">
        <f aca="false">Q!L9</f>
        <v>18.417</v>
      </c>
      <c r="E5149" s="6" t="n">
        <f aca="false">Q!M9</f>
        <v>20.345</v>
      </c>
      <c r="F5149" s="6" t="n">
        <f aca="false">Sens!E5149*(1+Sens!F5150)</f>
        <v>22.3572203267814</v>
      </c>
      <c r="G5149" s="6" t="n">
        <f aca="false">Sens!F5149*(1+Sens!G5150)</f>
        <v>24.4392124437232</v>
      </c>
      <c r="H5149" s="6" t="n">
        <f aca="false">Sens!G5149*(1+Sens!H5150)</f>
        <v>26.5738052080665</v>
      </c>
      <c r="I5149" s="6" t="n">
        <f aca="false">Sens!H5149*(1+Sens!I5150)</f>
        <v>28.7412169166967</v>
      </c>
      <c r="J5149" s="6" t="n">
        <f aca="false">Sens!I5149*(1+Sens!J5150)</f>
        <v>30.9192545395413</v>
      </c>
      <c r="K5149" s="6" t="n">
        <f aca="false">Sens!J5149*(1+Sens!K5150)</f>
        <v>33.0836023573092</v>
      </c>
    </row>
    <row r="5150" customFormat="false" ht="15" hidden="false" customHeight="false" outlineLevel="0" collapsed="false">
      <c r="A5150" s="1" t="s">
        <v>876</v>
      </c>
      <c r="B5150" s="0" t="s">
        <v>129</v>
      </c>
      <c r="E5150" s="7" t="n">
        <f aca="false">Sens!E5149/Sens!D5149-1</f>
        <v>0.104685888038225</v>
      </c>
      <c r="F5150" s="7" t="n">
        <f aca="false">Sens!$E$5150+(glt_ind-Sens!$E$5150)*MIN(1,(Sens!F5100-base_fy)/n_conv)</f>
        <v>0.0989049066985211</v>
      </c>
      <c r="G5150" s="7" t="n">
        <f aca="false">Sens!$E$5150+(glt_ind-Sens!$E$5150)*MIN(1,(Sens!G5100-base_fy)/n_conv)</f>
        <v>0.0931239253588169</v>
      </c>
      <c r="H5150" s="7" t="n">
        <f aca="false">Sens!$E$5150+(glt_ind-Sens!$E$5150)*MIN(1,(Sens!H5100-base_fy)/n_conv)</f>
        <v>0.0873429440191127</v>
      </c>
      <c r="I5150" s="7" t="n">
        <f aca="false">Sens!$E$5150+(glt_ind-Sens!$E$5150)*MIN(1,(Sens!I5100-base_fy)/n_conv)</f>
        <v>0.0815619626794085</v>
      </c>
      <c r="J5150" s="7" t="n">
        <f aca="false">Sens!$E$5150+(glt_ind-Sens!$E$5150)*MIN(1,(Sens!J5100-base_fy)/n_conv)</f>
        <v>0.0757809813397042</v>
      </c>
      <c r="K5150" s="7" t="n">
        <f aca="false">Sens!$E$5150+(glt_ind-Sens!$E$5150)*MIN(1,(Sens!K5100-base_fy)/n_conv)</f>
        <v>0.07</v>
      </c>
    </row>
    <row r="5151" customFormat="false" ht="15" hidden="false" customHeight="false" outlineLevel="0" collapsed="false">
      <c r="A5151" s="0" t="s">
        <v>886</v>
      </c>
      <c r="B5151" s="0" t="s">
        <v>98</v>
      </c>
      <c r="D5151" s="6" t="n">
        <f aca="false">Q!L10</f>
        <v>7.76</v>
      </c>
      <c r="E5151" s="6" t="n">
        <f aca="false">Q!M10</f>
        <v>8.26</v>
      </c>
      <c r="F5151" s="6" t="n">
        <f aca="false">Sens!E5151*(1+Sens!F5152)</f>
        <v>8.79988041237113</v>
      </c>
      <c r="G5151" s="6" t="n">
        <f aca="false">Sens!F5151*(1+Sens!G5152)</f>
        <v>9.38321269125306</v>
      </c>
      <c r="H5151" s="6" t="n">
        <f aca="false">Sens!G5151*(1+Sens!H5152)</f>
        <v>10.0139193587476</v>
      </c>
      <c r="I5151" s="6" t="n">
        <f aca="false">Sens!H5151*(1+Sens!I5152)</f>
        <v>10.6963111830911</v>
      </c>
      <c r="J5151" s="6" t="n">
        <f aca="false">Sens!I5151*(1+Sens!J5152)</f>
        <v>11.4351285534696</v>
      </c>
      <c r="K5151" s="6" t="n">
        <f aca="false">Sens!J5151*(1+Sens!K5152)</f>
        <v>12.2355875522124</v>
      </c>
    </row>
    <row r="5152" customFormat="false" ht="15" hidden="false" customHeight="false" outlineLevel="0" collapsed="false">
      <c r="A5152" s="1" t="s">
        <v>876</v>
      </c>
      <c r="B5152" s="0" t="s">
        <v>129</v>
      </c>
      <c r="E5152" s="7" t="n">
        <f aca="false">Sens!E5151/Sens!D5151-1</f>
        <v>0.0644329896907216</v>
      </c>
      <c r="F5152" s="7" t="n">
        <f aca="false">Sens!$E$5152+(glt_fro-Sens!$E$5152)*MIN(1,(Sens!F5100-base_fy)/n_conv)</f>
        <v>0.065360824742268</v>
      </c>
      <c r="G5152" s="7" t="n">
        <f aca="false">Sens!$E$5152+(glt_fro-Sens!$E$5152)*MIN(1,(Sens!G5100-base_fy)/n_conv)</f>
        <v>0.0662886597938144</v>
      </c>
      <c r="H5152" s="7" t="n">
        <f aca="false">Sens!$E$5152+(glt_fro-Sens!$E$5152)*MIN(1,(Sens!H5100-base_fy)/n_conv)</f>
        <v>0.0672164948453608</v>
      </c>
      <c r="I5152" s="7" t="n">
        <f aca="false">Sens!$E$5152+(glt_fro-Sens!$E$5152)*MIN(1,(Sens!I5100-base_fy)/n_conv)</f>
        <v>0.0681443298969072</v>
      </c>
      <c r="J5152" s="7" t="n">
        <f aca="false">Sens!$E$5152+(glt_fro-Sens!$E$5152)*MIN(1,(Sens!J5100-base_fy)/n_conv)</f>
        <v>0.0690721649484536</v>
      </c>
      <c r="K5152" s="7" t="n">
        <f aca="false">Sens!$E$5152+(glt_fro-Sens!$E$5152)*MIN(1,(Sens!K5100-base_fy)/n_conv)</f>
        <v>0.07</v>
      </c>
    </row>
    <row r="5153" customFormat="false" ht="15" hidden="false" customHeight="false" outlineLevel="0" collapsed="false">
      <c r="A5153" s="0" t="s">
        <v>715</v>
      </c>
      <c r="B5153" s="0" t="s">
        <v>98</v>
      </c>
      <c r="D5153" s="6" t="n">
        <f aca="false">Sens!D5141+Sens!D5146+Sens!D5147+Sens!D5149+Sens!D5151</f>
        <v>218.783</v>
      </c>
      <c r="E5153" s="6" t="n">
        <f aca="false">Sens!E5141+Sens!E5146+Sens!E5147+Sens!E5149+Sens!E5151</f>
        <v>268.127</v>
      </c>
      <c r="F5153" s="6" t="n">
        <f aca="false">Sens!F5141+Sens!F5146+Sens!F5147+Sens!F5149+Sens!F5151</f>
        <v>328.363433064856</v>
      </c>
      <c r="G5153" s="6" t="n">
        <f aca="false">Sens!G5141+Sens!G5146+Sens!G5147+Sens!G5149+Sens!G5151</f>
        <v>389.269865673274</v>
      </c>
      <c r="H5153" s="6" t="n">
        <f aca="false">Sens!H5141+Sens!H5146+Sens!H5147+Sens!H5149+Sens!H5151</f>
        <v>445.756320871193</v>
      </c>
      <c r="I5153" s="6" t="n">
        <f aca="false">Sens!I5141+Sens!I5146+Sens!I5147+Sens!I5149+Sens!I5151</f>
        <v>503.740768351216</v>
      </c>
      <c r="J5153" s="6" t="n">
        <f aca="false">Sens!J5141+Sens!J5146+Sens!J5147+Sens!J5149+Sens!J5151</f>
        <v>552.217135919643</v>
      </c>
      <c r="K5153" s="6" t="n">
        <f aca="false">Sens!K5141+Sens!K5146+Sens!K5147+Sens!K5149+Sens!K5151</f>
        <v>590.34704366591</v>
      </c>
    </row>
    <row r="5154" customFormat="false" ht="15" hidden="false" customHeight="false" outlineLevel="0" collapsed="false">
      <c r="A5154" s="0" t="s">
        <v>887</v>
      </c>
      <c r="B5154" s="0" t="s">
        <v>98</v>
      </c>
      <c r="D5154" s="6" t="n">
        <f aca="false">Q!L13</f>
        <v>22.171</v>
      </c>
      <c r="E5154" s="6" t="n">
        <f aca="false">Q!M13</f>
        <v>24.835</v>
      </c>
      <c r="F5154" s="6" t="n">
        <f aca="false">Sens!E5154*(1+Sens!F5155)</f>
        <v>27.6114901218559</v>
      </c>
      <c r="G5154" s="6" t="n">
        <f aca="false">Sens!F5154*(1+Sens!G5155)</f>
        <v>30.4675667338515</v>
      </c>
      <c r="H5154" s="6" t="n">
        <f aca="false">Sens!G5154*(1+Sens!H5155)</f>
        <v>33.3643766955789</v>
      </c>
      <c r="I5154" s="6" t="n">
        <f aca="false">Sens!H5154*(1+Sens!I5155)</f>
        <v>36.2577016533691</v>
      </c>
      <c r="J5154" s="6" t="n">
        <f aca="false">Sens!I5154*(1+Sens!J5155)</f>
        <v>39.0988367952171</v>
      </c>
      <c r="K5154" s="6" t="n">
        <f aca="false">Sens!J5154*(1+Sens!K5155)</f>
        <v>41.8357553708823</v>
      </c>
    </row>
    <row r="5155" customFormat="false" ht="15" hidden="false" customHeight="false" outlineLevel="0" collapsed="false">
      <c r="A5155" s="1" t="s">
        <v>876</v>
      </c>
      <c r="B5155" s="0" t="s">
        <v>129</v>
      </c>
      <c r="E5155" s="7" t="n">
        <f aca="false">Sens!E5154/Sens!D5154-1</f>
        <v>0.120156961796942</v>
      </c>
      <c r="F5155" s="7" t="n">
        <f aca="false">Sens!$E$5155+(glt_srch-Sens!$E$5155)*MIN(1,(Sens!F5100-base_fy)/n_conv)</f>
        <v>0.111797468164118</v>
      </c>
      <c r="G5155" s="7" t="n">
        <f aca="false">Sens!$E$5155+(glt_srch-Sens!$E$5155)*MIN(1,(Sens!G5100-base_fy)/n_conv)</f>
        <v>0.103437974531295</v>
      </c>
      <c r="H5155" s="7" t="n">
        <f aca="false">Sens!$E$5155+(glt_srch-Sens!$E$5155)*MIN(1,(Sens!H5100-base_fy)/n_conv)</f>
        <v>0.095078480898471</v>
      </c>
      <c r="I5155" s="7" t="n">
        <f aca="false">Sens!$E$5155+(glt_srch-Sens!$E$5155)*MIN(1,(Sens!I5100-base_fy)/n_conv)</f>
        <v>0.0867189872656474</v>
      </c>
      <c r="J5155" s="7" t="n">
        <f aca="false">Sens!$E$5155+(glt_srch-Sens!$E$5155)*MIN(1,(Sens!J5100-base_fy)/n_conv)</f>
        <v>0.0783594936328237</v>
      </c>
      <c r="K5155" s="7" t="n">
        <f aca="false">Sens!$E$5155+(glt_srch-Sens!$E$5155)*MIN(1,(Sens!K5100-base_fy)/n_conv)</f>
        <v>0.07</v>
      </c>
    </row>
    <row r="5156" customFormat="false" ht="15" hidden="false" customHeight="false" outlineLevel="0" collapsed="false">
      <c r="A5156" s="0" t="s">
        <v>888</v>
      </c>
      <c r="B5156" s="0" t="s">
        <v>98</v>
      </c>
      <c r="D5156" s="6" t="n">
        <f aca="false">Q!L14</f>
        <v>23.455</v>
      </c>
      <c r="E5156" s="6" t="n">
        <f aca="false">Q!M14</f>
        <v>21.79</v>
      </c>
      <c r="F5156" s="6" t="n">
        <f aca="false">Sens!E5156*(1+Sens!F5157)</f>
        <v>20.5736277908051</v>
      </c>
      <c r="G5156" s="6" t="n">
        <f aca="false">Sens!F5156*(1+Sens!G5157)</f>
        <v>19.7371452817919</v>
      </c>
      <c r="H5156" s="6" t="n">
        <f aca="false">Sens!G5156*(1+Sens!H5157)</f>
        <v>19.2339764043138</v>
      </c>
      <c r="I5156" s="6" t="n">
        <f aca="false">Sens!H5156*(1+Sens!I5157)</f>
        <v>19.0353086852681</v>
      </c>
      <c r="J5156" s="6" t="n">
        <f aca="false">Sens!I5156*(1+Sens!J5157)</f>
        <v>19.1273539319129</v>
      </c>
      <c r="K5156" s="6" t="n">
        <f aca="false">Sens!J5156*(1+Sens!K5157)</f>
        <v>19.5099010105511</v>
      </c>
    </row>
    <row r="5157" customFormat="false" ht="15" hidden="false" customHeight="false" outlineLevel="0" collapsed="false">
      <c r="A5157" s="1" t="s">
        <v>876</v>
      </c>
      <c r="B5157" s="0" t="s">
        <v>129</v>
      </c>
      <c r="E5157" s="7" t="n">
        <f aca="false">Sens!E5156/Sens!D5156-1</f>
        <v>-0.0709869963760392</v>
      </c>
      <c r="F5157" s="7" t="n">
        <f aca="false">Sens!$E$5157+(glt_xbox-Sens!$E$5157)*MIN(1,(Sens!F5100-base_fy)/n_conv)</f>
        <v>-0.0558224969800327</v>
      </c>
      <c r="G5157" s="7" t="n">
        <f aca="false">Sens!$E$5157+(glt_xbox-Sens!$E$5157)*MIN(1,(Sens!G5100-base_fy)/n_conv)</f>
        <v>-0.0406579975840262</v>
      </c>
      <c r="H5157" s="7" t="n">
        <f aca="false">Sens!$E$5157+(glt_xbox-Sens!$E$5157)*MIN(1,(Sens!H5100-base_fy)/n_conv)</f>
        <v>-0.0254934981880196</v>
      </c>
      <c r="I5157" s="7" t="n">
        <f aca="false">Sens!$E$5157+(glt_xbox-Sens!$E$5157)*MIN(1,(Sens!I5100-base_fy)/n_conv)</f>
        <v>-0.0103289987920131</v>
      </c>
      <c r="J5157" s="7" t="n">
        <f aca="false">Sens!$E$5157+(glt_xbox-Sens!$E$5157)*MIN(1,(Sens!J5100-base_fy)/n_conv)</f>
        <v>0.00483550060399347</v>
      </c>
      <c r="K5157" s="7" t="n">
        <f aca="false">Sens!$E$5157+(glt_xbox-Sens!$E$5157)*MIN(1,(Sens!K5100-base_fy)/n_conv)</f>
        <v>0.02</v>
      </c>
    </row>
    <row r="5158" customFormat="false" ht="15" hidden="false" customHeight="false" outlineLevel="0" collapsed="false">
      <c r="A5158" s="0" t="s">
        <v>889</v>
      </c>
      <c r="B5158" s="0" t="s">
        <v>98</v>
      </c>
      <c r="D5158" s="6" t="n">
        <f aca="false">Q!L15</f>
        <v>17.315</v>
      </c>
      <c r="E5158" s="6" t="n">
        <f aca="false">Q!M15</f>
        <v>17.087</v>
      </c>
      <c r="F5158" s="6" t="n">
        <f aca="false">Sens!E5158*(1+Sens!F5159)</f>
        <v>16.9564585436519</v>
      </c>
      <c r="G5158" s="6" t="n">
        <f aca="false">Sens!F5158*(1+Sens!G5159)</f>
        <v>16.9206490624268</v>
      </c>
      <c r="H5158" s="6" t="n">
        <f aca="false">Sens!G5158*(1+Sens!H5159)</f>
        <v>16.9784519149849</v>
      </c>
      <c r="I5158" s="6" t="n">
        <f aca="false">Sens!H5158*(1+Sens!I5159)</f>
        <v>17.1303084701817</v>
      </c>
      <c r="J5158" s="6" t="n">
        <f aca="false">Sens!I5158*(1+Sens!J5159)</f>
        <v>17.3782189407267</v>
      </c>
      <c r="K5158" s="6" t="n">
        <f aca="false">Sens!J5158*(1+Sens!K5159)</f>
        <v>17.7257833195413</v>
      </c>
    </row>
    <row r="5159" customFormat="false" ht="15" hidden="false" customHeight="false" outlineLevel="0" collapsed="false">
      <c r="A5159" s="1" t="s">
        <v>876</v>
      </c>
      <c r="B5159" s="0" t="s">
        <v>129</v>
      </c>
      <c r="E5159" s="7" t="n">
        <f aca="false">Sens!E5158/Sens!D5158-1</f>
        <v>-0.0131677736066995</v>
      </c>
      <c r="F5159" s="7" t="n">
        <f aca="false">Sens!$E$5159+(glt_win-Sens!$E$5159)*MIN(1,(Sens!F5100-base_fy)/n_conv)</f>
        <v>-0.00763981133891627</v>
      </c>
      <c r="G5159" s="7" t="n">
        <f aca="false">Sens!$E$5159+(glt_win-Sens!$E$5159)*MIN(1,(Sens!G5100-base_fy)/n_conv)</f>
        <v>-0.00211184907113301</v>
      </c>
      <c r="H5159" s="7" t="n">
        <f aca="false">Sens!$E$5159+(glt_win-Sens!$E$5159)*MIN(1,(Sens!H5100-base_fy)/n_conv)</f>
        <v>0.00341611319665024</v>
      </c>
      <c r="I5159" s="7" t="n">
        <f aca="false">Sens!$E$5159+(glt_win-Sens!$E$5159)*MIN(1,(Sens!I5100-base_fy)/n_conv)</f>
        <v>0.00894407546443349</v>
      </c>
      <c r="J5159" s="7" t="n">
        <f aca="false">Sens!$E$5159+(glt_win-Sens!$E$5159)*MIN(1,(Sens!J5100-base_fy)/n_conv)</f>
        <v>0.0144720377322168</v>
      </c>
      <c r="K5159" s="7" t="n">
        <f aca="false">Sens!$E$5159+(glt_win-Sens!$E$5159)*MIN(1,(Sens!K5100-base_fy)/n_conv)</f>
        <v>0.02</v>
      </c>
    </row>
    <row r="5160" customFormat="false" ht="15" hidden="false" customHeight="false" outlineLevel="0" collapsed="false">
      <c r="A5160" s="0" t="s">
        <v>729</v>
      </c>
      <c r="B5160" s="0" t="s">
        <v>98</v>
      </c>
      <c r="D5160" s="6" t="n">
        <f aca="false">Sens!D5154+Sens!D5156+Sens!D5158</f>
        <v>62.941</v>
      </c>
      <c r="E5160" s="6" t="n">
        <f aca="false">Sens!E5154+Sens!E5156+Sens!E5158</f>
        <v>63.712</v>
      </c>
      <c r="F5160" s="6" t="n">
        <f aca="false">Sens!F5154+Sens!F5156+Sens!F5158</f>
        <v>65.1415764563129</v>
      </c>
      <c r="G5160" s="6" t="n">
        <f aca="false">Sens!G5154+Sens!G5156+Sens!G5158</f>
        <v>67.1253610780702</v>
      </c>
      <c r="H5160" s="6" t="n">
        <f aca="false">Sens!H5154+Sens!H5156+Sens!H5158</f>
        <v>69.5768050148776</v>
      </c>
      <c r="I5160" s="6" t="n">
        <f aca="false">Sens!I5154+Sens!I5156+Sens!I5158</f>
        <v>72.4233188088189</v>
      </c>
      <c r="J5160" s="6" t="n">
        <f aca="false">Sens!J5154+Sens!J5156+Sens!J5158</f>
        <v>75.6044096678567</v>
      </c>
      <c r="K5160" s="6" t="n">
        <f aca="false">Sens!K5154+Sens!K5156+Sens!K5158</f>
        <v>79.0714397009747</v>
      </c>
    </row>
    <row r="5161" customFormat="false" ht="15" hidden="false" customHeight="false" outlineLevel="0" collapsed="false">
      <c r="A5161" s="1" t="s">
        <v>890</v>
      </c>
      <c r="B5161" s="0" t="s">
        <v>98</v>
      </c>
      <c r="D5161" s="6" t="n">
        <f aca="false">Sens!D5153+Sens!D5160</f>
        <v>281.724</v>
      </c>
      <c r="E5161" s="6" t="n">
        <f aca="false">Sens!E5153+Sens!E5160</f>
        <v>331.839</v>
      </c>
      <c r="F5161" s="6" t="n">
        <f aca="false">Sens!F5153+Sens!F5160</f>
        <v>393.505009521169</v>
      </c>
      <c r="G5161" s="6" t="n">
        <f aca="false">Sens!G5153+Sens!G5160</f>
        <v>456.395226751344</v>
      </c>
      <c r="H5161" s="6" t="n">
        <f aca="false">Sens!H5153+Sens!H5160</f>
        <v>515.333125886071</v>
      </c>
      <c r="I5161" s="6" t="n">
        <f aca="false">Sens!I5153+Sens!I5160</f>
        <v>576.164087160035</v>
      </c>
      <c r="J5161" s="6" t="n">
        <f aca="false">Sens!J5153+Sens!J5160</f>
        <v>627.821545587499</v>
      </c>
      <c r="K5161" s="6" t="n">
        <f aca="false">Sens!K5153+Sens!K5160</f>
        <v>669.418483366885</v>
      </c>
    </row>
    <row r="5162" customFormat="false" ht="15" hidden="false" customHeight="false" outlineLevel="0" collapsed="false">
      <c r="A5162" s="23" t="s">
        <v>891</v>
      </c>
      <c r="B5162" s="30" t="s">
        <v>98</v>
      </c>
      <c r="C5162" s="30"/>
      <c r="D5162" s="24" t="n">
        <f aca="false">(Sens!D5141+Sens!D5146+Sens!D5147+Sens!D5149+Sens!D5151-Sens!D5153)+(Sens!D5154+Sens!D5156+Sens!D5158-Sens!D5160)+(Sens!D5153-Q!L5)+(Sens!D5160-Q!L12)+(Sens!D5141-Q!L6)+(Sens!D5146-Q!L7)</f>
        <v>0</v>
      </c>
      <c r="E5162" s="24" t="n">
        <f aca="false">(Sens!E5141+Sens!E5146+Sens!E5147+Sens!E5149+Sens!E5151-Sens!E5153)+(Sens!E5154+Sens!E5156+Sens!E5158-Sens!E5160)+(Sens!E5153-Q!M5)+(Sens!E5160-Q!M12)+(Sens!E5141-Q!M6)+(Sens!E5146-Q!M7)</f>
        <v>0</v>
      </c>
      <c r="F5162" s="24" t="n">
        <f aca="false">(Sens!F5141+Sens!F5146+Sens!F5147+Sens!F5149+Sens!F5151-Sens!F5153)+(Sens!F5154+Sens!F5156+Sens!F5158-Sens!F5160)</f>
        <v>0</v>
      </c>
      <c r="G5162" s="24" t="n">
        <f aca="false">(Sens!G5141+Sens!G5146+Sens!G5147+Sens!G5149+Sens!G5151-Sens!G5153)+(Sens!G5154+Sens!G5156+Sens!G5158-Sens!G5160)</f>
        <v>0</v>
      </c>
      <c r="H5162" s="24" t="n">
        <f aca="false">(Sens!H5141+Sens!H5146+Sens!H5147+Sens!H5149+Sens!H5151-Sens!H5153)+(Sens!H5154+Sens!H5156+Sens!H5158-Sens!H5160)</f>
        <v>0</v>
      </c>
      <c r="I5162" s="24" t="n">
        <f aca="false">(Sens!I5141+Sens!I5146+Sens!I5147+Sens!I5149+Sens!I5151-Sens!I5153)+(Sens!I5154+Sens!I5156+Sens!I5158-Sens!I5160)</f>
        <v>0</v>
      </c>
      <c r="J5162" s="24" t="n">
        <f aca="false">(Sens!J5141+Sens!J5146+Sens!J5147+Sens!J5149+Sens!J5151-Sens!J5153)+(Sens!J5154+Sens!J5156+Sens!J5158-Sens!J5160)</f>
        <v>0</v>
      </c>
      <c r="K5162" s="24" t="n">
        <f aca="false">(Sens!K5141+Sens!K5146+Sens!K5147+Sens!K5149+Sens!K5151-Sens!K5153)+(Sens!K5154+Sens!K5156+Sens!K5158-Sens!K5160)</f>
        <v>0</v>
      </c>
    </row>
    <row r="5163" customFormat="false" ht="17.15" hidden="false" customHeight="false" outlineLevel="0" collapsed="false">
      <c r="A5163" s="3" t="s">
        <v>1394</v>
      </c>
    </row>
    <row r="5164" customFormat="false" ht="15" hidden="false" customHeight="false" outlineLevel="0" collapsed="false">
      <c r="A5164" s="4" t="s">
        <v>43</v>
      </c>
      <c r="B5164" s="4" t="s">
        <v>65</v>
      </c>
      <c r="C5164" s="20" t="s">
        <v>799</v>
      </c>
      <c r="D5164" s="20" t="s">
        <v>800</v>
      </c>
      <c r="E5164" s="20" t="s">
        <v>801</v>
      </c>
      <c r="F5164" s="20" t="s">
        <v>802</v>
      </c>
      <c r="G5164" s="20" t="s">
        <v>803</v>
      </c>
      <c r="H5164" s="20" t="s">
        <v>804</v>
      </c>
      <c r="I5164" s="20" t="s">
        <v>805</v>
      </c>
      <c r="J5164" s="20" t="s">
        <v>806</v>
      </c>
      <c r="K5164" s="20" t="s">
        <v>807</v>
      </c>
      <c r="L5164" s="4" t="s">
        <v>47</v>
      </c>
    </row>
    <row r="5165" customFormat="false" ht="15" hidden="false" customHeight="false" outlineLevel="0" collapsed="false">
      <c r="A5165" s="0" t="s">
        <v>877</v>
      </c>
      <c r="B5165" s="0" t="s">
        <v>98</v>
      </c>
      <c r="D5165" s="6" t="n">
        <f aca="false">Sens!D5141</f>
        <v>72.61</v>
      </c>
      <c r="E5165" s="6" t="n">
        <f aca="false">Sens!E5141</f>
        <v>101.938</v>
      </c>
      <c r="F5165" s="6" t="n">
        <f aca="false">Sens!F5141</f>
        <v>140.741861125673</v>
      </c>
      <c r="G5165" s="6" t="n">
        <f aca="false">Sens!G5141</f>
        <v>182.176709135845</v>
      </c>
      <c r="H5165" s="6" t="n">
        <f aca="false">Sens!H5141</f>
        <v>219.167638189678</v>
      </c>
      <c r="I5165" s="6" t="n">
        <f aca="false">Sens!I5141</f>
        <v>258.67941337173</v>
      </c>
      <c r="J5165" s="6" t="n">
        <f aca="false">Sens!J5141</f>
        <v>290.026238815474</v>
      </c>
      <c r="K5165" s="6" t="n">
        <f aca="false">Sens!K5141</f>
        <v>311.952974325734</v>
      </c>
    </row>
    <row r="5166" customFormat="false" ht="17.15" hidden="false" customHeight="false" outlineLevel="0" collapsed="false">
      <c r="A5166" s="0" t="s">
        <v>874</v>
      </c>
      <c r="B5166" s="0" t="s">
        <v>98</v>
      </c>
      <c r="D5166" s="6" t="n">
        <f aca="false">Sens!D5138</f>
        <v>12.9359794422418</v>
      </c>
      <c r="E5166" s="6" t="n">
        <f aca="false">Sens!E5138</f>
        <v>27.8095064661409</v>
      </c>
      <c r="F5166" s="6" t="n">
        <f aca="false">Sens!F5138</f>
        <v>50.6619113883066</v>
      </c>
      <c r="G5166" s="6" t="n">
        <f aca="false">Sens!G5138</f>
        <v>75.1482839325348</v>
      </c>
      <c r="H5166" s="6" t="n">
        <f aca="false">Sens!H5138</f>
        <v>94.895655604042</v>
      </c>
      <c r="I5166" s="6" t="n">
        <f aca="false">Sens!I5138</f>
        <v>117.745710989875</v>
      </c>
      <c r="J5166" s="6" t="n">
        <f aca="false">Sens!J5138</f>
        <v>134.007371501142</v>
      </c>
      <c r="K5166" s="6" t="n">
        <f aca="false">Sens!K5138</f>
        <v>143.452597626256</v>
      </c>
    </row>
    <row r="5167" customFormat="false" ht="17.15" hidden="false" customHeight="false" outlineLevel="0" collapsed="false">
      <c r="A5167" s="0" t="s">
        <v>902</v>
      </c>
      <c r="B5167" s="0" t="s">
        <v>98</v>
      </c>
      <c r="D5167" s="6" t="n">
        <f aca="false">Sens!D5139</f>
        <v>59.6740205577583</v>
      </c>
      <c r="E5167" s="6" t="n">
        <f aca="false">Sens!E5139</f>
        <v>74.1284935338591</v>
      </c>
      <c r="F5167" s="6" t="n">
        <f aca="false">Sens!F5139</f>
        <v>90.0799497373663</v>
      </c>
      <c r="G5167" s="6" t="n">
        <f aca="false">Sens!G5139</f>
        <v>107.02842520331</v>
      </c>
      <c r="H5167" s="6" t="n">
        <f aca="false">Sens!H5139</f>
        <v>124.271982585636</v>
      </c>
      <c r="I5167" s="6" t="n">
        <f aca="false">Sens!I5139</f>
        <v>140.933702381855</v>
      </c>
      <c r="J5167" s="6" t="n">
        <f aca="false">Sens!J5139</f>
        <v>156.018867314332</v>
      </c>
      <c r="K5167" s="6" t="n">
        <f aca="false">Sens!K5139</f>
        <v>168.500376699478</v>
      </c>
    </row>
    <row r="5168" customFormat="false" ht="15" hidden="false" customHeight="false" outlineLevel="0" collapsed="false">
      <c r="A5168" s="0" t="s">
        <v>883</v>
      </c>
      <c r="B5168" s="0" t="s">
        <v>98</v>
      </c>
      <c r="D5168" s="6" t="n">
        <f aca="false">Sens!D5146</f>
        <v>84.605</v>
      </c>
      <c r="E5168" s="6" t="n">
        <f aca="false">Sens!E5146</f>
        <v>100.299</v>
      </c>
      <c r="F5168" s="6" t="n">
        <f aca="false">Sens!F5146</f>
        <v>117.39238776686</v>
      </c>
      <c r="G5168" s="6" t="n">
        <f aca="false">Sens!G5146</f>
        <v>132.544168448684</v>
      </c>
      <c r="H5168" s="6" t="n">
        <f aca="false">Sens!H5146</f>
        <v>147.777359388781</v>
      </c>
      <c r="I5168" s="6" t="n">
        <f aca="false">Sens!I5146</f>
        <v>162.084028071957</v>
      </c>
      <c r="J5168" s="6" t="n">
        <f aca="false">Sens!J5146</f>
        <v>175.182702785465</v>
      </c>
      <c r="K5168" s="6" t="n">
        <f aca="false">Sens!K5146</f>
        <v>187.527991980448</v>
      </c>
    </row>
    <row r="5169" customFormat="false" ht="17.15" hidden="false" customHeight="false" outlineLevel="0" collapsed="false">
      <c r="A5169" s="0" t="s">
        <v>903</v>
      </c>
      <c r="B5169" s="0" t="s">
        <v>98</v>
      </c>
      <c r="D5169" s="6" t="n">
        <f aca="false">Sens!D5144</f>
        <v>83.705</v>
      </c>
      <c r="E5169" s="6" t="n">
        <f aca="false">Sens!E5144</f>
        <v>95.049</v>
      </c>
      <c r="F5169" s="6" t="n">
        <f aca="false">Sens!F5144</f>
        <v>106.89238776686</v>
      </c>
      <c r="G5169" s="6" t="n">
        <f aca="false">Sens!G5144</f>
        <v>119.044168448684</v>
      </c>
      <c r="H5169" s="6" t="n">
        <f aca="false">Sens!H5144</f>
        <v>131.277359388781</v>
      </c>
      <c r="I5169" s="6" t="n">
        <f aca="false">Sens!I5144</f>
        <v>143.334028071957</v>
      </c>
      <c r="J5169" s="6" t="n">
        <f aca="false">Sens!J5144</f>
        <v>154.932702785465</v>
      </c>
      <c r="K5169" s="6" t="n">
        <f aca="false">Sens!K5144</f>
        <v>165.777991980448</v>
      </c>
    </row>
    <row r="5170" customFormat="false" ht="17.15" hidden="false" customHeight="false" outlineLevel="0" collapsed="false">
      <c r="A5170" s="0" t="s">
        <v>904</v>
      </c>
      <c r="B5170" s="0" t="s">
        <v>98</v>
      </c>
      <c r="D5170" s="6" t="n">
        <f aca="false">Sens!D5143</f>
        <v>0.9</v>
      </c>
      <c r="E5170" s="6" t="n">
        <f aca="false">Sens!E5143</f>
        <v>5.25</v>
      </c>
      <c r="F5170" s="6" t="n">
        <f aca="false">Sens!F5143</f>
        <v>10.5</v>
      </c>
      <c r="G5170" s="6" t="n">
        <f aca="false">Sens!G5143</f>
        <v>13.5</v>
      </c>
      <c r="H5170" s="6" t="n">
        <f aca="false">Sens!H5143</f>
        <v>16.5</v>
      </c>
      <c r="I5170" s="6" t="n">
        <f aca="false">Sens!I5143</f>
        <v>18.75</v>
      </c>
      <c r="J5170" s="6" t="n">
        <f aca="false">Sens!J5143</f>
        <v>20.25</v>
      </c>
      <c r="K5170" s="6" t="n">
        <f aca="false">Sens!K5143</f>
        <v>21.75</v>
      </c>
    </row>
    <row r="5171" customFormat="false" ht="15" hidden="false" customHeight="false" outlineLevel="0" collapsed="false">
      <c r="A5171" s="0" t="s">
        <v>884</v>
      </c>
      <c r="B5171" s="0" t="s">
        <v>98</v>
      </c>
      <c r="D5171" s="6" t="n">
        <f aca="false">Sens!D5147</f>
        <v>35.391</v>
      </c>
      <c r="E5171" s="6" t="n">
        <f aca="false">Sens!E5147</f>
        <v>37.285</v>
      </c>
      <c r="F5171" s="6" t="n">
        <f aca="false">Sens!F5147</f>
        <v>39.0720834331704</v>
      </c>
      <c r="G5171" s="6" t="n">
        <f aca="false">Sens!G5147</f>
        <v>40.726562953769</v>
      </c>
      <c r="H5171" s="6" t="n">
        <f aca="false">Sens!H5147</f>
        <v>42.2235987259198</v>
      </c>
      <c r="I5171" s="6" t="n">
        <f aca="false">Sens!I5147</f>
        <v>43.5397988077414</v>
      </c>
      <c r="J5171" s="6" t="n">
        <f aca="false">Sens!J5147</f>
        <v>44.653811225693</v>
      </c>
      <c r="K5171" s="6" t="n">
        <f aca="false">Sens!K5147</f>
        <v>45.5468874502068</v>
      </c>
    </row>
    <row r="5172" customFormat="false" ht="15" hidden="false" customHeight="false" outlineLevel="0" collapsed="false">
      <c r="A5172" s="0" t="s">
        <v>885</v>
      </c>
      <c r="B5172" s="0" t="s">
        <v>98</v>
      </c>
      <c r="D5172" s="6" t="n">
        <f aca="false">Sens!D5149</f>
        <v>18.417</v>
      </c>
      <c r="E5172" s="6" t="n">
        <f aca="false">Sens!E5149</f>
        <v>20.345</v>
      </c>
      <c r="F5172" s="6" t="n">
        <f aca="false">Sens!F5149</f>
        <v>22.3572203267814</v>
      </c>
      <c r="G5172" s="6" t="n">
        <f aca="false">Sens!G5149</f>
        <v>24.4392124437232</v>
      </c>
      <c r="H5172" s="6" t="n">
        <f aca="false">Sens!H5149</f>
        <v>26.5738052080665</v>
      </c>
      <c r="I5172" s="6" t="n">
        <f aca="false">Sens!I5149</f>
        <v>28.7412169166967</v>
      </c>
      <c r="J5172" s="6" t="n">
        <f aca="false">Sens!J5149</f>
        <v>30.9192545395413</v>
      </c>
      <c r="K5172" s="6" t="n">
        <f aca="false">Sens!K5149</f>
        <v>33.0836023573092</v>
      </c>
    </row>
    <row r="5173" customFormat="false" ht="15" hidden="false" customHeight="false" outlineLevel="0" collapsed="false">
      <c r="A5173" s="0" t="s">
        <v>886</v>
      </c>
      <c r="B5173" s="0" t="s">
        <v>98</v>
      </c>
      <c r="D5173" s="6" t="n">
        <f aca="false">Sens!D5151</f>
        <v>7.76</v>
      </c>
      <c r="E5173" s="6" t="n">
        <f aca="false">Sens!E5151</f>
        <v>8.26</v>
      </c>
      <c r="F5173" s="6" t="n">
        <f aca="false">Sens!F5151</f>
        <v>8.79988041237113</v>
      </c>
      <c r="G5173" s="6" t="n">
        <f aca="false">Sens!G5151</f>
        <v>9.38321269125306</v>
      </c>
      <c r="H5173" s="6" t="n">
        <f aca="false">Sens!H5151</f>
        <v>10.0139193587476</v>
      </c>
      <c r="I5173" s="6" t="n">
        <f aca="false">Sens!I5151</f>
        <v>10.6963111830911</v>
      </c>
      <c r="J5173" s="6" t="n">
        <f aca="false">Sens!J5151</f>
        <v>11.4351285534696</v>
      </c>
      <c r="K5173" s="6" t="n">
        <f aca="false">Sens!K5151</f>
        <v>12.2355875522124</v>
      </c>
    </row>
    <row r="5174" customFormat="false" ht="15" hidden="false" customHeight="false" outlineLevel="0" collapsed="false">
      <c r="A5174" s="0" t="s">
        <v>715</v>
      </c>
      <c r="B5174" s="0" t="s">
        <v>98</v>
      </c>
      <c r="D5174" s="6" t="n">
        <f aca="false">Sens!D5153</f>
        <v>218.783</v>
      </c>
      <c r="E5174" s="6" t="n">
        <f aca="false">Sens!E5153</f>
        <v>268.127</v>
      </c>
      <c r="F5174" s="6" t="n">
        <f aca="false">Sens!F5153</f>
        <v>328.363433064856</v>
      </c>
      <c r="G5174" s="6" t="n">
        <f aca="false">Sens!G5153</f>
        <v>389.269865673274</v>
      </c>
      <c r="H5174" s="6" t="n">
        <f aca="false">Sens!H5153</f>
        <v>445.756320871193</v>
      </c>
      <c r="I5174" s="6" t="n">
        <f aca="false">Sens!I5153</f>
        <v>503.740768351216</v>
      </c>
      <c r="J5174" s="6" t="n">
        <f aca="false">Sens!J5153</f>
        <v>552.217135919643</v>
      </c>
      <c r="K5174" s="6" t="n">
        <f aca="false">Sens!K5153</f>
        <v>590.34704366591</v>
      </c>
    </row>
    <row r="5175" customFormat="false" ht="15" hidden="false" customHeight="false" outlineLevel="0" collapsed="false">
      <c r="A5175" s="0" t="s">
        <v>887</v>
      </c>
      <c r="B5175" s="0" t="s">
        <v>98</v>
      </c>
      <c r="D5175" s="6" t="n">
        <f aca="false">Sens!D5154</f>
        <v>22.171</v>
      </c>
      <c r="E5175" s="6" t="n">
        <f aca="false">Sens!E5154</f>
        <v>24.835</v>
      </c>
      <c r="F5175" s="6" t="n">
        <f aca="false">Sens!F5154</f>
        <v>27.6114901218559</v>
      </c>
      <c r="G5175" s="6" t="n">
        <f aca="false">Sens!G5154</f>
        <v>30.4675667338515</v>
      </c>
      <c r="H5175" s="6" t="n">
        <f aca="false">Sens!H5154</f>
        <v>33.3643766955789</v>
      </c>
      <c r="I5175" s="6" t="n">
        <f aca="false">Sens!I5154</f>
        <v>36.2577016533691</v>
      </c>
      <c r="J5175" s="6" t="n">
        <f aca="false">Sens!J5154</f>
        <v>39.0988367952171</v>
      </c>
      <c r="K5175" s="6" t="n">
        <f aca="false">Sens!K5154</f>
        <v>41.8357553708823</v>
      </c>
    </row>
    <row r="5176" customFormat="false" ht="15" hidden="false" customHeight="false" outlineLevel="0" collapsed="false">
      <c r="A5176" s="0" t="s">
        <v>888</v>
      </c>
      <c r="B5176" s="0" t="s">
        <v>98</v>
      </c>
      <c r="D5176" s="6" t="n">
        <f aca="false">Sens!D5156</f>
        <v>23.455</v>
      </c>
      <c r="E5176" s="6" t="n">
        <f aca="false">Sens!E5156</f>
        <v>21.79</v>
      </c>
      <c r="F5176" s="6" t="n">
        <f aca="false">Sens!F5156</f>
        <v>20.5736277908051</v>
      </c>
      <c r="G5176" s="6" t="n">
        <f aca="false">Sens!G5156</f>
        <v>19.7371452817919</v>
      </c>
      <c r="H5176" s="6" t="n">
        <f aca="false">Sens!H5156</f>
        <v>19.2339764043138</v>
      </c>
      <c r="I5176" s="6" t="n">
        <f aca="false">Sens!I5156</f>
        <v>19.0353086852681</v>
      </c>
      <c r="J5176" s="6" t="n">
        <f aca="false">Sens!J5156</f>
        <v>19.1273539319129</v>
      </c>
      <c r="K5176" s="6" t="n">
        <f aca="false">Sens!K5156</f>
        <v>19.5099010105511</v>
      </c>
    </row>
    <row r="5177" customFormat="false" ht="15" hidden="false" customHeight="false" outlineLevel="0" collapsed="false">
      <c r="A5177" s="0" t="s">
        <v>889</v>
      </c>
      <c r="B5177" s="0" t="s">
        <v>98</v>
      </c>
      <c r="D5177" s="6" t="n">
        <f aca="false">Sens!D5158</f>
        <v>17.315</v>
      </c>
      <c r="E5177" s="6" t="n">
        <f aca="false">Sens!E5158</f>
        <v>17.087</v>
      </c>
      <c r="F5177" s="6" t="n">
        <f aca="false">Sens!F5158</f>
        <v>16.9564585436519</v>
      </c>
      <c r="G5177" s="6" t="n">
        <f aca="false">Sens!G5158</f>
        <v>16.9206490624268</v>
      </c>
      <c r="H5177" s="6" t="n">
        <f aca="false">Sens!H5158</f>
        <v>16.9784519149849</v>
      </c>
      <c r="I5177" s="6" t="n">
        <f aca="false">Sens!I5158</f>
        <v>17.1303084701817</v>
      </c>
      <c r="J5177" s="6" t="n">
        <f aca="false">Sens!J5158</f>
        <v>17.3782189407267</v>
      </c>
      <c r="K5177" s="6" t="n">
        <f aca="false">Sens!K5158</f>
        <v>17.7257833195413</v>
      </c>
    </row>
    <row r="5178" customFormat="false" ht="15" hidden="false" customHeight="false" outlineLevel="0" collapsed="false">
      <c r="A5178" s="0" t="s">
        <v>729</v>
      </c>
      <c r="B5178" s="0" t="s">
        <v>98</v>
      </c>
      <c r="D5178" s="6" t="n">
        <f aca="false">Sens!D5160</f>
        <v>62.941</v>
      </c>
      <c r="E5178" s="6" t="n">
        <f aca="false">Sens!E5160</f>
        <v>63.712</v>
      </c>
      <c r="F5178" s="6" t="n">
        <f aca="false">Sens!F5160</f>
        <v>65.1415764563129</v>
      </c>
      <c r="G5178" s="6" t="n">
        <f aca="false">Sens!G5160</f>
        <v>67.1253610780702</v>
      </c>
      <c r="H5178" s="6" t="n">
        <f aca="false">Sens!H5160</f>
        <v>69.5768050148776</v>
      </c>
      <c r="I5178" s="6" t="n">
        <f aca="false">Sens!I5160</f>
        <v>72.4233188088189</v>
      </c>
      <c r="J5178" s="6" t="n">
        <f aca="false">Sens!J5160</f>
        <v>75.6044096678567</v>
      </c>
      <c r="K5178" s="6" t="n">
        <f aca="false">Sens!K5160</f>
        <v>79.0714397009747</v>
      </c>
    </row>
    <row r="5179" customFormat="false" ht="15" hidden="false" customHeight="false" outlineLevel="0" collapsed="false">
      <c r="A5179" s="1" t="s">
        <v>905</v>
      </c>
      <c r="B5179" s="0" t="s">
        <v>98</v>
      </c>
      <c r="D5179" s="6" t="n">
        <f aca="false">Sens!D5161</f>
        <v>281.724</v>
      </c>
      <c r="E5179" s="6" t="n">
        <f aca="false">Sens!E5161</f>
        <v>331.839</v>
      </c>
      <c r="F5179" s="6" t="n">
        <f aca="false">Sens!F5161</f>
        <v>393.505009521169</v>
      </c>
      <c r="G5179" s="6" t="n">
        <f aca="false">Sens!G5161</f>
        <v>456.395226751344</v>
      </c>
      <c r="H5179" s="6" t="n">
        <f aca="false">Sens!H5161</f>
        <v>515.333125886071</v>
      </c>
      <c r="I5179" s="6" t="n">
        <f aca="false">Sens!I5161</f>
        <v>576.164087160035</v>
      </c>
      <c r="J5179" s="6" t="n">
        <f aca="false">Sens!J5161</f>
        <v>627.821545587499</v>
      </c>
      <c r="K5179" s="6" t="n">
        <f aca="false">Sens!K5161</f>
        <v>669.418483366885</v>
      </c>
    </row>
    <row r="5180" customFormat="false" ht="15" hidden="false" customHeight="false" outlineLevel="0" collapsed="false">
      <c r="A5180" s="1" t="s">
        <v>906</v>
      </c>
      <c r="B5180" s="0" t="s">
        <v>129</v>
      </c>
      <c r="E5180" s="7" t="n">
        <f aca="false">Sens!E5179/Sens!D5179-1</f>
        <v>0.177886867998467</v>
      </c>
      <c r="F5180" s="7" t="n">
        <f aca="false">Sens!F5179/Sens!E5179-1</f>
        <v>0.185831109427067</v>
      </c>
      <c r="G5180" s="7" t="n">
        <f aca="false">Sens!G5179/Sens!F5179-1</f>
        <v>0.159820626697237</v>
      </c>
      <c r="H5180" s="7" t="n">
        <f aca="false">Sens!H5179/Sens!G5179-1</f>
        <v>0.129137851756801</v>
      </c>
      <c r="I5180" s="7" t="n">
        <f aca="false">Sens!I5179/Sens!H5179-1</f>
        <v>0.118042016354703</v>
      </c>
      <c r="J5180" s="7" t="n">
        <f aca="false">Sens!J5179/Sens!I5179-1</f>
        <v>0.0896575464848723</v>
      </c>
      <c r="K5180" s="7" t="n">
        <f aca="false">Sens!K5179/Sens!J5179-1</f>
        <v>0.0662559895749675</v>
      </c>
    </row>
    <row r="5181" customFormat="false" ht="17.15" hidden="false" customHeight="false" outlineLevel="0" collapsed="false">
      <c r="A5181" s="23" t="s">
        <v>907</v>
      </c>
      <c r="B5181" s="30" t="s">
        <v>98</v>
      </c>
      <c r="C5181" s="30"/>
      <c r="D5181" s="24" t="n">
        <f aca="false">(Sens!D5174+Sens!D5178-Sens!D5179)+(Sens!D5166+Sens!D5167-Sens!D5165)+(Sens!D5169+Sens!D5170-Sens!D5168)+(Sens!D5179-Q!L18)</f>
        <v>0</v>
      </c>
      <c r="E5181" s="24" t="n">
        <f aca="false">(Sens!E5174+Sens!E5178-Sens!E5179)+(Sens!E5166+Sens!E5167-Sens!E5165)+(Sens!E5169+Sens!E5170-Sens!E5168)+(Sens!E5179-Q!M18)</f>
        <v>0</v>
      </c>
      <c r="F5181" s="24" t="n">
        <f aca="false">(Sens!F5174+Sens!F5178-Sens!F5179)+(Sens!F5166+Sens!F5167-Sens!F5165)+(Sens!F5169+Sens!F5170-Sens!F5168)</f>
        <v>0</v>
      </c>
      <c r="G5181" s="24" t="n">
        <f aca="false">(Sens!G5174+Sens!G5178-Sens!G5179)+(Sens!G5166+Sens!G5167-Sens!G5165)+(Sens!G5169+Sens!G5170-Sens!G5168)</f>
        <v>0</v>
      </c>
      <c r="H5181" s="24" t="n">
        <f aca="false">(Sens!H5174+Sens!H5178-Sens!H5179)+(Sens!H5166+Sens!H5167-Sens!H5165)+(Sens!H5169+Sens!H5170-Sens!H5168)</f>
        <v>0</v>
      </c>
      <c r="I5181" s="24" t="n">
        <f aca="false">(Sens!I5174+Sens!I5178-Sens!I5179)+(Sens!I5166+Sens!I5167-Sens!I5165)+(Sens!I5169+Sens!I5170-Sens!I5168)</f>
        <v>0</v>
      </c>
      <c r="J5181" s="24" t="n">
        <f aca="false">(Sens!J5174+Sens!J5178-Sens!J5179)+(Sens!J5166+Sens!J5167-Sens!J5165)+(Sens!J5169+Sens!J5170-Sens!J5168)</f>
        <v>0</v>
      </c>
      <c r="K5181" s="24" t="n">
        <f aca="false">(Sens!K5174+Sens!K5178-Sens!K5179)+(Sens!K5166+Sens!K5167-Sens!K5165)+(Sens!K5169+Sens!K5170-Sens!K5168)</f>
        <v>0</v>
      </c>
    </row>
    <row r="5182" customFormat="false" ht="17.15" hidden="false" customHeight="false" outlineLevel="0" collapsed="false">
      <c r="A5182" s="0" t="s">
        <v>908</v>
      </c>
      <c r="B5182" s="0" t="s">
        <v>129</v>
      </c>
      <c r="E5182" s="7" t="n">
        <f aca="false">(Q!M21+Sens!E5119+Sens!E5120+Sens!E5121+Sens!E5134-Sens!E5117)/(Q!M5-Sens!E5117)</f>
        <v>0.562004564381674</v>
      </c>
      <c r="F5182" s="7" t="n">
        <f aca="false">Sens!$E$5182+dm_seg</f>
        <v>0.562004564381674</v>
      </c>
      <c r="G5182" s="7" t="n">
        <f aca="false">Sens!$E$5182+dm_seg</f>
        <v>0.562004564381674</v>
      </c>
      <c r="H5182" s="7" t="n">
        <f aca="false">Sens!$E$5182+dm_seg</f>
        <v>0.562004564381674</v>
      </c>
      <c r="I5182" s="7" t="n">
        <f aca="false">Sens!$E$5182+dm_seg</f>
        <v>0.562004564381674</v>
      </c>
      <c r="J5182" s="7" t="n">
        <f aca="false">Sens!$E$5182+dm_seg</f>
        <v>0.562004564381674</v>
      </c>
      <c r="K5182" s="7" t="n">
        <f aca="false">Sens!$E$5182+dm_seg</f>
        <v>0.562004564381674</v>
      </c>
      <c r="L5182" s="11" t="s">
        <v>909</v>
      </c>
    </row>
    <row r="5183" customFormat="false" ht="17.15" hidden="false" customHeight="false" outlineLevel="0" collapsed="false">
      <c r="A5183" s="0" t="s">
        <v>743</v>
      </c>
      <c r="B5183" s="0" t="s">
        <v>98</v>
      </c>
      <c r="D5183" s="6" t="n">
        <f aca="false">Q!L21</f>
        <v>110.814</v>
      </c>
      <c r="E5183" s="6" t="n">
        <f aca="false">Q!M21</f>
        <v>136.365</v>
      </c>
      <c r="F5183" s="6" t="n">
        <f aca="false">Sens!F5182*(Sens!F5153-Sens!F5117)+Sens!F5117-(Sens!F5119+Sens!F5120+Sens!F5121)-Sens!F5134-Sens!F5217</f>
        <v>154.215157984987</v>
      </c>
      <c r="G5183" s="6" t="n">
        <f aca="false">Sens!G5182*(Sens!G5153-Sens!G5117)+Sens!G5117-(Sens!G5119+Sens!G5120+Sens!G5121)-Sens!G5134-Sens!G5217</f>
        <v>165.996508290577</v>
      </c>
      <c r="H5183" s="6" t="n">
        <f aca="false">Sens!H5182*(Sens!H5153-Sens!H5117)+Sens!H5117-(Sens!H5119+Sens!H5120+Sens!H5121)-Sens!H5134-Sens!H5217</f>
        <v>171.696857468063</v>
      </c>
      <c r="I5183" s="6" t="n">
        <f aca="false">Sens!I5182*(Sens!I5153-Sens!I5117)+Sens!I5117-(Sens!I5119+Sens!I5120+Sens!I5121)-Sens!I5134-Sens!I5217</f>
        <v>184.375410920889</v>
      </c>
      <c r="J5183" s="6" t="n">
        <f aca="false">Sens!J5182*(Sens!J5153-Sens!J5117)+Sens!J5117-(Sens!J5119+Sens!J5120+Sens!J5121)-Sens!J5134-Sens!J5217</f>
        <v>198.060413974711</v>
      </c>
      <c r="K5183" s="6" t="n">
        <f aca="false">Sens!K5182*(Sens!K5153-Sens!K5117)+Sens!K5117-(Sens!K5119+Sens!K5120+Sens!K5121)-Sens!K5134-Sens!K5217</f>
        <v>211.622117993684</v>
      </c>
      <c r="L5183" s="1" t="s">
        <v>910</v>
      </c>
    </row>
    <row r="5184" customFormat="false" ht="17.15" hidden="false" customHeight="false" outlineLevel="0" collapsed="false">
      <c r="A5184" s="0" t="s">
        <v>911</v>
      </c>
      <c r="B5184" s="0" t="s">
        <v>129</v>
      </c>
      <c r="E5184" s="7" t="n">
        <f aca="false">Q!M22/Q!M12</f>
        <v>0.296207935710698</v>
      </c>
      <c r="F5184" s="7" t="n">
        <f aca="false">Sens!$E$5184+dm_seg</f>
        <v>0.296207935710698</v>
      </c>
      <c r="G5184" s="7" t="n">
        <f aca="false">Sens!$E$5184+dm_seg</f>
        <v>0.296207935710698</v>
      </c>
      <c r="H5184" s="7" t="n">
        <f aca="false">Sens!$E$5184+dm_seg</f>
        <v>0.296207935710698</v>
      </c>
      <c r="I5184" s="7" t="n">
        <f aca="false">Sens!$E$5184+dm_seg</f>
        <v>0.296207935710698</v>
      </c>
      <c r="J5184" s="7" t="n">
        <f aca="false">Sens!$E$5184+dm_seg</f>
        <v>0.296207935710698</v>
      </c>
      <c r="K5184" s="7" t="n">
        <f aca="false">Sens!$E$5184+dm_seg</f>
        <v>0.296207935710698</v>
      </c>
      <c r="L5184" s="11" t="s">
        <v>912</v>
      </c>
    </row>
    <row r="5185" customFormat="false" ht="17.15" hidden="false" customHeight="false" outlineLevel="0" collapsed="false">
      <c r="A5185" s="0" t="s">
        <v>745</v>
      </c>
      <c r="B5185" s="0" t="s">
        <v>98</v>
      </c>
      <c r="D5185" s="6" t="n">
        <f aca="false">Q!L22</f>
        <v>17.714</v>
      </c>
      <c r="E5185" s="6" t="n">
        <f aca="false">Q!M22</f>
        <v>18.872</v>
      </c>
      <c r="F5185" s="6" t="n">
        <f aca="false">Sens!F5160*Sens!F5184</f>
        <v>19.2954518910651</v>
      </c>
      <c r="G5185" s="6" t="n">
        <f aca="false">Sens!G5160*Sens!G5184</f>
        <v>19.8830646387704</v>
      </c>
      <c r="H5185" s="6" t="n">
        <f aca="false">Sens!H5160*Sens!H5184</f>
        <v>20.6092017868026</v>
      </c>
      <c r="I5185" s="6" t="n">
        <f aca="false">Sens!I5160*Sens!I5184</f>
        <v>21.452361761678</v>
      </c>
      <c r="J5185" s="6" t="n">
        <f aca="false">Sens!J5160*Sens!J5184</f>
        <v>22.3946261183418</v>
      </c>
      <c r="K5185" s="6" t="n">
        <f aca="false">Sens!K5160*Sens!K5184</f>
        <v>23.4215879274986</v>
      </c>
    </row>
    <row r="5186" customFormat="false" ht="15" hidden="false" customHeight="false" outlineLevel="0" collapsed="false">
      <c r="A5186" s="1" t="s">
        <v>913</v>
      </c>
      <c r="B5186" s="0" t="s">
        <v>98</v>
      </c>
      <c r="D5186" s="6" t="n">
        <f aca="false">Sens!D5183+Sens!D5185</f>
        <v>128.528</v>
      </c>
      <c r="E5186" s="6" t="n">
        <f aca="false">Sens!E5183+Sens!E5185</f>
        <v>155.237</v>
      </c>
      <c r="F5186" s="6" t="n">
        <f aca="false">Sens!F5183+Sens!F5185</f>
        <v>173.510609876052</v>
      </c>
      <c r="G5186" s="6" t="n">
        <f aca="false">Sens!G5183+Sens!G5185</f>
        <v>185.879572929348</v>
      </c>
      <c r="H5186" s="6" t="n">
        <f aca="false">Sens!H5183+Sens!H5185</f>
        <v>192.306059254866</v>
      </c>
      <c r="I5186" s="6" t="n">
        <f aca="false">Sens!I5183+Sens!I5185</f>
        <v>205.827772682567</v>
      </c>
      <c r="J5186" s="6" t="n">
        <f aca="false">Sens!J5183+Sens!J5185</f>
        <v>220.455040093053</v>
      </c>
      <c r="K5186" s="6" t="n">
        <f aca="false">Sens!K5183+Sens!K5185</f>
        <v>235.043705921183</v>
      </c>
    </row>
    <row r="5187" customFormat="false" ht="15" hidden="false" customHeight="false" outlineLevel="0" collapsed="false">
      <c r="A5187" s="23" t="s">
        <v>914</v>
      </c>
      <c r="B5187" s="30" t="s">
        <v>98</v>
      </c>
      <c r="C5187" s="30"/>
      <c r="D5187" s="24" t="n">
        <f aca="false">Sens!D5186-Q!L23</f>
        <v>0</v>
      </c>
      <c r="E5187" s="24" t="n">
        <f aca="false">Sens!E5186-Q!M23</f>
        <v>0</v>
      </c>
      <c r="F5187" s="30"/>
      <c r="G5187" s="30"/>
      <c r="H5187" s="30"/>
      <c r="I5187" s="30"/>
      <c r="J5187" s="30"/>
      <c r="K5187" s="30"/>
    </row>
    <row r="5188" customFormat="false" ht="15" hidden="false" customHeight="false" outlineLevel="0" collapsed="false">
      <c r="A5188" s="1" t="s">
        <v>915</v>
      </c>
      <c r="B5188" s="0" t="s">
        <v>129</v>
      </c>
      <c r="D5188" s="7" t="n">
        <f aca="false">Sens!D5186/Sens!D5179</f>
        <v>0.456219562408598</v>
      </c>
      <c r="E5188" s="7" t="n">
        <f aca="false">Sens!E5186/Sens!E5179</f>
        <v>0.467808184089272</v>
      </c>
      <c r="F5188" s="7" t="n">
        <f aca="false">Sens!F5186/Sens!F5179</f>
        <v>0.440936216001892</v>
      </c>
      <c r="G5188" s="7" t="n">
        <f aca="false">Sens!G5186/Sens!G5179</f>
        <v>0.407277644537286</v>
      </c>
      <c r="H5188" s="7" t="n">
        <f aca="false">Sens!H5186/Sens!H5179</f>
        <v>0.373168441140306</v>
      </c>
      <c r="I5188" s="7" t="n">
        <f aca="false">Sens!I5186/Sens!I5179</f>
        <v>0.35723811544227</v>
      </c>
      <c r="J5188" s="7" t="n">
        <f aca="false">Sens!J5186/Sens!J5179</f>
        <v>0.351142839302777</v>
      </c>
      <c r="K5188" s="7" t="n">
        <f aca="false">Sens!K5186/Sens!K5179</f>
        <v>0.35111624755118</v>
      </c>
    </row>
    <row r="5189" customFormat="false" ht="17.15" hidden="false" customHeight="false" outlineLevel="0" collapsed="false">
      <c r="A5189" s="1" t="s">
        <v>916</v>
      </c>
      <c r="B5189" s="0" t="s">
        <v>98</v>
      </c>
      <c r="F5189" s="6" t="n">
        <f aca="false">Sens!F5204</f>
        <v>10.20235862938</v>
      </c>
      <c r="G5189" s="6" t="n">
        <f aca="false">Sens!G5204</f>
        <v>26.5777989282526</v>
      </c>
      <c r="H5189" s="6" t="n">
        <f aca="false">Sens!H5204</f>
        <v>44.487218177647</v>
      </c>
      <c r="I5189" s="6" t="n">
        <f aca="false">Sens!I5204</f>
        <v>60.0718181049113</v>
      </c>
      <c r="J5189" s="6" t="n">
        <f aca="false">Sens!J5204</f>
        <v>71.1231854918947</v>
      </c>
      <c r="K5189" s="6" t="n">
        <f aca="false">Sens!K5204</f>
        <v>77.0866216734771</v>
      </c>
      <c r="L5189" s="1" t="s">
        <v>917</v>
      </c>
    </row>
    <row r="5190" customFormat="false" ht="17.15" hidden="false" customHeight="false" outlineLevel="0" collapsed="false">
      <c r="A5190" s="1" t="s">
        <v>918</v>
      </c>
      <c r="B5190" s="0" t="s">
        <v>98</v>
      </c>
      <c r="D5190" s="6" t="n">
        <f aca="false">Sens!D5186</f>
        <v>128.528</v>
      </c>
      <c r="E5190" s="6" t="n">
        <f aca="false">Sens!E5186</f>
        <v>155.237</v>
      </c>
      <c r="F5190" s="6" t="n">
        <f aca="false">Sens!F5186+Sens!F5189</f>
        <v>183.712968505432</v>
      </c>
      <c r="G5190" s="6" t="n">
        <f aca="false">Sens!G5186+Sens!G5189</f>
        <v>212.4573718576</v>
      </c>
      <c r="H5190" s="6" t="n">
        <f aca="false">Sens!H5186+Sens!H5189</f>
        <v>236.793277432513</v>
      </c>
      <c r="I5190" s="6" t="n">
        <f aca="false">Sens!I5186+Sens!I5189</f>
        <v>265.899590787478</v>
      </c>
      <c r="J5190" s="6" t="n">
        <f aca="false">Sens!J5186+Sens!J5189</f>
        <v>291.578225584947</v>
      </c>
      <c r="K5190" s="6" t="n">
        <f aca="false">Sens!K5186+Sens!K5189</f>
        <v>312.13032759466</v>
      </c>
    </row>
    <row r="5191" customFormat="false" ht="17.15" hidden="false" customHeight="false" outlineLevel="0" collapsed="false">
      <c r="A5191" s="1" t="s">
        <v>919</v>
      </c>
      <c r="B5191" s="0" t="s">
        <v>98</v>
      </c>
      <c r="E5191" s="6" t="n">
        <f aca="false">Sens!E5134</f>
        <v>14.1538947660714</v>
      </c>
      <c r="F5191" s="6" t="n">
        <f aca="false">Sens!F5134</f>
        <v>29.5350020551048</v>
      </c>
      <c r="G5191" s="6" t="n">
        <f aca="false">Sens!G5134</f>
        <v>51.2477204947238</v>
      </c>
      <c r="H5191" s="6" t="n">
        <f aca="false">Sens!H5134</f>
        <v>74.8212172942667</v>
      </c>
      <c r="I5191" s="6" t="n">
        <f aca="false">Sens!I5134</f>
        <v>95.246097101408</v>
      </c>
      <c r="J5191" s="6" t="n">
        <f aca="false">Sens!J5134</f>
        <v>109.451364040917</v>
      </c>
      <c r="K5191" s="6" t="n">
        <f aca="false">Sens!K5134</f>
        <v>117.958611864733</v>
      </c>
    </row>
    <row r="5192" customFormat="false" ht="17.15" hidden="false" customHeight="false" outlineLevel="0" collapsed="false">
      <c r="A5192" s="1" t="s">
        <v>920</v>
      </c>
      <c r="B5192" s="0" t="s">
        <v>98</v>
      </c>
      <c r="E5192" s="6" t="n">
        <f aca="false">Sens!E5216</f>
        <v>24.3801052339286</v>
      </c>
      <c r="F5192" s="6" t="n">
        <f aca="false">Sens!F5216</f>
        <v>26.328807123389</v>
      </c>
      <c r="G5192" s="6" t="n">
        <f aca="false">Sens!G5216</f>
        <v>27.7662157680891</v>
      </c>
      <c r="H5192" s="6" t="n">
        <f aca="false">Sens!H5216</f>
        <v>29.5957455556891</v>
      </c>
      <c r="I5192" s="6" t="n">
        <f aca="false">Sens!I5216</f>
        <v>31.7585110312846</v>
      </c>
      <c r="J5192" s="6" t="n">
        <f aca="false">Sens!J5216</f>
        <v>34.1782512531935</v>
      </c>
      <c r="K5192" s="6" t="n">
        <f aca="false">Sens!K5216</f>
        <v>36.7697964020736</v>
      </c>
    </row>
    <row r="5193" customFormat="false" ht="17.15" hidden="false" customHeight="false" outlineLevel="0" collapsed="false">
      <c r="A5193" s="1" t="s">
        <v>921</v>
      </c>
      <c r="B5193" s="0" t="s">
        <v>98</v>
      </c>
      <c r="D5193" s="6" t="n">
        <f aca="false">Q!L27</f>
        <v>-4.901</v>
      </c>
      <c r="E5193" s="6" t="n">
        <f aca="false">Q!M27</f>
        <v>10.697</v>
      </c>
      <c r="F5193" s="6" t="n">
        <f aca="false">oie_f</f>
        <v>-0.4</v>
      </c>
      <c r="G5193" s="6" t="n">
        <f aca="false">oie_f</f>
        <v>-0.4</v>
      </c>
      <c r="H5193" s="6" t="n">
        <f aca="false">oie_f</f>
        <v>-0.4</v>
      </c>
      <c r="I5193" s="6" t="n">
        <f aca="false">oie_f</f>
        <v>-0.4</v>
      </c>
      <c r="J5193" s="6" t="n">
        <f aca="false">oie_f</f>
        <v>-0.4</v>
      </c>
      <c r="K5193" s="6" t="n">
        <f aca="false">oie_f</f>
        <v>-0.4</v>
      </c>
      <c r="L5193" s="11" t="s">
        <v>922</v>
      </c>
    </row>
    <row r="5194" customFormat="false" ht="15" hidden="false" customHeight="false" outlineLevel="0" collapsed="false">
      <c r="A5194" s="1" t="s">
        <v>923</v>
      </c>
      <c r="B5194" s="0" t="s">
        <v>98</v>
      </c>
      <c r="D5194" s="6" t="n">
        <f aca="false">Sens!D5186+Sens!D5193</f>
        <v>123.627</v>
      </c>
      <c r="E5194" s="6" t="n">
        <f aca="false">Sens!E5186+Sens!E5193</f>
        <v>165.934</v>
      </c>
      <c r="F5194" s="6" t="n">
        <f aca="false">Sens!F5186+Sens!F5193</f>
        <v>173.110609876052</v>
      </c>
      <c r="G5194" s="6" t="n">
        <f aca="false">Sens!G5186+Sens!G5193</f>
        <v>185.479572929348</v>
      </c>
      <c r="H5194" s="6" t="n">
        <f aca="false">Sens!H5186+Sens!H5193</f>
        <v>191.906059254866</v>
      </c>
      <c r="I5194" s="6" t="n">
        <f aca="false">Sens!I5186+Sens!I5193</f>
        <v>205.427772682567</v>
      </c>
      <c r="J5194" s="6" t="n">
        <f aca="false">Sens!J5186+Sens!J5193</f>
        <v>220.055040093053</v>
      </c>
      <c r="K5194" s="6" t="n">
        <f aca="false">Sens!K5186+Sens!K5193</f>
        <v>234.643705921183</v>
      </c>
    </row>
    <row r="5195" customFormat="false" ht="15" hidden="false" customHeight="false" outlineLevel="0" collapsed="false">
      <c r="A5195" s="1" t="s">
        <v>924</v>
      </c>
      <c r="B5195" s="0" t="s">
        <v>98</v>
      </c>
      <c r="D5195" s="6" t="n">
        <f aca="false">Q!L29</f>
        <v>21.795</v>
      </c>
      <c r="E5195" s="6" t="n">
        <f aca="false">Q!M29</f>
        <v>32.185</v>
      </c>
      <c r="F5195" s="6" t="n">
        <f aca="false">Sens!F5194*tax_f</f>
        <v>34.6221219752105</v>
      </c>
      <c r="G5195" s="6" t="n">
        <f aca="false">Sens!G5194*tax_f</f>
        <v>37.0959145858696</v>
      </c>
      <c r="H5195" s="6" t="n">
        <f aca="false">Sens!H5194*tax_f</f>
        <v>38.3812118509732</v>
      </c>
      <c r="I5195" s="6" t="n">
        <f aca="false">Sens!I5194*tax_f</f>
        <v>41.0855545365133</v>
      </c>
      <c r="J5195" s="6" t="n">
        <f aca="false">Sens!J5194*tax_f</f>
        <v>44.0110080186105</v>
      </c>
      <c r="K5195" s="6" t="n">
        <f aca="false">Sens!K5194*tax_f</f>
        <v>46.9287411842366</v>
      </c>
    </row>
    <row r="5196" customFormat="false" ht="15" hidden="false" customHeight="false" outlineLevel="0" collapsed="false">
      <c r="A5196" s="1" t="s">
        <v>925</v>
      </c>
      <c r="B5196" s="0" t="s">
        <v>98</v>
      </c>
      <c r="D5196" s="6" t="n">
        <f aca="false">Sens!D5194-Sens!D5195</f>
        <v>101.832</v>
      </c>
      <c r="E5196" s="6" t="n">
        <f aca="false">Sens!E5194-Sens!E5195</f>
        <v>133.749</v>
      </c>
      <c r="F5196" s="6" t="n">
        <f aca="false">Sens!F5194-Sens!F5195</f>
        <v>138.488487900842</v>
      </c>
      <c r="G5196" s="6" t="n">
        <f aca="false">Sens!G5194-Sens!G5195</f>
        <v>148.383658343478</v>
      </c>
      <c r="H5196" s="6" t="n">
        <f aca="false">Sens!H5194-Sens!H5195</f>
        <v>153.524847403893</v>
      </c>
      <c r="I5196" s="6" t="n">
        <f aca="false">Sens!I5194-Sens!I5195</f>
        <v>164.342218146053</v>
      </c>
      <c r="J5196" s="6" t="n">
        <f aca="false">Sens!J5194-Sens!J5195</f>
        <v>176.044032074442</v>
      </c>
      <c r="K5196" s="6" t="n">
        <f aca="false">Sens!K5194-Sens!K5195</f>
        <v>187.714964736946</v>
      </c>
    </row>
    <row r="5197" customFormat="false" ht="17.15" hidden="false" customHeight="false" outlineLevel="0" collapsed="false">
      <c r="A5197" s="1" t="s">
        <v>926</v>
      </c>
      <c r="B5197" s="1" t="s">
        <v>81</v>
      </c>
      <c r="D5197" s="14" t="n">
        <f aca="false">Q!L31</f>
        <v>7.465</v>
      </c>
      <c r="E5197" s="14" t="n">
        <f aca="false">Q!M31</f>
        <v>7.453</v>
      </c>
      <c r="F5197" s="14" t="n">
        <f aca="false">Sens!F5240</f>
        <v>7.4735</v>
      </c>
      <c r="G5197" s="14" t="n">
        <f aca="false">Sens!G5240</f>
        <v>7.5185</v>
      </c>
      <c r="H5197" s="14" t="n">
        <f aca="false">Sens!H5240</f>
        <v>7.56098390174832</v>
      </c>
      <c r="I5197" s="14" t="n">
        <f aca="false">Sens!I5240</f>
        <v>7.587497049654</v>
      </c>
      <c r="J5197" s="14" t="n">
        <f aca="false">Sens!J5240</f>
        <v>7.60173856077188</v>
      </c>
      <c r="K5197" s="14" t="n">
        <f aca="false">Sens!K5240</f>
        <v>7.61825847847362</v>
      </c>
    </row>
    <row r="5198" customFormat="false" ht="17.15" hidden="false" customHeight="false" outlineLevel="0" collapsed="false">
      <c r="A5198" s="0" t="s">
        <v>927</v>
      </c>
      <c r="B5198" s="0" t="s">
        <v>75</v>
      </c>
      <c r="D5198" s="8" t="n">
        <f aca="false">Sens!D5196/Sens!D5197</f>
        <v>13.641259209645</v>
      </c>
      <c r="E5198" s="8" t="n">
        <f aca="false">Sens!E5196/Sens!E5197</f>
        <v>17.9456594659869</v>
      </c>
      <c r="F5198" s="8" t="n">
        <f aca="false">Sens!F5196/Sens!F5197</f>
        <v>18.5306065298511</v>
      </c>
      <c r="G5198" s="8" t="n">
        <f aca="false">Sens!G5196/Sens!G5197</f>
        <v>19.7358061240245</v>
      </c>
      <c r="H5198" s="8" t="n">
        <f aca="false">Sens!H5196/Sens!H5197</f>
        <v>20.3048769047628</v>
      </c>
      <c r="I5198" s="8" t="n">
        <f aca="false">Sens!I5196/Sens!I5197</f>
        <v>21.6596088368229</v>
      </c>
      <c r="J5198" s="8" t="n">
        <f aca="false">Sens!J5196/Sens!J5197</f>
        <v>23.158390763779</v>
      </c>
      <c r="K5198" s="8" t="n">
        <f aca="false">Sens!K5196/Sens!K5197</f>
        <v>24.640141216967</v>
      </c>
      <c r="L5198" s="1" t="s">
        <v>928</v>
      </c>
    </row>
    <row r="5199" customFormat="false" ht="17.15" hidden="false" customHeight="false" outlineLevel="0" collapsed="false">
      <c r="A5199" s="1" t="s">
        <v>929</v>
      </c>
      <c r="B5199" s="0" t="s">
        <v>98</v>
      </c>
      <c r="D5199" s="6" t="n">
        <f aca="false">Sens!D5196</f>
        <v>101.832</v>
      </c>
      <c r="E5199" s="6" t="n">
        <f aca="false">Sens!E5196</f>
        <v>133.749</v>
      </c>
      <c r="F5199" s="6" t="n">
        <f aca="false">Sens!F5196+Sens!F5189*(1-tax_f)</f>
        <v>146.650374804346</v>
      </c>
      <c r="G5199" s="6" t="n">
        <f aca="false">Sens!G5196+Sens!G5189*(1-tax_f)</f>
        <v>169.64589748608</v>
      </c>
      <c r="H5199" s="6" t="n">
        <f aca="false">Sens!H5196+Sens!H5189*(1-tax_f)</f>
        <v>189.114621946011</v>
      </c>
      <c r="I5199" s="6" t="n">
        <f aca="false">Sens!I5196+Sens!I5189*(1-tax_f)</f>
        <v>212.399672629982</v>
      </c>
      <c r="J5199" s="6" t="n">
        <f aca="false">Sens!J5196+Sens!J5189*(1-tax_f)</f>
        <v>232.942580467958</v>
      </c>
      <c r="K5199" s="6" t="n">
        <f aca="false">Sens!K5196+Sens!K5189*(1-tax_f)</f>
        <v>249.384262075728</v>
      </c>
    </row>
    <row r="5200" customFormat="false" ht="17.15" hidden="false" customHeight="false" outlineLevel="0" collapsed="false">
      <c r="A5200" s="0" t="s">
        <v>930</v>
      </c>
      <c r="B5200" s="0" t="s">
        <v>75</v>
      </c>
      <c r="D5200" s="8" t="n">
        <f aca="false">Sens!D5199/Sens!D5197</f>
        <v>13.641259209645</v>
      </c>
      <c r="E5200" s="8" t="n">
        <f aca="false">Sens!E5199/Sens!E5197</f>
        <v>17.9456594659869</v>
      </c>
      <c r="F5200" s="8" t="n">
        <f aca="false">Sens!F5199/Sens!F5197</f>
        <v>19.6227169069841</v>
      </c>
      <c r="G5200" s="8" t="n">
        <f aca="false">Sens!G5199/Sens!G5197</f>
        <v>22.5637956355763</v>
      </c>
      <c r="H5200" s="8" t="n">
        <f aca="false">Sens!H5199/Sens!H5197</f>
        <v>25.0119064401502</v>
      </c>
      <c r="I5200" s="8" t="n">
        <f aca="false">Sens!I5199/Sens!I5197</f>
        <v>27.9933779532301</v>
      </c>
      <c r="J5200" s="8" t="n">
        <f aca="false">Sens!J5199/Sens!J5197</f>
        <v>30.6433296285718</v>
      </c>
      <c r="K5200" s="8" t="n">
        <f aca="false">Sens!K5199/Sens!K5197</f>
        <v>32.735074923015</v>
      </c>
      <c r="L5200" s="1" t="s">
        <v>931</v>
      </c>
    </row>
    <row r="5201" customFormat="false" ht="17.15" hidden="false" customHeight="false" outlineLevel="0" collapsed="false">
      <c r="A5201" s="0" t="s">
        <v>932</v>
      </c>
      <c r="B5201" s="0" t="s">
        <v>129</v>
      </c>
      <c r="E5201" s="7" t="n">
        <f aca="false">Sens!E5200/Sens!D5200-1</f>
        <v>0.315542736208578</v>
      </c>
      <c r="F5201" s="7" t="n">
        <f aca="false">Sens!F5200/Sens!E5200-1</f>
        <v>0.0934519817550241</v>
      </c>
      <c r="G5201" s="7" t="n">
        <f aca="false">Sens!G5200/Sens!F5200-1</f>
        <v>0.149881320845298</v>
      </c>
      <c r="H5201" s="7" t="n">
        <f aca="false">Sens!H5200/Sens!G5200-1</f>
        <v>0.108497295584168</v>
      </c>
      <c r="I5201" s="7" t="n">
        <f aca="false">Sens!I5200/Sens!H5200-1</f>
        <v>0.119202089621362</v>
      </c>
      <c r="J5201" s="7" t="n">
        <f aca="false">Sens!J5200/Sens!I5200-1</f>
        <v>0.0946635193426517</v>
      </c>
      <c r="K5201" s="7" t="n">
        <f aca="false">Sens!K5200/Sens!J5200-1</f>
        <v>0.0682610316762964</v>
      </c>
    </row>
    <row r="5202" customFormat="false" ht="17.15" hidden="false" customHeight="false" outlineLevel="0" collapsed="false">
      <c r="A5202" s="0" t="s">
        <v>856</v>
      </c>
      <c r="B5202" s="0" t="s">
        <v>98</v>
      </c>
      <c r="E5202" s="6" t="n">
        <f aca="false">Sens!E5143</f>
        <v>5.25</v>
      </c>
      <c r="F5202" s="6" t="n">
        <f aca="false">Sens!F5143</f>
        <v>10.5</v>
      </c>
      <c r="G5202" s="6" t="n">
        <f aca="false">Sens!G5143</f>
        <v>13.5</v>
      </c>
      <c r="H5202" s="6" t="n">
        <f aca="false">Sens!H5143</f>
        <v>16.5</v>
      </c>
      <c r="I5202" s="6" t="n">
        <f aca="false">Sens!I5143</f>
        <v>18.75</v>
      </c>
      <c r="J5202" s="6" t="n">
        <f aca="false">Sens!J5143</f>
        <v>20.25</v>
      </c>
      <c r="K5202" s="6" t="n">
        <f aca="false">Sens!K5143</f>
        <v>21.75</v>
      </c>
    </row>
    <row r="5203" customFormat="false" ht="17.15" hidden="false" customHeight="false" outlineLevel="0" collapsed="false">
      <c r="A5203" s="1" t="s">
        <v>857</v>
      </c>
      <c r="B5203" s="0" t="s">
        <v>98</v>
      </c>
      <c r="F5203" s="6" t="n">
        <f aca="false">MAX(0,((Sens!E5106+Sens!F5106)/2-(shadow_base*(Sens!$D$5106+Sens!$E$5106)/2+(1-shadow_base)*Sens!$E$5106))*Sens!F5114/1000-(Sens!F5202-Sens!$E$5202)*Sens!F5182)</f>
        <v>10.20235862938</v>
      </c>
      <c r="G5203" s="6" t="n">
        <f aca="false">MAX(0,((Sens!F5106+Sens!G5106)/2-(shadow_base*(Sens!$D$5106+Sens!$E$5106)/2+(1-shadow_base)*Sens!$E$5106))*Sens!G5114/1000-(Sens!G5202-Sens!$E$5202)*Sens!G5182)</f>
        <v>26.5777989282526</v>
      </c>
      <c r="H5203" s="6" t="n">
        <f aca="false">MAX(0,((Sens!G5106+Sens!H5106)/2-(shadow_base*(Sens!$D$5106+Sens!$E$5106)/2+(1-shadow_base)*Sens!$E$5106))*Sens!H5114/1000-(Sens!H5202-Sens!$E$5202)*Sens!H5182)</f>
        <v>44.487218177647</v>
      </c>
      <c r="I5203" s="6" t="n">
        <f aca="false">MAX(0,((Sens!H5106+Sens!I5106)/2-(shadow_base*(Sens!$D$5106+Sens!$E$5106)/2+(1-shadow_base)*Sens!$E$5106))*Sens!I5114/1000-(Sens!I5202-Sens!$E$5202)*Sens!I5182)</f>
        <v>60.0718181049113</v>
      </c>
      <c r="J5203" s="6" t="n">
        <f aca="false">MAX(0,((Sens!I5106+Sens!J5106)/2-(shadow_base*(Sens!$D$5106+Sens!$E$5106)/2+(1-shadow_base)*Sens!$E$5106))*Sens!J5114/1000-(Sens!J5202-Sens!$E$5202)*Sens!J5182)</f>
        <v>71.1231854918947</v>
      </c>
      <c r="K5203" s="6" t="n">
        <f aca="false">MAX(0,((Sens!J5106+Sens!K5106)/2-(shadow_base*(Sens!$D$5106+Sens!$E$5106)/2+(1-shadow_base)*Sens!$E$5106))*Sens!K5114/1000-(Sens!K5202-Sens!$E$5202)*Sens!K5182)</f>
        <v>77.0866216734771</v>
      </c>
      <c r="L5203" s="1" t="s">
        <v>858</v>
      </c>
    </row>
    <row r="5204" customFormat="false" ht="17.15" hidden="false" customHeight="false" outlineLevel="0" collapsed="false">
      <c r="A5204" s="1" t="s">
        <v>859</v>
      </c>
      <c r="B5204" s="0" t="s">
        <v>98</v>
      </c>
      <c r="F5204" s="6" t="n">
        <f aca="false">IF(internal_ai_reading=2,1,0)*Sens!F5203</f>
        <v>10.20235862938</v>
      </c>
      <c r="G5204" s="6" t="n">
        <f aca="false">IF(internal_ai_reading=2,1,0)*Sens!G5203</f>
        <v>26.5777989282526</v>
      </c>
      <c r="H5204" s="6" t="n">
        <f aca="false">IF(internal_ai_reading=2,1,0)*Sens!H5203</f>
        <v>44.487218177647</v>
      </c>
      <c r="I5204" s="6" t="n">
        <f aca="false">IF(internal_ai_reading=2,1,0)*Sens!I5203</f>
        <v>60.0718181049113</v>
      </c>
      <c r="J5204" s="6" t="n">
        <f aca="false">IF(internal_ai_reading=2,1,0)*Sens!J5203</f>
        <v>71.1231854918947</v>
      </c>
      <c r="K5204" s="6" t="n">
        <f aca="false">IF(internal_ai_reading=2,1,0)*Sens!K5203</f>
        <v>77.0866216734771</v>
      </c>
    </row>
    <row r="5205" customFormat="false" ht="17.15" hidden="false" customHeight="false" outlineLevel="0" collapsed="false">
      <c r="A5205" s="0" t="s">
        <v>860</v>
      </c>
      <c r="B5205" s="0" t="s">
        <v>98</v>
      </c>
      <c r="F5205" s="6" t="n">
        <f aca="false">Sens!F5123+Sens!F5202*Sens!F5182+Sens!F5204-Sens!F5124-Sens!F5134</f>
        <v>15.0928195123149</v>
      </c>
      <c r="G5205" s="6" t="n">
        <f aca="false">Sens!G5123+Sens!G5202*Sens!G5182+Sens!G5204-Sens!G5124-Sens!G5134</f>
        <v>24.3830060498034</v>
      </c>
      <c r="H5205" s="6" t="n">
        <f aca="false">Sens!H5123+Sens!H5202*Sens!H5182+Sens!H5204-Sens!H5124-Sens!H5134</f>
        <v>28.9553155446951</v>
      </c>
      <c r="I5205" s="6" t="n">
        <f aca="false">Sens!I5123+Sens!I5202*Sens!I5182+Sens!I5204-Sens!I5124-Sens!I5134</f>
        <v>38.6689444780515</v>
      </c>
      <c r="J5205" s="6" t="n">
        <f aca="false">Sens!J5123+Sens!J5202*Sens!J5182+Sens!J5204-Sens!J5124-Sens!J5134</f>
        <v>46.0819979654939</v>
      </c>
      <c r="K5205" s="6" t="n">
        <f aca="false">Sens!K5123+Sens!K5202*Sens!K5182+Sens!K5204-Sens!K5124-Sens!K5134</f>
        <v>50.2738627594643</v>
      </c>
    </row>
    <row r="5206" customFormat="false" ht="17.15" hidden="false" customHeight="false" outlineLevel="0" collapsed="false">
      <c r="A5206" s="0" t="s">
        <v>861</v>
      </c>
      <c r="B5206" s="0" t="s">
        <v>98</v>
      </c>
      <c r="E5206" s="6" t="n">
        <f aca="false">Sens!E5105*(cxit_open+self_build*tk_cxfac)/1000*ai_net_open</f>
        <v>126.6980382</v>
      </c>
      <c r="F5206" s="6" t="n">
        <f aca="false">Sens!E5206+Sens!F5131-Sens!F5134</f>
        <v>257.495912016362</v>
      </c>
      <c r="G5206" s="6" t="n">
        <f aca="false">Sens!F5206+Sens!G5131-Sens!G5134</f>
        <v>389.822372004838</v>
      </c>
      <c r="H5206" s="6" t="n">
        <f aca="false">Sens!G5206+Sens!H5131-Sens!H5134</f>
        <v>503.081440620971</v>
      </c>
      <c r="I5206" s="6" t="n">
        <f aca="false">Sens!H5206+Sens!I5131-Sens!I5134</f>
        <v>541.283337327142</v>
      </c>
      <c r="J5206" s="6" t="n">
        <f aca="false">Sens!I5206+Sens!J5131-Sens!J5134</f>
        <v>543.575310213801</v>
      </c>
      <c r="K5206" s="6" t="n">
        <f aca="false">Sens!J5206+Sens!K5131-Sens!K5134</f>
        <v>501.944862625991</v>
      </c>
      <c r="L5206" s="1" t="s">
        <v>862</v>
      </c>
    </row>
    <row r="5207" customFormat="false" ht="17.15" hidden="false" customHeight="false" outlineLevel="0" collapsed="false">
      <c r="A5207" s="0" t="s">
        <v>863</v>
      </c>
      <c r="B5207" s="0" t="s">
        <v>129</v>
      </c>
      <c r="F5207" s="7" t="n">
        <f aca="false">Sens!F5205*(1-tax_f)/((Sens!E5206+Sens!F5206)/2)</f>
        <v>0.0628550012463874</v>
      </c>
      <c r="G5207" s="7" t="n">
        <f aca="false">Sens!G5205*(1-tax_f)/((Sens!F5206+Sens!G5206)/2)</f>
        <v>0.0602683573795171</v>
      </c>
      <c r="H5207" s="7" t="n">
        <f aca="false">Sens!H5205*(1-tax_f)/((Sens!G5206+Sens!H5206)/2)</f>
        <v>0.0518852134086777</v>
      </c>
      <c r="I5207" s="7" t="n">
        <f aca="false">Sens!I5205*(1-tax_f)/((Sens!H5206+Sens!I5206)/2)</f>
        <v>0.0592420507386704</v>
      </c>
      <c r="J5207" s="7" t="n">
        <f aca="false">Sens!J5205*(1-tax_f)/((Sens!I5206+Sens!J5206)/2)</f>
        <v>0.0679638742908279</v>
      </c>
      <c r="K5207" s="7" t="n">
        <f aca="false">Sens!K5205*(1-tax_f)/((Sens!J5206+Sens!K5206)/2)</f>
        <v>0.0769360386387004</v>
      </c>
    </row>
    <row r="5208" customFormat="false" ht="17.15" hidden="false" customHeight="false" outlineLevel="0" collapsed="false">
      <c r="A5208" s="1" t="s">
        <v>864</v>
      </c>
      <c r="B5208" s="0" t="s">
        <v>129</v>
      </c>
      <c r="F5208" s="7" t="n">
        <f aca="false">(Sens!F5205-Sens!F5204)*(1-tax_f)/((Sens!E5206+Sens!F5206)/2)</f>
        <v>0.0203666335929793</v>
      </c>
      <c r="G5208" s="7" t="n">
        <f aca="false">(Sens!G5205-Sens!G5204)*(1-tax_f)/((Sens!F5206+Sens!G5206)/2)</f>
        <v>-0.00542494888867336</v>
      </c>
      <c r="H5208" s="7" t="n">
        <f aca="false">(Sens!H5205-Sens!H5204)*(1-tax_f)/((Sens!G5206+Sens!H5206)/2)</f>
        <v>-0.0278317147505982</v>
      </c>
      <c r="I5208" s="7" t="n">
        <f aca="false">(Sens!I5205-Sens!I5204)*(1-tax_f)/((Sens!H5206+Sens!I5206)/2)</f>
        <v>-0.0327898819704135</v>
      </c>
      <c r="J5208" s="7" t="n">
        <f aca="false">(Sens!J5205-Sens!J5204)*(1-tax_f)/((Sens!I5206+Sens!J5206)/2)</f>
        <v>-0.0369319082564894</v>
      </c>
      <c r="K5208" s="7" t="n">
        <f aca="false">(Sens!K5205-Sens!K5204)*(1-tax_f)/((Sens!J5206+Sens!K5206)/2)</f>
        <v>-0.0410326030782327</v>
      </c>
    </row>
    <row r="5209" customFormat="false" ht="17.15" hidden="false" customHeight="false" outlineLevel="0" collapsed="false">
      <c r="A5209" s="1" t="s">
        <v>865</v>
      </c>
      <c r="B5209" s="0" t="s">
        <v>129</v>
      </c>
      <c r="F5209" s="7" t="n">
        <f aca="false">(Sens!F5205-Sens!F5204+Sens!F5203)*(1-tax_f)/((Sens!E5206+Sens!F5206)/2)</f>
        <v>0.0628550012463874</v>
      </c>
      <c r="G5209" s="7" t="n">
        <f aca="false">(Sens!G5205-Sens!G5204+Sens!G5203)*(1-tax_f)/((Sens!F5206+Sens!G5206)/2)</f>
        <v>0.0602683573795171</v>
      </c>
      <c r="H5209" s="7" t="n">
        <f aca="false">(Sens!H5205-Sens!H5204+Sens!H5203)*(1-tax_f)/((Sens!G5206+Sens!H5206)/2)</f>
        <v>0.0518852134086777</v>
      </c>
      <c r="I5209" s="7" t="n">
        <f aca="false">(Sens!I5205-Sens!I5204+Sens!I5203)*(1-tax_f)/((Sens!H5206+Sens!I5206)/2)</f>
        <v>0.0592420507386704</v>
      </c>
      <c r="J5209" s="7" t="n">
        <f aca="false">(Sens!J5205-Sens!J5204+Sens!J5203)*(1-tax_f)/((Sens!I5206+Sens!J5206)/2)</f>
        <v>0.0679638742908279</v>
      </c>
      <c r="K5209" s="7" t="n">
        <f aca="false">(Sens!K5205-Sens!K5204+Sens!K5203)*(1-tax_f)/((Sens!J5206+Sens!K5206)/2)</f>
        <v>0.0769360386387004</v>
      </c>
    </row>
    <row r="5210" customFormat="false" ht="17.15" hidden="false" customHeight="false" outlineLevel="0" collapsed="false">
      <c r="A5210" s="1" t="s">
        <v>866</v>
      </c>
      <c r="B5210" s="0" t="s">
        <v>129</v>
      </c>
      <c r="F5210" s="7" t="n">
        <f aca="false">Sens!F5135*(1-tax_f)/(Sens!F5122*(Sens!E5206+Sens!F5206)/2)</f>
        <v>0.120330503692842</v>
      </c>
      <c r="G5210" s="7" t="n">
        <f aca="false">Sens!G5135*(1-tax_f)/(Sens!G5122*(Sens!F5206+Sens!G5206)/2)</f>
        <v>0.0885782276621068</v>
      </c>
      <c r="H5210" s="7" t="n">
        <f aca="false">Sens!H5135*(1-tax_f)/(Sens!H5122*(Sens!G5206+Sens!H5206)/2)</f>
        <v>0.0608858100538709</v>
      </c>
      <c r="I5210" s="7" t="n">
        <f aca="false">Sens!I5135*(1-tax_f)/(Sens!I5122*(Sens!H5206+Sens!I5206)/2)</f>
        <v>0.0644619540441695</v>
      </c>
      <c r="J5210" s="7" t="n">
        <f aca="false">Sens!J5135*(1-tax_f)/(Sens!J5122*(Sens!I5206+Sens!J5206)/2)</f>
        <v>0.0714355298870886</v>
      </c>
      <c r="K5210" s="7" t="n">
        <f aca="false">Sens!K5135*(1-tax_f)/(Sens!K5122*(Sens!J5206+Sens!K5206)/2)</f>
        <v>0.0797584180564138</v>
      </c>
    </row>
    <row r="5211" customFormat="false" ht="17.15" hidden="false" customHeight="false" outlineLevel="0" collapsed="false">
      <c r="A5211" s="0" t="s">
        <v>867</v>
      </c>
      <c r="B5211" s="0" t="s">
        <v>209</v>
      </c>
      <c r="F5211" s="7" t="n">
        <f aca="false">Sens!F5207-wacc</f>
        <v>-0.0400794188464884</v>
      </c>
      <c r="G5211" s="7" t="n">
        <f aca="false">Sens!G5207-wacc</f>
        <v>-0.0426660627133587</v>
      </c>
      <c r="H5211" s="7" t="n">
        <f aca="false">Sens!H5207-wacc</f>
        <v>-0.051049206684198</v>
      </c>
      <c r="I5211" s="7" t="n">
        <f aca="false">Sens!I5207-wacc</f>
        <v>-0.0436923693542053</v>
      </c>
      <c r="J5211" s="7" t="n">
        <f aca="false">Sens!J5207-wacc</f>
        <v>-0.0349705458020478</v>
      </c>
      <c r="K5211" s="7" t="n">
        <f aca="false">Sens!K5207-wacc</f>
        <v>-0.0259983814541753</v>
      </c>
    </row>
    <row r="5212" customFormat="false" ht="17.15" hidden="false" customHeight="false" outlineLevel="0" collapsed="false">
      <c r="A5212" s="0" t="s">
        <v>868</v>
      </c>
      <c r="B5212" s="0" t="s">
        <v>98</v>
      </c>
      <c r="F5212" s="6" t="n">
        <f aca="false">Sens!F5205*(1-tax_f)-wacc*(Sens!E5206+Sens!F5206)/2</f>
        <v>-7.69913512450424</v>
      </c>
      <c r="G5212" s="6" t="n">
        <f aca="false">Sens!G5205*(1-tax_f)-wacc*(Sens!F5206+Sens!G5206)/2</f>
        <v>-13.8092612507761</v>
      </c>
      <c r="H5212" s="6" t="n">
        <f aca="false">Sens!H5205*(1-tax_f)-wacc*(Sens!G5206+Sens!H5206)/2</f>
        <v>-22.7910156399217</v>
      </c>
      <c r="I5212" s="6" t="n">
        <f aca="false">Sens!I5205*(1-tax_f)-wacc*(Sens!H5206+Sens!I5206)/2</f>
        <v>-22.8153858093158</v>
      </c>
      <c r="J5212" s="6" t="n">
        <f aca="false">Sens!J5205*(1-tax_f)-wacc*(Sens!I5206+Sens!J5206)/2</f>
        <v>-18.9690495112891</v>
      </c>
      <c r="K5212" s="6" t="n">
        <f aca="false">Sens!K5205*(1-tax_f)-wacc*(Sens!J5206+Sens!K5206)/2</f>
        <v>-13.5909161357621</v>
      </c>
    </row>
    <row r="5213" customFormat="false" ht="17.15" hidden="false" customHeight="false" outlineLevel="0" collapsed="false">
      <c r="A5213" s="3" t="s">
        <v>1395</v>
      </c>
    </row>
    <row r="5214" customFormat="false" ht="15" hidden="false" customHeight="false" outlineLevel="0" collapsed="false">
      <c r="A5214" s="4" t="s">
        <v>43</v>
      </c>
      <c r="B5214" s="4" t="s">
        <v>65</v>
      </c>
      <c r="C5214" s="20" t="s">
        <v>799</v>
      </c>
      <c r="D5214" s="20" t="s">
        <v>800</v>
      </c>
      <c r="E5214" s="20" t="s">
        <v>801</v>
      </c>
      <c r="F5214" s="20" t="s">
        <v>802</v>
      </c>
      <c r="G5214" s="20" t="s">
        <v>803</v>
      </c>
      <c r="H5214" s="20" t="s">
        <v>804</v>
      </c>
      <c r="I5214" s="20" t="s">
        <v>805</v>
      </c>
      <c r="J5214" s="20" t="s">
        <v>806</v>
      </c>
      <c r="K5214" s="20" t="s">
        <v>807</v>
      </c>
      <c r="L5214" s="4" t="s">
        <v>47</v>
      </c>
    </row>
    <row r="5215" customFormat="false" ht="15" hidden="false" customHeight="false" outlineLevel="0" collapsed="false">
      <c r="A5215" s="1" t="s">
        <v>925</v>
      </c>
      <c r="B5215" s="0" t="s">
        <v>98</v>
      </c>
      <c r="F5215" s="6" t="n">
        <f aca="false">Sens!F5196</f>
        <v>138.488487900842</v>
      </c>
      <c r="G5215" s="6" t="n">
        <f aca="false">Sens!G5196</f>
        <v>148.383658343478</v>
      </c>
      <c r="H5215" s="6" t="n">
        <f aca="false">Sens!H5196</f>
        <v>153.524847403893</v>
      </c>
      <c r="I5215" s="6" t="n">
        <f aca="false">Sens!I5196</f>
        <v>164.342218146053</v>
      </c>
      <c r="J5215" s="6" t="n">
        <f aca="false">Sens!J5196</f>
        <v>176.044032074442</v>
      </c>
      <c r="K5215" s="6" t="n">
        <f aca="false">Sens!K5196</f>
        <v>187.714964736946</v>
      </c>
    </row>
    <row r="5216" customFormat="false" ht="17.15" hidden="false" customHeight="false" outlineLevel="0" collapsed="false">
      <c r="A5216" s="1" t="s">
        <v>947</v>
      </c>
      <c r="B5216" s="0" t="s">
        <v>98</v>
      </c>
      <c r="E5216" s="6" t="n">
        <f aca="false">Q!M38-Sens!E5134</f>
        <v>24.3801052339286</v>
      </c>
      <c r="F5216" s="6" t="n">
        <f aca="false">Sens!E5216*(1-1/life_nonai)+(Sens!F5223+Sens!F5224)/life_nonai</f>
        <v>26.328807123389</v>
      </c>
      <c r="G5216" s="6" t="n">
        <f aca="false">Sens!F5216*(1-1/life_nonai)+(Sens!G5223)/life_nonai</f>
        <v>27.7662157680891</v>
      </c>
      <c r="H5216" s="6" t="n">
        <f aca="false">Sens!G5216*(1-1/life_nonai)+(Sens!H5223)/life_nonai</f>
        <v>29.5957455556891</v>
      </c>
      <c r="I5216" s="6" t="n">
        <f aca="false">Sens!H5216*(1-1/life_nonai)+(Sens!I5223)/life_nonai</f>
        <v>31.7585110312846</v>
      </c>
      <c r="J5216" s="6" t="n">
        <f aca="false">Sens!I5216*(1-1/life_nonai)+(Sens!J5223)/life_nonai</f>
        <v>34.1782512531935</v>
      </c>
      <c r="K5216" s="6" t="n">
        <f aca="false">Sens!J5216*(1-1/life_nonai)+(Sens!K5223)/life_nonai</f>
        <v>36.7697964020736</v>
      </c>
      <c r="L5216" s="11" t="s">
        <v>948</v>
      </c>
    </row>
    <row r="5217" customFormat="false" ht="17.15" hidden="false" customHeight="false" outlineLevel="0" collapsed="false">
      <c r="A5217" s="1" t="s">
        <v>949</v>
      </c>
      <c r="B5217" s="0" t="s">
        <v>98</v>
      </c>
      <c r="F5217" s="6" t="n">
        <f aca="false">Sens!$F$5224/life_nonai*(1-1/life_nonai)^(Sens!F5100-2027)</f>
        <v>0.843777689897088</v>
      </c>
      <c r="G5217" s="6" t="n">
        <f aca="false">Sens!$F$5224/life_nonai*(1-1/life_nonai)^(Sens!G5100-2027)</f>
        <v>0.759399920907379</v>
      </c>
      <c r="H5217" s="6" t="n">
        <f aca="false">Sens!$F$5224/life_nonai*(1-1/life_nonai)^(Sens!H5100-2027)</f>
        <v>0.683459928816641</v>
      </c>
      <c r="I5217" s="6" t="n">
        <f aca="false">Sens!$F$5224/life_nonai*(1-1/life_nonai)^(Sens!I5100-2027)</f>
        <v>0.615113935934977</v>
      </c>
      <c r="J5217" s="6" t="n">
        <f aca="false">Sens!$F$5224/life_nonai*(1-1/life_nonai)^(Sens!J5100-2027)</f>
        <v>0.55360254234148</v>
      </c>
      <c r="K5217" s="6" t="n">
        <f aca="false">Sens!$F$5224/life_nonai*(1-1/life_nonai)^(Sens!K5100-2027)</f>
        <v>0.498242288107332</v>
      </c>
      <c r="L5217" s="1" t="s">
        <v>950</v>
      </c>
    </row>
    <row r="5218" customFormat="false" ht="17.15" hidden="false" customHeight="false" outlineLevel="0" collapsed="false">
      <c r="A5218" s="1" t="s">
        <v>951</v>
      </c>
      <c r="B5218" s="0" t="s">
        <v>98</v>
      </c>
      <c r="E5218" s="6" t="n">
        <f aca="false">Sens!E5134+Sens!E5216</f>
        <v>38.534</v>
      </c>
      <c r="F5218" s="6" t="n">
        <f aca="false">Sens!F5134+Sens!F5216</f>
        <v>55.8638091784938</v>
      </c>
      <c r="G5218" s="6" t="n">
        <f aca="false">Sens!G5134+Sens!G5216</f>
        <v>79.0139362628129</v>
      </c>
      <c r="H5218" s="6" t="n">
        <f aca="false">Sens!H5134+Sens!H5216</f>
        <v>104.416962849956</v>
      </c>
      <c r="I5218" s="6" t="n">
        <f aca="false">Sens!I5134+Sens!I5216</f>
        <v>127.004608132693</v>
      </c>
      <c r="J5218" s="6" t="n">
        <f aca="false">Sens!J5134+Sens!J5216</f>
        <v>143.629615294111</v>
      </c>
      <c r="K5218" s="6" t="n">
        <f aca="false">Sens!K5134+Sens!K5216</f>
        <v>154.728408266807</v>
      </c>
    </row>
    <row r="5219" customFormat="false" ht="17.15" hidden="false" customHeight="false" outlineLevel="0" collapsed="false">
      <c r="A5219" s="1" t="s">
        <v>952</v>
      </c>
      <c r="B5219" s="0" t="s">
        <v>98</v>
      </c>
      <c r="F5219" s="6" t="n">
        <f aca="false">Sens!F5161*sbc_r</f>
        <v>14.7102349124428</v>
      </c>
      <c r="G5219" s="6" t="n">
        <f aca="false">Sens!G5161*sbc_r</f>
        <v>17.061233875013</v>
      </c>
      <c r="H5219" s="6" t="n">
        <f aca="false">Sens!H5161*sbc_r</f>
        <v>19.2644849659525</v>
      </c>
      <c r="I5219" s="6" t="n">
        <f aca="false">Sens!I5161*sbc_r</f>
        <v>21.5385036153684</v>
      </c>
      <c r="J5219" s="6" t="n">
        <f aca="false">Sens!J5161*sbc_r</f>
        <v>23.4695930044779</v>
      </c>
      <c r="K5219" s="6" t="n">
        <f aca="false">Sens!K5161*sbc_r</f>
        <v>25.0245941139113</v>
      </c>
    </row>
    <row r="5220" customFormat="false" ht="17.15" hidden="false" customHeight="false" outlineLevel="0" collapsed="false">
      <c r="A5220" s="1" t="s">
        <v>953</v>
      </c>
      <c r="B5220" s="0" t="s">
        <v>98</v>
      </c>
      <c r="F5220" s="6" t="n">
        <f aca="false">wc27</f>
        <v>-4.895</v>
      </c>
      <c r="G5220" s="6" t="n">
        <f aca="false">wc_f</f>
        <v>0</v>
      </c>
      <c r="H5220" s="6" t="n">
        <f aca="false">wc_f</f>
        <v>0</v>
      </c>
      <c r="I5220" s="6" t="n">
        <f aca="false">wc_f</f>
        <v>0</v>
      </c>
      <c r="J5220" s="6" t="n">
        <f aca="false">wc_f</f>
        <v>0</v>
      </c>
      <c r="K5220" s="6" t="n">
        <f aca="false">wc_f</f>
        <v>0</v>
      </c>
      <c r="L5220" s="11" t="s">
        <v>954</v>
      </c>
    </row>
    <row r="5221" customFormat="false" ht="15" hidden="false" customHeight="false" outlineLevel="0" collapsed="false">
      <c r="A5221" s="1" t="s">
        <v>767</v>
      </c>
      <c r="B5221" s="0" t="s">
        <v>98</v>
      </c>
      <c r="E5221" s="6" t="n">
        <f aca="false">Q!M35</f>
        <v>182.935</v>
      </c>
      <c r="F5221" s="6" t="n">
        <f aca="false">Sens!F5215+Sens!F5218+Sens!F5219+Sens!F5220</f>
        <v>204.167531991779</v>
      </c>
      <c r="G5221" s="6" t="n">
        <f aca="false">Sens!G5215+Sens!G5218+Sens!G5219+Sens!G5220</f>
        <v>244.458828481304</v>
      </c>
      <c r="H5221" s="6" t="n">
        <f aca="false">Sens!H5215+Sens!H5218+Sens!H5219+Sens!H5220</f>
        <v>277.206295219801</v>
      </c>
      <c r="I5221" s="6" t="n">
        <f aca="false">Sens!I5215+Sens!I5218+Sens!I5219+Sens!I5220</f>
        <v>312.885329894114</v>
      </c>
      <c r="J5221" s="6" t="n">
        <f aca="false">Sens!J5215+Sens!J5218+Sens!J5219+Sens!J5220</f>
        <v>343.143240373031</v>
      </c>
      <c r="K5221" s="6" t="n">
        <f aca="false">Sens!K5215+Sens!K5218+Sens!K5219+Sens!K5220</f>
        <v>367.467967117665</v>
      </c>
    </row>
    <row r="5222" customFormat="false" ht="17.15" hidden="false" customHeight="false" outlineLevel="0" collapsed="false">
      <c r="A5222" s="0" t="s">
        <v>955</v>
      </c>
      <c r="B5222" s="0" t="s">
        <v>98</v>
      </c>
      <c r="F5222" s="6" t="n">
        <f aca="false">Sens!F5131</f>
        <v>160.332875871467</v>
      </c>
      <c r="G5222" s="6" t="n">
        <f aca="false">Sens!G5131</f>
        <v>183.5741804832</v>
      </c>
      <c r="H5222" s="6" t="n">
        <f aca="false">Sens!H5131</f>
        <v>188.0802859104</v>
      </c>
      <c r="I5222" s="6" t="n">
        <f aca="false">Sens!I5131</f>
        <v>133.447993807579</v>
      </c>
      <c r="J5222" s="6" t="n">
        <f aca="false">Sens!J5131</f>
        <v>111.743336927576</v>
      </c>
      <c r="K5222" s="6" t="n">
        <f aca="false">Sens!K5131</f>
        <v>76.3281642769239</v>
      </c>
    </row>
    <row r="5223" customFormat="false" ht="17.15" hidden="false" customHeight="false" outlineLevel="0" collapsed="false">
      <c r="A5223" s="1" t="s">
        <v>956</v>
      </c>
      <c r="B5223" s="0" t="s">
        <v>98</v>
      </c>
      <c r="E5223" s="6" t="n">
        <f aca="false">Sens!E5139*cx_azo+Sens!E5146*cx_m365+Sens!E5147*cx_lic+(Sens!E5149+Sens!E5151)*cx_ind+Sens!E5154*cx_srch+(Sens!E5156+Sens!E5158)*cx_dev</f>
        <v>30.1846587067718</v>
      </c>
      <c r="F5223" s="6" t="n">
        <f aca="false">Sens!F5139*cx_azo+Sens!F5146*cx_m365+Sens!F5147*cx_lic+(Sens!F5149+Sens!F5151)*cx_ind+Sens!F5154*cx_srch+(Sens!F5156+Sens!F5158)*cx_dev</f>
        <v>35.4293472295625</v>
      </c>
      <c r="G5223" s="6" t="n">
        <f aca="false">Sens!G5139*cx_azo+Sens!G5146*cx_m365+Sens!G5147*cx_lic+(Sens!G5149+Sens!G5151)*cx_ind+Sens!G5154*cx_srch+(Sens!G5156+Sens!G5158)*cx_dev</f>
        <v>40.7028935703892</v>
      </c>
      <c r="H5223" s="6" t="n">
        <f aca="false">Sens!H5139*cx_azo+Sens!H5146*cx_m365+Sens!H5147*cx_lic+(Sens!H5149+Sens!H5151)*cx_ind+Sens!H5154*cx_srch+(Sens!H5156+Sens!H5158)*cx_dev</f>
        <v>46.0615136440897</v>
      </c>
      <c r="I5223" s="6" t="n">
        <f aca="false">Sens!I5139*cx_azo+Sens!I5146*cx_m365+Sens!I5147*cx_lic+(Sens!I5149+Sens!I5151)*cx_ind+Sens!I5154*cx_srch+(Sens!I5156+Sens!I5158)*cx_dev</f>
        <v>51.2234003116439</v>
      </c>
      <c r="J5223" s="6" t="n">
        <f aca="false">Sens!J5139*cx_azo+Sens!J5146*cx_m365+Sens!J5147*cx_lic+(Sens!J5149+Sens!J5151)*cx_ind+Sens!J5154*cx_srch+(Sens!J5156+Sens!J5158)*cx_dev</f>
        <v>55.9559132503738</v>
      </c>
      <c r="K5223" s="6" t="n">
        <f aca="false">Sens!K5139*cx_azo+Sens!K5146*cx_m365+Sens!K5147*cx_lic+(Sens!K5149+Sens!K5151)*cx_ind+Sens!K5154*cx_srch+(Sens!K5156+Sens!K5158)*cx_dev</f>
        <v>60.093702741994</v>
      </c>
    </row>
    <row r="5224" customFormat="false" ht="17.15" hidden="false" customHeight="false" outlineLevel="0" collapsed="false">
      <c r="A5224" s="0" t="s">
        <v>957</v>
      </c>
      <c r="B5224" s="0" t="s">
        <v>98</v>
      </c>
      <c r="F5224" s="6" t="n">
        <f aca="false">Sens!F5129</f>
        <v>8.43777689897088</v>
      </c>
      <c r="L5224" s="1" t="s">
        <v>958</v>
      </c>
    </row>
    <row r="5225" customFormat="false" ht="17.15" hidden="false" customHeight="false" outlineLevel="0" collapsed="false">
      <c r="A5225" s="1" t="s">
        <v>959</v>
      </c>
      <c r="B5225" s="0" t="s">
        <v>98</v>
      </c>
      <c r="E5225" s="6" t="n">
        <f aca="false">Q!M42</f>
        <v>145.3</v>
      </c>
      <c r="F5225" s="6" t="n">
        <f aca="false">Sens!F5222+Sens!F5223+Sens!F5224</f>
        <v>204.2</v>
      </c>
      <c r="G5225" s="6" t="n">
        <f aca="false">Sens!G5222+Sens!G5223</f>
        <v>224.277074053589</v>
      </c>
      <c r="H5225" s="6" t="n">
        <f aca="false">Sens!H5222+Sens!H5223</f>
        <v>234.14179955449</v>
      </c>
      <c r="I5225" s="6" t="n">
        <f aca="false">Sens!I5222+Sens!I5223</f>
        <v>184.671394119223</v>
      </c>
      <c r="J5225" s="6" t="n">
        <f aca="false">Sens!J5222+Sens!J5223</f>
        <v>167.699250177949</v>
      </c>
      <c r="K5225" s="6" t="n">
        <f aca="false">Sens!K5222+Sens!K5223</f>
        <v>136.421867018918</v>
      </c>
      <c r="L5225" s="1" t="s">
        <v>960</v>
      </c>
    </row>
    <row r="5226" customFormat="false" ht="15" hidden="false" customHeight="false" outlineLevel="0" collapsed="false">
      <c r="A5226" s="1" t="s">
        <v>961</v>
      </c>
      <c r="B5226" s="0" t="s">
        <v>98</v>
      </c>
      <c r="E5226" s="6" t="n">
        <f aca="false">fl_liab</f>
        <v>66.594</v>
      </c>
      <c r="F5226" s="6" t="n">
        <f aca="false">Sens!E5226-Sens!F5227</f>
        <v>62.46973</v>
      </c>
      <c r="G5226" s="6" t="n">
        <f aca="false">Sens!F5226-Sens!G5227</f>
        <v>57.98686785</v>
      </c>
      <c r="H5226" s="6" t="n">
        <f aca="false">Sens!G5226-Sens!H5227</f>
        <v>53.92827690325</v>
      </c>
      <c r="I5226" s="6" t="n">
        <f aca="false">Sens!H5226-Sens!I5227</f>
        <v>49.7850493638962</v>
      </c>
      <c r="J5226" s="6" t="n">
        <f aca="false">Sens!I5226-Sens!J5227</f>
        <v>45.4823765852716</v>
      </c>
      <c r="K5226" s="6" t="n">
        <f aca="false">Sens!J5226-Sens!K5227</f>
        <v>40.9860835316088</v>
      </c>
    </row>
    <row r="5227" customFormat="false" ht="15" hidden="false" customHeight="false" outlineLevel="0" collapsed="false">
      <c r="A5227" s="1" t="s">
        <v>962</v>
      </c>
      <c r="B5227" s="0" t="s">
        <v>98</v>
      </c>
      <c r="F5227" s="6" t="n">
        <f aca="false">fl_pay_27-Sens!E5226*fl_rate</f>
        <v>4.12427</v>
      </c>
      <c r="G5227" s="6" t="n">
        <f aca="false">fl_pay_28-Sens!F5226*fl_rate</f>
        <v>4.48286215</v>
      </c>
      <c r="H5227" s="6" t="n">
        <f aca="false">fl_pay_29-Sens!G5226*fl_rate</f>
        <v>4.05859094675</v>
      </c>
      <c r="I5227" s="6" t="n">
        <f aca="false">fl_pay_30-Sens!H5226*fl_rate</f>
        <v>4.14322753935375</v>
      </c>
      <c r="J5227" s="6" t="n">
        <f aca="false">fl_pay_31-Sens!I5226*fl_rate</f>
        <v>4.30267277862467</v>
      </c>
      <c r="K5227" s="6" t="n">
        <f aca="false">fl_pay_32-Sens!J5226*fl_rate</f>
        <v>4.49629305366278</v>
      </c>
    </row>
    <row r="5228" customFormat="false" ht="17.15" hidden="false" customHeight="false" outlineLevel="0" collapsed="false">
      <c r="A5228" s="1" t="s">
        <v>963</v>
      </c>
      <c r="B5228" s="0" t="s">
        <v>98</v>
      </c>
      <c r="E5228" s="6" t="n">
        <f aca="false">Q!M35-Q!M36-Q!M43</f>
        <v>63.886</v>
      </c>
      <c r="F5228" s="6" t="n">
        <f aca="false">Sens!F5221-Sens!F5225-Sens!F5227</f>
        <v>-4.15673800822149</v>
      </c>
      <c r="G5228" s="6" t="n">
        <f aca="false">Sens!G5221-Sens!G5225-Sens!G5227</f>
        <v>15.6988922777148</v>
      </c>
      <c r="H5228" s="6" t="n">
        <f aca="false">Sens!H5221-Sens!H5225-Sens!H5227</f>
        <v>39.0059047185615</v>
      </c>
      <c r="I5228" s="6" t="n">
        <f aca="false">Sens!I5221-Sens!I5225-Sens!I5227</f>
        <v>124.070708235538</v>
      </c>
      <c r="J5228" s="6" t="n">
        <f aca="false">Sens!J5221-Sens!J5225-Sens!J5227</f>
        <v>171.141317416457</v>
      </c>
      <c r="K5228" s="6" t="n">
        <f aca="false">Sens!K5221-Sens!K5225-Sens!K5227</f>
        <v>226.549807045084</v>
      </c>
      <c r="L5228" s="11" t="s">
        <v>964</v>
      </c>
    </row>
    <row r="5229" customFormat="false" ht="15" hidden="false" customHeight="false" outlineLevel="0" collapsed="false">
      <c r="A5229" s="1" t="s">
        <v>965</v>
      </c>
      <c r="B5229" s="0" t="s">
        <v>75</v>
      </c>
      <c r="F5229" s="8" t="n">
        <f aca="false">dps_27</f>
        <v>3.85</v>
      </c>
      <c r="G5229" s="8" t="n">
        <f aca="false">Sens!F5229*(1+dps_g)</f>
        <v>4.158</v>
      </c>
      <c r="H5229" s="8" t="n">
        <f aca="false">Sens!G5229*(1+dps_g)</f>
        <v>4.49064</v>
      </c>
      <c r="I5229" s="8" t="n">
        <f aca="false">Sens!H5229*(1+dps_g)</f>
        <v>4.8498912</v>
      </c>
      <c r="J5229" s="8" t="n">
        <f aca="false">Sens!I5229*(1+dps_g)</f>
        <v>5.237882496</v>
      </c>
      <c r="K5229" s="8" t="n">
        <f aca="false">Sens!J5229*(1+dps_g)</f>
        <v>5.65691309568</v>
      </c>
    </row>
    <row r="5230" customFormat="false" ht="17.15" hidden="false" customHeight="false" outlineLevel="0" collapsed="false">
      <c r="A5230" s="1" t="s">
        <v>966</v>
      </c>
      <c r="B5230" s="0" t="s">
        <v>98</v>
      </c>
      <c r="E5230" s="6" t="n">
        <f aca="false">Q!M41</f>
        <v>26.445</v>
      </c>
      <c r="F5230" s="6" t="n">
        <f aca="false">Sens!F5229*Sens!E5239</f>
        <v>28.59395</v>
      </c>
      <c r="G5230" s="6" t="n">
        <f aca="false">Sens!G5229*Sens!F5239</f>
        <v>31.068576</v>
      </c>
      <c r="H5230" s="6" t="n">
        <f aca="false">Sens!H5229*Sens!G5239</f>
        <v>33.75614088</v>
      </c>
      <c r="I5230" s="6" t="n">
        <f aca="false">Sens!I5229*Sens!H5239</f>
        <v>36.6504716488617</v>
      </c>
      <c r="J5230" s="6" t="n">
        <f aca="false">Sens!J5229*Sens!I5239</f>
        <v>39.65090822909</v>
      </c>
      <c r="K5230" s="6" t="n">
        <f aca="false">Sens!K5229*Sens!J5239</f>
        <v>42.9102361127223</v>
      </c>
      <c r="L5230" s="1" t="s">
        <v>967</v>
      </c>
    </row>
    <row r="5231" customFormat="false" ht="15" hidden="false" customHeight="false" outlineLevel="0" collapsed="false">
      <c r="A5231" s="1" t="s">
        <v>968</v>
      </c>
      <c r="B5231" s="0" t="s">
        <v>98</v>
      </c>
      <c r="E5231" s="6" t="n">
        <f aca="false">Sens!E5228-Sens!E5230</f>
        <v>37.441</v>
      </c>
      <c r="F5231" s="6" t="n">
        <f aca="false">Sens!F5228-Sens!F5230</f>
        <v>-32.7506880082215</v>
      </c>
      <c r="G5231" s="6" t="n">
        <f aca="false">Sens!G5228-Sens!G5230</f>
        <v>-15.3696837222852</v>
      </c>
      <c r="H5231" s="6" t="n">
        <f aca="false">Sens!H5228-Sens!H5230</f>
        <v>5.24976383856154</v>
      </c>
      <c r="I5231" s="6" t="n">
        <f aca="false">Sens!I5228-Sens!I5230</f>
        <v>87.4202365866763</v>
      </c>
      <c r="J5231" s="6" t="n">
        <f aca="false">Sens!J5228-Sens!J5230</f>
        <v>131.490409187367</v>
      </c>
      <c r="K5231" s="6" t="n">
        <f aca="false">Sens!K5228-Sens!K5230</f>
        <v>183.639570932362</v>
      </c>
    </row>
    <row r="5232" customFormat="false" ht="15" hidden="false" customHeight="false" outlineLevel="0" collapsed="false">
      <c r="A5232" s="1" t="s">
        <v>969</v>
      </c>
      <c r="B5232" s="0" t="s">
        <v>98</v>
      </c>
      <c r="F5232" s="6" t="n">
        <f aca="false">debt_mat_27</f>
        <v>9.25</v>
      </c>
      <c r="G5232" s="6" t="n">
        <f aca="false">debt_mat_28</f>
        <v>0</v>
      </c>
      <c r="H5232" s="6" t="n">
        <f aca="false">debt_mat_29</f>
        <v>2.001</v>
      </c>
      <c r="I5232" s="6" t="n">
        <f aca="false">debt_mat_30</f>
        <v>0</v>
      </c>
      <c r="J5232" s="6" t="n">
        <f aca="false">debt_mat_31</f>
        <v>0.5</v>
      </c>
      <c r="K5232" s="6" t="n">
        <f aca="false">debt_mat_32</f>
        <v>0</v>
      </c>
    </row>
    <row r="5233" customFormat="false" ht="15" hidden="false" customHeight="false" outlineLevel="0" collapsed="false">
      <c r="A5233" s="1" t="s">
        <v>970</v>
      </c>
      <c r="B5233" s="0" t="s">
        <v>98</v>
      </c>
      <c r="E5233" s="6" t="n">
        <f aca="false">Q!M40</f>
        <v>22.271</v>
      </c>
      <c r="F5233" s="6" t="n">
        <f aca="false">MAX(0,MIN(bb_target,Sens!E5235+Sens!F5231-Sens!F5232-min_cash))</f>
        <v>0</v>
      </c>
      <c r="G5233" s="6" t="n">
        <f aca="false">MAX(0,MIN(bb_target,Sens!F5235+Sens!G5231-Sens!G5232-min_cash))</f>
        <v>0</v>
      </c>
      <c r="H5233" s="6" t="n">
        <f aca="false">MAX(0,MIN(bb_target,Sens!G5235+Sens!H5231-Sens!H5232-min_cash))</f>
        <v>3.24876383856154</v>
      </c>
      <c r="I5233" s="6" t="n">
        <f aca="false">MAX(0,MIN(bb_target,Sens!H5235+Sens!I5231-Sens!I5232-min_cash))</f>
        <v>22.271</v>
      </c>
      <c r="J5233" s="6" t="n">
        <f aca="false">MAX(0,MIN(bb_target,Sens!I5235+Sens!J5231-Sens!J5232-min_cash))</f>
        <v>22.271</v>
      </c>
      <c r="K5233" s="6" t="n">
        <f aca="false">MAX(0,MIN(bb_target,Sens!J5235+Sens!K5231-Sens!K5232-min_cash))</f>
        <v>22.271</v>
      </c>
    </row>
    <row r="5234" customFormat="false" ht="15" hidden="false" customHeight="false" outlineLevel="0" collapsed="false">
      <c r="A5234" s="1" t="s">
        <v>971</v>
      </c>
      <c r="B5234" s="0" t="s">
        <v>98</v>
      </c>
      <c r="F5234" s="6" t="n">
        <f aca="false">MAX(0,min_cash-(Sens!E5235+Sens!F5231-Sens!F5232-Sens!F5233))</f>
        <v>15.1576880082215</v>
      </c>
      <c r="G5234" s="6" t="n">
        <f aca="false">MAX(0,min_cash-(Sens!F5235+Sens!G5231-Sens!G5232-Sens!G5233))</f>
        <v>15.3696837222852</v>
      </c>
      <c r="H5234" s="6" t="n">
        <f aca="false">MAX(0,min_cash-(Sens!G5235+Sens!H5231-Sens!H5232-Sens!H5233))</f>
        <v>0</v>
      </c>
      <c r="I5234" s="6" t="n">
        <f aca="false">MAX(0,min_cash-(Sens!H5235+Sens!I5231-Sens!I5232-Sens!I5233))</f>
        <v>0</v>
      </c>
      <c r="J5234" s="6" t="n">
        <f aca="false">MAX(0,min_cash-(Sens!I5235+Sens!J5231-Sens!J5232-Sens!J5233))</f>
        <v>0</v>
      </c>
      <c r="K5234" s="6" t="n">
        <f aca="false">MAX(0,min_cash-(Sens!J5235+Sens!K5231-Sens!K5232-Sens!K5233))</f>
        <v>0</v>
      </c>
    </row>
    <row r="5235" customFormat="false" ht="15" hidden="false" customHeight="false" outlineLevel="0" collapsed="false">
      <c r="A5235" s="1" t="s">
        <v>972</v>
      </c>
      <c r="B5235" s="0" t="s">
        <v>98</v>
      </c>
      <c r="E5235" s="6" t="n">
        <f aca="false">cash_open</f>
        <v>76.843</v>
      </c>
      <c r="F5235" s="6" t="n">
        <f aca="false">Sens!E5235+Sens!F5231-Sens!F5232-Sens!F5233+Sens!F5234</f>
        <v>50</v>
      </c>
      <c r="G5235" s="6" t="n">
        <f aca="false">Sens!F5235+Sens!G5231-Sens!G5232-Sens!G5233+Sens!G5234</f>
        <v>50</v>
      </c>
      <c r="H5235" s="6" t="n">
        <f aca="false">Sens!G5235+Sens!H5231-Sens!H5232-Sens!H5233+Sens!H5234</f>
        <v>50</v>
      </c>
      <c r="I5235" s="6" t="n">
        <f aca="false">Sens!H5235+Sens!I5231-Sens!I5232-Sens!I5233+Sens!I5234</f>
        <v>115.149236586676</v>
      </c>
      <c r="J5235" s="6" t="n">
        <f aca="false">Sens!I5235+Sens!J5231-Sens!J5232-Sens!J5233+Sens!J5234</f>
        <v>223.868645774043</v>
      </c>
      <c r="K5235" s="6" t="n">
        <f aca="false">Sens!J5235+Sens!K5231-Sens!K5232-Sens!K5233+Sens!K5234</f>
        <v>385.237216706404</v>
      </c>
    </row>
    <row r="5236" customFormat="false" ht="15" hidden="false" customHeight="false" outlineLevel="0" collapsed="false">
      <c r="A5236" s="1" t="s">
        <v>973</v>
      </c>
      <c r="B5236" s="0" t="s">
        <v>98</v>
      </c>
      <c r="E5236" s="6" t="n">
        <f aca="false">debt_face</f>
        <v>46.136</v>
      </c>
      <c r="F5236" s="6" t="n">
        <f aca="false">Sens!E5236-Sens!F5232+Sens!F5234</f>
        <v>52.0436880082215</v>
      </c>
      <c r="G5236" s="6" t="n">
        <f aca="false">Sens!F5236-Sens!G5232+Sens!G5234</f>
        <v>67.4133717305067</v>
      </c>
      <c r="H5236" s="6" t="n">
        <f aca="false">Sens!G5236-Sens!H5232+Sens!H5234</f>
        <v>65.4123717305067</v>
      </c>
      <c r="I5236" s="6" t="n">
        <f aca="false">Sens!H5236-Sens!I5232+Sens!I5234</f>
        <v>65.4123717305067</v>
      </c>
      <c r="J5236" s="6" t="n">
        <f aca="false">Sens!I5236-Sens!J5232+Sens!J5234</f>
        <v>64.9123717305067</v>
      </c>
      <c r="K5236" s="6" t="n">
        <f aca="false">Sens!J5236-Sens!K5232+Sens!K5234</f>
        <v>64.9123717305067</v>
      </c>
    </row>
    <row r="5237" customFormat="false" ht="15" hidden="false" customHeight="false" outlineLevel="0" collapsed="false">
      <c r="A5237" s="1" t="s">
        <v>974</v>
      </c>
      <c r="B5237" s="0" t="s">
        <v>98</v>
      </c>
      <c r="E5237" s="6" t="n">
        <f aca="false">Sens!E5235-Sens!E5236</f>
        <v>30.707</v>
      </c>
      <c r="F5237" s="6" t="n">
        <f aca="false">Sens!F5235-Sens!F5236</f>
        <v>-2.04368800822149</v>
      </c>
      <c r="G5237" s="6" t="n">
        <f aca="false">Sens!G5235-Sens!G5236</f>
        <v>-17.4133717305067</v>
      </c>
      <c r="H5237" s="6" t="n">
        <f aca="false">Sens!H5235-Sens!H5236</f>
        <v>-15.4123717305067</v>
      </c>
      <c r="I5237" s="6" t="n">
        <f aca="false">Sens!I5235-Sens!I5236</f>
        <v>49.7368648561696</v>
      </c>
      <c r="J5237" s="6" t="n">
        <f aca="false">Sens!J5235-Sens!J5236</f>
        <v>158.956274043536</v>
      </c>
      <c r="K5237" s="6" t="n">
        <f aca="false">Sens!K5235-Sens!K5236</f>
        <v>320.324844975898</v>
      </c>
    </row>
    <row r="5238" customFormat="false" ht="15" hidden="false" customHeight="false" outlineLevel="0" collapsed="false">
      <c r="A5238" s="1" t="s">
        <v>975</v>
      </c>
      <c r="B5238" s="0" t="s">
        <v>75</v>
      </c>
      <c r="F5238" s="29" t="n">
        <f aca="false">px*(1+bb_g)^(Sens!F5100-base_fy-mid_yr)</f>
        <v>553.494156066711</v>
      </c>
      <c r="G5238" s="29" t="n">
        <f aca="false">px*(1+bb_g)^(Sens!G5100-base_fy-mid_yr)</f>
        <v>597.773688552047</v>
      </c>
      <c r="H5238" s="29" t="n">
        <f aca="false">px*(1+bb_g)^(Sens!H5100-base_fy-mid_yr)</f>
        <v>645.595583636211</v>
      </c>
      <c r="I5238" s="29" t="n">
        <f aca="false">px*(1+bb_g)^(Sens!I5100-base_fy-mid_yr)</f>
        <v>697.243230327108</v>
      </c>
      <c r="J5238" s="29" t="n">
        <f aca="false">px*(1+bb_g)^(Sens!J5100-base_fy-mid_yr)</f>
        <v>753.022688753277</v>
      </c>
      <c r="K5238" s="29" t="n">
        <f aca="false">px*(1+bb_g)^(Sens!K5100-base_fy-mid_yr)</f>
        <v>813.264503853539</v>
      </c>
    </row>
    <row r="5239" customFormat="false" ht="15" hidden="false" customHeight="false" outlineLevel="0" collapsed="false">
      <c r="A5239" s="1" t="s">
        <v>976</v>
      </c>
      <c r="B5239" s="1" t="s">
        <v>81</v>
      </c>
      <c r="E5239" s="14" t="n">
        <f aca="false">sh_out26</f>
        <v>7.427</v>
      </c>
      <c r="F5239" s="14" t="n">
        <f aca="false">Sens!E5239+sh_iss-Sens!F5233/Sens!F5238</f>
        <v>7.472</v>
      </c>
      <c r="G5239" s="14" t="n">
        <f aca="false">Sens!F5239+sh_iss-Sens!G5233/Sens!G5238</f>
        <v>7.517</v>
      </c>
      <c r="H5239" s="14" t="n">
        <f aca="false">Sens!G5239+sh_iss-Sens!H5233/Sens!H5238</f>
        <v>7.55696780349664</v>
      </c>
      <c r="I5239" s="14" t="n">
        <f aca="false">Sens!H5239+sh_iss-Sens!I5233/Sens!I5238</f>
        <v>7.57002629581136</v>
      </c>
      <c r="J5239" s="14" t="n">
        <f aca="false">Sens!I5239+sh_iss-Sens!J5233/Sens!J5238</f>
        <v>7.5854508257324</v>
      </c>
      <c r="K5239" s="14" t="n">
        <f aca="false">Sens!J5239+sh_iss-Sens!K5233/Sens!K5238</f>
        <v>7.60306613121484</v>
      </c>
    </row>
    <row r="5240" customFormat="false" ht="15" hidden="false" customHeight="false" outlineLevel="0" collapsed="false">
      <c r="A5240" s="1" t="s">
        <v>977</v>
      </c>
      <c r="B5240" s="1" t="s">
        <v>81</v>
      </c>
      <c r="E5240" s="14" t="n">
        <f aca="false">sh_dil26</f>
        <v>7.453</v>
      </c>
      <c r="F5240" s="14" t="n">
        <f aca="false">(Sens!E5239+Sens!F5239)/2+dil_gap</f>
        <v>7.4735</v>
      </c>
      <c r="G5240" s="14" t="n">
        <f aca="false">(Sens!F5239+Sens!G5239)/2+dil_gap</f>
        <v>7.5185</v>
      </c>
      <c r="H5240" s="14" t="n">
        <f aca="false">(Sens!G5239+Sens!H5239)/2+dil_gap</f>
        <v>7.56098390174832</v>
      </c>
      <c r="I5240" s="14" t="n">
        <f aca="false">(Sens!H5239+Sens!I5239)/2+dil_gap</f>
        <v>7.587497049654</v>
      </c>
      <c r="J5240" s="14" t="n">
        <f aca="false">(Sens!I5239+Sens!J5239)/2+dil_gap</f>
        <v>7.60173856077188</v>
      </c>
      <c r="K5240" s="14" t="n">
        <f aca="false">(Sens!J5239+Sens!K5239)/2+dil_gap</f>
        <v>7.61825847847362</v>
      </c>
    </row>
    <row r="5241" customFormat="false" ht="17.15" hidden="false" customHeight="false" outlineLevel="0" collapsed="false">
      <c r="A5241" s="1" t="s">
        <v>978</v>
      </c>
      <c r="B5241" s="0" t="s">
        <v>98</v>
      </c>
      <c r="C5241" s="6" t="n">
        <f aca="false">SUM(Sens!F5231:J5231)</f>
        <v>176.040037882098</v>
      </c>
    </row>
    <row r="5242" customFormat="false" ht="15" hidden="false" customHeight="false" outlineLevel="0" collapsed="false">
      <c r="A5242" s="23" t="s">
        <v>945</v>
      </c>
      <c r="B5242" s="30" t="s">
        <v>98</v>
      </c>
      <c r="C5242" s="24" t="n">
        <f aca="false">Sens!$C$5241-(Sens!F5231+Sens!G5231+Sens!H5231+Sens!I5231+Sens!J5231)</f>
        <v>0</v>
      </c>
      <c r="D5242" s="30"/>
      <c r="E5242" s="30"/>
      <c r="F5242" s="30"/>
      <c r="G5242" s="30"/>
      <c r="H5242" s="30"/>
      <c r="I5242" s="30"/>
      <c r="J5242" s="30"/>
      <c r="K5242" s="30"/>
    </row>
    <row r="5243" customFormat="false" ht="17.15" hidden="false" customHeight="false" outlineLevel="0" collapsed="false">
      <c r="A5243" s="1" t="s">
        <v>939</v>
      </c>
      <c r="B5243" s="1" t="s">
        <v>979</v>
      </c>
      <c r="C5243" s="32" t="str">
        <f aca="false">IF(SUM(Sens!F5234:J5234)&gt;0.05,"需要舉債 "&amp;TEXT(SUM(Sens!F5234:J5234),"0.0")&amp;" 十億美元","不需舉債")&amp;"；"&amp;IF(SUM(Sens!F5233:J5233)&lt;COUNT(Sens!F5233:J5233)*bb_target-0.05,"回購較每年 "&amp;TEXT(bb_target,"0.0")&amp;" 的目標少 "&amp;TEXT(COUNT(Sens!F5233:J5233)*bb_target-SUM(Sens!F5233:J5233),"0.0")&amp;" 十億美元（"&amp;TEXT(COUNTIF(Sens!F5233:J5233,"&lt;"&amp;(bb_target-0.05)),"0")&amp;" 年減少）","回購不減")</f>
        <v>需要舉債 30.5 十億美元；回購較每年 22.3 的目標少 63.6 十億美元（3 年減少）</v>
      </c>
    </row>
    <row r="5244" customFormat="false" ht="17.15" hidden="false" customHeight="false" outlineLevel="0" collapsed="false">
      <c r="A5244" s="3" t="s">
        <v>1396</v>
      </c>
    </row>
    <row r="5245" customFormat="false" ht="15" hidden="false" customHeight="false" outlineLevel="0" collapsed="false">
      <c r="A5245" s="4" t="s">
        <v>43</v>
      </c>
      <c r="B5245" s="4" t="s">
        <v>65</v>
      </c>
      <c r="C5245" s="20" t="s">
        <v>799</v>
      </c>
      <c r="D5245" s="20" t="s">
        <v>800</v>
      </c>
      <c r="E5245" s="20" t="s">
        <v>801</v>
      </c>
      <c r="F5245" s="20" t="s">
        <v>802</v>
      </c>
      <c r="G5245" s="20" t="s">
        <v>803</v>
      </c>
      <c r="H5245" s="20" t="s">
        <v>804</v>
      </c>
      <c r="I5245" s="20" t="s">
        <v>805</v>
      </c>
      <c r="J5245" s="20" t="s">
        <v>806</v>
      </c>
      <c r="K5245" s="20" t="s">
        <v>807</v>
      </c>
      <c r="L5245" s="4" t="s">
        <v>47</v>
      </c>
    </row>
    <row r="5246" customFormat="false" ht="15" hidden="false" customHeight="false" outlineLevel="0" collapsed="false">
      <c r="A5246" s="1" t="s">
        <v>1057</v>
      </c>
      <c r="B5246" s="1" t="s">
        <v>235</v>
      </c>
      <c r="F5246" s="36" t="n">
        <f aca="false">Sens!F5100-base_fy-mid_yr</f>
        <v>0.5</v>
      </c>
      <c r="G5246" s="36" t="n">
        <f aca="false">Sens!G5100-base_fy-mid_yr</f>
        <v>1.5</v>
      </c>
      <c r="H5246" s="36" t="n">
        <f aca="false">Sens!H5100-base_fy-mid_yr</f>
        <v>2.5</v>
      </c>
      <c r="I5246" s="36" t="n">
        <f aca="false">Sens!I5100-base_fy-mid_yr</f>
        <v>3.5</v>
      </c>
      <c r="J5246" s="36" t="n">
        <f aca="false">Sens!J5100-base_fy-mid_yr</f>
        <v>4.5</v>
      </c>
      <c r="K5246" s="36" t="n">
        <f aca="false">Sens!K5100-base_fy-mid_yr</f>
        <v>5.5</v>
      </c>
    </row>
    <row r="5247" customFormat="false" ht="15" hidden="false" customHeight="false" outlineLevel="0" collapsed="false">
      <c r="A5247" s="1" t="s">
        <v>1058</v>
      </c>
      <c r="B5247" s="0" t="s">
        <v>185</v>
      </c>
      <c r="F5247" s="14" t="n">
        <f aca="false">1/(1+wacc)^Sens!F5246</f>
        <v>0.952193373608246</v>
      </c>
      <c r="G5247" s="14" t="n">
        <f aca="false">1/(1+wacc)^Sens!G5246</f>
        <v>0.863327280626589</v>
      </c>
      <c r="H5247" s="14" t="n">
        <f aca="false">1/(1+wacc)^Sens!H5246</f>
        <v>0.782754862754115</v>
      </c>
      <c r="I5247" s="14" t="n">
        <f aca="false">1/(1+wacc)^Sens!I5246</f>
        <v>0.709702089711011</v>
      </c>
      <c r="J5247" s="14" t="n">
        <f aca="false">1/(1+wacc)^Sens!J5246</f>
        <v>0.643467169744551</v>
      </c>
      <c r="K5247" s="14" t="n">
        <f aca="false">1/(1+wacc)^Sens!K5246</f>
        <v>0.583413807767797</v>
      </c>
    </row>
    <row r="5248" customFormat="false" ht="17.15" hidden="false" customHeight="false" outlineLevel="0" collapsed="false">
      <c r="A5248" s="1" t="s">
        <v>1059</v>
      </c>
      <c r="B5248" s="0" t="s">
        <v>98</v>
      </c>
      <c r="F5248" s="6" t="n">
        <f aca="false">Sens!F5221-Sens!F5219-Sens!F5225+Sens!F5204*(1-tax_f)</f>
        <v>-6.58081601716027</v>
      </c>
      <c r="G5248" s="6" t="n">
        <f aca="false">Sens!G5221-Sens!G5219-Sens!G5225+Sens!G5204*(1-tax_f)</f>
        <v>24.3827596953039</v>
      </c>
      <c r="H5248" s="6" t="n">
        <f aca="false">Sens!H5221-Sens!H5219-Sens!H5225+Sens!H5204*(1-tax_f)</f>
        <v>59.3897852414767</v>
      </c>
      <c r="I5248" s="6" t="n">
        <f aca="false">Sens!I5221-Sens!I5219-Sens!I5225+Sens!I5204*(1-tax_f)</f>
        <v>154.732886643452</v>
      </c>
      <c r="J5248" s="6" t="n">
        <f aca="false">Sens!J5221-Sens!J5219-Sens!J5225+Sens!J5204*(1-tax_f)</f>
        <v>208.872945584119</v>
      </c>
      <c r="K5248" s="6" t="n">
        <f aca="false">Sens!K5221-Sens!K5219-Sens!K5225+Sens!K5204*(1-tax_f)</f>
        <v>267.690803323617</v>
      </c>
      <c r="L5248" s="1" t="s">
        <v>1060</v>
      </c>
    </row>
    <row r="5249" customFormat="false" ht="15" hidden="false" customHeight="false" outlineLevel="0" collapsed="false">
      <c r="A5249" s="1" t="s">
        <v>1061</v>
      </c>
      <c r="B5249" s="0" t="s">
        <v>98</v>
      </c>
      <c r="F5249" s="6" t="n">
        <f aca="false">Sens!F5248*Sens!F5247</f>
        <v>-6.26620940447502</v>
      </c>
      <c r="G5249" s="6" t="n">
        <f aca="false">Sens!G5248*Sens!G5247</f>
        <v>21.0503016219183</v>
      </c>
      <c r="H5249" s="6" t="n">
        <f aca="false">Sens!H5248*Sens!H5247</f>
        <v>46.4876431956885</v>
      </c>
      <c r="I5249" s="6" t="n">
        <f aca="false">Sens!I5248*Sens!I5247</f>
        <v>109.814252997875</v>
      </c>
      <c r="J5249" s="6" t="n">
        <f aca="false">Sens!J5248*Sens!J5247</f>
        <v>134.402883131221</v>
      </c>
      <c r="K5249" s="6" t="n">
        <f aca="false">Sens!K5248*Sens!K5247</f>
        <v>156.174510871452</v>
      </c>
    </row>
    <row r="5250" customFormat="false" ht="17.15" hidden="false" customHeight="false" outlineLevel="0" collapsed="false">
      <c r="A5250" s="1" t="s">
        <v>1062</v>
      </c>
      <c r="B5250" s="0" t="s">
        <v>98</v>
      </c>
      <c r="C5250" s="6" t="n">
        <f aca="false">SUM(Sens!F5249:K5249)</f>
        <v>461.663382413679</v>
      </c>
    </row>
    <row r="5251" customFormat="false" ht="17.15" hidden="false" customHeight="false" outlineLevel="0" collapsed="false">
      <c r="A5251" s="1" t="s">
        <v>1063</v>
      </c>
      <c r="B5251" s="0" t="s">
        <v>98</v>
      </c>
      <c r="C5251" s="6" t="n">
        <f aca="false">Sens!K5190*(1+g_tv)*(1-tax_f)</f>
        <v>257.195389938</v>
      </c>
    </row>
    <row r="5252" customFormat="false" ht="17.15" hidden="false" customHeight="false" outlineLevel="0" collapsed="false">
      <c r="A5252" s="1" t="s">
        <v>1064</v>
      </c>
      <c r="B5252" s="0" t="s">
        <v>98</v>
      </c>
      <c r="C5252" s="6" t="n">
        <f aca="false">Sens!$C$5251*(1-g_tv/(wacc+ronic_prem))</f>
        <v>182.236385057241</v>
      </c>
    </row>
    <row r="5253" customFormat="false" ht="17.15" hidden="false" customHeight="false" outlineLevel="0" collapsed="false">
      <c r="A5253" s="1" t="s">
        <v>1065</v>
      </c>
      <c r="B5253" s="0" t="s">
        <v>98</v>
      </c>
      <c r="C5253" s="6" t="n">
        <f aca="false">Sens!$C$5252/(wacc-g_tv)</f>
        <v>2498.63349602531</v>
      </c>
    </row>
    <row r="5254" customFormat="false" ht="15" hidden="false" customHeight="false" outlineLevel="0" collapsed="false">
      <c r="A5254" s="1" t="s">
        <v>1066</v>
      </c>
      <c r="B5254" s="0" t="s">
        <v>98</v>
      </c>
      <c r="C5254" s="6" t="n">
        <f aca="false">Sens!$C$5253/(1+wacc)^(Sens!K5246+mid_yr)</f>
        <v>1388.04778050806</v>
      </c>
    </row>
    <row r="5255" customFormat="false" ht="17.15" hidden="false" customHeight="false" outlineLevel="0" collapsed="false">
      <c r="A5255" s="0" t="s">
        <v>986</v>
      </c>
      <c r="B5255" s="0" t="s">
        <v>98</v>
      </c>
      <c r="C5255" s="6" t="n">
        <f aca="false">Sens!$C$5250+Sens!$C$5254</f>
        <v>1849.71116292174</v>
      </c>
    </row>
    <row r="5256" customFormat="false" ht="15" hidden="false" customHeight="false" outlineLevel="0" collapsed="false">
      <c r="A5256" s="1" t="s">
        <v>987</v>
      </c>
      <c r="B5256" s="0" t="s">
        <v>129</v>
      </c>
      <c r="C5256" s="7" t="n">
        <f aca="false">Sens!$C$5254/Sens!$C$5255</f>
        <v>0.750413258205972</v>
      </c>
    </row>
    <row r="5257" customFormat="false" ht="17.15" hidden="false" customHeight="false" outlineLevel="0" collapsed="false">
      <c r="A5257" s="1" t="s">
        <v>1067</v>
      </c>
      <c r="B5257" s="0" t="s">
        <v>98</v>
      </c>
      <c r="C5257" s="6" t="n">
        <f aca="false">Sens!$C$5255+Sens!E5237-Sens!E5226+oai_v</f>
        <v>1984.22416292174</v>
      </c>
    </row>
    <row r="5258" customFormat="false" ht="17.15" hidden="false" customHeight="false" outlineLevel="0" collapsed="false">
      <c r="A5258" s="0" t="s">
        <v>994</v>
      </c>
      <c r="B5258" s="0" t="s">
        <v>75</v>
      </c>
      <c r="C5258" s="5" t="n">
        <f aca="false">Sens!$C$5257/sh_dil26</f>
        <v>266.231606456694</v>
      </c>
    </row>
    <row r="5259" customFormat="false" ht="15" hidden="false" customHeight="false" outlineLevel="0" collapsed="false">
      <c r="A5259" s="1" t="s">
        <v>1068</v>
      </c>
      <c r="B5259" s="0" t="s">
        <v>75</v>
      </c>
      <c r="C5259" s="8" t="n">
        <f aca="false">dps_27+Sens!G5229*roll_div_q/q_per_yr</f>
        <v>4.8895</v>
      </c>
    </row>
    <row r="5260" customFormat="false" ht="17.15" hidden="false" customHeight="false" outlineLevel="0" collapsed="false">
      <c r="A5260" s="0" t="s">
        <v>1069</v>
      </c>
      <c r="B5260" s="0" t="s">
        <v>75</v>
      </c>
      <c r="C5260" s="5" t="n">
        <f aca="false">Sens!$C$5258*(1+wacc)^t_roll-Sens!$C$5259</f>
        <v>298.277319619314</v>
      </c>
    </row>
    <row r="5261" customFormat="false" ht="17.15" hidden="false" customHeight="false" outlineLevel="0" collapsed="false">
      <c r="A5261" s="1" t="s">
        <v>1070</v>
      </c>
      <c r="B5261" s="0" t="s">
        <v>129</v>
      </c>
      <c r="F5261" s="7" t="n">
        <f aca="false">Sens!F5216/(Sens!F5161-Sens!F5117)</f>
        <v>0.0767954999437843</v>
      </c>
      <c r="G5261" s="7" t="n">
        <f aca="false">Sens!G5216/(Sens!G5161-Sens!G5117)</f>
        <v>0.0728300024199412</v>
      </c>
      <c r="H5261" s="7" t="n">
        <f aca="false">Sens!H5216/(Sens!H5161-Sens!H5117)</f>
        <v>0.0703927400567708</v>
      </c>
      <c r="I5261" s="7" t="n">
        <f aca="false">Sens!I5216/(Sens!I5161-Sens!I5117)</f>
        <v>0.0692784423185867</v>
      </c>
      <c r="J5261" s="7" t="n">
        <f aca="false">Sens!J5216/(Sens!J5161-Sens!J5117)</f>
        <v>0.0692127789090487</v>
      </c>
      <c r="K5261" s="7" t="n">
        <f aca="false">Sens!K5216/(Sens!K5161-Sens!K5117)</f>
        <v>0.0699090899218623</v>
      </c>
    </row>
    <row r="5262" customFormat="false" ht="17.15" hidden="false" customHeight="false" outlineLevel="0" collapsed="false">
      <c r="A5262" s="0" t="s">
        <v>1071</v>
      </c>
      <c r="B5262" s="0" t="s">
        <v>98</v>
      </c>
      <c r="F5262" s="6" t="n">
        <f aca="false">Sens!F5146*(al_m365+Sens!F5261+sbc_r)</f>
        <v>83.8390708153944</v>
      </c>
      <c r="G5262" s="6" t="n">
        <f aca="false">Sens!G5146*(al_m365+Sens!G5261+sbc_r)</f>
        <v>94.1345369716213</v>
      </c>
      <c r="H5262" s="6" t="n">
        <f aca="false">Sens!H5146*(al_m365+Sens!H5261+sbc_r)</f>
        <v>104.593168744952</v>
      </c>
      <c r="I5262" s="6" t="n">
        <f aca="false">Sens!I5146*(al_m365+Sens!I5261+sbc_r)</f>
        <v>114.538465973008</v>
      </c>
      <c r="J5262" s="6" t="n">
        <f aca="false">Sens!J5146*(al_m365+Sens!J5261+sbc_r)</f>
        <v>123.78328582386</v>
      </c>
      <c r="K5262" s="6" t="n">
        <f aca="false">Sens!K5146*(al_m365+Sens!K5261+sbc_r)</f>
        <v>132.636987755173</v>
      </c>
      <c r="L5262" s="11" t="s">
        <v>1072</v>
      </c>
    </row>
    <row r="5263" customFormat="false" ht="17.15" hidden="false" customHeight="false" outlineLevel="0" collapsed="false">
      <c r="A5263" s="0" t="s">
        <v>1073</v>
      </c>
      <c r="B5263" s="0" t="s">
        <v>98</v>
      </c>
      <c r="F5263" s="6" t="n">
        <f aca="false">Sens!F5147*(al_lic+Sens!F5261+sbc_r)</f>
        <v>33.7652382803345</v>
      </c>
      <c r="G5263" s="6" t="n">
        <f aca="false">Sens!G5147*(al_lic+Sens!G5261+sbc_r)</f>
        <v>35.0335021413519</v>
      </c>
      <c r="H5263" s="6" t="n">
        <f aca="false">Sens!H5147*(al_lic+Sens!H5261+sbc_r)</f>
        <v>36.2183611700587</v>
      </c>
      <c r="I5263" s="6" t="n">
        <f aca="false">Sens!I5147*(al_lic+Sens!I5261+sbc_r)</f>
        <v>37.2988488252427</v>
      </c>
      <c r="J5263" s="6" t="n">
        <f aca="false">Sens!J5147*(al_lic+Sens!J5261+sbc_r)</f>
        <v>38.2502477274197</v>
      </c>
      <c r="K5263" s="6" t="n">
        <f aca="false">Sens!K5147*(al_lic+Sens!K5261+sbc_r)</f>
        <v>39.046967481299</v>
      </c>
    </row>
    <row r="5264" customFormat="false" ht="17.15" hidden="false" customHeight="false" outlineLevel="0" collapsed="false">
      <c r="A5264" s="0" t="s">
        <v>1074</v>
      </c>
      <c r="B5264" s="0" t="s">
        <v>98</v>
      </c>
      <c r="F5264" s="6" t="n">
        <f aca="false">Sens!F5149*(al_ind+Sens!F5261+sbc_r)</f>
        <v>9.25987072495755</v>
      </c>
      <c r="G5264" s="6" t="n">
        <f aca="false">Sens!G5149*(al_ind+Sens!G5261+sbc_r)</f>
        <v>10.0252725987505</v>
      </c>
      <c r="H5264" s="6" t="n">
        <f aca="false">Sens!H5149*(al_ind+Sens!H5261+sbc_r)</f>
        <v>10.8361420868397</v>
      </c>
      <c r="I5264" s="6" t="n">
        <f aca="false">Sens!I5149*(al_ind+Sens!I5261+sbc_r)</f>
        <v>11.6879328303124</v>
      </c>
      <c r="J5264" s="6" t="n">
        <f aca="false">Sens!J5149*(al_ind+Sens!J5261+sbc_r)</f>
        <v>12.5716255863525</v>
      </c>
      <c r="K5264" s="6" t="n">
        <f aca="false">Sens!K5149*(al_ind+Sens!K5261+sbc_r)</f>
        <v>13.4746758540621</v>
      </c>
    </row>
    <row r="5265" customFormat="false" ht="17.15" hidden="false" customHeight="false" outlineLevel="0" collapsed="false">
      <c r="A5265" s="0" t="s">
        <v>1075</v>
      </c>
      <c r="B5265" s="0" t="s">
        <v>98</v>
      </c>
      <c r="F5265" s="6" t="n">
        <f aca="false">Sens!F5151*(al_fro+Sens!F5261+sbc_r)</f>
        <v>3.64471762690607</v>
      </c>
      <c r="G5265" s="6" t="n">
        <f aca="false">Sens!G5151*(al_fro+Sens!G5261+sbc_r)</f>
        <v>3.8491119670277</v>
      </c>
      <c r="H5265" s="6" t="n">
        <f aca="false">Sens!H5151*(al_fro+Sens!H5261+sbc_r)</f>
        <v>4.08342923295774</v>
      </c>
      <c r="I5265" s="6" t="n">
        <f aca="false">Sens!I5151*(al_fro+Sens!I5261+sbc_r)</f>
        <v>4.34977290636086</v>
      </c>
      <c r="J5265" s="6" t="n">
        <f aca="false">Sens!J5151*(al_fro+Sens!J5261+sbc_r)</f>
        <v>4.649470268508</v>
      </c>
      <c r="K5265" s="6" t="n">
        <f aca="false">Sens!K5151*(al_fro+Sens!K5261+sbc_r)</f>
        <v>4.98345296166441</v>
      </c>
    </row>
    <row r="5266" customFormat="false" ht="17.15" hidden="false" customHeight="false" outlineLevel="0" collapsed="false">
      <c r="A5266" s="0" t="s">
        <v>1076</v>
      </c>
      <c r="B5266" s="0" t="s">
        <v>98</v>
      </c>
      <c r="F5266" s="6" t="n">
        <f aca="false">Sens!F5154*(al_srch+Sens!F5261+sbc_r)</f>
        <v>11.4360741324159</v>
      </c>
      <c r="G5266" s="6" t="n">
        <f aca="false">Sens!G5154*(al_srch+Sens!G5261+sbc_r)</f>
        <v>12.4981794168221</v>
      </c>
      <c r="H5266" s="6" t="n">
        <f aca="false">Sens!H5154*(al_srch+Sens!H5261+sbc_r)</f>
        <v>13.6051695901793</v>
      </c>
      <c r="I5266" s="6" t="n">
        <f aca="false">Sens!I5154*(al_srch+Sens!I5261+sbc_r)</f>
        <v>14.744594243673</v>
      </c>
      <c r="J5266" s="6" t="n">
        <f aca="false">Sens!J5154*(al_srch+Sens!J5261+sbc_r)</f>
        <v>15.8974058194957</v>
      </c>
      <c r="K5266" s="6" t="n">
        <f aca="false">Sens!K5154*(al_srch+Sens!K5261+sbc_r)</f>
        <v>17.0393549240545</v>
      </c>
    </row>
    <row r="5267" customFormat="false" ht="17.15" hidden="false" customHeight="false" outlineLevel="0" collapsed="false">
      <c r="A5267" s="0" t="s">
        <v>1077</v>
      </c>
      <c r="B5267" s="0" t="s">
        <v>98</v>
      </c>
      <c r="F5267" s="6" t="n">
        <f aca="false">Sens!F5123-Sens!F5124+Sens!F5204</f>
        <v>38.7267736414121</v>
      </c>
      <c r="G5267" s="6" t="n">
        <f aca="false">Sens!G5123-Sens!G5124+Sens!G5204</f>
        <v>68.0436649253746</v>
      </c>
      <c r="H5267" s="6" t="n">
        <f aca="false">Sens!H5123-Sens!H5124+Sens!H5204</f>
        <v>94.5034575266641</v>
      </c>
      <c r="I5267" s="6" t="n">
        <f aca="false">Sens!I5123-Sens!I5124+Sens!I5204</f>
        <v>123.377455997303</v>
      </c>
      <c r="J5267" s="6" t="n">
        <f aca="false">Sens!J5123-Sens!J5124+Sens!J5204</f>
        <v>144.152769577682</v>
      </c>
      <c r="K5267" s="6" t="n">
        <f aca="false">Sens!K5123-Sens!K5124+Sens!K5204</f>
        <v>156.008875348896</v>
      </c>
    </row>
    <row r="5268" customFormat="false" ht="17.15" hidden="false" customHeight="false" outlineLevel="0" collapsed="false">
      <c r="A5268" s="0" t="s">
        <v>1078</v>
      </c>
      <c r="B5268" s="0" t="s">
        <v>98</v>
      </c>
      <c r="F5268" s="6" t="n">
        <f aca="false">Sens!F5183+Sens!F5204+Sens!F5134+Sens!F5261*(Sens!F5153-Sens!F5117)+sbc_r*Sens!F5153</f>
        <v>227.553820181456</v>
      </c>
      <c r="G5268" s="6" t="n">
        <f aca="false">Sens!G5183+Sens!G5204+Sens!G5134+Sens!G5261*(Sens!G5153-Sens!G5117)+sbc_r*Sens!G5153</f>
        <v>281.251417554648</v>
      </c>
      <c r="H5268" s="6" t="n">
        <f aca="false">Sens!H5183+Sens!H5204+Sens!H5134+Sens!H5261*(Sens!H5153-Sens!H5117)+sbc_r*Sens!H5153</f>
        <v>332.366860605854</v>
      </c>
      <c r="I5268" s="6" t="n">
        <f aca="false">Sens!I5183+Sens!I5204+Sens!I5134+Sens!I5261*(Sens!I5153-Sens!I5117)+sbc_r*Sens!I5153</f>
        <v>385.265595105789</v>
      </c>
      <c r="J5268" s="6" t="n">
        <f aca="false">Sens!J5183+Sens!J5204+Sens!J5134+Sens!J5261*(Sens!J5153-Sens!J5117)+sbc_r*Sens!J5153</f>
        <v>428.223728117812</v>
      </c>
      <c r="K5268" s="6" t="n">
        <f aca="false">Sens!K5183+Sens!K5204+Sens!K5134+Sens!K5261*(Sens!K5153-Sens!K5117)+sbc_r*Sens!K5153</f>
        <v>459.978034754241</v>
      </c>
    </row>
    <row r="5269" customFormat="false" ht="17.15" hidden="false" customHeight="false" outlineLevel="0" collapsed="false">
      <c r="A5269" s="0" t="s">
        <v>1079</v>
      </c>
      <c r="B5269" s="0" t="s">
        <v>98</v>
      </c>
      <c r="F5269" s="6" t="n">
        <f aca="false">Sens!F5268-Sens!F5262-Sens!F5263-Sens!F5264-Sens!F5265-Sens!F5267</f>
        <v>58.3181490924514</v>
      </c>
      <c r="G5269" s="6" t="n">
        <f aca="false">Sens!G5268-Sens!G5262-Sens!G5263-Sens!G5264-Sens!G5265-Sens!G5267</f>
        <v>70.165328950522</v>
      </c>
      <c r="H5269" s="6" t="n">
        <f aca="false">Sens!H5268-Sens!H5262-Sens!H5263-Sens!H5264-Sens!H5265-Sens!H5267</f>
        <v>82.132301844382</v>
      </c>
      <c r="I5269" s="6" t="n">
        <f aca="false">Sens!I5268-Sens!I5262-Sens!I5263-Sens!I5264-Sens!I5265-Sens!I5267</f>
        <v>94.013118573562</v>
      </c>
      <c r="J5269" s="6" t="n">
        <f aca="false">Sens!J5268-Sens!J5262-Sens!J5263-Sens!J5264-Sens!J5265-Sens!J5267</f>
        <v>104.81632913399</v>
      </c>
      <c r="K5269" s="6" t="n">
        <f aca="false">Sens!K5268-Sens!K5262-Sens!K5263-Sens!K5264-Sens!K5265-Sens!K5267</f>
        <v>113.827075353146</v>
      </c>
    </row>
    <row r="5270" customFormat="false" ht="17.15" hidden="false" customHeight="false" outlineLevel="0" collapsed="false">
      <c r="A5270" s="0" t="s">
        <v>1080</v>
      </c>
      <c r="B5270" s="0" t="s">
        <v>98</v>
      </c>
      <c r="F5270" s="6" t="n">
        <f aca="false">Sens!F5185+Sens!F5261*Sens!F5160+sbc_r*Sens!F5160</f>
        <v>26.7331924149129</v>
      </c>
      <c r="G5270" s="6" t="n">
        <f aca="false">Sens!G5185+Sens!G5261*Sens!G5160+sbc_r*Sens!G5160</f>
        <v>27.2811244407781</v>
      </c>
      <c r="H5270" s="6" t="n">
        <f aca="false">Sens!H5185+Sens!H5261*Sens!H5160+sbc_r*Sens!H5160</f>
        <v>28.1078646425675</v>
      </c>
      <c r="I5270" s="6" t="n">
        <f aca="false">Sens!I5185+Sens!I5261*Sens!I5160+sbc_r*Sens!I5160</f>
        <v>29.1771074297499</v>
      </c>
      <c r="J5270" s="6" t="n">
        <f aca="false">Sens!J5185+Sens!J5261*Sens!J5160+sbc_r*Sens!J5160</f>
        <v>30.4537057657237</v>
      </c>
      <c r="K5270" s="6" t="n">
        <f aca="false">Sens!K5185+Sens!K5261*Sens!K5160+sbc_r*Sens!K5160</f>
        <v>31.9052952211376</v>
      </c>
    </row>
    <row r="5271" customFormat="false" ht="17.15" hidden="false" customHeight="false" outlineLevel="0" collapsed="false">
      <c r="A5271" s="0" t="s">
        <v>1081</v>
      </c>
      <c r="B5271" s="0" t="s">
        <v>98</v>
      </c>
      <c r="F5271" s="6" t="n">
        <f aca="false">(Sens!F5270-Sens!F5266)*Sens!F5156/(Sens!F5156+Sens!F5158)</f>
        <v>8.38573125069167</v>
      </c>
      <c r="G5271" s="6" t="n">
        <f aca="false">(Sens!G5270-Sens!G5266)*Sens!G5156/(Sens!G5156+Sens!G5158)</f>
        <v>7.95937504834025</v>
      </c>
      <c r="H5271" s="6" t="n">
        <f aca="false">(Sens!H5270-Sens!H5266)*Sens!H5156/(Sens!H5156+Sens!H5158)</f>
        <v>7.70300439332689</v>
      </c>
      <c r="I5271" s="6" t="n">
        <f aca="false">(Sens!I5270-Sens!I5266)*Sens!I5156/(Sens!I5156+Sens!I5158)</f>
        <v>7.59636818639988</v>
      </c>
      <c r="J5271" s="6" t="n">
        <f aca="false">(Sens!J5270-Sens!J5266)*Sens!J5156/(Sens!J5156+Sens!J5158)</f>
        <v>7.62687664105287</v>
      </c>
      <c r="K5271" s="6" t="n">
        <f aca="false">(Sens!K5270-Sens!K5266)*Sens!K5156/(Sens!K5156+Sens!K5158)</f>
        <v>7.78911489993648</v>
      </c>
    </row>
    <row r="5272" customFormat="false" ht="17.15" hidden="false" customHeight="false" outlineLevel="0" collapsed="false">
      <c r="A5272" s="0" t="s">
        <v>1082</v>
      </c>
      <c r="B5272" s="0" t="s">
        <v>98</v>
      </c>
      <c r="F5272" s="6" t="n">
        <f aca="false">Sens!F5270-Sens!F5266-Sens!F5271</f>
        <v>6.91138703180532</v>
      </c>
      <c r="G5272" s="6" t="n">
        <f aca="false">Sens!G5270-Sens!G5266-Sens!G5271</f>
        <v>6.82356997561578</v>
      </c>
      <c r="H5272" s="6" t="n">
        <f aca="false">Sens!H5270-Sens!H5266-Sens!H5271</f>
        <v>6.79969065906127</v>
      </c>
      <c r="I5272" s="6" t="n">
        <f aca="false">Sens!I5270-Sens!I5266-Sens!I5271</f>
        <v>6.83614499967708</v>
      </c>
      <c r="J5272" s="6" t="n">
        <f aca="false">Sens!J5270-Sens!J5266-Sens!J5271</f>
        <v>6.92942330517517</v>
      </c>
      <c r="K5272" s="6" t="n">
        <f aca="false">Sens!K5270-Sens!K5266-Sens!K5271</f>
        <v>7.0768253971466</v>
      </c>
    </row>
    <row r="5273" customFormat="false" ht="17.15" hidden="false" customHeight="false" outlineLevel="0" collapsed="false">
      <c r="A5273" s="0" t="s">
        <v>1083</v>
      </c>
      <c r="B5273" s="0" t="s">
        <v>98</v>
      </c>
      <c r="F5273" s="6" t="n">
        <f aca="false">Sens!F5267-tax_f*(Sens!F5267-Sens!F5134)-Sens!F5131</f>
        <v>-123.444456547316</v>
      </c>
      <c r="G5273" s="6" t="n">
        <f aca="false">Sens!G5267-tax_f*(Sens!G5267-Sens!G5134)-Sens!G5131</f>
        <v>-118.889704443956</v>
      </c>
      <c r="H5273" s="6" t="n">
        <f aca="false">Sens!H5267-tax_f*(Sens!H5267-Sens!H5134)-Sens!H5131</f>
        <v>-97.5132764302153</v>
      </c>
      <c r="I5273" s="6" t="n">
        <f aca="false">Sens!I5267-tax_f*(Sens!I5267-Sens!I5134)-Sens!I5131</f>
        <v>-15.6968095894546</v>
      </c>
      <c r="J5273" s="6" t="n">
        <f aca="false">Sens!J5267-tax_f*(Sens!J5267-Sens!J5134)-Sens!J5131</f>
        <v>25.4691515427535</v>
      </c>
      <c r="K5273" s="6" t="n">
        <f aca="false">Sens!K5267-tax_f*(Sens!K5267-Sens!K5134)-Sens!K5131</f>
        <v>72.0706583751398</v>
      </c>
    </row>
    <row r="5274" customFormat="false" ht="17.15" hidden="false" customHeight="false" outlineLevel="0" collapsed="false">
      <c r="A5274" s="0" t="s">
        <v>1084</v>
      </c>
      <c r="B5274" s="0" t="s">
        <v>98</v>
      </c>
      <c r="G5274" s="6" t="n">
        <f aca="false">Sens!G5273/(1+wacc)^(Sens!G5246-(Sens!F5246+mid_yr))</f>
        <v>-113.205988761777</v>
      </c>
      <c r="H5274" s="6" t="n">
        <f aca="false">Sens!H5273/(1+wacc)^(Sens!H5246-(Sens!F5246+mid_yr))</f>
        <v>-84.1858717654866</v>
      </c>
      <c r="I5274" s="6" t="n">
        <f aca="false">Sens!I5273/(1+wacc)^(Sens!I5246-(Sens!F5246+mid_yr))</f>
        <v>-12.286754035871</v>
      </c>
      <c r="J5274" s="6" t="n">
        <f aca="false">Sens!J5273/(1+wacc)^(Sens!J5246-(Sens!F5246+mid_yr))</f>
        <v>18.0755100730586</v>
      </c>
      <c r="K5274" s="6" t="n">
        <f aca="false">Sens!K5273/(1+wacc)^(Sens!K5246-(Sens!F5246+mid_yr))</f>
        <v>46.3751025662777</v>
      </c>
      <c r="L5274" s="1" t="s">
        <v>1085</v>
      </c>
    </row>
    <row r="5275" customFormat="false" ht="17.15" hidden="false" customHeight="false" outlineLevel="0" collapsed="false">
      <c r="A5275" s="0" t="s">
        <v>1086</v>
      </c>
      <c r="B5275" s="0" t="s">
        <v>98</v>
      </c>
      <c r="C5275" s="6" t="n">
        <f aca="false">(Sens!K5267-Sens!K5134)*(1-tax_f)*(1+g_tv)*(1-g_tv/(wacc+ronic_prem))/(wacc-g_tv)/(1+wacc)^(Sens!K5246+mid_yr-(Sens!F5246+mid_yr))</f>
        <v>186.62757225095</v>
      </c>
    </row>
    <row r="5276" customFormat="false" ht="17.15" hidden="false" customHeight="false" outlineLevel="0" collapsed="false">
      <c r="A5276" s="1" t="s">
        <v>1087</v>
      </c>
      <c r="B5276" s="0" t="s">
        <v>98</v>
      </c>
      <c r="C5276" s="6" t="n">
        <f aca="false">(SUM(Sens!G5274:K5274)+Sens!$C$5275)*(1+wacc)^(t_roll-(Sens!F5246+mid_yr))</f>
        <v>42.7433147290629</v>
      </c>
      <c r="L5276" s="11" t="s">
        <v>1088</v>
      </c>
    </row>
    <row r="5277" customFormat="false" ht="17.15" hidden="false" customHeight="false" outlineLevel="0" collapsed="false">
      <c r="A5277" s="1" t="s">
        <v>1089</v>
      </c>
      <c r="B5277" s="0" t="s">
        <v>98</v>
      </c>
      <c r="C5277" s="6" t="n">
        <f aca="false">(w_ntm28*Sens!G5123+(1-w_ntm28)*Sens!H5123)*m_ai</f>
        <v>338.776008390068</v>
      </c>
    </row>
    <row r="5278" customFormat="false" ht="17.15" hidden="false" customHeight="false" outlineLevel="0" collapsed="false">
      <c r="A5278" s="1" t="s">
        <v>1090</v>
      </c>
      <c r="B5278" s="0" t="s">
        <v>98</v>
      </c>
      <c r="C5278" s="6" t="n">
        <f aca="false">(w_ntm28*Sens!G5269+(1-w_ntm28)*Sens!H5269)*m_cloud</f>
        <v>1023.15131381235</v>
      </c>
    </row>
    <row r="5279" customFormat="false" ht="17.15" hidden="false" customHeight="false" outlineLevel="0" collapsed="false">
      <c r="A5279" s="1" t="s">
        <v>1091</v>
      </c>
      <c r="B5279" s="0" t="s">
        <v>98</v>
      </c>
      <c r="C5279" s="6" t="n">
        <f aca="false">(w_ntm28*Sens!G5262+(1-w_ntm28)*Sens!H5262)*m_sw</f>
        <v>1053.16938376456</v>
      </c>
    </row>
    <row r="5280" customFormat="false" ht="17.15" hidden="false" customHeight="false" outlineLevel="0" collapsed="false">
      <c r="A5280" s="1" t="s">
        <v>1092</v>
      </c>
      <c r="B5280" s="0" t="s">
        <v>98</v>
      </c>
      <c r="C5280" s="6" t="n">
        <f aca="false">(w_ntm28*Sens!G5263+(1-w_ntm28)*Sens!H5263)*m_sw</f>
        <v>382.498766540803</v>
      </c>
    </row>
    <row r="5281" customFormat="false" ht="17.15" hidden="false" customHeight="false" outlineLevel="0" collapsed="false">
      <c r="A5281" s="1" t="s">
        <v>1093</v>
      </c>
      <c r="B5281" s="0" t="s">
        <v>98</v>
      </c>
      <c r="C5281" s="6" t="n">
        <f aca="false">(w_ntm28*Sens!G5264+(1-w_ntm28)*Sens!H5264)*m_sw</f>
        <v>111.10410043807</v>
      </c>
    </row>
    <row r="5282" customFormat="false" ht="17.15" hidden="false" customHeight="false" outlineLevel="0" collapsed="false">
      <c r="A5282" s="1" t="s">
        <v>1094</v>
      </c>
      <c r="B5282" s="0" t="s">
        <v>98</v>
      </c>
      <c r="C5282" s="6" t="n">
        <f aca="false">(w_ntm28*Sens!G5265+(1-w_ntm28)*Sens!H5265)*m_sw</f>
        <v>42.3885295828067</v>
      </c>
    </row>
    <row r="5283" customFormat="false" ht="17.15" hidden="false" customHeight="false" outlineLevel="0" collapsed="false">
      <c r="A5283" s="1" t="s">
        <v>1095</v>
      </c>
      <c r="B5283" s="0" t="s">
        <v>98</v>
      </c>
      <c r="C5283" s="6" t="n">
        <f aca="false">(w_ntm28*Sens!G5266+(1-w_ntm28)*Sens!H5266)*m_ads</f>
        <v>117.118667354525</v>
      </c>
    </row>
    <row r="5284" customFormat="false" ht="17.15" hidden="false" customHeight="false" outlineLevel="0" collapsed="false">
      <c r="A5284" s="1" t="s">
        <v>1096</v>
      </c>
      <c r="B5284" s="0" t="s">
        <v>98</v>
      </c>
      <c r="C5284" s="6" t="n">
        <f aca="false">(w_ntm28*Sens!G5271+(1-w_ntm28)*Sens!H5271)*m_game</f>
        <v>99.4801138687767</v>
      </c>
    </row>
    <row r="5285" customFormat="false" ht="17.15" hidden="false" customHeight="false" outlineLevel="0" collapsed="false">
      <c r="A5285" s="1" t="s">
        <v>1097</v>
      </c>
      <c r="B5285" s="0" t="s">
        <v>98</v>
      </c>
      <c r="C5285" s="6" t="n">
        <f aca="false">(w_ntm28*Sens!G5272+(1-w_ntm28)*Sens!H5272)*m_pc</f>
        <v>98.6253507585462</v>
      </c>
    </row>
    <row r="5286" customFormat="false" ht="17.15" hidden="false" customHeight="false" outlineLevel="0" collapsed="false">
      <c r="A5286" s="1" t="s">
        <v>1098</v>
      </c>
      <c r="B5286" s="0" t="s">
        <v>98</v>
      </c>
      <c r="C5286" s="6" t="n">
        <f aca="false">Sens!$C$5276+Sens!$C$5278+Sens!$C$5279+Sens!$C$5280+Sens!$C$5281+Sens!$C$5282+Sens!$C$5283+Sens!$C$5284+Sens!$C$5285</f>
        <v>2970.2795408495</v>
      </c>
    </row>
    <row r="5287" customFormat="false" ht="17.15" hidden="false" customHeight="false" outlineLevel="0" collapsed="false">
      <c r="A5287" s="1" t="s">
        <v>1099</v>
      </c>
      <c r="B5287" s="0" t="s">
        <v>98</v>
      </c>
      <c r="C5287" s="6" t="n">
        <f aca="false">(Sens!G5248-Sens!G5273)*t_stub</f>
        <v>46.7107485823887</v>
      </c>
      <c r="L5287" s="1" t="s">
        <v>1100</v>
      </c>
    </row>
    <row r="5288" customFormat="false" ht="17.15" hidden="false" customHeight="false" outlineLevel="0" collapsed="false">
      <c r="A5288" s="1" t="s">
        <v>1014</v>
      </c>
      <c r="B5288" s="0" t="s">
        <v>98</v>
      </c>
      <c r="C5288" s="6" t="n">
        <f aca="false">Sens!F5237+oai_v-Sens!F5226+Sens!$C$5287</f>
        <v>152.597330574167</v>
      </c>
      <c r="L5288" s="1" t="s">
        <v>1101</v>
      </c>
    </row>
    <row r="5289" customFormat="false" ht="17.15" hidden="false" customHeight="false" outlineLevel="0" collapsed="false">
      <c r="A5289" s="1" t="s">
        <v>1102</v>
      </c>
      <c r="B5289" s="0" t="s">
        <v>75</v>
      </c>
      <c r="C5289" s="5" t="n">
        <f aca="false">(Sens!$C$5286+Sens!$C$5288)/(Sens!F5239+dil_gap)-Sens!G5229*roll_div_q/q_per_yr</f>
        <v>415.566272601877</v>
      </c>
      <c r="L5289" s="1" t="s">
        <v>1103</v>
      </c>
    </row>
    <row r="5290" customFormat="false" ht="17.15" hidden="false" customHeight="false" outlineLevel="0" collapsed="false">
      <c r="A5290" s="1" t="s">
        <v>1104</v>
      </c>
      <c r="B5290" s="0" t="s">
        <v>75</v>
      </c>
      <c r="C5290" s="5" t="n">
        <f aca="false">w_dcf*Sens!$C$5260+(1-w_dcf)*Sens!$C$5289</f>
        <v>356.921796110596</v>
      </c>
    </row>
    <row r="5291" customFormat="false" ht="17.15" hidden="false" customHeight="false" outlineLevel="0" collapsed="false">
      <c r="A5291" s="3" t="s">
        <v>1397</v>
      </c>
    </row>
    <row r="5292" customFormat="false" ht="15" hidden="false" customHeight="false" outlineLevel="0" collapsed="false">
      <c r="A5292" s="4" t="s">
        <v>43</v>
      </c>
      <c r="B5292" s="4" t="s">
        <v>65</v>
      </c>
      <c r="C5292" s="20" t="s">
        <v>799</v>
      </c>
      <c r="D5292" s="20" t="s">
        <v>800</v>
      </c>
      <c r="E5292" s="20" t="s">
        <v>801</v>
      </c>
      <c r="F5292" s="20" t="s">
        <v>802</v>
      </c>
      <c r="G5292" s="20" t="s">
        <v>803</v>
      </c>
      <c r="H5292" s="20" t="s">
        <v>804</v>
      </c>
      <c r="I5292" s="20" t="s">
        <v>805</v>
      </c>
      <c r="J5292" s="20" t="s">
        <v>806</v>
      </c>
      <c r="K5292" s="20" t="s">
        <v>807</v>
      </c>
      <c r="L5292" s="4" t="s">
        <v>47</v>
      </c>
    </row>
    <row r="5293" customFormat="false" ht="17.15" hidden="false" customHeight="false" outlineLevel="0" collapsed="false">
      <c r="A5293" s="1" t="s">
        <v>808</v>
      </c>
      <c r="B5293" s="1" t="s">
        <v>235</v>
      </c>
      <c r="C5293" s="28" t="n">
        <v>2024</v>
      </c>
      <c r="D5293" s="28" t="n">
        <v>2025</v>
      </c>
      <c r="E5293" s="28" t="n">
        <v>2026</v>
      </c>
      <c r="F5293" s="28" t="n">
        <v>2027</v>
      </c>
      <c r="G5293" s="28" t="n">
        <v>2028</v>
      </c>
      <c r="H5293" s="28" t="n">
        <v>2029</v>
      </c>
      <c r="I5293" s="28" t="n">
        <v>2030</v>
      </c>
      <c r="J5293" s="28" t="n">
        <v>2031</v>
      </c>
      <c r="K5293" s="28" t="n">
        <v>2032</v>
      </c>
    </row>
    <row r="5294" customFormat="false" ht="17.15" hidden="false" customHeight="false" outlineLevel="0" collapsed="false">
      <c r="A5294" s="1" t="s">
        <v>809</v>
      </c>
      <c r="B5294" s="0" t="s">
        <v>399</v>
      </c>
      <c r="F5294" s="29" t="n">
        <f aca="false">pace</f>
        <v>2527.2</v>
      </c>
      <c r="G5294" s="29" t="n">
        <f aca="false">pace</f>
        <v>2527.2</v>
      </c>
      <c r="H5294" s="29" t="n">
        <f aca="false">pace</f>
        <v>2527.2</v>
      </c>
      <c r="I5294" s="29" t="n">
        <f aca="false">pace+(g_tv*Sens!H5295-pace)*MIN(1,(Sens!I5293-pace_y0)/(pace_y1-pace_y0))</f>
        <v>1793.116</v>
      </c>
      <c r="J5294" s="29" t="n">
        <f aca="false">pace+(g_tv*Sens!I5295-pace)*MIN(1,(Sens!J5293-pace_y0)/(pace_y1-pace_y0))</f>
        <v>1094.89432</v>
      </c>
      <c r="K5294" s="29" t="n">
        <f aca="false">pace+(g_tv*Sens!J5295-pace)*MIN(1,(Sens!K5293-pace_y0)/(pace_y1-pace_y0))</f>
        <v>411.5883096</v>
      </c>
      <c r="L5294" s="11" t="s">
        <v>810</v>
      </c>
    </row>
    <row r="5295" customFormat="false" ht="17.15" hidden="false" customHeight="false" outlineLevel="0" collapsed="false">
      <c r="A5295" s="1" t="s">
        <v>811</v>
      </c>
      <c r="B5295" s="0" t="s">
        <v>399</v>
      </c>
      <c r="C5295" s="29" t="n">
        <f aca="false">mw_ext_24</f>
        <v>640</v>
      </c>
      <c r="D5295" s="29" t="n">
        <f aca="false">mw_ext_25</f>
        <v>1630</v>
      </c>
      <c r="E5295" s="29" t="n">
        <f aca="false">mw_ext_26</f>
        <v>3250</v>
      </c>
      <c r="F5295" s="29" t="n">
        <f aca="false">Sens!E5295+Sens!F5294</f>
        <v>5777.2</v>
      </c>
      <c r="G5295" s="29" t="n">
        <f aca="false">Sens!F5295+Sens!G5294</f>
        <v>8304.4</v>
      </c>
      <c r="H5295" s="29" t="n">
        <f aca="false">Sens!G5295+Sens!H5294</f>
        <v>10831.6</v>
      </c>
      <c r="I5295" s="29" t="n">
        <f aca="false">Sens!H5295+Sens!I5294</f>
        <v>12624.716</v>
      </c>
      <c r="J5295" s="29" t="n">
        <f aca="false">Sens!I5295+Sens!J5294</f>
        <v>13719.61032</v>
      </c>
      <c r="K5295" s="29" t="n">
        <f aca="false">Sens!J5295+Sens!K5294</f>
        <v>14131.1986296</v>
      </c>
      <c r="L5295" s="1" t="s">
        <v>812</v>
      </c>
    </row>
    <row r="5296" customFormat="false" ht="17.15" hidden="false" customHeight="false" outlineLevel="0" collapsed="false">
      <c r="A5296" s="1" t="s">
        <v>813</v>
      </c>
      <c r="B5296" s="0" t="s">
        <v>399</v>
      </c>
      <c r="C5296" s="29" t="n">
        <f aca="false">rent_ext_24</f>
        <v>150</v>
      </c>
      <c r="D5296" s="29" t="n">
        <f aca="false">rent_ext_25</f>
        <v>400</v>
      </c>
      <c r="E5296" s="29" t="n">
        <f aca="false">rent_ext_26</f>
        <v>550</v>
      </c>
      <c r="F5296" s="29" t="n">
        <f aca="false">rent_ext_f</f>
        <v>756</v>
      </c>
      <c r="G5296" s="29" t="n">
        <f aca="false">rent_ext_f</f>
        <v>756</v>
      </c>
      <c r="H5296" s="29" t="n">
        <f aca="false">rent_ext_f</f>
        <v>756</v>
      </c>
      <c r="I5296" s="29" t="n">
        <f aca="false">rent_ext_f</f>
        <v>756</v>
      </c>
      <c r="J5296" s="29" t="n">
        <f aca="false">rent_ext_f</f>
        <v>756</v>
      </c>
      <c r="K5296" s="29" t="n">
        <f aca="false">rent_ext_f</f>
        <v>756</v>
      </c>
      <c r="L5296" s="1" t="s">
        <v>814</v>
      </c>
    </row>
    <row r="5297" customFormat="false" ht="17.15" hidden="false" customHeight="false" outlineLevel="0" collapsed="false">
      <c r="A5297" s="1" t="s">
        <v>815</v>
      </c>
      <c r="B5297" s="0" t="s">
        <v>399</v>
      </c>
      <c r="C5297" s="29" t="n">
        <f aca="false">Sens!C5295-Sens!C5296</f>
        <v>490</v>
      </c>
      <c r="D5297" s="29" t="n">
        <f aca="false">Sens!D5295-Sens!D5296</f>
        <v>1230</v>
      </c>
      <c r="E5297" s="29" t="n">
        <f aca="false">Sens!E5295-Sens!E5296</f>
        <v>2700</v>
      </c>
      <c r="F5297" s="29" t="n">
        <f aca="false">Sens!F5295-Sens!F5296</f>
        <v>5021.2</v>
      </c>
      <c r="G5297" s="29" t="n">
        <f aca="false">Sens!G5295-Sens!G5296</f>
        <v>7548.4</v>
      </c>
      <c r="H5297" s="29" t="n">
        <f aca="false">Sens!H5295-Sens!H5296</f>
        <v>10075.6</v>
      </c>
      <c r="I5297" s="29" t="n">
        <f aca="false">Sens!I5295-Sens!I5296</f>
        <v>11868.716</v>
      </c>
      <c r="J5297" s="29" t="n">
        <f aca="false">Sens!J5295-Sens!J5296</f>
        <v>12963.61032</v>
      </c>
      <c r="K5297" s="29" t="n">
        <f aca="false">Sens!K5295-Sens!K5296</f>
        <v>13375.1986296</v>
      </c>
    </row>
    <row r="5298" customFormat="false" ht="17.15" hidden="false" customHeight="false" outlineLevel="0" collapsed="false">
      <c r="A5298" s="1" t="s">
        <v>816</v>
      </c>
      <c r="B5298" s="0" t="s">
        <v>399</v>
      </c>
      <c r="C5298" s="29" t="n">
        <f aca="false">Sens!C5297/ext_sh</f>
        <v>816.666666666667</v>
      </c>
      <c r="D5298" s="29" t="n">
        <f aca="false">Sens!D5297/ext_sh</f>
        <v>2050</v>
      </c>
      <c r="E5298" s="29" t="n">
        <f aca="false">Sens!E5297/ext_sh</f>
        <v>4500</v>
      </c>
      <c r="F5298" s="29" t="n">
        <f aca="false">Sens!F5297/ext_sh</f>
        <v>8368.66666666667</v>
      </c>
      <c r="G5298" s="29" t="n">
        <f aca="false">Sens!G5297/ext_sh</f>
        <v>12580.6666666667</v>
      </c>
      <c r="H5298" s="29" t="n">
        <f aca="false">Sens!H5297/ext_sh</f>
        <v>16792.6666666667</v>
      </c>
      <c r="I5298" s="29" t="n">
        <f aca="false">Sens!I5297/ext_sh</f>
        <v>19781.1933333333</v>
      </c>
      <c r="J5298" s="29" t="n">
        <f aca="false">Sens!J5297/ext_sh</f>
        <v>21606.0172</v>
      </c>
      <c r="K5298" s="29" t="n">
        <f aca="false">Sens!K5297/ext_sh</f>
        <v>22291.997716</v>
      </c>
      <c r="L5298" s="1" t="s">
        <v>817</v>
      </c>
    </row>
    <row r="5299" customFormat="false" ht="17.15" hidden="false" customHeight="false" outlineLevel="0" collapsed="false">
      <c r="A5299" s="1" t="s">
        <v>818</v>
      </c>
      <c r="B5299" s="0" t="s">
        <v>399</v>
      </c>
      <c r="C5299" s="29" t="n">
        <f aca="false">Sens!C5298-Sens!C5297</f>
        <v>326.666666666667</v>
      </c>
      <c r="D5299" s="29" t="n">
        <f aca="false">Sens!D5298-Sens!D5297</f>
        <v>820</v>
      </c>
      <c r="E5299" s="29" t="n">
        <f aca="false">Sens!E5298-Sens!E5297</f>
        <v>1800</v>
      </c>
      <c r="F5299" s="29" t="n">
        <f aca="false">Sens!F5298-Sens!F5297</f>
        <v>3347.46666666667</v>
      </c>
      <c r="G5299" s="29" t="n">
        <f aca="false">Sens!G5298-Sens!G5297</f>
        <v>5032.26666666667</v>
      </c>
      <c r="H5299" s="29" t="n">
        <f aca="false">Sens!H5298-Sens!H5297</f>
        <v>6717.06666666667</v>
      </c>
      <c r="I5299" s="29" t="n">
        <f aca="false">Sens!I5298-Sens!I5297</f>
        <v>7912.47733333333</v>
      </c>
      <c r="J5299" s="29" t="n">
        <f aca="false">Sens!J5298-Sens!J5297</f>
        <v>8642.40688</v>
      </c>
      <c r="K5299" s="29" t="n">
        <f aca="false">Sens!K5298-Sens!K5297</f>
        <v>8916.7990864</v>
      </c>
    </row>
    <row r="5300" customFormat="false" ht="17.15" hidden="false" customHeight="false" outlineLevel="0" collapsed="false">
      <c r="A5300" s="1" t="s">
        <v>819</v>
      </c>
      <c r="B5300" s="0" t="s">
        <v>399</v>
      </c>
      <c r="C5300" s="29" t="n">
        <f aca="false">Sens!C5298</f>
        <v>816.666666666667</v>
      </c>
      <c r="D5300" s="29" t="n">
        <f aca="false">Sens!D5298-Sens!C5298</f>
        <v>1233.33333333333</v>
      </c>
      <c r="E5300" s="29" t="n">
        <f aca="false">Sens!E5298-Sens!D5298</f>
        <v>2450</v>
      </c>
      <c r="F5300" s="29" t="n">
        <f aca="false">Sens!F5298-Sens!E5298</f>
        <v>3868.66666666667</v>
      </c>
      <c r="G5300" s="29" t="n">
        <f aca="false">Sens!G5298-Sens!F5298</f>
        <v>4212</v>
      </c>
      <c r="H5300" s="29" t="n">
        <f aca="false">Sens!H5298-Sens!G5298</f>
        <v>4212</v>
      </c>
      <c r="I5300" s="29" t="n">
        <f aca="false">Sens!I5298-Sens!H5298</f>
        <v>2988.52666666667</v>
      </c>
      <c r="J5300" s="29" t="n">
        <f aca="false">Sens!J5298-Sens!I5298</f>
        <v>1824.82386666667</v>
      </c>
      <c r="K5300" s="29" t="n">
        <f aca="false">Sens!K5298-Sens!J5298</f>
        <v>685.980516</v>
      </c>
    </row>
    <row r="5301" customFormat="false" ht="17.15" hidden="false" customHeight="false" outlineLevel="0" collapsed="false">
      <c r="A5301" s="1" t="s">
        <v>820</v>
      </c>
      <c r="B5301" s="0" t="s">
        <v>399</v>
      </c>
      <c r="D5301" s="29" t="n">
        <f aca="false">Sens!D5295-Sens!C5295</f>
        <v>990</v>
      </c>
      <c r="E5301" s="29" t="n">
        <f aca="false">Sens!E5295-Sens!D5295</f>
        <v>1620</v>
      </c>
      <c r="F5301" s="29" t="n">
        <f aca="false">Sens!F5295-Sens!E5295</f>
        <v>2527.2</v>
      </c>
      <c r="G5301" s="29" t="n">
        <f aca="false">Sens!G5295-Sens!F5295</f>
        <v>2527.2</v>
      </c>
      <c r="H5301" s="29" t="n">
        <f aca="false">Sens!H5295-Sens!G5295</f>
        <v>2527.2</v>
      </c>
      <c r="I5301" s="29" t="n">
        <f aca="false">Sens!I5295-Sens!H5295</f>
        <v>1793.116</v>
      </c>
      <c r="J5301" s="29" t="n">
        <f aca="false">Sens!J5295-Sens!I5295</f>
        <v>1094.89432</v>
      </c>
      <c r="K5301" s="29" t="n">
        <f aca="false">Sens!K5295-Sens!J5295</f>
        <v>411.5883096</v>
      </c>
    </row>
    <row r="5302" customFormat="false" ht="17.15" hidden="false" customHeight="false" outlineLevel="0" collapsed="false">
      <c r="A5302" s="1" t="s">
        <v>821</v>
      </c>
      <c r="B5302" s="0" t="s">
        <v>399</v>
      </c>
      <c r="F5302" s="29" t="n">
        <f aca="false">Sens!F5319*ext_sh</f>
        <v>0</v>
      </c>
      <c r="G5302" s="29" t="n">
        <f aca="false">Sens!G5319*ext_sh</f>
        <v>0</v>
      </c>
      <c r="H5302" s="29" t="n">
        <f aca="false">Sens!H5319*ext_sh</f>
        <v>0</v>
      </c>
      <c r="I5302" s="29" t="n">
        <f aca="false">Sens!I5319*ext_sh</f>
        <v>490</v>
      </c>
      <c r="J5302" s="29" t="n">
        <f aca="false">Sens!J5319*ext_sh</f>
        <v>740</v>
      </c>
      <c r="K5302" s="29" t="n">
        <f aca="false">Sens!K5319*ext_sh</f>
        <v>1470</v>
      </c>
      <c r="L5302" s="1" t="s">
        <v>822</v>
      </c>
    </row>
    <row r="5303" customFormat="false" ht="17.15" hidden="false" customHeight="false" outlineLevel="0" collapsed="false">
      <c r="A5303" s="1" t="s">
        <v>823</v>
      </c>
      <c r="B5303" s="0" t="s">
        <v>399</v>
      </c>
      <c r="C5303" s="29" t="n">
        <f aca="false">mix_h*Sens!C5295</f>
        <v>128</v>
      </c>
      <c r="D5303" s="29" t="n">
        <f aca="false">mix_h*Sens!D5295</f>
        <v>326</v>
      </c>
      <c r="E5303" s="29" t="n">
        <f aca="false">mix_h*Sens!E5295</f>
        <v>650</v>
      </c>
      <c r="F5303" s="29" t="n">
        <f aca="false">Sens!E5303-Sens!F5302*mix_h</f>
        <v>650</v>
      </c>
      <c r="G5303" s="29" t="n">
        <f aca="false">Sens!F5303-Sens!G5302*mix_h</f>
        <v>650</v>
      </c>
      <c r="H5303" s="29" t="n">
        <f aca="false">Sens!G5303-Sens!H5302*mix_h</f>
        <v>650</v>
      </c>
      <c r="I5303" s="29" t="n">
        <f aca="false">Sens!H5303-Sens!I5302*mix_h</f>
        <v>552</v>
      </c>
      <c r="J5303" s="29" t="n">
        <f aca="false">Sens!I5303-Sens!J5302*mix_h</f>
        <v>404</v>
      </c>
      <c r="K5303" s="29" t="n">
        <f aca="false">Sens!J5303-Sens!K5302*mix_h</f>
        <v>110</v>
      </c>
    </row>
    <row r="5304" customFormat="false" ht="17.15" hidden="false" customHeight="false" outlineLevel="0" collapsed="false">
      <c r="A5304" s="1" t="s">
        <v>824</v>
      </c>
      <c r="B5304" s="0" t="s">
        <v>399</v>
      </c>
      <c r="C5304" s="29" t="n">
        <f aca="false">mix_g2*Sens!C5295</f>
        <v>288</v>
      </c>
      <c r="D5304" s="29" t="n">
        <f aca="false">mix_g2*Sens!D5295</f>
        <v>733.5</v>
      </c>
      <c r="E5304" s="29" t="n">
        <f aca="false">mix_g2*Sens!E5295</f>
        <v>1462.5</v>
      </c>
      <c r="F5304" s="29" t="n">
        <f aca="false">Sens!E5304-Sens!F5302*mix_g2</f>
        <v>1462.5</v>
      </c>
      <c r="G5304" s="29" t="n">
        <f aca="false">Sens!F5304-Sens!G5302*mix_g2</f>
        <v>1462.5</v>
      </c>
      <c r="H5304" s="29" t="n">
        <f aca="false">Sens!G5304-Sens!H5302*mix_g2</f>
        <v>1462.5</v>
      </c>
      <c r="I5304" s="29" t="n">
        <f aca="false">Sens!H5304-Sens!I5302*mix_g2</f>
        <v>1242</v>
      </c>
      <c r="J5304" s="29" t="n">
        <f aca="false">Sens!I5304-Sens!J5302*mix_g2</f>
        <v>909</v>
      </c>
      <c r="K5304" s="29" t="n">
        <f aca="false">Sens!J5304-Sens!K5302*mix_g2</f>
        <v>247.5</v>
      </c>
    </row>
    <row r="5305" customFormat="false" ht="17.15" hidden="false" customHeight="false" outlineLevel="0" collapsed="false">
      <c r="A5305" s="1" t="s">
        <v>825</v>
      </c>
      <c r="B5305" s="0" t="s">
        <v>399</v>
      </c>
      <c r="C5305" s="29" t="n">
        <f aca="false">mix_g3*Sens!C5295</f>
        <v>224</v>
      </c>
      <c r="D5305" s="29" t="n">
        <f aca="false">mix_g3*Sens!D5295</f>
        <v>570.5</v>
      </c>
      <c r="E5305" s="29" t="n">
        <f aca="false">mix_g3*Sens!E5295</f>
        <v>1137.5</v>
      </c>
      <c r="F5305" s="29" t="n">
        <f aca="false">Sens!E5305+(Sens!F5301+Sens!F5302)*a_g3_27-Sens!F5302*mix_g3</f>
        <v>2906.54</v>
      </c>
      <c r="G5305" s="29" t="n">
        <f aca="false">Sens!F5305+(Sens!G5301+Sens!G5302)*a_g3_28-Sens!G5302*mix_g3</f>
        <v>3664.7</v>
      </c>
      <c r="H5305" s="29" t="n">
        <f aca="false">Sens!G5305+(Sens!H5301+Sens!H5302)*a_g3_29-Sens!H5302*mix_g3</f>
        <v>3917.42</v>
      </c>
      <c r="I5305" s="29" t="n">
        <f aca="false">Sens!H5305+(Sens!I5301+Sens!I5302)*a_g3_29-Sens!I5302*mix_g3</f>
        <v>3974.2316</v>
      </c>
      <c r="J5305" s="29" t="n">
        <f aca="false">Sens!I5305+(Sens!J5301+Sens!J5302)*a_g3_29-Sens!J5302*mix_g3</f>
        <v>3898.721032</v>
      </c>
      <c r="K5305" s="29" t="n">
        <f aca="false">Sens!J5305+(Sens!K5301+Sens!K5302)*a_g3_29-Sens!K5302*mix_g3</f>
        <v>3572.37986296</v>
      </c>
    </row>
    <row r="5306" customFormat="false" ht="17.15" hidden="false" customHeight="false" outlineLevel="0" collapsed="false">
      <c r="A5306" s="1" t="s">
        <v>826</v>
      </c>
      <c r="B5306" s="0" t="s">
        <v>399</v>
      </c>
      <c r="C5306" s="29" t="n">
        <v>0</v>
      </c>
      <c r="D5306" s="29" t="n">
        <v>0</v>
      </c>
      <c r="E5306" s="29" t="n">
        <v>0</v>
      </c>
      <c r="F5306" s="29" t="n">
        <f aca="false">Sens!E5306+(Sens!F5301+Sens!F5302)*(1-a_g3_27)</f>
        <v>758.16</v>
      </c>
      <c r="G5306" s="29" t="n">
        <f aca="false">Sens!F5306+(Sens!G5301+Sens!G5302)*(1-a_g3_28)</f>
        <v>2527.2</v>
      </c>
      <c r="H5306" s="29" t="n">
        <f aca="false">Sens!G5306+(Sens!H5301+Sens!H5302)*(1-a_g3_29)</f>
        <v>4801.68</v>
      </c>
      <c r="I5306" s="29" t="n">
        <f aca="false">Sens!H5306+(Sens!I5301+Sens!I5302)*(1-a_g3_29)</f>
        <v>6856.4844</v>
      </c>
      <c r="J5306" s="29" t="n">
        <f aca="false">Sens!I5306+(Sens!J5301+Sens!J5302)*(1-a_g3_29)</f>
        <v>8507.889288</v>
      </c>
      <c r="K5306" s="29" t="n">
        <f aca="false">Sens!J5306+(Sens!K5301+Sens!K5302)*(1-a_g3_29)</f>
        <v>10201.31876664</v>
      </c>
    </row>
    <row r="5307" customFormat="false" ht="17.15" hidden="false" customHeight="false" outlineLevel="0" collapsed="false">
      <c r="A5307" s="1" t="s">
        <v>827</v>
      </c>
      <c r="B5307" s="0" t="s">
        <v>346</v>
      </c>
      <c r="C5307" s="14" t="n">
        <f aca="false">(Sens!C5303*tk_hold_h100+Sens!C5304*tk_hold_gb200+Sens!C5305*tk_hold_gb300+Sens!C5306*tk_hold_vr200)/Sens!C5295</f>
        <v>9.7235358126469</v>
      </c>
      <c r="D5307" s="14" t="n">
        <f aca="false">(Sens!D5303*tk_hold_h100+Sens!D5304*tk_hold_gb200+Sens!D5305*tk_hold_gb300+Sens!D5306*tk_hold_vr200)/Sens!D5295</f>
        <v>9.7235358126469</v>
      </c>
      <c r="E5307" s="14" t="n">
        <f aca="false">(Sens!E5303*tk_hold_h100+Sens!E5304*tk_hold_gb200+Sens!E5305*tk_hold_gb300+Sens!E5306*tk_hold_vr200)/Sens!E5295</f>
        <v>9.7235358126469</v>
      </c>
      <c r="F5307" s="14" t="n">
        <f aca="false">(Sens!F5303*tk_hold_h100+Sens!F5304*tk_hold_gb200+Sens!F5305*tk_hold_gb300+Sens!F5306*tk_hold_vr200)/Sens!F5295</f>
        <v>10.4079573161931</v>
      </c>
      <c r="G5307" s="14" t="n">
        <f aca="false">(Sens!G5303*tk_hold_h100+Sens!G5304*tk_hold_gb200+Sens!G5305*tk_hold_gb300+Sens!G5306*tk_hold_vr200)/Sens!G5295</f>
        <v>10.8388131109316</v>
      </c>
      <c r="H5307" s="14" t="n">
        <f aca="false">(Sens!H5303*tk_hold_h100+Sens!H5304*tk_hold_gb200+Sens!H5305*tk_hold_gb300+Sens!H5306*tk_hold_vr200)/Sens!H5295</f>
        <v>11.1311018388216</v>
      </c>
      <c r="I5307" s="14" t="n">
        <f aca="false">(Sens!I5303*tk_hold_h100+Sens!I5304*tk_hold_gb200+Sens!I5305*tk_hold_gb300+Sens!I5306*tk_hold_vr200)/Sens!I5295</f>
        <v>11.3594282560989</v>
      </c>
      <c r="J5307" s="14" t="n">
        <f aca="false">(Sens!J5303*tk_hold_h100+Sens!J5304*tk_hold_gb200+Sens!J5305*tk_hold_gb300+Sens!J5306*tk_hold_vr200)/Sens!J5295</f>
        <v>11.5455817917599</v>
      </c>
      <c r="K5307" s="14" t="n">
        <f aca="false">(Sens!K5303*tk_hold_h100+Sens!K5304*tk_hold_gb200+Sens!K5305*tk_hold_gb300+Sens!K5306*tk_hold_vr200)/Sens!K5295</f>
        <v>11.8078187977246</v>
      </c>
    </row>
    <row r="5308" customFormat="false" ht="17.15" hidden="false" customHeight="false" outlineLevel="0" collapsed="false">
      <c r="A5308" s="0" t="s">
        <v>828</v>
      </c>
      <c r="B5308" s="0" t="s">
        <v>185</v>
      </c>
      <c r="C5308" s="14" t="n">
        <f aca="false">k_B</f>
        <v>1.17213932619116</v>
      </c>
      <c r="D5308" s="14" t="n">
        <f aca="false">k_B</f>
        <v>1.17213932619116</v>
      </c>
      <c r="E5308" s="14" t="n">
        <f aca="false">k_B</f>
        <v>1.17213932619116</v>
      </c>
      <c r="F5308" s="14" t="n">
        <f aca="false">(k_B+((ls_A*k_long+(1-ls_A)*k_spot)-k_B)*MIN(1,(Sens!F5293-base_fy)/k_ramp))</f>
        <v>1.25022828131298</v>
      </c>
      <c r="G5308" s="14" t="n">
        <f aca="false">(k_B+((ls_A*k_long+(1-ls_A)*k_spot)-k_B)*MIN(1,(Sens!G5293-base_fy)/k_ramp))</f>
        <v>1.3283172364348</v>
      </c>
      <c r="H5308" s="14" t="n">
        <f aca="false">(k_B+((ls_A*k_long+(1-ls_A)*k_spot)-k_B)*MIN(1,(Sens!H5293-base_fy)/k_ramp))</f>
        <v>1.40640619155662</v>
      </c>
      <c r="I5308" s="14" t="n">
        <f aca="false">(k_B+((ls_A*k_long+(1-ls_A)*k_spot)-k_B)*MIN(1,(Sens!I5293-base_fy)/k_ramp))</f>
        <v>1.40640619155662</v>
      </c>
      <c r="J5308" s="14" t="n">
        <f aca="false">(k_B+((ls_A*k_long+(1-ls_A)*k_spot)-k_B)*MIN(1,(Sens!J5293-base_fy)/k_ramp))</f>
        <v>1.40640619155662</v>
      </c>
      <c r="K5308" s="14" t="n">
        <f aca="false">(k_B+((ls_A*k_long+(1-ls_A)*k_spot)-k_B)*MIN(1,(Sens!K5293-base_fy)/k_ramp))</f>
        <v>1.40640619155662</v>
      </c>
      <c r="L5308" s="1" t="s">
        <v>829</v>
      </c>
    </row>
    <row r="5309" customFormat="false" ht="17.15" hidden="false" customHeight="false" outlineLevel="0" collapsed="false">
      <c r="A5309" s="1" t="s">
        <v>830</v>
      </c>
      <c r="B5309" s="0" t="s">
        <v>346</v>
      </c>
      <c r="C5309" s="14" t="n">
        <f aca="false">Sens!C5307*Sens!C5308*chip_f</f>
        <v>11.3973387156315</v>
      </c>
      <c r="D5309" s="14" t="n">
        <f aca="false">Sens!D5307*Sens!D5308*chip_f</f>
        <v>11.3973387156315</v>
      </c>
      <c r="E5309" s="14" t="n">
        <f aca="false">Sens!E5307*Sens!E5308*chip_f</f>
        <v>11.3973387156315</v>
      </c>
      <c r="F5309" s="14" t="n">
        <f aca="false">Sens!F5307*Sens!F5308*chip_f</f>
        <v>13.0123225874029</v>
      </c>
      <c r="G5309" s="14" t="n">
        <f aca="false">Sens!G5307*Sens!G5308*chip_f</f>
        <v>14.3973822777458</v>
      </c>
      <c r="H5309" s="14" t="n">
        <f aca="false">Sens!H5307*Sens!H5308*chip_f</f>
        <v>15.6548505449659</v>
      </c>
      <c r="I5309" s="14" t="n">
        <f aca="false">Sens!I5307*Sens!I5308*chip_f</f>
        <v>15.9759702319207</v>
      </c>
      <c r="J5309" s="14" t="n">
        <f aca="false">Sens!J5307*Sens!J5308*chip_f</f>
        <v>16.2377777170545</v>
      </c>
      <c r="K5309" s="14" t="n">
        <f aca="false">Sens!K5307*Sens!K5308*chip_f</f>
        <v>16.6065894658985</v>
      </c>
      <c r="L5309" s="1" t="s">
        <v>831</v>
      </c>
    </row>
    <row r="5310" customFormat="false" ht="17.15" hidden="false" customHeight="false" outlineLevel="0" collapsed="false">
      <c r="A5310" s="0" t="s">
        <v>832</v>
      </c>
      <c r="B5310" s="0" t="s">
        <v>98</v>
      </c>
      <c r="D5310" s="6" t="n">
        <f aca="false">(Sens!C5295+Sens!D5295)/2*Sens!D5309/1000</f>
        <v>12.9359794422418</v>
      </c>
      <c r="E5310" s="6" t="n">
        <f aca="false">(Sens!D5295+Sens!E5295)/2*Sens!E5309/1000</f>
        <v>27.8095064661409</v>
      </c>
      <c r="F5310" s="6" t="n">
        <f aca="false">(Sens!E5295+Sens!F5295)/2*Sens!F5309/1000</f>
        <v>58.7324192305018</v>
      </c>
      <c r="G5310" s="6" t="n">
        <f aca="false">(Sens!F5295+Sens!G5295)/2*Sens!G5309/1000</f>
        <v>101.369089141153</v>
      </c>
      <c r="H5310" s="6" t="n">
        <f aca="false">(Sens!G5295+Sens!H5295)/2*Sens!H5309/1000</f>
        <v>149.785610014234</v>
      </c>
      <c r="I5310" s="6" t="n">
        <f aca="false">(Sens!H5295+Sens!I5295)/2*Sens!I5309/1000</f>
        <v>187.368703083263</v>
      </c>
      <c r="J5310" s="6" t="n">
        <f aca="false">(Sens!I5295+Sens!J5295)/2*Sens!J5309/1000</f>
        <v>213.886657444854</v>
      </c>
      <c r="K5310" s="6" t="n">
        <f aca="false">(Sens!J5295+Sens!K5295)/2*Sens!K5309/1000</f>
        <v>231.253475259589</v>
      </c>
      <c r="L5310" s="11" t="s">
        <v>833</v>
      </c>
    </row>
    <row r="5311" customFormat="false" ht="17.15" hidden="false" customHeight="false" outlineLevel="0" collapsed="false">
      <c r="A5311" s="1" t="s">
        <v>834</v>
      </c>
      <c r="B5311" s="0" t="s">
        <v>346</v>
      </c>
      <c r="C5311" s="14" t="n">
        <f aca="false">(Sens!C5303*tk_opex_h100+Sens!C5304*tk_opex_gb200+Sens!C5305*tk_opex_gb300+Sens!C5306*tk_opex_vr200)/Sens!C5295</f>
        <v>1.88636041306092</v>
      </c>
      <c r="D5311" s="14" t="n">
        <f aca="false">(Sens!D5303*tk_opex_h100+Sens!D5304*tk_opex_gb200+Sens!D5305*tk_opex_gb300+Sens!D5306*tk_opex_vr200)/Sens!D5295</f>
        <v>1.88636041306092</v>
      </c>
      <c r="E5311" s="14" t="n">
        <f aca="false">(Sens!E5303*tk_opex_h100+Sens!E5304*tk_opex_gb200+Sens!E5305*tk_opex_gb300+Sens!E5306*tk_opex_vr200)/Sens!E5295</f>
        <v>1.88636041306092</v>
      </c>
      <c r="F5311" s="14" t="n">
        <f aca="false">(Sens!F5303*tk_opex_h100+Sens!F5304*tk_opex_gb200+Sens!F5305*tk_opex_gb300+Sens!F5306*tk_opex_vr200)/Sens!F5295</f>
        <v>1.9430236476499</v>
      </c>
      <c r="G5311" s="14" t="n">
        <f aca="false">(Sens!G5303*tk_opex_h100+Sens!G5304*tk_opex_gb200+Sens!G5305*tk_opex_gb300+Sens!G5306*tk_opex_vr200)/Sens!G5295</f>
        <v>1.9786941852423</v>
      </c>
      <c r="H5311" s="14" t="n">
        <f aca="false">(Sens!H5303*tk_opex_h100+Sens!H5304*tk_opex_gb200+Sens!H5305*tk_opex_gb300+Sens!H5306*tk_opex_vr200)/Sens!H5295</f>
        <v>2.00289275976156</v>
      </c>
      <c r="I5311" s="14" t="n">
        <f aca="false">(Sens!I5303*tk_opex_h100+Sens!I5304*tk_opex_gb200+Sens!I5305*tk_opex_gb300+Sens!I5306*tk_opex_vr200)/Sens!I5295</f>
        <v>2.02179589661219</v>
      </c>
      <c r="J5311" s="14" t="n">
        <f aca="false">(Sens!J5303*tk_opex_h100+Sens!J5304*tk_opex_gb200+Sens!J5305*tk_opex_gb300+Sens!J5306*tk_opex_vr200)/Sens!J5295</f>
        <v>2.03720754193029</v>
      </c>
      <c r="K5311" s="14" t="n">
        <f aca="false">(Sens!K5303*tk_opex_h100+Sens!K5304*tk_opex_gb200+Sens!K5305*tk_opex_gb300+Sens!K5306*tk_opex_vr200)/Sens!K5295</f>
        <v>2.0589181353437</v>
      </c>
    </row>
    <row r="5312" customFormat="false" ht="17.15" hidden="false" customHeight="false" outlineLevel="0" collapsed="false">
      <c r="A5312" s="0" t="s">
        <v>835</v>
      </c>
      <c r="B5312" s="0" t="s">
        <v>98</v>
      </c>
      <c r="D5312" s="6" t="n">
        <f aca="false">(Sens!C5298+Sens!D5298)/2*Sens!D5311/1000</f>
        <v>2.70378325872065</v>
      </c>
      <c r="E5312" s="6" t="n">
        <f aca="false">(Sens!D5298+Sens!E5298)/2*Sens!E5311/1000</f>
        <v>6.17783035277451</v>
      </c>
      <c r="F5312" s="6" t="n">
        <f aca="false">(Sens!E5298+Sens!F5298)/2*Sens!F5311/1000</f>
        <v>12.5020618235287</v>
      </c>
      <c r="G5312" s="6" t="n">
        <f aca="false">(Sens!F5298+Sens!G5298)/2*Sens!G5311/1000</f>
        <v>20.7261620256847</v>
      </c>
      <c r="H5312" s="6" t="n">
        <f aca="false">(Sens!G5298+Sens!H5298)/2*Sens!H5311/1000</f>
        <v>29.4158183316982</v>
      </c>
      <c r="I5312" s="6" t="n">
        <f aca="false">(Sens!H5298+Sens!I5298)/2*Sens!I5311/1000</f>
        <v>36.9724400356344</v>
      </c>
      <c r="J5312" s="6" t="n">
        <f aca="false">(Sens!I5298+Sens!J5298)/2*Sens!J5311/1000</f>
        <v>42.1571687189816</v>
      </c>
      <c r="K5312" s="6" t="n">
        <f aca="false">(Sens!J5298+Sens!K5298)/2*Sens!K5311/1000</f>
        <v>45.1912095080704</v>
      </c>
    </row>
    <row r="5313" customFormat="false" ht="17.15" hidden="false" customHeight="false" outlineLevel="0" collapsed="false">
      <c r="A5313" s="0" t="s">
        <v>836</v>
      </c>
      <c r="B5313" s="0" t="s">
        <v>98</v>
      </c>
      <c r="D5313" s="6" t="n">
        <f aca="false">(Sens!C5296+Sens!D5296)/2*rent_mw/1000</f>
        <v>2.44475</v>
      </c>
      <c r="E5313" s="6" t="n">
        <f aca="false">(Sens!D5296+Sens!E5296)/2*rent_mw/1000</f>
        <v>4.22275</v>
      </c>
      <c r="F5313" s="6" t="n">
        <f aca="false">(Sens!E5296+Sens!F5296)/2*rent_mw/1000</f>
        <v>5.80517</v>
      </c>
      <c r="G5313" s="6" t="n">
        <f aca="false">(Sens!F5296+Sens!G5296)/2*rent_mw/1000</f>
        <v>6.72084</v>
      </c>
      <c r="H5313" s="6" t="n">
        <f aca="false">(Sens!G5296+Sens!H5296)/2*rent_mw/1000</f>
        <v>6.72084</v>
      </c>
      <c r="I5313" s="6" t="n">
        <f aca="false">(Sens!H5296+Sens!I5296)/2*rent_mw/1000</f>
        <v>6.72084</v>
      </c>
      <c r="J5313" s="6" t="n">
        <f aca="false">(Sens!I5296+Sens!J5296)/2*rent_mw/1000</f>
        <v>6.72084</v>
      </c>
      <c r="K5313" s="6" t="n">
        <f aca="false">(Sens!J5296+Sens!K5296)/2*rent_mw/1000</f>
        <v>6.72084</v>
      </c>
    </row>
    <row r="5314" customFormat="false" ht="17.15" hidden="false" customHeight="false" outlineLevel="0" collapsed="false">
      <c r="A5314" s="0" t="s">
        <v>837</v>
      </c>
      <c r="B5314" s="0" t="s">
        <v>98</v>
      </c>
      <c r="D5314" s="6" t="n">
        <f aca="false">(Sens!C5298+Sens!D5298)/2*(1-self_build)*fac_rent/1000</f>
        <v>0.853242375631075</v>
      </c>
      <c r="E5314" s="6" t="n">
        <f aca="false">(Sens!D5298+Sens!E5298)/2*(1-self_build)*fac_rent/1000</f>
        <v>1.94955961408728</v>
      </c>
      <c r="F5314" s="6" t="n">
        <f aca="false">(Sens!E5298+Sens!F5298)/2*(1-self_build)*fac_rent/1000</f>
        <v>3.83026455274573</v>
      </c>
      <c r="G5314" s="6" t="n">
        <f aca="false">(Sens!F5298+Sens!G5298)/2*(1-self_build)*fac_rent/1000</f>
        <v>6.23541590972812</v>
      </c>
      <c r="H5314" s="6" t="n">
        <f aca="false">(Sens!G5298+Sens!H5298)/2*(1-self_build)*fac_rent/1000</f>
        <v>8.74275792332679</v>
      </c>
      <c r="I5314" s="6" t="n">
        <f aca="false">(Sens!H5298+Sens!I5298)/2*(1-self_build)*fac_rent/1000</f>
        <v>10.8859420438599</v>
      </c>
      <c r="J5314" s="6" t="n">
        <f aca="false">(Sens!I5298+Sens!J5298)/2*(1-self_build)*fac_rent/1000</f>
        <v>12.3186006405366</v>
      </c>
      <c r="K5314" s="6" t="n">
        <f aca="false">(Sens!J5298+Sens!K5298)/2*(1-self_build)*fac_rent/1000</f>
        <v>13.0659232089824</v>
      </c>
      <c r="L5314" s="11" t="s">
        <v>838</v>
      </c>
    </row>
    <row r="5315" customFormat="false" ht="17.15" hidden="false" customHeight="false" outlineLevel="0" collapsed="false">
      <c r="A5315" s="1" t="s">
        <v>839</v>
      </c>
      <c r="B5315" s="0" t="s">
        <v>129</v>
      </c>
      <c r="D5315" s="7" t="n">
        <f aca="false">(Sens!C5297+Sens!D5297)/(Sens!C5298+Sens!D5298)</f>
        <v>0.6</v>
      </c>
      <c r="E5315" s="7" t="n">
        <f aca="false">(Sens!D5297+Sens!E5297)/(Sens!D5298+Sens!E5298)</f>
        <v>0.6</v>
      </c>
      <c r="F5315" s="7" t="n">
        <f aca="false">(Sens!E5297+Sens!F5297)/(Sens!E5298+Sens!F5298)</f>
        <v>0.6</v>
      </c>
      <c r="G5315" s="7" t="n">
        <f aca="false">(Sens!F5297+Sens!G5297)/(Sens!F5298+Sens!G5298)</f>
        <v>0.6</v>
      </c>
      <c r="H5315" s="7" t="n">
        <f aca="false">(Sens!G5297+Sens!H5297)/(Sens!G5298+Sens!H5298)</f>
        <v>0.6</v>
      </c>
      <c r="I5315" s="7" t="n">
        <f aca="false">(Sens!H5297+Sens!I5297)/(Sens!H5298+Sens!I5298)</f>
        <v>0.6</v>
      </c>
      <c r="J5315" s="7" t="n">
        <f aca="false">(Sens!I5297+Sens!J5297)/(Sens!I5298+Sens!J5298)</f>
        <v>0.6</v>
      </c>
      <c r="K5315" s="7" t="n">
        <f aca="false">(Sens!J5297+Sens!K5297)/(Sens!J5298+Sens!K5298)</f>
        <v>0.6</v>
      </c>
    </row>
    <row r="5316" customFormat="false" ht="17.15" hidden="false" customHeight="false" outlineLevel="0" collapsed="false">
      <c r="A5316" s="0" t="s">
        <v>840</v>
      </c>
      <c r="B5316" s="0" t="s">
        <v>98</v>
      </c>
      <c r="D5316" s="6" t="n">
        <f aca="false">Sens!D5310-Sens!D5315*(Sens!D5312+Sens!D5314)-Sens!D5313</f>
        <v>8.35701406163072</v>
      </c>
      <c r="E5316" s="6" t="n">
        <f aca="false">Sens!E5310-Sens!E5315*(Sens!E5312+Sens!E5314)-Sens!E5313</f>
        <v>18.7103224860238</v>
      </c>
      <c r="F5316" s="6" t="n">
        <f aca="false">Sens!F5310-Sens!F5315*(Sens!F5312+Sens!F5314)-Sens!F5313</f>
        <v>43.1278534047371</v>
      </c>
      <c r="G5316" s="6" t="n">
        <f aca="false">Sens!G5310-Sens!G5315*(Sens!G5312+Sens!G5314)-Sens!G5313</f>
        <v>78.4713023799053</v>
      </c>
      <c r="H5316" s="6" t="n">
        <f aca="false">Sens!H5310-Sens!H5315*(Sens!H5312+Sens!H5314)-Sens!H5313</f>
        <v>120.169624261219</v>
      </c>
      <c r="I5316" s="6" t="n">
        <f aca="false">Sens!I5310-Sens!I5315*(Sens!I5312+Sens!I5314)-Sens!I5313</f>
        <v>151.932833835566</v>
      </c>
      <c r="J5316" s="6" t="n">
        <f aca="false">Sens!J5310-Sens!J5315*(Sens!J5312+Sens!J5314)-Sens!J5313</f>
        <v>174.480355829143</v>
      </c>
      <c r="K5316" s="6" t="n">
        <f aca="false">Sens!K5310-Sens!K5315*(Sens!K5312+Sens!K5314)-Sens!K5313</f>
        <v>189.578355629358</v>
      </c>
    </row>
    <row r="5317" customFormat="false" ht="17.15" hidden="false" customHeight="false" outlineLevel="0" collapsed="false">
      <c r="A5317" s="1" t="s">
        <v>841</v>
      </c>
      <c r="B5317" s="0" t="s">
        <v>98</v>
      </c>
      <c r="D5317" s="6" t="n">
        <f aca="false">(1-Sens!D5315)*(Sens!D5312+Sens!D5314)</f>
        <v>1.42281025374069</v>
      </c>
      <c r="E5317" s="6" t="n">
        <f aca="false">(1-Sens!E5315)*(Sens!E5312+Sens!E5314)</f>
        <v>3.25095598674472</v>
      </c>
      <c r="F5317" s="6" t="n">
        <f aca="false">(1-Sens!F5315)*(Sens!F5312+Sens!F5314)</f>
        <v>6.53293055050977</v>
      </c>
      <c r="G5317" s="6" t="n">
        <f aca="false">(1-Sens!G5315)*(Sens!G5312+Sens!G5314)</f>
        <v>10.7846311741651</v>
      </c>
      <c r="H5317" s="6" t="n">
        <f aca="false">(1-Sens!H5315)*(Sens!H5312+Sens!H5314)</f>
        <v>15.26343050201</v>
      </c>
      <c r="I5317" s="6" t="n">
        <f aca="false">(1-Sens!I5315)*(Sens!I5312+Sens!I5314)</f>
        <v>19.1433528317977</v>
      </c>
      <c r="J5317" s="6" t="n">
        <f aca="false">(1-Sens!J5315)*(Sens!J5312+Sens!J5314)</f>
        <v>21.7903077438073</v>
      </c>
      <c r="K5317" s="6" t="n">
        <f aca="false">(1-Sens!K5315)*(Sens!K5312+Sens!K5314)</f>
        <v>23.3028530868211</v>
      </c>
    </row>
    <row r="5318" customFormat="false" ht="17.15" hidden="false" customHeight="false" outlineLevel="0" collapsed="false">
      <c r="A5318" s="1" t="s">
        <v>842</v>
      </c>
      <c r="B5318" s="0" t="s">
        <v>357</v>
      </c>
      <c r="C5318" s="8" t="n">
        <f aca="false">cxit_open</f>
        <v>27.5918995</v>
      </c>
      <c r="D5318" s="8" t="n">
        <f aca="false">cxit_open</f>
        <v>27.5918995</v>
      </c>
      <c r="E5318" s="8" t="n">
        <f aca="false">cxit_open</f>
        <v>27.5918995</v>
      </c>
      <c r="F5318" s="8" t="n">
        <f aca="false">(a_g3_27*tk_cxit_gb300+(1-a_g3_27)*tk_cxit_vr200)</f>
        <v>33.8419624</v>
      </c>
      <c r="G5318" s="8" t="n">
        <f aca="false">(a_g3_28*tk_cxit_gb300+(1-a_g3_28)*tk_cxit_vr200)</f>
        <v>35.9816136</v>
      </c>
      <c r="H5318" s="8" t="n">
        <f aca="false">(a_g3_29*tk_cxit_gb300+(1-a_g3_29)*tk_cxit_vr200)</f>
        <v>37.0514392</v>
      </c>
      <c r="I5318" s="8" t="n">
        <f aca="false">(a_g3_29*tk_cxit_gb300+(1-a_g3_29)*tk_cxit_vr200)</f>
        <v>37.0514392</v>
      </c>
      <c r="J5318" s="8" t="n">
        <f aca="false">(a_g3_29*tk_cxit_gb300+(1-a_g3_29)*tk_cxit_vr200)</f>
        <v>37.0514392</v>
      </c>
      <c r="K5318" s="8" t="n">
        <f aca="false">(a_g3_29*tk_cxit_gb300+(1-a_g3_29)*tk_cxit_vr200)</f>
        <v>37.0514392</v>
      </c>
      <c r="L5318" s="11" t="s">
        <v>843</v>
      </c>
    </row>
    <row r="5319" customFormat="false" ht="17.15" hidden="false" customHeight="false" outlineLevel="0" collapsed="false">
      <c r="A5319" s="0" t="s">
        <v>844</v>
      </c>
      <c r="B5319" s="0" t="s">
        <v>399</v>
      </c>
      <c r="F5319" s="29" t="n">
        <f aca="false">Sens!C5300*IF(Sens!F5293-Sens!C5293=life_it,1,0)+Sens!D5300*IF(Sens!F5293-Sens!D5293=life_it,1,0)+Sens!E5300*IF(Sens!F5293-Sens!E5293=life_it,1,0)</f>
        <v>0</v>
      </c>
      <c r="G5319" s="29" t="n">
        <f aca="false">Sens!C5300*IF(Sens!G5293-Sens!C5293=life_it,1,0)+Sens!D5300*IF(Sens!G5293-Sens!D5293=life_it,1,0)+Sens!E5300*IF(Sens!G5293-Sens!E5293=life_it,1,0)+Sens!F5300*IF(Sens!G5293-Sens!F5293=life_it,1,0)</f>
        <v>0</v>
      </c>
      <c r="H5319" s="29" t="n">
        <f aca="false">Sens!C5300*IF(Sens!H5293-Sens!C5293=life_it,1,0)+Sens!D5300*IF(Sens!H5293-Sens!D5293=life_it,1,0)+Sens!E5300*IF(Sens!H5293-Sens!E5293=life_it,1,0)+Sens!F5300*IF(Sens!H5293-Sens!F5293=life_it,1,0)+Sens!G5300*IF(Sens!H5293-Sens!G5293=life_it,1,0)</f>
        <v>0</v>
      </c>
      <c r="I5319" s="29" t="n">
        <f aca="false">Sens!C5300*IF(Sens!I5293-Sens!C5293=life_it,1,0)+Sens!D5300*IF(Sens!I5293-Sens!D5293=life_it,1,0)+Sens!E5300*IF(Sens!I5293-Sens!E5293=life_it,1,0)+Sens!F5300*IF(Sens!I5293-Sens!F5293=life_it,1,0)+Sens!G5300*IF(Sens!I5293-Sens!G5293=life_it,1,0)+Sens!H5300*IF(Sens!I5293-Sens!H5293=life_it,1,0)</f>
        <v>816.666666666667</v>
      </c>
      <c r="J5319" s="29" t="n">
        <f aca="false">Sens!C5300*IF(Sens!J5293-Sens!C5293=life_it,1,0)+Sens!D5300*IF(Sens!J5293-Sens!D5293=life_it,1,0)+Sens!E5300*IF(Sens!J5293-Sens!E5293=life_it,1,0)+Sens!F5300*IF(Sens!J5293-Sens!F5293=life_it,1,0)+Sens!G5300*IF(Sens!J5293-Sens!G5293=life_it,1,0)+Sens!H5300*IF(Sens!J5293-Sens!H5293=life_it,1,0)+Sens!I5300*IF(Sens!J5293-Sens!I5293=life_it,1,0)</f>
        <v>1233.33333333333</v>
      </c>
      <c r="K5319" s="29" t="n">
        <f aca="false">Sens!C5300*IF(Sens!K5293-Sens!C5293=life_it,1,0)+Sens!D5300*IF(Sens!K5293-Sens!D5293=life_it,1,0)+Sens!E5300*IF(Sens!K5293-Sens!E5293=life_it,1,0)+Sens!F5300*IF(Sens!K5293-Sens!F5293=life_it,1,0)+Sens!G5300*IF(Sens!K5293-Sens!G5293=life_it,1,0)+Sens!H5300*IF(Sens!K5293-Sens!H5293=life_it,1,0)+Sens!I5300*IF(Sens!K5293-Sens!I5293=life_it,1,0)+Sens!J5300*IF(Sens!K5293-Sens!J5293=life_it,1,0)</f>
        <v>2450</v>
      </c>
      <c r="L5319" s="1" t="s">
        <v>845</v>
      </c>
    </row>
    <row r="5320" customFormat="false" ht="17.15" hidden="false" customHeight="false" outlineLevel="0" collapsed="false">
      <c r="A5320" s="0" t="s">
        <v>846</v>
      </c>
      <c r="B5320" s="0" t="s">
        <v>98</v>
      </c>
      <c r="C5320" s="6" t="n">
        <f aca="false">Sens!C5300*Sens!C5318/1000</f>
        <v>22.5333845916667</v>
      </c>
      <c r="D5320" s="6" t="n">
        <f aca="false">Sens!D5300*Sens!D5318/1000</f>
        <v>34.0300093833333</v>
      </c>
      <c r="E5320" s="6" t="n">
        <f aca="false">Sens!E5300*Sens!E5318/1000</f>
        <v>67.600153775</v>
      </c>
      <c r="F5320" s="6" t="n">
        <f aca="false">(Sens!F5300+Sens!F5319)*Sens!F5318/1000</f>
        <v>130.923271871467</v>
      </c>
      <c r="G5320" s="6" t="n">
        <f aca="false">(Sens!G5300+Sens!G5319)*Sens!G5318/1000</f>
        <v>151.5545564832</v>
      </c>
      <c r="H5320" s="6" t="n">
        <f aca="false">(Sens!H5300+Sens!H5319)*Sens!H5318/1000</f>
        <v>156.0606619104</v>
      </c>
      <c r="I5320" s="6" t="n">
        <f aca="false">(Sens!I5300+Sens!I5319)*Sens!I5318/1000</f>
        <v>140.987889434245</v>
      </c>
      <c r="J5320" s="6" t="n">
        <f aca="false">(Sens!J5300+Sens!J5319)*Sens!J5318/1000</f>
        <v>113.309125559842</v>
      </c>
      <c r="K5320" s="6" t="n">
        <f aca="false">(Sens!K5300+Sens!K5319)*Sens!K5318/1000</f>
        <v>116.192591420959</v>
      </c>
    </row>
    <row r="5321" customFormat="false" ht="17.15" hidden="false" customHeight="false" outlineLevel="0" collapsed="false">
      <c r="A5321" s="0" t="s">
        <v>847</v>
      </c>
      <c r="B5321" s="0" t="s">
        <v>98</v>
      </c>
      <c r="C5321" s="6" t="n">
        <f aca="false">Sens!C5300*self_build*tk_cxfac/1000</f>
        <v>6.2083</v>
      </c>
      <c r="D5321" s="6" t="n">
        <f aca="false">Sens!D5300*self_build*tk_cxfac/1000</f>
        <v>9.3758</v>
      </c>
      <c r="E5321" s="6" t="n">
        <f aca="false">Sens!E5300*self_build*tk_cxfac/1000</f>
        <v>18.6249</v>
      </c>
      <c r="F5321" s="6" t="n">
        <f aca="false">Sens!F5300*self_build*tk_cxfac/1000</f>
        <v>29.409604</v>
      </c>
      <c r="G5321" s="6" t="n">
        <f aca="false">Sens!G5300*self_build*tk_cxfac/1000</f>
        <v>32.019624</v>
      </c>
      <c r="H5321" s="6" t="n">
        <f aca="false">Sens!H5300*self_build*tk_cxfac/1000</f>
        <v>32.019624</v>
      </c>
      <c r="I5321" s="6" t="n">
        <f aca="false">Sens!I5300*self_build*tk_cxfac/1000</f>
        <v>22.71877972</v>
      </c>
      <c r="J5321" s="6" t="n">
        <f aca="false">Sens!J5300*self_build*tk_cxfac/1000</f>
        <v>13.8723110344</v>
      </c>
      <c r="K5321" s="6" t="n">
        <f aca="false">Sens!K5300*self_build*tk_cxfac/1000</f>
        <v>5.214823882632</v>
      </c>
    </row>
    <row r="5322" customFormat="false" ht="17.15" hidden="false" customHeight="false" outlineLevel="0" collapsed="false">
      <c r="A5322" s="0" t="s">
        <v>848</v>
      </c>
      <c r="B5322" s="0" t="s">
        <v>98</v>
      </c>
      <c r="F5322" s="6" t="n">
        <f aca="false">MAX(0,capex_floor27-Sens!F5320-Sens!F5321-Sens!F5416)</f>
        <v>8.36277689897089</v>
      </c>
    </row>
    <row r="5323" customFormat="false" ht="17.15" hidden="false" customHeight="false" outlineLevel="0" collapsed="false">
      <c r="A5323" s="0" t="s">
        <v>849</v>
      </c>
      <c r="B5323" s="0" t="s">
        <v>98</v>
      </c>
      <c r="C5323" s="6" t="n">
        <f aca="false">Sens!C5320</f>
        <v>22.5333845916667</v>
      </c>
      <c r="D5323" s="6" t="n">
        <f aca="false">Sens!D5320</f>
        <v>34.0300093833333</v>
      </c>
      <c r="E5323" s="6" t="n">
        <f aca="false">Sens!E5320</f>
        <v>67.600153775</v>
      </c>
      <c r="F5323" s="6" t="n">
        <f aca="false">Sens!F5320</f>
        <v>130.923271871467</v>
      </c>
      <c r="G5323" s="6" t="n">
        <f aca="false">Sens!G5320</f>
        <v>151.5545564832</v>
      </c>
      <c r="H5323" s="6" t="n">
        <f aca="false">Sens!H5320</f>
        <v>156.0606619104</v>
      </c>
      <c r="I5323" s="6" t="n">
        <f aca="false">Sens!I5320</f>
        <v>140.987889434245</v>
      </c>
      <c r="J5323" s="6" t="n">
        <f aca="false">Sens!J5320</f>
        <v>113.309125559842</v>
      </c>
      <c r="K5323" s="6" t="n">
        <f aca="false">Sens!K5320</f>
        <v>116.192591420959</v>
      </c>
    </row>
    <row r="5324" customFormat="false" ht="17.15" hidden="false" customHeight="false" outlineLevel="0" collapsed="false">
      <c r="A5324" s="0" t="s">
        <v>850</v>
      </c>
      <c r="B5324" s="0" t="s">
        <v>98</v>
      </c>
      <c r="C5324" s="6" t="n">
        <f aca="false">Sens!C5323+Sens!C5321</f>
        <v>28.7416845916667</v>
      </c>
      <c r="D5324" s="6" t="n">
        <f aca="false">Sens!D5323+Sens!D5321</f>
        <v>43.4058093833333</v>
      </c>
      <c r="E5324" s="6" t="n">
        <f aca="false">Sens!E5323+Sens!E5321</f>
        <v>86.225053775</v>
      </c>
      <c r="F5324" s="6" t="n">
        <f aca="false">Sens!F5323+Sens!F5321</f>
        <v>160.332875871467</v>
      </c>
      <c r="G5324" s="6" t="n">
        <f aca="false">Sens!G5323+Sens!G5321</f>
        <v>183.5741804832</v>
      </c>
      <c r="H5324" s="6" t="n">
        <f aca="false">Sens!H5323+Sens!H5321</f>
        <v>188.0802859104</v>
      </c>
      <c r="I5324" s="6" t="n">
        <f aca="false">Sens!I5323+Sens!I5321</f>
        <v>163.706669154245</v>
      </c>
      <c r="J5324" s="6" t="n">
        <f aca="false">Sens!J5323+Sens!J5321</f>
        <v>127.181436594242</v>
      </c>
      <c r="K5324" s="6" t="n">
        <f aca="false">Sens!K5323+Sens!K5321</f>
        <v>121.407415303591</v>
      </c>
      <c r="L5324" s="11" t="s">
        <v>851</v>
      </c>
    </row>
    <row r="5325" customFormat="false" ht="17.15" hidden="false" customHeight="false" outlineLevel="0" collapsed="false">
      <c r="A5325" s="0" t="s">
        <v>852</v>
      </c>
      <c r="B5325" s="0" t="s">
        <v>98</v>
      </c>
      <c r="E5325" s="6" t="n">
        <f aca="false">(Sens!C5323*IF(2&lt;life_it,1,IF(2=life_it,0.5,0))+Sens!D5323*IF(1&lt;life_it,1,IF(1=life_it,0.5,0))+Sens!E5323*0.5)/life_it</f>
        <v>15.0605784770833</v>
      </c>
      <c r="F5325" s="6" t="n">
        <f aca="false">(Sens!C5323*IF(3&lt;life_it,1,IF(3=life_it,0.5,0))+Sens!D5323*IF(2&lt;life_it,1,IF(2=life_it,0.5,0))+Sens!E5323*IF(1&lt;life_it,1,IF(1=life_it,0.5,0))+Sens!F5323*0.5)/life_it</f>
        <v>31.6041972809556</v>
      </c>
      <c r="G5325" s="6" t="n">
        <f aca="false">(Sens!C5323*IF(4&lt;life_it,1,IF(4=life_it,0.5,0))+Sens!D5323*IF(3&lt;life_it,1,IF(3=life_it,0.5,0))+Sens!E5323*IF(2&lt;life_it,1,IF(2=life_it,0.5,0))+Sens!F5323*IF(1&lt;life_it,1,IF(1=life_it,0.5,0))+Sens!G5323*0.5)/life_it</f>
        <v>55.1440163105111</v>
      </c>
      <c r="H5325" s="6" t="n">
        <f aca="false">(Sens!C5323*IF(5&lt;life_it,1,IF(5=life_it,0.5,0))+Sens!D5323*IF(4&lt;life_it,1,IF(4=life_it,0.5,0))+Sens!E5323*IF(3&lt;life_it,1,IF(3=life_it,0.5,0))+Sens!F5323*IF(2&lt;life_it,1,IF(2=life_it,0.5,0))+Sens!G5323*IF(1&lt;life_it,1,IF(1=life_it,0.5,0))+Sens!H5323*0.5)/life_it</f>
        <v>80.7786178433111</v>
      </c>
      <c r="I5325" s="6" t="n">
        <f aca="false">(Sens!C5323*IF(6&lt;life_it,1,IF(6=life_it,0.5,0))+Sens!D5323*IF(5&lt;life_it,1,IF(5=life_it,0.5,0))+Sens!E5323*IF(4&lt;life_it,1,IF(4=life_it,0.5,0))+Sens!F5323*IF(3&lt;life_it,1,IF(3=life_it,0.5,0))+Sens!G5323*IF(2&lt;life_it,1,IF(2=life_it,0.5,0))+Sens!H5323*IF(1&lt;life_it,1,IF(1=life_it,0.5,0))+Sens!I5323*0.5)/life_it</f>
        <v>103.654881739393</v>
      </c>
      <c r="J5325" s="6" t="n">
        <f aca="false">(Sens!C5323*IF(7&lt;life_it,1,IF(7=life_it,0.5,0))+Sens!D5323*IF(6&lt;life_it,1,IF(6=life_it,0.5,0))+Sens!E5323*IF(5&lt;life_it,1,IF(5=life_it,0.5,0))+Sens!F5323*IF(4&lt;life_it,1,IF(4=life_it,0.5,0))+Sens!G5323*IF(3&lt;life_it,1,IF(3=life_it,0.5,0))+Sens!H5323*IF(2&lt;life_it,1,IF(2=life_it,0.5,0))+Sens!I5323*IF(1&lt;life_it,1,IF(1=life_it,0.5,0))+Sens!J5323*0.5)/life_it</f>
        <v>120.132683490983</v>
      </c>
      <c r="K5325" s="6" t="n">
        <f aca="false">(Sens!C5323*IF(8&lt;life_it,1,IF(8=life_it,0.5,0))+Sens!D5323*IF(7&lt;life_it,1,IF(7=life_it,0.5,0))+Sens!E5323*IF(6&lt;life_it,1,IF(6=life_it,0.5,0))+Sens!F5323*IF(5&lt;life_it,1,IF(5=life_it,0.5,0))+Sens!G5323*IF(4&lt;life_it,1,IF(4=life_it,0.5,0))+Sens!H5323*IF(3&lt;life_it,1,IF(3=life_it,0.5,0))+Sens!I5323*IF(2&lt;life_it,1,IF(2=life_it,0.5,0))+Sens!J5323*IF(1&lt;life_it,1,IF(1=life_it,0.5,0))+Sens!K5323*0.5)/life_it</f>
        <v>130.788646309522</v>
      </c>
    </row>
    <row r="5326" customFormat="false" ht="17.15" hidden="false" customHeight="false" outlineLevel="0" collapsed="false">
      <c r="A5326" s="0" t="s">
        <v>853</v>
      </c>
      <c r="B5326" s="0" t="s">
        <v>98</v>
      </c>
      <c r="E5326" s="6" t="n">
        <f aca="false">(Sens!C5321*IF(2&lt;life_fac,1,IF(2=life_fac,0.5,0))+Sens!D5321*IF(1&lt;life_fac,1,IF(1=life_fac,0.5,0))+Sens!E5321*0.5)/life_fac</f>
        <v>1.2448275</v>
      </c>
      <c r="F5326" s="6" t="n">
        <f aca="false">(Sens!C5321*IF(3&lt;life_fac,1,IF(3=life_fac,0.5,0))+Sens!D5321*IF(2&lt;life_fac,1,IF(2=life_fac,0.5,0))+Sens!E5321*IF(1&lt;life_fac,1,IF(1=life_fac,0.5,0))+Sens!F5321*0.5)/life_fac</f>
        <v>2.4456901</v>
      </c>
      <c r="G5326" s="6" t="n">
        <f aca="false">(Sens!C5321*IF(4&lt;life_fac,1,IF(4=life_fac,0.5,0))+Sens!D5321*IF(3&lt;life_fac,1,IF(3=life_fac,0.5,0))+Sens!E5321*IF(2&lt;life_fac,1,IF(2=life_fac,0.5,0))+Sens!F5321*IF(1&lt;life_fac,1,IF(1=life_fac,0.5,0))+Sens!G5321*0.5)/life_fac</f>
        <v>3.9814208</v>
      </c>
      <c r="H5326" s="6" t="n">
        <f aca="false">(Sens!C5321*IF(5&lt;life_fac,1,IF(5=life_fac,0.5,0))+Sens!D5321*IF(4&lt;life_fac,1,IF(4=life_fac,0.5,0))+Sens!E5321*IF(3&lt;life_fac,1,IF(3=life_fac,0.5,0))+Sens!F5321*IF(2&lt;life_fac,1,IF(2=life_fac,0.5,0))+Sens!G5321*IF(1&lt;life_fac,1,IF(1=life_fac,0.5,0))+Sens!H5321*0.5)/life_fac</f>
        <v>5.582402</v>
      </c>
      <c r="I5326" s="6" t="n">
        <f aca="false">(Sens!C5321*IF(6&lt;life_fac,1,IF(6=life_fac,0.5,0))+Sens!D5321*IF(5&lt;life_fac,1,IF(5=life_fac,0.5,0))+Sens!E5321*IF(4&lt;life_fac,1,IF(4=life_fac,0.5,0))+Sens!F5321*IF(3&lt;life_fac,1,IF(3=life_fac,0.5,0))+Sens!G5321*IF(2&lt;life_fac,1,IF(2=life_fac,0.5,0))+Sens!H5321*IF(1&lt;life_fac,1,IF(1=life_fac,0.5,0))+Sens!I5321*0.5)/life_fac</f>
        <v>6.950862093</v>
      </c>
      <c r="J5326" s="6" t="n">
        <f aca="false">(Sens!C5321*IF(7&lt;life_fac,1,IF(7=life_fac,0.5,0))+Sens!D5321*IF(6&lt;life_fac,1,IF(6=life_fac,0.5,0))+Sens!E5321*IF(5&lt;life_fac,1,IF(5=life_fac,0.5,0))+Sens!F5321*IF(4&lt;life_fac,1,IF(4=life_fac,0.5,0))+Sens!G5321*IF(3&lt;life_fac,1,IF(3=life_fac,0.5,0))+Sens!H5321*IF(2&lt;life_fac,1,IF(2=life_fac,0.5,0))+Sens!I5321*IF(1&lt;life_fac,1,IF(1=life_fac,0.5,0))+Sens!J5321*0.5)/life_fac</f>
        <v>7.86563936186</v>
      </c>
      <c r="K5326" s="6" t="n">
        <f aca="false">(Sens!C5321*IF(8&lt;life_fac,1,IF(8=life_fac,0.5,0))+Sens!D5321*IF(7&lt;life_fac,1,IF(7=life_fac,0.5,0))+Sens!E5321*IF(6&lt;life_fac,1,IF(6=life_fac,0.5,0))+Sens!F5321*IF(5&lt;life_fac,1,IF(5=life_fac,0.5,0))+Sens!G5321*IF(4&lt;life_fac,1,IF(4=life_fac,0.5,0))+Sens!H5321*IF(3&lt;life_fac,1,IF(3=life_fac,0.5,0))+Sens!I5321*IF(2&lt;life_fac,1,IF(2=life_fac,0.5,0))+Sens!J5321*IF(1&lt;life_fac,1,IF(1=life_fac,0.5,0))+Sens!K5321*0.5)/life_fac</f>
        <v>8.3428177347858</v>
      </c>
    </row>
    <row r="5327" customFormat="false" ht="17.15" hidden="false" customHeight="false" outlineLevel="0" collapsed="false">
      <c r="A5327" s="0" t="s">
        <v>854</v>
      </c>
      <c r="B5327" s="0" t="s">
        <v>98</v>
      </c>
      <c r="E5327" s="6" t="n">
        <f aca="false">Sens!E5325+Sens!E5326</f>
        <v>16.3054059770833</v>
      </c>
      <c r="F5327" s="6" t="n">
        <f aca="false">Sens!F5325+Sens!F5326</f>
        <v>34.0498873809555</v>
      </c>
      <c r="G5327" s="6" t="n">
        <f aca="false">Sens!G5325+Sens!G5326</f>
        <v>59.1254371105111</v>
      </c>
      <c r="H5327" s="6" t="n">
        <f aca="false">Sens!H5325+Sens!H5326</f>
        <v>86.3610198433111</v>
      </c>
      <c r="I5327" s="6" t="n">
        <f aca="false">Sens!I5325+Sens!I5326</f>
        <v>110.605743832393</v>
      </c>
      <c r="J5327" s="6" t="n">
        <f aca="false">Sens!J5325+Sens!J5326</f>
        <v>127.998322852843</v>
      </c>
      <c r="K5327" s="6" t="n">
        <f aca="false">Sens!K5325+Sens!K5326</f>
        <v>139.131464044308</v>
      </c>
    </row>
    <row r="5328" customFormat="false" ht="17.15" hidden="false" customHeight="false" outlineLevel="0" collapsed="false">
      <c r="A5328" s="0" t="s">
        <v>855</v>
      </c>
      <c r="B5328" s="0" t="s">
        <v>98</v>
      </c>
      <c r="E5328" s="6" t="n">
        <f aca="false">Sens!E5316-Sens!E5315*Sens!E5327</f>
        <v>8.92707889977379</v>
      </c>
      <c r="F5328" s="6" t="n">
        <f aca="false">Sens!F5316-Sens!F5315*Sens!F5327</f>
        <v>22.6979209761638</v>
      </c>
      <c r="G5328" s="6" t="n">
        <f aca="false">Sens!G5316-Sens!G5315*Sens!G5327</f>
        <v>42.9960401135986</v>
      </c>
      <c r="H5328" s="6" t="n">
        <f aca="false">Sens!H5316-Sens!H5315*Sens!H5327</f>
        <v>68.3530123552322</v>
      </c>
      <c r="I5328" s="6" t="n">
        <f aca="false">Sens!I5316-Sens!I5315*Sens!I5327</f>
        <v>85.5693875361303</v>
      </c>
      <c r="J5328" s="6" t="n">
        <f aca="false">Sens!J5316-Sens!J5315*Sens!J5327</f>
        <v>97.6813621174372</v>
      </c>
      <c r="K5328" s="6" t="n">
        <f aca="false">Sens!K5316-Sens!K5315*Sens!K5327</f>
        <v>106.099477202773</v>
      </c>
    </row>
    <row r="5329" customFormat="false" ht="17.15" hidden="false" customHeight="false" outlineLevel="0" collapsed="false">
      <c r="A5329" s="3" t="s">
        <v>1398</v>
      </c>
    </row>
    <row r="5330" customFormat="false" ht="15" hidden="false" customHeight="false" outlineLevel="0" collapsed="false">
      <c r="A5330" s="4" t="s">
        <v>43</v>
      </c>
      <c r="B5330" s="4" t="s">
        <v>65</v>
      </c>
      <c r="C5330" s="20" t="s">
        <v>799</v>
      </c>
      <c r="D5330" s="20" t="s">
        <v>800</v>
      </c>
      <c r="E5330" s="20" t="s">
        <v>801</v>
      </c>
      <c r="F5330" s="20" t="s">
        <v>802</v>
      </c>
      <c r="G5330" s="20" t="s">
        <v>803</v>
      </c>
      <c r="H5330" s="20" t="s">
        <v>804</v>
      </c>
      <c r="I5330" s="20" t="s">
        <v>805</v>
      </c>
      <c r="J5330" s="20" t="s">
        <v>806</v>
      </c>
      <c r="K5330" s="20" t="s">
        <v>807</v>
      </c>
      <c r="L5330" s="4" t="s">
        <v>47</v>
      </c>
    </row>
    <row r="5331" customFormat="false" ht="17.15" hidden="false" customHeight="false" outlineLevel="0" collapsed="false">
      <c r="A5331" s="0" t="s">
        <v>874</v>
      </c>
      <c r="B5331" s="0" t="s">
        <v>98</v>
      </c>
      <c r="D5331" s="6" t="n">
        <f aca="false">Sens!D5310</f>
        <v>12.9359794422418</v>
      </c>
      <c r="E5331" s="6" t="n">
        <f aca="false">Sens!E5310</f>
        <v>27.8095064661409</v>
      </c>
      <c r="F5331" s="6" t="n">
        <f aca="false">Sens!F5310</f>
        <v>58.7324192305018</v>
      </c>
      <c r="G5331" s="6" t="n">
        <f aca="false">Sens!G5310</f>
        <v>101.369089141153</v>
      </c>
      <c r="H5331" s="6" t="n">
        <f aca="false">Sens!H5310</f>
        <v>149.785610014234</v>
      </c>
      <c r="I5331" s="6" t="n">
        <f aca="false">Sens!I5310</f>
        <v>187.368703083263</v>
      </c>
      <c r="J5331" s="6" t="n">
        <f aca="false">Sens!J5310</f>
        <v>213.886657444854</v>
      </c>
      <c r="K5331" s="6" t="n">
        <f aca="false">Sens!K5310</f>
        <v>231.253475259589</v>
      </c>
    </row>
    <row r="5332" customFormat="false" ht="17.15" hidden="false" customHeight="false" outlineLevel="0" collapsed="false">
      <c r="A5332" s="0" t="s">
        <v>875</v>
      </c>
      <c r="B5332" s="0" t="s">
        <v>98</v>
      </c>
      <c r="D5332" s="6" t="n">
        <f aca="false">Q!L6-Sens!D5331</f>
        <v>59.6740205577583</v>
      </c>
      <c r="E5332" s="6" t="n">
        <f aca="false">Q!M6-Sens!E5331</f>
        <v>74.1284935338591</v>
      </c>
      <c r="F5332" s="6" t="n">
        <f aca="false">Sens!E5332*(1+Sens!F5333)</f>
        <v>90.0799497373663</v>
      </c>
      <c r="G5332" s="6" t="n">
        <f aca="false">Sens!F5332*(1+Sens!G5333)</f>
        <v>107.02842520331</v>
      </c>
      <c r="H5332" s="6" t="n">
        <f aca="false">Sens!G5332*(1+Sens!H5333)</f>
        <v>124.271982585636</v>
      </c>
      <c r="I5332" s="6" t="n">
        <f aca="false">Sens!H5332*(1+Sens!I5333)</f>
        <v>140.933702381855</v>
      </c>
      <c r="J5332" s="6" t="n">
        <f aca="false">Sens!I5332*(1+Sens!J5333)</f>
        <v>156.018867314332</v>
      </c>
      <c r="K5332" s="6" t="n">
        <f aca="false">Sens!J5332*(1+Sens!K5333)</f>
        <v>168.500376699478</v>
      </c>
    </row>
    <row r="5333" customFormat="false" ht="15" hidden="false" customHeight="false" outlineLevel="0" collapsed="false">
      <c r="A5333" s="1" t="s">
        <v>876</v>
      </c>
      <c r="B5333" s="0" t="s">
        <v>129</v>
      </c>
      <c r="E5333" s="7" t="n">
        <f aca="false">Sens!E5332/Sens!D5332-1</f>
        <v>0.242223883039864</v>
      </c>
      <c r="F5333" s="7" t="n">
        <f aca="false">Sens!$E$5333+(glt_azo-Sens!$E$5333)*MIN(1,(Sens!F5293-base_fy)/n_conv)</f>
        <v>0.215186569199887</v>
      </c>
      <c r="G5333" s="7" t="n">
        <f aca="false">Sens!$E$5333+(glt_azo-Sens!$E$5333)*MIN(1,(Sens!G5293-base_fy)/n_conv)</f>
        <v>0.18814925535991</v>
      </c>
      <c r="H5333" s="7" t="n">
        <f aca="false">Sens!$E$5333+(glt_azo-Sens!$E$5333)*MIN(1,(Sens!H5293-base_fy)/n_conv)</f>
        <v>0.161111941519932</v>
      </c>
      <c r="I5333" s="7" t="n">
        <f aca="false">Sens!$E$5333+(glt_azo-Sens!$E$5333)*MIN(1,(Sens!I5293-base_fy)/n_conv)</f>
        <v>0.134074627679955</v>
      </c>
      <c r="J5333" s="7" t="n">
        <f aca="false">Sens!$E$5333+(glt_azo-Sens!$E$5333)*MIN(1,(Sens!J5293-base_fy)/n_conv)</f>
        <v>0.107037313839977</v>
      </c>
      <c r="K5333" s="7" t="n">
        <f aca="false">Sens!$E$5333+(glt_azo-Sens!$E$5333)*MIN(1,(Sens!K5293-base_fy)/n_conv)</f>
        <v>0.08</v>
      </c>
    </row>
    <row r="5334" customFormat="false" ht="15" hidden="false" customHeight="false" outlineLevel="0" collapsed="false">
      <c r="A5334" s="0" t="s">
        <v>877</v>
      </c>
      <c r="B5334" s="0" t="s">
        <v>98</v>
      </c>
      <c r="D5334" s="6" t="n">
        <f aca="false">Sens!D5331+Sens!D5332</f>
        <v>72.61</v>
      </c>
      <c r="E5334" s="6" t="n">
        <f aca="false">Sens!E5331+Sens!E5332</f>
        <v>101.938</v>
      </c>
      <c r="F5334" s="6" t="n">
        <f aca="false">Sens!F5331+Sens!F5332</f>
        <v>148.812368967868</v>
      </c>
      <c r="G5334" s="6" t="n">
        <f aca="false">Sens!G5331+Sens!G5332</f>
        <v>208.397514344463</v>
      </c>
      <c r="H5334" s="6" t="n">
        <f aca="false">Sens!H5331+Sens!H5332</f>
        <v>274.05759259987</v>
      </c>
      <c r="I5334" s="6" t="n">
        <f aca="false">Sens!I5331+Sens!I5332</f>
        <v>328.302405465117</v>
      </c>
      <c r="J5334" s="6" t="n">
        <f aca="false">Sens!J5331+Sens!J5332</f>
        <v>369.905524759186</v>
      </c>
      <c r="K5334" s="6" t="n">
        <f aca="false">Sens!K5331+Sens!K5332</f>
        <v>399.753851959067</v>
      </c>
    </row>
    <row r="5335" customFormat="false" ht="17.15" hidden="false" customHeight="false" outlineLevel="0" collapsed="false">
      <c r="A5335" s="0" t="s">
        <v>878</v>
      </c>
      <c r="B5335" s="1" t="s">
        <v>528</v>
      </c>
      <c r="C5335" s="29" t="n">
        <f aca="false">cop_s24</f>
        <v>1</v>
      </c>
      <c r="D5335" s="29" t="n">
        <f aca="false">cop_s25</f>
        <v>5</v>
      </c>
      <c r="E5335" s="29" t="n">
        <f aca="false">cop_s26</f>
        <v>30</v>
      </c>
      <c r="F5335" s="29" t="n">
        <f aca="false">Sens!E5335+cop_add_A*0.5</f>
        <v>45</v>
      </c>
      <c r="G5335" s="29" t="n">
        <f aca="false">Sens!F5335+cop_add_A*0.5</f>
        <v>60</v>
      </c>
      <c r="H5335" s="29" t="n">
        <f aca="false">Sens!G5335+cop_add_A*0.5</f>
        <v>75</v>
      </c>
      <c r="I5335" s="29" t="n">
        <f aca="false">Sens!H5335+cop_add_A*0.5*cop_tail</f>
        <v>82.5</v>
      </c>
      <c r="J5335" s="29" t="n">
        <f aca="false">Sens!I5335+cop_add_A*0.5*cop_tail</f>
        <v>90</v>
      </c>
      <c r="K5335" s="29" t="n">
        <f aca="false">Sens!J5335+cop_add_A*0.5*cop_tail</f>
        <v>97.5</v>
      </c>
      <c r="L5335" s="11" t="s">
        <v>879</v>
      </c>
    </row>
    <row r="5336" customFormat="false" ht="17.15" hidden="false" customHeight="false" outlineLevel="0" collapsed="false">
      <c r="A5336" s="0" t="s">
        <v>880</v>
      </c>
      <c r="B5336" s="0" t="s">
        <v>98</v>
      </c>
      <c r="D5336" s="6" t="n">
        <f aca="false">(Sens!C5335+Sens!D5335)/2*cop_px*12/1000</f>
        <v>0.9</v>
      </c>
      <c r="E5336" s="6" t="n">
        <f aca="false">(Sens!D5335+Sens!E5335)/2*cop_px*12/1000</f>
        <v>5.25</v>
      </c>
      <c r="F5336" s="6" t="n">
        <f aca="false">(Sens!E5335+Sens!F5335)/2*cop_px*12/1000</f>
        <v>11.25</v>
      </c>
      <c r="G5336" s="6" t="n">
        <f aca="false">(Sens!F5335+Sens!G5335)/2*cop_px*12/1000</f>
        <v>15.75</v>
      </c>
      <c r="H5336" s="6" t="n">
        <f aca="false">(Sens!G5335+Sens!H5335)/2*cop_px*12/1000</f>
        <v>20.25</v>
      </c>
      <c r="I5336" s="6" t="n">
        <f aca="false">(Sens!H5335+Sens!I5335)/2*cop_px*12/1000</f>
        <v>23.625</v>
      </c>
      <c r="J5336" s="6" t="n">
        <f aca="false">(Sens!I5335+Sens!J5335)/2*cop_px*12/1000</f>
        <v>25.875</v>
      </c>
      <c r="K5336" s="6" t="n">
        <f aca="false">(Sens!J5335+Sens!K5335)/2*cop_px*12/1000</f>
        <v>28.125</v>
      </c>
      <c r="L5336" s="1" t="s">
        <v>881</v>
      </c>
    </row>
    <row r="5337" customFormat="false" ht="17.15" hidden="false" customHeight="false" outlineLevel="0" collapsed="false">
      <c r="A5337" s="0" t="s">
        <v>882</v>
      </c>
      <c r="B5337" s="0" t="s">
        <v>98</v>
      </c>
      <c r="D5337" s="6" t="n">
        <f aca="false">Q!L7-Sens!D5336</f>
        <v>83.705</v>
      </c>
      <c r="E5337" s="6" t="n">
        <f aca="false">Q!M7-Sens!E5336</f>
        <v>95.049</v>
      </c>
      <c r="F5337" s="6" t="n">
        <f aca="false">Sens!E5337*(1+Sens!F5338)</f>
        <v>106.89238776686</v>
      </c>
      <c r="G5337" s="6" t="n">
        <f aca="false">Sens!F5337*(1+Sens!G5338)</f>
        <v>119.044168448684</v>
      </c>
      <c r="H5337" s="6" t="n">
        <f aca="false">Sens!G5337*(1+Sens!H5338)</f>
        <v>131.277359388781</v>
      </c>
      <c r="I5337" s="6" t="n">
        <f aca="false">Sens!H5337*(1+Sens!I5338)</f>
        <v>143.334028071957</v>
      </c>
      <c r="J5337" s="6" t="n">
        <f aca="false">Sens!I5337*(1+Sens!J5338)</f>
        <v>154.932702785465</v>
      </c>
      <c r="K5337" s="6" t="n">
        <f aca="false">Sens!J5337*(1+Sens!K5338)</f>
        <v>165.777991980448</v>
      </c>
    </row>
    <row r="5338" customFormat="false" ht="15" hidden="false" customHeight="false" outlineLevel="0" collapsed="false">
      <c r="A5338" s="1" t="s">
        <v>876</v>
      </c>
      <c r="B5338" s="0" t="s">
        <v>129</v>
      </c>
      <c r="E5338" s="7" t="n">
        <f aca="false">Sens!E5337/Sens!D5337-1</f>
        <v>0.135523564900544</v>
      </c>
      <c r="F5338" s="7" t="n">
        <f aca="false">Sens!$E$5338+(glt_m365b-Sens!$E$5338)*MIN(1,(Sens!F5293-base_fy)/n_conv)</f>
        <v>0.124602970750453</v>
      </c>
      <c r="G5338" s="7" t="n">
        <f aca="false">Sens!$E$5338+(glt_m365b-Sens!$E$5338)*MIN(1,(Sens!G5293-base_fy)/n_conv)</f>
        <v>0.113682376600363</v>
      </c>
      <c r="H5338" s="7" t="n">
        <f aca="false">Sens!$E$5338+(glt_m365b-Sens!$E$5338)*MIN(1,(Sens!H5293-base_fy)/n_conv)</f>
        <v>0.102761782450272</v>
      </c>
      <c r="I5338" s="7" t="n">
        <f aca="false">Sens!$E$5338+(glt_m365b-Sens!$E$5338)*MIN(1,(Sens!I5293-base_fy)/n_conv)</f>
        <v>0.0918411883001813</v>
      </c>
      <c r="J5338" s="7" t="n">
        <f aca="false">Sens!$E$5338+(glt_m365b-Sens!$E$5338)*MIN(1,(Sens!J5293-base_fy)/n_conv)</f>
        <v>0.0809205941500906</v>
      </c>
      <c r="K5338" s="7" t="n">
        <f aca="false">Sens!$E$5338+(glt_m365b-Sens!$E$5338)*MIN(1,(Sens!K5293-base_fy)/n_conv)</f>
        <v>0.07</v>
      </c>
    </row>
    <row r="5339" customFormat="false" ht="15" hidden="false" customHeight="false" outlineLevel="0" collapsed="false">
      <c r="A5339" s="0" t="s">
        <v>883</v>
      </c>
      <c r="B5339" s="0" t="s">
        <v>98</v>
      </c>
      <c r="D5339" s="6" t="n">
        <f aca="false">Sens!D5337+Sens!D5336</f>
        <v>84.605</v>
      </c>
      <c r="E5339" s="6" t="n">
        <f aca="false">Sens!E5337+Sens!E5336</f>
        <v>100.299</v>
      </c>
      <c r="F5339" s="6" t="n">
        <f aca="false">Sens!F5337+Sens!F5336</f>
        <v>118.14238776686</v>
      </c>
      <c r="G5339" s="6" t="n">
        <f aca="false">Sens!G5337+Sens!G5336</f>
        <v>134.794168448684</v>
      </c>
      <c r="H5339" s="6" t="n">
        <f aca="false">Sens!H5337+Sens!H5336</f>
        <v>151.527359388781</v>
      </c>
      <c r="I5339" s="6" t="n">
        <f aca="false">Sens!I5337+Sens!I5336</f>
        <v>166.959028071957</v>
      </c>
      <c r="J5339" s="6" t="n">
        <f aca="false">Sens!J5337+Sens!J5336</f>
        <v>180.807702785465</v>
      </c>
      <c r="K5339" s="6" t="n">
        <f aca="false">Sens!K5337+Sens!K5336</f>
        <v>193.902991980448</v>
      </c>
    </row>
    <row r="5340" customFormat="false" ht="15" hidden="false" customHeight="false" outlineLevel="0" collapsed="false">
      <c r="A5340" s="0" t="s">
        <v>884</v>
      </c>
      <c r="B5340" s="0" t="s">
        <v>98</v>
      </c>
      <c r="D5340" s="6" t="n">
        <f aca="false">Q!L8</f>
        <v>35.391</v>
      </c>
      <c r="E5340" s="6" t="n">
        <f aca="false">Q!M8</f>
        <v>37.285</v>
      </c>
      <c r="F5340" s="6" t="n">
        <f aca="false">Sens!E5340*(1+Sens!F5341)</f>
        <v>39.0720834331704</v>
      </c>
      <c r="G5340" s="6" t="n">
        <f aca="false">Sens!F5340*(1+Sens!G5341)</f>
        <v>40.726562953769</v>
      </c>
      <c r="H5340" s="6" t="n">
        <f aca="false">Sens!G5340*(1+Sens!H5341)</f>
        <v>42.2235987259198</v>
      </c>
      <c r="I5340" s="6" t="n">
        <f aca="false">Sens!H5340*(1+Sens!I5341)</f>
        <v>43.5397988077414</v>
      </c>
      <c r="J5340" s="6" t="n">
        <f aca="false">Sens!I5340*(1+Sens!J5341)</f>
        <v>44.653811225693</v>
      </c>
      <c r="K5340" s="6" t="n">
        <f aca="false">Sens!J5340*(1+Sens!K5341)</f>
        <v>45.5468874502068</v>
      </c>
    </row>
    <row r="5341" customFormat="false" ht="15" hidden="false" customHeight="false" outlineLevel="0" collapsed="false">
      <c r="A5341" s="1" t="s">
        <v>876</v>
      </c>
      <c r="B5341" s="0" t="s">
        <v>129</v>
      </c>
      <c r="E5341" s="7" t="n">
        <f aca="false">Sens!E5340/Sens!D5340-1</f>
        <v>0.0535164307309768</v>
      </c>
      <c r="F5341" s="7" t="n">
        <f aca="false">Sens!$E$5341+(glt_lic-Sens!$E$5341)*MIN(1,(Sens!F5293-base_fy)/n_conv)</f>
        <v>0.0479303589424807</v>
      </c>
      <c r="G5341" s="7" t="n">
        <f aca="false">Sens!$E$5341+(glt_lic-Sens!$E$5341)*MIN(1,(Sens!G5293-base_fy)/n_conv)</f>
        <v>0.0423442871539845</v>
      </c>
      <c r="H5341" s="7" t="n">
        <f aca="false">Sens!$E$5341+(glt_lic-Sens!$E$5341)*MIN(1,(Sens!H5293-base_fy)/n_conv)</f>
        <v>0.0367582153654884</v>
      </c>
      <c r="I5341" s="7" t="n">
        <f aca="false">Sens!$E$5341+(glt_lic-Sens!$E$5341)*MIN(1,(Sens!I5293-base_fy)/n_conv)</f>
        <v>0.0311721435769923</v>
      </c>
      <c r="J5341" s="7" t="n">
        <f aca="false">Sens!$E$5341+(glt_lic-Sens!$E$5341)*MIN(1,(Sens!J5293-base_fy)/n_conv)</f>
        <v>0.0255860717884961</v>
      </c>
      <c r="K5341" s="7" t="n">
        <f aca="false">Sens!$E$5341+(glt_lic-Sens!$E$5341)*MIN(1,(Sens!K5293-base_fy)/n_conv)</f>
        <v>0.02</v>
      </c>
    </row>
    <row r="5342" customFormat="false" ht="15" hidden="false" customHeight="false" outlineLevel="0" collapsed="false">
      <c r="A5342" s="0" t="s">
        <v>885</v>
      </c>
      <c r="B5342" s="0" t="s">
        <v>98</v>
      </c>
      <c r="D5342" s="6" t="n">
        <f aca="false">Q!L9</f>
        <v>18.417</v>
      </c>
      <c r="E5342" s="6" t="n">
        <f aca="false">Q!M9</f>
        <v>20.345</v>
      </c>
      <c r="F5342" s="6" t="n">
        <f aca="false">Sens!E5342*(1+Sens!F5343)</f>
        <v>22.3572203267814</v>
      </c>
      <c r="G5342" s="6" t="n">
        <f aca="false">Sens!F5342*(1+Sens!G5343)</f>
        <v>24.4392124437232</v>
      </c>
      <c r="H5342" s="6" t="n">
        <f aca="false">Sens!G5342*(1+Sens!H5343)</f>
        <v>26.5738052080665</v>
      </c>
      <c r="I5342" s="6" t="n">
        <f aca="false">Sens!H5342*(1+Sens!I5343)</f>
        <v>28.7412169166967</v>
      </c>
      <c r="J5342" s="6" t="n">
        <f aca="false">Sens!I5342*(1+Sens!J5343)</f>
        <v>30.9192545395413</v>
      </c>
      <c r="K5342" s="6" t="n">
        <f aca="false">Sens!J5342*(1+Sens!K5343)</f>
        <v>33.0836023573092</v>
      </c>
    </row>
    <row r="5343" customFormat="false" ht="15" hidden="false" customHeight="false" outlineLevel="0" collapsed="false">
      <c r="A5343" s="1" t="s">
        <v>876</v>
      </c>
      <c r="B5343" s="0" t="s">
        <v>129</v>
      </c>
      <c r="E5343" s="7" t="n">
        <f aca="false">Sens!E5342/Sens!D5342-1</f>
        <v>0.104685888038225</v>
      </c>
      <c r="F5343" s="7" t="n">
        <f aca="false">Sens!$E$5343+(glt_ind-Sens!$E$5343)*MIN(1,(Sens!F5293-base_fy)/n_conv)</f>
        <v>0.0989049066985211</v>
      </c>
      <c r="G5343" s="7" t="n">
        <f aca="false">Sens!$E$5343+(glt_ind-Sens!$E$5343)*MIN(1,(Sens!G5293-base_fy)/n_conv)</f>
        <v>0.0931239253588169</v>
      </c>
      <c r="H5343" s="7" t="n">
        <f aca="false">Sens!$E$5343+(glt_ind-Sens!$E$5343)*MIN(1,(Sens!H5293-base_fy)/n_conv)</f>
        <v>0.0873429440191127</v>
      </c>
      <c r="I5343" s="7" t="n">
        <f aca="false">Sens!$E$5343+(glt_ind-Sens!$E$5343)*MIN(1,(Sens!I5293-base_fy)/n_conv)</f>
        <v>0.0815619626794085</v>
      </c>
      <c r="J5343" s="7" t="n">
        <f aca="false">Sens!$E$5343+(glt_ind-Sens!$E$5343)*MIN(1,(Sens!J5293-base_fy)/n_conv)</f>
        <v>0.0757809813397042</v>
      </c>
      <c r="K5343" s="7" t="n">
        <f aca="false">Sens!$E$5343+(glt_ind-Sens!$E$5343)*MIN(1,(Sens!K5293-base_fy)/n_conv)</f>
        <v>0.07</v>
      </c>
    </row>
    <row r="5344" customFormat="false" ht="15" hidden="false" customHeight="false" outlineLevel="0" collapsed="false">
      <c r="A5344" s="0" t="s">
        <v>886</v>
      </c>
      <c r="B5344" s="0" t="s">
        <v>98</v>
      </c>
      <c r="D5344" s="6" t="n">
        <f aca="false">Q!L10</f>
        <v>7.76</v>
      </c>
      <c r="E5344" s="6" t="n">
        <f aca="false">Q!M10</f>
        <v>8.26</v>
      </c>
      <c r="F5344" s="6" t="n">
        <f aca="false">Sens!E5344*(1+Sens!F5345)</f>
        <v>8.79988041237113</v>
      </c>
      <c r="G5344" s="6" t="n">
        <f aca="false">Sens!F5344*(1+Sens!G5345)</f>
        <v>9.38321269125306</v>
      </c>
      <c r="H5344" s="6" t="n">
        <f aca="false">Sens!G5344*(1+Sens!H5345)</f>
        <v>10.0139193587476</v>
      </c>
      <c r="I5344" s="6" t="n">
        <f aca="false">Sens!H5344*(1+Sens!I5345)</f>
        <v>10.6963111830911</v>
      </c>
      <c r="J5344" s="6" t="n">
        <f aca="false">Sens!I5344*(1+Sens!J5345)</f>
        <v>11.4351285534696</v>
      </c>
      <c r="K5344" s="6" t="n">
        <f aca="false">Sens!J5344*(1+Sens!K5345)</f>
        <v>12.2355875522124</v>
      </c>
    </row>
    <row r="5345" customFormat="false" ht="15" hidden="false" customHeight="false" outlineLevel="0" collapsed="false">
      <c r="A5345" s="1" t="s">
        <v>876</v>
      </c>
      <c r="B5345" s="0" t="s">
        <v>129</v>
      </c>
      <c r="E5345" s="7" t="n">
        <f aca="false">Sens!E5344/Sens!D5344-1</f>
        <v>0.0644329896907216</v>
      </c>
      <c r="F5345" s="7" t="n">
        <f aca="false">Sens!$E$5345+(glt_fro-Sens!$E$5345)*MIN(1,(Sens!F5293-base_fy)/n_conv)</f>
        <v>0.065360824742268</v>
      </c>
      <c r="G5345" s="7" t="n">
        <f aca="false">Sens!$E$5345+(glt_fro-Sens!$E$5345)*MIN(1,(Sens!G5293-base_fy)/n_conv)</f>
        <v>0.0662886597938144</v>
      </c>
      <c r="H5345" s="7" t="n">
        <f aca="false">Sens!$E$5345+(glt_fro-Sens!$E$5345)*MIN(1,(Sens!H5293-base_fy)/n_conv)</f>
        <v>0.0672164948453608</v>
      </c>
      <c r="I5345" s="7" t="n">
        <f aca="false">Sens!$E$5345+(glt_fro-Sens!$E$5345)*MIN(1,(Sens!I5293-base_fy)/n_conv)</f>
        <v>0.0681443298969072</v>
      </c>
      <c r="J5345" s="7" t="n">
        <f aca="false">Sens!$E$5345+(glt_fro-Sens!$E$5345)*MIN(1,(Sens!J5293-base_fy)/n_conv)</f>
        <v>0.0690721649484536</v>
      </c>
      <c r="K5345" s="7" t="n">
        <f aca="false">Sens!$E$5345+(glt_fro-Sens!$E$5345)*MIN(1,(Sens!K5293-base_fy)/n_conv)</f>
        <v>0.07</v>
      </c>
    </row>
    <row r="5346" customFormat="false" ht="15" hidden="false" customHeight="false" outlineLevel="0" collapsed="false">
      <c r="A5346" s="0" t="s">
        <v>715</v>
      </c>
      <c r="B5346" s="0" t="s">
        <v>98</v>
      </c>
      <c r="D5346" s="6" t="n">
        <f aca="false">Sens!D5334+Sens!D5339+Sens!D5340+Sens!D5342+Sens!D5344</f>
        <v>218.783</v>
      </c>
      <c r="E5346" s="6" t="n">
        <f aca="false">Sens!E5334+Sens!E5339+Sens!E5340+Sens!E5342+Sens!E5344</f>
        <v>268.127</v>
      </c>
      <c r="F5346" s="6" t="n">
        <f aca="false">Sens!F5334+Sens!F5339+Sens!F5340+Sens!F5342+Sens!F5344</f>
        <v>337.183940907051</v>
      </c>
      <c r="G5346" s="6" t="n">
        <f aca="false">Sens!G5334+Sens!G5339+Sens!G5340+Sens!G5342+Sens!G5344</f>
        <v>417.740670881892</v>
      </c>
      <c r="H5346" s="6" t="n">
        <f aca="false">Sens!H5334+Sens!H5339+Sens!H5340+Sens!H5342+Sens!H5344</f>
        <v>504.396275281385</v>
      </c>
      <c r="I5346" s="6" t="n">
        <f aca="false">Sens!I5334+Sens!I5339+Sens!I5340+Sens!I5342+Sens!I5344</f>
        <v>578.238760444604</v>
      </c>
      <c r="J5346" s="6" t="n">
        <f aca="false">Sens!J5334+Sens!J5339+Sens!J5340+Sens!J5342+Sens!J5344</f>
        <v>637.721421863355</v>
      </c>
      <c r="K5346" s="6" t="n">
        <f aca="false">Sens!K5334+Sens!K5339+Sens!K5340+Sens!K5342+Sens!K5344</f>
        <v>684.522921299244</v>
      </c>
    </row>
    <row r="5347" customFormat="false" ht="15" hidden="false" customHeight="false" outlineLevel="0" collapsed="false">
      <c r="A5347" s="0" t="s">
        <v>887</v>
      </c>
      <c r="B5347" s="0" t="s">
        <v>98</v>
      </c>
      <c r="D5347" s="6" t="n">
        <f aca="false">Q!L13</f>
        <v>22.171</v>
      </c>
      <c r="E5347" s="6" t="n">
        <f aca="false">Q!M13</f>
        <v>24.835</v>
      </c>
      <c r="F5347" s="6" t="n">
        <f aca="false">Sens!E5347*(1+Sens!F5348)</f>
        <v>27.6114901218559</v>
      </c>
      <c r="G5347" s="6" t="n">
        <f aca="false">Sens!F5347*(1+Sens!G5348)</f>
        <v>30.4675667338515</v>
      </c>
      <c r="H5347" s="6" t="n">
        <f aca="false">Sens!G5347*(1+Sens!H5348)</f>
        <v>33.3643766955789</v>
      </c>
      <c r="I5347" s="6" t="n">
        <f aca="false">Sens!H5347*(1+Sens!I5348)</f>
        <v>36.2577016533691</v>
      </c>
      <c r="J5347" s="6" t="n">
        <f aca="false">Sens!I5347*(1+Sens!J5348)</f>
        <v>39.0988367952171</v>
      </c>
      <c r="K5347" s="6" t="n">
        <f aca="false">Sens!J5347*(1+Sens!K5348)</f>
        <v>41.8357553708823</v>
      </c>
    </row>
    <row r="5348" customFormat="false" ht="15" hidden="false" customHeight="false" outlineLevel="0" collapsed="false">
      <c r="A5348" s="1" t="s">
        <v>876</v>
      </c>
      <c r="B5348" s="0" t="s">
        <v>129</v>
      </c>
      <c r="E5348" s="7" t="n">
        <f aca="false">Sens!E5347/Sens!D5347-1</f>
        <v>0.120156961796942</v>
      </c>
      <c r="F5348" s="7" t="n">
        <f aca="false">Sens!$E$5348+(glt_srch-Sens!$E$5348)*MIN(1,(Sens!F5293-base_fy)/n_conv)</f>
        <v>0.111797468164118</v>
      </c>
      <c r="G5348" s="7" t="n">
        <f aca="false">Sens!$E$5348+(glt_srch-Sens!$E$5348)*MIN(1,(Sens!G5293-base_fy)/n_conv)</f>
        <v>0.103437974531295</v>
      </c>
      <c r="H5348" s="7" t="n">
        <f aca="false">Sens!$E$5348+(glt_srch-Sens!$E$5348)*MIN(1,(Sens!H5293-base_fy)/n_conv)</f>
        <v>0.095078480898471</v>
      </c>
      <c r="I5348" s="7" t="n">
        <f aca="false">Sens!$E$5348+(glt_srch-Sens!$E$5348)*MIN(1,(Sens!I5293-base_fy)/n_conv)</f>
        <v>0.0867189872656474</v>
      </c>
      <c r="J5348" s="7" t="n">
        <f aca="false">Sens!$E$5348+(glt_srch-Sens!$E$5348)*MIN(1,(Sens!J5293-base_fy)/n_conv)</f>
        <v>0.0783594936328237</v>
      </c>
      <c r="K5348" s="7" t="n">
        <f aca="false">Sens!$E$5348+(glt_srch-Sens!$E$5348)*MIN(1,(Sens!K5293-base_fy)/n_conv)</f>
        <v>0.07</v>
      </c>
    </row>
    <row r="5349" customFormat="false" ht="15" hidden="false" customHeight="false" outlineLevel="0" collapsed="false">
      <c r="A5349" s="0" t="s">
        <v>888</v>
      </c>
      <c r="B5349" s="0" t="s">
        <v>98</v>
      </c>
      <c r="D5349" s="6" t="n">
        <f aca="false">Q!L14</f>
        <v>23.455</v>
      </c>
      <c r="E5349" s="6" t="n">
        <f aca="false">Q!M14</f>
        <v>21.79</v>
      </c>
      <c r="F5349" s="6" t="n">
        <f aca="false">Sens!E5349*(1+Sens!F5350)</f>
        <v>20.5736277908051</v>
      </c>
      <c r="G5349" s="6" t="n">
        <f aca="false">Sens!F5349*(1+Sens!G5350)</f>
        <v>19.7371452817919</v>
      </c>
      <c r="H5349" s="6" t="n">
        <f aca="false">Sens!G5349*(1+Sens!H5350)</f>
        <v>19.2339764043138</v>
      </c>
      <c r="I5349" s="6" t="n">
        <f aca="false">Sens!H5349*(1+Sens!I5350)</f>
        <v>19.0353086852681</v>
      </c>
      <c r="J5349" s="6" t="n">
        <f aca="false">Sens!I5349*(1+Sens!J5350)</f>
        <v>19.1273539319129</v>
      </c>
      <c r="K5349" s="6" t="n">
        <f aca="false">Sens!J5349*(1+Sens!K5350)</f>
        <v>19.5099010105511</v>
      </c>
    </row>
    <row r="5350" customFormat="false" ht="15" hidden="false" customHeight="false" outlineLevel="0" collapsed="false">
      <c r="A5350" s="1" t="s">
        <v>876</v>
      </c>
      <c r="B5350" s="0" t="s">
        <v>129</v>
      </c>
      <c r="E5350" s="7" t="n">
        <f aca="false">Sens!E5349/Sens!D5349-1</f>
        <v>-0.0709869963760392</v>
      </c>
      <c r="F5350" s="7" t="n">
        <f aca="false">Sens!$E$5350+(glt_xbox-Sens!$E$5350)*MIN(1,(Sens!F5293-base_fy)/n_conv)</f>
        <v>-0.0558224969800327</v>
      </c>
      <c r="G5350" s="7" t="n">
        <f aca="false">Sens!$E$5350+(glt_xbox-Sens!$E$5350)*MIN(1,(Sens!G5293-base_fy)/n_conv)</f>
        <v>-0.0406579975840262</v>
      </c>
      <c r="H5350" s="7" t="n">
        <f aca="false">Sens!$E$5350+(glt_xbox-Sens!$E$5350)*MIN(1,(Sens!H5293-base_fy)/n_conv)</f>
        <v>-0.0254934981880196</v>
      </c>
      <c r="I5350" s="7" t="n">
        <f aca="false">Sens!$E$5350+(glt_xbox-Sens!$E$5350)*MIN(1,(Sens!I5293-base_fy)/n_conv)</f>
        <v>-0.0103289987920131</v>
      </c>
      <c r="J5350" s="7" t="n">
        <f aca="false">Sens!$E$5350+(glt_xbox-Sens!$E$5350)*MIN(1,(Sens!J5293-base_fy)/n_conv)</f>
        <v>0.00483550060399347</v>
      </c>
      <c r="K5350" s="7" t="n">
        <f aca="false">Sens!$E$5350+(glt_xbox-Sens!$E$5350)*MIN(1,(Sens!K5293-base_fy)/n_conv)</f>
        <v>0.02</v>
      </c>
    </row>
    <row r="5351" customFormat="false" ht="15" hidden="false" customHeight="false" outlineLevel="0" collapsed="false">
      <c r="A5351" s="0" t="s">
        <v>889</v>
      </c>
      <c r="B5351" s="0" t="s">
        <v>98</v>
      </c>
      <c r="D5351" s="6" t="n">
        <f aca="false">Q!L15</f>
        <v>17.315</v>
      </c>
      <c r="E5351" s="6" t="n">
        <f aca="false">Q!M15</f>
        <v>17.087</v>
      </c>
      <c r="F5351" s="6" t="n">
        <f aca="false">Sens!E5351*(1+Sens!F5352)</f>
        <v>16.9564585436519</v>
      </c>
      <c r="G5351" s="6" t="n">
        <f aca="false">Sens!F5351*(1+Sens!G5352)</f>
        <v>16.9206490624268</v>
      </c>
      <c r="H5351" s="6" t="n">
        <f aca="false">Sens!G5351*(1+Sens!H5352)</f>
        <v>16.9784519149849</v>
      </c>
      <c r="I5351" s="6" t="n">
        <f aca="false">Sens!H5351*(1+Sens!I5352)</f>
        <v>17.1303084701817</v>
      </c>
      <c r="J5351" s="6" t="n">
        <f aca="false">Sens!I5351*(1+Sens!J5352)</f>
        <v>17.3782189407267</v>
      </c>
      <c r="K5351" s="6" t="n">
        <f aca="false">Sens!J5351*(1+Sens!K5352)</f>
        <v>17.7257833195413</v>
      </c>
    </row>
    <row r="5352" customFormat="false" ht="15" hidden="false" customHeight="false" outlineLevel="0" collapsed="false">
      <c r="A5352" s="1" t="s">
        <v>876</v>
      </c>
      <c r="B5352" s="0" t="s">
        <v>129</v>
      </c>
      <c r="E5352" s="7" t="n">
        <f aca="false">Sens!E5351/Sens!D5351-1</f>
        <v>-0.0131677736066995</v>
      </c>
      <c r="F5352" s="7" t="n">
        <f aca="false">Sens!$E$5352+(glt_win-Sens!$E$5352)*MIN(1,(Sens!F5293-base_fy)/n_conv)</f>
        <v>-0.00763981133891627</v>
      </c>
      <c r="G5352" s="7" t="n">
        <f aca="false">Sens!$E$5352+(glt_win-Sens!$E$5352)*MIN(1,(Sens!G5293-base_fy)/n_conv)</f>
        <v>-0.00211184907113301</v>
      </c>
      <c r="H5352" s="7" t="n">
        <f aca="false">Sens!$E$5352+(glt_win-Sens!$E$5352)*MIN(1,(Sens!H5293-base_fy)/n_conv)</f>
        <v>0.00341611319665024</v>
      </c>
      <c r="I5352" s="7" t="n">
        <f aca="false">Sens!$E$5352+(glt_win-Sens!$E$5352)*MIN(1,(Sens!I5293-base_fy)/n_conv)</f>
        <v>0.00894407546443349</v>
      </c>
      <c r="J5352" s="7" t="n">
        <f aca="false">Sens!$E$5352+(glt_win-Sens!$E$5352)*MIN(1,(Sens!J5293-base_fy)/n_conv)</f>
        <v>0.0144720377322168</v>
      </c>
      <c r="K5352" s="7" t="n">
        <f aca="false">Sens!$E$5352+(glt_win-Sens!$E$5352)*MIN(1,(Sens!K5293-base_fy)/n_conv)</f>
        <v>0.02</v>
      </c>
    </row>
    <row r="5353" customFormat="false" ht="15" hidden="false" customHeight="false" outlineLevel="0" collapsed="false">
      <c r="A5353" s="0" t="s">
        <v>729</v>
      </c>
      <c r="B5353" s="0" t="s">
        <v>98</v>
      </c>
      <c r="D5353" s="6" t="n">
        <f aca="false">Sens!D5347+Sens!D5349+Sens!D5351</f>
        <v>62.941</v>
      </c>
      <c r="E5353" s="6" t="n">
        <f aca="false">Sens!E5347+Sens!E5349+Sens!E5351</f>
        <v>63.712</v>
      </c>
      <c r="F5353" s="6" t="n">
        <f aca="false">Sens!F5347+Sens!F5349+Sens!F5351</f>
        <v>65.1415764563129</v>
      </c>
      <c r="G5353" s="6" t="n">
        <f aca="false">Sens!G5347+Sens!G5349+Sens!G5351</f>
        <v>67.1253610780702</v>
      </c>
      <c r="H5353" s="6" t="n">
        <f aca="false">Sens!H5347+Sens!H5349+Sens!H5351</f>
        <v>69.5768050148776</v>
      </c>
      <c r="I5353" s="6" t="n">
        <f aca="false">Sens!I5347+Sens!I5349+Sens!I5351</f>
        <v>72.4233188088189</v>
      </c>
      <c r="J5353" s="6" t="n">
        <f aca="false">Sens!J5347+Sens!J5349+Sens!J5351</f>
        <v>75.6044096678567</v>
      </c>
      <c r="K5353" s="6" t="n">
        <f aca="false">Sens!K5347+Sens!K5349+Sens!K5351</f>
        <v>79.0714397009747</v>
      </c>
    </row>
    <row r="5354" customFormat="false" ht="15" hidden="false" customHeight="false" outlineLevel="0" collapsed="false">
      <c r="A5354" s="1" t="s">
        <v>890</v>
      </c>
      <c r="B5354" s="0" t="s">
        <v>98</v>
      </c>
      <c r="D5354" s="6" t="n">
        <f aca="false">Sens!D5346+Sens!D5353</f>
        <v>281.724</v>
      </c>
      <c r="E5354" s="6" t="n">
        <f aca="false">Sens!E5346+Sens!E5353</f>
        <v>331.839</v>
      </c>
      <c r="F5354" s="6" t="n">
        <f aca="false">Sens!F5346+Sens!F5353</f>
        <v>402.325517363364</v>
      </c>
      <c r="G5354" s="6" t="n">
        <f aca="false">Sens!G5346+Sens!G5353</f>
        <v>484.866031959962</v>
      </c>
      <c r="H5354" s="6" t="n">
        <f aca="false">Sens!H5346+Sens!H5353</f>
        <v>573.973080296262</v>
      </c>
      <c r="I5354" s="6" t="n">
        <f aca="false">Sens!I5346+Sens!I5353</f>
        <v>650.662079253422</v>
      </c>
      <c r="J5354" s="6" t="n">
        <f aca="false">Sens!J5346+Sens!J5353</f>
        <v>713.325831531211</v>
      </c>
      <c r="K5354" s="6" t="n">
        <f aca="false">Sens!K5346+Sens!K5353</f>
        <v>763.594361000218</v>
      </c>
    </row>
    <row r="5355" customFormat="false" ht="15" hidden="false" customHeight="false" outlineLevel="0" collapsed="false">
      <c r="A5355" s="23" t="s">
        <v>891</v>
      </c>
      <c r="B5355" s="30" t="s">
        <v>98</v>
      </c>
      <c r="C5355" s="30"/>
      <c r="D5355" s="24" t="n">
        <f aca="false">(Sens!D5334+Sens!D5339+Sens!D5340+Sens!D5342+Sens!D5344-Sens!D5346)+(Sens!D5347+Sens!D5349+Sens!D5351-Sens!D5353)+(Sens!D5346-Q!L5)+(Sens!D5353-Q!L12)+(Sens!D5334-Q!L6)+(Sens!D5339-Q!L7)</f>
        <v>0</v>
      </c>
      <c r="E5355" s="24" t="n">
        <f aca="false">(Sens!E5334+Sens!E5339+Sens!E5340+Sens!E5342+Sens!E5344-Sens!E5346)+(Sens!E5347+Sens!E5349+Sens!E5351-Sens!E5353)+(Sens!E5346-Q!M5)+(Sens!E5353-Q!M12)+(Sens!E5334-Q!M6)+(Sens!E5339-Q!M7)</f>
        <v>0</v>
      </c>
      <c r="F5355" s="24" t="n">
        <f aca="false">(Sens!F5334+Sens!F5339+Sens!F5340+Sens!F5342+Sens!F5344-Sens!F5346)+(Sens!F5347+Sens!F5349+Sens!F5351-Sens!F5353)</f>
        <v>0</v>
      </c>
      <c r="G5355" s="24" t="n">
        <f aca="false">(Sens!G5334+Sens!G5339+Sens!G5340+Sens!G5342+Sens!G5344-Sens!G5346)+(Sens!G5347+Sens!G5349+Sens!G5351-Sens!G5353)</f>
        <v>0</v>
      </c>
      <c r="H5355" s="24" t="n">
        <f aca="false">(Sens!H5334+Sens!H5339+Sens!H5340+Sens!H5342+Sens!H5344-Sens!H5346)+(Sens!H5347+Sens!H5349+Sens!H5351-Sens!H5353)</f>
        <v>0</v>
      </c>
      <c r="I5355" s="24" t="n">
        <f aca="false">(Sens!I5334+Sens!I5339+Sens!I5340+Sens!I5342+Sens!I5344-Sens!I5346)+(Sens!I5347+Sens!I5349+Sens!I5351-Sens!I5353)</f>
        <v>0</v>
      </c>
      <c r="J5355" s="24" t="n">
        <f aca="false">(Sens!J5334+Sens!J5339+Sens!J5340+Sens!J5342+Sens!J5344-Sens!J5346)+(Sens!J5347+Sens!J5349+Sens!J5351-Sens!J5353)</f>
        <v>0</v>
      </c>
      <c r="K5355" s="24" t="n">
        <f aca="false">(Sens!K5334+Sens!K5339+Sens!K5340+Sens!K5342+Sens!K5344-Sens!K5346)+(Sens!K5347+Sens!K5349+Sens!K5351-Sens!K5353)</f>
        <v>0</v>
      </c>
    </row>
    <row r="5356" customFormat="false" ht="17.15" hidden="false" customHeight="false" outlineLevel="0" collapsed="false">
      <c r="A5356" s="3" t="s">
        <v>1399</v>
      </c>
    </row>
    <row r="5357" customFormat="false" ht="15" hidden="false" customHeight="false" outlineLevel="0" collapsed="false">
      <c r="A5357" s="4" t="s">
        <v>43</v>
      </c>
      <c r="B5357" s="4" t="s">
        <v>65</v>
      </c>
      <c r="C5357" s="20" t="s">
        <v>799</v>
      </c>
      <c r="D5357" s="20" t="s">
        <v>800</v>
      </c>
      <c r="E5357" s="20" t="s">
        <v>801</v>
      </c>
      <c r="F5357" s="20" t="s">
        <v>802</v>
      </c>
      <c r="G5357" s="20" t="s">
        <v>803</v>
      </c>
      <c r="H5357" s="20" t="s">
        <v>804</v>
      </c>
      <c r="I5357" s="20" t="s">
        <v>805</v>
      </c>
      <c r="J5357" s="20" t="s">
        <v>806</v>
      </c>
      <c r="K5357" s="20" t="s">
        <v>807</v>
      </c>
      <c r="L5357" s="4" t="s">
        <v>47</v>
      </c>
    </row>
    <row r="5358" customFormat="false" ht="15" hidden="false" customHeight="false" outlineLevel="0" collapsed="false">
      <c r="A5358" s="0" t="s">
        <v>877</v>
      </c>
      <c r="B5358" s="0" t="s">
        <v>98</v>
      </c>
      <c r="D5358" s="6" t="n">
        <f aca="false">Sens!D5334</f>
        <v>72.61</v>
      </c>
      <c r="E5358" s="6" t="n">
        <f aca="false">Sens!E5334</f>
        <v>101.938</v>
      </c>
      <c r="F5358" s="6" t="n">
        <f aca="false">Sens!F5334</f>
        <v>148.812368967868</v>
      </c>
      <c r="G5358" s="6" t="n">
        <f aca="false">Sens!G5334</f>
        <v>208.397514344463</v>
      </c>
      <c r="H5358" s="6" t="n">
        <f aca="false">Sens!H5334</f>
        <v>274.05759259987</v>
      </c>
      <c r="I5358" s="6" t="n">
        <f aca="false">Sens!I5334</f>
        <v>328.302405465117</v>
      </c>
      <c r="J5358" s="6" t="n">
        <f aca="false">Sens!J5334</f>
        <v>369.905524759186</v>
      </c>
      <c r="K5358" s="6" t="n">
        <f aca="false">Sens!K5334</f>
        <v>399.753851959067</v>
      </c>
    </row>
    <row r="5359" customFormat="false" ht="17.15" hidden="false" customHeight="false" outlineLevel="0" collapsed="false">
      <c r="A5359" s="0" t="s">
        <v>874</v>
      </c>
      <c r="B5359" s="0" t="s">
        <v>98</v>
      </c>
      <c r="D5359" s="6" t="n">
        <f aca="false">Sens!D5331</f>
        <v>12.9359794422418</v>
      </c>
      <c r="E5359" s="6" t="n">
        <f aca="false">Sens!E5331</f>
        <v>27.8095064661409</v>
      </c>
      <c r="F5359" s="6" t="n">
        <f aca="false">Sens!F5331</f>
        <v>58.7324192305018</v>
      </c>
      <c r="G5359" s="6" t="n">
        <f aca="false">Sens!G5331</f>
        <v>101.369089141153</v>
      </c>
      <c r="H5359" s="6" t="n">
        <f aca="false">Sens!H5331</f>
        <v>149.785610014234</v>
      </c>
      <c r="I5359" s="6" t="n">
        <f aca="false">Sens!I5331</f>
        <v>187.368703083263</v>
      </c>
      <c r="J5359" s="6" t="n">
        <f aca="false">Sens!J5331</f>
        <v>213.886657444854</v>
      </c>
      <c r="K5359" s="6" t="n">
        <f aca="false">Sens!K5331</f>
        <v>231.253475259589</v>
      </c>
    </row>
    <row r="5360" customFormat="false" ht="17.15" hidden="false" customHeight="false" outlineLevel="0" collapsed="false">
      <c r="A5360" s="0" t="s">
        <v>902</v>
      </c>
      <c r="B5360" s="0" t="s">
        <v>98</v>
      </c>
      <c r="D5360" s="6" t="n">
        <f aca="false">Sens!D5332</f>
        <v>59.6740205577583</v>
      </c>
      <c r="E5360" s="6" t="n">
        <f aca="false">Sens!E5332</f>
        <v>74.1284935338591</v>
      </c>
      <c r="F5360" s="6" t="n">
        <f aca="false">Sens!F5332</f>
        <v>90.0799497373663</v>
      </c>
      <c r="G5360" s="6" t="n">
        <f aca="false">Sens!G5332</f>
        <v>107.02842520331</v>
      </c>
      <c r="H5360" s="6" t="n">
        <f aca="false">Sens!H5332</f>
        <v>124.271982585636</v>
      </c>
      <c r="I5360" s="6" t="n">
        <f aca="false">Sens!I5332</f>
        <v>140.933702381855</v>
      </c>
      <c r="J5360" s="6" t="n">
        <f aca="false">Sens!J5332</f>
        <v>156.018867314332</v>
      </c>
      <c r="K5360" s="6" t="n">
        <f aca="false">Sens!K5332</f>
        <v>168.500376699478</v>
      </c>
    </row>
    <row r="5361" customFormat="false" ht="15" hidden="false" customHeight="false" outlineLevel="0" collapsed="false">
      <c r="A5361" s="0" t="s">
        <v>883</v>
      </c>
      <c r="B5361" s="0" t="s">
        <v>98</v>
      </c>
      <c r="D5361" s="6" t="n">
        <f aca="false">Sens!D5339</f>
        <v>84.605</v>
      </c>
      <c r="E5361" s="6" t="n">
        <f aca="false">Sens!E5339</f>
        <v>100.299</v>
      </c>
      <c r="F5361" s="6" t="n">
        <f aca="false">Sens!F5339</f>
        <v>118.14238776686</v>
      </c>
      <c r="G5361" s="6" t="n">
        <f aca="false">Sens!G5339</f>
        <v>134.794168448684</v>
      </c>
      <c r="H5361" s="6" t="n">
        <f aca="false">Sens!H5339</f>
        <v>151.527359388781</v>
      </c>
      <c r="I5361" s="6" t="n">
        <f aca="false">Sens!I5339</f>
        <v>166.959028071957</v>
      </c>
      <c r="J5361" s="6" t="n">
        <f aca="false">Sens!J5339</f>
        <v>180.807702785465</v>
      </c>
      <c r="K5361" s="6" t="n">
        <f aca="false">Sens!K5339</f>
        <v>193.902991980448</v>
      </c>
    </row>
    <row r="5362" customFormat="false" ht="17.15" hidden="false" customHeight="false" outlineLevel="0" collapsed="false">
      <c r="A5362" s="0" t="s">
        <v>903</v>
      </c>
      <c r="B5362" s="0" t="s">
        <v>98</v>
      </c>
      <c r="D5362" s="6" t="n">
        <f aca="false">Sens!D5337</f>
        <v>83.705</v>
      </c>
      <c r="E5362" s="6" t="n">
        <f aca="false">Sens!E5337</f>
        <v>95.049</v>
      </c>
      <c r="F5362" s="6" t="n">
        <f aca="false">Sens!F5337</f>
        <v>106.89238776686</v>
      </c>
      <c r="G5362" s="6" t="n">
        <f aca="false">Sens!G5337</f>
        <v>119.044168448684</v>
      </c>
      <c r="H5362" s="6" t="n">
        <f aca="false">Sens!H5337</f>
        <v>131.277359388781</v>
      </c>
      <c r="I5362" s="6" t="n">
        <f aca="false">Sens!I5337</f>
        <v>143.334028071957</v>
      </c>
      <c r="J5362" s="6" t="n">
        <f aca="false">Sens!J5337</f>
        <v>154.932702785465</v>
      </c>
      <c r="K5362" s="6" t="n">
        <f aca="false">Sens!K5337</f>
        <v>165.777991980448</v>
      </c>
    </row>
    <row r="5363" customFormat="false" ht="17.15" hidden="false" customHeight="false" outlineLevel="0" collapsed="false">
      <c r="A5363" s="0" t="s">
        <v>904</v>
      </c>
      <c r="B5363" s="0" t="s">
        <v>98</v>
      </c>
      <c r="D5363" s="6" t="n">
        <f aca="false">Sens!D5336</f>
        <v>0.9</v>
      </c>
      <c r="E5363" s="6" t="n">
        <f aca="false">Sens!E5336</f>
        <v>5.25</v>
      </c>
      <c r="F5363" s="6" t="n">
        <f aca="false">Sens!F5336</f>
        <v>11.25</v>
      </c>
      <c r="G5363" s="6" t="n">
        <f aca="false">Sens!G5336</f>
        <v>15.75</v>
      </c>
      <c r="H5363" s="6" t="n">
        <f aca="false">Sens!H5336</f>
        <v>20.25</v>
      </c>
      <c r="I5363" s="6" t="n">
        <f aca="false">Sens!I5336</f>
        <v>23.625</v>
      </c>
      <c r="J5363" s="6" t="n">
        <f aca="false">Sens!J5336</f>
        <v>25.875</v>
      </c>
      <c r="K5363" s="6" t="n">
        <f aca="false">Sens!K5336</f>
        <v>28.125</v>
      </c>
    </row>
    <row r="5364" customFormat="false" ht="15" hidden="false" customHeight="false" outlineLevel="0" collapsed="false">
      <c r="A5364" s="0" t="s">
        <v>884</v>
      </c>
      <c r="B5364" s="0" t="s">
        <v>98</v>
      </c>
      <c r="D5364" s="6" t="n">
        <f aca="false">Sens!D5340</f>
        <v>35.391</v>
      </c>
      <c r="E5364" s="6" t="n">
        <f aca="false">Sens!E5340</f>
        <v>37.285</v>
      </c>
      <c r="F5364" s="6" t="n">
        <f aca="false">Sens!F5340</f>
        <v>39.0720834331704</v>
      </c>
      <c r="G5364" s="6" t="n">
        <f aca="false">Sens!G5340</f>
        <v>40.726562953769</v>
      </c>
      <c r="H5364" s="6" t="n">
        <f aca="false">Sens!H5340</f>
        <v>42.2235987259198</v>
      </c>
      <c r="I5364" s="6" t="n">
        <f aca="false">Sens!I5340</f>
        <v>43.5397988077414</v>
      </c>
      <c r="J5364" s="6" t="n">
        <f aca="false">Sens!J5340</f>
        <v>44.653811225693</v>
      </c>
      <c r="K5364" s="6" t="n">
        <f aca="false">Sens!K5340</f>
        <v>45.5468874502068</v>
      </c>
    </row>
    <row r="5365" customFormat="false" ht="15" hidden="false" customHeight="false" outlineLevel="0" collapsed="false">
      <c r="A5365" s="0" t="s">
        <v>885</v>
      </c>
      <c r="B5365" s="0" t="s">
        <v>98</v>
      </c>
      <c r="D5365" s="6" t="n">
        <f aca="false">Sens!D5342</f>
        <v>18.417</v>
      </c>
      <c r="E5365" s="6" t="n">
        <f aca="false">Sens!E5342</f>
        <v>20.345</v>
      </c>
      <c r="F5365" s="6" t="n">
        <f aca="false">Sens!F5342</f>
        <v>22.3572203267814</v>
      </c>
      <c r="G5365" s="6" t="n">
        <f aca="false">Sens!G5342</f>
        <v>24.4392124437232</v>
      </c>
      <c r="H5365" s="6" t="n">
        <f aca="false">Sens!H5342</f>
        <v>26.5738052080665</v>
      </c>
      <c r="I5365" s="6" t="n">
        <f aca="false">Sens!I5342</f>
        <v>28.7412169166967</v>
      </c>
      <c r="J5365" s="6" t="n">
        <f aca="false">Sens!J5342</f>
        <v>30.9192545395413</v>
      </c>
      <c r="K5365" s="6" t="n">
        <f aca="false">Sens!K5342</f>
        <v>33.0836023573092</v>
      </c>
    </row>
    <row r="5366" customFormat="false" ht="15" hidden="false" customHeight="false" outlineLevel="0" collapsed="false">
      <c r="A5366" s="0" t="s">
        <v>886</v>
      </c>
      <c r="B5366" s="0" t="s">
        <v>98</v>
      </c>
      <c r="D5366" s="6" t="n">
        <f aca="false">Sens!D5344</f>
        <v>7.76</v>
      </c>
      <c r="E5366" s="6" t="n">
        <f aca="false">Sens!E5344</f>
        <v>8.26</v>
      </c>
      <c r="F5366" s="6" t="n">
        <f aca="false">Sens!F5344</f>
        <v>8.79988041237113</v>
      </c>
      <c r="G5366" s="6" t="n">
        <f aca="false">Sens!G5344</f>
        <v>9.38321269125306</v>
      </c>
      <c r="H5366" s="6" t="n">
        <f aca="false">Sens!H5344</f>
        <v>10.0139193587476</v>
      </c>
      <c r="I5366" s="6" t="n">
        <f aca="false">Sens!I5344</f>
        <v>10.6963111830911</v>
      </c>
      <c r="J5366" s="6" t="n">
        <f aca="false">Sens!J5344</f>
        <v>11.4351285534696</v>
      </c>
      <c r="K5366" s="6" t="n">
        <f aca="false">Sens!K5344</f>
        <v>12.2355875522124</v>
      </c>
    </row>
    <row r="5367" customFormat="false" ht="15" hidden="false" customHeight="false" outlineLevel="0" collapsed="false">
      <c r="A5367" s="0" t="s">
        <v>715</v>
      </c>
      <c r="B5367" s="0" t="s">
        <v>98</v>
      </c>
      <c r="D5367" s="6" t="n">
        <f aca="false">Sens!D5346</f>
        <v>218.783</v>
      </c>
      <c r="E5367" s="6" t="n">
        <f aca="false">Sens!E5346</f>
        <v>268.127</v>
      </c>
      <c r="F5367" s="6" t="n">
        <f aca="false">Sens!F5346</f>
        <v>337.183940907051</v>
      </c>
      <c r="G5367" s="6" t="n">
        <f aca="false">Sens!G5346</f>
        <v>417.740670881892</v>
      </c>
      <c r="H5367" s="6" t="n">
        <f aca="false">Sens!H5346</f>
        <v>504.396275281385</v>
      </c>
      <c r="I5367" s="6" t="n">
        <f aca="false">Sens!I5346</f>
        <v>578.238760444604</v>
      </c>
      <c r="J5367" s="6" t="n">
        <f aca="false">Sens!J5346</f>
        <v>637.721421863355</v>
      </c>
      <c r="K5367" s="6" t="n">
        <f aca="false">Sens!K5346</f>
        <v>684.522921299244</v>
      </c>
    </row>
    <row r="5368" customFormat="false" ht="15" hidden="false" customHeight="false" outlineLevel="0" collapsed="false">
      <c r="A5368" s="0" t="s">
        <v>887</v>
      </c>
      <c r="B5368" s="0" t="s">
        <v>98</v>
      </c>
      <c r="D5368" s="6" t="n">
        <f aca="false">Sens!D5347</f>
        <v>22.171</v>
      </c>
      <c r="E5368" s="6" t="n">
        <f aca="false">Sens!E5347</f>
        <v>24.835</v>
      </c>
      <c r="F5368" s="6" t="n">
        <f aca="false">Sens!F5347</f>
        <v>27.6114901218559</v>
      </c>
      <c r="G5368" s="6" t="n">
        <f aca="false">Sens!G5347</f>
        <v>30.4675667338515</v>
      </c>
      <c r="H5368" s="6" t="n">
        <f aca="false">Sens!H5347</f>
        <v>33.3643766955789</v>
      </c>
      <c r="I5368" s="6" t="n">
        <f aca="false">Sens!I5347</f>
        <v>36.2577016533691</v>
      </c>
      <c r="J5368" s="6" t="n">
        <f aca="false">Sens!J5347</f>
        <v>39.0988367952171</v>
      </c>
      <c r="K5368" s="6" t="n">
        <f aca="false">Sens!K5347</f>
        <v>41.8357553708823</v>
      </c>
    </row>
    <row r="5369" customFormat="false" ht="15" hidden="false" customHeight="false" outlineLevel="0" collapsed="false">
      <c r="A5369" s="0" t="s">
        <v>888</v>
      </c>
      <c r="B5369" s="0" t="s">
        <v>98</v>
      </c>
      <c r="D5369" s="6" t="n">
        <f aca="false">Sens!D5349</f>
        <v>23.455</v>
      </c>
      <c r="E5369" s="6" t="n">
        <f aca="false">Sens!E5349</f>
        <v>21.79</v>
      </c>
      <c r="F5369" s="6" t="n">
        <f aca="false">Sens!F5349</f>
        <v>20.5736277908051</v>
      </c>
      <c r="G5369" s="6" t="n">
        <f aca="false">Sens!G5349</f>
        <v>19.7371452817919</v>
      </c>
      <c r="H5369" s="6" t="n">
        <f aca="false">Sens!H5349</f>
        <v>19.2339764043138</v>
      </c>
      <c r="I5369" s="6" t="n">
        <f aca="false">Sens!I5349</f>
        <v>19.0353086852681</v>
      </c>
      <c r="J5369" s="6" t="n">
        <f aca="false">Sens!J5349</f>
        <v>19.1273539319129</v>
      </c>
      <c r="K5369" s="6" t="n">
        <f aca="false">Sens!K5349</f>
        <v>19.5099010105511</v>
      </c>
    </row>
    <row r="5370" customFormat="false" ht="15" hidden="false" customHeight="false" outlineLevel="0" collapsed="false">
      <c r="A5370" s="0" t="s">
        <v>889</v>
      </c>
      <c r="B5370" s="0" t="s">
        <v>98</v>
      </c>
      <c r="D5370" s="6" t="n">
        <f aca="false">Sens!D5351</f>
        <v>17.315</v>
      </c>
      <c r="E5370" s="6" t="n">
        <f aca="false">Sens!E5351</f>
        <v>17.087</v>
      </c>
      <c r="F5370" s="6" t="n">
        <f aca="false">Sens!F5351</f>
        <v>16.9564585436519</v>
      </c>
      <c r="G5370" s="6" t="n">
        <f aca="false">Sens!G5351</f>
        <v>16.9206490624268</v>
      </c>
      <c r="H5370" s="6" t="n">
        <f aca="false">Sens!H5351</f>
        <v>16.9784519149849</v>
      </c>
      <c r="I5370" s="6" t="n">
        <f aca="false">Sens!I5351</f>
        <v>17.1303084701817</v>
      </c>
      <c r="J5370" s="6" t="n">
        <f aca="false">Sens!J5351</f>
        <v>17.3782189407267</v>
      </c>
      <c r="K5370" s="6" t="n">
        <f aca="false">Sens!K5351</f>
        <v>17.7257833195413</v>
      </c>
    </row>
    <row r="5371" customFormat="false" ht="15" hidden="false" customHeight="false" outlineLevel="0" collapsed="false">
      <c r="A5371" s="0" t="s">
        <v>729</v>
      </c>
      <c r="B5371" s="0" t="s">
        <v>98</v>
      </c>
      <c r="D5371" s="6" t="n">
        <f aca="false">Sens!D5353</f>
        <v>62.941</v>
      </c>
      <c r="E5371" s="6" t="n">
        <f aca="false">Sens!E5353</f>
        <v>63.712</v>
      </c>
      <c r="F5371" s="6" t="n">
        <f aca="false">Sens!F5353</f>
        <v>65.1415764563129</v>
      </c>
      <c r="G5371" s="6" t="n">
        <f aca="false">Sens!G5353</f>
        <v>67.1253610780702</v>
      </c>
      <c r="H5371" s="6" t="n">
        <f aca="false">Sens!H5353</f>
        <v>69.5768050148776</v>
      </c>
      <c r="I5371" s="6" t="n">
        <f aca="false">Sens!I5353</f>
        <v>72.4233188088189</v>
      </c>
      <c r="J5371" s="6" t="n">
        <f aca="false">Sens!J5353</f>
        <v>75.6044096678567</v>
      </c>
      <c r="K5371" s="6" t="n">
        <f aca="false">Sens!K5353</f>
        <v>79.0714397009747</v>
      </c>
    </row>
    <row r="5372" customFormat="false" ht="15" hidden="false" customHeight="false" outlineLevel="0" collapsed="false">
      <c r="A5372" s="1" t="s">
        <v>905</v>
      </c>
      <c r="B5372" s="0" t="s">
        <v>98</v>
      </c>
      <c r="D5372" s="6" t="n">
        <f aca="false">Sens!D5354</f>
        <v>281.724</v>
      </c>
      <c r="E5372" s="6" t="n">
        <f aca="false">Sens!E5354</f>
        <v>331.839</v>
      </c>
      <c r="F5372" s="6" t="n">
        <f aca="false">Sens!F5354</f>
        <v>402.325517363364</v>
      </c>
      <c r="G5372" s="6" t="n">
        <f aca="false">Sens!G5354</f>
        <v>484.866031959962</v>
      </c>
      <c r="H5372" s="6" t="n">
        <f aca="false">Sens!H5354</f>
        <v>573.973080296262</v>
      </c>
      <c r="I5372" s="6" t="n">
        <f aca="false">Sens!I5354</f>
        <v>650.662079253422</v>
      </c>
      <c r="J5372" s="6" t="n">
        <f aca="false">Sens!J5354</f>
        <v>713.325831531211</v>
      </c>
      <c r="K5372" s="6" t="n">
        <f aca="false">Sens!K5354</f>
        <v>763.594361000218</v>
      </c>
    </row>
    <row r="5373" customFormat="false" ht="15" hidden="false" customHeight="false" outlineLevel="0" collapsed="false">
      <c r="A5373" s="1" t="s">
        <v>906</v>
      </c>
      <c r="B5373" s="0" t="s">
        <v>129</v>
      </c>
      <c r="E5373" s="7" t="n">
        <f aca="false">Sens!E5372/Sens!D5372-1</f>
        <v>0.177886867998467</v>
      </c>
      <c r="F5373" s="7" t="n">
        <f aca="false">Sens!F5372/Sens!E5372-1</f>
        <v>0.212411794163325</v>
      </c>
      <c r="G5373" s="7" t="n">
        <f aca="false">Sens!G5372/Sens!F5372-1</f>
        <v>0.205158537140589</v>
      </c>
      <c r="H5373" s="7" t="n">
        <f aca="false">Sens!H5372/Sens!G5372-1</f>
        <v>0.183776636148556</v>
      </c>
      <c r="I5373" s="7" t="n">
        <f aca="false">Sens!I5372/Sens!H5372-1</f>
        <v>0.133610793937542</v>
      </c>
      <c r="J5373" s="7" t="n">
        <f aca="false">Sens!J5372/Sens!I5372-1</f>
        <v>0.0963076753292433</v>
      </c>
      <c r="K5373" s="7" t="n">
        <f aca="false">Sens!K5372/Sens!J5372-1</f>
        <v>0.0704706422324586</v>
      </c>
    </row>
    <row r="5374" customFormat="false" ht="17.15" hidden="false" customHeight="false" outlineLevel="0" collapsed="false">
      <c r="A5374" s="23" t="s">
        <v>907</v>
      </c>
      <c r="B5374" s="30" t="s">
        <v>98</v>
      </c>
      <c r="C5374" s="30"/>
      <c r="D5374" s="24" t="n">
        <f aca="false">(Sens!D5367+Sens!D5371-Sens!D5372)+(Sens!D5359+Sens!D5360-Sens!D5358)+(Sens!D5362+Sens!D5363-Sens!D5361)+(Sens!D5372-Q!L18)</f>
        <v>0</v>
      </c>
      <c r="E5374" s="24" t="n">
        <f aca="false">(Sens!E5367+Sens!E5371-Sens!E5372)+(Sens!E5359+Sens!E5360-Sens!E5358)+(Sens!E5362+Sens!E5363-Sens!E5361)+(Sens!E5372-Q!M18)</f>
        <v>0</v>
      </c>
      <c r="F5374" s="24" t="n">
        <f aca="false">(Sens!F5367+Sens!F5371-Sens!F5372)+(Sens!F5359+Sens!F5360-Sens!F5358)+(Sens!F5362+Sens!F5363-Sens!F5361)</f>
        <v>0</v>
      </c>
      <c r="G5374" s="24" t="n">
        <f aca="false">(Sens!G5367+Sens!G5371-Sens!G5372)+(Sens!G5359+Sens!G5360-Sens!G5358)+(Sens!G5362+Sens!G5363-Sens!G5361)</f>
        <v>0</v>
      </c>
      <c r="H5374" s="24" t="n">
        <f aca="false">(Sens!H5367+Sens!H5371-Sens!H5372)+(Sens!H5359+Sens!H5360-Sens!H5358)+(Sens!H5362+Sens!H5363-Sens!H5361)</f>
        <v>0</v>
      </c>
      <c r="I5374" s="24" t="n">
        <f aca="false">(Sens!I5367+Sens!I5371-Sens!I5372)+(Sens!I5359+Sens!I5360-Sens!I5358)+(Sens!I5362+Sens!I5363-Sens!I5361)</f>
        <v>0</v>
      </c>
      <c r="J5374" s="24" t="n">
        <f aca="false">(Sens!J5367+Sens!J5371-Sens!J5372)+(Sens!J5359+Sens!J5360-Sens!J5358)+(Sens!J5362+Sens!J5363-Sens!J5361)</f>
        <v>0</v>
      </c>
      <c r="K5374" s="24" t="n">
        <f aca="false">(Sens!K5367+Sens!K5371-Sens!K5372)+(Sens!K5359+Sens!K5360-Sens!K5358)+(Sens!K5362+Sens!K5363-Sens!K5361)</f>
        <v>0</v>
      </c>
    </row>
    <row r="5375" customFormat="false" ht="17.15" hidden="false" customHeight="false" outlineLevel="0" collapsed="false">
      <c r="A5375" s="0" t="s">
        <v>908</v>
      </c>
      <c r="B5375" s="0" t="s">
        <v>129</v>
      </c>
      <c r="E5375" s="7" t="n">
        <f aca="false">(Q!M21+Sens!E5312+Sens!E5313+Sens!E5314+Sens!E5327-Sens!E5310)/(Q!M5-Sens!E5310)</f>
        <v>0.570957350878296</v>
      </c>
      <c r="F5375" s="7" t="n">
        <f aca="false">Sens!$E$5375+dm_seg</f>
        <v>0.570957350878296</v>
      </c>
      <c r="G5375" s="7" t="n">
        <f aca="false">Sens!$E$5375+dm_seg</f>
        <v>0.570957350878296</v>
      </c>
      <c r="H5375" s="7" t="n">
        <f aca="false">Sens!$E$5375+dm_seg</f>
        <v>0.570957350878296</v>
      </c>
      <c r="I5375" s="7" t="n">
        <f aca="false">Sens!$E$5375+dm_seg</f>
        <v>0.570957350878296</v>
      </c>
      <c r="J5375" s="7" t="n">
        <f aca="false">Sens!$E$5375+dm_seg</f>
        <v>0.570957350878296</v>
      </c>
      <c r="K5375" s="7" t="n">
        <f aca="false">Sens!$E$5375+dm_seg</f>
        <v>0.570957350878296</v>
      </c>
      <c r="L5375" s="11" t="s">
        <v>909</v>
      </c>
    </row>
    <row r="5376" customFormat="false" ht="17.15" hidden="false" customHeight="false" outlineLevel="0" collapsed="false">
      <c r="A5376" s="0" t="s">
        <v>743</v>
      </c>
      <c r="B5376" s="0" t="s">
        <v>98</v>
      </c>
      <c r="D5376" s="6" t="n">
        <f aca="false">Q!L21</f>
        <v>110.814</v>
      </c>
      <c r="E5376" s="6" t="n">
        <f aca="false">Q!M21</f>
        <v>136.365</v>
      </c>
      <c r="F5376" s="6" t="n">
        <f aca="false">Sens!F5375*(Sens!F5346-Sens!F5310)+Sens!F5310-(Sens!F5312+Sens!F5313+Sens!F5314)-Sens!F5327-Sens!F5410</f>
        <v>160.692700947848</v>
      </c>
      <c r="G5376" s="6" t="n">
        <f aca="false">Sens!G5375*(Sens!G5346-Sens!G5310)+Sens!G5310-(Sens!G5312+Sens!G5313+Sens!G5314)-Sens!G5327-Sens!G5410</f>
        <v>188.44326437819</v>
      </c>
      <c r="H5376" s="6" t="n">
        <f aca="false">Sens!H5375*(Sens!H5346-Sens!H5310)+Sens!H5310-(Sens!H5312+Sens!H5313+Sens!H5314)-Sens!H5327-Sens!H5410</f>
        <v>220.335355021204</v>
      </c>
      <c r="I5376" s="6" t="n">
        <f aca="false">Sens!I5375*(Sens!I5346-Sens!I5310)+Sens!I5310-(Sens!I5312+Sens!I5313+Sens!I5314)-Sens!I5327-Sens!I5410</f>
        <v>244.744223224119</v>
      </c>
      <c r="J5376" s="6" t="n">
        <f aca="false">Sens!J5375*(Sens!J5346-Sens!J5310)+Sens!J5310-(Sens!J5312+Sens!J5313+Sens!J5314)-Sens!J5327-Sens!J5410</f>
        <v>266.134617742665</v>
      </c>
      <c r="K5376" s="6" t="n">
        <f aca="false">Sens!K5375*(Sens!K5346-Sens!K5310)+Sens!K5310-(Sens!K5312+Sens!K5313+Sens!K5314)-Sens!K5327-Sens!K5410</f>
        <v>285.447747029995</v>
      </c>
      <c r="L5376" s="1" t="s">
        <v>910</v>
      </c>
    </row>
    <row r="5377" customFormat="false" ht="17.15" hidden="false" customHeight="false" outlineLevel="0" collapsed="false">
      <c r="A5377" s="0" t="s">
        <v>911</v>
      </c>
      <c r="B5377" s="0" t="s">
        <v>129</v>
      </c>
      <c r="E5377" s="7" t="n">
        <f aca="false">Q!M22/Q!M12</f>
        <v>0.296207935710698</v>
      </c>
      <c r="F5377" s="7" t="n">
        <f aca="false">Sens!$E$5377+dm_seg</f>
        <v>0.296207935710698</v>
      </c>
      <c r="G5377" s="7" t="n">
        <f aca="false">Sens!$E$5377+dm_seg</f>
        <v>0.296207935710698</v>
      </c>
      <c r="H5377" s="7" t="n">
        <f aca="false">Sens!$E$5377+dm_seg</f>
        <v>0.296207935710698</v>
      </c>
      <c r="I5377" s="7" t="n">
        <f aca="false">Sens!$E$5377+dm_seg</f>
        <v>0.296207935710698</v>
      </c>
      <c r="J5377" s="7" t="n">
        <f aca="false">Sens!$E$5377+dm_seg</f>
        <v>0.296207935710698</v>
      </c>
      <c r="K5377" s="7" t="n">
        <f aca="false">Sens!$E$5377+dm_seg</f>
        <v>0.296207935710698</v>
      </c>
      <c r="L5377" s="11" t="s">
        <v>912</v>
      </c>
    </row>
    <row r="5378" customFormat="false" ht="17.15" hidden="false" customHeight="false" outlineLevel="0" collapsed="false">
      <c r="A5378" s="0" t="s">
        <v>745</v>
      </c>
      <c r="B5378" s="0" t="s">
        <v>98</v>
      </c>
      <c r="D5378" s="6" t="n">
        <f aca="false">Q!L22</f>
        <v>17.714</v>
      </c>
      <c r="E5378" s="6" t="n">
        <f aca="false">Q!M22</f>
        <v>18.872</v>
      </c>
      <c r="F5378" s="6" t="n">
        <f aca="false">Sens!F5353*Sens!F5377</f>
        <v>19.2954518910651</v>
      </c>
      <c r="G5378" s="6" t="n">
        <f aca="false">Sens!G5353*Sens!G5377</f>
        <v>19.8830646387704</v>
      </c>
      <c r="H5378" s="6" t="n">
        <f aca="false">Sens!H5353*Sens!H5377</f>
        <v>20.6092017868026</v>
      </c>
      <c r="I5378" s="6" t="n">
        <f aca="false">Sens!I5353*Sens!I5377</f>
        <v>21.452361761678</v>
      </c>
      <c r="J5378" s="6" t="n">
        <f aca="false">Sens!J5353*Sens!J5377</f>
        <v>22.3946261183418</v>
      </c>
      <c r="K5378" s="6" t="n">
        <f aca="false">Sens!K5353*Sens!K5377</f>
        <v>23.4215879274986</v>
      </c>
    </row>
    <row r="5379" customFormat="false" ht="15" hidden="false" customHeight="false" outlineLevel="0" collapsed="false">
      <c r="A5379" s="1" t="s">
        <v>913</v>
      </c>
      <c r="B5379" s="0" t="s">
        <v>98</v>
      </c>
      <c r="D5379" s="6" t="n">
        <f aca="false">Sens!D5376+Sens!D5378</f>
        <v>128.528</v>
      </c>
      <c r="E5379" s="6" t="n">
        <f aca="false">Sens!E5376+Sens!E5378</f>
        <v>155.237</v>
      </c>
      <c r="F5379" s="6" t="n">
        <f aca="false">Sens!F5376+Sens!F5378</f>
        <v>179.988152838913</v>
      </c>
      <c r="G5379" s="6" t="n">
        <f aca="false">Sens!G5376+Sens!G5378</f>
        <v>208.326329016961</v>
      </c>
      <c r="H5379" s="6" t="n">
        <f aca="false">Sens!H5376+Sens!H5378</f>
        <v>240.944556808007</v>
      </c>
      <c r="I5379" s="6" t="n">
        <f aca="false">Sens!I5376+Sens!I5378</f>
        <v>266.196584985797</v>
      </c>
      <c r="J5379" s="6" t="n">
        <f aca="false">Sens!J5376+Sens!J5378</f>
        <v>288.529243861007</v>
      </c>
      <c r="K5379" s="6" t="n">
        <f aca="false">Sens!K5376+Sens!K5378</f>
        <v>308.869334957494</v>
      </c>
    </row>
    <row r="5380" customFormat="false" ht="15" hidden="false" customHeight="false" outlineLevel="0" collapsed="false">
      <c r="A5380" s="23" t="s">
        <v>914</v>
      </c>
      <c r="B5380" s="30" t="s">
        <v>98</v>
      </c>
      <c r="C5380" s="30"/>
      <c r="D5380" s="24" t="n">
        <f aca="false">Sens!D5379-Q!L23</f>
        <v>0</v>
      </c>
      <c r="E5380" s="24" t="n">
        <f aca="false">Sens!E5379-Q!M23</f>
        <v>0</v>
      </c>
      <c r="F5380" s="30"/>
      <c r="G5380" s="30"/>
      <c r="H5380" s="30"/>
      <c r="I5380" s="30"/>
      <c r="J5380" s="30"/>
      <c r="K5380" s="30"/>
    </row>
    <row r="5381" customFormat="false" ht="15" hidden="false" customHeight="false" outlineLevel="0" collapsed="false">
      <c r="A5381" s="1" t="s">
        <v>915</v>
      </c>
      <c r="B5381" s="0" t="s">
        <v>129</v>
      </c>
      <c r="D5381" s="7" t="n">
        <f aca="false">Sens!D5379/Sens!D5372</f>
        <v>0.456219562408598</v>
      </c>
      <c r="E5381" s="7" t="n">
        <f aca="false">Sens!E5379/Sens!E5372</f>
        <v>0.467808184089272</v>
      </c>
      <c r="F5381" s="7" t="n">
        <f aca="false">Sens!F5379/Sens!F5372</f>
        <v>0.447369468430596</v>
      </c>
      <c r="G5381" s="7" t="n">
        <f aca="false">Sens!G5379/Sens!G5372</f>
        <v>0.429657503898238</v>
      </c>
      <c r="H5381" s="7" t="n">
        <f aca="false">Sens!H5379/Sens!H5372</f>
        <v>0.419783723452048</v>
      </c>
      <c r="I5381" s="7" t="n">
        <f aca="false">Sens!I5379/Sens!I5372</f>
        <v>0.409116488379397</v>
      </c>
      <c r="J5381" s="7" t="n">
        <f aca="false">Sens!J5379/Sens!J5372</f>
        <v>0.404484502182762</v>
      </c>
      <c r="K5381" s="7" t="n">
        <f aca="false">Sens!K5379/Sens!K5372</f>
        <v>0.404493996724794</v>
      </c>
    </row>
    <row r="5382" customFormat="false" ht="17.15" hidden="false" customHeight="false" outlineLevel="0" collapsed="false">
      <c r="A5382" s="1" t="s">
        <v>916</v>
      </c>
      <c r="B5382" s="0" t="s">
        <v>98</v>
      </c>
      <c r="F5382" s="6" t="n">
        <f aca="false">Sens!F5397</f>
        <v>9.72713848711398</v>
      </c>
      <c r="G5382" s="6" t="n">
        <f aca="false">Sens!G5397</f>
        <v>25.2192844001793</v>
      </c>
      <c r="H5382" s="6" t="n">
        <f aca="false">Sens!H5397</f>
        <v>42.2454092637664</v>
      </c>
      <c r="I5382" s="6" t="n">
        <f aca="false">Sens!I5397</f>
        <v>57.7194354058428</v>
      </c>
      <c r="J5382" s="6" t="n">
        <f aca="false">Sens!J5397</f>
        <v>68.6671773600072</v>
      </c>
      <c r="K5382" s="6" t="n">
        <f aca="false">Sens!K5397</f>
        <v>75.1390691152276</v>
      </c>
      <c r="L5382" s="1" t="s">
        <v>917</v>
      </c>
    </row>
    <row r="5383" customFormat="false" ht="17.15" hidden="false" customHeight="false" outlineLevel="0" collapsed="false">
      <c r="A5383" s="1" t="s">
        <v>918</v>
      </c>
      <c r="B5383" s="0" t="s">
        <v>98</v>
      </c>
      <c r="D5383" s="6" t="n">
        <f aca="false">Sens!D5379</f>
        <v>128.528</v>
      </c>
      <c r="E5383" s="6" t="n">
        <f aca="false">Sens!E5379</f>
        <v>155.237</v>
      </c>
      <c r="F5383" s="6" t="n">
        <f aca="false">Sens!F5379+Sens!F5382</f>
        <v>189.715291326027</v>
      </c>
      <c r="G5383" s="6" t="n">
        <f aca="false">Sens!G5379+Sens!G5382</f>
        <v>233.54561341714</v>
      </c>
      <c r="H5383" s="6" t="n">
        <f aca="false">Sens!H5379+Sens!H5382</f>
        <v>283.189966071773</v>
      </c>
      <c r="I5383" s="6" t="n">
        <f aca="false">Sens!I5379+Sens!I5382</f>
        <v>323.91602039164</v>
      </c>
      <c r="J5383" s="6" t="n">
        <f aca="false">Sens!J5379+Sens!J5382</f>
        <v>357.196421221014</v>
      </c>
      <c r="K5383" s="6" t="n">
        <f aca="false">Sens!K5379+Sens!K5382</f>
        <v>384.008404072721</v>
      </c>
    </row>
    <row r="5384" customFormat="false" ht="17.15" hidden="false" customHeight="false" outlineLevel="0" collapsed="false">
      <c r="A5384" s="1" t="s">
        <v>919</v>
      </c>
      <c r="B5384" s="0" t="s">
        <v>98</v>
      </c>
      <c r="E5384" s="6" t="n">
        <f aca="false">Sens!E5327</f>
        <v>16.3054059770833</v>
      </c>
      <c r="F5384" s="6" t="n">
        <f aca="false">Sens!F5327</f>
        <v>34.0498873809555</v>
      </c>
      <c r="G5384" s="6" t="n">
        <f aca="false">Sens!G5327</f>
        <v>59.1254371105111</v>
      </c>
      <c r="H5384" s="6" t="n">
        <f aca="false">Sens!H5327</f>
        <v>86.3610198433111</v>
      </c>
      <c r="I5384" s="6" t="n">
        <f aca="false">Sens!I5327</f>
        <v>110.605743832393</v>
      </c>
      <c r="J5384" s="6" t="n">
        <f aca="false">Sens!J5327</f>
        <v>127.998322852843</v>
      </c>
      <c r="K5384" s="6" t="n">
        <f aca="false">Sens!K5327</f>
        <v>139.131464044308</v>
      </c>
    </row>
    <row r="5385" customFormat="false" ht="17.15" hidden="false" customHeight="false" outlineLevel="0" collapsed="false">
      <c r="A5385" s="1" t="s">
        <v>920</v>
      </c>
      <c r="B5385" s="0" t="s">
        <v>98</v>
      </c>
      <c r="E5385" s="6" t="n">
        <f aca="false">Sens!E5409</f>
        <v>22.2285940229167</v>
      </c>
      <c r="F5385" s="6" t="n">
        <f aca="false">Sens!F5409</f>
        <v>24.3924470334783</v>
      </c>
      <c r="G5385" s="6" t="n">
        <f aca="false">Sens!G5409</f>
        <v>26.0459916871694</v>
      </c>
      <c r="H5385" s="6" t="n">
        <f aca="false">Sens!H5409</f>
        <v>28.0850438828615</v>
      </c>
      <c r="I5385" s="6" t="n">
        <f aca="false">Sens!I5409</f>
        <v>30.4476295257397</v>
      </c>
      <c r="J5385" s="6" t="n">
        <f aca="false">Sens!J5409</f>
        <v>33.0547078982031</v>
      </c>
      <c r="K5385" s="6" t="n">
        <f aca="false">Sens!K5409</f>
        <v>35.8223573825822</v>
      </c>
    </row>
    <row r="5386" customFormat="false" ht="17.15" hidden="false" customHeight="false" outlineLevel="0" collapsed="false">
      <c r="A5386" s="1" t="s">
        <v>921</v>
      </c>
      <c r="B5386" s="0" t="s">
        <v>98</v>
      </c>
      <c r="D5386" s="6" t="n">
        <f aca="false">Q!L27</f>
        <v>-4.901</v>
      </c>
      <c r="E5386" s="6" t="n">
        <f aca="false">Q!M27</f>
        <v>10.697</v>
      </c>
      <c r="F5386" s="6" t="n">
        <f aca="false">oie_f</f>
        <v>-0.4</v>
      </c>
      <c r="G5386" s="6" t="n">
        <f aca="false">oie_f</f>
        <v>-0.4</v>
      </c>
      <c r="H5386" s="6" t="n">
        <f aca="false">oie_f</f>
        <v>-0.4</v>
      </c>
      <c r="I5386" s="6" t="n">
        <f aca="false">oie_f</f>
        <v>-0.4</v>
      </c>
      <c r="J5386" s="6" t="n">
        <f aca="false">oie_f</f>
        <v>-0.4</v>
      </c>
      <c r="K5386" s="6" t="n">
        <f aca="false">oie_f</f>
        <v>-0.4</v>
      </c>
      <c r="L5386" s="11" t="s">
        <v>922</v>
      </c>
    </row>
    <row r="5387" customFormat="false" ht="15" hidden="false" customHeight="false" outlineLevel="0" collapsed="false">
      <c r="A5387" s="1" t="s">
        <v>923</v>
      </c>
      <c r="B5387" s="0" t="s">
        <v>98</v>
      </c>
      <c r="D5387" s="6" t="n">
        <f aca="false">Sens!D5379+Sens!D5386</f>
        <v>123.627</v>
      </c>
      <c r="E5387" s="6" t="n">
        <f aca="false">Sens!E5379+Sens!E5386</f>
        <v>165.934</v>
      </c>
      <c r="F5387" s="6" t="n">
        <f aca="false">Sens!F5379+Sens!F5386</f>
        <v>179.588152838913</v>
      </c>
      <c r="G5387" s="6" t="n">
        <f aca="false">Sens!G5379+Sens!G5386</f>
        <v>207.926329016961</v>
      </c>
      <c r="H5387" s="6" t="n">
        <f aca="false">Sens!H5379+Sens!H5386</f>
        <v>240.544556808007</v>
      </c>
      <c r="I5387" s="6" t="n">
        <f aca="false">Sens!I5379+Sens!I5386</f>
        <v>265.796584985797</v>
      </c>
      <c r="J5387" s="6" t="n">
        <f aca="false">Sens!J5379+Sens!J5386</f>
        <v>288.129243861007</v>
      </c>
      <c r="K5387" s="6" t="n">
        <f aca="false">Sens!K5379+Sens!K5386</f>
        <v>308.469334957494</v>
      </c>
    </row>
    <row r="5388" customFormat="false" ht="15" hidden="false" customHeight="false" outlineLevel="0" collapsed="false">
      <c r="A5388" s="1" t="s">
        <v>924</v>
      </c>
      <c r="B5388" s="0" t="s">
        <v>98</v>
      </c>
      <c r="D5388" s="6" t="n">
        <f aca="false">Q!L29</f>
        <v>21.795</v>
      </c>
      <c r="E5388" s="6" t="n">
        <f aca="false">Q!M29</f>
        <v>32.185</v>
      </c>
      <c r="F5388" s="6" t="n">
        <f aca="false">Sens!F5387*tax_f</f>
        <v>35.9176305677825</v>
      </c>
      <c r="G5388" s="6" t="n">
        <f aca="false">Sens!G5387*tax_f</f>
        <v>41.5852658033921</v>
      </c>
      <c r="H5388" s="6" t="n">
        <f aca="false">Sens!H5387*tax_f</f>
        <v>48.1089113616013</v>
      </c>
      <c r="I5388" s="6" t="n">
        <f aca="false">Sens!I5387*tax_f</f>
        <v>53.1593169971595</v>
      </c>
      <c r="J5388" s="6" t="n">
        <f aca="false">Sens!J5387*tax_f</f>
        <v>57.6258487722013</v>
      </c>
      <c r="K5388" s="6" t="n">
        <f aca="false">Sens!K5387*tax_f</f>
        <v>61.6938669914987</v>
      </c>
    </row>
    <row r="5389" customFormat="false" ht="15" hidden="false" customHeight="false" outlineLevel="0" collapsed="false">
      <c r="A5389" s="1" t="s">
        <v>925</v>
      </c>
      <c r="B5389" s="0" t="s">
        <v>98</v>
      </c>
      <c r="D5389" s="6" t="n">
        <f aca="false">Sens!D5387-Sens!D5388</f>
        <v>101.832</v>
      </c>
      <c r="E5389" s="6" t="n">
        <f aca="false">Sens!E5387-Sens!E5388</f>
        <v>133.749</v>
      </c>
      <c r="F5389" s="6" t="n">
        <f aca="false">Sens!F5387-Sens!F5388</f>
        <v>143.67052227113</v>
      </c>
      <c r="G5389" s="6" t="n">
        <f aca="false">Sens!G5387-Sens!G5388</f>
        <v>166.341063213569</v>
      </c>
      <c r="H5389" s="6" t="n">
        <f aca="false">Sens!H5387-Sens!H5388</f>
        <v>192.435645446405</v>
      </c>
      <c r="I5389" s="6" t="n">
        <f aca="false">Sens!I5387-Sens!I5388</f>
        <v>212.637267988638</v>
      </c>
      <c r="J5389" s="6" t="n">
        <f aca="false">Sens!J5387-Sens!J5388</f>
        <v>230.503395088805</v>
      </c>
      <c r="K5389" s="6" t="n">
        <f aca="false">Sens!K5387-Sens!K5388</f>
        <v>246.775467965995</v>
      </c>
    </row>
    <row r="5390" customFormat="false" ht="17.15" hidden="false" customHeight="false" outlineLevel="0" collapsed="false">
      <c r="A5390" s="1" t="s">
        <v>926</v>
      </c>
      <c r="B5390" s="1" t="s">
        <v>81</v>
      </c>
      <c r="D5390" s="14" t="n">
        <f aca="false">Q!L31</f>
        <v>7.465</v>
      </c>
      <c r="E5390" s="14" t="n">
        <f aca="false">Q!M31</f>
        <v>7.453</v>
      </c>
      <c r="F5390" s="14" t="n">
        <f aca="false">Sens!F5433</f>
        <v>7.4735</v>
      </c>
      <c r="G5390" s="14" t="n">
        <f aca="false">Sens!G5433</f>
        <v>7.51048314830995</v>
      </c>
      <c r="H5390" s="14" t="n">
        <f aca="false">Sens!H5433</f>
        <v>7.53021788246984</v>
      </c>
      <c r="I5390" s="14" t="n">
        <f aca="false">Sens!I5433</f>
        <v>7.54199871447715</v>
      </c>
      <c r="J5390" s="14" t="n">
        <f aca="false">Sens!J5433</f>
        <v>7.55624022559504</v>
      </c>
      <c r="K5390" s="14" t="n">
        <f aca="false">Sens!K5433</f>
        <v>7.57276014329678</v>
      </c>
    </row>
    <row r="5391" customFormat="false" ht="17.15" hidden="false" customHeight="false" outlineLevel="0" collapsed="false">
      <c r="A5391" s="0" t="s">
        <v>927</v>
      </c>
      <c r="B5391" s="0" t="s">
        <v>75</v>
      </c>
      <c r="D5391" s="8" t="n">
        <f aca="false">Sens!D5389/Sens!D5390</f>
        <v>13.641259209645</v>
      </c>
      <c r="E5391" s="8" t="n">
        <f aca="false">Sens!E5389/Sens!E5390</f>
        <v>17.9456594659869</v>
      </c>
      <c r="F5391" s="8" t="n">
        <f aca="false">Sens!F5389/Sens!F5390</f>
        <v>19.223994416422</v>
      </c>
      <c r="G5391" s="8" t="n">
        <f aca="false">Sens!G5389/Sens!G5390</f>
        <v>22.1478512006248</v>
      </c>
      <c r="H5391" s="8" t="n">
        <f aca="false">Sens!H5389/Sens!H5390</f>
        <v>25.5551231650801</v>
      </c>
      <c r="I5391" s="8" t="n">
        <f aca="false">Sens!I5389/Sens!I5390</f>
        <v>28.1937555333273</v>
      </c>
      <c r="J5391" s="8" t="n">
        <f aca="false">Sens!J5389/Sens!J5390</f>
        <v>30.5050379827825</v>
      </c>
      <c r="K5391" s="8" t="n">
        <f aca="false">Sens!K5389/Sens!K5390</f>
        <v>32.587255280287</v>
      </c>
      <c r="L5391" s="1" t="s">
        <v>928</v>
      </c>
    </row>
    <row r="5392" customFormat="false" ht="17.15" hidden="false" customHeight="false" outlineLevel="0" collapsed="false">
      <c r="A5392" s="1" t="s">
        <v>929</v>
      </c>
      <c r="B5392" s="0" t="s">
        <v>98</v>
      </c>
      <c r="D5392" s="6" t="n">
        <f aca="false">Sens!D5389</f>
        <v>101.832</v>
      </c>
      <c r="E5392" s="6" t="n">
        <f aca="false">Sens!E5389</f>
        <v>133.749</v>
      </c>
      <c r="F5392" s="6" t="n">
        <f aca="false">Sens!F5389+Sens!F5382*(1-tax_f)</f>
        <v>151.452233060821</v>
      </c>
      <c r="G5392" s="6" t="n">
        <f aca="false">Sens!G5389+Sens!G5382*(1-tax_f)</f>
        <v>186.516490733712</v>
      </c>
      <c r="H5392" s="6" t="n">
        <f aca="false">Sens!H5389+Sens!H5382*(1-tax_f)</f>
        <v>226.231972857418</v>
      </c>
      <c r="I5392" s="6" t="n">
        <f aca="false">Sens!I5389+Sens!I5382*(1-tax_f)</f>
        <v>258.812816313312</v>
      </c>
      <c r="J5392" s="6" t="n">
        <f aca="false">Sens!J5389+Sens!J5382*(1-tax_f)</f>
        <v>285.437136976811</v>
      </c>
      <c r="K5392" s="6" t="n">
        <f aca="false">Sens!K5389+Sens!K5382*(1-tax_f)</f>
        <v>306.886723258177</v>
      </c>
    </row>
    <row r="5393" customFormat="false" ht="17.15" hidden="false" customHeight="false" outlineLevel="0" collapsed="false">
      <c r="A5393" s="0" t="s">
        <v>930</v>
      </c>
      <c r="B5393" s="0" t="s">
        <v>75</v>
      </c>
      <c r="D5393" s="8" t="n">
        <f aca="false">Sens!D5392/Sens!D5390</f>
        <v>13.641259209645</v>
      </c>
      <c r="E5393" s="8" t="n">
        <f aca="false">Sens!E5392/Sens!E5390</f>
        <v>17.9456594659869</v>
      </c>
      <c r="F5393" s="8" t="n">
        <f aca="false">Sens!F5392/Sens!F5390</f>
        <v>20.265234904773</v>
      </c>
      <c r="G5393" s="8" t="n">
        <f aca="false">Sens!G5392/Sens!G5390</f>
        <v>24.83415341604</v>
      </c>
      <c r="H5393" s="8" t="n">
        <f aca="false">Sens!H5392/Sens!H5390</f>
        <v>30.0432173926973</v>
      </c>
      <c r="I5393" s="8" t="n">
        <f aca="false">Sens!I5392/Sens!I5390</f>
        <v>34.3162106109235</v>
      </c>
      <c r="J5393" s="8" t="n">
        <f aca="false">Sens!J5392/Sens!J5390</f>
        <v>37.7750214994433</v>
      </c>
      <c r="K5393" s="8" t="n">
        <f aca="false">Sens!K5392/Sens!K5390</f>
        <v>40.5250816678547</v>
      </c>
      <c r="L5393" s="1" t="s">
        <v>931</v>
      </c>
    </row>
    <row r="5394" customFormat="false" ht="17.15" hidden="false" customHeight="false" outlineLevel="0" collapsed="false">
      <c r="A5394" s="0" t="s">
        <v>932</v>
      </c>
      <c r="B5394" s="0" t="s">
        <v>129</v>
      </c>
      <c r="E5394" s="7" t="n">
        <f aca="false">Sens!E5393/Sens!D5393-1</f>
        <v>0.315542736208578</v>
      </c>
      <c r="F5394" s="7" t="n">
        <f aca="false">Sens!F5393/Sens!E5393-1</f>
        <v>0.129255514024579</v>
      </c>
      <c r="G5394" s="7" t="n">
        <f aca="false">Sens!G5393/Sens!F5393-1</f>
        <v>0.225455985718222</v>
      </c>
      <c r="H5394" s="7" t="n">
        <f aca="false">Sens!H5393/Sens!G5393-1</f>
        <v>0.209754038697889</v>
      </c>
      <c r="I5394" s="7" t="n">
        <f aca="false">Sens!I5393/Sens!H5393-1</f>
        <v>0.142228216185155</v>
      </c>
      <c r="J5394" s="7" t="n">
        <f aca="false">Sens!J5393/Sens!I5393-1</f>
        <v>0.100792331872997</v>
      </c>
      <c r="K5394" s="7" t="n">
        <f aca="false">Sens!K5393/Sens!J5393-1</f>
        <v>0.0728010219253452</v>
      </c>
    </row>
    <row r="5395" customFormat="false" ht="17.15" hidden="false" customHeight="false" outlineLevel="0" collapsed="false">
      <c r="A5395" s="0" t="s">
        <v>856</v>
      </c>
      <c r="B5395" s="0" t="s">
        <v>98</v>
      </c>
      <c r="E5395" s="6" t="n">
        <f aca="false">Sens!E5336</f>
        <v>5.25</v>
      </c>
      <c r="F5395" s="6" t="n">
        <f aca="false">Sens!F5336</f>
        <v>11.25</v>
      </c>
      <c r="G5395" s="6" t="n">
        <f aca="false">Sens!G5336</f>
        <v>15.75</v>
      </c>
      <c r="H5395" s="6" t="n">
        <f aca="false">Sens!H5336</f>
        <v>20.25</v>
      </c>
      <c r="I5395" s="6" t="n">
        <f aca="false">Sens!I5336</f>
        <v>23.625</v>
      </c>
      <c r="J5395" s="6" t="n">
        <f aca="false">Sens!J5336</f>
        <v>25.875</v>
      </c>
      <c r="K5395" s="6" t="n">
        <f aca="false">Sens!K5336</f>
        <v>28.125</v>
      </c>
    </row>
    <row r="5396" customFormat="false" ht="17.15" hidden="false" customHeight="false" outlineLevel="0" collapsed="false">
      <c r="A5396" s="1" t="s">
        <v>857</v>
      </c>
      <c r="B5396" s="0" t="s">
        <v>98</v>
      </c>
      <c r="F5396" s="6" t="n">
        <f aca="false">MAX(0,((Sens!E5299+Sens!F5299)/2-(shadow_base*(Sens!$D$5299+Sens!$E$5299)/2+(1-shadow_base)*Sens!$E$5299))*Sens!F5307/1000-(Sens!F5395-Sens!$E$5395)*Sens!F5375)</f>
        <v>9.72713848711398</v>
      </c>
      <c r="G5396" s="6" t="n">
        <f aca="false">MAX(0,((Sens!F5299+Sens!G5299)/2-(shadow_base*(Sens!$D$5299+Sens!$E$5299)/2+(1-shadow_base)*Sens!$E$5299))*Sens!G5307/1000-(Sens!G5395-Sens!$E$5395)*Sens!G5375)</f>
        <v>25.2192844001793</v>
      </c>
      <c r="H5396" s="6" t="n">
        <f aca="false">MAX(0,((Sens!G5299+Sens!H5299)/2-(shadow_base*(Sens!$D$5299+Sens!$E$5299)/2+(1-shadow_base)*Sens!$E$5299))*Sens!H5307/1000-(Sens!H5395-Sens!$E$5395)*Sens!H5375)</f>
        <v>42.2454092637664</v>
      </c>
      <c r="I5396" s="6" t="n">
        <f aca="false">MAX(0,((Sens!H5299+Sens!I5299)/2-(shadow_base*(Sens!$D$5299+Sens!$E$5299)/2+(1-shadow_base)*Sens!$E$5299))*Sens!I5307/1000-(Sens!I5395-Sens!$E$5395)*Sens!I5375)</f>
        <v>57.7194354058428</v>
      </c>
      <c r="J5396" s="6" t="n">
        <f aca="false">MAX(0,((Sens!I5299+Sens!J5299)/2-(shadow_base*(Sens!$D$5299+Sens!$E$5299)/2+(1-shadow_base)*Sens!$E$5299))*Sens!J5307/1000-(Sens!J5395-Sens!$E$5395)*Sens!J5375)</f>
        <v>68.6671773600072</v>
      </c>
      <c r="K5396" s="6" t="n">
        <f aca="false">MAX(0,((Sens!J5299+Sens!K5299)/2-(shadow_base*(Sens!$D$5299+Sens!$E$5299)/2+(1-shadow_base)*Sens!$E$5299))*Sens!K5307/1000-(Sens!K5395-Sens!$E$5395)*Sens!K5375)</f>
        <v>75.1390691152276</v>
      </c>
      <c r="L5396" s="1" t="s">
        <v>858</v>
      </c>
    </row>
    <row r="5397" customFormat="false" ht="17.15" hidden="false" customHeight="false" outlineLevel="0" collapsed="false">
      <c r="A5397" s="1" t="s">
        <v>859</v>
      </c>
      <c r="B5397" s="0" t="s">
        <v>98</v>
      </c>
      <c r="F5397" s="6" t="n">
        <f aca="false">IF(internal_ai_reading=2,1,0)*Sens!F5396</f>
        <v>9.72713848711398</v>
      </c>
      <c r="G5397" s="6" t="n">
        <f aca="false">IF(internal_ai_reading=2,1,0)*Sens!G5396</f>
        <v>25.2192844001793</v>
      </c>
      <c r="H5397" s="6" t="n">
        <f aca="false">IF(internal_ai_reading=2,1,0)*Sens!H5396</f>
        <v>42.2454092637664</v>
      </c>
      <c r="I5397" s="6" t="n">
        <f aca="false">IF(internal_ai_reading=2,1,0)*Sens!I5396</f>
        <v>57.7194354058428</v>
      </c>
      <c r="J5397" s="6" t="n">
        <f aca="false">IF(internal_ai_reading=2,1,0)*Sens!J5396</f>
        <v>68.6671773600072</v>
      </c>
      <c r="K5397" s="6" t="n">
        <f aca="false">IF(internal_ai_reading=2,1,0)*Sens!K5396</f>
        <v>75.1390691152276</v>
      </c>
    </row>
    <row r="5398" customFormat="false" ht="17.15" hidden="false" customHeight="false" outlineLevel="0" collapsed="false">
      <c r="A5398" s="0" t="s">
        <v>860</v>
      </c>
      <c r="B5398" s="0" t="s">
        <v>98</v>
      </c>
      <c r="F5398" s="6" t="n">
        <f aca="false">Sens!F5316+Sens!F5395*Sens!F5375+Sens!F5397-Sens!F5317-Sens!F5327</f>
        <v>18.6954441577666</v>
      </c>
      <c r="G5398" s="6" t="n">
        <f aca="false">Sens!G5316+Sens!G5395*Sens!G5375+Sens!G5397-Sens!G5317-Sens!G5327</f>
        <v>42.7730967717415</v>
      </c>
      <c r="H5398" s="6" t="n">
        <f aca="false">Sens!H5316+Sens!H5395*Sens!H5375+Sens!H5397-Sens!H5317-Sens!H5327</f>
        <v>72.3524695349497</v>
      </c>
      <c r="I5398" s="6" t="n">
        <f aca="false">Sens!I5316+Sens!I5395*Sens!I5375+Sens!I5397-Sens!I5317-Sens!I5327</f>
        <v>93.3920399917181</v>
      </c>
      <c r="J5398" s="6" t="n">
        <f aca="false">Sens!J5316+Sens!J5395*Sens!J5375+Sens!J5397-Sens!J5317-Sens!J5327</f>
        <v>108.132424046476</v>
      </c>
      <c r="K5398" s="6" t="n">
        <f aca="false">Sens!K5316+Sens!K5395*Sens!K5375+Sens!K5397-Sens!K5317-Sens!K5327</f>
        <v>118.341283106908</v>
      </c>
    </row>
    <row r="5399" customFormat="false" ht="17.15" hidden="false" customHeight="false" outlineLevel="0" collapsed="false">
      <c r="A5399" s="0" t="s">
        <v>861</v>
      </c>
      <c r="B5399" s="0" t="s">
        <v>98</v>
      </c>
      <c r="E5399" s="6" t="n">
        <f aca="false">Sens!E5298*(cxit_open+self_build*tk_cxfac)/1000*ai_net_open</f>
        <v>126.6980382</v>
      </c>
      <c r="F5399" s="6" t="n">
        <f aca="false">Sens!E5399+Sens!F5324-Sens!F5327</f>
        <v>252.981026690511</v>
      </c>
      <c r="G5399" s="6" t="n">
        <f aca="false">Sens!F5399+Sens!G5324-Sens!G5327</f>
        <v>377.4297700632</v>
      </c>
      <c r="H5399" s="6" t="n">
        <f aca="false">Sens!G5399+Sens!H5324-Sens!H5327</f>
        <v>479.149036130289</v>
      </c>
      <c r="I5399" s="6" t="n">
        <f aca="false">Sens!H5399+Sens!I5324-Sens!I5327</f>
        <v>532.249961452141</v>
      </c>
      <c r="J5399" s="6" t="n">
        <f aca="false">Sens!I5399+Sens!J5324-Sens!J5327</f>
        <v>531.43307519354</v>
      </c>
      <c r="K5399" s="6" t="n">
        <f aca="false">Sens!J5399+Sens!K5324-Sens!K5327</f>
        <v>513.709026452823</v>
      </c>
      <c r="L5399" s="1" t="s">
        <v>862</v>
      </c>
    </row>
    <row r="5400" customFormat="false" ht="17.15" hidden="false" customHeight="false" outlineLevel="0" collapsed="false">
      <c r="A5400" s="0" t="s">
        <v>863</v>
      </c>
      <c r="B5400" s="0" t="s">
        <v>129</v>
      </c>
      <c r="F5400" s="7" t="n">
        <f aca="false">Sens!F5398*(1-tax_f)/((Sens!E5399+Sens!F5399)/2)</f>
        <v>0.0787841980727922</v>
      </c>
      <c r="G5400" s="7" t="n">
        <f aca="false">Sens!G5398*(1-tax_f)/((Sens!F5399+Sens!G5399)/2)</f>
        <v>0.108559300042451</v>
      </c>
      <c r="H5400" s="7" t="n">
        <f aca="false">Sens!H5398*(1-tax_f)/((Sens!G5399+Sens!H5399)/2)</f>
        <v>0.135146877810762</v>
      </c>
      <c r="I5400" s="7" t="n">
        <f aca="false">Sens!I5398*(1-tax_f)/((Sens!H5399+Sens!I5399)/2)</f>
        <v>0.147743140287788</v>
      </c>
      <c r="J5400" s="7" t="n">
        <f aca="false">Sens!J5398*(1-tax_f)/((Sens!I5399+Sens!J5399)/2)</f>
        <v>0.162653603107137</v>
      </c>
      <c r="K5400" s="7" t="n">
        <f aca="false">Sens!K5398*(1-tax_f)/((Sens!J5399+Sens!K5399)/2)</f>
        <v>0.181167759554213</v>
      </c>
    </row>
    <row r="5401" customFormat="false" ht="17.15" hidden="false" customHeight="false" outlineLevel="0" collapsed="false">
      <c r="A5401" s="1" t="s">
        <v>864</v>
      </c>
      <c r="B5401" s="0" t="s">
        <v>129</v>
      </c>
      <c r="F5401" s="7" t="n">
        <f aca="false">(Sens!F5398-Sens!F5397)*(1-tax_f)/((Sens!E5399+Sens!F5399)/2)</f>
        <v>0.0377932058939887</v>
      </c>
      <c r="G5401" s="7" t="n">
        <f aca="false">(Sens!G5398-Sens!G5397)*(1-tax_f)/((Sens!F5399+Sens!G5399)/2)</f>
        <v>0.0445520602425091</v>
      </c>
      <c r="H5401" s="7" t="n">
        <f aca="false">(Sens!H5398-Sens!H5397)*(1-tax_f)/((Sens!G5399+Sens!H5399)/2)</f>
        <v>0.0562368530316077</v>
      </c>
      <c r="I5401" s="7" t="n">
        <f aca="false">(Sens!I5398-Sens!I5397)*(1-tax_f)/((Sens!H5399+Sens!I5399)/2)</f>
        <v>0.0564328889724341</v>
      </c>
      <c r="J5401" s="7" t="n">
        <f aca="false">(Sens!J5398-Sens!J5397)*(1-tax_f)/((Sens!I5399+Sens!J5399)/2)</f>
        <v>0.0593639200052255</v>
      </c>
      <c r="K5401" s="7" t="n">
        <f aca="false">(Sens!K5398-Sens!K5397)*(1-tax_f)/((Sens!J5399+Sens!K5399)/2)</f>
        <v>0.066137936915757</v>
      </c>
    </row>
    <row r="5402" customFormat="false" ht="17.15" hidden="false" customHeight="false" outlineLevel="0" collapsed="false">
      <c r="A5402" s="1" t="s">
        <v>865</v>
      </c>
      <c r="B5402" s="0" t="s">
        <v>129</v>
      </c>
      <c r="F5402" s="7" t="n">
        <f aca="false">(Sens!F5398-Sens!F5397+Sens!F5396)*(1-tax_f)/((Sens!E5399+Sens!F5399)/2)</f>
        <v>0.0787841980727922</v>
      </c>
      <c r="G5402" s="7" t="n">
        <f aca="false">(Sens!G5398-Sens!G5397+Sens!G5396)*(1-tax_f)/((Sens!F5399+Sens!G5399)/2)</f>
        <v>0.108559300042451</v>
      </c>
      <c r="H5402" s="7" t="n">
        <f aca="false">(Sens!H5398-Sens!H5397+Sens!H5396)*(1-tax_f)/((Sens!G5399+Sens!H5399)/2)</f>
        <v>0.135146877810762</v>
      </c>
      <c r="I5402" s="7" t="n">
        <f aca="false">(Sens!I5398-Sens!I5397+Sens!I5396)*(1-tax_f)/((Sens!H5399+Sens!I5399)/2)</f>
        <v>0.147743140287788</v>
      </c>
      <c r="J5402" s="7" t="n">
        <f aca="false">(Sens!J5398-Sens!J5397+Sens!J5396)*(1-tax_f)/((Sens!I5399+Sens!J5399)/2)</f>
        <v>0.162653603107137</v>
      </c>
      <c r="K5402" s="7" t="n">
        <f aca="false">(Sens!K5398-Sens!K5397+Sens!K5396)*(1-tax_f)/((Sens!J5399+Sens!K5399)/2)</f>
        <v>0.181167759554213</v>
      </c>
    </row>
    <row r="5403" customFormat="false" ht="17.15" hidden="false" customHeight="false" outlineLevel="0" collapsed="false">
      <c r="A5403" s="1" t="s">
        <v>866</v>
      </c>
      <c r="B5403" s="0" t="s">
        <v>129</v>
      </c>
      <c r="F5403" s="7" t="n">
        <f aca="false">Sens!F5328*(1-tax_f)/(Sens!F5315*(Sens!E5399+Sens!F5399)/2)</f>
        <v>0.159418295257403</v>
      </c>
      <c r="G5403" s="7" t="n">
        <f aca="false">Sens!G5328*(1-tax_f)/(Sens!G5315*(Sens!F5399+Sens!G5399)/2)</f>
        <v>0.181875227327983</v>
      </c>
      <c r="H5403" s="7" t="n">
        <f aca="false">Sens!H5328*(1-tax_f)/(Sens!H5315*(Sens!G5399+Sens!H5399)/2)</f>
        <v>0.212793847216411</v>
      </c>
      <c r="I5403" s="7" t="n">
        <f aca="false">Sens!I5328*(1-tax_f)/(Sens!I5315*(Sens!H5399+Sens!I5399)/2)</f>
        <v>0.225613268329429</v>
      </c>
      <c r="J5403" s="7" t="n">
        <f aca="false">Sens!J5328*(1-tax_f)/(Sens!J5315*(Sens!I5399+Sens!J5399)/2)</f>
        <v>0.24488839563955</v>
      </c>
      <c r="K5403" s="7" t="n">
        <f aca="false">Sens!K5328*(1-tax_f)/(Sens!K5315*(Sens!J5399+Sens!K5399)/2)</f>
        <v>0.270711455180788</v>
      </c>
    </row>
    <row r="5404" customFormat="false" ht="17.15" hidden="false" customHeight="false" outlineLevel="0" collapsed="false">
      <c r="A5404" s="0" t="s">
        <v>867</v>
      </c>
      <c r="B5404" s="0" t="s">
        <v>209</v>
      </c>
      <c r="F5404" s="7" t="n">
        <f aca="false">Sens!F5400-wacc</f>
        <v>-0.0241502220200835</v>
      </c>
      <c r="G5404" s="7" t="n">
        <f aca="false">Sens!G5400-wacc</f>
        <v>0.00562487994957479</v>
      </c>
      <c r="H5404" s="7" t="n">
        <f aca="false">Sens!H5400-wacc</f>
        <v>0.0322124577178859</v>
      </c>
      <c r="I5404" s="7" t="n">
        <f aca="false">Sens!I5400-wacc</f>
        <v>0.044808720194912</v>
      </c>
      <c r="J5404" s="7" t="n">
        <f aca="false">Sens!J5400-wacc</f>
        <v>0.0597191830142614</v>
      </c>
      <c r="K5404" s="7" t="n">
        <f aca="false">Sens!K5400-wacc</f>
        <v>0.0782333394613372</v>
      </c>
    </row>
    <row r="5405" customFormat="false" ht="17.15" hidden="false" customHeight="false" outlineLevel="0" collapsed="false">
      <c r="A5405" s="0" t="s">
        <v>868</v>
      </c>
      <c r="B5405" s="0" t="s">
        <v>98</v>
      </c>
      <c r="F5405" s="6" t="n">
        <f aca="false">Sens!F5398*(1-tax_f)-wacc*(Sens!E5399+Sens!F5399)/2</f>
        <v>-4.58466685674177</v>
      </c>
      <c r="G5405" s="6" t="n">
        <f aca="false">Sens!G5398*(1-tax_f)-wacc*(Sens!F5399+Sens!G5399)/2</f>
        <v>1.77299252532771</v>
      </c>
      <c r="H5405" s="6" t="n">
        <f aca="false">Sens!H5398*(1-tax_f)-wacc*(Sens!G5399+Sens!H5399)/2</f>
        <v>13.7962542882725</v>
      </c>
      <c r="I5405" s="6" t="n">
        <f aca="false">Sens!I5398*(1-tax_f)-wacc*(Sens!H5399+Sens!I5399)/2</f>
        <v>22.6597473440428</v>
      </c>
      <c r="J5405" s="6" t="n">
        <f aca="false">Sens!J5398*(1-tax_f)-wacc*(Sens!I5399+Sens!J5399)/2</f>
        <v>31.7611409673044</v>
      </c>
      <c r="K5405" s="6" t="n">
        <f aca="false">Sens!K5398*(1-tax_f)-wacc*(Sens!J5399+Sens!K5399)/2</f>
        <v>40.8824784117176</v>
      </c>
    </row>
    <row r="5406" customFormat="false" ht="17.15" hidden="false" customHeight="false" outlineLevel="0" collapsed="false">
      <c r="A5406" s="3" t="s">
        <v>1400</v>
      </c>
    </row>
    <row r="5407" customFormat="false" ht="15" hidden="false" customHeight="false" outlineLevel="0" collapsed="false">
      <c r="A5407" s="4" t="s">
        <v>43</v>
      </c>
      <c r="B5407" s="4" t="s">
        <v>65</v>
      </c>
      <c r="C5407" s="20" t="s">
        <v>799</v>
      </c>
      <c r="D5407" s="20" t="s">
        <v>800</v>
      </c>
      <c r="E5407" s="20" t="s">
        <v>801</v>
      </c>
      <c r="F5407" s="20" t="s">
        <v>802</v>
      </c>
      <c r="G5407" s="20" t="s">
        <v>803</v>
      </c>
      <c r="H5407" s="20" t="s">
        <v>804</v>
      </c>
      <c r="I5407" s="20" t="s">
        <v>805</v>
      </c>
      <c r="J5407" s="20" t="s">
        <v>806</v>
      </c>
      <c r="K5407" s="20" t="s">
        <v>807</v>
      </c>
      <c r="L5407" s="4" t="s">
        <v>47</v>
      </c>
    </row>
    <row r="5408" customFormat="false" ht="15" hidden="false" customHeight="false" outlineLevel="0" collapsed="false">
      <c r="A5408" s="1" t="s">
        <v>925</v>
      </c>
      <c r="B5408" s="0" t="s">
        <v>98</v>
      </c>
      <c r="F5408" s="6" t="n">
        <f aca="false">Sens!F5389</f>
        <v>143.67052227113</v>
      </c>
      <c r="G5408" s="6" t="n">
        <f aca="false">Sens!G5389</f>
        <v>166.341063213569</v>
      </c>
      <c r="H5408" s="6" t="n">
        <f aca="false">Sens!H5389</f>
        <v>192.435645446405</v>
      </c>
      <c r="I5408" s="6" t="n">
        <f aca="false">Sens!I5389</f>
        <v>212.637267988638</v>
      </c>
      <c r="J5408" s="6" t="n">
        <f aca="false">Sens!J5389</f>
        <v>230.503395088805</v>
      </c>
      <c r="K5408" s="6" t="n">
        <f aca="false">Sens!K5389</f>
        <v>246.775467965995</v>
      </c>
    </row>
    <row r="5409" customFormat="false" ht="17.15" hidden="false" customHeight="false" outlineLevel="0" collapsed="false">
      <c r="A5409" s="1" t="s">
        <v>947</v>
      </c>
      <c r="B5409" s="0" t="s">
        <v>98</v>
      </c>
      <c r="E5409" s="6" t="n">
        <f aca="false">Q!M38-Sens!E5327</f>
        <v>22.2285940229167</v>
      </c>
      <c r="F5409" s="6" t="n">
        <f aca="false">Sens!E5409*(1-1/life_nonai)+(Sens!F5416+Sens!F5417)/life_nonai</f>
        <v>24.3924470334783</v>
      </c>
      <c r="G5409" s="6" t="n">
        <f aca="false">Sens!F5409*(1-1/life_nonai)+(Sens!G5416)/life_nonai</f>
        <v>26.0459916871694</v>
      </c>
      <c r="H5409" s="6" t="n">
        <f aca="false">Sens!G5409*(1-1/life_nonai)+(Sens!H5416)/life_nonai</f>
        <v>28.0850438828615</v>
      </c>
      <c r="I5409" s="6" t="n">
        <f aca="false">Sens!H5409*(1-1/life_nonai)+(Sens!I5416)/life_nonai</f>
        <v>30.4476295257397</v>
      </c>
      <c r="J5409" s="6" t="n">
        <f aca="false">Sens!I5409*(1-1/life_nonai)+(Sens!J5416)/life_nonai</f>
        <v>33.0547078982031</v>
      </c>
      <c r="K5409" s="6" t="n">
        <f aca="false">Sens!J5409*(1-1/life_nonai)+(Sens!K5416)/life_nonai</f>
        <v>35.8223573825822</v>
      </c>
      <c r="L5409" s="11" t="s">
        <v>948</v>
      </c>
    </row>
    <row r="5410" customFormat="false" ht="17.15" hidden="false" customHeight="false" outlineLevel="0" collapsed="false">
      <c r="A5410" s="1" t="s">
        <v>949</v>
      </c>
      <c r="B5410" s="0" t="s">
        <v>98</v>
      </c>
      <c r="F5410" s="6" t="n">
        <f aca="false">Sens!$F$5417/life_nonai*(1-1/life_nonai)^(Sens!F5293-2027)</f>
        <v>0.836277689897089</v>
      </c>
      <c r="G5410" s="6" t="n">
        <f aca="false">Sens!$F$5417/life_nonai*(1-1/life_nonai)^(Sens!G5293-2027)</f>
        <v>0.75264992090738</v>
      </c>
      <c r="H5410" s="6" t="n">
        <f aca="false">Sens!$F$5417/life_nonai*(1-1/life_nonai)^(Sens!H5293-2027)</f>
        <v>0.677384928816642</v>
      </c>
      <c r="I5410" s="6" t="n">
        <f aca="false">Sens!$F$5417/life_nonai*(1-1/life_nonai)^(Sens!I5293-2027)</f>
        <v>0.609646435934978</v>
      </c>
      <c r="J5410" s="6" t="n">
        <f aca="false">Sens!$F$5417/life_nonai*(1-1/life_nonai)^(Sens!J5293-2027)</f>
        <v>0.54868179234148</v>
      </c>
      <c r="K5410" s="6" t="n">
        <f aca="false">Sens!$F$5417/life_nonai*(1-1/life_nonai)^(Sens!K5293-2027)</f>
        <v>0.493813613107332</v>
      </c>
      <c r="L5410" s="1" t="s">
        <v>950</v>
      </c>
    </row>
    <row r="5411" customFormat="false" ht="17.15" hidden="false" customHeight="false" outlineLevel="0" collapsed="false">
      <c r="A5411" s="1" t="s">
        <v>951</v>
      </c>
      <c r="B5411" s="0" t="s">
        <v>98</v>
      </c>
      <c r="E5411" s="6" t="n">
        <f aca="false">Sens!E5327+Sens!E5409</f>
        <v>38.534</v>
      </c>
      <c r="F5411" s="6" t="n">
        <f aca="false">Sens!F5327+Sens!F5409</f>
        <v>58.4423344144339</v>
      </c>
      <c r="G5411" s="6" t="n">
        <f aca="false">Sens!G5327+Sens!G5409</f>
        <v>85.1714287976806</v>
      </c>
      <c r="H5411" s="6" t="n">
        <f aca="false">Sens!H5327+Sens!H5409</f>
        <v>114.446063726173</v>
      </c>
      <c r="I5411" s="6" t="n">
        <f aca="false">Sens!I5327+Sens!I5409</f>
        <v>141.053373358132</v>
      </c>
      <c r="J5411" s="6" t="n">
        <f aca="false">Sens!J5327+Sens!J5409</f>
        <v>161.053030751046</v>
      </c>
      <c r="K5411" s="6" t="n">
        <f aca="false">Sens!K5327+Sens!K5409</f>
        <v>174.95382142689</v>
      </c>
    </row>
    <row r="5412" customFormat="false" ht="17.15" hidden="false" customHeight="false" outlineLevel="0" collapsed="false">
      <c r="A5412" s="1" t="s">
        <v>952</v>
      </c>
      <c r="B5412" s="0" t="s">
        <v>98</v>
      </c>
      <c r="F5412" s="6" t="n">
        <f aca="false">Sens!F5354*sbc_r</f>
        <v>15.0399683065961</v>
      </c>
      <c r="G5412" s="6" t="n">
        <f aca="false">Sens!G5354*sbc_r</f>
        <v>18.1255462030181</v>
      </c>
      <c r="H5412" s="6" t="n">
        <f aca="false">Sens!H5354*sbc_r</f>
        <v>21.456598112564</v>
      </c>
      <c r="I5412" s="6" t="n">
        <f aca="false">Sens!I5354*sbc_r</f>
        <v>24.3234312215825</v>
      </c>
      <c r="J5412" s="6" t="n">
        <f aca="false">Sens!J5354*sbc_r</f>
        <v>26.6659643385638</v>
      </c>
      <c r="K5412" s="6" t="n">
        <f aca="false">Sens!K5354*sbc_r</f>
        <v>28.5451319712502</v>
      </c>
    </row>
    <row r="5413" customFormat="false" ht="17.15" hidden="false" customHeight="false" outlineLevel="0" collapsed="false">
      <c r="A5413" s="1" t="s">
        <v>953</v>
      </c>
      <c r="B5413" s="0" t="s">
        <v>98</v>
      </c>
      <c r="F5413" s="6" t="n">
        <f aca="false">wc27</f>
        <v>-4.895</v>
      </c>
      <c r="G5413" s="6" t="n">
        <f aca="false">wc_f</f>
        <v>0</v>
      </c>
      <c r="H5413" s="6" t="n">
        <f aca="false">wc_f</f>
        <v>0</v>
      </c>
      <c r="I5413" s="6" t="n">
        <f aca="false">wc_f</f>
        <v>0</v>
      </c>
      <c r="J5413" s="6" t="n">
        <f aca="false">wc_f</f>
        <v>0</v>
      </c>
      <c r="K5413" s="6" t="n">
        <f aca="false">wc_f</f>
        <v>0</v>
      </c>
      <c r="L5413" s="11" t="s">
        <v>954</v>
      </c>
    </row>
    <row r="5414" customFormat="false" ht="15" hidden="false" customHeight="false" outlineLevel="0" collapsed="false">
      <c r="A5414" s="1" t="s">
        <v>767</v>
      </c>
      <c r="B5414" s="0" t="s">
        <v>98</v>
      </c>
      <c r="E5414" s="6" t="n">
        <f aca="false">Q!M35</f>
        <v>182.935</v>
      </c>
      <c r="F5414" s="6" t="n">
        <f aca="false">Sens!F5408+Sens!F5411+Sens!F5412+Sens!F5413</f>
        <v>212.25782499216</v>
      </c>
      <c r="G5414" s="6" t="n">
        <f aca="false">Sens!G5408+Sens!G5411+Sens!G5412+Sens!G5413</f>
        <v>269.638038214267</v>
      </c>
      <c r="H5414" s="6" t="n">
        <f aca="false">Sens!H5408+Sens!H5411+Sens!H5412+Sens!H5413</f>
        <v>328.338307285142</v>
      </c>
      <c r="I5414" s="6" t="n">
        <f aca="false">Sens!I5408+Sens!I5411+Sens!I5412+Sens!I5413</f>
        <v>378.014072568353</v>
      </c>
      <c r="J5414" s="6" t="n">
        <f aca="false">Sens!J5408+Sens!J5411+Sens!J5412+Sens!J5413</f>
        <v>418.222390178416</v>
      </c>
      <c r="K5414" s="6" t="n">
        <f aca="false">Sens!K5408+Sens!K5411+Sens!K5412+Sens!K5413</f>
        <v>450.274421364135</v>
      </c>
    </row>
    <row r="5415" customFormat="false" ht="17.15" hidden="false" customHeight="false" outlineLevel="0" collapsed="false">
      <c r="A5415" s="0" t="s">
        <v>955</v>
      </c>
      <c r="B5415" s="0" t="s">
        <v>98</v>
      </c>
      <c r="F5415" s="6" t="n">
        <f aca="false">Sens!F5324</f>
        <v>160.332875871467</v>
      </c>
      <c r="G5415" s="6" t="n">
        <f aca="false">Sens!G5324</f>
        <v>183.5741804832</v>
      </c>
      <c r="H5415" s="6" t="n">
        <f aca="false">Sens!H5324</f>
        <v>188.0802859104</v>
      </c>
      <c r="I5415" s="6" t="n">
        <f aca="false">Sens!I5324</f>
        <v>163.706669154245</v>
      </c>
      <c r="J5415" s="6" t="n">
        <f aca="false">Sens!J5324</f>
        <v>127.181436594242</v>
      </c>
      <c r="K5415" s="6" t="n">
        <f aca="false">Sens!K5324</f>
        <v>121.407415303591</v>
      </c>
    </row>
    <row r="5416" customFormat="false" ht="17.15" hidden="false" customHeight="false" outlineLevel="0" collapsed="false">
      <c r="A5416" s="1" t="s">
        <v>956</v>
      </c>
      <c r="B5416" s="0" t="s">
        <v>98</v>
      </c>
      <c r="E5416" s="6" t="n">
        <f aca="false">Sens!E5332*cx_azo+Sens!E5339*cx_m365+Sens!E5340*cx_lic+(Sens!E5342+Sens!E5344)*cx_ind+Sens!E5347*cx_srch+(Sens!E5349+Sens!E5351)*cx_dev</f>
        <v>30.1846587067718</v>
      </c>
      <c r="F5416" s="6" t="n">
        <f aca="false">Sens!F5332*cx_azo+Sens!F5339*cx_m365+Sens!F5340*cx_lic+(Sens!F5342+Sens!F5344)*cx_ind+Sens!F5347*cx_srch+(Sens!F5349+Sens!F5351)*cx_dev</f>
        <v>35.5043472295625</v>
      </c>
      <c r="G5416" s="6" t="n">
        <f aca="false">Sens!G5332*cx_azo+Sens!G5339*cx_m365+Sens!G5340*cx_lic+(Sens!G5342+Sens!G5344)*cx_ind+Sens!G5347*cx_srch+(Sens!G5349+Sens!G5351)*cx_dev</f>
        <v>40.9278935703892</v>
      </c>
      <c r="H5416" s="6" t="n">
        <f aca="false">Sens!H5332*cx_azo+Sens!H5339*cx_m365+Sens!H5340*cx_lic+(Sens!H5342+Sens!H5344)*cx_ind+Sens!H5347*cx_srch+(Sens!H5349+Sens!H5351)*cx_dev</f>
        <v>46.4365136440897</v>
      </c>
      <c r="I5416" s="6" t="n">
        <f aca="false">Sens!I5332*cx_azo+Sens!I5339*cx_m365+Sens!I5340*cx_lic+(Sens!I5342+Sens!I5344)*cx_ind+Sens!I5347*cx_srch+(Sens!I5349+Sens!I5351)*cx_dev</f>
        <v>51.7109003116439</v>
      </c>
      <c r="J5416" s="6" t="n">
        <f aca="false">Sens!J5332*cx_azo+Sens!J5339*cx_m365+Sens!J5340*cx_lic+(Sens!J5342+Sens!J5344)*cx_ind+Sens!J5347*cx_srch+(Sens!J5349+Sens!J5351)*cx_dev</f>
        <v>56.5184132503738</v>
      </c>
      <c r="K5416" s="6" t="n">
        <f aca="false">Sens!K5332*cx_azo+Sens!K5339*cx_m365+Sens!K5340*cx_lic+(Sens!K5342+Sens!K5344)*cx_ind+Sens!K5347*cx_srch+(Sens!K5349+Sens!K5351)*cx_dev</f>
        <v>60.731202741994</v>
      </c>
    </row>
    <row r="5417" customFormat="false" ht="17.15" hidden="false" customHeight="false" outlineLevel="0" collapsed="false">
      <c r="A5417" s="0" t="s">
        <v>957</v>
      </c>
      <c r="B5417" s="0" t="s">
        <v>98</v>
      </c>
      <c r="F5417" s="6" t="n">
        <f aca="false">Sens!F5322</f>
        <v>8.36277689897089</v>
      </c>
      <c r="L5417" s="1" t="s">
        <v>958</v>
      </c>
    </row>
    <row r="5418" customFormat="false" ht="17.15" hidden="false" customHeight="false" outlineLevel="0" collapsed="false">
      <c r="A5418" s="1" t="s">
        <v>959</v>
      </c>
      <c r="B5418" s="0" t="s">
        <v>98</v>
      </c>
      <c r="E5418" s="6" t="n">
        <f aca="false">Q!M42</f>
        <v>145.3</v>
      </c>
      <c r="F5418" s="6" t="n">
        <f aca="false">Sens!F5415+Sens!F5416+Sens!F5417</f>
        <v>204.2</v>
      </c>
      <c r="G5418" s="6" t="n">
        <f aca="false">Sens!G5415+Sens!G5416</f>
        <v>224.502074053589</v>
      </c>
      <c r="H5418" s="6" t="n">
        <f aca="false">Sens!H5415+Sens!H5416</f>
        <v>234.51679955449</v>
      </c>
      <c r="I5418" s="6" t="n">
        <f aca="false">Sens!I5415+Sens!I5416</f>
        <v>215.417569465889</v>
      </c>
      <c r="J5418" s="6" t="n">
        <f aca="false">Sens!J5415+Sens!J5416</f>
        <v>183.699849844616</v>
      </c>
      <c r="K5418" s="6" t="n">
        <f aca="false">Sens!K5415+Sens!K5416</f>
        <v>182.138618045585</v>
      </c>
      <c r="L5418" s="1" t="s">
        <v>960</v>
      </c>
    </row>
    <row r="5419" customFormat="false" ht="15" hidden="false" customHeight="false" outlineLevel="0" collapsed="false">
      <c r="A5419" s="1" t="s">
        <v>961</v>
      </c>
      <c r="B5419" s="0" t="s">
        <v>98</v>
      </c>
      <c r="E5419" s="6" t="n">
        <f aca="false">fl_liab</f>
        <v>66.594</v>
      </c>
      <c r="F5419" s="6" t="n">
        <f aca="false">Sens!E5419-Sens!F5420</f>
        <v>62.46973</v>
      </c>
      <c r="G5419" s="6" t="n">
        <f aca="false">Sens!F5419-Sens!G5420</f>
        <v>57.98686785</v>
      </c>
      <c r="H5419" s="6" t="n">
        <f aca="false">Sens!G5419-Sens!H5420</f>
        <v>53.92827690325</v>
      </c>
      <c r="I5419" s="6" t="n">
        <f aca="false">Sens!H5419-Sens!I5420</f>
        <v>49.7850493638962</v>
      </c>
      <c r="J5419" s="6" t="n">
        <f aca="false">Sens!I5419-Sens!J5420</f>
        <v>45.4823765852716</v>
      </c>
      <c r="K5419" s="6" t="n">
        <f aca="false">Sens!J5419-Sens!K5420</f>
        <v>40.9860835316088</v>
      </c>
    </row>
    <row r="5420" customFormat="false" ht="15" hidden="false" customHeight="false" outlineLevel="0" collapsed="false">
      <c r="A5420" s="1" t="s">
        <v>962</v>
      </c>
      <c r="B5420" s="0" t="s">
        <v>98</v>
      </c>
      <c r="F5420" s="6" t="n">
        <f aca="false">fl_pay_27-Sens!E5419*fl_rate</f>
        <v>4.12427</v>
      </c>
      <c r="G5420" s="6" t="n">
        <f aca="false">fl_pay_28-Sens!F5419*fl_rate</f>
        <v>4.48286215</v>
      </c>
      <c r="H5420" s="6" t="n">
        <f aca="false">fl_pay_29-Sens!G5419*fl_rate</f>
        <v>4.05859094675</v>
      </c>
      <c r="I5420" s="6" t="n">
        <f aca="false">fl_pay_30-Sens!H5419*fl_rate</f>
        <v>4.14322753935375</v>
      </c>
      <c r="J5420" s="6" t="n">
        <f aca="false">fl_pay_31-Sens!I5419*fl_rate</f>
        <v>4.30267277862467</v>
      </c>
      <c r="K5420" s="6" t="n">
        <f aca="false">fl_pay_32-Sens!J5419*fl_rate</f>
        <v>4.49629305366278</v>
      </c>
    </row>
    <row r="5421" customFormat="false" ht="17.15" hidden="false" customHeight="false" outlineLevel="0" collapsed="false">
      <c r="A5421" s="1" t="s">
        <v>963</v>
      </c>
      <c r="B5421" s="0" t="s">
        <v>98</v>
      </c>
      <c r="E5421" s="6" t="n">
        <f aca="false">Q!M35-Q!M36-Q!M43</f>
        <v>63.886</v>
      </c>
      <c r="F5421" s="6" t="n">
        <f aca="false">Sens!F5414-Sens!F5418-Sens!F5420</f>
        <v>3.93355499216005</v>
      </c>
      <c r="G5421" s="6" t="n">
        <f aca="false">Sens!G5414-Sens!G5418-Sens!G5420</f>
        <v>40.653102010678</v>
      </c>
      <c r="H5421" s="6" t="n">
        <f aca="false">Sens!H5414-Sens!H5418-Sens!H5420</f>
        <v>89.7629167839022</v>
      </c>
      <c r="I5421" s="6" t="n">
        <f aca="false">Sens!I5414-Sens!I5418-Sens!I5420</f>
        <v>158.45327556311</v>
      </c>
      <c r="J5421" s="6" t="n">
        <f aca="false">Sens!J5414-Sens!J5418-Sens!J5420</f>
        <v>230.219867555175</v>
      </c>
      <c r="K5421" s="6" t="n">
        <f aca="false">Sens!K5414-Sens!K5418-Sens!K5420</f>
        <v>263.639510264888</v>
      </c>
      <c r="L5421" s="11" t="s">
        <v>964</v>
      </c>
    </row>
    <row r="5422" customFormat="false" ht="15" hidden="false" customHeight="false" outlineLevel="0" collapsed="false">
      <c r="A5422" s="1" t="s">
        <v>965</v>
      </c>
      <c r="B5422" s="0" t="s">
        <v>75</v>
      </c>
      <c r="F5422" s="8" t="n">
        <f aca="false">dps_27</f>
        <v>3.85</v>
      </c>
      <c r="G5422" s="8" t="n">
        <f aca="false">Sens!F5422*(1+dps_g)</f>
        <v>4.158</v>
      </c>
      <c r="H5422" s="8" t="n">
        <f aca="false">Sens!G5422*(1+dps_g)</f>
        <v>4.49064</v>
      </c>
      <c r="I5422" s="8" t="n">
        <f aca="false">Sens!H5422*(1+dps_g)</f>
        <v>4.8498912</v>
      </c>
      <c r="J5422" s="8" t="n">
        <f aca="false">Sens!I5422*(1+dps_g)</f>
        <v>5.237882496</v>
      </c>
      <c r="K5422" s="8" t="n">
        <f aca="false">Sens!J5422*(1+dps_g)</f>
        <v>5.65691309568</v>
      </c>
    </row>
    <row r="5423" customFormat="false" ht="17.15" hidden="false" customHeight="false" outlineLevel="0" collapsed="false">
      <c r="A5423" s="1" t="s">
        <v>966</v>
      </c>
      <c r="B5423" s="0" t="s">
        <v>98</v>
      </c>
      <c r="E5423" s="6" t="n">
        <f aca="false">Q!M41</f>
        <v>26.445</v>
      </c>
      <c r="F5423" s="6" t="n">
        <f aca="false">Sens!F5422*Sens!E5432</f>
        <v>28.59395</v>
      </c>
      <c r="G5423" s="6" t="n">
        <f aca="false">Sens!G5422*Sens!F5432</f>
        <v>31.068576</v>
      </c>
      <c r="H5423" s="6" t="n">
        <f aca="false">Sens!H5422*Sens!G5432</f>
        <v>33.6841392902532</v>
      </c>
      <c r="I5423" s="6" t="n">
        <f aca="false">Sens!I5422*Sens!H5432</f>
        <v>36.4298096734728</v>
      </c>
      <c r="J5423" s="6" t="n">
        <f aca="false">Sens!J5422*Sens!I5432</f>
        <v>39.4125932956701</v>
      </c>
      <c r="K5423" s="6" t="n">
        <f aca="false">Sens!K5422*Sens!J5432</f>
        <v>42.6528559846288</v>
      </c>
      <c r="L5423" s="1" t="s">
        <v>967</v>
      </c>
    </row>
    <row r="5424" customFormat="false" ht="15" hidden="false" customHeight="false" outlineLevel="0" collapsed="false">
      <c r="A5424" s="1" t="s">
        <v>968</v>
      </c>
      <c r="B5424" s="0" t="s">
        <v>98</v>
      </c>
      <c r="E5424" s="6" t="n">
        <f aca="false">Sens!E5421-Sens!E5423</f>
        <v>37.441</v>
      </c>
      <c r="F5424" s="6" t="n">
        <f aca="false">Sens!F5421-Sens!F5423</f>
        <v>-24.66039500784</v>
      </c>
      <c r="G5424" s="6" t="n">
        <f aca="false">Sens!G5421-Sens!G5423</f>
        <v>9.58452601067798</v>
      </c>
      <c r="H5424" s="6" t="n">
        <f aca="false">Sens!H5421-Sens!H5423</f>
        <v>56.0787774936491</v>
      </c>
      <c r="I5424" s="6" t="n">
        <f aca="false">Sens!I5421-Sens!I5423</f>
        <v>122.023465889637</v>
      </c>
      <c r="J5424" s="6" t="n">
        <f aca="false">Sens!J5421-Sens!J5423</f>
        <v>190.807274259505</v>
      </c>
      <c r="K5424" s="6" t="n">
        <f aca="false">Sens!K5421-Sens!K5423</f>
        <v>220.986654280259</v>
      </c>
    </row>
    <row r="5425" customFormat="false" ht="15" hidden="false" customHeight="false" outlineLevel="0" collapsed="false">
      <c r="A5425" s="1" t="s">
        <v>969</v>
      </c>
      <c r="B5425" s="0" t="s">
        <v>98</v>
      </c>
      <c r="F5425" s="6" t="n">
        <f aca="false">debt_mat_27</f>
        <v>9.25</v>
      </c>
      <c r="G5425" s="6" t="n">
        <f aca="false">debt_mat_28</f>
        <v>0</v>
      </c>
      <c r="H5425" s="6" t="n">
        <f aca="false">debt_mat_29</f>
        <v>2.001</v>
      </c>
      <c r="I5425" s="6" t="n">
        <f aca="false">debt_mat_30</f>
        <v>0</v>
      </c>
      <c r="J5425" s="6" t="n">
        <f aca="false">debt_mat_31</f>
        <v>0.5</v>
      </c>
      <c r="K5425" s="6" t="n">
        <f aca="false">debt_mat_32</f>
        <v>0</v>
      </c>
    </row>
    <row r="5426" customFormat="false" ht="15" hidden="false" customHeight="false" outlineLevel="0" collapsed="false">
      <c r="A5426" s="1" t="s">
        <v>970</v>
      </c>
      <c r="B5426" s="0" t="s">
        <v>98</v>
      </c>
      <c r="E5426" s="6" t="n">
        <f aca="false">Q!M40</f>
        <v>22.271</v>
      </c>
      <c r="F5426" s="6" t="n">
        <f aca="false">MAX(0,MIN(bb_target,Sens!E5428+Sens!F5424-Sens!F5425-min_cash))</f>
        <v>0</v>
      </c>
      <c r="G5426" s="6" t="n">
        <f aca="false">MAX(0,MIN(bb_target,Sens!F5428+Sens!G5424-Sens!G5425-min_cash))</f>
        <v>9.58452601067798</v>
      </c>
      <c r="H5426" s="6" t="n">
        <f aca="false">MAX(0,MIN(bb_target,Sens!G5428+Sens!H5424-Sens!H5425-min_cash))</f>
        <v>22.271</v>
      </c>
      <c r="I5426" s="6" t="n">
        <f aca="false">MAX(0,MIN(bb_target,Sens!H5428+Sens!I5424-Sens!I5425-min_cash))</f>
        <v>22.271</v>
      </c>
      <c r="J5426" s="6" t="n">
        <f aca="false">MAX(0,MIN(bb_target,Sens!I5428+Sens!J5424-Sens!J5425-min_cash))</f>
        <v>22.271</v>
      </c>
      <c r="K5426" s="6" t="n">
        <f aca="false">MAX(0,MIN(bb_target,Sens!J5428+Sens!K5424-Sens!K5425-min_cash))</f>
        <v>22.271</v>
      </c>
    </row>
    <row r="5427" customFormat="false" ht="15" hidden="false" customHeight="false" outlineLevel="0" collapsed="false">
      <c r="A5427" s="1" t="s">
        <v>971</v>
      </c>
      <c r="B5427" s="0" t="s">
        <v>98</v>
      </c>
      <c r="F5427" s="6" t="n">
        <f aca="false">MAX(0,min_cash-(Sens!E5428+Sens!F5424-Sens!F5425-Sens!F5426))</f>
        <v>7.06739500783995</v>
      </c>
      <c r="G5427" s="6" t="n">
        <f aca="false">MAX(0,min_cash-(Sens!F5428+Sens!G5424-Sens!G5425-Sens!G5426))</f>
        <v>0</v>
      </c>
      <c r="H5427" s="6" t="n">
        <f aca="false">MAX(0,min_cash-(Sens!G5428+Sens!H5424-Sens!H5425-Sens!H5426))</f>
        <v>0</v>
      </c>
      <c r="I5427" s="6" t="n">
        <f aca="false">MAX(0,min_cash-(Sens!H5428+Sens!I5424-Sens!I5425-Sens!I5426))</f>
        <v>0</v>
      </c>
      <c r="J5427" s="6" t="n">
        <f aca="false">MAX(0,min_cash-(Sens!I5428+Sens!J5424-Sens!J5425-Sens!J5426))</f>
        <v>0</v>
      </c>
      <c r="K5427" s="6" t="n">
        <f aca="false">MAX(0,min_cash-(Sens!J5428+Sens!K5424-Sens!K5425-Sens!K5426))</f>
        <v>0</v>
      </c>
    </row>
    <row r="5428" customFormat="false" ht="15" hidden="false" customHeight="false" outlineLevel="0" collapsed="false">
      <c r="A5428" s="1" t="s">
        <v>972</v>
      </c>
      <c r="B5428" s="0" t="s">
        <v>98</v>
      </c>
      <c r="E5428" s="6" t="n">
        <f aca="false">cash_open</f>
        <v>76.843</v>
      </c>
      <c r="F5428" s="6" t="n">
        <f aca="false">Sens!E5428+Sens!F5424-Sens!F5425-Sens!F5426+Sens!F5427</f>
        <v>50</v>
      </c>
      <c r="G5428" s="6" t="n">
        <f aca="false">Sens!F5428+Sens!G5424-Sens!G5425-Sens!G5426+Sens!G5427</f>
        <v>50</v>
      </c>
      <c r="H5428" s="6" t="n">
        <f aca="false">Sens!G5428+Sens!H5424-Sens!H5425-Sens!H5426+Sens!H5427</f>
        <v>81.8067774936491</v>
      </c>
      <c r="I5428" s="6" t="n">
        <f aca="false">Sens!H5428+Sens!I5424-Sens!I5425-Sens!I5426+Sens!I5427</f>
        <v>181.559243383286</v>
      </c>
      <c r="J5428" s="6" t="n">
        <f aca="false">Sens!I5428+Sens!J5424-Sens!J5425-Sens!J5426+Sens!J5427</f>
        <v>349.595517642791</v>
      </c>
      <c r="K5428" s="6" t="n">
        <f aca="false">Sens!J5428+Sens!K5424-Sens!K5425-Sens!K5426+Sens!K5427</f>
        <v>548.31117192305</v>
      </c>
    </row>
    <row r="5429" customFormat="false" ht="15" hidden="false" customHeight="false" outlineLevel="0" collapsed="false">
      <c r="A5429" s="1" t="s">
        <v>973</v>
      </c>
      <c r="B5429" s="0" t="s">
        <v>98</v>
      </c>
      <c r="E5429" s="6" t="n">
        <f aca="false">debt_face</f>
        <v>46.136</v>
      </c>
      <c r="F5429" s="6" t="n">
        <f aca="false">Sens!E5429-Sens!F5425+Sens!F5427</f>
        <v>43.95339500784</v>
      </c>
      <c r="G5429" s="6" t="n">
        <f aca="false">Sens!F5429-Sens!G5425+Sens!G5427</f>
        <v>43.95339500784</v>
      </c>
      <c r="H5429" s="6" t="n">
        <f aca="false">Sens!G5429-Sens!H5425+Sens!H5427</f>
        <v>41.95239500784</v>
      </c>
      <c r="I5429" s="6" t="n">
        <f aca="false">Sens!H5429-Sens!I5425+Sens!I5427</f>
        <v>41.95239500784</v>
      </c>
      <c r="J5429" s="6" t="n">
        <f aca="false">Sens!I5429-Sens!J5425+Sens!J5427</f>
        <v>41.45239500784</v>
      </c>
      <c r="K5429" s="6" t="n">
        <f aca="false">Sens!J5429-Sens!K5425+Sens!K5427</f>
        <v>41.45239500784</v>
      </c>
    </row>
    <row r="5430" customFormat="false" ht="15" hidden="false" customHeight="false" outlineLevel="0" collapsed="false">
      <c r="A5430" s="1" t="s">
        <v>974</v>
      </c>
      <c r="B5430" s="0" t="s">
        <v>98</v>
      </c>
      <c r="E5430" s="6" t="n">
        <f aca="false">Sens!E5428-Sens!E5429</f>
        <v>30.707</v>
      </c>
      <c r="F5430" s="6" t="n">
        <f aca="false">Sens!F5428-Sens!F5429</f>
        <v>6.04660499216005</v>
      </c>
      <c r="G5430" s="6" t="n">
        <f aca="false">Sens!G5428-Sens!G5429</f>
        <v>6.04660499216005</v>
      </c>
      <c r="H5430" s="6" t="n">
        <f aca="false">Sens!H5428-Sens!H5429</f>
        <v>39.8543824858091</v>
      </c>
      <c r="I5430" s="6" t="n">
        <f aca="false">Sens!I5428-Sens!I5429</f>
        <v>139.606848375446</v>
      </c>
      <c r="J5430" s="6" t="n">
        <f aca="false">Sens!J5428-Sens!J5429</f>
        <v>308.143122634951</v>
      </c>
      <c r="K5430" s="6" t="n">
        <f aca="false">Sens!K5428-Sens!K5429</f>
        <v>506.85877691521</v>
      </c>
    </row>
    <row r="5431" customFormat="false" ht="15" hidden="false" customHeight="false" outlineLevel="0" collapsed="false">
      <c r="A5431" s="1" t="s">
        <v>975</v>
      </c>
      <c r="B5431" s="0" t="s">
        <v>75</v>
      </c>
      <c r="F5431" s="29" t="n">
        <f aca="false">px*(1+bb_g)^(Sens!F5293-base_fy-mid_yr)</f>
        <v>553.494156066711</v>
      </c>
      <c r="G5431" s="29" t="n">
        <f aca="false">px*(1+bb_g)^(Sens!G5293-base_fy-mid_yr)</f>
        <v>597.773688552047</v>
      </c>
      <c r="H5431" s="29" t="n">
        <f aca="false">px*(1+bb_g)^(Sens!H5293-base_fy-mid_yr)</f>
        <v>645.595583636211</v>
      </c>
      <c r="I5431" s="29" t="n">
        <f aca="false">px*(1+bb_g)^(Sens!I5293-base_fy-mid_yr)</f>
        <v>697.243230327108</v>
      </c>
      <c r="J5431" s="29" t="n">
        <f aca="false">px*(1+bb_g)^(Sens!J5293-base_fy-mid_yr)</f>
        <v>753.022688753277</v>
      </c>
      <c r="K5431" s="29" t="n">
        <f aca="false">px*(1+bb_g)^(Sens!K5293-base_fy-mid_yr)</f>
        <v>813.264503853539</v>
      </c>
    </row>
    <row r="5432" customFormat="false" ht="15" hidden="false" customHeight="false" outlineLevel="0" collapsed="false">
      <c r="A5432" s="1" t="s">
        <v>976</v>
      </c>
      <c r="B5432" s="1" t="s">
        <v>81</v>
      </c>
      <c r="E5432" s="14" t="n">
        <f aca="false">sh_out26</f>
        <v>7.427</v>
      </c>
      <c r="F5432" s="14" t="n">
        <f aca="false">Sens!E5432+sh_iss-Sens!F5426/Sens!F5431</f>
        <v>7.472</v>
      </c>
      <c r="G5432" s="14" t="n">
        <f aca="false">Sens!F5432+sh_iss-Sens!G5426/Sens!G5431</f>
        <v>7.50096629661989</v>
      </c>
      <c r="H5432" s="14" t="n">
        <f aca="false">Sens!G5432+sh_iss-Sens!H5426/Sens!H5431</f>
        <v>7.51146946831979</v>
      </c>
      <c r="I5432" s="14" t="n">
        <f aca="false">Sens!H5432+sh_iss-Sens!I5426/Sens!I5431</f>
        <v>7.52452796063452</v>
      </c>
      <c r="J5432" s="14" t="n">
        <f aca="false">Sens!I5432+sh_iss-Sens!J5426/Sens!J5431</f>
        <v>7.53995249055556</v>
      </c>
      <c r="K5432" s="14" t="n">
        <f aca="false">Sens!J5432+sh_iss-Sens!K5426/Sens!K5431</f>
        <v>7.557567796038</v>
      </c>
    </row>
    <row r="5433" customFormat="false" ht="15" hidden="false" customHeight="false" outlineLevel="0" collapsed="false">
      <c r="A5433" s="1" t="s">
        <v>977</v>
      </c>
      <c r="B5433" s="1" t="s">
        <v>81</v>
      </c>
      <c r="E5433" s="14" t="n">
        <f aca="false">sh_dil26</f>
        <v>7.453</v>
      </c>
      <c r="F5433" s="14" t="n">
        <f aca="false">(Sens!E5432+Sens!F5432)/2+dil_gap</f>
        <v>7.4735</v>
      </c>
      <c r="G5433" s="14" t="n">
        <f aca="false">(Sens!F5432+Sens!G5432)/2+dil_gap</f>
        <v>7.51048314830995</v>
      </c>
      <c r="H5433" s="14" t="n">
        <f aca="false">(Sens!G5432+Sens!H5432)/2+dil_gap</f>
        <v>7.53021788246984</v>
      </c>
      <c r="I5433" s="14" t="n">
        <f aca="false">(Sens!H5432+Sens!I5432)/2+dil_gap</f>
        <v>7.54199871447715</v>
      </c>
      <c r="J5433" s="14" t="n">
        <f aca="false">(Sens!I5432+Sens!J5432)/2+dil_gap</f>
        <v>7.55624022559504</v>
      </c>
      <c r="K5433" s="14" t="n">
        <f aca="false">(Sens!J5432+Sens!K5432)/2+dil_gap</f>
        <v>7.57276014329678</v>
      </c>
    </row>
    <row r="5434" customFormat="false" ht="17.15" hidden="false" customHeight="false" outlineLevel="0" collapsed="false">
      <c r="A5434" s="1" t="s">
        <v>978</v>
      </c>
      <c r="B5434" s="0" t="s">
        <v>98</v>
      </c>
      <c r="C5434" s="6" t="n">
        <f aca="false">SUM(Sens!F5424:J5424)</f>
        <v>353.833648645629</v>
      </c>
    </row>
    <row r="5435" customFormat="false" ht="15" hidden="false" customHeight="false" outlineLevel="0" collapsed="false">
      <c r="A5435" s="23" t="s">
        <v>945</v>
      </c>
      <c r="B5435" s="30" t="s">
        <v>98</v>
      </c>
      <c r="C5435" s="24" t="n">
        <f aca="false">Sens!$C$5434-(Sens!F5424+Sens!G5424+Sens!H5424+Sens!I5424+Sens!J5424)</f>
        <v>0</v>
      </c>
      <c r="D5435" s="30"/>
      <c r="E5435" s="30"/>
      <c r="F5435" s="30"/>
      <c r="G5435" s="30"/>
      <c r="H5435" s="30"/>
      <c r="I5435" s="30"/>
      <c r="J5435" s="30"/>
      <c r="K5435" s="30"/>
    </row>
    <row r="5436" customFormat="false" ht="17.15" hidden="false" customHeight="false" outlineLevel="0" collapsed="false">
      <c r="A5436" s="1" t="s">
        <v>939</v>
      </c>
      <c r="B5436" s="1" t="s">
        <v>979</v>
      </c>
      <c r="C5436" s="32" t="str">
        <f aca="false">IF(SUM(Sens!F5427:J5427)&gt;0.05,"需要舉債 "&amp;TEXT(SUM(Sens!F5427:J5427),"0.0")&amp;" 十億美元","不需舉債")&amp;"；"&amp;IF(SUM(Sens!F5426:J5426)&lt;COUNT(Sens!F5426:J5426)*bb_target-0.05,"回購較每年 "&amp;TEXT(bb_target,"0.0")&amp;" 的目標少 "&amp;TEXT(COUNT(Sens!F5426:J5426)*bb_target-SUM(Sens!F5426:J5426),"0.0")&amp;" 十億美元（"&amp;TEXT(COUNTIF(Sens!F5426:J5426,"&lt;"&amp;(bb_target-0.05)),"0")&amp;" 年減少）","回購不減")</f>
        <v>需要舉債 7.1 十億美元；回購較每年 22.3 的目標少 35.0 十億美元（2 年減少）</v>
      </c>
    </row>
    <row r="5437" customFormat="false" ht="17.15" hidden="false" customHeight="false" outlineLevel="0" collapsed="false">
      <c r="A5437" s="3" t="s">
        <v>1401</v>
      </c>
    </row>
    <row r="5438" customFormat="false" ht="15" hidden="false" customHeight="false" outlineLevel="0" collapsed="false">
      <c r="A5438" s="4" t="s">
        <v>43</v>
      </c>
      <c r="B5438" s="4" t="s">
        <v>65</v>
      </c>
      <c r="C5438" s="20" t="s">
        <v>799</v>
      </c>
      <c r="D5438" s="20" t="s">
        <v>800</v>
      </c>
      <c r="E5438" s="20" t="s">
        <v>801</v>
      </c>
      <c r="F5438" s="20" t="s">
        <v>802</v>
      </c>
      <c r="G5438" s="20" t="s">
        <v>803</v>
      </c>
      <c r="H5438" s="20" t="s">
        <v>804</v>
      </c>
      <c r="I5438" s="20" t="s">
        <v>805</v>
      </c>
      <c r="J5438" s="20" t="s">
        <v>806</v>
      </c>
      <c r="K5438" s="20" t="s">
        <v>807</v>
      </c>
      <c r="L5438" s="4" t="s">
        <v>47</v>
      </c>
    </row>
    <row r="5439" customFormat="false" ht="15" hidden="false" customHeight="false" outlineLevel="0" collapsed="false">
      <c r="A5439" s="1" t="s">
        <v>1057</v>
      </c>
      <c r="B5439" s="1" t="s">
        <v>235</v>
      </c>
      <c r="F5439" s="36" t="n">
        <f aca="false">Sens!F5293-base_fy-mid_yr</f>
        <v>0.5</v>
      </c>
      <c r="G5439" s="36" t="n">
        <f aca="false">Sens!G5293-base_fy-mid_yr</f>
        <v>1.5</v>
      </c>
      <c r="H5439" s="36" t="n">
        <f aca="false">Sens!H5293-base_fy-mid_yr</f>
        <v>2.5</v>
      </c>
      <c r="I5439" s="36" t="n">
        <f aca="false">Sens!I5293-base_fy-mid_yr</f>
        <v>3.5</v>
      </c>
      <c r="J5439" s="36" t="n">
        <f aca="false">Sens!J5293-base_fy-mid_yr</f>
        <v>4.5</v>
      </c>
      <c r="K5439" s="36" t="n">
        <f aca="false">Sens!K5293-base_fy-mid_yr</f>
        <v>5.5</v>
      </c>
    </row>
    <row r="5440" customFormat="false" ht="15" hidden="false" customHeight="false" outlineLevel="0" collapsed="false">
      <c r="A5440" s="1" t="s">
        <v>1058</v>
      </c>
      <c r="B5440" s="0" t="s">
        <v>185</v>
      </c>
      <c r="F5440" s="14" t="n">
        <f aca="false">1/(1+wacc)^Sens!F5439</f>
        <v>0.952193373608246</v>
      </c>
      <c r="G5440" s="14" t="n">
        <f aca="false">1/(1+wacc)^Sens!G5439</f>
        <v>0.863327280626589</v>
      </c>
      <c r="H5440" s="14" t="n">
        <f aca="false">1/(1+wacc)^Sens!H5439</f>
        <v>0.782754862754115</v>
      </c>
      <c r="I5440" s="14" t="n">
        <f aca="false">1/(1+wacc)^Sens!I5439</f>
        <v>0.709702089711011</v>
      </c>
      <c r="J5440" s="14" t="n">
        <f aca="false">1/(1+wacc)^Sens!J5439</f>
        <v>0.643467169744551</v>
      </c>
      <c r="K5440" s="14" t="n">
        <f aca="false">1/(1+wacc)^Sens!K5439</f>
        <v>0.583413807767797</v>
      </c>
    </row>
    <row r="5441" customFormat="false" ht="17.15" hidden="false" customHeight="false" outlineLevel="0" collapsed="false">
      <c r="A5441" s="1" t="s">
        <v>1059</v>
      </c>
      <c r="B5441" s="0" t="s">
        <v>98</v>
      </c>
      <c r="F5441" s="6" t="n">
        <f aca="false">Sens!F5414-Sens!F5412-Sens!F5418+Sens!F5397*(1-tax_f)</f>
        <v>0.799567475255183</v>
      </c>
      <c r="G5441" s="6" t="n">
        <f aca="false">Sens!G5414-Sens!G5412-Sens!G5418+Sens!G5397*(1-tax_f)</f>
        <v>47.1858454778033</v>
      </c>
      <c r="H5441" s="6" t="n">
        <f aca="false">Sens!H5414-Sens!H5412-Sens!H5418+Sens!H5397*(1-tax_f)</f>
        <v>106.161237029101</v>
      </c>
      <c r="I5441" s="6" t="n">
        <f aca="false">Sens!I5414-Sens!I5412-Sens!I5418+Sens!I5397*(1-tax_f)</f>
        <v>184.448620205555</v>
      </c>
      <c r="J5441" s="6" t="n">
        <f aca="false">Sens!J5414-Sens!J5412-Sens!J5418+Sens!J5397*(1-tax_f)</f>
        <v>262.790317883242</v>
      </c>
      <c r="K5441" s="6" t="n">
        <f aca="false">Sens!K5414-Sens!K5412-Sens!K5418+Sens!K5397*(1-tax_f)</f>
        <v>299.701926639483</v>
      </c>
      <c r="L5441" s="1" t="s">
        <v>1060</v>
      </c>
    </row>
    <row r="5442" customFormat="false" ht="15" hidden="false" customHeight="false" outlineLevel="0" collapsed="false">
      <c r="A5442" s="1" t="s">
        <v>1061</v>
      </c>
      <c r="B5442" s="0" t="s">
        <v>98</v>
      </c>
      <c r="F5442" s="6" t="n">
        <f aca="false">Sens!F5441*Sens!F5440</f>
        <v>0.76134285169066</v>
      </c>
      <c r="G5442" s="6" t="n">
        <f aca="false">Sens!G5441*Sens!G5440</f>
        <v>40.7368276604184</v>
      </c>
      <c r="H5442" s="6" t="n">
        <f aca="false">Sens!H5441*Sens!H5440</f>
        <v>83.0982245205213</v>
      </c>
      <c r="I5442" s="6" t="n">
        <f aca="false">Sens!I5441*Sens!I5440</f>
        <v>130.903571204195</v>
      </c>
      <c r="J5442" s="6" t="n">
        <f aca="false">Sens!J5441*Sens!J5440</f>
        <v>169.0969420846</v>
      </c>
      <c r="K5442" s="6" t="n">
        <f aca="false">Sens!K5441*Sens!K5440</f>
        <v>174.850242216085</v>
      </c>
    </row>
    <row r="5443" customFormat="false" ht="17.15" hidden="false" customHeight="false" outlineLevel="0" collapsed="false">
      <c r="A5443" s="1" t="s">
        <v>1062</v>
      </c>
      <c r="B5443" s="0" t="s">
        <v>98</v>
      </c>
      <c r="C5443" s="6" t="n">
        <f aca="false">SUM(Sens!F5442:K5442)</f>
        <v>599.447150537511</v>
      </c>
    </row>
    <row r="5444" customFormat="false" ht="17.15" hidden="false" customHeight="false" outlineLevel="0" collapsed="false">
      <c r="A5444" s="1" t="s">
        <v>1063</v>
      </c>
      <c r="B5444" s="0" t="s">
        <v>98</v>
      </c>
      <c r="C5444" s="6" t="n">
        <f aca="false">Sens!K5383*(1+g_tv)*(1-tax_f)</f>
        <v>316.422924955922</v>
      </c>
    </row>
    <row r="5445" customFormat="false" ht="17.15" hidden="false" customHeight="false" outlineLevel="0" collapsed="false">
      <c r="A5445" s="1" t="s">
        <v>1064</v>
      </c>
      <c r="B5445" s="0" t="s">
        <v>98</v>
      </c>
      <c r="C5445" s="6" t="n">
        <f aca="false">Sens!$C$5444*(1-g_tv/(wacc+ronic_prem))</f>
        <v>224.202191209984</v>
      </c>
    </row>
    <row r="5446" customFormat="false" ht="17.15" hidden="false" customHeight="false" outlineLevel="0" collapsed="false">
      <c r="A5446" s="1" t="s">
        <v>1065</v>
      </c>
      <c r="B5446" s="0" t="s">
        <v>98</v>
      </c>
      <c r="C5446" s="6" t="n">
        <f aca="false">Sens!$C$5445/(wacc-g_tv)</f>
        <v>3074.02445819795</v>
      </c>
    </row>
    <row r="5447" customFormat="false" ht="15" hidden="false" customHeight="false" outlineLevel="0" collapsed="false">
      <c r="A5447" s="1" t="s">
        <v>1066</v>
      </c>
      <c r="B5447" s="0" t="s">
        <v>98</v>
      </c>
      <c r="C5447" s="6" t="n">
        <f aca="false">Sens!$C$5446/(1+wacc)^(Sens!K5439+mid_yr)</f>
        <v>1707.6905569451</v>
      </c>
    </row>
    <row r="5448" customFormat="false" ht="17.15" hidden="false" customHeight="false" outlineLevel="0" collapsed="false">
      <c r="A5448" s="0" t="s">
        <v>986</v>
      </c>
      <c r="B5448" s="0" t="s">
        <v>98</v>
      </c>
      <c r="C5448" s="6" t="n">
        <f aca="false">Sens!$C$5443+Sens!$C$5447</f>
        <v>2307.13770748261</v>
      </c>
    </row>
    <row r="5449" customFormat="false" ht="15" hidden="false" customHeight="false" outlineLevel="0" collapsed="false">
      <c r="A5449" s="1" t="s">
        <v>987</v>
      </c>
      <c r="B5449" s="0" t="s">
        <v>129</v>
      </c>
      <c r="C5449" s="7" t="n">
        <f aca="false">Sens!$C$5447/Sens!$C$5448</f>
        <v>0.740177125711501</v>
      </c>
    </row>
    <row r="5450" customFormat="false" ht="17.15" hidden="false" customHeight="false" outlineLevel="0" collapsed="false">
      <c r="A5450" s="1" t="s">
        <v>1067</v>
      </c>
      <c r="B5450" s="0" t="s">
        <v>98</v>
      </c>
      <c r="C5450" s="6" t="n">
        <f aca="false">Sens!$C$5448+Sens!E5430-Sens!E5419+oai_v</f>
        <v>2441.65070748261</v>
      </c>
    </row>
    <row r="5451" customFormat="false" ht="17.15" hidden="false" customHeight="false" outlineLevel="0" collapsed="false">
      <c r="A5451" s="0" t="s">
        <v>994</v>
      </c>
      <c r="B5451" s="0" t="s">
        <v>75</v>
      </c>
      <c r="C5451" s="5" t="n">
        <f aca="false">Sens!$C$5450/sh_dil26</f>
        <v>327.606427946144</v>
      </c>
    </row>
    <row r="5452" customFormat="false" ht="15" hidden="false" customHeight="false" outlineLevel="0" collapsed="false">
      <c r="A5452" s="1" t="s">
        <v>1068</v>
      </c>
      <c r="B5452" s="0" t="s">
        <v>75</v>
      </c>
      <c r="C5452" s="8" t="n">
        <f aca="false">dps_27+Sens!G5422*roll_div_q/q_per_yr</f>
        <v>4.8895</v>
      </c>
    </row>
    <row r="5453" customFormat="false" ht="17.15" hidden="false" customHeight="false" outlineLevel="0" collapsed="false">
      <c r="A5453" s="0" t="s">
        <v>1069</v>
      </c>
      <c r="B5453" s="0" t="s">
        <v>75</v>
      </c>
      <c r="C5453" s="5" t="n">
        <f aca="false">Sens!$C$5451*(1+wacc)^t_roll-Sens!$C$5452</f>
        <v>368.166878125534</v>
      </c>
    </row>
    <row r="5454" customFormat="false" ht="17.15" hidden="false" customHeight="false" outlineLevel="0" collapsed="false">
      <c r="A5454" s="1" t="s">
        <v>1070</v>
      </c>
      <c r="B5454" s="0" t="s">
        <v>129</v>
      </c>
      <c r="F5454" s="7" t="n">
        <f aca="false">Sens!F5409/(Sens!F5354-Sens!F5310)</f>
        <v>0.0709922497455003</v>
      </c>
      <c r="G5454" s="7" t="n">
        <f aca="false">Sens!G5409/(Sens!G5354-Sens!G5310)</f>
        <v>0.0679170777626652</v>
      </c>
      <c r="H5454" s="7" t="n">
        <f aca="false">Sens!H5409/(Sens!H5354-Sens!H5310)</f>
        <v>0.0662090369246141</v>
      </c>
      <c r="I5454" s="7" t="n">
        <f aca="false">Sens!I5409/(Sens!I5354-Sens!I5310)</f>
        <v>0.0657199759198733</v>
      </c>
      <c r="J5454" s="7" t="n">
        <f aca="false">Sens!J5409/(Sens!J5354-Sens!J5310)</f>
        <v>0.0661836508092729</v>
      </c>
      <c r="K5454" s="7" t="n">
        <f aca="false">Sens!K5409/(Sens!K5354-Sens!K5310)</f>
        <v>0.0672921399466503</v>
      </c>
    </row>
    <row r="5455" customFormat="false" ht="17.15" hidden="false" customHeight="false" outlineLevel="0" collapsed="false">
      <c r="A5455" s="0" t="s">
        <v>1071</v>
      </c>
      <c r="B5455" s="0" t="s">
        <v>98</v>
      </c>
      <c r="F5455" s="6" t="n">
        <f aca="false">Sens!F5339*(al_m365+Sens!F5454+sbc_r)</f>
        <v>83.6890945447187</v>
      </c>
      <c r="G5455" s="6" t="n">
        <f aca="false">Sens!G5339*(al_m365+Sens!G5454+sbc_r)</f>
        <v>95.0702817020383</v>
      </c>
      <c r="H5455" s="6" t="n">
        <f aca="false">Sens!H5339*(al_m365+Sens!H5454+sbc_r)</f>
        <v>106.613380730083</v>
      </c>
      <c r="I5455" s="6" t="n">
        <f aca="false">Sens!I5339*(al_m365+Sens!I5454+sbc_r)</f>
        <v>117.389320395357</v>
      </c>
      <c r="J5455" s="6" t="n">
        <f aca="false">Sens!J5339*(al_m365+Sens!J5454+sbc_r)</f>
        <v>127.210195059062</v>
      </c>
      <c r="K5455" s="6" t="n">
        <f aca="false">Sens!K5339*(al_m365+Sens!K5454+sbc_r)</f>
        <v>136.63853775997</v>
      </c>
      <c r="L5455" s="11" t="s">
        <v>1072</v>
      </c>
    </row>
    <row r="5456" customFormat="false" ht="17.15" hidden="false" customHeight="false" outlineLevel="0" collapsed="false">
      <c r="A5456" s="0" t="s">
        <v>1073</v>
      </c>
      <c r="B5456" s="0" t="s">
        <v>98</v>
      </c>
      <c r="F5456" s="6" t="n">
        <f aca="false">Sens!F5340*(al_lic+Sens!F5454+sbc_r)</f>
        <v>33.5384932044036</v>
      </c>
      <c r="G5456" s="6" t="n">
        <f aca="false">Sens!G5340*(al_lic+Sens!G5454+sbc_r)</f>
        <v>34.8334156060102</v>
      </c>
      <c r="H5456" s="6" t="n">
        <f aca="false">Sens!H5340*(al_lic+Sens!H5454+sbc_r)</f>
        <v>36.0417101678181</v>
      </c>
      <c r="I5456" s="6" t="n">
        <f aca="false">Sens!I5340*(al_lic+Sens!I5454+sbc_r)</f>
        <v>37.1439139141786</v>
      </c>
      <c r="J5456" s="6" t="n">
        <f aca="false">Sens!J5340*(al_lic+Sens!J5454+sbc_r)</f>
        <v>38.1149856130738</v>
      </c>
      <c r="K5456" s="6" t="n">
        <f aca="false">Sens!K5340*(al_lic+Sens!K5454+sbc_r)</f>
        <v>38.9277735553152</v>
      </c>
    </row>
    <row r="5457" customFormat="false" ht="17.15" hidden="false" customHeight="false" outlineLevel="0" collapsed="false">
      <c r="A5457" s="0" t="s">
        <v>1074</v>
      </c>
      <c r="B5457" s="0" t="s">
        <v>98</v>
      </c>
      <c r="F5457" s="6" t="n">
        <f aca="false">Sens!F5342*(al_ind+Sens!F5454+sbc_r)</f>
        <v>9.13012618166307</v>
      </c>
      <c r="G5457" s="6" t="n">
        <f aca="false">Sens!G5342*(al_ind+Sens!G5454+sbc_r)</f>
        <v>9.90520458933135</v>
      </c>
      <c r="H5457" s="6" t="n">
        <f aca="false">Sens!H5342*(al_ind+Sens!H5454+sbc_r)</f>
        <v>10.7249651747574</v>
      </c>
      <c r="I5457" s="6" t="n">
        <f aca="false">Sens!I5342*(al_ind+Sens!I5454+sbc_r)</f>
        <v>11.5856581756562</v>
      </c>
      <c r="J5457" s="6" t="n">
        <f aca="false">Sens!J5342*(al_ind+Sens!J5454+sbc_r)</f>
        <v>12.4779672036027</v>
      </c>
      <c r="K5457" s="6" t="n">
        <f aca="false">Sens!K5342*(al_ind+Sens!K5454+sbc_r)</f>
        <v>13.3880977216933</v>
      </c>
    </row>
    <row r="5458" customFormat="false" ht="17.15" hidden="false" customHeight="false" outlineLevel="0" collapsed="false">
      <c r="A5458" s="0" t="s">
        <v>1075</v>
      </c>
      <c r="B5458" s="0" t="s">
        <v>98</v>
      </c>
      <c r="F5458" s="6" t="n">
        <f aca="false">Sens!F5344*(al_fro+Sens!F5454+sbc_r)</f>
        <v>3.5936497191581</v>
      </c>
      <c r="G5458" s="6" t="n">
        <f aca="false">Sens!G5344*(al_fro+Sens!G5454+sbc_r)</f>
        <v>3.80301295003238</v>
      </c>
      <c r="H5458" s="6" t="n">
        <f aca="false">Sens!H5344*(al_fro+Sens!H5454+sbc_r)</f>
        <v>4.04153396717138</v>
      </c>
      <c r="I5458" s="6" t="n">
        <f aca="false">Sens!I5344*(al_fro+Sens!I5454+sbc_r)</f>
        <v>4.31171044242564</v>
      </c>
      <c r="J5458" s="6" t="n">
        <f aca="false">Sens!J5344*(al_fro+Sens!J5454+sbc_r)</f>
        <v>4.61483179928214</v>
      </c>
      <c r="K5458" s="6" t="n">
        <f aca="false">Sens!K5344*(al_fro+Sens!K5454+sbc_r)</f>
        <v>4.95143304112295</v>
      </c>
    </row>
    <row r="5459" customFormat="false" ht="17.15" hidden="false" customHeight="false" outlineLevel="0" collapsed="false">
      <c r="A5459" s="0" t="s">
        <v>1076</v>
      </c>
      <c r="B5459" s="0" t="s">
        <v>98</v>
      </c>
      <c r="F5459" s="6" t="n">
        <f aca="false">Sens!F5347*(al_srch+Sens!F5454+sbc_r)</f>
        <v>11.2758377468913</v>
      </c>
      <c r="G5459" s="6" t="n">
        <f aca="false">Sens!G5347*(al_srch+Sens!G5454+sbc_r)</f>
        <v>12.3484945569682</v>
      </c>
      <c r="H5459" s="6" t="n">
        <f aca="false">Sens!H5347*(al_srch+Sens!H5454+sbc_r)</f>
        <v>13.4655829428956</v>
      </c>
      <c r="I5459" s="6" t="n">
        <f aca="false">Sens!I5347*(al_srch+Sens!I5454+sbc_r)</f>
        <v>14.6155724306449</v>
      </c>
      <c r="J5459" s="6" t="n">
        <f aca="false">Sens!J5347*(al_srch+Sens!J5454+sbc_r)</f>
        <v>15.7789704342907</v>
      </c>
      <c r="K5459" s="6" t="n">
        <f aca="false">Sens!K5347*(al_srch+Sens!K5454+sbc_r)</f>
        <v>16.9298728450737</v>
      </c>
    </row>
    <row r="5460" customFormat="false" ht="17.15" hidden="false" customHeight="false" outlineLevel="0" collapsed="false">
      <c r="A5460" s="0" t="s">
        <v>1077</v>
      </c>
      <c r="B5460" s="0" t="s">
        <v>98</v>
      </c>
      <c r="F5460" s="6" t="n">
        <f aca="false">Sens!F5316-Sens!F5317+Sens!F5397</f>
        <v>46.3220613413413</v>
      </c>
      <c r="G5460" s="6" t="n">
        <f aca="false">Sens!G5316-Sens!G5317+Sens!G5397</f>
        <v>92.9059556059194</v>
      </c>
      <c r="H5460" s="6" t="n">
        <f aca="false">Sens!H5316-Sens!H5317+Sens!H5397</f>
        <v>147.151603022975</v>
      </c>
      <c r="I5460" s="6" t="n">
        <f aca="false">Sens!I5316-Sens!I5317+Sens!I5397</f>
        <v>190.508916409611</v>
      </c>
      <c r="J5460" s="6" t="n">
        <f aca="false">Sens!J5316-Sens!J5317+Sens!J5397</f>
        <v>221.357225445343</v>
      </c>
      <c r="K5460" s="6" t="n">
        <f aca="false">Sens!K5316-Sens!K5317+Sens!K5397</f>
        <v>241.414571657764</v>
      </c>
    </row>
    <row r="5461" customFormat="false" ht="17.15" hidden="false" customHeight="false" outlineLevel="0" collapsed="false">
      <c r="A5461" s="0" t="s">
        <v>1078</v>
      </c>
      <c r="B5461" s="0" t="s">
        <v>98</v>
      </c>
      <c r="F5461" s="6" t="n">
        <f aca="false">Sens!F5376+Sens!F5397+Sens!F5327+Sens!F5454*(Sens!F5346-Sens!F5310)+sbc_r*Sens!F5346</f>
        <v>236.84243449863</v>
      </c>
      <c r="G5461" s="6" t="n">
        <f aca="false">Sens!G5376+Sens!G5397+Sens!G5327+Sens!G5454*(Sens!G5346-Sens!G5310)+sbc_r*Sens!G5346</f>
        <v>309.89124581863</v>
      </c>
      <c r="H5461" s="6" t="n">
        <f aca="false">Sens!H5376+Sens!H5397+Sens!H5327+Sens!H5454*(Sens!H5346-Sens!H5310)+sbc_r*Sens!H5346</f>
        <v>391.275851965008</v>
      </c>
      <c r="I5461" s="6" t="n">
        <f aca="false">Sens!I5376+Sens!I5397+Sens!I5327+Sens!I5454*(Sens!I5346-Sens!I5310)+sbc_r*Sens!I5346</f>
        <v>460.37343348807</v>
      </c>
      <c r="J5461" s="6" t="n">
        <f aca="false">Sens!J5376+Sens!J5397+Sens!J5327+Sens!J5454*(Sens!J5346-Sens!J5310)+sbc_r*Sens!J5346</f>
        <v>514.690725986692</v>
      </c>
      <c r="K5461" s="6" t="n">
        <f aca="false">Sens!K5376+Sens!K5397+Sens!K5327+Sens!K5454*(Sens!K5346-Sens!K5310)+sbc_r*Sens!K5346</f>
        <v>555.808988251889</v>
      </c>
    </row>
    <row r="5462" customFormat="false" ht="17.15" hidden="false" customHeight="false" outlineLevel="0" collapsed="false">
      <c r="A5462" s="0" t="s">
        <v>1079</v>
      </c>
      <c r="B5462" s="0" t="s">
        <v>98</v>
      </c>
      <c r="F5462" s="6" t="n">
        <f aca="false">Sens!F5461-Sens!F5455-Sens!F5456-Sens!F5457-Sens!F5458-Sens!F5460</f>
        <v>60.5690095073455</v>
      </c>
      <c r="G5462" s="6" t="n">
        <f aca="false">Sens!G5461-Sens!G5455-Sens!G5456-Sens!G5457-Sens!G5458-Sens!G5460</f>
        <v>73.3733753652978</v>
      </c>
      <c r="H5462" s="6" t="n">
        <f aca="false">Sens!H5461-Sens!H5455-Sens!H5456-Sens!H5457-Sens!H5458-Sens!H5460</f>
        <v>86.7026589022026</v>
      </c>
      <c r="I5462" s="6" t="n">
        <f aca="false">Sens!I5461-Sens!I5455-Sens!I5456-Sens!I5457-Sens!I5458-Sens!I5460</f>
        <v>99.4339141508415</v>
      </c>
      <c r="J5462" s="6" t="n">
        <f aca="false">Sens!J5461-Sens!J5455-Sens!J5456-Sens!J5457-Sens!J5458-Sens!J5460</f>
        <v>110.915520866329</v>
      </c>
      <c r="K5462" s="6" t="n">
        <f aca="false">Sens!K5461-Sens!K5455-Sens!K5456-Sens!K5457-Sens!K5458-Sens!K5460</f>
        <v>120.488574516024</v>
      </c>
    </row>
    <row r="5463" customFormat="false" ht="17.15" hidden="false" customHeight="false" outlineLevel="0" collapsed="false">
      <c r="A5463" s="0" t="s">
        <v>1080</v>
      </c>
      <c r="B5463" s="0" t="s">
        <v>98</v>
      </c>
      <c r="F5463" s="6" t="n">
        <f aca="false">Sens!F5378+Sens!F5454*Sens!F5353+sbc_r*Sens!F5353</f>
        <v>26.3551595484263</v>
      </c>
      <c r="G5463" s="6" t="n">
        <f aca="false">Sens!G5378+Sens!G5454*Sens!G5353+sbc_r*Sens!G5353</f>
        <v>26.9513425992091</v>
      </c>
      <c r="H5463" s="6" t="n">
        <f aca="false">Sens!H5378+Sens!H5454*Sens!H5353+sbc_r*Sens!H5353</f>
        <v>27.8167759455013</v>
      </c>
      <c r="I5463" s="6" t="n">
        <f aca="false">Sens!I5378+Sens!I5454*Sens!I5353+sbc_r*Sens!I5353</f>
        <v>28.9193914832854</v>
      </c>
      <c r="J5463" s="6" t="n">
        <f aca="false">Sens!J5378+Sens!J5454*Sens!J5353+sbc_r*Sens!J5353</f>
        <v>30.2246903239319</v>
      </c>
      <c r="K5463" s="6" t="n">
        <f aca="false">Sens!K5378+Sens!K5454*Sens!K5353+sbc_r*Sens!K5353</f>
        <v>31.6983692189721</v>
      </c>
    </row>
    <row r="5464" customFormat="false" ht="17.15" hidden="false" customHeight="false" outlineLevel="0" collapsed="false">
      <c r="A5464" s="0" t="s">
        <v>1081</v>
      </c>
      <c r="B5464" s="0" t="s">
        <v>98</v>
      </c>
      <c r="F5464" s="6" t="n">
        <f aca="false">(Sens!F5463-Sens!F5459)*Sens!F5349/(Sens!F5349+Sens!F5351)</f>
        <v>8.26633734113526</v>
      </c>
      <c r="G5464" s="6" t="n">
        <f aca="false">(Sens!G5463-Sens!G5459)*Sens!G5349/(Sens!G5349+Sens!G5351)</f>
        <v>7.86240794062109</v>
      </c>
      <c r="H5464" s="6" t="n">
        <f aca="false">(Sens!H5463-Sens!H5459)*Sens!H5349/(Sens!H5349+Sens!H5351)</f>
        <v>7.62253514600033</v>
      </c>
      <c r="I5464" s="6" t="n">
        <f aca="false">(Sens!I5463-Sens!I5459)*Sens!I5349/(Sens!I5349+Sens!I5351)</f>
        <v>7.52863168005422</v>
      </c>
      <c r="J5464" s="6" t="n">
        <f aca="false">(Sens!J5463-Sens!J5459)*Sens!J5349/(Sens!J5349+Sens!J5351)</f>
        <v>7.56893743578336</v>
      </c>
      <c r="K5464" s="6" t="n">
        <f aca="false">(Sens!K5463-Sens!K5459)*Sens!K5349/(Sens!K5349+Sens!K5351)</f>
        <v>7.73805846497053</v>
      </c>
    </row>
    <row r="5465" customFormat="false" ht="17.15" hidden="false" customHeight="false" outlineLevel="0" collapsed="false">
      <c r="A5465" s="0" t="s">
        <v>1082</v>
      </c>
      <c r="B5465" s="0" t="s">
        <v>98</v>
      </c>
      <c r="F5465" s="6" t="n">
        <f aca="false">Sens!F5463-Sens!F5459-Sens!F5464</f>
        <v>6.81298446039967</v>
      </c>
      <c r="G5465" s="6" t="n">
        <f aca="false">Sens!G5463-Sens!G5459-Sens!G5464</f>
        <v>6.74044010161987</v>
      </c>
      <c r="H5465" s="6" t="n">
        <f aca="false">Sens!H5463-Sens!H5459-Sens!H5464</f>
        <v>6.72865785660537</v>
      </c>
      <c r="I5465" s="6" t="n">
        <f aca="false">Sens!I5463-Sens!I5459-Sens!I5464</f>
        <v>6.77518737258634</v>
      </c>
      <c r="J5465" s="6" t="n">
        <f aca="false">Sens!J5463-Sens!J5459-Sens!J5464</f>
        <v>6.87678245385776</v>
      </c>
      <c r="K5465" s="6" t="n">
        <f aca="false">Sens!K5463-Sens!K5459-Sens!K5464</f>
        <v>7.03043790892791</v>
      </c>
    </row>
    <row r="5466" customFormat="false" ht="17.15" hidden="false" customHeight="false" outlineLevel="0" collapsed="false">
      <c r="A5466" s="0" t="s">
        <v>1083</v>
      </c>
      <c r="B5466" s="0" t="s">
        <v>98</v>
      </c>
      <c r="F5466" s="6" t="n">
        <f aca="false">Sens!F5460-tax_f*(Sens!F5460-Sens!F5327)-Sens!F5324</f>
        <v>-116.465249322202</v>
      </c>
      <c r="G5466" s="6" t="n">
        <f aca="false">Sens!G5460-tax_f*(Sens!G5460-Sens!G5327)-Sens!G5324</f>
        <v>-97.4243285763622</v>
      </c>
      <c r="H5466" s="6" t="n">
        <f aca="false">Sens!H5460-tax_f*(Sens!H5460-Sens!H5327)-Sens!H5324</f>
        <v>-53.0867995233574</v>
      </c>
      <c r="I5466" s="6" t="n">
        <f aca="false">Sens!I5460-tax_f*(Sens!I5460-Sens!I5327)-Sens!I5324</f>
        <v>10.8216127399219</v>
      </c>
      <c r="J5466" s="6" t="n">
        <f aca="false">Sens!J5460-tax_f*(Sens!J5460-Sens!J5327)-Sens!J5324</f>
        <v>75.5040083326009</v>
      </c>
      <c r="K5466" s="6" t="n">
        <f aca="false">Sens!K5460-tax_f*(Sens!K5460-Sens!K5327)-Sens!K5324</f>
        <v>99.5505348314823</v>
      </c>
    </row>
    <row r="5467" customFormat="false" ht="17.15" hidden="false" customHeight="false" outlineLevel="0" collapsed="false">
      <c r="A5467" s="0" t="s">
        <v>1084</v>
      </c>
      <c r="B5467" s="0" t="s">
        <v>98</v>
      </c>
      <c r="G5467" s="6" t="n">
        <f aca="false">Sens!G5466/(1+wacc)^(Sens!G5439-(Sens!F5439+mid_yr))</f>
        <v>-92.7668000986446</v>
      </c>
      <c r="H5467" s="6" t="n">
        <f aca="false">Sens!H5466/(1+wacc)^(Sens!H5439-(Sens!F5439+mid_yr))</f>
        <v>-45.8312822696691</v>
      </c>
      <c r="I5467" s="6" t="n">
        <f aca="false">Sens!I5466/(1+wacc)^(Sens!I5439-(Sens!F5439+mid_yr))</f>
        <v>8.47066999501578</v>
      </c>
      <c r="J5467" s="6" t="n">
        <f aca="false">Sens!J5466/(1+wacc)^(Sens!J5439-(Sens!F5439+mid_yr))</f>
        <v>53.5853524952044</v>
      </c>
      <c r="K5467" s="6" t="n">
        <f aca="false">Sens!K5466/(1+wacc)^(Sens!K5439-(Sens!F5439+mid_yr))</f>
        <v>64.0575008945703</v>
      </c>
      <c r="L5467" s="1" t="s">
        <v>1085</v>
      </c>
    </row>
    <row r="5468" customFormat="false" ht="17.15" hidden="false" customHeight="false" outlineLevel="0" collapsed="false">
      <c r="A5468" s="0" t="s">
        <v>1086</v>
      </c>
      <c r="B5468" s="0" t="s">
        <v>98</v>
      </c>
      <c r="C5468" s="6" t="n">
        <f aca="false">(Sens!K5460-Sens!K5327)*(1-tax_f)*(1+g_tv)*(1-g_tv/(wacc+ronic_prem))/(wacc-g_tv)/(1+wacc)^(Sens!K5439+mid_yr-(Sens!F5439+mid_yr))</f>
        <v>501.674530167893</v>
      </c>
    </row>
    <row r="5469" customFormat="false" ht="17.15" hidden="false" customHeight="false" outlineLevel="0" collapsed="false">
      <c r="A5469" s="1" t="s">
        <v>1087</v>
      </c>
      <c r="B5469" s="0" t="s">
        <v>98</v>
      </c>
      <c r="C5469" s="6" t="n">
        <f aca="false">(SUM(Sens!G5467:K5467)+Sens!$C$5468)*(1+wacc)^(t_roll-(Sens!F5439+mid_yr))</f>
        <v>505.068065571722</v>
      </c>
      <c r="L5469" s="11" t="s">
        <v>1088</v>
      </c>
    </row>
    <row r="5470" customFormat="false" ht="17.15" hidden="false" customHeight="false" outlineLevel="0" collapsed="false">
      <c r="A5470" s="1" t="s">
        <v>1089</v>
      </c>
      <c r="B5470" s="0" t="s">
        <v>98</v>
      </c>
      <c r="C5470" s="6" t="n">
        <f aca="false">(w_ntm28*Sens!G5316+(1-w_ntm28)*Sens!H5316)*m_ai</f>
        <v>551.711134531404</v>
      </c>
    </row>
    <row r="5471" customFormat="false" ht="17.15" hidden="false" customHeight="false" outlineLevel="0" collapsed="false">
      <c r="A5471" s="1" t="s">
        <v>1090</v>
      </c>
      <c r="B5471" s="0" t="s">
        <v>98</v>
      </c>
      <c r="C5471" s="6" t="n">
        <f aca="false">(w_ntm28*Sens!G5462+(1-w_ntm28)*Sens!H5462)*m_cloud</f>
        <v>1073.5730952762</v>
      </c>
    </row>
    <row r="5472" customFormat="false" ht="17.15" hidden="false" customHeight="false" outlineLevel="0" collapsed="false">
      <c r="A5472" s="1" t="s">
        <v>1091</v>
      </c>
      <c r="B5472" s="0" t="s">
        <v>98</v>
      </c>
      <c r="C5472" s="6" t="n">
        <f aca="false">(w_ntm28*Sens!G5455+(1-w_ntm28)*Sens!H5455)*m_sw</f>
        <v>1067.06185170076</v>
      </c>
    </row>
    <row r="5473" customFormat="false" ht="17.15" hidden="false" customHeight="false" outlineLevel="0" collapsed="false">
      <c r="A5473" s="1" t="s">
        <v>1092</v>
      </c>
      <c r="B5473" s="0" t="s">
        <v>98</v>
      </c>
      <c r="C5473" s="6" t="n">
        <f aca="false">(w_ntm28*Sens!G5456+(1-w_ntm28)*Sens!H5456)*m_sw</f>
        <v>380.419657283453</v>
      </c>
    </row>
    <row r="5474" customFormat="false" ht="17.15" hidden="false" customHeight="false" outlineLevel="0" collapsed="false">
      <c r="A5474" s="1" t="s">
        <v>1093</v>
      </c>
      <c r="B5474" s="0" t="s">
        <v>98</v>
      </c>
      <c r="C5474" s="6" t="n">
        <f aca="false">(w_ntm28*Sens!G5457+(1-w_ntm28)*Sens!H5457)*m_sw</f>
        <v>109.838409263592</v>
      </c>
    </row>
    <row r="5475" customFormat="false" ht="17.15" hidden="false" customHeight="false" outlineLevel="0" collapsed="false">
      <c r="A5475" s="1" t="s">
        <v>1094</v>
      </c>
      <c r="B5475" s="0" t="s">
        <v>98</v>
      </c>
      <c r="C5475" s="6" t="n">
        <f aca="false">(w_ntm28*Sens!G5458+(1-w_ntm28)*Sens!H5458)*m_sw</f>
        <v>41.9053376253961</v>
      </c>
    </row>
    <row r="5476" customFormat="false" ht="17.15" hidden="false" customHeight="false" outlineLevel="0" collapsed="false">
      <c r="A5476" s="1" t="s">
        <v>1095</v>
      </c>
      <c r="B5476" s="0" t="s">
        <v>98</v>
      </c>
      <c r="C5476" s="6" t="n">
        <f aca="false">(w_ntm28*Sens!G5459+(1-w_ntm28)*Sens!H5459)*m_ads</f>
        <v>115.784779038923</v>
      </c>
    </row>
    <row r="5477" customFormat="false" ht="17.15" hidden="false" customHeight="false" outlineLevel="0" collapsed="false">
      <c r="A5477" s="1" t="s">
        <v>1096</v>
      </c>
      <c r="B5477" s="0" t="s">
        <v>98</v>
      </c>
      <c r="C5477" s="6" t="n">
        <f aca="false">(w_ntm28*Sens!G5464+(1-w_ntm28)*Sens!H5464)*m_game</f>
        <v>98.3227820962496</v>
      </c>
    </row>
    <row r="5478" customFormat="false" ht="17.15" hidden="false" customHeight="false" outlineLevel="0" collapsed="false">
      <c r="A5478" s="1" t="s">
        <v>1097</v>
      </c>
      <c r="B5478" s="0" t="s">
        <v>98</v>
      </c>
      <c r="C5478" s="6" t="n">
        <f aca="false">(w_ntm28*Sens!G5465+(1-w_ntm28)*Sens!H5465)*m_pc</f>
        <v>97.479051251063</v>
      </c>
    </row>
    <row r="5479" customFormat="false" ht="17.15" hidden="false" customHeight="false" outlineLevel="0" collapsed="false">
      <c r="A5479" s="1" t="s">
        <v>1098</v>
      </c>
      <c r="B5479" s="0" t="s">
        <v>98</v>
      </c>
      <c r="C5479" s="6" t="n">
        <f aca="false">Sens!$C$5469+Sens!$C$5471+Sens!$C$5472+Sens!$C$5473+Sens!$C$5474+Sens!$C$5475+Sens!$C$5476+Sens!$C$5477+Sens!$C$5478</f>
        <v>3489.45302910736</v>
      </c>
    </row>
    <row r="5480" customFormat="false" ht="17.15" hidden="false" customHeight="false" outlineLevel="0" collapsed="false">
      <c r="A5480" s="1" t="s">
        <v>1099</v>
      </c>
      <c r="B5480" s="0" t="s">
        <v>98</v>
      </c>
      <c r="C5480" s="6" t="n">
        <f aca="false">(Sens!G5441-Sens!G5466)*t_stub</f>
        <v>47.1468786642348</v>
      </c>
      <c r="L5480" s="1" t="s">
        <v>1100</v>
      </c>
    </row>
    <row r="5481" customFormat="false" ht="17.15" hidden="false" customHeight="false" outlineLevel="0" collapsed="false">
      <c r="A5481" s="1" t="s">
        <v>1014</v>
      </c>
      <c r="B5481" s="0" t="s">
        <v>98</v>
      </c>
      <c r="C5481" s="6" t="n">
        <f aca="false">Sens!F5430+oai_v-Sens!F5419+Sens!$C$5480</f>
        <v>161.123753656395</v>
      </c>
      <c r="L5481" s="1" t="s">
        <v>1101</v>
      </c>
    </row>
    <row r="5482" customFormat="false" ht="17.15" hidden="false" customHeight="false" outlineLevel="0" collapsed="false">
      <c r="A5482" s="1" t="s">
        <v>1102</v>
      </c>
      <c r="B5482" s="0" t="s">
        <v>75</v>
      </c>
      <c r="C5482" s="5" t="n">
        <f aca="false">(Sens!$C$5479+Sens!$C$5481)/(Sens!F5432+dil_gap)-Sens!G5422*roll_div_q/q_per_yr</f>
        <v>485.963806131771</v>
      </c>
      <c r="L5482" s="1" t="s">
        <v>1103</v>
      </c>
    </row>
    <row r="5483" customFormat="false" ht="17.15" hidden="false" customHeight="false" outlineLevel="0" collapsed="false">
      <c r="A5483" s="1" t="s">
        <v>1104</v>
      </c>
      <c r="B5483" s="0" t="s">
        <v>75</v>
      </c>
      <c r="C5483" s="5" t="n">
        <f aca="false">w_dcf*Sens!$C$5453+(1-w_dcf)*Sens!$C$5482</f>
        <v>427.065342128652</v>
      </c>
    </row>
    <row r="5484" customFormat="false" ht="17.15" hidden="false" customHeight="false" outlineLevel="0" collapsed="false">
      <c r="A5484" s="3" t="s">
        <v>1402</v>
      </c>
    </row>
    <row r="5485" customFormat="false" ht="15" hidden="false" customHeight="false" outlineLevel="0" collapsed="false">
      <c r="A5485" s="4" t="s">
        <v>43</v>
      </c>
      <c r="B5485" s="4" t="s">
        <v>65</v>
      </c>
      <c r="C5485" s="20" t="s">
        <v>799</v>
      </c>
      <c r="D5485" s="20" t="s">
        <v>800</v>
      </c>
      <c r="E5485" s="20" t="s">
        <v>801</v>
      </c>
      <c r="F5485" s="20" t="s">
        <v>802</v>
      </c>
      <c r="G5485" s="20" t="s">
        <v>803</v>
      </c>
      <c r="H5485" s="20" t="s">
        <v>804</v>
      </c>
      <c r="I5485" s="20" t="s">
        <v>805</v>
      </c>
      <c r="J5485" s="20" t="s">
        <v>806</v>
      </c>
      <c r="K5485" s="20" t="s">
        <v>807</v>
      </c>
      <c r="L5485" s="4" t="s">
        <v>47</v>
      </c>
    </row>
    <row r="5486" customFormat="false" ht="17.15" hidden="false" customHeight="false" outlineLevel="0" collapsed="false">
      <c r="A5486" s="1" t="s">
        <v>808</v>
      </c>
      <c r="B5486" s="1" t="s">
        <v>235</v>
      </c>
      <c r="C5486" s="28" t="n">
        <v>2024</v>
      </c>
      <c r="D5486" s="28" t="n">
        <v>2025</v>
      </c>
      <c r="E5486" s="28" t="n">
        <v>2026</v>
      </c>
      <c r="F5486" s="28" t="n">
        <v>2027</v>
      </c>
      <c r="G5486" s="28" t="n">
        <v>2028</v>
      </c>
      <c r="H5486" s="28" t="n">
        <v>2029</v>
      </c>
      <c r="I5486" s="28" t="n">
        <v>2030</v>
      </c>
      <c r="J5486" s="28" t="n">
        <v>2031</v>
      </c>
      <c r="K5486" s="28" t="n">
        <v>2032</v>
      </c>
    </row>
    <row r="5487" customFormat="false" ht="17.15" hidden="false" customHeight="false" outlineLevel="0" collapsed="false">
      <c r="A5487" s="1" t="s">
        <v>809</v>
      </c>
      <c r="B5487" s="0" t="s">
        <v>399</v>
      </c>
      <c r="F5487" s="29" t="n">
        <f aca="false">pace</f>
        <v>2527.2</v>
      </c>
      <c r="G5487" s="29" t="n">
        <f aca="false">pace</f>
        <v>2527.2</v>
      </c>
      <c r="H5487" s="29" t="n">
        <f aca="false">pace</f>
        <v>2527.2</v>
      </c>
      <c r="I5487" s="29" t="n">
        <f aca="false">pace+(g_tv*Sens!H5488-pace)*MIN(1,(Sens!I5486-pace_y0)/(pace_y1-pace_y0))</f>
        <v>1793.116</v>
      </c>
      <c r="J5487" s="29" t="n">
        <f aca="false">pace+(g_tv*Sens!I5488-pace)*MIN(1,(Sens!J5486-pace_y0)/(pace_y1-pace_y0))</f>
        <v>1094.89432</v>
      </c>
      <c r="K5487" s="29" t="n">
        <f aca="false">pace+(g_tv*Sens!J5488-pace)*MIN(1,(Sens!K5486-pace_y0)/(pace_y1-pace_y0))</f>
        <v>411.5883096</v>
      </c>
      <c r="L5487" s="11" t="s">
        <v>810</v>
      </c>
    </row>
    <row r="5488" customFormat="false" ht="17.15" hidden="false" customHeight="false" outlineLevel="0" collapsed="false">
      <c r="A5488" s="1" t="s">
        <v>811</v>
      </c>
      <c r="B5488" s="0" t="s">
        <v>399</v>
      </c>
      <c r="C5488" s="29" t="n">
        <f aca="false">mw_ext_24</f>
        <v>640</v>
      </c>
      <c r="D5488" s="29" t="n">
        <f aca="false">mw_ext_25</f>
        <v>1630</v>
      </c>
      <c r="E5488" s="29" t="n">
        <f aca="false">mw_ext_26</f>
        <v>3250</v>
      </c>
      <c r="F5488" s="29" t="n">
        <f aca="false">Sens!E5488+Sens!F5487</f>
        <v>5777.2</v>
      </c>
      <c r="G5488" s="29" t="n">
        <f aca="false">Sens!F5488+Sens!G5487</f>
        <v>8304.4</v>
      </c>
      <c r="H5488" s="29" t="n">
        <f aca="false">Sens!G5488+Sens!H5487</f>
        <v>10831.6</v>
      </c>
      <c r="I5488" s="29" t="n">
        <f aca="false">Sens!H5488+Sens!I5487</f>
        <v>12624.716</v>
      </c>
      <c r="J5488" s="29" t="n">
        <f aca="false">Sens!I5488+Sens!J5487</f>
        <v>13719.61032</v>
      </c>
      <c r="K5488" s="29" t="n">
        <f aca="false">Sens!J5488+Sens!K5487</f>
        <v>14131.1986296</v>
      </c>
      <c r="L5488" s="1" t="s">
        <v>812</v>
      </c>
    </row>
    <row r="5489" customFormat="false" ht="17.15" hidden="false" customHeight="false" outlineLevel="0" collapsed="false">
      <c r="A5489" s="1" t="s">
        <v>813</v>
      </c>
      <c r="B5489" s="0" t="s">
        <v>399</v>
      </c>
      <c r="C5489" s="29" t="n">
        <f aca="false">rent_ext_24</f>
        <v>150</v>
      </c>
      <c r="D5489" s="29" t="n">
        <f aca="false">rent_ext_25</f>
        <v>400</v>
      </c>
      <c r="E5489" s="29" t="n">
        <f aca="false">rent_ext_26</f>
        <v>550</v>
      </c>
      <c r="F5489" s="29" t="n">
        <f aca="false">rent_ext_f</f>
        <v>756</v>
      </c>
      <c r="G5489" s="29" t="n">
        <f aca="false">rent_ext_f</f>
        <v>756</v>
      </c>
      <c r="H5489" s="29" t="n">
        <f aca="false">rent_ext_f</f>
        <v>756</v>
      </c>
      <c r="I5489" s="29" t="n">
        <f aca="false">rent_ext_f</f>
        <v>756</v>
      </c>
      <c r="J5489" s="29" t="n">
        <f aca="false">rent_ext_f</f>
        <v>756</v>
      </c>
      <c r="K5489" s="29" t="n">
        <f aca="false">rent_ext_f</f>
        <v>756</v>
      </c>
      <c r="L5489" s="1" t="s">
        <v>814</v>
      </c>
    </row>
    <row r="5490" customFormat="false" ht="17.15" hidden="false" customHeight="false" outlineLevel="0" collapsed="false">
      <c r="A5490" s="1" t="s">
        <v>815</v>
      </c>
      <c r="B5490" s="0" t="s">
        <v>399</v>
      </c>
      <c r="C5490" s="29" t="n">
        <f aca="false">Sens!C5488-Sens!C5489</f>
        <v>490</v>
      </c>
      <c r="D5490" s="29" t="n">
        <f aca="false">Sens!D5488-Sens!D5489</f>
        <v>1230</v>
      </c>
      <c r="E5490" s="29" t="n">
        <f aca="false">Sens!E5488-Sens!E5489</f>
        <v>2700</v>
      </c>
      <c r="F5490" s="29" t="n">
        <f aca="false">Sens!F5488-Sens!F5489</f>
        <v>5021.2</v>
      </c>
      <c r="G5490" s="29" t="n">
        <f aca="false">Sens!G5488-Sens!G5489</f>
        <v>7548.4</v>
      </c>
      <c r="H5490" s="29" t="n">
        <f aca="false">Sens!H5488-Sens!H5489</f>
        <v>10075.6</v>
      </c>
      <c r="I5490" s="29" t="n">
        <f aca="false">Sens!I5488-Sens!I5489</f>
        <v>11868.716</v>
      </c>
      <c r="J5490" s="29" t="n">
        <f aca="false">Sens!J5488-Sens!J5489</f>
        <v>12963.61032</v>
      </c>
      <c r="K5490" s="29" t="n">
        <f aca="false">Sens!K5488-Sens!K5489</f>
        <v>13375.1986296</v>
      </c>
    </row>
    <row r="5491" customFormat="false" ht="17.15" hidden="false" customHeight="false" outlineLevel="0" collapsed="false">
      <c r="A5491" s="1" t="s">
        <v>816</v>
      </c>
      <c r="B5491" s="0" t="s">
        <v>399</v>
      </c>
      <c r="C5491" s="29" t="n">
        <f aca="false">Sens!C5490/ext_sh</f>
        <v>816.666666666667</v>
      </c>
      <c r="D5491" s="29" t="n">
        <f aca="false">Sens!D5490/ext_sh</f>
        <v>2050</v>
      </c>
      <c r="E5491" s="29" t="n">
        <f aca="false">Sens!E5490/ext_sh</f>
        <v>4500</v>
      </c>
      <c r="F5491" s="29" t="n">
        <f aca="false">Sens!F5490/ext_sh</f>
        <v>8368.66666666667</v>
      </c>
      <c r="G5491" s="29" t="n">
        <f aca="false">Sens!G5490/ext_sh</f>
        <v>12580.6666666667</v>
      </c>
      <c r="H5491" s="29" t="n">
        <f aca="false">Sens!H5490/ext_sh</f>
        <v>16792.6666666667</v>
      </c>
      <c r="I5491" s="29" t="n">
        <f aca="false">Sens!I5490/ext_sh</f>
        <v>19781.1933333333</v>
      </c>
      <c r="J5491" s="29" t="n">
        <f aca="false">Sens!J5490/ext_sh</f>
        <v>21606.0172</v>
      </c>
      <c r="K5491" s="29" t="n">
        <f aca="false">Sens!K5490/ext_sh</f>
        <v>22291.997716</v>
      </c>
      <c r="L5491" s="1" t="s">
        <v>817</v>
      </c>
    </row>
    <row r="5492" customFormat="false" ht="17.15" hidden="false" customHeight="false" outlineLevel="0" collapsed="false">
      <c r="A5492" s="1" t="s">
        <v>818</v>
      </c>
      <c r="B5492" s="0" t="s">
        <v>399</v>
      </c>
      <c r="C5492" s="29" t="n">
        <f aca="false">Sens!C5491-Sens!C5490</f>
        <v>326.666666666667</v>
      </c>
      <c r="D5492" s="29" t="n">
        <f aca="false">Sens!D5491-Sens!D5490</f>
        <v>820</v>
      </c>
      <c r="E5492" s="29" t="n">
        <f aca="false">Sens!E5491-Sens!E5490</f>
        <v>1800</v>
      </c>
      <c r="F5492" s="29" t="n">
        <f aca="false">Sens!F5491-Sens!F5490</f>
        <v>3347.46666666667</v>
      </c>
      <c r="G5492" s="29" t="n">
        <f aca="false">Sens!G5491-Sens!G5490</f>
        <v>5032.26666666667</v>
      </c>
      <c r="H5492" s="29" t="n">
        <f aca="false">Sens!H5491-Sens!H5490</f>
        <v>6717.06666666667</v>
      </c>
      <c r="I5492" s="29" t="n">
        <f aca="false">Sens!I5491-Sens!I5490</f>
        <v>7912.47733333333</v>
      </c>
      <c r="J5492" s="29" t="n">
        <f aca="false">Sens!J5491-Sens!J5490</f>
        <v>8642.40688</v>
      </c>
      <c r="K5492" s="29" t="n">
        <f aca="false">Sens!K5491-Sens!K5490</f>
        <v>8916.7990864</v>
      </c>
    </row>
    <row r="5493" customFormat="false" ht="17.15" hidden="false" customHeight="false" outlineLevel="0" collapsed="false">
      <c r="A5493" s="1" t="s">
        <v>819</v>
      </c>
      <c r="B5493" s="0" t="s">
        <v>399</v>
      </c>
      <c r="C5493" s="29" t="n">
        <f aca="false">Sens!C5491</f>
        <v>816.666666666667</v>
      </c>
      <c r="D5493" s="29" t="n">
        <f aca="false">Sens!D5491-Sens!C5491</f>
        <v>1233.33333333333</v>
      </c>
      <c r="E5493" s="29" t="n">
        <f aca="false">Sens!E5491-Sens!D5491</f>
        <v>2450</v>
      </c>
      <c r="F5493" s="29" t="n">
        <f aca="false">Sens!F5491-Sens!E5491</f>
        <v>3868.66666666667</v>
      </c>
      <c r="G5493" s="29" t="n">
        <f aca="false">Sens!G5491-Sens!F5491</f>
        <v>4212</v>
      </c>
      <c r="H5493" s="29" t="n">
        <f aca="false">Sens!H5491-Sens!G5491</f>
        <v>4212</v>
      </c>
      <c r="I5493" s="29" t="n">
        <f aca="false">Sens!I5491-Sens!H5491</f>
        <v>2988.52666666667</v>
      </c>
      <c r="J5493" s="29" t="n">
        <f aca="false">Sens!J5491-Sens!I5491</f>
        <v>1824.82386666667</v>
      </c>
      <c r="K5493" s="29" t="n">
        <f aca="false">Sens!K5491-Sens!J5491</f>
        <v>685.980516</v>
      </c>
    </row>
    <row r="5494" customFormat="false" ht="17.15" hidden="false" customHeight="false" outlineLevel="0" collapsed="false">
      <c r="A5494" s="1" t="s">
        <v>820</v>
      </c>
      <c r="B5494" s="0" t="s">
        <v>399</v>
      </c>
      <c r="D5494" s="29" t="n">
        <f aca="false">Sens!D5488-Sens!C5488</f>
        <v>990</v>
      </c>
      <c r="E5494" s="29" t="n">
        <f aca="false">Sens!E5488-Sens!D5488</f>
        <v>1620</v>
      </c>
      <c r="F5494" s="29" t="n">
        <f aca="false">Sens!F5488-Sens!E5488</f>
        <v>2527.2</v>
      </c>
      <c r="G5494" s="29" t="n">
        <f aca="false">Sens!G5488-Sens!F5488</f>
        <v>2527.2</v>
      </c>
      <c r="H5494" s="29" t="n">
        <f aca="false">Sens!H5488-Sens!G5488</f>
        <v>2527.2</v>
      </c>
      <c r="I5494" s="29" t="n">
        <f aca="false">Sens!I5488-Sens!H5488</f>
        <v>1793.116</v>
      </c>
      <c r="J5494" s="29" t="n">
        <f aca="false">Sens!J5488-Sens!I5488</f>
        <v>1094.89432</v>
      </c>
      <c r="K5494" s="29" t="n">
        <f aca="false">Sens!K5488-Sens!J5488</f>
        <v>411.5883096</v>
      </c>
    </row>
    <row r="5495" customFormat="false" ht="17.15" hidden="false" customHeight="false" outlineLevel="0" collapsed="false">
      <c r="A5495" s="1" t="s">
        <v>821</v>
      </c>
      <c r="B5495" s="0" t="s">
        <v>399</v>
      </c>
      <c r="F5495" s="29" t="n">
        <f aca="false">Sens!F5512*ext_sh</f>
        <v>0</v>
      </c>
      <c r="G5495" s="29" t="n">
        <f aca="false">Sens!G5512*ext_sh</f>
        <v>0</v>
      </c>
      <c r="H5495" s="29" t="n">
        <f aca="false">Sens!H5512*ext_sh</f>
        <v>0</v>
      </c>
      <c r="I5495" s="29" t="n">
        <f aca="false">Sens!I5512*ext_sh</f>
        <v>490</v>
      </c>
      <c r="J5495" s="29" t="n">
        <f aca="false">Sens!J5512*ext_sh</f>
        <v>740</v>
      </c>
      <c r="K5495" s="29" t="n">
        <f aca="false">Sens!K5512*ext_sh</f>
        <v>1470</v>
      </c>
      <c r="L5495" s="1" t="s">
        <v>822</v>
      </c>
    </row>
    <row r="5496" customFormat="false" ht="17.15" hidden="false" customHeight="false" outlineLevel="0" collapsed="false">
      <c r="A5496" s="1" t="s">
        <v>823</v>
      </c>
      <c r="B5496" s="0" t="s">
        <v>399</v>
      </c>
      <c r="C5496" s="29" t="n">
        <f aca="false">mix_h*Sens!C5488</f>
        <v>128</v>
      </c>
      <c r="D5496" s="29" t="n">
        <f aca="false">mix_h*Sens!D5488</f>
        <v>326</v>
      </c>
      <c r="E5496" s="29" t="n">
        <f aca="false">mix_h*Sens!E5488</f>
        <v>650</v>
      </c>
      <c r="F5496" s="29" t="n">
        <f aca="false">Sens!E5496-Sens!F5495*mix_h</f>
        <v>650</v>
      </c>
      <c r="G5496" s="29" t="n">
        <f aca="false">Sens!F5496-Sens!G5495*mix_h</f>
        <v>650</v>
      </c>
      <c r="H5496" s="29" t="n">
        <f aca="false">Sens!G5496-Sens!H5495*mix_h</f>
        <v>650</v>
      </c>
      <c r="I5496" s="29" t="n">
        <f aca="false">Sens!H5496-Sens!I5495*mix_h</f>
        <v>552</v>
      </c>
      <c r="J5496" s="29" t="n">
        <f aca="false">Sens!I5496-Sens!J5495*mix_h</f>
        <v>404</v>
      </c>
      <c r="K5496" s="29" t="n">
        <f aca="false">Sens!J5496-Sens!K5495*mix_h</f>
        <v>110</v>
      </c>
    </row>
    <row r="5497" customFormat="false" ht="17.15" hidden="false" customHeight="false" outlineLevel="0" collapsed="false">
      <c r="A5497" s="1" t="s">
        <v>824</v>
      </c>
      <c r="B5497" s="0" t="s">
        <v>399</v>
      </c>
      <c r="C5497" s="29" t="n">
        <f aca="false">mix_g2*Sens!C5488</f>
        <v>288</v>
      </c>
      <c r="D5497" s="29" t="n">
        <f aca="false">mix_g2*Sens!D5488</f>
        <v>733.5</v>
      </c>
      <c r="E5497" s="29" t="n">
        <f aca="false">mix_g2*Sens!E5488</f>
        <v>1462.5</v>
      </c>
      <c r="F5497" s="29" t="n">
        <f aca="false">Sens!E5497-Sens!F5495*mix_g2</f>
        <v>1462.5</v>
      </c>
      <c r="G5497" s="29" t="n">
        <f aca="false">Sens!F5497-Sens!G5495*mix_g2</f>
        <v>1462.5</v>
      </c>
      <c r="H5497" s="29" t="n">
        <f aca="false">Sens!G5497-Sens!H5495*mix_g2</f>
        <v>1462.5</v>
      </c>
      <c r="I5497" s="29" t="n">
        <f aca="false">Sens!H5497-Sens!I5495*mix_g2</f>
        <v>1242</v>
      </c>
      <c r="J5497" s="29" t="n">
        <f aca="false">Sens!I5497-Sens!J5495*mix_g2</f>
        <v>909</v>
      </c>
      <c r="K5497" s="29" t="n">
        <f aca="false">Sens!J5497-Sens!K5495*mix_g2</f>
        <v>247.5</v>
      </c>
    </row>
    <row r="5498" customFormat="false" ht="17.15" hidden="false" customHeight="false" outlineLevel="0" collapsed="false">
      <c r="A5498" s="1" t="s">
        <v>825</v>
      </c>
      <c r="B5498" s="0" t="s">
        <v>399</v>
      </c>
      <c r="C5498" s="29" t="n">
        <f aca="false">mix_g3*Sens!C5488</f>
        <v>224</v>
      </c>
      <c r="D5498" s="29" t="n">
        <f aca="false">mix_g3*Sens!D5488</f>
        <v>570.5</v>
      </c>
      <c r="E5498" s="29" t="n">
        <f aca="false">mix_g3*Sens!E5488</f>
        <v>1137.5</v>
      </c>
      <c r="F5498" s="29" t="n">
        <f aca="false">Sens!E5498+(Sens!F5494+Sens!F5495)*a_g3_27-Sens!F5495*mix_g3</f>
        <v>2906.54</v>
      </c>
      <c r="G5498" s="29" t="n">
        <f aca="false">Sens!F5498+(Sens!G5494+Sens!G5495)*a_g3_28-Sens!G5495*mix_g3</f>
        <v>3664.7</v>
      </c>
      <c r="H5498" s="29" t="n">
        <f aca="false">Sens!G5498+(Sens!H5494+Sens!H5495)*a_g3_29-Sens!H5495*mix_g3</f>
        <v>3917.42</v>
      </c>
      <c r="I5498" s="29" t="n">
        <f aca="false">Sens!H5498+(Sens!I5494+Sens!I5495)*a_g3_29-Sens!I5495*mix_g3</f>
        <v>3974.2316</v>
      </c>
      <c r="J5498" s="29" t="n">
        <f aca="false">Sens!I5498+(Sens!J5494+Sens!J5495)*a_g3_29-Sens!J5495*mix_g3</f>
        <v>3898.721032</v>
      </c>
      <c r="K5498" s="29" t="n">
        <f aca="false">Sens!J5498+(Sens!K5494+Sens!K5495)*a_g3_29-Sens!K5495*mix_g3</f>
        <v>3572.37986296</v>
      </c>
    </row>
    <row r="5499" customFormat="false" ht="17.15" hidden="false" customHeight="false" outlineLevel="0" collapsed="false">
      <c r="A5499" s="1" t="s">
        <v>826</v>
      </c>
      <c r="B5499" s="0" t="s">
        <v>399</v>
      </c>
      <c r="C5499" s="29" t="n">
        <v>0</v>
      </c>
      <c r="D5499" s="29" t="n">
        <v>0</v>
      </c>
      <c r="E5499" s="29" t="n">
        <v>0</v>
      </c>
      <c r="F5499" s="29" t="n">
        <f aca="false">Sens!E5499+(Sens!F5494+Sens!F5495)*(1-a_g3_27)</f>
        <v>758.16</v>
      </c>
      <c r="G5499" s="29" t="n">
        <f aca="false">Sens!F5499+(Sens!G5494+Sens!G5495)*(1-a_g3_28)</f>
        <v>2527.2</v>
      </c>
      <c r="H5499" s="29" t="n">
        <f aca="false">Sens!G5499+(Sens!H5494+Sens!H5495)*(1-a_g3_29)</f>
        <v>4801.68</v>
      </c>
      <c r="I5499" s="29" t="n">
        <f aca="false">Sens!H5499+(Sens!I5494+Sens!I5495)*(1-a_g3_29)</f>
        <v>6856.4844</v>
      </c>
      <c r="J5499" s="29" t="n">
        <f aca="false">Sens!I5499+(Sens!J5494+Sens!J5495)*(1-a_g3_29)</f>
        <v>8507.889288</v>
      </c>
      <c r="K5499" s="29" t="n">
        <f aca="false">Sens!J5499+(Sens!K5494+Sens!K5495)*(1-a_g3_29)</f>
        <v>10201.31876664</v>
      </c>
    </row>
    <row r="5500" customFormat="false" ht="17.15" hidden="false" customHeight="false" outlineLevel="0" collapsed="false">
      <c r="A5500" s="1" t="s">
        <v>827</v>
      </c>
      <c r="B5500" s="0" t="s">
        <v>346</v>
      </c>
      <c r="C5500" s="14" t="n">
        <f aca="false">(Sens!C5496*tk_hold_h100+Sens!C5497*tk_hold_gb200+Sens!C5498*tk_hold_gb300+Sens!C5499*tk_hold_vr200)/Sens!C5488</f>
        <v>9.7235358126469</v>
      </c>
      <c r="D5500" s="14" t="n">
        <f aca="false">(Sens!D5496*tk_hold_h100+Sens!D5497*tk_hold_gb200+Sens!D5498*tk_hold_gb300+Sens!D5499*tk_hold_vr200)/Sens!D5488</f>
        <v>9.7235358126469</v>
      </c>
      <c r="E5500" s="14" t="n">
        <f aca="false">(Sens!E5496*tk_hold_h100+Sens!E5497*tk_hold_gb200+Sens!E5498*tk_hold_gb300+Sens!E5499*tk_hold_vr200)/Sens!E5488</f>
        <v>9.7235358126469</v>
      </c>
      <c r="F5500" s="14" t="n">
        <f aca="false">(Sens!F5496*tk_hold_h100+Sens!F5497*tk_hold_gb200+Sens!F5498*tk_hold_gb300+Sens!F5499*tk_hold_vr200)/Sens!F5488</f>
        <v>10.4079573161931</v>
      </c>
      <c r="G5500" s="14" t="n">
        <f aca="false">(Sens!G5496*tk_hold_h100+Sens!G5497*tk_hold_gb200+Sens!G5498*tk_hold_gb300+Sens!G5499*tk_hold_vr200)/Sens!G5488</f>
        <v>10.8388131109316</v>
      </c>
      <c r="H5500" s="14" t="n">
        <f aca="false">(Sens!H5496*tk_hold_h100+Sens!H5497*tk_hold_gb200+Sens!H5498*tk_hold_gb300+Sens!H5499*tk_hold_vr200)/Sens!H5488</f>
        <v>11.1311018388216</v>
      </c>
      <c r="I5500" s="14" t="n">
        <f aca="false">(Sens!I5496*tk_hold_h100+Sens!I5497*tk_hold_gb200+Sens!I5498*tk_hold_gb300+Sens!I5499*tk_hold_vr200)/Sens!I5488</f>
        <v>11.3594282560989</v>
      </c>
      <c r="J5500" s="14" t="n">
        <f aca="false">(Sens!J5496*tk_hold_h100+Sens!J5497*tk_hold_gb200+Sens!J5498*tk_hold_gb300+Sens!J5499*tk_hold_vr200)/Sens!J5488</f>
        <v>11.5455817917599</v>
      </c>
      <c r="K5500" s="14" t="n">
        <f aca="false">(Sens!K5496*tk_hold_h100+Sens!K5497*tk_hold_gb200+Sens!K5498*tk_hold_gb300+Sens!K5499*tk_hold_vr200)/Sens!K5488</f>
        <v>11.8078187977246</v>
      </c>
    </row>
    <row r="5501" customFormat="false" ht="17.15" hidden="false" customHeight="false" outlineLevel="0" collapsed="false">
      <c r="A5501" s="0" t="s">
        <v>828</v>
      </c>
      <c r="B5501" s="0" t="s">
        <v>185</v>
      </c>
      <c r="C5501" s="14" t="n">
        <f aca="false">k_B</f>
        <v>1.17213932619116</v>
      </c>
      <c r="D5501" s="14" t="n">
        <f aca="false">k_B</f>
        <v>1.17213932619116</v>
      </c>
      <c r="E5501" s="14" t="n">
        <f aca="false">k_B</f>
        <v>1.17213932619116</v>
      </c>
      <c r="F5501" s="14" t="n">
        <f aca="false">(k_B+((ls_B*k_long+(1-ls_B)*k_spot)-k_B)*MIN(1,(Sens!F5486-base_fy)/k_ramp))</f>
        <v>1.17213932619116</v>
      </c>
      <c r="G5501" s="14" t="n">
        <f aca="false">(k_B+((ls_B*k_long+(1-ls_B)*k_spot)-k_B)*MIN(1,(Sens!G5486-base_fy)/k_ramp))</f>
        <v>1.17213932619116</v>
      </c>
      <c r="H5501" s="14" t="n">
        <f aca="false">(k_B+((ls_B*k_long+(1-ls_B)*k_spot)-k_B)*MIN(1,(Sens!H5486-base_fy)/k_ramp))</f>
        <v>1.17213932619116</v>
      </c>
      <c r="I5501" s="14" t="n">
        <f aca="false">(k_B+((ls_B*k_long+(1-ls_B)*k_spot)-k_B)*MIN(1,(Sens!I5486-base_fy)/k_ramp))</f>
        <v>1.17213932619116</v>
      </c>
      <c r="J5501" s="14" t="n">
        <f aca="false">(k_B+((ls_B*k_long+(1-ls_B)*k_spot)-k_B)*MIN(1,(Sens!J5486-base_fy)/k_ramp))</f>
        <v>1.17213932619116</v>
      </c>
      <c r="K5501" s="14" t="n">
        <f aca="false">(k_B+((ls_B*k_long+(1-ls_B)*k_spot)-k_B)*MIN(1,(Sens!K5486-base_fy)/k_ramp))</f>
        <v>1.17213932619116</v>
      </c>
      <c r="L5501" s="1" t="s">
        <v>829</v>
      </c>
    </row>
    <row r="5502" customFormat="false" ht="17.15" hidden="false" customHeight="false" outlineLevel="0" collapsed="false">
      <c r="A5502" s="1" t="s">
        <v>830</v>
      </c>
      <c r="B5502" s="0" t="s">
        <v>346</v>
      </c>
      <c r="C5502" s="14" t="n">
        <f aca="false">Sens!C5500*Sens!C5501*chip_f</f>
        <v>11.3973387156315</v>
      </c>
      <c r="D5502" s="14" t="n">
        <f aca="false">Sens!D5500*Sens!D5501*chip_f</f>
        <v>11.3973387156315</v>
      </c>
      <c r="E5502" s="14" t="n">
        <f aca="false">Sens!E5500*Sens!E5501*chip_f</f>
        <v>11.3973387156315</v>
      </c>
      <c r="F5502" s="14" t="n">
        <f aca="false">Sens!F5500*Sens!F5501*chip_f</f>
        <v>12.1995760756289</v>
      </c>
      <c r="G5502" s="14" t="n">
        <f aca="false">Sens!G5500*Sens!G5501*chip_f</f>
        <v>12.7045990965592</v>
      </c>
      <c r="H5502" s="14" t="n">
        <f aca="false">Sens!H5500*Sens!H5501*chip_f</f>
        <v>13.0472022091214</v>
      </c>
      <c r="I5502" s="14" t="n">
        <f aca="false">Sens!I5500*Sens!I5501*chip_f</f>
        <v>13.3148325820205</v>
      </c>
      <c r="J5502" s="14" t="n">
        <f aca="false">Sens!J5500*Sens!J5501*chip_f</f>
        <v>13.5330304618783</v>
      </c>
      <c r="K5502" s="14" t="n">
        <f aca="false">Sens!K5500*Sens!K5501*chip_f</f>
        <v>13.8404087693522</v>
      </c>
      <c r="L5502" s="1" t="s">
        <v>831</v>
      </c>
    </row>
    <row r="5503" customFormat="false" ht="17.15" hidden="false" customHeight="false" outlineLevel="0" collapsed="false">
      <c r="A5503" s="0" t="s">
        <v>832</v>
      </c>
      <c r="B5503" s="0" t="s">
        <v>98</v>
      </c>
      <c r="D5503" s="6" t="n">
        <f aca="false">(Sens!C5488+Sens!D5488)/2*Sens!D5502/1000</f>
        <v>12.9359794422418</v>
      </c>
      <c r="E5503" s="6" t="n">
        <f aca="false">(Sens!D5488+Sens!E5488)/2*Sens!E5502/1000</f>
        <v>27.8095064661409</v>
      </c>
      <c r="F5503" s="6" t="n">
        <f aca="false">(Sens!E5488+Sens!F5488)/2*Sens!F5502/1000</f>
        <v>55.0640065749585</v>
      </c>
      <c r="G5503" s="6" t="n">
        <f aca="false">(Sens!F5488+Sens!G5488)/2*Sens!G5502/1000</f>
        <v>89.4505413190538</v>
      </c>
      <c r="H5503" s="6" t="n">
        <f aca="false">(Sens!G5488+Sens!H5488)/2*Sens!H5502/1000</f>
        <v>124.835630736874</v>
      </c>
      <c r="I5503" s="6" t="n">
        <f aca="false">(Sens!H5488+Sens!I5488)/2*Sens!I5502/1000</f>
        <v>156.158460265485</v>
      </c>
      <c r="J5503" s="6" t="n">
        <f aca="false">(Sens!I5488+Sens!J5488)/2*Sens!J5502/1000</f>
        <v>178.259285293112</v>
      </c>
      <c r="K5503" s="6" t="n">
        <f aca="false">(Sens!J5488+Sens!K5488)/2*Sens!K5502/1000</f>
        <v>192.733290209798</v>
      </c>
      <c r="L5503" s="11" t="s">
        <v>833</v>
      </c>
    </row>
    <row r="5504" customFormat="false" ht="17.15" hidden="false" customHeight="false" outlineLevel="0" collapsed="false">
      <c r="A5504" s="1" t="s">
        <v>834</v>
      </c>
      <c r="B5504" s="0" t="s">
        <v>346</v>
      </c>
      <c r="C5504" s="14" t="n">
        <f aca="false">(Sens!C5496*tk_opex_h100+Sens!C5497*tk_opex_gb200+Sens!C5498*tk_opex_gb300+Sens!C5499*tk_opex_vr200)/Sens!C5488</f>
        <v>1.88636041306092</v>
      </c>
      <c r="D5504" s="14" t="n">
        <f aca="false">(Sens!D5496*tk_opex_h100+Sens!D5497*tk_opex_gb200+Sens!D5498*tk_opex_gb300+Sens!D5499*tk_opex_vr200)/Sens!D5488</f>
        <v>1.88636041306092</v>
      </c>
      <c r="E5504" s="14" t="n">
        <f aca="false">(Sens!E5496*tk_opex_h100+Sens!E5497*tk_opex_gb200+Sens!E5498*tk_opex_gb300+Sens!E5499*tk_opex_vr200)/Sens!E5488</f>
        <v>1.88636041306092</v>
      </c>
      <c r="F5504" s="14" t="n">
        <f aca="false">(Sens!F5496*tk_opex_h100+Sens!F5497*tk_opex_gb200+Sens!F5498*tk_opex_gb300+Sens!F5499*tk_opex_vr200)/Sens!F5488</f>
        <v>1.9430236476499</v>
      </c>
      <c r="G5504" s="14" t="n">
        <f aca="false">(Sens!G5496*tk_opex_h100+Sens!G5497*tk_opex_gb200+Sens!G5498*tk_opex_gb300+Sens!G5499*tk_opex_vr200)/Sens!G5488</f>
        <v>1.9786941852423</v>
      </c>
      <c r="H5504" s="14" t="n">
        <f aca="false">(Sens!H5496*tk_opex_h100+Sens!H5497*tk_opex_gb200+Sens!H5498*tk_opex_gb300+Sens!H5499*tk_opex_vr200)/Sens!H5488</f>
        <v>2.00289275976156</v>
      </c>
      <c r="I5504" s="14" t="n">
        <f aca="false">(Sens!I5496*tk_opex_h100+Sens!I5497*tk_opex_gb200+Sens!I5498*tk_opex_gb300+Sens!I5499*tk_opex_vr200)/Sens!I5488</f>
        <v>2.02179589661219</v>
      </c>
      <c r="J5504" s="14" t="n">
        <f aca="false">(Sens!J5496*tk_opex_h100+Sens!J5497*tk_opex_gb200+Sens!J5498*tk_opex_gb300+Sens!J5499*tk_opex_vr200)/Sens!J5488</f>
        <v>2.03720754193029</v>
      </c>
      <c r="K5504" s="14" t="n">
        <f aca="false">(Sens!K5496*tk_opex_h100+Sens!K5497*tk_opex_gb200+Sens!K5498*tk_opex_gb300+Sens!K5499*tk_opex_vr200)/Sens!K5488</f>
        <v>2.0589181353437</v>
      </c>
    </row>
    <row r="5505" customFormat="false" ht="17.15" hidden="false" customHeight="false" outlineLevel="0" collapsed="false">
      <c r="A5505" s="0" t="s">
        <v>835</v>
      </c>
      <c r="B5505" s="0" t="s">
        <v>98</v>
      </c>
      <c r="D5505" s="6" t="n">
        <f aca="false">(Sens!C5491+Sens!D5491)/2*Sens!D5504/1000</f>
        <v>2.70378325872065</v>
      </c>
      <c r="E5505" s="6" t="n">
        <f aca="false">(Sens!D5491+Sens!E5491)/2*Sens!E5504/1000</f>
        <v>6.17783035277451</v>
      </c>
      <c r="F5505" s="6" t="n">
        <f aca="false">(Sens!E5491+Sens!F5491)/2*Sens!F5504/1000</f>
        <v>12.5020618235287</v>
      </c>
      <c r="G5505" s="6" t="n">
        <f aca="false">(Sens!F5491+Sens!G5491)/2*Sens!G5504/1000</f>
        <v>20.7261620256847</v>
      </c>
      <c r="H5505" s="6" t="n">
        <f aca="false">(Sens!G5491+Sens!H5491)/2*Sens!H5504/1000</f>
        <v>29.4158183316982</v>
      </c>
      <c r="I5505" s="6" t="n">
        <f aca="false">(Sens!H5491+Sens!I5491)/2*Sens!I5504/1000</f>
        <v>36.9724400356344</v>
      </c>
      <c r="J5505" s="6" t="n">
        <f aca="false">(Sens!I5491+Sens!J5491)/2*Sens!J5504/1000</f>
        <v>42.1571687189816</v>
      </c>
      <c r="K5505" s="6" t="n">
        <f aca="false">(Sens!J5491+Sens!K5491)/2*Sens!K5504/1000</f>
        <v>45.1912095080704</v>
      </c>
    </row>
    <row r="5506" customFormat="false" ht="17.15" hidden="false" customHeight="false" outlineLevel="0" collapsed="false">
      <c r="A5506" s="0" t="s">
        <v>836</v>
      </c>
      <c r="B5506" s="0" t="s">
        <v>98</v>
      </c>
      <c r="D5506" s="6" t="n">
        <f aca="false">(Sens!C5489+Sens!D5489)/2*rent_mw/1000</f>
        <v>2.44475</v>
      </c>
      <c r="E5506" s="6" t="n">
        <f aca="false">(Sens!D5489+Sens!E5489)/2*rent_mw/1000</f>
        <v>4.22275</v>
      </c>
      <c r="F5506" s="6" t="n">
        <f aca="false">(Sens!E5489+Sens!F5489)/2*rent_mw/1000</f>
        <v>5.80517</v>
      </c>
      <c r="G5506" s="6" t="n">
        <f aca="false">(Sens!F5489+Sens!G5489)/2*rent_mw/1000</f>
        <v>6.72084</v>
      </c>
      <c r="H5506" s="6" t="n">
        <f aca="false">(Sens!G5489+Sens!H5489)/2*rent_mw/1000</f>
        <v>6.72084</v>
      </c>
      <c r="I5506" s="6" t="n">
        <f aca="false">(Sens!H5489+Sens!I5489)/2*rent_mw/1000</f>
        <v>6.72084</v>
      </c>
      <c r="J5506" s="6" t="n">
        <f aca="false">(Sens!I5489+Sens!J5489)/2*rent_mw/1000</f>
        <v>6.72084</v>
      </c>
      <c r="K5506" s="6" t="n">
        <f aca="false">(Sens!J5489+Sens!K5489)/2*rent_mw/1000</f>
        <v>6.72084</v>
      </c>
    </row>
    <row r="5507" customFormat="false" ht="17.15" hidden="false" customHeight="false" outlineLevel="0" collapsed="false">
      <c r="A5507" s="0" t="s">
        <v>837</v>
      </c>
      <c r="B5507" s="0" t="s">
        <v>98</v>
      </c>
      <c r="D5507" s="6" t="n">
        <f aca="false">(Sens!C5491+Sens!D5491)/2*(1-self_build)*fac_rent/1000</f>
        <v>0.853242375631075</v>
      </c>
      <c r="E5507" s="6" t="n">
        <f aca="false">(Sens!D5491+Sens!E5491)/2*(1-self_build)*fac_rent/1000</f>
        <v>1.94955961408728</v>
      </c>
      <c r="F5507" s="6" t="n">
        <f aca="false">(Sens!E5491+Sens!F5491)/2*(1-self_build)*fac_rent/1000</f>
        <v>3.83026455274573</v>
      </c>
      <c r="G5507" s="6" t="n">
        <f aca="false">(Sens!F5491+Sens!G5491)/2*(1-self_build)*fac_rent/1000</f>
        <v>6.23541590972812</v>
      </c>
      <c r="H5507" s="6" t="n">
        <f aca="false">(Sens!G5491+Sens!H5491)/2*(1-self_build)*fac_rent/1000</f>
        <v>8.74275792332679</v>
      </c>
      <c r="I5507" s="6" t="n">
        <f aca="false">(Sens!H5491+Sens!I5491)/2*(1-self_build)*fac_rent/1000</f>
        <v>10.8859420438599</v>
      </c>
      <c r="J5507" s="6" t="n">
        <f aca="false">(Sens!I5491+Sens!J5491)/2*(1-self_build)*fac_rent/1000</f>
        <v>12.3186006405366</v>
      </c>
      <c r="K5507" s="6" t="n">
        <f aca="false">(Sens!J5491+Sens!K5491)/2*(1-self_build)*fac_rent/1000</f>
        <v>13.0659232089824</v>
      </c>
      <c r="L5507" s="11" t="s">
        <v>838</v>
      </c>
    </row>
    <row r="5508" customFormat="false" ht="17.15" hidden="false" customHeight="false" outlineLevel="0" collapsed="false">
      <c r="A5508" s="1" t="s">
        <v>839</v>
      </c>
      <c r="B5508" s="0" t="s">
        <v>129</v>
      </c>
      <c r="D5508" s="7" t="n">
        <f aca="false">(Sens!C5490+Sens!D5490)/(Sens!C5491+Sens!D5491)</f>
        <v>0.6</v>
      </c>
      <c r="E5508" s="7" t="n">
        <f aca="false">(Sens!D5490+Sens!E5490)/(Sens!D5491+Sens!E5491)</f>
        <v>0.6</v>
      </c>
      <c r="F5508" s="7" t="n">
        <f aca="false">(Sens!E5490+Sens!F5490)/(Sens!E5491+Sens!F5491)</f>
        <v>0.6</v>
      </c>
      <c r="G5508" s="7" t="n">
        <f aca="false">(Sens!F5490+Sens!G5490)/(Sens!F5491+Sens!G5491)</f>
        <v>0.6</v>
      </c>
      <c r="H5508" s="7" t="n">
        <f aca="false">(Sens!G5490+Sens!H5490)/(Sens!G5491+Sens!H5491)</f>
        <v>0.6</v>
      </c>
      <c r="I5508" s="7" t="n">
        <f aca="false">(Sens!H5490+Sens!I5490)/(Sens!H5491+Sens!I5491)</f>
        <v>0.6</v>
      </c>
      <c r="J5508" s="7" t="n">
        <f aca="false">(Sens!I5490+Sens!J5490)/(Sens!I5491+Sens!J5491)</f>
        <v>0.6</v>
      </c>
      <c r="K5508" s="7" t="n">
        <f aca="false">(Sens!J5490+Sens!K5490)/(Sens!J5491+Sens!K5491)</f>
        <v>0.6</v>
      </c>
    </row>
    <row r="5509" customFormat="false" ht="17.15" hidden="false" customHeight="false" outlineLevel="0" collapsed="false">
      <c r="A5509" s="0" t="s">
        <v>840</v>
      </c>
      <c r="B5509" s="0" t="s">
        <v>98</v>
      </c>
      <c r="D5509" s="6" t="n">
        <f aca="false">Sens!D5503-Sens!D5508*(Sens!D5505+Sens!D5507)-Sens!D5506</f>
        <v>8.35701406163072</v>
      </c>
      <c r="E5509" s="6" t="n">
        <f aca="false">Sens!E5503-Sens!E5508*(Sens!E5505+Sens!E5507)-Sens!E5506</f>
        <v>18.7103224860238</v>
      </c>
      <c r="F5509" s="6" t="n">
        <f aca="false">Sens!F5503-Sens!F5508*(Sens!F5505+Sens!F5507)-Sens!F5506</f>
        <v>39.4594407491938</v>
      </c>
      <c r="G5509" s="6" t="n">
        <f aca="false">Sens!G5503-Sens!G5508*(Sens!G5505+Sens!G5507)-Sens!G5506</f>
        <v>66.5527545578061</v>
      </c>
      <c r="H5509" s="6" t="n">
        <f aca="false">Sens!H5503-Sens!H5508*(Sens!H5505+Sens!H5507)-Sens!H5506</f>
        <v>95.219644983859</v>
      </c>
      <c r="I5509" s="6" t="n">
        <f aca="false">Sens!I5503-Sens!I5508*(Sens!I5505+Sens!I5507)-Sens!I5506</f>
        <v>120.722591017788</v>
      </c>
      <c r="J5509" s="6" t="n">
        <f aca="false">Sens!J5503-Sens!J5508*(Sens!J5505+Sens!J5507)-Sens!J5506</f>
        <v>138.852983677401</v>
      </c>
      <c r="K5509" s="6" t="n">
        <f aca="false">Sens!K5503-Sens!K5508*(Sens!K5505+Sens!K5507)-Sens!K5506</f>
        <v>151.058170579566</v>
      </c>
    </row>
    <row r="5510" customFormat="false" ht="17.15" hidden="false" customHeight="false" outlineLevel="0" collapsed="false">
      <c r="A5510" s="1" t="s">
        <v>841</v>
      </c>
      <c r="B5510" s="0" t="s">
        <v>98</v>
      </c>
      <c r="D5510" s="6" t="n">
        <f aca="false">(1-Sens!D5508)*(Sens!D5505+Sens!D5507)</f>
        <v>1.42281025374069</v>
      </c>
      <c r="E5510" s="6" t="n">
        <f aca="false">(1-Sens!E5508)*(Sens!E5505+Sens!E5507)</f>
        <v>3.25095598674472</v>
      </c>
      <c r="F5510" s="6" t="n">
        <f aca="false">(1-Sens!F5508)*(Sens!F5505+Sens!F5507)</f>
        <v>6.53293055050977</v>
      </c>
      <c r="G5510" s="6" t="n">
        <f aca="false">(1-Sens!G5508)*(Sens!G5505+Sens!G5507)</f>
        <v>10.7846311741651</v>
      </c>
      <c r="H5510" s="6" t="n">
        <f aca="false">(1-Sens!H5508)*(Sens!H5505+Sens!H5507)</f>
        <v>15.26343050201</v>
      </c>
      <c r="I5510" s="6" t="n">
        <f aca="false">(1-Sens!I5508)*(Sens!I5505+Sens!I5507)</f>
        <v>19.1433528317977</v>
      </c>
      <c r="J5510" s="6" t="n">
        <f aca="false">(1-Sens!J5508)*(Sens!J5505+Sens!J5507)</f>
        <v>21.7903077438073</v>
      </c>
      <c r="K5510" s="6" t="n">
        <f aca="false">(1-Sens!K5508)*(Sens!K5505+Sens!K5507)</f>
        <v>23.3028530868211</v>
      </c>
    </row>
    <row r="5511" customFormat="false" ht="17.15" hidden="false" customHeight="false" outlineLevel="0" collapsed="false">
      <c r="A5511" s="1" t="s">
        <v>842</v>
      </c>
      <c r="B5511" s="0" t="s">
        <v>357</v>
      </c>
      <c r="C5511" s="8" t="n">
        <f aca="false">cxit_open</f>
        <v>27.5918995</v>
      </c>
      <c r="D5511" s="8" t="n">
        <f aca="false">cxit_open</f>
        <v>27.5918995</v>
      </c>
      <c r="E5511" s="8" t="n">
        <f aca="false">cxit_open</f>
        <v>27.5918995</v>
      </c>
      <c r="F5511" s="8" t="n">
        <f aca="false">(a_g3_27*tk_cxit_gb300+(1-a_g3_27)*tk_cxit_vr200)</f>
        <v>33.8419624</v>
      </c>
      <c r="G5511" s="8" t="n">
        <f aca="false">(a_g3_28*tk_cxit_gb300+(1-a_g3_28)*tk_cxit_vr200)</f>
        <v>35.9816136</v>
      </c>
      <c r="H5511" s="8" t="n">
        <f aca="false">(a_g3_29*tk_cxit_gb300+(1-a_g3_29)*tk_cxit_vr200)</f>
        <v>37.0514392</v>
      </c>
      <c r="I5511" s="8" t="n">
        <f aca="false">(a_g3_29*tk_cxit_gb300+(1-a_g3_29)*tk_cxit_vr200)</f>
        <v>37.0514392</v>
      </c>
      <c r="J5511" s="8" t="n">
        <f aca="false">(a_g3_29*tk_cxit_gb300+(1-a_g3_29)*tk_cxit_vr200)</f>
        <v>37.0514392</v>
      </c>
      <c r="K5511" s="8" t="n">
        <f aca="false">(a_g3_29*tk_cxit_gb300+(1-a_g3_29)*tk_cxit_vr200)</f>
        <v>37.0514392</v>
      </c>
      <c r="L5511" s="11" t="s">
        <v>843</v>
      </c>
    </row>
    <row r="5512" customFormat="false" ht="17.15" hidden="false" customHeight="false" outlineLevel="0" collapsed="false">
      <c r="A5512" s="0" t="s">
        <v>844</v>
      </c>
      <c r="B5512" s="0" t="s">
        <v>399</v>
      </c>
      <c r="F5512" s="29" t="n">
        <f aca="false">Sens!C5493*IF(Sens!F5486-Sens!C5486=life_it,1,0)+Sens!D5493*IF(Sens!F5486-Sens!D5486=life_it,1,0)+Sens!E5493*IF(Sens!F5486-Sens!E5486=life_it,1,0)</f>
        <v>0</v>
      </c>
      <c r="G5512" s="29" t="n">
        <f aca="false">Sens!C5493*IF(Sens!G5486-Sens!C5486=life_it,1,0)+Sens!D5493*IF(Sens!G5486-Sens!D5486=life_it,1,0)+Sens!E5493*IF(Sens!G5486-Sens!E5486=life_it,1,0)+Sens!F5493*IF(Sens!G5486-Sens!F5486=life_it,1,0)</f>
        <v>0</v>
      </c>
      <c r="H5512" s="29" t="n">
        <f aca="false">Sens!C5493*IF(Sens!H5486-Sens!C5486=life_it,1,0)+Sens!D5493*IF(Sens!H5486-Sens!D5486=life_it,1,0)+Sens!E5493*IF(Sens!H5486-Sens!E5486=life_it,1,0)+Sens!F5493*IF(Sens!H5486-Sens!F5486=life_it,1,0)+Sens!G5493*IF(Sens!H5486-Sens!G5486=life_it,1,0)</f>
        <v>0</v>
      </c>
      <c r="I5512" s="29" t="n">
        <f aca="false">Sens!C5493*IF(Sens!I5486-Sens!C5486=life_it,1,0)+Sens!D5493*IF(Sens!I5486-Sens!D5486=life_it,1,0)+Sens!E5493*IF(Sens!I5486-Sens!E5486=life_it,1,0)+Sens!F5493*IF(Sens!I5486-Sens!F5486=life_it,1,0)+Sens!G5493*IF(Sens!I5486-Sens!G5486=life_it,1,0)+Sens!H5493*IF(Sens!I5486-Sens!H5486=life_it,1,0)</f>
        <v>816.666666666667</v>
      </c>
      <c r="J5512" s="29" t="n">
        <f aca="false">Sens!C5493*IF(Sens!J5486-Sens!C5486=life_it,1,0)+Sens!D5493*IF(Sens!J5486-Sens!D5486=life_it,1,0)+Sens!E5493*IF(Sens!J5486-Sens!E5486=life_it,1,0)+Sens!F5493*IF(Sens!J5486-Sens!F5486=life_it,1,0)+Sens!G5493*IF(Sens!J5486-Sens!G5486=life_it,1,0)+Sens!H5493*IF(Sens!J5486-Sens!H5486=life_it,1,0)+Sens!I5493*IF(Sens!J5486-Sens!I5486=life_it,1,0)</f>
        <v>1233.33333333333</v>
      </c>
      <c r="K5512" s="29" t="n">
        <f aca="false">Sens!C5493*IF(Sens!K5486-Sens!C5486=life_it,1,0)+Sens!D5493*IF(Sens!K5486-Sens!D5486=life_it,1,0)+Sens!E5493*IF(Sens!K5486-Sens!E5486=life_it,1,0)+Sens!F5493*IF(Sens!K5486-Sens!F5486=life_it,1,0)+Sens!G5493*IF(Sens!K5486-Sens!G5486=life_it,1,0)+Sens!H5493*IF(Sens!K5486-Sens!H5486=life_it,1,0)+Sens!I5493*IF(Sens!K5486-Sens!I5486=life_it,1,0)+Sens!J5493*IF(Sens!K5486-Sens!J5486=life_it,1,0)</f>
        <v>2450</v>
      </c>
      <c r="L5512" s="1" t="s">
        <v>845</v>
      </c>
    </row>
    <row r="5513" customFormat="false" ht="17.15" hidden="false" customHeight="false" outlineLevel="0" collapsed="false">
      <c r="A5513" s="0" t="s">
        <v>846</v>
      </c>
      <c r="B5513" s="0" t="s">
        <v>98</v>
      </c>
      <c r="C5513" s="6" t="n">
        <f aca="false">Sens!C5493*Sens!C5511/1000</f>
        <v>22.5333845916667</v>
      </c>
      <c r="D5513" s="6" t="n">
        <f aca="false">Sens!D5493*Sens!D5511/1000</f>
        <v>34.0300093833333</v>
      </c>
      <c r="E5513" s="6" t="n">
        <f aca="false">Sens!E5493*Sens!E5511/1000</f>
        <v>67.600153775</v>
      </c>
      <c r="F5513" s="6" t="n">
        <f aca="false">(Sens!F5493+Sens!F5512)*Sens!F5511/1000</f>
        <v>130.923271871467</v>
      </c>
      <c r="G5513" s="6" t="n">
        <f aca="false">(Sens!G5493+Sens!G5512)*Sens!G5511/1000</f>
        <v>151.5545564832</v>
      </c>
      <c r="H5513" s="6" t="n">
        <f aca="false">(Sens!H5493+Sens!H5512)*Sens!H5511/1000</f>
        <v>156.0606619104</v>
      </c>
      <c r="I5513" s="6" t="n">
        <f aca="false">(Sens!I5493+Sens!I5512)*Sens!I5511/1000</f>
        <v>140.987889434245</v>
      </c>
      <c r="J5513" s="6" t="n">
        <f aca="false">(Sens!J5493+Sens!J5512)*Sens!J5511/1000</f>
        <v>113.309125559842</v>
      </c>
      <c r="K5513" s="6" t="n">
        <f aca="false">(Sens!K5493+Sens!K5512)*Sens!K5511/1000</f>
        <v>116.192591420959</v>
      </c>
    </row>
    <row r="5514" customFormat="false" ht="17.15" hidden="false" customHeight="false" outlineLevel="0" collapsed="false">
      <c r="A5514" s="0" t="s">
        <v>847</v>
      </c>
      <c r="B5514" s="0" t="s">
        <v>98</v>
      </c>
      <c r="C5514" s="6" t="n">
        <f aca="false">Sens!C5493*self_build*tk_cxfac/1000</f>
        <v>6.2083</v>
      </c>
      <c r="D5514" s="6" t="n">
        <f aca="false">Sens!D5493*self_build*tk_cxfac/1000</f>
        <v>9.3758</v>
      </c>
      <c r="E5514" s="6" t="n">
        <f aca="false">Sens!E5493*self_build*tk_cxfac/1000</f>
        <v>18.6249</v>
      </c>
      <c r="F5514" s="6" t="n">
        <f aca="false">Sens!F5493*self_build*tk_cxfac/1000</f>
        <v>29.409604</v>
      </c>
      <c r="G5514" s="6" t="n">
        <f aca="false">Sens!G5493*self_build*tk_cxfac/1000</f>
        <v>32.019624</v>
      </c>
      <c r="H5514" s="6" t="n">
        <f aca="false">Sens!H5493*self_build*tk_cxfac/1000</f>
        <v>32.019624</v>
      </c>
      <c r="I5514" s="6" t="n">
        <f aca="false">Sens!I5493*self_build*tk_cxfac/1000</f>
        <v>22.71877972</v>
      </c>
      <c r="J5514" s="6" t="n">
        <f aca="false">Sens!J5493*self_build*tk_cxfac/1000</f>
        <v>13.8723110344</v>
      </c>
      <c r="K5514" s="6" t="n">
        <f aca="false">Sens!K5493*self_build*tk_cxfac/1000</f>
        <v>5.214823882632</v>
      </c>
    </row>
    <row r="5515" customFormat="false" ht="17.15" hidden="false" customHeight="false" outlineLevel="0" collapsed="false">
      <c r="A5515" s="0" t="s">
        <v>848</v>
      </c>
      <c r="B5515" s="0" t="s">
        <v>98</v>
      </c>
      <c r="F5515" s="6" t="n">
        <f aca="false">MAX(0,capex_floor27-Sens!F5513-Sens!F5514-Sens!F5609)</f>
        <v>8.43777689897088</v>
      </c>
    </row>
    <row r="5516" customFormat="false" ht="17.15" hidden="false" customHeight="false" outlineLevel="0" collapsed="false">
      <c r="A5516" s="0" t="s">
        <v>849</v>
      </c>
      <c r="B5516" s="0" t="s">
        <v>98</v>
      </c>
      <c r="C5516" s="6" t="n">
        <f aca="false">Sens!C5513</f>
        <v>22.5333845916667</v>
      </c>
      <c r="D5516" s="6" t="n">
        <f aca="false">Sens!D5513</f>
        <v>34.0300093833333</v>
      </c>
      <c r="E5516" s="6" t="n">
        <f aca="false">Sens!E5513</f>
        <v>67.600153775</v>
      </c>
      <c r="F5516" s="6" t="n">
        <f aca="false">Sens!F5513</f>
        <v>130.923271871467</v>
      </c>
      <c r="G5516" s="6" t="n">
        <f aca="false">Sens!G5513</f>
        <v>151.5545564832</v>
      </c>
      <c r="H5516" s="6" t="n">
        <f aca="false">Sens!H5513</f>
        <v>156.0606619104</v>
      </c>
      <c r="I5516" s="6" t="n">
        <f aca="false">Sens!I5513</f>
        <v>140.987889434245</v>
      </c>
      <c r="J5516" s="6" t="n">
        <f aca="false">Sens!J5513</f>
        <v>113.309125559842</v>
      </c>
      <c r="K5516" s="6" t="n">
        <f aca="false">Sens!K5513</f>
        <v>116.192591420959</v>
      </c>
    </row>
    <row r="5517" customFormat="false" ht="17.15" hidden="false" customHeight="false" outlineLevel="0" collapsed="false">
      <c r="A5517" s="0" t="s">
        <v>850</v>
      </c>
      <c r="B5517" s="0" t="s">
        <v>98</v>
      </c>
      <c r="C5517" s="6" t="n">
        <f aca="false">Sens!C5516+Sens!C5514</f>
        <v>28.7416845916667</v>
      </c>
      <c r="D5517" s="6" t="n">
        <f aca="false">Sens!D5516+Sens!D5514</f>
        <v>43.4058093833333</v>
      </c>
      <c r="E5517" s="6" t="n">
        <f aca="false">Sens!E5516+Sens!E5514</f>
        <v>86.225053775</v>
      </c>
      <c r="F5517" s="6" t="n">
        <f aca="false">Sens!F5516+Sens!F5514</f>
        <v>160.332875871467</v>
      </c>
      <c r="G5517" s="6" t="n">
        <f aca="false">Sens!G5516+Sens!G5514</f>
        <v>183.5741804832</v>
      </c>
      <c r="H5517" s="6" t="n">
        <f aca="false">Sens!H5516+Sens!H5514</f>
        <v>188.0802859104</v>
      </c>
      <c r="I5517" s="6" t="n">
        <f aca="false">Sens!I5516+Sens!I5514</f>
        <v>163.706669154245</v>
      </c>
      <c r="J5517" s="6" t="n">
        <f aca="false">Sens!J5516+Sens!J5514</f>
        <v>127.181436594242</v>
      </c>
      <c r="K5517" s="6" t="n">
        <f aca="false">Sens!K5516+Sens!K5514</f>
        <v>121.407415303591</v>
      </c>
      <c r="L5517" s="11" t="s">
        <v>851</v>
      </c>
    </row>
    <row r="5518" customFormat="false" ht="17.15" hidden="false" customHeight="false" outlineLevel="0" collapsed="false">
      <c r="A5518" s="0" t="s">
        <v>852</v>
      </c>
      <c r="B5518" s="0" t="s">
        <v>98</v>
      </c>
      <c r="E5518" s="6" t="n">
        <f aca="false">(Sens!C5516*IF(2&lt;life_it,1,IF(2=life_it,0.5,0))+Sens!D5516*IF(1&lt;life_it,1,IF(1=life_it,0.5,0))+Sens!E5516*0.5)/life_it</f>
        <v>15.0605784770833</v>
      </c>
      <c r="F5518" s="6" t="n">
        <f aca="false">(Sens!C5516*IF(3&lt;life_it,1,IF(3=life_it,0.5,0))+Sens!D5516*IF(2&lt;life_it,1,IF(2=life_it,0.5,0))+Sens!E5516*IF(1&lt;life_it,1,IF(1=life_it,0.5,0))+Sens!F5516*0.5)/life_it</f>
        <v>31.6041972809556</v>
      </c>
      <c r="G5518" s="6" t="n">
        <f aca="false">(Sens!C5516*IF(4&lt;life_it,1,IF(4=life_it,0.5,0))+Sens!D5516*IF(3&lt;life_it,1,IF(3=life_it,0.5,0))+Sens!E5516*IF(2&lt;life_it,1,IF(2=life_it,0.5,0))+Sens!F5516*IF(1&lt;life_it,1,IF(1=life_it,0.5,0))+Sens!G5516*0.5)/life_it</f>
        <v>55.1440163105111</v>
      </c>
      <c r="H5518" s="6" t="n">
        <f aca="false">(Sens!C5516*IF(5&lt;life_it,1,IF(5=life_it,0.5,0))+Sens!D5516*IF(4&lt;life_it,1,IF(4=life_it,0.5,0))+Sens!E5516*IF(3&lt;life_it,1,IF(3=life_it,0.5,0))+Sens!F5516*IF(2&lt;life_it,1,IF(2=life_it,0.5,0))+Sens!G5516*IF(1&lt;life_it,1,IF(1=life_it,0.5,0))+Sens!H5516*0.5)/life_it</f>
        <v>80.7786178433111</v>
      </c>
      <c r="I5518" s="6" t="n">
        <f aca="false">(Sens!C5516*IF(6&lt;life_it,1,IF(6=life_it,0.5,0))+Sens!D5516*IF(5&lt;life_it,1,IF(5=life_it,0.5,0))+Sens!E5516*IF(4&lt;life_it,1,IF(4=life_it,0.5,0))+Sens!F5516*IF(3&lt;life_it,1,IF(3=life_it,0.5,0))+Sens!G5516*IF(2&lt;life_it,1,IF(2=life_it,0.5,0))+Sens!H5516*IF(1&lt;life_it,1,IF(1=life_it,0.5,0))+Sens!I5516*0.5)/life_it</f>
        <v>103.654881739393</v>
      </c>
      <c r="J5518" s="6" t="n">
        <f aca="false">(Sens!C5516*IF(7&lt;life_it,1,IF(7=life_it,0.5,0))+Sens!D5516*IF(6&lt;life_it,1,IF(6=life_it,0.5,0))+Sens!E5516*IF(5&lt;life_it,1,IF(5=life_it,0.5,0))+Sens!F5516*IF(4&lt;life_it,1,IF(4=life_it,0.5,0))+Sens!G5516*IF(3&lt;life_it,1,IF(3=life_it,0.5,0))+Sens!H5516*IF(2&lt;life_it,1,IF(2=life_it,0.5,0))+Sens!I5516*IF(1&lt;life_it,1,IF(1=life_it,0.5,0))+Sens!J5516*0.5)/life_it</f>
        <v>120.132683490983</v>
      </c>
      <c r="K5518" s="6" t="n">
        <f aca="false">(Sens!C5516*IF(8&lt;life_it,1,IF(8=life_it,0.5,0))+Sens!D5516*IF(7&lt;life_it,1,IF(7=life_it,0.5,0))+Sens!E5516*IF(6&lt;life_it,1,IF(6=life_it,0.5,0))+Sens!F5516*IF(5&lt;life_it,1,IF(5=life_it,0.5,0))+Sens!G5516*IF(4&lt;life_it,1,IF(4=life_it,0.5,0))+Sens!H5516*IF(3&lt;life_it,1,IF(3=life_it,0.5,0))+Sens!I5516*IF(2&lt;life_it,1,IF(2=life_it,0.5,0))+Sens!J5516*IF(1&lt;life_it,1,IF(1=life_it,0.5,0))+Sens!K5516*0.5)/life_it</f>
        <v>130.788646309522</v>
      </c>
    </row>
    <row r="5519" customFormat="false" ht="17.15" hidden="false" customHeight="false" outlineLevel="0" collapsed="false">
      <c r="A5519" s="0" t="s">
        <v>853</v>
      </c>
      <c r="B5519" s="0" t="s">
        <v>98</v>
      </c>
      <c r="E5519" s="6" t="n">
        <f aca="false">(Sens!C5514*IF(2&lt;life_fac,1,IF(2=life_fac,0.5,0))+Sens!D5514*IF(1&lt;life_fac,1,IF(1=life_fac,0.5,0))+Sens!E5514*0.5)/life_fac</f>
        <v>1.2448275</v>
      </c>
      <c r="F5519" s="6" t="n">
        <f aca="false">(Sens!C5514*IF(3&lt;life_fac,1,IF(3=life_fac,0.5,0))+Sens!D5514*IF(2&lt;life_fac,1,IF(2=life_fac,0.5,0))+Sens!E5514*IF(1&lt;life_fac,1,IF(1=life_fac,0.5,0))+Sens!F5514*0.5)/life_fac</f>
        <v>2.4456901</v>
      </c>
      <c r="G5519" s="6" t="n">
        <f aca="false">(Sens!C5514*IF(4&lt;life_fac,1,IF(4=life_fac,0.5,0))+Sens!D5514*IF(3&lt;life_fac,1,IF(3=life_fac,0.5,0))+Sens!E5514*IF(2&lt;life_fac,1,IF(2=life_fac,0.5,0))+Sens!F5514*IF(1&lt;life_fac,1,IF(1=life_fac,0.5,0))+Sens!G5514*0.5)/life_fac</f>
        <v>3.9814208</v>
      </c>
      <c r="H5519" s="6" t="n">
        <f aca="false">(Sens!C5514*IF(5&lt;life_fac,1,IF(5=life_fac,0.5,0))+Sens!D5514*IF(4&lt;life_fac,1,IF(4=life_fac,0.5,0))+Sens!E5514*IF(3&lt;life_fac,1,IF(3=life_fac,0.5,0))+Sens!F5514*IF(2&lt;life_fac,1,IF(2=life_fac,0.5,0))+Sens!G5514*IF(1&lt;life_fac,1,IF(1=life_fac,0.5,0))+Sens!H5514*0.5)/life_fac</f>
        <v>5.582402</v>
      </c>
      <c r="I5519" s="6" t="n">
        <f aca="false">(Sens!C5514*IF(6&lt;life_fac,1,IF(6=life_fac,0.5,0))+Sens!D5514*IF(5&lt;life_fac,1,IF(5=life_fac,0.5,0))+Sens!E5514*IF(4&lt;life_fac,1,IF(4=life_fac,0.5,0))+Sens!F5514*IF(3&lt;life_fac,1,IF(3=life_fac,0.5,0))+Sens!G5514*IF(2&lt;life_fac,1,IF(2=life_fac,0.5,0))+Sens!H5514*IF(1&lt;life_fac,1,IF(1=life_fac,0.5,0))+Sens!I5514*0.5)/life_fac</f>
        <v>6.950862093</v>
      </c>
      <c r="J5519" s="6" t="n">
        <f aca="false">(Sens!C5514*IF(7&lt;life_fac,1,IF(7=life_fac,0.5,0))+Sens!D5514*IF(6&lt;life_fac,1,IF(6=life_fac,0.5,0))+Sens!E5514*IF(5&lt;life_fac,1,IF(5=life_fac,0.5,0))+Sens!F5514*IF(4&lt;life_fac,1,IF(4=life_fac,0.5,0))+Sens!G5514*IF(3&lt;life_fac,1,IF(3=life_fac,0.5,0))+Sens!H5514*IF(2&lt;life_fac,1,IF(2=life_fac,0.5,0))+Sens!I5514*IF(1&lt;life_fac,1,IF(1=life_fac,0.5,0))+Sens!J5514*0.5)/life_fac</f>
        <v>7.86563936186</v>
      </c>
      <c r="K5519" s="6" t="n">
        <f aca="false">(Sens!C5514*IF(8&lt;life_fac,1,IF(8=life_fac,0.5,0))+Sens!D5514*IF(7&lt;life_fac,1,IF(7=life_fac,0.5,0))+Sens!E5514*IF(6&lt;life_fac,1,IF(6=life_fac,0.5,0))+Sens!F5514*IF(5&lt;life_fac,1,IF(5=life_fac,0.5,0))+Sens!G5514*IF(4&lt;life_fac,1,IF(4=life_fac,0.5,0))+Sens!H5514*IF(3&lt;life_fac,1,IF(3=life_fac,0.5,0))+Sens!I5514*IF(2&lt;life_fac,1,IF(2=life_fac,0.5,0))+Sens!J5514*IF(1&lt;life_fac,1,IF(1=life_fac,0.5,0))+Sens!K5514*0.5)/life_fac</f>
        <v>8.3428177347858</v>
      </c>
    </row>
    <row r="5520" customFormat="false" ht="17.15" hidden="false" customHeight="false" outlineLevel="0" collapsed="false">
      <c r="A5520" s="0" t="s">
        <v>854</v>
      </c>
      <c r="B5520" s="0" t="s">
        <v>98</v>
      </c>
      <c r="E5520" s="6" t="n">
        <f aca="false">Sens!E5518+Sens!E5519</f>
        <v>16.3054059770833</v>
      </c>
      <c r="F5520" s="6" t="n">
        <f aca="false">Sens!F5518+Sens!F5519</f>
        <v>34.0498873809555</v>
      </c>
      <c r="G5520" s="6" t="n">
        <f aca="false">Sens!G5518+Sens!G5519</f>
        <v>59.1254371105111</v>
      </c>
      <c r="H5520" s="6" t="n">
        <f aca="false">Sens!H5518+Sens!H5519</f>
        <v>86.3610198433111</v>
      </c>
      <c r="I5520" s="6" t="n">
        <f aca="false">Sens!I5518+Sens!I5519</f>
        <v>110.605743832393</v>
      </c>
      <c r="J5520" s="6" t="n">
        <f aca="false">Sens!J5518+Sens!J5519</f>
        <v>127.998322852843</v>
      </c>
      <c r="K5520" s="6" t="n">
        <f aca="false">Sens!K5518+Sens!K5519</f>
        <v>139.131464044308</v>
      </c>
    </row>
    <row r="5521" customFormat="false" ht="17.15" hidden="false" customHeight="false" outlineLevel="0" collapsed="false">
      <c r="A5521" s="0" t="s">
        <v>855</v>
      </c>
      <c r="B5521" s="0" t="s">
        <v>98</v>
      </c>
      <c r="E5521" s="6" t="n">
        <f aca="false">Sens!E5509-Sens!E5508*Sens!E5520</f>
        <v>8.92707889977379</v>
      </c>
      <c r="F5521" s="6" t="n">
        <f aca="false">Sens!F5509-Sens!F5508*Sens!F5520</f>
        <v>19.0295083206205</v>
      </c>
      <c r="G5521" s="6" t="n">
        <f aca="false">Sens!G5509-Sens!G5508*Sens!G5520</f>
        <v>31.0774922914994</v>
      </c>
      <c r="H5521" s="6" t="n">
        <f aca="false">Sens!H5509-Sens!H5508*Sens!H5520</f>
        <v>43.4030330778723</v>
      </c>
      <c r="I5521" s="6" t="n">
        <f aca="false">Sens!I5509-Sens!I5508*Sens!I5520</f>
        <v>54.3591447183526</v>
      </c>
      <c r="J5521" s="6" t="n">
        <f aca="false">Sens!J5509-Sens!J5508*Sens!J5520</f>
        <v>62.0539899656947</v>
      </c>
      <c r="K5521" s="6" t="n">
        <f aca="false">Sens!K5509-Sens!K5508*Sens!K5520</f>
        <v>67.5792921529812</v>
      </c>
    </row>
    <row r="5522" customFormat="false" ht="17.15" hidden="false" customHeight="false" outlineLevel="0" collapsed="false">
      <c r="A5522" s="3" t="s">
        <v>1403</v>
      </c>
    </row>
    <row r="5523" customFormat="false" ht="15" hidden="false" customHeight="false" outlineLevel="0" collapsed="false">
      <c r="A5523" s="4" t="s">
        <v>43</v>
      </c>
      <c r="B5523" s="4" t="s">
        <v>65</v>
      </c>
      <c r="C5523" s="20" t="s">
        <v>799</v>
      </c>
      <c r="D5523" s="20" t="s">
        <v>800</v>
      </c>
      <c r="E5523" s="20" t="s">
        <v>801</v>
      </c>
      <c r="F5523" s="20" t="s">
        <v>802</v>
      </c>
      <c r="G5523" s="20" t="s">
        <v>803</v>
      </c>
      <c r="H5523" s="20" t="s">
        <v>804</v>
      </c>
      <c r="I5523" s="20" t="s">
        <v>805</v>
      </c>
      <c r="J5523" s="20" t="s">
        <v>806</v>
      </c>
      <c r="K5523" s="20" t="s">
        <v>807</v>
      </c>
      <c r="L5523" s="4" t="s">
        <v>47</v>
      </c>
    </row>
    <row r="5524" customFormat="false" ht="17.15" hidden="false" customHeight="false" outlineLevel="0" collapsed="false">
      <c r="A5524" s="0" t="s">
        <v>874</v>
      </c>
      <c r="B5524" s="0" t="s">
        <v>98</v>
      </c>
      <c r="D5524" s="6" t="n">
        <f aca="false">Sens!D5503</f>
        <v>12.9359794422418</v>
      </c>
      <c r="E5524" s="6" t="n">
        <f aca="false">Sens!E5503</f>
        <v>27.8095064661409</v>
      </c>
      <c r="F5524" s="6" t="n">
        <f aca="false">Sens!F5503</f>
        <v>55.0640065749585</v>
      </c>
      <c r="G5524" s="6" t="n">
        <f aca="false">Sens!G5503</f>
        <v>89.4505413190538</v>
      </c>
      <c r="H5524" s="6" t="n">
        <f aca="false">Sens!H5503</f>
        <v>124.835630736874</v>
      </c>
      <c r="I5524" s="6" t="n">
        <f aca="false">Sens!I5503</f>
        <v>156.158460265485</v>
      </c>
      <c r="J5524" s="6" t="n">
        <f aca="false">Sens!J5503</f>
        <v>178.259285293112</v>
      </c>
      <c r="K5524" s="6" t="n">
        <f aca="false">Sens!K5503</f>
        <v>192.733290209798</v>
      </c>
    </row>
    <row r="5525" customFormat="false" ht="17.15" hidden="false" customHeight="false" outlineLevel="0" collapsed="false">
      <c r="A5525" s="0" t="s">
        <v>875</v>
      </c>
      <c r="B5525" s="0" t="s">
        <v>98</v>
      </c>
      <c r="D5525" s="6" t="n">
        <f aca="false">Q!L6-Sens!D5524</f>
        <v>59.6740205577583</v>
      </c>
      <c r="E5525" s="6" t="n">
        <f aca="false">Q!M6-Sens!E5524</f>
        <v>74.1284935338591</v>
      </c>
      <c r="F5525" s="6" t="n">
        <f aca="false">Sens!E5525*(1+Sens!F5526)</f>
        <v>90.0799497373663</v>
      </c>
      <c r="G5525" s="6" t="n">
        <f aca="false">Sens!F5525*(1+Sens!G5526)</f>
        <v>107.02842520331</v>
      </c>
      <c r="H5525" s="6" t="n">
        <f aca="false">Sens!G5525*(1+Sens!H5526)</f>
        <v>124.271982585636</v>
      </c>
      <c r="I5525" s="6" t="n">
        <f aca="false">Sens!H5525*(1+Sens!I5526)</f>
        <v>140.933702381855</v>
      </c>
      <c r="J5525" s="6" t="n">
        <f aca="false">Sens!I5525*(1+Sens!J5526)</f>
        <v>156.018867314332</v>
      </c>
      <c r="K5525" s="6" t="n">
        <f aca="false">Sens!J5525*(1+Sens!K5526)</f>
        <v>168.500376699478</v>
      </c>
    </row>
    <row r="5526" customFormat="false" ht="15" hidden="false" customHeight="false" outlineLevel="0" collapsed="false">
      <c r="A5526" s="1" t="s">
        <v>876</v>
      </c>
      <c r="B5526" s="0" t="s">
        <v>129</v>
      </c>
      <c r="E5526" s="7" t="n">
        <f aca="false">Sens!E5525/Sens!D5525-1</f>
        <v>0.242223883039864</v>
      </c>
      <c r="F5526" s="7" t="n">
        <f aca="false">Sens!$E$5526+(glt_azo-Sens!$E$5526)*MIN(1,(Sens!F5486-base_fy)/n_conv)</f>
        <v>0.215186569199887</v>
      </c>
      <c r="G5526" s="7" t="n">
        <f aca="false">Sens!$E$5526+(glt_azo-Sens!$E$5526)*MIN(1,(Sens!G5486-base_fy)/n_conv)</f>
        <v>0.18814925535991</v>
      </c>
      <c r="H5526" s="7" t="n">
        <f aca="false">Sens!$E$5526+(glt_azo-Sens!$E$5526)*MIN(1,(Sens!H5486-base_fy)/n_conv)</f>
        <v>0.161111941519932</v>
      </c>
      <c r="I5526" s="7" t="n">
        <f aca="false">Sens!$E$5526+(glt_azo-Sens!$E$5526)*MIN(1,(Sens!I5486-base_fy)/n_conv)</f>
        <v>0.134074627679955</v>
      </c>
      <c r="J5526" s="7" t="n">
        <f aca="false">Sens!$E$5526+(glt_azo-Sens!$E$5526)*MIN(1,(Sens!J5486-base_fy)/n_conv)</f>
        <v>0.107037313839977</v>
      </c>
      <c r="K5526" s="7" t="n">
        <f aca="false">Sens!$E$5526+(glt_azo-Sens!$E$5526)*MIN(1,(Sens!K5486-base_fy)/n_conv)</f>
        <v>0.08</v>
      </c>
    </row>
    <row r="5527" customFormat="false" ht="15" hidden="false" customHeight="false" outlineLevel="0" collapsed="false">
      <c r="A5527" s="0" t="s">
        <v>877</v>
      </c>
      <c r="B5527" s="0" t="s">
        <v>98</v>
      </c>
      <c r="D5527" s="6" t="n">
        <f aca="false">Sens!D5524+Sens!D5525</f>
        <v>72.61</v>
      </c>
      <c r="E5527" s="6" t="n">
        <f aca="false">Sens!E5524+Sens!E5525</f>
        <v>101.938</v>
      </c>
      <c r="F5527" s="6" t="n">
        <f aca="false">Sens!F5524+Sens!F5525</f>
        <v>145.143956312325</v>
      </c>
      <c r="G5527" s="6" t="n">
        <f aca="false">Sens!G5524+Sens!G5525</f>
        <v>196.478966522364</v>
      </c>
      <c r="H5527" s="6" t="n">
        <f aca="false">Sens!H5524+Sens!H5525</f>
        <v>249.10761332251</v>
      </c>
      <c r="I5527" s="6" t="n">
        <f aca="false">Sens!I5524+Sens!I5525</f>
        <v>297.09216264734</v>
      </c>
      <c r="J5527" s="6" t="n">
        <f aca="false">Sens!J5524+Sens!J5525</f>
        <v>334.278152607443</v>
      </c>
      <c r="K5527" s="6" t="n">
        <f aca="false">Sens!K5524+Sens!K5525</f>
        <v>361.233666909276</v>
      </c>
    </row>
    <row r="5528" customFormat="false" ht="17.15" hidden="false" customHeight="false" outlineLevel="0" collapsed="false">
      <c r="A5528" s="0" t="s">
        <v>878</v>
      </c>
      <c r="B5528" s="1" t="s">
        <v>528</v>
      </c>
      <c r="C5528" s="29" t="n">
        <f aca="false">cop_s24</f>
        <v>1</v>
      </c>
      <c r="D5528" s="29" t="n">
        <f aca="false">cop_s25</f>
        <v>5</v>
      </c>
      <c r="E5528" s="29" t="n">
        <f aca="false">cop_s26</f>
        <v>30</v>
      </c>
      <c r="F5528" s="29" t="n">
        <f aca="false">Sens!E5528+cop_add_B*0.5</f>
        <v>40</v>
      </c>
      <c r="G5528" s="29" t="n">
        <f aca="false">Sens!F5528+cop_add_B*0.5</f>
        <v>50</v>
      </c>
      <c r="H5528" s="29" t="n">
        <f aca="false">Sens!G5528+cop_add_B*0.5</f>
        <v>60</v>
      </c>
      <c r="I5528" s="29" t="n">
        <f aca="false">Sens!H5528+cop_add_B*0.5*cop_tail</f>
        <v>65</v>
      </c>
      <c r="J5528" s="29" t="n">
        <f aca="false">Sens!I5528+cop_add_B*0.5*cop_tail</f>
        <v>70</v>
      </c>
      <c r="K5528" s="29" t="n">
        <f aca="false">Sens!J5528+cop_add_B*0.5*cop_tail</f>
        <v>75</v>
      </c>
      <c r="L5528" s="11" t="s">
        <v>879</v>
      </c>
    </row>
    <row r="5529" customFormat="false" ht="17.15" hidden="false" customHeight="false" outlineLevel="0" collapsed="false">
      <c r="A5529" s="0" t="s">
        <v>880</v>
      </c>
      <c r="B5529" s="0" t="s">
        <v>98</v>
      </c>
      <c r="D5529" s="6" t="n">
        <f aca="false">(Sens!C5528+Sens!D5528)/2*cop_px*12/1000</f>
        <v>0.9</v>
      </c>
      <c r="E5529" s="6" t="n">
        <f aca="false">(Sens!D5528+Sens!E5528)/2*cop_px*12/1000</f>
        <v>5.25</v>
      </c>
      <c r="F5529" s="6" t="n">
        <f aca="false">(Sens!E5528+Sens!F5528)/2*cop_px*12/1000</f>
        <v>10.5</v>
      </c>
      <c r="G5529" s="6" t="n">
        <f aca="false">(Sens!F5528+Sens!G5528)/2*cop_px*12/1000</f>
        <v>13.5</v>
      </c>
      <c r="H5529" s="6" t="n">
        <f aca="false">(Sens!G5528+Sens!H5528)/2*cop_px*12/1000</f>
        <v>16.5</v>
      </c>
      <c r="I5529" s="6" t="n">
        <f aca="false">(Sens!H5528+Sens!I5528)/2*cop_px*12/1000</f>
        <v>18.75</v>
      </c>
      <c r="J5529" s="6" t="n">
        <f aca="false">(Sens!I5528+Sens!J5528)/2*cop_px*12/1000</f>
        <v>20.25</v>
      </c>
      <c r="K5529" s="6" t="n">
        <f aca="false">(Sens!J5528+Sens!K5528)/2*cop_px*12/1000</f>
        <v>21.75</v>
      </c>
      <c r="L5529" s="1" t="s">
        <v>881</v>
      </c>
    </row>
    <row r="5530" customFormat="false" ht="17.15" hidden="false" customHeight="false" outlineLevel="0" collapsed="false">
      <c r="A5530" s="0" t="s">
        <v>882</v>
      </c>
      <c r="B5530" s="0" t="s">
        <v>98</v>
      </c>
      <c r="D5530" s="6" t="n">
        <f aca="false">Q!L7-Sens!D5529</f>
        <v>83.705</v>
      </c>
      <c r="E5530" s="6" t="n">
        <f aca="false">Q!M7-Sens!E5529</f>
        <v>95.049</v>
      </c>
      <c r="F5530" s="6" t="n">
        <f aca="false">Sens!E5530*(1+Sens!F5531)</f>
        <v>106.89238776686</v>
      </c>
      <c r="G5530" s="6" t="n">
        <f aca="false">Sens!F5530*(1+Sens!G5531)</f>
        <v>119.044168448684</v>
      </c>
      <c r="H5530" s="6" t="n">
        <f aca="false">Sens!G5530*(1+Sens!H5531)</f>
        <v>131.277359388781</v>
      </c>
      <c r="I5530" s="6" t="n">
        <f aca="false">Sens!H5530*(1+Sens!I5531)</f>
        <v>143.334028071957</v>
      </c>
      <c r="J5530" s="6" t="n">
        <f aca="false">Sens!I5530*(1+Sens!J5531)</f>
        <v>154.932702785465</v>
      </c>
      <c r="K5530" s="6" t="n">
        <f aca="false">Sens!J5530*(1+Sens!K5531)</f>
        <v>165.777991980448</v>
      </c>
    </row>
    <row r="5531" customFormat="false" ht="15" hidden="false" customHeight="false" outlineLevel="0" collapsed="false">
      <c r="A5531" s="1" t="s">
        <v>876</v>
      </c>
      <c r="B5531" s="0" t="s">
        <v>129</v>
      </c>
      <c r="E5531" s="7" t="n">
        <f aca="false">Sens!E5530/Sens!D5530-1</f>
        <v>0.135523564900544</v>
      </c>
      <c r="F5531" s="7" t="n">
        <f aca="false">Sens!$E$5531+(glt_m365b-Sens!$E$5531)*MIN(1,(Sens!F5486-base_fy)/n_conv)</f>
        <v>0.124602970750453</v>
      </c>
      <c r="G5531" s="7" t="n">
        <f aca="false">Sens!$E$5531+(glt_m365b-Sens!$E$5531)*MIN(1,(Sens!G5486-base_fy)/n_conv)</f>
        <v>0.113682376600363</v>
      </c>
      <c r="H5531" s="7" t="n">
        <f aca="false">Sens!$E$5531+(glt_m365b-Sens!$E$5531)*MIN(1,(Sens!H5486-base_fy)/n_conv)</f>
        <v>0.102761782450272</v>
      </c>
      <c r="I5531" s="7" t="n">
        <f aca="false">Sens!$E$5531+(glt_m365b-Sens!$E$5531)*MIN(1,(Sens!I5486-base_fy)/n_conv)</f>
        <v>0.0918411883001813</v>
      </c>
      <c r="J5531" s="7" t="n">
        <f aca="false">Sens!$E$5531+(glt_m365b-Sens!$E$5531)*MIN(1,(Sens!J5486-base_fy)/n_conv)</f>
        <v>0.0809205941500906</v>
      </c>
      <c r="K5531" s="7" t="n">
        <f aca="false">Sens!$E$5531+(glt_m365b-Sens!$E$5531)*MIN(1,(Sens!K5486-base_fy)/n_conv)</f>
        <v>0.07</v>
      </c>
    </row>
    <row r="5532" customFormat="false" ht="15" hidden="false" customHeight="false" outlineLevel="0" collapsed="false">
      <c r="A5532" s="0" t="s">
        <v>883</v>
      </c>
      <c r="B5532" s="0" t="s">
        <v>98</v>
      </c>
      <c r="D5532" s="6" t="n">
        <f aca="false">Sens!D5530+Sens!D5529</f>
        <v>84.605</v>
      </c>
      <c r="E5532" s="6" t="n">
        <f aca="false">Sens!E5530+Sens!E5529</f>
        <v>100.299</v>
      </c>
      <c r="F5532" s="6" t="n">
        <f aca="false">Sens!F5530+Sens!F5529</f>
        <v>117.39238776686</v>
      </c>
      <c r="G5532" s="6" t="n">
        <f aca="false">Sens!G5530+Sens!G5529</f>
        <v>132.544168448684</v>
      </c>
      <c r="H5532" s="6" t="n">
        <f aca="false">Sens!H5530+Sens!H5529</f>
        <v>147.777359388781</v>
      </c>
      <c r="I5532" s="6" t="n">
        <f aca="false">Sens!I5530+Sens!I5529</f>
        <v>162.084028071957</v>
      </c>
      <c r="J5532" s="6" t="n">
        <f aca="false">Sens!J5530+Sens!J5529</f>
        <v>175.182702785465</v>
      </c>
      <c r="K5532" s="6" t="n">
        <f aca="false">Sens!K5530+Sens!K5529</f>
        <v>187.527991980448</v>
      </c>
    </row>
    <row r="5533" customFormat="false" ht="15" hidden="false" customHeight="false" outlineLevel="0" collapsed="false">
      <c r="A5533" s="0" t="s">
        <v>884</v>
      </c>
      <c r="B5533" s="0" t="s">
        <v>98</v>
      </c>
      <c r="D5533" s="6" t="n">
        <f aca="false">Q!L8</f>
        <v>35.391</v>
      </c>
      <c r="E5533" s="6" t="n">
        <f aca="false">Q!M8</f>
        <v>37.285</v>
      </c>
      <c r="F5533" s="6" t="n">
        <f aca="false">Sens!E5533*(1+Sens!F5534)</f>
        <v>39.0720834331704</v>
      </c>
      <c r="G5533" s="6" t="n">
        <f aca="false">Sens!F5533*(1+Sens!G5534)</f>
        <v>40.726562953769</v>
      </c>
      <c r="H5533" s="6" t="n">
        <f aca="false">Sens!G5533*(1+Sens!H5534)</f>
        <v>42.2235987259198</v>
      </c>
      <c r="I5533" s="6" t="n">
        <f aca="false">Sens!H5533*(1+Sens!I5534)</f>
        <v>43.5397988077414</v>
      </c>
      <c r="J5533" s="6" t="n">
        <f aca="false">Sens!I5533*(1+Sens!J5534)</f>
        <v>44.653811225693</v>
      </c>
      <c r="K5533" s="6" t="n">
        <f aca="false">Sens!J5533*(1+Sens!K5534)</f>
        <v>45.5468874502068</v>
      </c>
    </row>
    <row r="5534" customFormat="false" ht="15" hidden="false" customHeight="false" outlineLevel="0" collapsed="false">
      <c r="A5534" s="1" t="s">
        <v>876</v>
      </c>
      <c r="B5534" s="0" t="s">
        <v>129</v>
      </c>
      <c r="E5534" s="7" t="n">
        <f aca="false">Sens!E5533/Sens!D5533-1</f>
        <v>0.0535164307309768</v>
      </c>
      <c r="F5534" s="7" t="n">
        <f aca="false">Sens!$E$5534+(glt_lic-Sens!$E$5534)*MIN(1,(Sens!F5486-base_fy)/n_conv)</f>
        <v>0.0479303589424807</v>
      </c>
      <c r="G5534" s="7" t="n">
        <f aca="false">Sens!$E$5534+(glt_lic-Sens!$E$5534)*MIN(1,(Sens!G5486-base_fy)/n_conv)</f>
        <v>0.0423442871539845</v>
      </c>
      <c r="H5534" s="7" t="n">
        <f aca="false">Sens!$E$5534+(glt_lic-Sens!$E$5534)*MIN(1,(Sens!H5486-base_fy)/n_conv)</f>
        <v>0.0367582153654884</v>
      </c>
      <c r="I5534" s="7" t="n">
        <f aca="false">Sens!$E$5534+(glt_lic-Sens!$E$5534)*MIN(1,(Sens!I5486-base_fy)/n_conv)</f>
        <v>0.0311721435769923</v>
      </c>
      <c r="J5534" s="7" t="n">
        <f aca="false">Sens!$E$5534+(glt_lic-Sens!$E$5534)*MIN(1,(Sens!J5486-base_fy)/n_conv)</f>
        <v>0.0255860717884961</v>
      </c>
      <c r="K5534" s="7" t="n">
        <f aca="false">Sens!$E$5534+(glt_lic-Sens!$E$5534)*MIN(1,(Sens!K5486-base_fy)/n_conv)</f>
        <v>0.02</v>
      </c>
    </row>
    <row r="5535" customFormat="false" ht="15" hidden="false" customHeight="false" outlineLevel="0" collapsed="false">
      <c r="A5535" s="0" t="s">
        <v>885</v>
      </c>
      <c r="B5535" s="0" t="s">
        <v>98</v>
      </c>
      <c r="D5535" s="6" t="n">
        <f aca="false">Q!L9</f>
        <v>18.417</v>
      </c>
      <c r="E5535" s="6" t="n">
        <f aca="false">Q!M9</f>
        <v>20.345</v>
      </c>
      <c r="F5535" s="6" t="n">
        <f aca="false">Sens!E5535*(1+Sens!F5536)</f>
        <v>22.3572203267814</v>
      </c>
      <c r="G5535" s="6" t="n">
        <f aca="false">Sens!F5535*(1+Sens!G5536)</f>
        <v>24.4392124437232</v>
      </c>
      <c r="H5535" s="6" t="n">
        <f aca="false">Sens!G5535*(1+Sens!H5536)</f>
        <v>26.5738052080665</v>
      </c>
      <c r="I5535" s="6" t="n">
        <f aca="false">Sens!H5535*(1+Sens!I5536)</f>
        <v>28.7412169166967</v>
      </c>
      <c r="J5535" s="6" t="n">
        <f aca="false">Sens!I5535*(1+Sens!J5536)</f>
        <v>30.9192545395413</v>
      </c>
      <c r="K5535" s="6" t="n">
        <f aca="false">Sens!J5535*(1+Sens!K5536)</f>
        <v>33.0836023573092</v>
      </c>
    </row>
    <row r="5536" customFormat="false" ht="15" hidden="false" customHeight="false" outlineLevel="0" collapsed="false">
      <c r="A5536" s="1" t="s">
        <v>876</v>
      </c>
      <c r="B5536" s="0" t="s">
        <v>129</v>
      </c>
      <c r="E5536" s="7" t="n">
        <f aca="false">Sens!E5535/Sens!D5535-1</f>
        <v>0.104685888038225</v>
      </c>
      <c r="F5536" s="7" t="n">
        <f aca="false">Sens!$E$5536+(glt_ind-Sens!$E$5536)*MIN(1,(Sens!F5486-base_fy)/n_conv)</f>
        <v>0.0989049066985211</v>
      </c>
      <c r="G5536" s="7" t="n">
        <f aca="false">Sens!$E$5536+(glt_ind-Sens!$E$5536)*MIN(1,(Sens!G5486-base_fy)/n_conv)</f>
        <v>0.0931239253588169</v>
      </c>
      <c r="H5536" s="7" t="n">
        <f aca="false">Sens!$E$5536+(glt_ind-Sens!$E$5536)*MIN(1,(Sens!H5486-base_fy)/n_conv)</f>
        <v>0.0873429440191127</v>
      </c>
      <c r="I5536" s="7" t="n">
        <f aca="false">Sens!$E$5536+(glt_ind-Sens!$E$5536)*MIN(1,(Sens!I5486-base_fy)/n_conv)</f>
        <v>0.0815619626794085</v>
      </c>
      <c r="J5536" s="7" t="n">
        <f aca="false">Sens!$E$5536+(glt_ind-Sens!$E$5536)*MIN(1,(Sens!J5486-base_fy)/n_conv)</f>
        <v>0.0757809813397042</v>
      </c>
      <c r="K5536" s="7" t="n">
        <f aca="false">Sens!$E$5536+(glt_ind-Sens!$E$5536)*MIN(1,(Sens!K5486-base_fy)/n_conv)</f>
        <v>0.07</v>
      </c>
    </row>
    <row r="5537" customFormat="false" ht="15" hidden="false" customHeight="false" outlineLevel="0" collapsed="false">
      <c r="A5537" s="0" t="s">
        <v>886</v>
      </c>
      <c r="B5537" s="0" t="s">
        <v>98</v>
      </c>
      <c r="D5537" s="6" t="n">
        <f aca="false">Q!L10</f>
        <v>7.76</v>
      </c>
      <c r="E5537" s="6" t="n">
        <f aca="false">Q!M10</f>
        <v>8.26</v>
      </c>
      <c r="F5537" s="6" t="n">
        <f aca="false">Sens!E5537*(1+Sens!F5538)</f>
        <v>8.79988041237113</v>
      </c>
      <c r="G5537" s="6" t="n">
        <f aca="false">Sens!F5537*(1+Sens!G5538)</f>
        <v>9.38321269125306</v>
      </c>
      <c r="H5537" s="6" t="n">
        <f aca="false">Sens!G5537*(1+Sens!H5538)</f>
        <v>10.0139193587476</v>
      </c>
      <c r="I5537" s="6" t="n">
        <f aca="false">Sens!H5537*(1+Sens!I5538)</f>
        <v>10.6963111830911</v>
      </c>
      <c r="J5537" s="6" t="n">
        <f aca="false">Sens!I5537*(1+Sens!J5538)</f>
        <v>11.4351285534696</v>
      </c>
      <c r="K5537" s="6" t="n">
        <f aca="false">Sens!J5537*(1+Sens!K5538)</f>
        <v>12.2355875522124</v>
      </c>
    </row>
    <row r="5538" customFormat="false" ht="15" hidden="false" customHeight="false" outlineLevel="0" collapsed="false">
      <c r="A5538" s="1" t="s">
        <v>876</v>
      </c>
      <c r="B5538" s="0" t="s">
        <v>129</v>
      </c>
      <c r="E5538" s="7" t="n">
        <f aca="false">Sens!E5537/Sens!D5537-1</f>
        <v>0.0644329896907216</v>
      </c>
      <c r="F5538" s="7" t="n">
        <f aca="false">Sens!$E$5538+(glt_fro-Sens!$E$5538)*MIN(1,(Sens!F5486-base_fy)/n_conv)</f>
        <v>0.065360824742268</v>
      </c>
      <c r="G5538" s="7" t="n">
        <f aca="false">Sens!$E$5538+(glt_fro-Sens!$E$5538)*MIN(1,(Sens!G5486-base_fy)/n_conv)</f>
        <v>0.0662886597938144</v>
      </c>
      <c r="H5538" s="7" t="n">
        <f aca="false">Sens!$E$5538+(glt_fro-Sens!$E$5538)*MIN(1,(Sens!H5486-base_fy)/n_conv)</f>
        <v>0.0672164948453608</v>
      </c>
      <c r="I5538" s="7" t="n">
        <f aca="false">Sens!$E$5538+(glt_fro-Sens!$E$5538)*MIN(1,(Sens!I5486-base_fy)/n_conv)</f>
        <v>0.0681443298969072</v>
      </c>
      <c r="J5538" s="7" t="n">
        <f aca="false">Sens!$E$5538+(glt_fro-Sens!$E$5538)*MIN(1,(Sens!J5486-base_fy)/n_conv)</f>
        <v>0.0690721649484536</v>
      </c>
      <c r="K5538" s="7" t="n">
        <f aca="false">Sens!$E$5538+(glt_fro-Sens!$E$5538)*MIN(1,(Sens!K5486-base_fy)/n_conv)</f>
        <v>0.07</v>
      </c>
    </row>
    <row r="5539" customFormat="false" ht="15" hidden="false" customHeight="false" outlineLevel="0" collapsed="false">
      <c r="A5539" s="0" t="s">
        <v>715</v>
      </c>
      <c r="B5539" s="0" t="s">
        <v>98</v>
      </c>
      <c r="D5539" s="6" t="n">
        <f aca="false">Sens!D5527+Sens!D5532+Sens!D5533+Sens!D5535+Sens!D5537</f>
        <v>218.783</v>
      </c>
      <c r="E5539" s="6" t="n">
        <f aca="false">Sens!E5527+Sens!E5532+Sens!E5533+Sens!E5535+Sens!E5537</f>
        <v>268.127</v>
      </c>
      <c r="F5539" s="6" t="n">
        <f aca="false">Sens!F5527+Sens!F5532+Sens!F5533+Sens!F5535+Sens!F5537</f>
        <v>332.765528251508</v>
      </c>
      <c r="G5539" s="6" t="n">
        <f aca="false">Sens!G5527+Sens!G5532+Sens!G5533+Sens!G5535+Sens!G5537</f>
        <v>403.572123059793</v>
      </c>
      <c r="H5539" s="6" t="n">
        <f aca="false">Sens!H5527+Sens!H5532+Sens!H5533+Sens!H5535+Sens!H5537</f>
        <v>475.696296004025</v>
      </c>
      <c r="I5539" s="6" t="n">
        <f aca="false">Sens!I5527+Sens!I5532+Sens!I5533+Sens!I5535+Sens!I5537</f>
        <v>542.153517626826</v>
      </c>
      <c r="J5539" s="6" t="n">
        <f aca="false">Sens!J5527+Sens!J5532+Sens!J5533+Sens!J5535+Sens!J5537</f>
        <v>596.469049711612</v>
      </c>
      <c r="K5539" s="6" t="n">
        <f aca="false">Sens!K5527+Sens!K5532+Sens!K5533+Sens!K5535+Sens!K5537</f>
        <v>639.627736249452</v>
      </c>
    </row>
    <row r="5540" customFormat="false" ht="15" hidden="false" customHeight="false" outlineLevel="0" collapsed="false">
      <c r="A5540" s="0" t="s">
        <v>887</v>
      </c>
      <c r="B5540" s="0" t="s">
        <v>98</v>
      </c>
      <c r="D5540" s="6" t="n">
        <f aca="false">Q!L13</f>
        <v>22.171</v>
      </c>
      <c r="E5540" s="6" t="n">
        <f aca="false">Q!M13</f>
        <v>24.835</v>
      </c>
      <c r="F5540" s="6" t="n">
        <f aca="false">Sens!E5540*(1+Sens!F5541)</f>
        <v>27.6114901218559</v>
      </c>
      <c r="G5540" s="6" t="n">
        <f aca="false">Sens!F5540*(1+Sens!G5541)</f>
        <v>30.4675667338515</v>
      </c>
      <c r="H5540" s="6" t="n">
        <f aca="false">Sens!G5540*(1+Sens!H5541)</f>
        <v>33.3643766955789</v>
      </c>
      <c r="I5540" s="6" t="n">
        <f aca="false">Sens!H5540*(1+Sens!I5541)</f>
        <v>36.2577016533691</v>
      </c>
      <c r="J5540" s="6" t="n">
        <f aca="false">Sens!I5540*(1+Sens!J5541)</f>
        <v>39.0988367952171</v>
      </c>
      <c r="K5540" s="6" t="n">
        <f aca="false">Sens!J5540*(1+Sens!K5541)</f>
        <v>41.8357553708823</v>
      </c>
    </row>
    <row r="5541" customFormat="false" ht="15" hidden="false" customHeight="false" outlineLevel="0" collapsed="false">
      <c r="A5541" s="1" t="s">
        <v>876</v>
      </c>
      <c r="B5541" s="0" t="s">
        <v>129</v>
      </c>
      <c r="E5541" s="7" t="n">
        <f aca="false">Sens!E5540/Sens!D5540-1</f>
        <v>0.120156961796942</v>
      </c>
      <c r="F5541" s="7" t="n">
        <f aca="false">Sens!$E$5541+(glt_srch-Sens!$E$5541)*MIN(1,(Sens!F5486-base_fy)/n_conv)</f>
        <v>0.111797468164118</v>
      </c>
      <c r="G5541" s="7" t="n">
        <f aca="false">Sens!$E$5541+(glt_srch-Sens!$E$5541)*MIN(1,(Sens!G5486-base_fy)/n_conv)</f>
        <v>0.103437974531295</v>
      </c>
      <c r="H5541" s="7" t="n">
        <f aca="false">Sens!$E$5541+(glt_srch-Sens!$E$5541)*MIN(1,(Sens!H5486-base_fy)/n_conv)</f>
        <v>0.095078480898471</v>
      </c>
      <c r="I5541" s="7" t="n">
        <f aca="false">Sens!$E$5541+(glt_srch-Sens!$E$5541)*MIN(1,(Sens!I5486-base_fy)/n_conv)</f>
        <v>0.0867189872656474</v>
      </c>
      <c r="J5541" s="7" t="n">
        <f aca="false">Sens!$E$5541+(glt_srch-Sens!$E$5541)*MIN(1,(Sens!J5486-base_fy)/n_conv)</f>
        <v>0.0783594936328237</v>
      </c>
      <c r="K5541" s="7" t="n">
        <f aca="false">Sens!$E$5541+(glt_srch-Sens!$E$5541)*MIN(1,(Sens!K5486-base_fy)/n_conv)</f>
        <v>0.07</v>
      </c>
    </row>
    <row r="5542" customFormat="false" ht="15" hidden="false" customHeight="false" outlineLevel="0" collapsed="false">
      <c r="A5542" s="0" t="s">
        <v>888</v>
      </c>
      <c r="B5542" s="0" t="s">
        <v>98</v>
      </c>
      <c r="D5542" s="6" t="n">
        <f aca="false">Q!L14</f>
        <v>23.455</v>
      </c>
      <c r="E5542" s="6" t="n">
        <f aca="false">Q!M14</f>
        <v>21.79</v>
      </c>
      <c r="F5542" s="6" t="n">
        <f aca="false">Sens!E5542*(1+Sens!F5543)</f>
        <v>20.5736277908051</v>
      </c>
      <c r="G5542" s="6" t="n">
        <f aca="false">Sens!F5542*(1+Sens!G5543)</f>
        <v>19.7371452817919</v>
      </c>
      <c r="H5542" s="6" t="n">
        <f aca="false">Sens!G5542*(1+Sens!H5543)</f>
        <v>19.2339764043138</v>
      </c>
      <c r="I5542" s="6" t="n">
        <f aca="false">Sens!H5542*(1+Sens!I5543)</f>
        <v>19.0353086852681</v>
      </c>
      <c r="J5542" s="6" t="n">
        <f aca="false">Sens!I5542*(1+Sens!J5543)</f>
        <v>19.1273539319129</v>
      </c>
      <c r="K5542" s="6" t="n">
        <f aca="false">Sens!J5542*(1+Sens!K5543)</f>
        <v>19.5099010105511</v>
      </c>
    </row>
    <row r="5543" customFormat="false" ht="15" hidden="false" customHeight="false" outlineLevel="0" collapsed="false">
      <c r="A5543" s="1" t="s">
        <v>876</v>
      </c>
      <c r="B5543" s="0" t="s">
        <v>129</v>
      </c>
      <c r="E5543" s="7" t="n">
        <f aca="false">Sens!E5542/Sens!D5542-1</f>
        <v>-0.0709869963760392</v>
      </c>
      <c r="F5543" s="7" t="n">
        <f aca="false">Sens!$E$5543+(glt_xbox-Sens!$E$5543)*MIN(1,(Sens!F5486-base_fy)/n_conv)</f>
        <v>-0.0558224969800327</v>
      </c>
      <c r="G5543" s="7" t="n">
        <f aca="false">Sens!$E$5543+(glt_xbox-Sens!$E$5543)*MIN(1,(Sens!G5486-base_fy)/n_conv)</f>
        <v>-0.0406579975840262</v>
      </c>
      <c r="H5543" s="7" t="n">
        <f aca="false">Sens!$E$5543+(glt_xbox-Sens!$E$5543)*MIN(1,(Sens!H5486-base_fy)/n_conv)</f>
        <v>-0.0254934981880196</v>
      </c>
      <c r="I5543" s="7" t="n">
        <f aca="false">Sens!$E$5543+(glt_xbox-Sens!$E$5543)*MIN(1,(Sens!I5486-base_fy)/n_conv)</f>
        <v>-0.0103289987920131</v>
      </c>
      <c r="J5543" s="7" t="n">
        <f aca="false">Sens!$E$5543+(glt_xbox-Sens!$E$5543)*MIN(1,(Sens!J5486-base_fy)/n_conv)</f>
        <v>0.00483550060399347</v>
      </c>
      <c r="K5543" s="7" t="n">
        <f aca="false">Sens!$E$5543+(glt_xbox-Sens!$E$5543)*MIN(1,(Sens!K5486-base_fy)/n_conv)</f>
        <v>0.02</v>
      </c>
    </row>
    <row r="5544" customFormat="false" ht="15" hidden="false" customHeight="false" outlineLevel="0" collapsed="false">
      <c r="A5544" s="0" t="s">
        <v>889</v>
      </c>
      <c r="B5544" s="0" t="s">
        <v>98</v>
      </c>
      <c r="D5544" s="6" t="n">
        <f aca="false">Q!L15</f>
        <v>17.315</v>
      </c>
      <c r="E5544" s="6" t="n">
        <f aca="false">Q!M15</f>
        <v>17.087</v>
      </c>
      <c r="F5544" s="6" t="n">
        <f aca="false">Sens!E5544*(1+Sens!F5545)</f>
        <v>16.9564585436519</v>
      </c>
      <c r="G5544" s="6" t="n">
        <f aca="false">Sens!F5544*(1+Sens!G5545)</f>
        <v>16.9206490624268</v>
      </c>
      <c r="H5544" s="6" t="n">
        <f aca="false">Sens!G5544*(1+Sens!H5545)</f>
        <v>16.9784519149849</v>
      </c>
      <c r="I5544" s="6" t="n">
        <f aca="false">Sens!H5544*(1+Sens!I5545)</f>
        <v>17.1303084701817</v>
      </c>
      <c r="J5544" s="6" t="n">
        <f aca="false">Sens!I5544*(1+Sens!J5545)</f>
        <v>17.3782189407267</v>
      </c>
      <c r="K5544" s="6" t="n">
        <f aca="false">Sens!J5544*(1+Sens!K5545)</f>
        <v>17.7257833195413</v>
      </c>
    </row>
    <row r="5545" customFormat="false" ht="15" hidden="false" customHeight="false" outlineLevel="0" collapsed="false">
      <c r="A5545" s="1" t="s">
        <v>876</v>
      </c>
      <c r="B5545" s="0" t="s">
        <v>129</v>
      </c>
      <c r="E5545" s="7" t="n">
        <f aca="false">Sens!E5544/Sens!D5544-1</f>
        <v>-0.0131677736066995</v>
      </c>
      <c r="F5545" s="7" t="n">
        <f aca="false">Sens!$E$5545+(glt_win-Sens!$E$5545)*MIN(1,(Sens!F5486-base_fy)/n_conv)</f>
        <v>-0.00763981133891627</v>
      </c>
      <c r="G5545" s="7" t="n">
        <f aca="false">Sens!$E$5545+(glt_win-Sens!$E$5545)*MIN(1,(Sens!G5486-base_fy)/n_conv)</f>
        <v>-0.00211184907113301</v>
      </c>
      <c r="H5545" s="7" t="n">
        <f aca="false">Sens!$E$5545+(glt_win-Sens!$E$5545)*MIN(1,(Sens!H5486-base_fy)/n_conv)</f>
        <v>0.00341611319665024</v>
      </c>
      <c r="I5545" s="7" t="n">
        <f aca="false">Sens!$E$5545+(glt_win-Sens!$E$5545)*MIN(1,(Sens!I5486-base_fy)/n_conv)</f>
        <v>0.00894407546443349</v>
      </c>
      <c r="J5545" s="7" t="n">
        <f aca="false">Sens!$E$5545+(glt_win-Sens!$E$5545)*MIN(1,(Sens!J5486-base_fy)/n_conv)</f>
        <v>0.0144720377322168</v>
      </c>
      <c r="K5545" s="7" t="n">
        <f aca="false">Sens!$E$5545+(glt_win-Sens!$E$5545)*MIN(1,(Sens!K5486-base_fy)/n_conv)</f>
        <v>0.02</v>
      </c>
    </row>
    <row r="5546" customFormat="false" ht="15" hidden="false" customHeight="false" outlineLevel="0" collapsed="false">
      <c r="A5546" s="0" t="s">
        <v>729</v>
      </c>
      <c r="B5546" s="0" t="s">
        <v>98</v>
      </c>
      <c r="D5546" s="6" t="n">
        <f aca="false">Sens!D5540+Sens!D5542+Sens!D5544</f>
        <v>62.941</v>
      </c>
      <c r="E5546" s="6" t="n">
        <f aca="false">Sens!E5540+Sens!E5542+Sens!E5544</f>
        <v>63.712</v>
      </c>
      <c r="F5546" s="6" t="n">
        <f aca="false">Sens!F5540+Sens!F5542+Sens!F5544</f>
        <v>65.1415764563129</v>
      </c>
      <c r="G5546" s="6" t="n">
        <f aca="false">Sens!G5540+Sens!G5542+Sens!G5544</f>
        <v>67.1253610780702</v>
      </c>
      <c r="H5546" s="6" t="n">
        <f aca="false">Sens!H5540+Sens!H5542+Sens!H5544</f>
        <v>69.5768050148776</v>
      </c>
      <c r="I5546" s="6" t="n">
        <f aca="false">Sens!I5540+Sens!I5542+Sens!I5544</f>
        <v>72.4233188088189</v>
      </c>
      <c r="J5546" s="6" t="n">
        <f aca="false">Sens!J5540+Sens!J5542+Sens!J5544</f>
        <v>75.6044096678567</v>
      </c>
      <c r="K5546" s="6" t="n">
        <f aca="false">Sens!K5540+Sens!K5542+Sens!K5544</f>
        <v>79.0714397009747</v>
      </c>
    </row>
    <row r="5547" customFormat="false" ht="15" hidden="false" customHeight="false" outlineLevel="0" collapsed="false">
      <c r="A5547" s="1" t="s">
        <v>890</v>
      </c>
      <c r="B5547" s="0" t="s">
        <v>98</v>
      </c>
      <c r="D5547" s="6" t="n">
        <f aca="false">Sens!D5539+Sens!D5546</f>
        <v>281.724</v>
      </c>
      <c r="E5547" s="6" t="n">
        <f aca="false">Sens!E5539+Sens!E5546</f>
        <v>331.839</v>
      </c>
      <c r="F5547" s="6" t="n">
        <f aca="false">Sens!F5539+Sens!F5546</f>
        <v>397.907104707821</v>
      </c>
      <c r="G5547" s="6" t="n">
        <f aca="false">Sens!G5539+Sens!G5546</f>
        <v>470.697484137863</v>
      </c>
      <c r="H5547" s="6" t="n">
        <f aca="false">Sens!H5539+Sens!H5546</f>
        <v>545.273101018903</v>
      </c>
      <c r="I5547" s="6" t="n">
        <f aca="false">Sens!I5539+Sens!I5546</f>
        <v>614.576836435645</v>
      </c>
      <c r="J5547" s="6" t="n">
        <f aca="false">Sens!J5539+Sens!J5546</f>
        <v>672.073459379469</v>
      </c>
      <c r="K5547" s="6" t="n">
        <f aca="false">Sens!K5539+Sens!K5546</f>
        <v>718.699175950427</v>
      </c>
    </row>
    <row r="5548" customFormat="false" ht="15" hidden="false" customHeight="false" outlineLevel="0" collapsed="false">
      <c r="A5548" s="23" t="s">
        <v>891</v>
      </c>
      <c r="B5548" s="30" t="s">
        <v>98</v>
      </c>
      <c r="C5548" s="30"/>
      <c r="D5548" s="24" t="n">
        <f aca="false">(Sens!D5527+Sens!D5532+Sens!D5533+Sens!D5535+Sens!D5537-Sens!D5539)+(Sens!D5540+Sens!D5542+Sens!D5544-Sens!D5546)+(Sens!D5539-Q!L5)+(Sens!D5546-Q!L12)+(Sens!D5527-Q!L6)+(Sens!D5532-Q!L7)</f>
        <v>0</v>
      </c>
      <c r="E5548" s="24" t="n">
        <f aca="false">(Sens!E5527+Sens!E5532+Sens!E5533+Sens!E5535+Sens!E5537-Sens!E5539)+(Sens!E5540+Sens!E5542+Sens!E5544-Sens!E5546)+(Sens!E5539-Q!M5)+(Sens!E5546-Q!M12)+(Sens!E5527-Q!M6)+(Sens!E5532-Q!M7)</f>
        <v>0</v>
      </c>
      <c r="F5548" s="24" t="n">
        <f aca="false">(Sens!F5527+Sens!F5532+Sens!F5533+Sens!F5535+Sens!F5537-Sens!F5539)+(Sens!F5540+Sens!F5542+Sens!F5544-Sens!F5546)</f>
        <v>0</v>
      </c>
      <c r="G5548" s="24" t="n">
        <f aca="false">(Sens!G5527+Sens!G5532+Sens!G5533+Sens!G5535+Sens!G5537-Sens!G5539)+(Sens!G5540+Sens!G5542+Sens!G5544-Sens!G5546)</f>
        <v>0</v>
      </c>
      <c r="H5548" s="24" t="n">
        <f aca="false">(Sens!H5527+Sens!H5532+Sens!H5533+Sens!H5535+Sens!H5537-Sens!H5539)+(Sens!H5540+Sens!H5542+Sens!H5544-Sens!H5546)</f>
        <v>0</v>
      </c>
      <c r="I5548" s="24" t="n">
        <f aca="false">(Sens!I5527+Sens!I5532+Sens!I5533+Sens!I5535+Sens!I5537-Sens!I5539)+(Sens!I5540+Sens!I5542+Sens!I5544-Sens!I5546)</f>
        <v>0</v>
      </c>
      <c r="J5548" s="24" t="n">
        <f aca="false">(Sens!J5527+Sens!J5532+Sens!J5533+Sens!J5535+Sens!J5537-Sens!J5539)+(Sens!J5540+Sens!J5542+Sens!J5544-Sens!J5546)</f>
        <v>0</v>
      </c>
      <c r="K5548" s="24" t="n">
        <f aca="false">(Sens!K5527+Sens!K5532+Sens!K5533+Sens!K5535+Sens!K5537-Sens!K5539)+(Sens!K5540+Sens!K5542+Sens!K5544-Sens!K5546)</f>
        <v>0</v>
      </c>
    </row>
    <row r="5549" customFormat="false" ht="17.15" hidden="false" customHeight="false" outlineLevel="0" collapsed="false">
      <c r="A5549" s="3" t="s">
        <v>1404</v>
      </c>
    </row>
    <row r="5550" customFormat="false" ht="15" hidden="false" customHeight="false" outlineLevel="0" collapsed="false">
      <c r="A5550" s="4" t="s">
        <v>43</v>
      </c>
      <c r="B5550" s="4" t="s">
        <v>65</v>
      </c>
      <c r="C5550" s="20" t="s">
        <v>799</v>
      </c>
      <c r="D5550" s="20" t="s">
        <v>800</v>
      </c>
      <c r="E5550" s="20" t="s">
        <v>801</v>
      </c>
      <c r="F5550" s="20" t="s">
        <v>802</v>
      </c>
      <c r="G5550" s="20" t="s">
        <v>803</v>
      </c>
      <c r="H5550" s="20" t="s">
        <v>804</v>
      </c>
      <c r="I5550" s="20" t="s">
        <v>805</v>
      </c>
      <c r="J5550" s="20" t="s">
        <v>806</v>
      </c>
      <c r="K5550" s="20" t="s">
        <v>807</v>
      </c>
      <c r="L5550" s="4" t="s">
        <v>47</v>
      </c>
    </row>
    <row r="5551" customFormat="false" ht="15" hidden="false" customHeight="false" outlineLevel="0" collapsed="false">
      <c r="A5551" s="0" t="s">
        <v>877</v>
      </c>
      <c r="B5551" s="0" t="s">
        <v>98</v>
      </c>
      <c r="D5551" s="6" t="n">
        <f aca="false">Sens!D5527</f>
        <v>72.61</v>
      </c>
      <c r="E5551" s="6" t="n">
        <f aca="false">Sens!E5527</f>
        <v>101.938</v>
      </c>
      <c r="F5551" s="6" t="n">
        <f aca="false">Sens!F5527</f>
        <v>145.143956312325</v>
      </c>
      <c r="G5551" s="6" t="n">
        <f aca="false">Sens!G5527</f>
        <v>196.478966522364</v>
      </c>
      <c r="H5551" s="6" t="n">
        <f aca="false">Sens!H5527</f>
        <v>249.10761332251</v>
      </c>
      <c r="I5551" s="6" t="n">
        <f aca="false">Sens!I5527</f>
        <v>297.09216264734</v>
      </c>
      <c r="J5551" s="6" t="n">
        <f aca="false">Sens!J5527</f>
        <v>334.278152607443</v>
      </c>
      <c r="K5551" s="6" t="n">
        <f aca="false">Sens!K5527</f>
        <v>361.233666909276</v>
      </c>
    </row>
    <row r="5552" customFormat="false" ht="17.15" hidden="false" customHeight="false" outlineLevel="0" collapsed="false">
      <c r="A5552" s="0" t="s">
        <v>874</v>
      </c>
      <c r="B5552" s="0" t="s">
        <v>98</v>
      </c>
      <c r="D5552" s="6" t="n">
        <f aca="false">Sens!D5524</f>
        <v>12.9359794422418</v>
      </c>
      <c r="E5552" s="6" t="n">
        <f aca="false">Sens!E5524</f>
        <v>27.8095064661409</v>
      </c>
      <c r="F5552" s="6" t="n">
        <f aca="false">Sens!F5524</f>
        <v>55.0640065749585</v>
      </c>
      <c r="G5552" s="6" t="n">
        <f aca="false">Sens!G5524</f>
        <v>89.4505413190538</v>
      </c>
      <c r="H5552" s="6" t="n">
        <f aca="false">Sens!H5524</f>
        <v>124.835630736874</v>
      </c>
      <c r="I5552" s="6" t="n">
        <f aca="false">Sens!I5524</f>
        <v>156.158460265485</v>
      </c>
      <c r="J5552" s="6" t="n">
        <f aca="false">Sens!J5524</f>
        <v>178.259285293112</v>
      </c>
      <c r="K5552" s="6" t="n">
        <f aca="false">Sens!K5524</f>
        <v>192.733290209798</v>
      </c>
    </row>
    <row r="5553" customFormat="false" ht="17.15" hidden="false" customHeight="false" outlineLevel="0" collapsed="false">
      <c r="A5553" s="0" t="s">
        <v>902</v>
      </c>
      <c r="B5553" s="0" t="s">
        <v>98</v>
      </c>
      <c r="D5553" s="6" t="n">
        <f aca="false">Sens!D5525</f>
        <v>59.6740205577583</v>
      </c>
      <c r="E5553" s="6" t="n">
        <f aca="false">Sens!E5525</f>
        <v>74.1284935338591</v>
      </c>
      <c r="F5553" s="6" t="n">
        <f aca="false">Sens!F5525</f>
        <v>90.0799497373663</v>
      </c>
      <c r="G5553" s="6" t="n">
        <f aca="false">Sens!G5525</f>
        <v>107.02842520331</v>
      </c>
      <c r="H5553" s="6" t="n">
        <f aca="false">Sens!H5525</f>
        <v>124.271982585636</v>
      </c>
      <c r="I5553" s="6" t="n">
        <f aca="false">Sens!I5525</f>
        <v>140.933702381855</v>
      </c>
      <c r="J5553" s="6" t="n">
        <f aca="false">Sens!J5525</f>
        <v>156.018867314332</v>
      </c>
      <c r="K5553" s="6" t="n">
        <f aca="false">Sens!K5525</f>
        <v>168.500376699478</v>
      </c>
    </row>
    <row r="5554" customFormat="false" ht="15" hidden="false" customHeight="false" outlineLevel="0" collapsed="false">
      <c r="A5554" s="0" t="s">
        <v>883</v>
      </c>
      <c r="B5554" s="0" t="s">
        <v>98</v>
      </c>
      <c r="D5554" s="6" t="n">
        <f aca="false">Sens!D5532</f>
        <v>84.605</v>
      </c>
      <c r="E5554" s="6" t="n">
        <f aca="false">Sens!E5532</f>
        <v>100.299</v>
      </c>
      <c r="F5554" s="6" t="n">
        <f aca="false">Sens!F5532</f>
        <v>117.39238776686</v>
      </c>
      <c r="G5554" s="6" t="n">
        <f aca="false">Sens!G5532</f>
        <v>132.544168448684</v>
      </c>
      <c r="H5554" s="6" t="n">
        <f aca="false">Sens!H5532</f>
        <v>147.777359388781</v>
      </c>
      <c r="I5554" s="6" t="n">
        <f aca="false">Sens!I5532</f>
        <v>162.084028071957</v>
      </c>
      <c r="J5554" s="6" t="n">
        <f aca="false">Sens!J5532</f>
        <v>175.182702785465</v>
      </c>
      <c r="K5554" s="6" t="n">
        <f aca="false">Sens!K5532</f>
        <v>187.527991980448</v>
      </c>
    </row>
    <row r="5555" customFormat="false" ht="17.15" hidden="false" customHeight="false" outlineLevel="0" collapsed="false">
      <c r="A5555" s="0" t="s">
        <v>903</v>
      </c>
      <c r="B5555" s="0" t="s">
        <v>98</v>
      </c>
      <c r="D5555" s="6" t="n">
        <f aca="false">Sens!D5530</f>
        <v>83.705</v>
      </c>
      <c r="E5555" s="6" t="n">
        <f aca="false">Sens!E5530</f>
        <v>95.049</v>
      </c>
      <c r="F5555" s="6" t="n">
        <f aca="false">Sens!F5530</f>
        <v>106.89238776686</v>
      </c>
      <c r="G5555" s="6" t="n">
        <f aca="false">Sens!G5530</f>
        <v>119.044168448684</v>
      </c>
      <c r="H5555" s="6" t="n">
        <f aca="false">Sens!H5530</f>
        <v>131.277359388781</v>
      </c>
      <c r="I5555" s="6" t="n">
        <f aca="false">Sens!I5530</f>
        <v>143.334028071957</v>
      </c>
      <c r="J5555" s="6" t="n">
        <f aca="false">Sens!J5530</f>
        <v>154.932702785465</v>
      </c>
      <c r="K5555" s="6" t="n">
        <f aca="false">Sens!K5530</f>
        <v>165.777991980448</v>
      </c>
    </row>
    <row r="5556" customFormat="false" ht="17.15" hidden="false" customHeight="false" outlineLevel="0" collapsed="false">
      <c r="A5556" s="0" t="s">
        <v>904</v>
      </c>
      <c r="B5556" s="0" t="s">
        <v>98</v>
      </c>
      <c r="D5556" s="6" t="n">
        <f aca="false">Sens!D5529</f>
        <v>0.9</v>
      </c>
      <c r="E5556" s="6" t="n">
        <f aca="false">Sens!E5529</f>
        <v>5.25</v>
      </c>
      <c r="F5556" s="6" t="n">
        <f aca="false">Sens!F5529</f>
        <v>10.5</v>
      </c>
      <c r="G5556" s="6" t="n">
        <f aca="false">Sens!G5529</f>
        <v>13.5</v>
      </c>
      <c r="H5556" s="6" t="n">
        <f aca="false">Sens!H5529</f>
        <v>16.5</v>
      </c>
      <c r="I5556" s="6" t="n">
        <f aca="false">Sens!I5529</f>
        <v>18.75</v>
      </c>
      <c r="J5556" s="6" t="n">
        <f aca="false">Sens!J5529</f>
        <v>20.25</v>
      </c>
      <c r="K5556" s="6" t="n">
        <f aca="false">Sens!K5529</f>
        <v>21.75</v>
      </c>
    </row>
    <row r="5557" customFormat="false" ht="15" hidden="false" customHeight="false" outlineLevel="0" collapsed="false">
      <c r="A5557" s="0" t="s">
        <v>884</v>
      </c>
      <c r="B5557" s="0" t="s">
        <v>98</v>
      </c>
      <c r="D5557" s="6" t="n">
        <f aca="false">Sens!D5533</f>
        <v>35.391</v>
      </c>
      <c r="E5557" s="6" t="n">
        <f aca="false">Sens!E5533</f>
        <v>37.285</v>
      </c>
      <c r="F5557" s="6" t="n">
        <f aca="false">Sens!F5533</f>
        <v>39.0720834331704</v>
      </c>
      <c r="G5557" s="6" t="n">
        <f aca="false">Sens!G5533</f>
        <v>40.726562953769</v>
      </c>
      <c r="H5557" s="6" t="n">
        <f aca="false">Sens!H5533</f>
        <v>42.2235987259198</v>
      </c>
      <c r="I5557" s="6" t="n">
        <f aca="false">Sens!I5533</f>
        <v>43.5397988077414</v>
      </c>
      <c r="J5557" s="6" t="n">
        <f aca="false">Sens!J5533</f>
        <v>44.653811225693</v>
      </c>
      <c r="K5557" s="6" t="n">
        <f aca="false">Sens!K5533</f>
        <v>45.5468874502068</v>
      </c>
    </row>
    <row r="5558" customFormat="false" ht="15" hidden="false" customHeight="false" outlineLevel="0" collapsed="false">
      <c r="A5558" s="0" t="s">
        <v>885</v>
      </c>
      <c r="B5558" s="0" t="s">
        <v>98</v>
      </c>
      <c r="D5558" s="6" t="n">
        <f aca="false">Sens!D5535</f>
        <v>18.417</v>
      </c>
      <c r="E5558" s="6" t="n">
        <f aca="false">Sens!E5535</f>
        <v>20.345</v>
      </c>
      <c r="F5558" s="6" t="n">
        <f aca="false">Sens!F5535</f>
        <v>22.3572203267814</v>
      </c>
      <c r="G5558" s="6" t="n">
        <f aca="false">Sens!G5535</f>
        <v>24.4392124437232</v>
      </c>
      <c r="H5558" s="6" t="n">
        <f aca="false">Sens!H5535</f>
        <v>26.5738052080665</v>
      </c>
      <c r="I5558" s="6" t="n">
        <f aca="false">Sens!I5535</f>
        <v>28.7412169166967</v>
      </c>
      <c r="J5558" s="6" t="n">
        <f aca="false">Sens!J5535</f>
        <v>30.9192545395413</v>
      </c>
      <c r="K5558" s="6" t="n">
        <f aca="false">Sens!K5535</f>
        <v>33.0836023573092</v>
      </c>
    </row>
    <row r="5559" customFormat="false" ht="15" hidden="false" customHeight="false" outlineLevel="0" collapsed="false">
      <c r="A5559" s="0" t="s">
        <v>886</v>
      </c>
      <c r="B5559" s="0" t="s">
        <v>98</v>
      </c>
      <c r="D5559" s="6" t="n">
        <f aca="false">Sens!D5537</f>
        <v>7.76</v>
      </c>
      <c r="E5559" s="6" t="n">
        <f aca="false">Sens!E5537</f>
        <v>8.26</v>
      </c>
      <c r="F5559" s="6" t="n">
        <f aca="false">Sens!F5537</f>
        <v>8.79988041237113</v>
      </c>
      <c r="G5559" s="6" t="n">
        <f aca="false">Sens!G5537</f>
        <v>9.38321269125306</v>
      </c>
      <c r="H5559" s="6" t="n">
        <f aca="false">Sens!H5537</f>
        <v>10.0139193587476</v>
      </c>
      <c r="I5559" s="6" t="n">
        <f aca="false">Sens!I5537</f>
        <v>10.6963111830911</v>
      </c>
      <c r="J5559" s="6" t="n">
        <f aca="false">Sens!J5537</f>
        <v>11.4351285534696</v>
      </c>
      <c r="K5559" s="6" t="n">
        <f aca="false">Sens!K5537</f>
        <v>12.2355875522124</v>
      </c>
    </row>
    <row r="5560" customFormat="false" ht="15" hidden="false" customHeight="false" outlineLevel="0" collapsed="false">
      <c r="A5560" s="0" t="s">
        <v>715</v>
      </c>
      <c r="B5560" s="0" t="s">
        <v>98</v>
      </c>
      <c r="D5560" s="6" t="n">
        <f aca="false">Sens!D5539</f>
        <v>218.783</v>
      </c>
      <c r="E5560" s="6" t="n">
        <f aca="false">Sens!E5539</f>
        <v>268.127</v>
      </c>
      <c r="F5560" s="6" t="n">
        <f aca="false">Sens!F5539</f>
        <v>332.765528251508</v>
      </c>
      <c r="G5560" s="6" t="n">
        <f aca="false">Sens!G5539</f>
        <v>403.572123059793</v>
      </c>
      <c r="H5560" s="6" t="n">
        <f aca="false">Sens!H5539</f>
        <v>475.696296004025</v>
      </c>
      <c r="I5560" s="6" t="n">
        <f aca="false">Sens!I5539</f>
        <v>542.153517626826</v>
      </c>
      <c r="J5560" s="6" t="n">
        <f aca="false">Sens!J5539</f>
        <v>596.469049711612</v>
      </c>
      <c r="K5560" s="6" t="n">
        <f aca="false">Sens!K5539</f>
        <v>639.627736249452</v>
      </c>
    </row>
    <row r="5561" customFormat="false" ht="15" hidden="false" customHeight="false" outlineLevel="0" collapsed="false">
      <c r="A5561" s="0" t="s">
        <v>887</v>
      </c>
      <c r="B5561" s="0" t="s">
        <v>98</v>
      </c>
      <c r="D5561" s="6" t="n">
        <f aca="false">Sens!D5540</f>
        <v>22.171</v>
      </c>
      <c r="E5561" s="6" t="n">
        <f aca="false">Sens!E5540</f>
        <v>24.835</v>
      </c>
      <c r="F5561" s="6" t="n">
        <f aca="false">Sens!F5540</f>
        <v>27.6114901218559</v>
      </c>
      <c r="G5561" s="6" t="n">
        <f aca="false">Sens!G5540</f>
        <v>30.4675667338515</v>
      </c>
      <c r="H5561" s="6" t="n">
        <f aca="false">Sens!H5540</f>
        <v>33.3643766955789</v>
      </c>
      <c r="I5561" s="6" t="n">
        <f aca="false">Sens!I5540</f>
        <v>36.2577016533691</v>
      </c>
      <c r="J5561" s="6" t="n">
        <f aca="false">Sens!J5540</f>
        <v>39.0988367952171</v>
      </c>
      <c r="K5561" s="6" t="n">
        <f aca="false">Sens!K5540</f>
        <v>41.8357553708823</v>
      </c>
    </row>
    <row r="5562" customFormat="false" ht="15" hidden="false" customHeight="false" outlineLevel="0" collapsed="false">
      <c r="A5562" s="0" t="s">
        <v>888</v>
      </c>
      <c r="B5562" s="0" t="s">
        <v>98</v>
      </c>
      <c r="D5562" s="6" t="n">
        <f aca="false">Sens!D5542</f>
        <v>23.455</v>
      </c>
      <c r="E5562" s="6" t="n">
        <f aca="false">Sens!E5542</f>
        <v>21.79</v>
      </c>
      <c r="F5562" s="6" t="n">
        <f aca="false">Sens!F5542</f>
        <v>20.5736277908051</v>
      </c>
      <c r="G5562" s="6" t="n">
        <f aca="false">Sens!G5542</f>
        <v>19.7371452817919</v>
      </c>
      <c r="H5562" s="6" t="n">
        <f aca="false">Sens!H5542</f>
        <v>19.2339764043138</v>
      </c>
      <c r="I5562" s="6" t="n">
        <f aca="false">Sens!I5542</f>
        <v>19.0353086852681</v>
      </c>
      <c r="J5562" s="6" t="n">
        <f aca="false">Sens!J5542</f>
        <v>19.1273539319129</v>
      </c>
      <c r="K5562" s="6" t="n">
        <f aca="false">Sens!K5542</f>
        <v>19.5099010105511</v>
      </c>
    </row>
    <row r="5563" customFormat="false" ht="15" hidden="false" customHeight="false" outlineLevel="0" collapsed="false">
      <c r="A5563" s="0" t="s">
        <v>889</v>
      </c>
      <c r="B5563" s="0" t="s">
        <v>98</v>
      </c>
      <c r="D5563" s="6" t="n">
        <f aca="false">Sens!D5544</f>
        <v>17.315</v>
      </c>
      <c r="E5563" s="6" t="n">
        <f aca="false">Sens!E5544</f>
        <v>17.087</v>
      </c>
      <c r="F5563" s="6" t="n">
        <f aca="false">Sens!F5544</f>
        <v>16.9564585436519</v>
      </c>
      <c r="G5563" s="6" t="n">
        <f aca="false">Sens!G5544</f>
        <v>16.9206490624268</v>
      </c>
      <c r="H5563" s="6" t="n">
        <f aca="false">Sens!H5544</f>
        <v>16.9784519149849</v>
      </c>
      <c r="I5563" s="6" t="n">
        <f aca="false">Sens!I5544</f>
        <v>17.1303084701817</v>
      </c>
      <c r="J5563" s="6" t="n">
        <f aca="false">Sens!J5544</f>
        <v>17.3782189407267</v>
      </c>
      <c r="K5563" s="6" t="n">
        <f aca="false">Sens!K5544</f>
        <v>17.7257833195413</v>
      </c>
    </row>
    <row r="5564" customFormat="false" ht="15" hidden="false" customHeight="false" outlineLevel="0" collapsed="false">
      <c r="A5564" s="0" t="s">
        <v>729</v>
      </c>
      <c r="B5564" s="0" t="s">
        <v>98</v>
      </c>
      <c r="D5564" s="6" t="n">
        <f aca="false">Sens!D5546</f>
        <v>62.941</v>
      </c>
      <c r="E5564" s="6" t="n">
        <f aca="false">Sens!E5546</f>
        <v>63.712</v>
      </c>
      <c r="F5564" s="6" t="n">
        <f aca="false">Sens!F5546</f>
        <v>65.1415764563129</v>
      </c>
      <c r="G5564" s="6" t="n">
        <f aca="false">Sens!G5546</f>
        <v>67.1253610780702</v>
      </c>
      <c r="H5564" s="6" t="n">
        <f aca="false">Sens!H5546</f>
        <v>69.5768050148776</v>
      </c>
      <c r="I5564" s="6" t="n">
        <f aca="false">Sens!I5546</f>
        <v>72.4233188088189</v>
      </c>
      <c r="J5564" s="6" t="n">
        <f aca="false">Sens!J5546</f>
        <v>75.6044096678567</v>
      </c>
      <c r="K5564" s="6" t="n">
        <f aca="false">Sens!K5546</f>
        <v>79.0714397009747</v>
      </c>
    </row>
    <row r="5565" customFormat="false" ht="15" hidden="false" customHeight="false" outlineLevel="0" collapsed="false">
      <c r="A5565" s="1" t="s">
        <v>905</v>
      </c>
      <c r="B5565" s="0" t="s">
        <v>98</v>
      </c>
      <c r="D5565" s="6" t="n">
        <f aca="false">Sens!D5547</f>
        <v>281.724</v>
      </c>
      <c r="E5565" s="6" t="n">
        <f aca="false">Sens!E5547</f>
        <v>331.839</v>
      </c>
      <c r="F5565" s="6" t="n">
        <f aca="false">Sens!F5547</f>
        <v>397.907104707821</v>
      </c>
      <c r="G5565" s="6" t="n">
        <f aca="false">Sens!G5547</f>
        <v>470.697484137863</v>
      </c>
      <c r="H5565" s="6" t="n">
        <f aca="false">Sens!H5547</f>
        <v>545.273101018903</v>
      </c>
      <c r="I5565" s="6" t="n">
        <f aca="false">Sens!I5547</f>
        <v>614.576836435645</v>
      </c>
      <c r="J5565" s="6" t="n">
        <f aca="false">Sens!J5547</f>
        <v>672.073459379469</v>
      </c>
      <c r="K5565" s="6" t="n">
        <f aca="false">Sens!K5547</f>
        <v>718.699175950427</v>
      </c>
    </row>
    <row r="5566" customFormat="false" ht="15" hidden="false" customHeight="false" outlineLevel="0" collapsed="false">
      <c r="A5566" s="1" t="s">
        <v>906</v>
      </c>
      <c r="B5566" s="0" t="s">
        <v>129</v>
      </c>
      <c r="E5566" s="7" t="n">
        <f aca="false">Sens!E5565/Sens!D5565-1</f>
        <v>0.177886867998467</v>
      </c>
      <c r="F5566" s="7" t="n">
        <f aca="false">Sens!F5565/Sens!E5565-1</f>
        <v>0.199096865370919</v>
      </c>
      <c r="G5566" s="7" t="n">
        <f aca="false">Sens!G5565/Sens!F5565-1</f>
        <v>0.182933098124729</v>
      </c>
      <c r="H5566" s="7" t="n">
        <f aca="false">Sens!H5565/Sens!G5565-1</f>
        <v>0.158436404260017</v>
      </c>
      <c r="I5566" s="7" t="n">
        <f aca="false">Sens!I5565/Sens!H5565-1</f>
        <v>0.127099127551387</v>
      </c>
      <c r="J5566" s="7" t="n">
        <f aca="false">Sens!J5565/Sens!I5565-1</f>
        <v>0.0935548161516904</v>
      </c>
      <c r="K5566" s="7" t="n">
        <f aca="false">Sens!K5565/Sens!J5565-1</f>
        <v>0.0693759230040236</v>
      </c>
    </row>
    <row r="5567" customFormat="false" ht="17.15" hidden="false" customHeight="false" outlineLevel="0" collapsed="false">
      <c r="A5567" s="23" t="s">
        <v>907</v>
      </c>
      <c r="B5567" s="30" t="s">
        <v>98</v>
      </c>
      <c r="C5567" s="30"/>
      <c r="D5567" s="24" t="n">
        <f aca="false">(Sens!D5560+Sens!D5564-Sens!D5565)+(Sens!D5552+Sens!D5553-Sens!D5551)+(Sens!D5555+Sens!D5556-Sens!D5554)+(Sens!D5565-Q!L18)</f>
        <v>0</v>
      </c>
      <c r="E5567" s="24" t="n">
        <f aca="false">(Sens!E5560+Sens!E5564-Sens!E5565)+(Sens!E5552+Sens!E5553-Sens!E5551)+(Sens!E5555+Sens!E5556-Sens!E5554)+(Sens!E5565-Q!M18)</f>
        <v>0</v>
      </c>
      <c r="F5567" s="24" t="n">
        <f aca="false">(Sens!F5560+Sens!F5564-Sens!F5565)+(Sens!F5552+Sens!F5553-Sens!F5551)+(Sens!F5555+Sens!F5556-Sens!F5554)</f>
        <v>0</v>
      </c>
      <c r="G5567" s="24" t="n">
        <f aca="false">(Sens!G5560+Sens!G5564-Sens!G5565)+(Sens!G5552+Sens!G5553-Sens!G5551)+(Sens!G5555+Sens!G5556-Sens!G5554)</f>
        <v>0</v>
      </c>
      <c r="H5567" s="24" t="n">
        <f aca="false">(Sens!H5560+Sens!H5564-Sens!H5565)+(Sens!H5552+Sens!H5553-Sens!H5551)+(Sens!H5555+Sens!H5556-Sens!H5554)</f>
        <v>0</v>
      </c>
      <c r="I5567" s="24" t="n">
        <f aca="false">(Sens!I5560+Sens!I5564-Sens!I5565)+(Sens!I5552+Sens!I5553-Sens!I5551)+(Sens!I5555+Sens!I5556-Sens!I5554)</f>
        <v>0</v>
      </c>
      <c r="J5567" s="24" t="n">
        <f aca="false">(Sens!J5560+Sens!J5564-Sens!J5565)+(Sens!J5552+Sens!J5553-Sens!J5551)+(Sens!J5555+Sens!J5556-Sens!J5554)</f>
        <v>0</v>
      </c>
      <c r="K5567" s="24" t="n">
        <f aca="false">(Sens!K5560+Sens!K5564-Sens!K5565)+(Sens!K5552+Sens!K5553-Sens!K5551)+(Sens!K5555+Sens!K5556-Sens!K5554)</f>
        <v>0</v>
      </c>
    </row>
    <row r="5568" customFormat="false" ht="17.15" hidden="false" customHeight="false" outlineLevel="0" collapsed="false">
      <c r="A5568" s="0" t="s">
        <v>908</v>
      </c>
      <c r="B5568" s="0" t="s">
        <v>129</v>
      </c>
      <c r="E5568" s="7" t="n">
        <f aca="false">(Q!M21+Sens!E5505+Sens!E5506+Sens!E5507+Sens!E5520-Sens!E5503)/(Q!M5-Sens!E5503)</f>
        <v>0.570957350878296</v>
      </c>
      <c r="F5568" s="7" t="n">
        <f aca="false">Sens!$E$5568+dm_seg</f>
        <v>0.570957350878296</v>
      </c>
      <c r="G5568" s="7" t="n">
        <f aca="false">Sens!$E$5568+dm_seg</f>
        <v>0.570957350878296</v>
      </c>
      <c r="H5568" s="7" t="n">
        <f aca="false">Sens!$E$5568+dm_seg</f>
        <v>0.570957350878296</v>
      </c>
      <c r="I5568" s="7" t="n">
        <f aca="false">Sens!$E$5568+dm_seg</f>
        <v>0.570957350878296</v>
      </c>
      <c r="J5568" s="7" t="n">
        <f aca="false">Sens!$E$5568+dm_seg</f>
        <v>0.570957350878296</v>
      </c>
      <c r="K5568" s="7" t="n">
        <f aca="false">Sens!$E$5568+dm_seg</f>
        <v>0.570957350878296</v>
      </c>
      <c r="L5568" s="11" t="s">
        <v>909</v>
      </c>
    </row>
    <row r="5569" customFormat="false" ht="17.15" hidden="false" customHeight="false" outlineLevel="0" collapsed="false">
      <c r="A5569" s="0" t="s">
        <v>743</v>
      </c>
      <c r="B5569" s="0" t="s">
        <v>98</v>
      </c>
      <c r="D5569" s="6" t="n">
        <f aca="false">Q!L21</f>
        <v>110.814</v>
      </c>
      <c r="E5569" s="6" t="n">
        <f aca="false">Q!M21</f>
        <v>136.365</v>
      </c>
      <c r="F5569" s="6" t="n">
        <f aca="false">Sens!F5568*(Sens!F5539-Sens!F5503)+Sens!F5503-(Sens!F5505+Sens!F5506+Sens!F5507)-Sens!F5520-Sens!F5603</f>
        <v>156.588570279146</v>
      </c>
      <c r="G5569" s="6" t="n">
        <f aca="false">Sens!G5568*(Sens!G5539-Sens!G5503)+Sens!G5503-(Sens!G5505+Sens!G5506+Sens!G5507)-Sens!G5520-Sens!G5603</f>
        <v>175.233312516615</v>
      </c>
      <c r="H5569" s="6" t="n">
        <f aca="false">Sens!H5568*(Sens!H5539-Sens!H5503)+Sens!H5503-(Sens!H5505+Sens!H5506+Sens!H5507)-Sens!H5520-Sens!H5603</f>
        <v>193.23821067805</v>
      </c>
      <c r="I5569" s="6" t="n">
        <f aca="false">Sens!I5568*(Sens!I5539-Sens!I5503)+Sens!I5503-(Sens!I5505+Sens!I5506+Sens!I5507)-Sens!I5520-Sens!I5603</f>
        <v>210.74509582081</v>
      </c>
      <c r="J5569" s="6" t="n">
        <f aca="false">Sens!J5568*(Sens!J5539-Sens!J5503)+Sens!J5503-(Sens!J5505+Sens!J5506+Sens!J5507)-Sens!J5520-Sens!J5603</f>
        <v>227.290689742232</v>
      </c>
      <c r="K5569" s="6" t="n">
        <f aca="false">Sens!K5568*(Sens!K5539-Sens!K5503)+Sens!K5503-(Sens!K5505+Sens!K5506+Sens!K5507)-Sens!K5520-Sens!K5603</f>
        <v>243.283280193354</v>
      </c>
      <c r="L5569" s="1" t="s">
        <v>910</v>
      </c>
    </row>
    <row r="5570" customFormat="false" ht="17.15" hidden="false" customHeight="false" outlineLevel="0" collapsed="false">
      <c r="A5570" s="0" t="s">
        <v>911</v>
      </c>
      <c r="B5570" s="0" t="s">
        <v>129</v>
      </c>
      <c r="E5570" s="7" t="n">
        <f aca="false">Q!M22/Q!M12</f>
        <v>0.296207935710698</v>
      </c>
      <c r="F5570" s="7" t="n">
        <f aca="false">Sens!$E$5570+dm_seg</f>
        <v>0.296207935710698</v>
      </c>
      <c r="G5570" s="7" t="n">
        <f aca="false">Sens!$E$5570+dm_seg</f>
        <v>0.296207935710698</v>
      </c>
      <c r="H5570" s="7" t="n">
        <f aca="false">Sens!$E$5570+dm_seg</f>
        <v>0.296207935710698</v>
      </c>
      <c r="I5570" s="7" t="n">
        <f aca="false">Sens!$E$5570+dm_seg</f>
        <v>0.296207935710698</v>
      </c>
      <c r="J5570" s="7" t="n">
        <f aca="false">Sens!$E$5570+dm_seg</f>
        <v>0.296207935710698</v>
      </c>
      <c r="K5570" s="7" t="n">
        <f aca="false">Sens!$E$5570+dm_seg</f>
        <v>0.296207935710698</v>
      </c>
      <c r="L5570" s="11" t="s">
        <v>912</v>
      </c>
    </row>
    <row r="5571" customFormat="false" ht="17.15" hidden="false" customHeight="false" outlineLevel="0" collapsed="false">
      <c r="A5571" s="0" t="s">
        <v>745</v>
      </c>
      <c r="B5571" s="0" t="s">
        <v>98</v>
      </c>
      <c r="D5571" s="6" t="n">
        <f aca="false">Q!L22</f>
        <v>17.714</v>
      </c>
      <c r="E5571" s="6" t="n">
        <f aca="false">Q!M22</f>
        <v>18.872</v>
      </c>
      <c r="F5571" s="6" t="n">
        <f aca="false">Sens!F5546*Sens!F5570</f>
        <v>19.2954518910651</v>
      </c>
      <c r="G5571" s="6" t="n">
        <f aca="false">Sens!G5546*Sens!G5570</f>
        <v>19.8830646387704</v>
      </c>
      <c r="H5571" s="6" t="n">
        <f aca="false">Sens!H5546*Sens!H5570</f>
        <v>20.6092017868026</v>
      </c>
      <c r="I5571" s="6" t="n">
        <f aca="false">Sens!I5546*Sens!I5570</f>
        <v>21.452361761678</v>
      </c>
      <c r="J5571" s="6" t="n">
        <f aca="false">Sens!J5546*Sens!J5570</f>
        <v>22.3946261183418</v>
      </c>
      <c r="K5571" s="6" t="n">
        <f aca="false">Sens!K5546*Sens!K5570</f>
        <v>23.4215879274986</v>
      </c>
    </row>
    <row r="5572" customFormat="false" ht="15" hidden="false" customHeight="false" outlineLevel="0" collapsed="false">
      <c r="A5572" s="1" t="s">
        <v>913</v>
      </c>
      <c r="B5572" s="0" t="s">
        <v>98</v>
      </c>
      <c r="D5572" s="6" t="n">
        <f aca="false">Sens!D5569+Sens!D5571</f>
        <v>128.528</v>
      </c>
      <c r="E5572" s="6" t="n">
        <f aca="false">Sens!E5569+Sens!E5571</f>
        <v>155.237</v>
      </c>
      <c r="F5572" s="6" t="n">
        <f aca="false">Sens!F5569+Sens!F5571</f>
        <v>175.884022170211</v>
      </c>
      <c r="G5572" s="6" t="n">
        <f aca="false">Sens!G5569+Sens!G5571</f>
        <v>195.116377155385</v>
      </c>
      <c r="H5572" s="6" t="n">
        <f aca="false">Sens!H5569+Sens!H5571</f>
        <v>213.847412464853</v>
      </c>
      <c r="I5572" s="6" t="n">
        <f aca="false">Sens!I5569+Sens!I5571</f>
        <v>232.197457582488</v>
      </c>
      <c r="J5572" s="6" t="n">
        <f aca="false">Sens!J5569+Sens!J5571</f>
        <v>249.685315860574</v>
      </c>
      <c r="K5572" s="6" t="n">
        <f aca="false">Sens!K5569+Sens!K5571</f>
        <v>266.704868120853</v>
      </c>
    </row>
    <row r="5573" customFormat="false" ht="15" hidden="false" customHeight="false" outlineLevel="0" collapsed="false">
      <c r="A5573" s="23" t="s">
        <v>914</v>
      </c>
      <c r="B5573" s="30" t="s">
        <v>98</v>
      </c>
      <c r="C5573" s="30"/>
      <c r="D5573" s="24" t="n">
        <f aca="false">Sens!D5572-Q!L23</f>
        <v>0</v>
      </c>
      <c r="E5573" s="24" t="n">
        <f aca="false">Sens!E5572-Q!M23</f>
        <v>0</v>
      </c>
      <c r="F5573" s="30"/>
      <c r="G5573" s="30"/>
      <c r="H5573" s="30"/>
      <c r="I5573" s="30"/>
      <c r="J5573" s="30"/>
      <c r="K5573" s="30"/>
    </row>
    <row r="5574" customFormat="false" ht="15" hidden="false" customHeight="false" outlineLevel="0" collapsed="false">
      <c r="A5574" s="1" t="s">
        <v>915</v>
      </c>
      <c r="B5574" s="0" t="s">
        <v>129</v>
      </c>
      <c r="D5574" s="7" t="n">
        <f aca="false">Sens!D5572/Sens!D5565</f>
        <v>0.456219562408598</v>
      </c>
      <c r="E5574" s="7" t="n">
        <f aca="false">Sens!E5572/Sens!E5565</f>
        <v>0.467808184089272</v>
      </c>
      <c r="F5574" s="7" t="n">
        <f aca="false">Sens!F5572/Sens!F5565</f>
        <v>0.442022824144748</v>
      </c>
      <c r="G5574" s="7" t="n">
        <f aca="false">Sens!G5572/Sens!G5565</f>
        <v>0.414526067656307</v>
      </c>
      <c r="H5574" s="7" t="n">
        <f aca="false">Sens!H5572/Sens!H5565</f>
        <v>0.392184048810139</v>
      </c>
      <c r="I5574" s="7" t="n">
        <f aca="false">Sens!I5572/Sens!I5565</f>
        <v>0.377816806323456</v>
      </c>
      <c r="J5574" s="7" t="n">
        <f aca="false">Sens!J5572/Sens!J5565</f>
        <v>0.37151491756736</v>
      </c>
      <c r="K5574" s="7" t="n">
        <f aca="false">Sens!K5572/Sens!K5565</f>
        <v>0.37109388329012</v>
      </c>
    </row>
    <row r="5575" customFormat="false" ht="17.15" hidden="false" customHeight="false" outlineLevel="0" collapsed="false">
      <c r="A5575" s="1" t="s">
        <v>916</v>
      </c>
      <c r="B5575" s="0" t="s">
        <v>98</v>
      </c>
      <c r="F5575" s="6" t="n">
        <f aca="false">Sens!F5590</f>
        <v>10.1553565002727</v>
      </c>
      <c r="G5575" s="6" t="n">
        <f aca="false">Sens!G5590</f>
        <v>26.5039384396555</v>
      </c>
      <c r="H5575" s="6" t="n">
        <f aca="false">Sens!H5590</f>
        <v>44.38649932956</v>
      </c>
      <c r="I5575" s="6" t="n">
        <f aca="false">Sens!I5590</f>
        <v>60.5028524913745</v>
      </c>
      <c r="J5575" s="6" t="n">
        <f aca="false">Sens!J5590</f>
        <v>71.8788124586976</v>
      </c>
      <c r="K5575" s="6" t="n">
        <f aca="false">Sens!K5590</f>
        <v>78.7789222270768</v>
      </c>
      <c r="L5575" s="1" t="s">
        <v>917</v>
      </c>
    </row>
    <row r="5576" customFormat="false" ht="17.15" hidden="false" customHeight="false" outlineLevel="0" collapsed="false">
      <c r="A5576" s="1" t="s">
        <v>918</v>
      </c>
      <c r="B5576" s="0" t="s">
        <v>98</v>
      </c>
      <c r="D5576" s="6" t="n">
        <f aca="false">Sens!D5572</f>
        <v>128.528</v>
      </c>
      <c r="E5576" s="6" t="n">
        <f aca="false">Sens!E5572</f>
        <v>155.237</v>
      </c>
      <c r="F5576" s="6" t="n">
        <f aca="false">Sens!F5572+Sens!F5575</f>
        <v>186.039378670483</v>
      </c>
      <c r="G5576" s="6" t="n">
        <f aca="false">Sens!G5572+Sens!G5575</f>
        <v>221.620315595041</v>
      </c>
      <c r="H5576" s="6" t="n">
        <f aca="false">Sens!H5572+Sens!H5575</f>
        <v>258.233911794413</v>
      </c>
      <c r="I5576" s="6" t="n">
        <f aca="false">Sens!I5572+Sens!I5575</f>
        <v>292.700310073862</v>
      </c>
      <c r="J5576" s="6" t="n">
        <f aca="false">Sens!J5572+Sens!J5575</f>
        <v>321.564128319271</v>
      </c>
      <c r="K5576" s="6" t="n">
        <f aca="false">Sens!K5572+Sens!K5575</f>
        <v>345.48379034793</v>
      </c>
    </row>
    <row r="5577" customFormat="false" ht="17.15" hidden="false" customHeight="false" outlineLevel="0" collapsed="false">
      <c r="A5577" s="1" t="s">
        <v>919</v>
      </c>
      <c r="B5577" s="0" t="s">
        <v>98</v>
      </c>
      <c r="E5577" s="6" t="n">
        <f aca="false">Sens!E5520</f>
        <v>16.3054059770833</v>
      </c>
      <c r="F5577" s="6" t="n">
        <f aca="false">Sens!F5520</f>
        <v>34.0498873809555</v>
      </c>
      <c r="G5577" s="6" t="n">
        <f aca="false">Sens!G5520</f>
        <v>59.1254371105111</v>
      </c>
      <c r="H5577" s="6" t="n">
        <f aca="false">Sens!H5520</f>
        <v>86.3610198433111</v>
      </c>
      <c r="I5577" s="6" t="n">
        <f aca="false">Sens!I5520</f>
        <v>110.605743832393</v>
      </c>
      <c r="J5577" s="6" t="n">
        <f aca="false">Sens!J5520</f>
        <v>127.998322852843</v>
      </c>
      <c r="K5577" s="6" t="n">
        <f aca="false">Sens!K5520</f>
        <v>139.131464044308</v>
      </c>
    </row>
    <row r="5578" customFormat="false" ht="17.15" hidden="false" customHeight="false" outlineLevel="0" collapsed="false">
      <c r="A5578" s="1" t="s">
        <v>920</v>
      </c>
      <c r="B5578" s="0" t="s">
        <v>98</v>
      </c>
      <c r="E5578" s="6" t="n">
        <f aca="false">Sens!E5602</f>
        <v>22.2285940229167</v>
      </c>
      <c r="F5578" s="6" t="n">
        <f aca="false">Sens!F5602</f>
        <v>24.3924470334783</v>
      </c>
      <c r="G5578" s="6" t="n">
        <f aca="false">Sens!G5602</f>
        <v>26.0234916871694</v>
      </c>
      <c r="H5578" s="6" t="n">
        <f aca="false">Sens!H5602</f>
        <v>28.0272938828615</v>
      </c>
      <c r="I5578" s="6" t="n">
        <f aca="false">Sens!I5602</f>
        <v>30.3469045257397</v>
      </c>
      <c r="J5578" s="6" t="n">
        <f aca="false">Sens!J5602</f>
        <v>32.9078053982031</v>
      </c>
      <c r="K5578" s="6" t="n">
        <f aca="false">Sens!K5602</f>
        <v>35.6263951325822</v>
      </c>
    </row>
    <row r="5579" customFormat="false" ht="17.15" hidden="false" customHeight="false" outlineLevel="0" collapsed="false">
      <c r="A5579" s="1" t="s">
        <v>921</v>
      </c>
      <c r="B5579" s="0" t="s">
        <v>98</v>
      </c>
      <c r="D5579" s="6" t="n">
        <f aca="false">Q!L27</f>
        <v>-4.901</v>
      </c>
      <c r="E5579" s="6" t="n">
        <f aca="false">Q!M27</f>
        <v>10.697</v>
      </c>
      <c r="F5579" s="6" t="n">
        <f aca="false">oie_f</f>
        <v>-0.4</v>
      </c>
      <c r="G5579" s="6" t="n">
        <f aca="false">oie_f</f>
        <v>-0.4</v>
      </c>
      <c r="H5579" s="6" t="n">
        <f aca="false">oie_f</f>
        <v>-0.4</v>
      </c>
      <c r="I5579" s="6" t="n">
        <f aca="false">oie_f</f>
        <v>-0.4</v>
      </c>
      <c r="J5579" s="6" t="n">
        <f aca="false">oie_f</f>
        <v>-0.4</v>
      </c>
      <c r="K5579" s="6" t="n">
        <f aca="false">oie_f</f>
        <v>-0.4</v>
      </c>
      <c r="L5579" s="11" t="s">
        <v>922</v>
      </c>
    </row>
    <row r="5580" customFormat="false" ht="15" hidden="false" customHeight="false" outlineLevel="0" collapsed="false">
      <c r="A5580" s="1" t="s">
        <v>923</v>
      </c>
      <c r="B5580" s="0" t="s">
        <v>98</v>
      </c>
      <c r="D5580" s="6" t="n">
        <f aca="false">Sens!D5572+Sens!D5579</f>
        <v>123.627</v>
      </c>
      <c r="E5580" s="6" t="n">
        <f aca="false">Sens!E5572+Sens!E5579</f>
        <v>165.934</v>
      </c>
      <c r="F5580" s="6" t="n">
        <f aca="false">Sens!F5572+Sens!F5579</f>
        <v>175.484022170211</v>
      </c>
      <c r="G5580" s="6" t="n">
        <f aca="false">Sens!G5572+Sens!G5579</f>
        <v>194.716377155385</v>
      </c>
      <c r="H5580" s="6" t="n">
        <f aca="false">Sens!H5572+Sens!H5579</f>
        <v>213.447412464853</v>
      </c>
      <c r="I5580" s="6" t="n">
        <f aca="false">Sens!I5572+Sens!I5579</f>
        <v>231.797457582488</v>
      </c>
      <c r="J5580" s="6" t="n">
        <f aca="false">Sens!J5572+Sens!J5579</f>
        <v>249.285315860574</v>
      </c>
      <c r="K5580" s="6" t="n">
        <f aca="false">Sens!K5572+Sens!K5579</f>
        <v>266.304868120853</v>
      </c>
    </row>
    <row r="5581" customFormat="false" ht="15" hidden="false" customHeight="false" outlineLevel="0" collapsed="false">
      <c r="A5581" s="1" t="s">
        <v>924</v>
      </c>
      <c r="B5581" s="0" t="s">
        <v>98</v>
      </c>
      <c r="D5581" s="6" t="n">
        <f aca="false">Q!L29</f>
        <v>21.795</v>
      </c>
      <c r="E5581" s="6" t="n">
        <f aca="false">Q!M29</f>
        <v>32.185</v>
      </c>
      <c r="F5581" s="6" t="n">
        <f aca="false">Sens!F5580*tax_f</f>
        <v>35.0968044340421</v>
      </c>
      <c r="G5581" s="6" t="n">
        <f aca="false">Sens!G5580*tax_f</f>
        <v>38.9432754310771</v>
      </c>
      <c r="H5581" s="6" t="n">
        <f aca="false">Sens!H5580*tax_f</f>
        <v>42.6894824929706</v>
      </c>
      <c r="I5581" s="6" t="n">
        <f aca="false">Sens!I5580*tax_f</f>
        <v>46.3594915164976</v>
      </c>
      <c r="J5581" s="6" t="n">
        <f aca="false">Sens!J5580*tax_f</f>
        <v>49.8570631721147</v>
      </c>
      <c r="K5581" s="6" t="n">
        <f aca="false">Sens!K5580*tax_f</f>
        <v>53.2609736241706</v>
      </c>
    </row>
    <row r="5582" customFormat="false" ht="15" hidden="false" customHeight="false" outlineLevel="0" collapsed="false">
      <c r="A5582" s="1" t="s">
        <v>925</v>
      </c>
      <c r="B5582" s="0" t="s">
        <v>98</v>
      </c>
      <c r="D5582" s="6" t="n">
        <f aca="false">Sens!D5580-Sens!D5581</f>
        <v>101.832</v>
      </c>
      <c r="E5582" s="6" t="n">
        <f aca="false">Sens!E5580-Sens!E5581</f>
        <v>133.749</v>
      </c>
      <c r="F5582" s="6" t="n">
        <f aca="false">Sens!F5580-Sens!F5581</f>
        <v>140.387217736169</v>
      </c>
      <c r="G5582" s="6" t="n">
        <f aca="false">Sens!G5580-Sens!G5581</f>
        <v>155.773101724308</v>
      </c>
      <c r="H5582" s="6" t="n">
        <f aca="false">Sens!H5580-Sens!H5581</f>
        <v>170.757929971882</v>
      </c>
      <c r="I5582" s="6" t="n">
        <f aca="false">Sens!I5580-Sens!I5581</f>
        <v>185.43796606599</v>
      </c>
      <c r="J5582" s="6" t="n">
        <f aca="false">Sens!J5580-Sens!J5581</f>
        <v>199.428252688459</v>
      </c>
      <c r="K5582" s="6" t="n">
        <f aca="false">Sens!K5580-Sens!K5581</f>
        <v>213.043894496682</v>
      </c>
    </row>
    <row r="5583" customFormat="false" ht="17.15" hidden="false" customHeight="false" outlineLevel="0" collapsed="false">
      <c r="A5583" s="1" t="s">
        <v>926</v>
      </c>
      <c r="B5583" s="1" t="s">
        <v>81</v>
      </c>
      <c r="D5583" s="14" t="n">
        <f aca="false">Q!L31</f>
        <v>7.465</v>
      </c>
      <c r="E5583" s="14" t="n">
        <f aca="false">Q!M31</f>
        <v>7.453</v>
      </c>
      <c r="F5583" s="14" t="n">
        <f aca="false">Sens!F5626</f>
        <v>7.4735</v>
      </c>
      <c r="G5583" s="14" t="n">
        <f aca="false">Sens!G5626</f>
        <v>7.5185</v>
      </c>
      <c r="H5583" s="14" t="n">
        <f aca="false">Sens!H5626</f>
        <v>7.54625158584995</v>
      </c>
      <c r="I5583" s="14" t="n">
        <f aca="false">Sens!I5626</f>
        <v>7.55803241785726</v>
      </c>
      <c r="J5583" s="14" t="n">
        <f aca="false">Sens!J5626</f>
        <v>7.57227392897515</v>
      </c>
      <c r="K5583" s="14" t="n">
        <f aca="false">Sens!K5626</f>
        <v>7.58879384667689</v>
      </c>
    </row>
    <row r="5584" customFormat="false" ht="17.15" hidden="false" customHeight="false" outlineLevel="0" collapsed="false">
      <c r="A5584" s="0" t="s">
        <v>927</v>
      </c>
      <c r="B5584" s="0" t="s">
        <v>75</v>
      </c>
      <c r="D5584" s="8" t="n">
        <f aca="false">Sens!D5582/Sens!D5583</f>
        <v>13.641259209645</v>
      </c>
      <c r="E5584" s="8" t="n">
        <f aca="false">Sens!E5582/Sens!E5583</f>
        <v>17.9456594659869</v>
      </c>
      <c r="F5584" s="8" t="n">
        <f aca="false">Sens!F5582/Sens!F5583</f>
        <v>18.7846681924358</v>
      </c>
      <c r="G5584" s="8" t="n">
        <f aca="false">Sens!G5582/Sens!G5583</f>
        <v>20.7186409156492</v>
      </c>
      <c r="H5584" s="8" t="n">
        <f aca="false">Sens!H5582/Sens!H5583</f>
        <v>22.628178775814</v>
      </c>
      <c r="I5584" s="8" t="n">
        <f aca="false">Sens!I5582/Sens!I5583</f>
        <v>24.5352170794953</v>
      </c>
      <c r="J5584" s="8" t="n">
        <f aca="false">Sens!J5582/Sens!J5583</f>
        <v>26.336640031649</v>
      </c>
      <c r="K5584" s="8" t="n">
        <f aca="false">Sens!K5582/Sens!K5583</f>
        <v>28.0734855631865</v>
      </c>
      <c r="L5584" s="1" t="s">
        <v>928</v>
      </c>
    </row>
    <row r="5585" customFormat="false" ht="17.15" hidden="false" customHeight="false" outlineLevel="0" collapsed="false">
      <c r="A5585" s="1" t="s">
        <v>929</v>
      </c>
      <c r="B5585" s="0" t="s">
        <v>98</v>
      </c>
      <c r="D5585" s="6" t="n">
        <f aca="false">Sens!D5582</f>
        <v>101.832</v>
      </c>
      <c r="E5585" s="6" t="n">
        <f aca="false">Sens!E5582</f>
        <v>133.749</v>
      </c>
      <c r="F5585" s="6" t="n">
        <f aca="false">Sens!F5582+Sens!F5575*(1-tax_f)</f>
        <v>148.511502936387</v>
      </c>
      <c r="G5585" s="6" t="n">
        <f aca="false">Sens!G5582+Sens!G5575*(1-tax_f)</f>
        <v>176.976252476033</v>
      </c>
      <c r="H5585" s="6" t="n">
        <f aca="false">Sens!H5582+Sens!H5575*(1-tax_f)</f>
        <v>206.26712943553</v>
      </c>
      <c r="I5585" s="6" t="n">
        <f aca="false">Sens!I5582+Sens!I5575*(1-tax_f)</f>
        <v>233.84024805909</v>
      </c>
      <c r="J5585" s="6" t="n">
        <f aca="false">Sens!J5582+Sens!J5575*(1-tax_f)</f>
        <v>256.931302655417</v>
      </c>
      <c r="K5585" s="6" t="n">
        <f aca="false">Sens!K5582+Sens!K5575*(1-tax_f)</f>
        <v>276.067032278344</v>
      </c>
    </row>
    <row r="5586" customFormat="false" ht="17.15" hidden="false" customHeight="false" outlineLevel="0" collapsed="false">
      <c r="A5586" s="0" t="s">
        <v>930</v>
      </c>
      <c r="B5586" s="0" t="s">
        <v>75</v>
      </c>
      <c r="D5586" s="8" t="n">
        <f aca="false">Sens!D5585/Sens!D5583</f>
        <v>13.641259209645</v>
      </c>
      <c r="E5586" s="8" t="n">
        <f aca="false">Sens!E5585/Sens!E5583</f>
        <v>17.9456594659869</v>
      </c>
      <c r="F5586" s="8" t="n">
        <f aca="false">Sens!F5585/Sens!F5583</f>
        <v>19.871747231737</v>
      </c>
      <c r="G5586" s="8" t="n">
        <f aca="false">Sens!G5585/Sens!G5583</f>
        <v>23.5387713607811</v>
      </c>
      <c r="H5586" s="8" t="n">
        <f aca="false">Sens!H5585/Sens!H5583</f>
        <v>27.3337202038564</v>
      </c>
      <c r="I5586" s="8" t="n">
        <f aca="false">Sens!I5585/Sens!I5583</f>
        <v>30.9393020737247</v>
      </c>
      <c r="J5586" s="8" t="n">
        <f aca="false">Sens!J5585/Sens!J5583</f>
        <v>33.9305346142161</v>
      </c>
      <c r="K5586" s="8" t="n">
        <f aca="false">Sens!K5585/Sens!K5583</f>
        <v>36.3782490150569</v>
      </c>
      <c r="L5586" s="1" t="s">
        <v>931</v>
      </c>
    </row>
    <row r="5587" customFormat="false" ht="17.15" hidden="false" customHeight="false" outlineLevel="0" collapsed="false">
      <c r="A5587" s="0" t="s">
        <v>932</v>
      </c>
      <c r="B5587" s="0" t="s">
        <v>129</v>
      </c>
      <c r="E5587" s="7" t="n">
        <f aca="false">Sens!E5586/Sens!D5586-1</f>
        <v>0.315542736208578</v>
      </c>
      <c r="F5587" s="7" t="n">
        <f aca="false">Sens!F5586/Sens!E5586-1</f>
        <v>0.1073288930619</v>
      </c>
      <c r="G5587" s="7" t="n">
        <f aca="false">Sens!G5586/Sens!F5586-1</f>
        <v>0.184534559859311</v>
      </c>
      <c r="H5587" s="7" t="n">
        <f aca="false">Sens!H5586/Sens!G5586-1</f>
        <v>0.161221194807059</v>
      </c>
      <c r="I5587" s="7" t="n">
        <f aca="false">Sens!I5586/Sens!H5586-1</f>
        <v>0.131909664801486</v>
      </c>
      <c r="J5587" s="7" t="n">
        <f aca="false">Sens!J5586/Sens!I5586-1</f>
        <v>0.0966806728013312</v>
      </c>
      <c r="K5587" s="7" t="n">
        <f aca="false">Sens!K5586/Sens!J5586-1</f>
        <v>0.0721389871592342</v>
      </c>
    </row>
    <row r="5588" customFormat="false" ht="17.15" hidden="false" customHeight="false" outlineLevel="0" collapsed="false">
      <c r="A5588" s="0" t="s">
        <v>856</v>
      </c>
      <c r="B5588" s="0" t="s">
        <v>98</v>
      </c>
      <c r="E5588" s="6" t="n">
        <f aca="false">Sens!E5529</f>
        <v>5.25</v>
      </c>
      <c r="F5588" s="6" t="n">
        <f aca="false">Sens!F5529</f>
        <v>10.5</v>
      </c>
      <c r="G5588" s="6" t="n">
        <f aca="false">Sens!G5529</f>
        <v>13.5</v>
      </c>
      <c r="H5588" s="6" t="n">
        <f aca="false">Sens!H5529</f>
        <v>16.5</v>
      </c>
      <c r="I5588" s="6" t="n">
        <f aca="false">Sens!I5529</f>
        <v>18.75</v>
      </c>
      <c r="J5588" s="6" t="n">
        <f aca="false">Sens!J5529</f>
        <v>20.25</v>
      </c>
      <c r="K5588" s="6" t="n">
        <f aca="false">Sens!K5529</f>
        <v>21.75</v>
      </c>
    </row>
    <row r="5589" customFormat="false" ht="17.15" hidden="false" customHeight="false" outlineLevel="0" collapsed="false">
      <c r="A5589" s="1" t="s">
        <v>857</v>
      </c>
      <c r="B5589" s="0" t="s">
        <v>98</v>
      </c>
      <c r="F5589" s="6" t="n">
        <f aca="false">MAX(0,((Sens!E5492+Sens!F5492)/2-(shadow_base*(Sens!$D$5492+Sens!$E$5492)/2+(1-shadow_base)*Sens!$E$5492))*Sens!F5500/1000-(Sens!F5588-Sens!$E$5588)*Sens!F5568)</f>
        <v>10.1553565002727</v>
      </c>
      <c r="G5589" s="6" t="n">
        <f aca="false">MAX(0,((Sens!F5492+Sens!G5492)/2-(shadow_base*(Sens!$D$5492+Sens!$E$5492)/2+(1-shadow_base)*Sens!$E$5492))*Sens!G5500/1000-(Sens!G5588-Sens!$E$5588)*Sens!G5568)</f>
        <v>26.5039384396555</v>
      </c>
      <c r="H5589" s="6" t="n">
        <f aca="false">MAX(0,((Sens!G5492+Sens!H5492)/2-(shadow_base*(Sens!$D$5492+Sens!$E$5492)/2+(1-shadow_base)*Sens!$E$5492))*Sens!H5500/1000-(Sens!H5588-Sens!$E$5588)*Sens!H5568)</f>
        <v>44.38649932956</v>
      </c>
      <c r="I5589" s="6" t="n">
        <f aca="false">MAX(0,((Sens!H5492+Sens!I5492)/2-(shadow_base*(Sens!$D$5492+Sens!$E$5492)/2+(1-shadow_base)*Sens!$E$5492))*Sens!I5500/1000-(Sens!I5588-Sens!$E$5588)*Sens!I5568)</f>
        <v>60.5028524913745</v>
      </c>
      <c r="J5589" s="6" t="n">
        <f aca="false">MAX(0,((Sens!I5492+Sens!J5492)/2-(shadow_base*(Sens!$D$5492+Sens!$E$5492)/2+(1-shadow_base)*Sens!$E$5492))*Sens!J5500/1000-(Sens!J5588-Sens!$E$5588)*Sens!J5568)</f>
        <v>71.8788124586976</v>
      </c>
      <c r="K5589" s="6" t="n">
        <f aca="false">MAX(0,((Sens!J5492+Sens!K5492)/2-(shadow_base*(Sens!$D$5492+Sens!$E$5492)/2+(1-shadow_base)*Sens!$E$5492))*Sens!K5500/1000-(Sens!K5588-Sens!$E$5588)*Sens!K5568)</f>
        <v>78.7789222270768</v>
      </c>
      <c r="L5589" s="1" t="s">
        <v>858</v>
      </c>
    </row>
    <row r="5590" customFormat="false" ht="17.15" hidden="false" customHeight="false" outlineLevel="0" collapsed="false">
      <c r="A5590" s="1" t="s">
        <v>859</v>
      </c>
      <c r="B5590" s="0" t="s">
        <v>98</v>
      </c>
      <c r="F5590" s="6" t="n">
        <f aca="false">IF(internal_ai_reading=2,1,0)*Sens!F5589</f>
        <v>10.1553565002727</v>
      </c>
      <c r="G5590" s="6" t="n">
        <f aca="false">IF(internal_ai_reading=2,1,0)*Sens!G5589</f>
        <v>26.5039384396555</v>
      </c>
      <c r="H5590" s="6" t="n">
        <f aca="false">IF(internal_ai_reading=2,1,0)*Sens!H5589</f>
        <v>44.38649932956</v>
      </c>
      <c r="I5590" s="6" t="n">
        <f aca="false">IF(internal_ai_reading=2,1,0)*Sens!I5589</f>
        <v>60.5028524913745</v>
      </c>
      <c r="J5590" s="6" t="n">
        <f aca="false">IF(internal_ai_reading=2,1,0)*Sens!J5589</f>
        <v>71.8788124586976</v>
      </c>
      <c r="K5590" s="6" t="n">
        <f aca="false">IF(internal_ai_reading=2,1,0)*Sens!K5589</f>
        <v>78.7789222270768</v>
      </c>
    </row>
    <row r="5591" customFormat="false" ht="17.15" hidden="false" customHeight="false" outlineLevel="0" collapsed="false">
      <c r="A5591" s="0" t="s">
        <v>860</v>
      </c>
      <c r="B5591" s="0" t="s">
        <v>98</v>
      </c>
      <c r="F5591" s="6" t="n">
        <f aca="false">Sens!F5509+Sens!F5588*Sens!F5568+Sens!F5590-Sens!F5510-Sens!F5520</f>
        <v>15.0270315022233</v>
      </c>
      <c r="G5591" s="6" t="n">
        <f aca="false">Sens!G5509+Sens!G5588*Sens!G5568+Sens!G5590-Sens!G5510-Sens!G5520</f>
        <v>30.8545489496424</v>
      </c>
      <c r="H5591" s="6" t="n">
        <f aca="false">Sens!H5509+Sens!H5588*Sens!H5568+Sens!H5590-Sens!H5510-Sens!H5520</f>
        <v>47.4024902575898</v>
      </c>
      <c r="I5591" s="6" t="n">
        <f aca="false">Sens!I5509+Sens!I5588*Sens!I5568+Sens!I5590-Sens!I5510-Sens!I5520</f>
        <v>62.1817971739404</v>
      </c>
      <c r="J5591" s="6" t="n">
        <f aca="false">Sens!J5509+Sens!J5588*Sens!J5568+Sens!J5590-Sens!J5510-Sens!J5520</f>
        <v>72.5050518947331</v>
      </c>
      <c r="K5591" s="6" t="n">
        <f aca="false">Sens!K5509+Sens!K5588*Sens!K5568+Sens!K5590-Sens!K5510-Sens!K5520</f>
        <v>79.8210980571165</v>
      </c>
    </row>
    <row r="5592" customFormat="false" ht="17.15" hidden="false" customHeight="false" outlineLevel="0" collapsed="false">
      <c r="A5592" s="0" t="s">
        <v>861</v>
      </c>
      <c r="B5592" s="0" t="s">
        <v>98</v>
      </c>
      <c r="E5592" s="6" t="n">
        <f aca="false">Sens!E5491*(cxit_open+self_build*tk_cxfac)/1000*ai_net_open</f>
        <v>126.6980382</v>
      </c>
      <c r="F5592" s="6" t="n">
        <f aca="false">Sens!E5592+Sens!F5517-Sens!F5520</f>
        <v>252.981026690511</v>
      </c>
      <c r="G5592" s="6" t="n">
        <f aca="false">Sens!F5592+Sens!G5517-Sens!G5520</f>
        <v>377.4297700632</v>
      </c>
      <c r="H5592" s="6" t="n">
        <f aca="false">Sens!G5592+Sens!H5517-Sens!H5520</f>
        <v>479.149036130289</v>
      </c>
      <c r="I5592" s="6" t="n">
        <f aca="false">Sens!H5592+Sens!I5517-Sens!I5520</f>
        <v>532.249961452141</v>
      </c>
      <c r="J5592" s="6" t="n">
        <f aca="false">Sens!I5592+Sens!J5517-Sens!J5520</f>
        <v>531.43307519354</v>
      </c>
      <c r="K5592" s="6" t="n">
        <f aca="false">Sens!J5592+Sens!K5517-Sens!K5520</f>
        <v>513.709026452823</v>
      </c>
      <c r="L5592" s="1" t="s">
        <v>862</v>
      </c>
    </row>
    <row r="5593" customFormat="false" ht="17.15" hidden="false" customHeight="false" outlineLevel="0" collapsed="false">
      <c r="A5593" s="0" t="s">
        <v>863</v>
      </c>
      <c r="B5593" s="0" t="s">
        <v>129</v>
      </c>
      <c r="F5593" s="7" t="n">
        <f aca="false">Sens!F5591*(1-tax_f)/((Sens!E5592+Sens!F5592)/2)</f>
        <v>0.0633251938989334</v>
      </c>
      <c r="G5593" s="7" t="n">
        <f aca="false">Sens!G5591*(1-tax_f)/((Sens!F5592+Sens!G5592)/2)</f>
        <v>0.0783096967463813</v>
      </c>
      <c r="H5593" s="7" t="n">
        <f aca="false">Sens!H5591*(1-tax_f)/((Sens!G5592+Sens!H5592)/2)</f>
        <v>0.0885429149819656</v>
      </c>
      <c r="I5593" s="7" t="n">
        <f aca="false">Sens!I5591*(1-tax_f)/((Sens!H5592+Sens!I5592)/2)</f>
        <v>0.0983695610892634</v>
      </c>
      <c r="J5593" s="7" t="n">
        <f aca="false">Sens!J5591*(1-tax_f)/((Sens!I5592+Sens!J5592)/2)</f>
        <v>0.109062642756252</v>
      </c>
      <c r="K5593" s="7" t="n">
        <f aca="false">Sens!K5591*(1-tax_f)/((Sens!J5592+Sens!K5592)/2)</f>
        <v>0.122197504712713</v>
      </c>
    </row>
    <row r="5594" customFormat="false" ht="17.15" hidden="false" customHeight="false" outlineLevel="0" collapsed="false">
      <c r="A5594" s="1" t="s">
        <v>864</v>
      </c>
      <c r="B5594" s="0" t="s">
        <v>129</v>
      </c>
      <c r="F5594" s="7" t="n">
        <f aca="false">(Sens!F5591-Sens!F5590)*(1-tax_f)/((Sens!E5592+Sens!F5592)/2)</f>
        <v>0.0205296544474181</v>
      </c>
      <c r="G5594" s="7" t="n">
        <f aca="false">(Sens!G5591-Sens!G5590)*(1-tax_f)/((Sens!F5592+Sens!G5592)/2)</f>
        <v>0.0110419695408524</v>
      </c>
      <c r="H5594" s="7" t="n">
        <f aca="false">(Sens!H5591-Sens!H5590)*(1-tax_f)/((Sens!G5592+Sens!H5592)/2)</f>
        <v>0.00563355694765765</v>
      </c>
      <c r="I5594" s="7" t="n">
        <f aca="false">(Sens!I5591-Sens!I5590)*(1-tax_f)/((Sens!H5592+Sens!I5592)/2)</f>
        <v>0.00265603535155413</v>
      </c>
      <c r="J5594" s="7" t="n">
        <f aca="false">(Sens!J5591-Sens!J5590)*(1-tax_f)/((Sens!I5592+Sens!J5592)/2)</f>
        <v>0.000941994055688411</v>
      </c>
      <c r="K5594" s="7" t="n">
        <f aca="false">(Sens!K5591-Sens!K5590)*(1-tax_f)/((Sens!J5592+Sens!K5592)/2)</f>
        <v>0.00159545895762579</v>
      </c>
    </row>
    <row r="5595" customFormat="false" ht="17.15" hidden="false" customHeight="false" outlineLevel="0" collapsed="false">
      <c r="A5595" s="1" t="s">
        <v>865</v>
      </c>
      <c r="B5595" s="0" t="s">
        <v>129</v>
      </c>
      <c r="F5595" s="7" t="n">
        <f aca="false">(Sens!F5591-Sens!F5590+Sens!F5589)*(1-tax_f)/((Sens!E5592+Sens!F5592)/2)</f>
        <v>0.0633251938989334</v>
      </c>
      <c r="G5595" s="7" t="n">
        <f aca="false">(Sens!G5591-Sens!G5590+Sens!G5589)*(1-tax_f)/((Sens!F5592+Sens!G5592)/2)</f>
        <v>0.0783096967463813</v>
      </c>
      <c r="H5595" s="7" t="n">
        <f aca="false">(Sens!H5591-Sens!H5590+Sens!H5589)*(1-tax_f)/((Sens!G5592+Sens!H5592)/2)</f>
        <v>0.0885429149819656</v>
      </c>
      <c r="I5595" s="7" t="n">
        <f aca="false">(Sens!I5591-Sens!I5590+Sens!I5589)*(1-tax_f)/((Sens!H5592+Sens!I5592)/2)</f>
        <v>0.0983695610892634</v>
      </c>
      <c r="J5595" s="7" t="n">
        <f aca="false">(Sens!J5591-Sens!J5590+Sens!J5589)*(1-tax_f)/((Sens!I5592+Sens!J5592)/2)</f>
        <v>0.109062642756252</v>
      </c>
      <c r="K5595" s="7" t="n">
        <f aca="false">(Sens!K5591-Sens!K5590+Sens!K5589)*(1-tax_f)/((Sens!J5592+Sens!K5592)/2)</f>
        <v>0.122197504712713</v>
      </c>
    </row>
    <row r="5596" customFormat="false" ht="17.15" hidden="false" customHeight="false" outlineLevel="0" collapsed="false">
      <c r="A5596" s="1" t="s">
        <v>866</v>
      </c>
      <c r="B5596" s="0" t="s">
        <v>129</v>
      </c>
      <c r="F5596" s="7" t="n">
        <f aca="false">Sens!F5521*(1-tax_f)/(Sens!F5508*(Sens!E5592+Sens!F5592)/2)</f>
        <v>0.133653288300971</v>
      </c>
      <c r="G5596" s="7" t="n">
        <f aca="false">Sens!G5521*(1-tax_f)/(Sens!G5508*(Sens!F5592+Sens!G5592)/2)</f>
        <v>0.131459221834535</v>
      </c>
      <c r="H5596" s="7" t="n">
        <f aca="false">Sens!H5521*(1-tax_f)/(Sens!H5508*(Sens!G5592+Sens!H5592)/2)</f>
        <v>0.135120575835084</v>
      </c>
      <c r="I5596" s="7" t="n">
        <f aca="false">Sens!I5521*(1-tax_f)/(Sens!I5508*(Sens!H5592+Sens!I5592)/2)</f>
        <v>0.143323969665222</v>
      </c>
      <c r="J5596" s="7" t="n">
        <f aca="false">Sens!J5521*(1-tax_f)/(Sens!J5508*(Sens!I5592+Sens!J5592)/2)</f>
        <v>0.155570128388075</v>
      </c>
      <c r="K5596" s="7" t="n">
        <f aca="false">Sens!K5521*(1-tax_f)/(Sens!K5508*(Sens!J5592+Sens!K5592)/2)</f>
        <v>0.172427697111622</v>
      </c>
    </row>
    <row r="5597" customFormat="false" ht="17.15" hidden="false" customHeight="false" outlineLevel="0" collapsed="false">
      <c r="A5597" s="0" t="s">
        <v>867</v>
      </c>
      <c r="B5597" s="0" t="s">
        <v>209</v>
      </c>
      <c r="F5597" s="7" t="n">
        <f aca="false">Sens!F5593-wacc</f>
        <v>-0.0396092261939423</v>
      </c>
      <c r="G5597" s="7" t="n">
        <f aca="false">Sens!G5593-wacc</f>
        <v>-0.0246247233464944</v>
      </c>
      <c r="H5597" s="7" t="n">
        <f aca="false">Sens!H5593-wacc</f>
        <v>-0.0143915051109101</v>
      </c>
      <c r="I5597" s="7" t="n">
        <f aca="false">Sens!I5593-wacc</f>
        <v>-0.00456485900361238</v>
      </c>
      <c r="J5597" s="7" t="n">
        <f aca="false">Sens!J5593-wacc</f>
        <v>0.00612822266337598</v>
      </c>
      <c r="K5597" s="7" t="n">
        <f aca="false">Sens!K5593-wacc</f>
        <v>0.0192630846198374</v>
      </c>
    </row>
    <row r="5598" customFormat="false" ht="17.15" hidden="false" customHeight="false" outlineLevel="0" collapsed="false">
      <c r="A5598" s="0" t="s">
        <v>868</v>
      </c>
      <c r="B5598" s="0" t="s">
        <v>98</v>
      </c>
      <c r="F5598" s="6" t="n">
        <f aca="false">Sens!F5591*(1-tax_f)-wacc*(Sens!E5592+Sens!F5592)/2</f>
        <v>-7.51939698117637</v>
      </c>
      <c r="G5598" s="6" t="n">
        <f aca="false">Sens!G5591*(1-tax_f)-wacc*(Sens!F5592+Sens!G5592)/2</f>
        <v>-7.76184573235162</v>
      </c>
      <c r="H5598" s="6" t="n">
        <f aca="false">Sens!H5591*(1-tax_f)-wacc*(Sens!G5592+Sens!H5592)/2</f>
        <v>-6.16372913361546</v>
      </c>
      <c r="I5598" s="6" t="n">
        <f aca="false">Sens!I5591*(1-tax_f)-wacc*(Sens!H5592+Sens!I5592)/2</f>
        <v>-2.30844691017934</v>
      </c>
      <c r="J5598" s="6" t="n">
        <f aca="false">Sens!J5591*(1-tax_f)-wacc*(Sens!I5592+Sens!J5592)/2</f>
        <v>3.25924324591032</v>
      </c>
      <c r="K5598" s="6" t="n">
        <f aca="false">Sens!K5591*(1-tax_f)-wacc*(Sens!J5592+Sens!K5592)/2</f>
        <v>10.0663303718843</v>
      </c>
    </row>
    <row r="5599" customFormat="false" ht="17.15" hidden="false" customHeight="false" outlineLevel="0" collapsed="false">
      <c r="A5599" s="3" t="s">
        <v>1405</v>
      </c>
    </row>
    <row r="5600" customFormat="false" ht="15" hidden="false" customHeight="false" outlineLevel="0" collapsed="false">
      <c r="A5600" s="4" t="s">
        <v>43</v>
      </c>
      <c r="B5600" s="4" t="s">
        <v>65</v>
      </c>
      <c r="C5600" s="20" t="s">
        <v>799</v>
      </c>
      <c r="D5600" s="20" t="s">
        <v>800</v>
      </c>
      <c r="E5600" s="20" t="s">
        <v>801</v>
      </c>
      <c r="F5600" s="20" t="s">
        <v>802</v>
      </c>
      <c r="G5600" s="20" t="s">
        <v>803</v>
      </c>
      <c r="H5600" s="20" t="s">
        <v>804</v>
      </c>
      <c r="I5600" s="20" t="s">
        <v>805</v>
      </c>
      <c r="J5600" s="20" t="s">
        <v>806</v>
      </c>
      <c r="K5600" s="20" t="s">
        <v>807</v>
      </c>
      <c r="L5600" s="4" t="s">
        <v>47</v>
      </c>
    </row>
    <row r="5601" customFormat="false" ht="15" hidden="false" customHeight="false" outlineLevel="0" collapsed="false">
      <c r="A5601" s="1" t="s">
        <v>925</v>
      </c>
      <c r="B5601" s="0" t="s">
        <v>98</v>
      </c>
      <c r="F5601" s="6" t="n">
        <f aca="false">Sens!F5582</f>
        <v>140.387217736169</v>
      </c>
      <c r="G5601" s="6" t="n">
        <f aca="false">Sens!G5582</f>
        <v>155.773101724308</v>
      </c>
      <c r="H5601" s="6" t="n">
        <f aca="false">Sens!H5582</f>
        <v>170.757929971882</v>
      </c>
      <c r="I5601" s="6" t="n">
        <f aca="false">Sens!I5582</f>
        <v>185.43796606599</v>
      </c>
      <c r="J5601" s="6" t="n">
        <f aca="false">Sens!J5582</f>
        <v>199.428252688459</v>
      </c>
      <c r="K5601" s="6" t="n">
        <f aca="false">Sens!K5582</f>
        <v>213.043894496682</v>
      </c>
    </row>
    <row r="5602" customFormat="false" ht="17.15" hidden="false" customHeight="false" outlineLevel="0" collapsed="false">
      <c r="A5602" s="1" t="s">
        <v>947</v>
      </c>
      <c r="B5602" s="0" t="s">
        <v>98</v>
      </c>
      <c r="E5602" s="6" t="n">
        <f aca="false">Q!M38-Sens!E5520</f>
        <v>22.2285940229167</v>
      </c>
      <c r="F5602" s="6" t="n">
        <f aca="false">Sens!E5602*(1-1/life_nonai)+(Sens!F5609+Sens!F5610)/life_nonai</f>
        <v>24.3924470334783</v>
      </c>
      <c r="G5602" s="6" t="n">
        <f aca="false">Sens!F5602*(1-1/life_nonai)+(Sens!G5609)/life_nonai</f>
        <v>26.0234916871694</v>
      </c>
      <c r="H5602" s="6" t="n">
        <f aca="false">Sens!G5602*(1-1/life_nonai)+(Sens!H5609)/life_nonai</f>
        <v>28.0272938828615</v>
      </c>
      <c r="I5602" s="6" t="n">
        <f aca="false">Sens!H5602*(1-1/life_nonai)+(Sens!I5609)/life_nonai</f>
        <v>30.3469045257397</v>
      </c>
      <c r="J5602" s="6" t="n">
        <f aca="false">Sens!I5602*(1-1/life_nonai)+(Sens!J5609)/life_nonai</f>
        <v>32.9078053982031</v>
      </c>
      <c r="K5602" s="6" t="n">
        <f aca="false">Sens!J5602*(1-1/life_nonai)+(Sens!K5609)/life_nonai</f>
        <v>35.6263951325822</v>
      </c>
      <c r="L5602" s="11" t="s">
        <v>948</v>
      </c>
    </row>
    <row r="5603" customFormat="false" ht="17.15" hidden="false" customHeight="false" outlineLevel="0" collapsed="false">
      <c r="A5603" s="1" t="s">
        <v>949</v>
      </c>
      <c r="B5603" s="0" t="s">
        <v>98</v>
      </c>
      <c r="F5603" s="6" t="n">
        <f aca="false">Sens!$F$5610/life_nonai*(1-1/life_nonai)^(Sens!F5486-2027)</f>
        <v>0.843777689897088</v>
      </c>
      <c r="G5603" s="6" t="n">
        <f aca="false">Sens!$F$5610/life_nonai*(1-1/life_nonai)^(Sens!G5486-2027)</f>
        <v>0.759399920907379</v>
      </c>
      <c r="H5603" s="6" t="n">
        <f aca="false">Sens!$F$5610/life_nonai*(1-1/life_nonai)^(Sens!H5486-2027)</f>
        <v>0.683459928816641</v>
      </c>
      <c r="I5603" s="6" t="n">
        <f aca="false">Sens!$F$5610/life_nonai*(1-1/life_nonai)^(Sens!I5486-2027)</f>
        <v>0.615113935934977</v>
      </c>
      <c r="J5603" s="6" t="n">
        <f aca="false">Sens!$F$5610/life_nonai*(1-1/life_nonai)^(Sens!J5486-2027)</f>
        <v>0.55360254234148</v>
      </c>
      <c r="K5603" s="6" t="n">
        <f aca="false">Sens!$F$5610/life_nonai*(1-1/life_nonai)^(Sens!K5486-2027)</f>
        <v>0.498242288107332</v>
      </c>
      <c r="L5603" s="1" t="s">
        <v>950</v>
      </c>
    </row>
    <row r="5604" customFormat="false" ht="17.15" hidden="false" customHeight="false" outlineLevel="0" collapsed="false">
      <c r="A5604" s="1" t="s">
        <v>951</v>
      </c>
      <c r="B5604" s="0" t="s">
        <v>98</v>
      </c>
      <c r="E5604" s="6" t="n">
        <f aca="false">Sens!E5520+Sens!E5602</f>
        <v>38.534</v>
      </c>
      <c r="F5604" s="6" t="n">
        <f aca="false">Sens!F5520+Sens!F5602</f>
        <v>58.4423344144339</v>
      </c>
      <c r="G5604" s="6" t="n">
        <f aca="false">Sens!G5520+Sens!G5602</f>
        <v>85.1489287976805</v>
      </c>
      <c r="H5604" s="6" t="n">
        <f aca="false">Sens!H5520+Sens!H5602</f>
        <v>114.388313726173</v>
      </c>
      <c r="I5604" s="6" t="n">
        <f aca="false">Sens!I5520+Sens!I5602</f>
        <v>140.952648358132</v>
      </c>
      <c r="J5604" s="6" t="n">
        <f aca="false">Sens!J5520+Sens!J5602</f>
        <v>160.906128251046</v>
      </c>
      <c r="K5604" s="6" t="n">
        <f aca="false">Sens!K5520+Sens!K5602</f>
        <v>174.75785917689</v>
      </c>
    </row>
    <row r="5605" customFormat="false" ht="17.15" hidden="false" customHeight="false" outlineLevel="0" collapsed="false">
      <c r="A5605" s="1" t="s">
        <v>952</v>
      </c>
      <c r="B5605" s="0" t="s">
        <v>98</v>
      </c>
      <c r="F5605" s="6" t="n">
        <f aca="false">Sens!F5547*sbc_r</f>
        <v>14.8747966149263</v>
      </c>
      <c r="G5605" s="6" t="n">
        <f aca="false">Sens!G5547*sbc_r</f>
        <v>17.5958892436699</v>
      </c>
      <c r="H5605" s="6" t="n">
        <f aca="false">Sens!H5547*sbc_r</f>
        <v>20.3837186651945</v>
      </c>
      <c r="I5605" s="6" t="n">
        <f aca="false">Sens!I5547*sbc_r</f>
        <v>22.9744715237937</v>
      </c>
      <c r="J5605" s="6" t="n">
        <f aca="false">Sens!J5547*sbc_r</f>
        <v>25.1238439833844</v>
      </c>
      <c r="K5605" s="6" t="n">
        <f aca="false">Sens!K5547*sbc_r</f>
        <v>26.8668338491408</v>
      </c>
    </row>
    <row r="5606" customFormat="false" ht="17.15" hidden="false" customHeight="false" outlineLevel="0" collapsed="false">
      <c r="A5606" s="1" t="s">
        <v>953</v>
      </c>
      <c r="B5606" s="0" t="s">
        <v>98</v>
      </c>
      <c r="F5606" s="6" t="n">
        <f aca="false">wc27</f>
        <v>-4.895</v>
      </c>
      <c r="G5606" s="6" t="n">
        <f aca="false">wc_f</f>
        <v>0</v>
      </c>
      <c r="H5606" s="6" t="n">
        <f aca="false">wc_f</f>
        <v>0</v>
      </c>
      <c r="I5606" s="6" t="n">
        <f aca="false">wc_f</f>
        <v>0</v>
      </c>
      <c r="J5606" s="6" t="n">
        <f aca="false">wc_f</f>
        <v>0</v>
      </c>
      <c r="K5606" s="6" t="n">
        <f aca="false">wc_f</f>
        <v>0</v>
      </c>
      <c r="L5606" s="11" t="s">
        <v>954</v>
      </c>
    </row>
    <row r="5607" customFormat="false" ht="15" hidden="false" customHeight="false" outlineLevel="0" collapsed="false">
      <c r="A5607" s="1" t="s">
        <v>767</v>
      </c>
      <c r="B5607" s="0" t="s">
        <v>98</v>
      </c>
      <c r="E5607" s="6" t="n">
        <f aca="false">Q!M35</f>
        <v>182.935</v>
      </c>
      <c r="F5607" s="6" t="n">
        <f aca="false">Sens!F5601+Sens!F5604+Sens!F5605+Sens!F5606</f>
        <v>208.809348765529</v>
      </c>
      <c r="G5607" s="6" t="n">
        <f aca="false">Sens!G5601+Sens!G5604+Sens!G5605+Sens!G5606</f>
        <v>258.517919765659</v>
      </c>
      <c r="H5607" s="6" t="n">
        <f aca="false">Sens!H5601+Sens!H5604+Sens!H5605+Sens!H5606</f>
        <v>305.529962363249</v>
      </c>
      <c r="I5607" s="6" t="n">
        <f aca="false">Sens!I5601+Sens!I5604+Sens!I5605+Sens!I5606</f>
        <v>349.365085947916</v>
      </c>
      <c r="J5607" s="6" t="n">
        <f aca="false">Sens!J5601+Sens!J5604+Sens!J5605+Sens!J5606</f>
        <v>385.45822492289</v>
      </c>
      <c r="K5607" s="6" t="n">
        <f aca="false">Sens!K5601+Sens!K5604+Sens!K5605+Sens!K5606</f>
        <v>414.668587522713</v>
      </c>
    </row>
    <row r="5608" customFormat="false" ht="17.15" hidden="false" customHeight="false" outlineLevel="0" collapsed="false">
      <c r="A5608" s="0" t="s">
        <v>955</v>
      </c>
      <c r="B5608" s="0" t="s">
        <v>98</v>
      </c>
      <c r="F5608" s="6" t="n">
        <f aca="false">Sens!F5517</f>
        <v>160.332875871467</v>
      </c>
      <c r="G5608" s="6" t="n">
        <f aca="false">Sens!G5517</f>
        <v>183.5741804832</v>
      </c>
      <c r="H5608" s="6" t="n">
        <f aca="false">Sens!H5517</f>
        <v>188.0802859104</v>
      </c>
      <c r="I5608" s="6" t="n">
        <f aca="false">Sens!I5517</f>
        <v>163.706669154245</v>
      </c>
      <c r="J5608" s="6" t="n">
        <f aca="false">Sens!J5517</f>
        <v>127.181436594242</v>
      </c>
      <c r="K5608" s="6" t="n">
        <f aca="false">Sens!K5517</f>
        <v>121.407415303591</v>
      </c>
    </row>
    <row r="5609" customFormat="false" ht="17.15" hidden="false" customHeight="false" outlineLevel="0" collapsed="false">
      <c r="A5609" s="1" t="s">
        <v>956</v>
      </c>
      <c r="B5609" s="0" t="s">
        <v>98</v>
      </c>
      <c r="E5609" s="6" t="n">
        <f aca="false">Sens!E5525*cx_azo+Sens!E5532*cx_m365+Sens!E5533*cx_lic+(Sens!E5535+Sens!E5537)*cx_ind+Sens!E5540*cx_srch+(Sens!E5542+Sens!E5544)*cx_dev</f>
        <v>30.1846587067718</v>
      </c>
      <c r="F5609" s="6" t="n">
        <f aca="false">Sens!F5525*cx_azo+Sens!F5532*cx_m365+Sens!F5533*cx_lic+(Sens!F5535+Sens!F5537)*cx_ind+Sens!F5540*cx_srch+(Sens!F5542+Sens!F5544)*cx_dev</f>
        <v>35.4293472295625</v>
      </c>
      <c r="G5609" s="6" t="n">
        <f aca="false">Sens!G5525*cx_azo+Sens!G5532*cx_m365+Sens!G5533*cx_lic+(Sens!G5535+Sens!G5537)*cx_ind+Sens!G5540*cx_srch+(Sens!G5542+Sens!G5544)*cx_dev</f>
        <v>40.7028935703892</v>
      </c>
      <c r="H5609" s="6" t="n">
        <f aca="false">Sens!H5525*cx_azo+Sens!H5532*cx_m365+Sens!H5533*cx_lic+(Sens!H5535+Sens!H5537)*cx_ind+Sens!H5540*cx_srch+(Sens!H5542+Sens!H5544)*cx_dev</f>
        <v>46.0615136440897</v>
      </c>
      <c r="I5609" s="6" t="n">
        <f aca="false">Sens!I5525*cx_azo+Sens!I5532*cx_m365+Sens!I5533*cx_lic+(Sens!I5535+Sens!I5537)*cx_ind+Sens!I5540*cx_srch+(Sens!I5542+Sens!I5544)*cx_dev</f>
        <v>51.2234003116439</v>
      </c>
      <c r="J5609" s="6" t="n">
        <f aca="false">Sens!J5525*cx_azo+Sens!J5532*cx_m365+Sens!J5533*cx_lic+(Sens!J5535+Sens!J5537)*cx_ind+Sens!J5540*cx_srch+(Sens!J5542+Sens!J5544)*cx_dev</f>
        <v>55.9559132503738</v>
      </c>
      <c r="K5609" s="6" t="n">
        <f aca="false">Sens!K5525*cx_azo+Sens!K5532*cx_m365+Sens!K5533*cx_lic+(Sens!K5535+Sens!K5537)*cx_ind+Sens!K5540*cx_srch+(Sens!K5542+Sens!K5544)*cx_dev</f>
        <v>60.093702741994</v>
      </c>
    </row>
    <row r="5610" customFormat="false" ht="17.15" hidden="false" customHeight="false" outlineLevel="0" collapsed="false">
      <c r="A5610" s="0" t="s">
        <v>957</v>
      </c>
      <c r="B5610" s="0" t="s">
        <v>98</v>
      </c>
      <c r="F5610" s="6" t="n">
        <f aca="false">Sens!F5515</f>
        <v>8.43777689897088</v>
      </c>
      <c r="L5610" s="1" t="s">
        <v>958</v>
      </c>
    </row>
    <row r="5611" customFormat="false" ht="17.15" hidden="false" customHeight="false" outlineLevel="0" collapsed="false">
      <c r="A5611" s="1" t="s">
        <v>959</v>
      </c>
      <c r="B5611" s="0" t="s">
        <v>98</v>
      </c>
      <c r="E5611" s="6" t="n">
        <f aca="false">Q!M42</f>
        <v>145.3</v>
      </c>
      <c r="F5611" s="6" t="n">
        <f aca="false">Sens!F5608+Sens!F5609+Sens!F5610</f>
        <v>204.2</v>
      </c>
      <c r="G5611" s="6" t="n">
        <f aca="false">Sens!G5608+Sens!G5609</f>
        <v>224.277074053589</v>
      </c>
      <c r="H5611" s="6" t="n">
        <f aca="false">Sens!H5608+Sens!H5609</f>
        <v>234.14179955449</v>
      </c>
      <c r="I5611" s="6" t="n">
        <f aca="false">Sens!I5608+Sens!I5609</f>
        <v>214.930069465889</v>
      </c>
      <c r="J5611" s="6" t="n">
        <f aca="false">Sens!J5608+Sens!J5609</f>
        <v>183.137349844616</v>
      </c>
      <c r="K5611" s="6" t="n">
        <f aca="false">Sens!K5608+Sens!K5609</f>
        <v>181.501118045585</v>
      </c>
      <c r="L5611" s="1" t="s">
        <v>960</v>
      </c>
    </row>
    <row r="5612" customFormat="false" ht="15" hidden="false" customHeight="false" outlineLevel="0" collapsed="false">
      <c r="A5612" s="1" t="s">
        <v>961</v>
      </c>
      <c r="B5612" s="0" t="s">
        <v>98</v>
      </c>
      <c r="E5612" s="6" t="n">
        <f aca="false">fl_liab</f>
        <v>66.594</v>
      </c>
      <c r="F5612" s="6" t="n">
        <f aca="false">Sens!E5612-Sens!F5613</f>
        <v>62.46973</v>
      </c>
      <c r="G5612" s="6" t="n">
        <f aca="false">Sens!F5612-Sens!G5613</f>
        <v>57.98686785</v>
      </c>
      <c r="H5612" s="6" t="n">
        <f aca="false">Sens!G5612-Sens!H5613</f>
        <v>53.92827690325</v>
      </c>
      <c r="I5612" s="6" t="n">
        <f aca="false">Sens!H5612-Sens!I5613</f>
        <v>49.7850493638962</v>
      </c>
      <c r="J5612" s="6" t="n">
        <f aca="false">Sens!I5612-Sens!J5613</f>
        <v>45.4823765852716</v>
      </c>
      <c r="K5612" s="6" t="n">
        <f aca="false">Sens!J5612-Sens!K5613</f>
        <v>40.9860835316088</v>
      </c>
    </row>
    <row r="5613" customFormat="false" ht="15" hidden="false" customHeight="false" outlineLevel="0" collapsed="false">
      <c r="A5613" s="1" t="s">
        <v>962</v>
      </c>
      <c r="B5613" s="0" t="s">
        <v>98</v>
      </c>
      <c r="F5613" s="6" t="n">
        <f aca="false">fl_pay_27-Sens!E5612*fl_rate</f>
        <v>4.12427</v>
      </c>
      <c r="G5613" s="6" t="n">
        <f aca="false">fl_pay_28-Sens!F5612*fl_rate</f>
        <v>4.48286215</v>
      </c>
      <c r="H5613" s="6" t="n">
        <f aca="false">fl_pay_29-Sens!G5612*fl_rate</f>
        <v>4.05859094675</v>
      </c>
      <c r="I5613" s="6" t="n">
        <f aca="false">fl_pay_30-Sens!H5612*fl_rate</f>
        <v>4.14322753935375</v>
      </c>
      <c r="J5613" s="6" t="n">
        <f aca="false">fl_pay_31-Sens!I5612*fl_rate</f>
        <v>4.30267277862467</v>
      </c>
      <c r="K5613" s="6" t="n">
        <f aca="false">fl_pay_32-Sens!J5612*fl_rate</f>
        <v>4.49629305366278</v>
      </c>
    </row>
    <row r="5614" customFormat="false" ht="17.15" hidden="false" customHeight="false" outlineLevel="0" collapsed="false">
      <c r="A5614" s="1" t="s">
        <v>963</v>
      </c>
      <c r="B5614" s="0" t="s">
        <v>98</v>
      </c>
      <c r="E5614" s="6" t="n">
        <f aca="false">Q!M35-Q!M36-Q!M43</f>
        <v>63.886</v>
      </c>
      <c r="F5614" s="6" t="n">
        <f aca="false">Sens!F5607-Sens!F5611-Sens!F5613</f>
        <v>0.485078765528721</v>
      </c>
      <c r="G5614" s="6" t="n">
        <f aca="false">Sens!G5607-Sens!G5611-Sens!G5613</f>
        <v>29.7579835620696</v>
      </c>
      <c r="H5614" s="6" t="n">
        <f aca="false">Sens!H5607-Sens!H5611-Sens!H5613</f>
        <v>67.3295718620098</v>
      </c>
      <c r="I5614" s="6" t="n">
        <f aca="false">Sens!I5607-Sens!I5611-Sens!I5613</f>
        <v>130.291788942673</v>
      </c>
      <c r="J5614" s="6" t="n">
        <f aca="false">Sens!J5607-Sens!J5611-Sens!J5613</f>
        <v>198.018202299649</v>
      </c>
      <c r="K5614" s="6" t="n">
        <f aca="false">Sens!K5607-Sens!K5611-Sens!K5613</f>
        <v>228.671176423466</v>
      </c>
      <c r="L5614" s="11" t="s">
        <v>964</v>
      </c>
    </row>
    <row r="5615" customFormat="false" ht="15" hidden="false" customHeight="false" outlineLevel="0" collapsed="false">
      <c r="A5615" s="1" t="s">
        <v>965</v>
      </c>
      <c r="B5615" s="0" t="s">
        <v>75</v>
      </c>
      <c r="F5615" s="8" t="n">
        <f aca="false">dps_27</f>
        <v>3.85</v>
      </c>
      <c r="G5615" s="8" t="n">
        <f aca="false">Sens!F5615*(1+dps_g)</f>
        <v>4.158</v>
      </c>
      <c r="H5615" s="8" t="n">
        <f aca="false">Sens!G5615*(1+dps_g)</f>
        <v>4.49064</v>
      </c>
      <c r="I5615" s="8" t="n">
        <f aca="false">Sens!H5615*(1+dps_g)</f>
        <v>4.8498912</v>
      </c>
      <c r="J5615" s="8" t="n">
        <f aca="false">Sens!I5615*(1+dps_g)</f>
        <v>5.237882496</v>
      </c>
      <c r="K5615" s="8" t="n">
        <f aca="false">Sens!J5615*(1+dps_g)</f>
        <v>5.65691309568</v>
      </c>
    </row>
    <row r="5616" customFormat="false" ht="17.15" hidden="false" customHeight="false" outlineLevel="0" collapsed="false">
      <c r="A5616" s="1" t="s">
        <v>966</v>
      </c>
      <c r="B5616" s="0" t="s">
        <v>98</v>
      </c>
      <c r="E5616" s="6" t="n">
        <f aca="false">Q!M41</f>
        <v>26.445</v>
      </c>
      <c r="F5616" s="6" t="n">
        <f aca="false">Sens!F5615*Sens!E5625</f>
        <v>28.59395</v>
      </c>
      <c r="G5616" s="6" t="n">
        <f aca="false">Sens!G5615*Sens!F5625</f>
        <v>31.068576</v>
      </c>
      <c r="H5616" s="6" t="n">
        <f aca="false">Sens!H5615*Sens!G5625</f>
        <v>33.75614088</v>
      </c>
      <c r="I5616" s="6" t="n">
        <f aca="false">Sens!I5615*Sens!H5625</f>
        <v>36.5075713903995</v>
      </c>
      <c r="J5616" s="6" t="n">
        <f aca="false">Sens!J5615*Sens!I5625</f>
        <v>39.4965759499509</v>
      </c>
      <c r="K5616" s="6" t="n">
        <f aca="false">Sens!K5615*Sens!J5625</f>
        <v>42.743557251252</v>
      </c>
      <c r="L5616" s="1" t="s">
        <v>967</v>
      </c>
    </row>
    <row r="5617" customFormat="false" ht="15" hidden="false" customHeight="false" outlineLevel="0" collapsed="false">
      <c r="A5617" s="1" t="s">
        <v>968</v>
      </c>
      <c r="B5617" s="0" t="s">
        <v>98</v>
      </c>
      <c r="E5617" s="6" t="n">
        <f aca="false">Sens!E5614-Sens!E5616</f>
        <v>37.441</v>
      </c>
      <c r="F5617" s="6" t="n">
        <f aca="false">Sens!F5614-Sens!F5616</f>
        <v>-28.1088712344713</v>
      </c>
      <c r="G5617" s="6" t="n">
        <f aca="false">Sens!G5614-Sens!G5616</f>
        <v>-1.31059243793044</v>
      </c>
      <c r="H5617" s="6" t="n">
        <f aca="false">Sens!H5614-Sens!H5616</f>
        <v>33.5734309820098</v>
      </c>
      <c r="I5617" s="6" t="n">
        <f aca="false">Sens!I5614-Sens!I5616</f>
        <v>93.7842175522739</v>
      </c>
      <c r="J5617" s="6" t="n">
        <f aca="false">Sens!J5614-Sens!J5616</f>
        <v>158.521626349698</v>
      </c>
      <c r="K5617" s="6" t="n">
        <f aca="false">Sens!K5614-Sens!K5616</f>
        <v>185.927619172214</v>
      </c>
    </row>
    <row r="5618" customFormat="false" ht="15" hidden="false" customHeight="false" outlineLevel="0" collapsed="false">
      <c r="A5618" s="1" t="s">
        <v>969</v>
      </c>
      <c r="B5618" s="0" t="s">
        <v>98</v>
      </c>
      <c r="F5618" s="6" t="n">
        <f aca="false">debt_mat_27</f>
        <v>9.25</v>
      </c>
      <c r="G5618" s="6" t="n">
        <f aca="false">debt_mat_28</f>
        <v>0</v>
      </c>
      <c r="H5618" s="6" t="n">
        <f aca="false">debt_mat_29</f>
        <v>2.001</v>
      </c>
      <c r="I5618" s="6" t="n">
        <f aca="false">debt_mat_30</f>
        <v>0</v>
      </c>
      <c r="J5618" s="6" t="n">
        <f aca="false">debt_mat_31</f>
        <v>0.5</v>
      </c>
      <c r="K5618" s="6" t="n">
        <f aca="false">debt_mat_32</f>
        <v>0</v>
      </c>
    </row>
    <row r="5619" customFormat="false" ht="15" hidden="false" customHeight="false" outlineLevel="0" collapsed="false">
      <c r="A5619" s="1" t="s">
        <v>970</v>
      </c>
      <c r="B5619" s="0" t="s">
        <v>98</v>
      </c>
      <c r="E5619" s="6" t="n">
        <f aca="false">Q!M40</f>
        <v>22.271</v>
      </c>
      <c r="F5619" s="6" t="n">
        <f aca="false">MAX(0,MIN(bb_target,Sens!E5621+Sens!F5617-Sens!F5618-min_cash))</f>
        <v>0</v>
      </c>
      <c r="G5619" s="6" t="n">
        <f aca="false">MAX(0,MIN(bb_target,Sens!F5621+Sens!G5617-Sens!G5618-min_cash))</f>
        <v>0</v>
      </c>
      <c r="H5619" s="6" t="n">
        <f aca="false">MAX(0,MIN(bb_target,Sens!G5621+Sens!H5617-Sens!H5618-min_cash))</f>
        <v>22.271</v>
      </c>
      <c r="I5619" s="6" t="n">
        <f aca="false">MAX(0,MIN(bb_target,Sens!H5621+Sens!I5617-Sens!I5618-min_cash))</f>
        <v>22.271</v>
      </c>
      <c r="J5619" s="6" t="n">
        <f aca="false">MAX(0,MIN(bb_target,Sens!I5621+Sens!J5617-Sens!J5618-min_cash))</f>
        <v>22.271</v>
      </c>
      <c r="K5619" s="6" t="n">
        <f aca="false">MAX(0,MIN(bb_target,Sens!J5621+Sens!K5617-Sens!K5618-min_cash))</f>
        <v>22.271</v>
      </c>
    </row>
    <row r="5620" customFormat="false" ht="15" hidden="false" customHeight="false" outlineLevel="0" collapsed="false">
      <c r="A5620" s="1" t="s">
        <v>971</v>
      </c>
      <c r="B5620" s="0" t="s">
        <v>98</v>
      </c>
      <c r="F5620" s="6" t="n">
        <f aca="false">MAX(0,min_cash-(Sens!E5621+Sens!F5617-Sens!F5618-Sens!F5619))</f>
        <v>10.5158712344713</v>
      </c>
      <c r="G5620" s="6" t="n">
        <f aca="false">MAX(0,min_cash-(Sens!F5621+Sens!G5617-Sens!G5618-Sens!G5619))</f>
        <v>1.31059243793044</v>
      </c>
      <c r="H5620" s="6" t="n">
        <f aca="false">MAX(0,min_cash-(Sens!G5621+Sens!H5617-Sens!H5618-Sens!H5619))</f>
        <v>0</v>
      </c>
      <c r="I5620" s="6" t="n">
        <f aca="false">MAX(0,min_cash-(Sens!H5621+Sens!I5617-Sens!I5618-Sens!I5619))</f>
        <v>0</v>
      </c>
      <c r="J5620" s="6" t="n">
        <f aca="false">MAX(0,min_cash-(Sens!I5621+Sens!J5617-Sens!J5618-Sens!J5619))</f>
        <v>0</v>
      </c>
      <c r="K5620" s="6" t="n">
        <f aca="false">MAX(0,min_cash-(Sens!J5621+Sens!K5617-Sens!K5618-Sens!K5619))</f>
        <v>0</v>
      </c>
    </row>
    <row r="5621" customFormat="false" ht="15" hidden="false" customHeight="false" outlineLevel="0" collapsed="false">
      <c r="A5621" s="1" t="s">
        <v>972</v>
      </c>
      <c r="B5621" s="0" t="s">
        <v>98</v>
      </c>
      <c r="E5621" s="6" t="n">
        <f aca="false">cash_open</f>
        <v>76.843</v>
      </c>
      <c r="F5621" s="6" t="n">
        <f aca="false">Sens!E5621+Sens!F5617-Sens!F5618-Sens!F5619+Sens!F5620</f>
        <v>50</v>
      </c>
      <c r="G5621" s="6" t="n">
        <f aca="false">Sens!F5621+Sens!G5617-Sens!G5618-Sens!G5619+Sens!G5620</f>
        <v>50</v>
      </c>
      <c r="H5621" s="6" t="n">
        <f aca="false">Sens!G5621+Sens!H5617-Sens!H5618-Sens!H5619+Sens!H5620</f>
        <v>59.3014309820098</v>
      </c>
      <c r="I5621" s="6" t="n">
        <f aca="false">Sens!H5621+Sens!I5617-Sens!I5618-Sens!I5619+Sens!I5620</f>
        <v>130.814648534284</v>
      </c>
      <c r="J5621" s="6" t="n">
        <f aca="false">Sens!I5621+Sens!J5617-Sens!J5618-Sens!J5619+Sens!J5620</f>
        <v>266.565274883982</v>
      </c>
      <c r="K5621" s="6" t="n">
        <f aca="false">Sens!J5621+Sens!K5617-Sens!K5618-Sens!K5619+Sens!K5620</f>
        <v>430.221894056196</v>
      </c>
    </row>
    <row r="5622" customFormat="false" ht="15" hidden="false" customHeight="false" outlineLevel="0" collapsed="false">
      <c r="A5622" s="1" t="s">
        <v>973</v>
      </c>
      <c r="B5622" s="0" t="s">
        <v>98</v>
      </c>
      <c r="E5622" s="6" t="n">
        <f aca="false">debt_face</f>
        <v>46.136</v>
      </c>
      <c r="F5622" s="6" t="n">
        <f aca="false">Sens!E5622-Sens!F5618+Sens!F5620</f>
        <v>47.4018712344713</v>
      </c>
      <c r="G5622" s="6" t="n">
        <f aca="false">Sens!F5622-Sens!G5618+Sens!G5620</f>
        <v>48.7124636724017</v>
      </c>
      <c r="H5622" s="6" t="n">
        <f aca="false">Sens!G5622-Sens!H5618+Sens!H5620</f>
        <v>46.7114636724017</v>
      </c>
      <c r="I5622" s="6" t="n">
        <f aca="false">Sens!H5622-Sens!I5618+Sens!I5620</f>
        <v>46.7114636724017</v>
      </c>
      <c r="J5622" s="6" t="n">
        <f aca="false">Sens!I5622-Sens!J5618+Sens!J5620</f>
        <v>46.2114636724017</v>
      </c>
      <c r="K5622" s="6" t="n">
        <f aca="false">Sens!J5622-Sens!K5618+Sens!K5620</f>
        <v>46.2114636724017</v>
      </c>
    </row>
    <row r="5623" customFormat="false" ht="15" hidden="false" customHeight="false" outlineLevel="0" collapsed="false">
      <c r="A5623" s="1" t="s">
        <v>974</v>
      </c>
      <c r="B5623" s="0" t="s">
        <v>98</v>
      </c>
      <c r="E5623" s="6" t="n">
        <f aca="false">Sens!E5621-Sens!E5622</f>
        <v>30.707</v>
      </c>
      <c r="F5623" s="6" t="n">
        <f aca="false">Sens!F5621-Sens!F5622</f>
        <v>2.59812876552872</v>
      </c>
      <c r="G5623" s="6" t="n">
        <f aca="false">Sens!G5621-Sens!G5622</f>
        <v>1.28753632759828</v>
      </c>
      <c r="H5623" s="6" t="n">
        <f aca="false">Sens!H5621-Sens!H5622</f>
        <v>12.5899673096081</v>
      </c>
      <c r="I5623" s="6" t="n">
        <f aca="false">Sens!I5621-Sens!I5622</f>
        <v>84.1031848618819</v>
      </c>
      <c r="J5623" s="6" t="n">
        <f aca="false">Sens!J5621-Sens!J5622</f>
        <v>220.35381121158</v>
      </c>
      <c r="K5623" s="6" t="n">
        <f aca="false">Sens!K5621-Sens!K5622</f>
        <v>384.010430383794</v>
      </c>
    </row>
    <row r="5624" customFormat="false" ht="15" hidden="false" customHeight="false" outlineLevel="0" collapsed="false">
      <c r="A5624" s="1" t="s">
        <v>975</v>
      </c>
      <c r="B5624" s="0" t="s">
        <v>75</v>
      </c>
      <c r="F5624" s="29" t="n">
        <f aca="false">px*(1+bb_g)^(Sens!F5486-base_fy-mid_yr)</f>
        <v>553.494156066711</v>
      </c>
      <c r="G5624" s="29" t="n">
        <f aca="false">px*(1+bb_g)^(Sens!G5486-base_fy-mid_yr)</f>
        <v>597.773688552047</v>
      </c>
      <c r="H5624" s="29" t="n">
        <f aca="false">px*(1+bb_g)^(Sens!H5486-base_fy-mid_yr)</f>
        <v>645.595583636211</v>
      </c>
      <c r="I5624" s="29" t="n">
        <f aca="false">px*(1+bb_g)^(Sens!I5486-base_fy-mid_yr)</f>
        <v>697.243230327108</v>
      </c>
      <c r="J5624" s="29" t="n">
        <f aca="false">px*(1+bb_g)^(Sens!J5486-base_fy-mid_yr)</f>
        <v>753.022688753277</v>
      </c>
      <c r="K5624" s="29" t="n">
        <f aca="false">px*(1+bb_g)^(Sens!K5486-base_fy-mid_yr)</f>
        <v>813.264503853539</v>
      </c>
    </row>
    <row r="5625" customFormat="false" ht="15" hidden="false" customHeight="false" outlineLevel="0" collapsed="false">
      <c r="A5625" s="1" t="s">
        <v>976</v>
      </c>
      <c r="B5625" s="1" t="s">
        <v>81</v>
      </c>
      <c r="E5625" s="14" t="n">
        <f aca="false">sh_out26</f>
        <v>7.427</v>
      </c>
      <c r="F5625" s="14" t="n">
        <f aca="false">Sens!E5625+sh_iss-Sens!F5619/Sens!F5624</f>
        <v>7.472</v>
      </c>
      <c r="G5625" s="14" t="n">
        <f aca="false">Sens!F5625+sh_iss-Sens!G5619/Sens!G5624</f>
        <v>7.517</v>
      </c>
      <c r="H5625" s="14" t="n">
        <f aca="false">Sens!G5625+sh_iss-Sens!H5619/Sens!H5624</f>
        <v>7.5275031716999</v>
      </c>
      <c r="I5625" s="14" t="n">
        <f aca="false">Sens!H5625+sh_iss-Sens!I5619/Sens!I5624</f>
        <v>7.54056166401463</v>
      </c>
      <c r="J5625" s="14" t="n">
        <f aca="false">Sens!I5625+sh_iss-Sens!J5619/Sens!J5624</f>
        <v>7.55598619393567</v>
      </c>
      <c r="K5625" s="14" t="n">
        <f aca="false">Sens!J5625+sh_iss-Sens!K5619/Sens!K5624</f>
        <v>7.57360149941811</v>
      </c>
    </row>
    <row r="5626" customFormat="false" ht="15" hidden="false" customHeight="false" outlineLevel="0" collapsed="false">
      <c r="A5626" s="1" t="s">
        <v>977</v>
      </c>
      <c r="B5626" s="1" t="s">
        <v>81</v>
      </c>
      <c r="E5626" s="14" t="n">
        <f aca="false">sh_dil26</f>
        <v>7.453</v>
      </c>
      <c r="F5626" s="14" t="n">
        <f aca="false">(Sens!E5625+Sens!F5625)/2+dil_gap</f>
        <v>7.4735</v>
      </c>
      <c r="G5626" s="14" t="n">
        <f aca="false">(Sens!F5625+Sens!G5625)/2+dil_gap</f>
        <v>7.5185</v>
      </c>
      <c r="H5626" s="14" t="n">
        <f aca="false">(Sens!G5625+Sens!H5625)/2+dil_gap</f>
        <v>7.54625158584995</v>
      </c>
      <c r="I5626" s="14" t="n">
        <f aca="false">(Sens!H5625+Sens!I5625)/2+dil_gap</f>
        <v>7.55803241785726</v>
      </c>
      <c r="J5626" s="14" t="n">
        <f aca="false">(Sens!I5625+Sens!J5625)/2+dil_gap</f>
        <v>7.57227392897515</v>
      </c>
      <c r="K5626" s="14" t="n">
        <f aca="false">(Sens!J5625+Sens!K5625)/2+dil_gap</f>
        <v>7.58879384667689</v>
      </c>
    </row>
    <row r="5627" customFormat="false" ht="17.15" hidden="false" customHeight="false" outlineLevel="0" collapsed="false">
      <c r="A5627" s="1" t="s">
        <v>978</v>
      </c>
      <c r="B5627" s="0" t="s">
        <v>98</v>
      </c>
      <c r="C5627" s="6" t="n">
        <f aca="false">SUM(Sens!F5617:J5617)</f>
        <v>256.45981121158</v>
      </c>
    </row>
    <row r="5628" customFormat="false" ht="15" hidden="false" customHeight="false" outlineLevel="0" collapsed="false">
      <c r="A5628" s="23" t="s">
        <v>945</v>
      </c>
      <c r="B5628" s="30" t="s">
        <v>98</v>
      </c>
      <c r="C5628" s="24" t="n">
        <f aca="false">Sens!$C$5627-(Sens!F5617+Sens!G5617+Sens!H5617+Sens!I5617+Sens!J5617)</f>
        <v>0</v>
      </c>
      <c r="D5628" s="30"/>
      <c r="E5628" s="30"/>
      <c r="F5628" s="30"/>
      <c r="G5628" s="30"/>
      <c r="H5628" s="30"/>
      <c r="I5628" s="30"/>
      <c r="J5628" s="30"/>
      <c r="K5628" s="30"/>
    </row>
    <row r="5629" customFormat="false" ht="17.15" hidden="false" customHeight="false" outlineLevel="0" collapsed="false">
      <c r="A5629" s="1" t="s">
        <v>939</v>
      </c>
      <c r="B5629" s="1" t="s">
        <v>979</v>
      </c>
      <c r="C5629" s="32" t="str">
        <f aca="false">IF(SUM(Sens!F5620:J5620)&gt;0.05,"需要舉債 "&amp;TEXT(SUM(Sens!F5620:J5620),"0.0")&amp;" 十億美元","不需舉債")&amp;"；"&amp;IF(SUM(Sens!F5619:J5619)&lt;COUNT(Sens!F5619:J5619)*bb_target-0.05,"回購較每年 "&amp;TEXT(bb_target,"0.0")&amp;" 的目標少 "&amp;TEXT(COUNT(Sens!F5619:J5619)*bb_target-SUM(Sens!F5619:J5619),"0.0")&amp;" 十億美元（"&amp;TEXT(COUNTIF(Sens!F5619:J5619,"&lt;"&amp;(bb_target-0.05)),"0")&amp;" 年減少）","回購不減")</f>
        <v>需要舉債 11.8 十億美元；回購較每年 22.3 的目標少 44.5 十億美元（2 年減少）</v>
      </c>
    </row>
    <row r="5630" customFormat="false" ht="17.15" hidden="false" customHeight="false" outlineLevel="0" collapsed="false">
      <c r="A5630" s="3" t="s">
        <v>1406</v>
      </c>
    </row>
    <row r="5631" customFormat="false" ht="15" hidden="false" customHeight="false" outlineLevel="0" collapsed="false">
      <c r="A5631" s="4" t="s">
        <v>43</v>
      </c>
      <c r="B5631" s="4" t="s">
        <v>65</v>
      </c>
      <c r="C5631" s="20" t="s">
        <v>799</v>
      </c>
      <c r="D5631" s="20" t="s">
        <v>800</v>
      </c>
      <c r="E5631" s="20" t="s">
        <v>801</v>
      </c>
      <c r="F5631" s="20" t="s">
        <v>802</v>
      </c>
      <c r="G5631" s="20" t="s">
        <v>803</v>
      </c>
      <c r="H5631" s="20" t="s">
        <v>804</v>
      </c>
      <c r="I5631" s="20" t="s">
        <v>805</v>
      </c>
      <c r="J5631" s="20" t="s">
        <v>806</v>
      </c>
      <c r="K5631" s="20" t="s">
        <v>807</v>
      </c>
      <c r="L5631" s="4" t="s">
        <v>47</v>
      </c>
    </row>
    <row r="5632" customFormat="false" ht="15" hidden="false" customHeight="false" outlineLevel="0" collapsed="false">
      <c r="A5632" s="1" t="s">
        <v>1057</v>
      </c>
      <c r="B5632" s="1" t="s">
        <v>235</v>
      </c>
      <c r="F5632" s="36" t="n">
        <f aca="false">Sens!F5486-base_fy-mid_yr</f>
        <v>0.5</v>
      </c>
      <c r="G5632" s="36" t="n">
        <f aca="false">Sens!G5486-base_fy-mid_yr</f>
        <v>1.5</v>
      </c>
      <c r="H5632" s="36" t="n">
        <f aca="false">Sens!H5486-base_fy-mid_yr</f>
        <v>2.5</v>
      </c>
      <c r="I5632" s="36" t="n">
        <f aca="false">Sens!I5486-base_fy-mid_yr</f>
        <v>3.5</v>
      </c>
      <c r="J5632" s="36" t="n">
        <f aca="false">Sens!J5486-base_fy-mid_yr</f>
        <v>4.5</v>
      </c>
      <c r="K5632" s="36" t="n">
        <f aca="false">Sens!K5486-base_fy-mid_yr</f>
        <v>5.5</v>
      </c>
    </row>
    <row r="5633" customFormat="false" ht="15" hidden="false" customHeight="false" outlineLevel="0" collapsed="false">
      <c r="A5633" s="1" t="s">
        <v>1058</v>
      </c>
      <c r="B5633" s="0" t="s">
        <v>185</v>
      </c>
      <c r="F5633" s="14" t="n">
        <f aca="false">1/(1+wacc)^Sens!F5632</f>
        <v>0.952193373608246</v>
      </c>
      <c r="G5633" s="14" t="n">
        <f aca="false">1/(1+wacc)^Sens!G5632</f>
        <v>0.863327280626589</v>
      </c>
      <c r="H5633" s="14" t="n">
        <f aca="false">1/(1+wacc)^Sens!H5632</f>
        <v>0.782754862754115</v>
      </c>
      <c r="I5633" s="14" t="n">
        <f aca="false">1/(1+wacc)^Sens!I5632</f>
        <v>0.709702089711011</v>
      </c>
      <c r="J5633" s="14" t="n">
        <f aca="false">1/(1+wacc)^Sens!J5632</f>
        <v>0.643467169744551</v>
      </c>
      <c r="K5633" s="14" t="n">
        <f aca="false">1/(1+wacc)^Sens!K5632</f>
        <v>0.583413807767797</v>
      </c>
    </row>
    <row r="5634" customFormat="false" ht="17.15" hidden="false" customHeight="false" outlineLevel="0" collapsed="false">
      <c r="A5634" s="1" t="s">
        <v>1059</v>
      </c>
      <c r="B5634" s="0" t="s">
        <v>98</v>
      </c>
      <c r="F5634" s="6" t="n">
        <f aca="false">Sens!F5607-Sens!F5605-Sens!F5611+Sens!F5590*(1-tax_f)</f>
        <v>-2.14116264917937</v>
      </c>
      <c r="G5634" s="6" t="n">
        <f aca="false">Sens!G5607-Sens!G5605-Sens!G5611+Sens!G5590*(1-tax_f)</f>
        <v>37.848107220124</v>
      </c>
      <c r="H5634" s="6" t="n">
        <f aca="false">Sens!H5607-Sens!H5605-Sens!H5611+Sens!H5590*(1-tax_f)</f>
        <v>86.5136436072133</v>
      </c>
      <c r="I5634" s="6" t="n">
        <f aca="false">Sens!I5607-Sens!I5605-Sens!I5611+Sens!I5590*(1-tax_f)</f>
        <v>159.862826951333</v>
      </c>
      <c r="J5634" s="6" t="n">
        <f aca="false">Sens!J5607-Sens!J5605-Sens!J5611+Sens!J5590*(1-tax_f)</f>
        <v>234.700081061847</v>
      </c>
      <c r="K5634" s="6" t="n">
        <f aca="false">Sens!K5607-Sens!K5605-Sens!K5611+Sens!K5590*(1-tax_f)</f>
        <v>269.323773409649</v>
      </c>
      <c r="L5634" s="1" t="s">
        <v>1060</v>
      </c>
    </row>
    <row r="5635" customFormat="false" ht="15" hidden="false" customHeight="false" outlineLevel="0" collapsed="false">
      <c r="A5635" s="1" t="s">
        <v>1061</v>
      </c>
      <c r="B5635" s="0" t="s">
        <v>98</v>
      </c>
      <c r="F5635" s="6" t="n">
        <f aca="false">Sens!F5634*Sens!F5633</f>
        <v>-2.03880088636608</v>
      </c>
      <c r="G5635" s="6" t="n">
        <f aca="false">Sens!G5634*Sens!G5633</f>
        <v>32.6753034832132</v>
      </c>
      <c r="H5635" s="6" t="n">
        <f aca="false">Sens!H5634*Sens!H5633</f>
        <v>67.7189752281227</v>
      </c>
      <c r="I5635" s="6" t="n">
        <f aca="false">Sens!I5634*Sens!I5633</f>
        <v>113.454982354471</v>
      </c>
      <c r="J5635" s="6" t="n">
        <f aca="false">Sens!J5634*Sens!J5633</f>
        <v>151.021796899684</v>
      </c>
      <c r="K5635" s="6" t="n">
        <f aca="false">Sens!K5634*Sens!K5633</f>
        <v>157.127208167315</v>
      </c>
    </row>
    <row r="5636" customFormat="false" ht="17.15" hidden="false" customHeight="false" outlineLevel="0" collapsed="false">
      <c r="A5636" s="1" t="s">
        <v>1062</v>
      </c>
      <c r="B5636" s="0" t="s">
        <v>98</v>
      </c>
      <c r="C5636" s="6" t="n">
        <f aca="false">SUM(Sens!F5635:K5635)</f>
        <v>519.959465246439</v>
      </c>
    </row>
    <row r="5637" customFormat="false" ht="17.15" hidden="false" customHeight="false" outlineLevel="0" collapsed="false">
      <c r="A5637" s="1" t="s">
        <v>1063</v>
      </c>
      <c r="B5637" s="0" t="s">
        <v>98</v>
      </c>
      <c r="C5637" s="6" t="n">
        <f aca="false">Sens!K5576*(1+g_tv)*(1-tax_f)</f>
        <v>284.678643246694</v>
      </c>
    </row>
    <row r="5638" customFormat="false" ht="17.15" hidden="false" customHeight="false" outlineLevel="0" collapsed="false">
      <c r="A5638" s="1" t="s">
        <v>1064</v>
      </c>
      <c r="B5638" s="0" t="s">
        <v>98</v>
      </c>
      <c r="C5638" s="6" t="n">
        <f aca="false">Sens!$C$5637*(1-g_tv/(wacc+ronic_prem))</f>
        <v>201.709707397101</v>
      </c>
    </row>
    <row r="5639" customFormat="false" ht="17.15" hidden="false" customHeight="false" outlineLevel="0" collapsed="false">
      <c r="A5639" s="1" t="s">
        <v>1065</v>
      </c>
      <c r="B5639" s="0" t="s">
        <v>98</v>
      </c>
      <c r="C5639" s="6" t="n">
        <f aca="false">Sens!$C$5638/(wacc-g_tv)</f>
        <v>2765.63119498642</v>
      </c>
    </row>
    <row r="5640" customFormat="false" ht="15" hidden="false" customHeight="false" outlineLevel="0" collapsed="false">
      <c r="A5640" s="1" t="s">
        <v>1066</v>
      </c>
      <c r="B5640" s="0" t="s">
        <v>98</v>
      </c>
      <c r="C5640" s="6" t="n">
        <f aca="false">Sens!$C$5639/(1+wacc)^(Sens!K5632+mid_yr)</f>
        <v>1536.37107963667</v>
      </c>
    </row>
    <row r="5641" customFormat="false" ht="17.15" hidden="false" customHeight="false" outlineLevel="0" collapsed="false">
      <c r="A5641" s="0" t="s">
        <v>986</v>
      </c>
      <c r="B5641" s="0" t="s">
        <v>98</v>
      </c>
      <c r="C5641" s="6" t="n">
        <f aca="false">Sens!$C$5636+Sens!$C$5640</f>
        <v>2056.33054488311</v>
      </c>
    </row>
    <row r="5642" customFormat="false" ht="15" hidden="false" customHeight="false" outlineLevel="0" collapsed="false">
      <c r="A5642" s="1" t="s">
        <v>987</v>
      </c>
      <c r="B5642" s="0" t="s">
        <v>129</v>
      </c>
      <c r="C5642" s="7" t="n">
        <f aca="false">Sens!$C$5640/Sens!$C$5641</f>
        <v>0.74714207959402</v>
      </c>
    </row>
    <row r="5643" customFormat="false" ht="17.15" hidden="false" customHeight="false" outlineLevel="0" collapsed="false">
      <c r="A5643" s="1" t="s">
        <v>1067</v>
      </c>
      <c r="B5643" s="0" t="s">
        <v>98</v>
      </c>
      <c r="C5643" s="6" t="n">
        <f aca="false">Sens!$C$5641+Sens!E5623-Sens!E5612+oai_v</f>
        <v>2190.84354488311</v>
      </c>
    </row>
    <row r="5644" customFormat="false" ht="17.15" hidden="false" customHeight="false" outlineLevel="0" collapsed="false">
      <c r="A5644" s="0" t="s">
        <v>994</v>
      </c>
      <c r="B5644" s="0" t="s">
        <v>75</v>
      </c>
      <c r="C5644" s="5" t="n">
        <f aca="false">Sens!$C$5643/sh_dil26</f>
        <v>293.954588069651</v>
      </c>
    </row>
    <row r="5645" customFormat="false" ht="15" hidden="false" customHeight="false" outlineLevel="0" collapsed="false">
      <c r="A5645" s="1" t="s">
        <v>1068</v>
      </c>
      <c r="B5645" s="0" t="s">
        <v>75</v>
      </c>
      <c r="C5645" s="8" t="n">
        <f aca="false">dps_27+Sens!G5615*roll_div_q/q_per_yr</f>
        <v>4.8895</v>
      </c>
    </row>
    <row r="5646" customFormat="false" ht="17.15" hidden="false" customHeight="false" outlineLevel="0" collapsed="false">
      <c r="A5646" s="0" t="s">
        <v>1069</v>
      </c>
      <c r="B5646" s="0" t="s">
        <v>75</v>
      </c>
      <c r="C5646" s="5" t="n">
        <f aca="false">Sens!$C$5644*(1+wacc)^t_roll-Sens!$C$5645</f>
        <v>329.846404439197</v>
      </c>
    </row>
    <row r="5647" customFormat="false" ht="17.15" hidden="false" customHeight="false" outlineLevel="0" collapsed="false">
      <c r="A5647" s="1" t="s">
        <v>1070</v>
      </c>
      <c r="B5647" s="0" t="s">
        <v>129</v>
      </c>
      <c r="F5647" s="7" t="n">
        <f aca="false">Sens!F5602/(Sens!F5547-Sens!F5503)</f>
        <v>0.0711475516535717</v>
      </c>
      <c r="G5647" s="7" t="n">
        <f aca="false">Sens!G5602/(Sens!G5547-Sens!G5503)</f>
        <v>0.0682588862083999</v>
      </c>
      <c r="H5647" s="7" t="n">
        <f aca="false">Sens!H5602/(Sens!H5547-Sens!H5503)</f>
        <v>0.0666622170094897</v>
      </c>
      <c r="I5647" s="7" t="n">
        <f aca="false">Sens!I5602/(Sens!I5547-Sens!I5503)</f>
        <v>0.0661991449367101</v>
      </c>
      <c r="J5647" s="7" t="n">
        <f aca="false">Sens!J5602/(Sens!J5547-Sens!J5503)</f>
        <v>0.0666400583966394</v>
      </c>
      <c r="K5647" s="7" t="n">
        <f aca="false">Sens!K5602/(Sens!K5547-Sens!K5503)</f>
        <v>0.0677351822588561</v>
      </c>
    </row>
    <row r="5648" customFormat="false" ht="17.15" hidden="false" customHeight="false" outlineLevel="0" collapsed="false">
      <c r="A5648" s="0" t="s">
        <v>1071</v>
      </c>
      <c r="B5648" s="0" t="s">
        <v>98</v>
      </c>
      <c r="F5648" s="6" t="n">
        <f aca="false">Sens!F5532*(al_m365+Sens!F5647+sbc_r)</f>
        <v>83.1760446796226</v>
      </c>
      <c r="G5648" s="6" t="n">
        <f aca="false">Sens!G5532*(al_m365+Sens!G5647+sbc_r)</f>
        <v>93.5286621744803</v>
      </c>
      <c r="H5648" s="6" t="n">
        <f aca="false">Sens!H5532*(al_m365+Sens!H5647+sbc_r)</f>
        <v>104.041881899886</v>
      </c>
      <c r="I5648" s="6" t="n">
        <f aca="false">Sens!I5532*(al_m365+Sens!I5647+sbc_r)</f>
        <v>114.039361049722</v>
      </c>
      <c r="J5648" s="6" t="n">
        <f aca="false">Sens!J5532*(al_m365+Sens!J5647+sbc_r)</f>
        <v>123.332589690985</v>
      </c>
      <c r="K5648" s="6" t="n">
        <f aca="false">Sens!K5532*(al_m365+Sens!K5647+sbc_r)</f>
        <v>132.229319216379</v>
      </c>
      <c r="L5648" s="11" t="s">
        <v>1072</v>
      </c>
    </row>
    <row r="5649" customFormat="false" ht="17.15" hidden="false" customHeight="false" outlineLevel="0" collapsed="false">
      <c r="A5649" s="0" t="s">
        <v>1073</v>
      </c>
      <c r="B5649" s="0" t="s">
        <v>98</v>
      </c>
      <c r="F5649" s="6" t="n">
        <f aca="false">Sens!F5533*(al_lic+Sens!F5647+sbc_r)</f>
        <v>33.5445611735131</v>
      </c>
      <c r="G5649" s="6" t="n">
        <f aca="false">Sens!G5533*(al_lic+Sens!G5647+sbc_r)</f>
        <v>34.8473362891936</v>
      </c>
      <c r="H5649" s="6" t="n">
        <f aca="false">Sens!H5533*(al_lic+Sens!H5647+sbc_r)</f>
        <v>36.0608450618725</v>
      </c>
      <c r="I5649" s="6" t="n">
        <f aca="false">Sens!I5533*(al_lic+Sens!I5647+sbc_r)</f>
        <v>37.1647768367666</v>
      </c>
      <c r="J5649" s="6" t="n">
        <f aca="false">Sens!J5533*(al_lic+Sens!J5647+sbc_r)</f>
        <v>38.1353659513221</v>
      </c>
      <c r="K5649" s="6" t="n">
        <f aca="false">Sens!K5533*(al_lic+Sens!K5647+sbc_r)</f>
        <v>38.9479527536449</v>
      </c>
    </row>
    <row r="5650" customFormat="false" ht="17.15" hidden="false" customHeight="false" outlineLevel="0" collapsed="false">
      <c r="A5650" s="0" t="s">
        <v>1074</v>
      </c>
      <c r="B5650" s="0" t="s">
        <v>98</v>
      </c>
      <c r="F5650" s="6" t="n">
        <f aca="false">Sens!F5535*(al_ind+Sens!F5647+sbc_r)</f>
        <v>9.13359830063899</v>
      </c>
      <c r="G5650" s="6" t="n">
        <f aca="false">Sens!G5535*(al_ind+Sens!G5647+sbc_r)</f>
        <v>9.91355811855172</v>
      </c>
      <c r="H5650" s="6" t="n">
        <f aca="false">Sens!H5535*(al_ind+Sens!H5647+sbc_r)</f>
        <v>10.737007894057</v>
      </c>
      <c r="I5650" s="6" t="n">
        <f aca="false">Sens!I5535*(al_ind+Sens!I5647+sbc_r)</f>
        <v>11.5994300763088</v>
      </c>
      <c r="J5650" s="6" t="n">
        <f aca="false">Sens!J5535*(al_ind+Sens!J5647+sbc_r)</f>
        <v>12.4920789859702</v>
      </c>
      <c r="K5650" s="6" t="n">
        <f aca="false">Sens!K5535*(al_ind+Sens!K5647+sbc_r)</f>
        <v>13.4027551573777</v>
      </c>
    </row>
    <row r="5651" customFormat="false" ht="17.15" hidden="false" customHeight="false" outlineLevel="0" collapsed="false">
      <c r="A5651" s="0" t="s">
        <v>1075</v>
      </c>
      <c r="B5651" s="0" t="s">
        <v>98</v>
      </c>
      <c r="F5651" s="6" t="n">
        <f aca="false">Sens!F5537*(al_fro+Sens!F5647+sbc_r)</f>
        <v>3.59501635737694</v>
      </c>
      <c r="G5651" s="6" t="n">
        <f aca="false">Sens!G5537*(al_fro+Sens!G5647+sbc_r)</f>
        <v>3.80622021137838</v>
      </c>
      <c r="H5651" s="6" t="n">
        <f aca="false">Sens!H5537*(al_fro+Sens!H5647+sbc_r)</f>
        <v>4.04607207599632</v>
      </c>
      <c r="I5651" s="6" t="n">
        <f aca="false">Sens!I5537*(al_fro+Sens!I5647+sbc_r)</f>
        <v>4.31683578333903</v>
      </c>
      <c r="J5651" s="6" t="n">
        <f aca="false">Sens!J5537*(al_fro+Sens!J5647+sbc_r)</f>
        <v>4.62005087871645</v>
      </c>
      <c r="K5651" s="6" t="n">
        <f aca="false">Sens!K5537*(al_fro+Sens!K5647+sbc_r)</f>
        <v>4.95685392412327</v>
      </c>
    </row>
    <row r="5652" customFormat="false" ht="17.15" hidden="false" customHeight="false" outlineLevel="0" collapsed="false">
      <c r="A5652" s="0" t="s">
        <v>1076</v>
      </c>
      <c r="B5652" s="0" t="s">
        <v>98</v>
      </c>
      <c r="F5652" s="6" t="n">
        <f aca="false">Sens!F5540*(al_srch+Sens!F5647+sbc_r)</f>
        <v>11.2801258639919</v>
      </c>
      <c r="G5652" s="6" t="n">
        <f aca="false">Sens!G5540*(al_srch+Sens!G5647+sbc_r)</f>
        <v>12.3589086285988</v>
      </c>
      <c r="H5652" s="6" t="n">
        <f aca="false">Sens!H5540*(al_srch+Sens!H5647+sbc_r)</f>
        <v>13.4807030139583</v>
      </c>
      <c r="I5652" s="6" t="n">
        <f aca="false">Sens!I5540*(al_srch+Sens!I5647+sbc_r)</f>
        <v>14.6329459978989</v>
      </c>
      <c r="J5652" s="6" t="n">
        <f aca="false">Sens!J5540*(al_srch+Sens!J5647+sbc_r)</f>
        <v>15.7968154400613</v>
      </c>
      <c r="K5652" s="6" t="n">
        <f aca="false">Sens!K5540*(al_srch+Sens!K5647+sbc_r)</f>
        <v>16.9484078548661</v>
      </c>
    </row>
    <row r="5653" customFormat="false" ht="17.15" hidden="false" customHeight="false" outlineLevel="0" collapsed="false">
      <c r="A5653" s="0" t="s">
        <v>1077</v>
      </c>
      <c r="B5653" s="0" t="s">
        <v>98</v>
      </c>
      <c r="F5653" s="6" t="n">
        <f aca="false">Sens!F5509-Sens!F5510+Sens!F5590</f>
        <v>43.0818666989568</v>
      </c>
      <c r="G5653" s="6" t="n">
        <f aca="false">Sens!G5509-Sens!G5510+Sens!G5590</f>
        <v>82.2720618232965</v>
      </c>
      <c r="H5653" s="6" t="n">
        <f aca="false">Sens!H5509-Sens!H5510+Sens!H5590</f>
        <v>124.342713811409</v>
      </c>
      <c r="I5653" s="6" t="n">
        <f aca="false">Sens!I5509-Sens!I5510+Sens!I5590</f>
        <v>162.082090677365</v>
      </c>
      <c r="J5653" s="6" t="n">
        <f aca="false">Sens!J5509-Sens!J5510+Sens!J5590</f>
        <v>188.941488392291</v>
      </c>
      <c r="K5653" s="6" t="n">
        <f aca="false">Sens!K5509-Sens!K5510+Sens!K5590</f>
        <v>206.534239719822</v>
      </c>
    </row>
    <row r="5654" customFormat="false" ht="17.15" hidden="false" customHeight="false" outlineLevel="0" collapsed="false">
      <c r="A5654" s="0" t="s">
        <v>1078</v>
      </c>
      <c r="B5654" s="0" t="s">
        <v>98</v>
      </c>
      <c r="F5654" s="6" t="n">
        <f aca="false">Sens!F5569+Sens!F5590+Sens!F5520+Sens!F5647*(Sens!F5539-Sens!F5503)+sbc_r*Sens!F5539</f>
        <v>232.991233540299</v>
      </c>
      <c r="G5654" s="6" t="n">
        <f aca="false">Sens!G5569+Sens!G5590+Sens!G5520+Sens!G5647*(Sens!G5539-Sens!G5503)+sbc_r*Sens!G5539</f>
        <v>297.390847021843</v>
      </c>
      <c r="H5654" s="6" t="n">
        <f aca="false">Sens!H5569+Sens!H5590+Sens!H5520+Sens!H5647*(Sens!H5539-Sens!H5503)+sbc_r*Sens!H5539</f>
        <v>365.157637417877</v>
      </c>
      <c r="I5654" s="6" t="n">
        <f aca="false">Sens!I5569+Sens!I5590+Sens!I5520+Sens!I5647*(Sens!I5539-Sens!I5503)+sbc_r*Sens!I5539</f>
        <v>427.673335462033</v>
      </c>
      <c r="J5654" s="6" t="n">
        <f aca="false">Sens!J5569+Sens!J5590+Sens!J5520+Sens!J5647*(Sens!J5539-Sens!J5503)+sbc_r*Sens!J5539</f>
        <v>477.33490380356</v>
      </c>
      <c r="K5654" s="6" t="n">
        <f aca="false">Sens!K5569+Sens!K5590+Sens!K5520+Sens!K5647*(Sens!K5539-Sens!K5503)+sbc_r*Sens!K5539</f>
        <v>515.375082161514</v>
      </c>
    </row>
    <row r="5655" customFormat="false" ht="17.15" hidden="false" customHeight="false" outlineLevel="0" collapsed="false">
      <c r="A5655" s="0" t="s">
        <v>1079</v>
      </c>
      <c r="B5655" s="0" t="s">
        <v>98</v>
      </c>
      <c r="F5655" s="6" t="n">
        <f aca="false">Sens!F5654-Sens!F5648-Sens!F5649-Sens!F5650-Sens!F5651-Sens!F5653</f>
        <v>60.4601463301904</v>
      </c>
      <c r="G5655" s="6" t="n">
        <f aca="false">Sens!G5654-Sens!G5648-Sens!G5649-Sens!G5650-Sens!G5651-Sens!G5653</f>
        <v>73.0230084049424</v>
      </c>
      <c r="H5655" s="6" t="n">
        <f aca="false">Sens!H5654-Sens!H5648-Sens!H5649-Sens!H5650-Sens!H5651-Sens!H5653</f>
        <v>85.9291166746564</v>
      </c>
      <c r="I5655" s="6" t="n">
        <f aca="false">Sens!I5654-Sens!I5648-Sens!I5649-Sens!I5650-Sens!I5651-Sens!I5653</f>
        <v>98.4708410385319</v>
      </c>
      <c r="J5655" s="6" t="n">
        <f aca="false">Sens!J5654-Sens!J5648-Sens!J5649-Sens!J5650-Sens!J5651-Sens!J5653</f>
        <v>109.813329904275</v>
      </c>
      <c r="K5655" s="6" t="n">
        <f aca="false">Sens!K5654-Sens!K5648-Sens!K5649-Sens!K5650-Sens!K5651-Sens!K5653</f>
        <v>119.303961390168</v>
      </c>
    </row>
    <row r="5656" customFormat="false" ht="17.15" hidden="false" customHeight="false" outlineLevel="0" collapsed="false">
      <c r="A5656" s="0" t="s">
        <v>1080</v>
      </c>
      <c r="B5656" s="0" t="s">
        <v>98</v>
      </c>
      <c r="F5656" s="6" t="n">
        <f aca="false">Sens!F5571+Sens!F5647*Sens!F5546+sbc_r*Sens!F5546</f>
        <v>26.3652761595447</v>
      </c>
      <c r="G5656" s="6" t="n">
        <f aca="false">Sens!G5571+Sens!G5647*Sens!G5546+sbc_r*Sens!G5546</f>
        <v>26.9742866145486</v>
      </c>
      <c r="H5656" s="6" t="n">
        <f aca="false">Sens!H5571+Sens!H5647*Sens!H5546+sbc_r*Sens!H5546</f>
        <v>27.8483067679033</v>
      </c>
      <c r="I5656" s="6" t="n">
        <f aca="false">Sens!I5571+Sens!I5647*Sens!I5546+sbc_r*Sens!I5546</f>
        <v>28.9540944937551</v>
      </c>
      <c r="J5656" s="6" t="n">
        <f aca="false">Sens!J5571+Sens!J5647*Sens!J5546+sbc_r*Sens!J5546</f>
        <v>30.2591967501426</v>
      </c>
      <c r="K5656" s="6" t="n">
        <f aca="false">Sens!K5571+Sens!K5647*Sens!K5546+sbc_r*Sens!K5546</f>
        <v>31.7334012124467</v>
      </c>
    </row>
    <row r="5657" customFormat="false" ht="17.15" hidden="false" customHeight="false" outlineLevel="0" collapsed="false">
      <c r="A5657" s="0" t="s">
        <v>1081</v>
      </c>
      <c r="B5657" s="0" t="s">
        <v>98</v>
      </c>
      <c r="F5657" s="6" t="n">
        <f aca="false">(Sens!F5656-Sens!F5652)*Sens!F5542/(Sens!F5542+Sens!F5544)</f>
        <v>8.26953246478712</v>
      </c>
      <c r="G5657" s="6" t="n">
        <f aca="false">(Sens!G5656-Sens!G5652)*Sens!G5542/(Sens!G5542+Sens!G5544)</f>
        <v>7.8691542635731</v>
      </c>
      <c r="H5657" s="6" t="n">
        <f aca="false">(Sens!H5656-Sens!H5652)*Sens!H5542/(Sens!H5542+Sens!H5544)</f>
        <v>7.63125160105973</v>
      </c>
      <c r="I5657" s="6" t="n">
        <f aca="false">(Sens!I5656-Sens!I5652)*Sens!I5542/(Sens!I5542+Sens!I5544)</f>
        <v>7.53775281020212</v>
      </c>
      <c r="J5657" s="6" t="n">
        <f aca="false">(Sens!J5656-Sens!J5652)*Sens!J5542/(Sens!J5542+Sens!J5544)</f>
        <v>7.57766730524412</v>
      </c>
      <c r="K5657" s="6" t="n">
        <f aca="false">(Sens!K5656-Sens!K5652)*Sens!K5542/(Sens!K5542+Sens!K5544)</f>
        <v>7.74670217662515</v>
      </c>
    </row>
    <row r="5658" customFormat="false" ht="17.15" hidden="false" customHeight="false" outlineLevel="0" collapsed="false">
      <c r="A5658" s="0" t="s">
        <v>1082</v>
      </c>
      <c r="B5658" s="0" t="s">
        <v>98</v>
      </c>
      <c r="F5658" s="6" t="n">
        <f aca="false">Sens!F5656-Sens!F5652-Sens!F5657</f>
        <v>6.81561783076564</v>
      </c>
      <c r="G5658" s="6" t="n">
        <f aca="false">Sens!G5656-Sens!G5652-Sens!G5657</f>
        <v>6.74622372237672</v>
      </c>
      <c r="H5658" s="6" t="n">
        <f aca="false">Sens!H5656-Sens!H5652-Sens!H5657</f>
        <v>6.73635215288526</v>
      </c>
      <c r="I5658" s="6" t="n">
        <f aca="false">Sens!I5656-Sens!I5652-Sens!I5657</f>
        <v>6.78339568565411</v>
      </c>
      <c r="J5658" s="6" t="n">
        <f aca="false">Sens!J5656-Sens!J5652-Sens!J5657</f>
        <v>6.88471400483723</v>
      </c>
      <c r="K5658" s="6" t="n">
        <f aca="false">Sens!K5656-Sens!K5652-Sens!K5657</f>
        <v>7.03829118095546</v>
      </c>
    </row>
    <row r="5659" customFormat="false" ht="17.15" hidden="false" customHeight="false" outlineLevel="0" collapsed="false">
      <c r="A5659" s="0" t="s">
        <v>1083</v>
      </c>
      <c r="B5659" s="0" t="s">
        <v>98</v>
      </c>
      <c r="F5659" s="6" t="n">
        <f aca="false">Sens!F5653-tax_f*(Sens!F5653-Sens!F5520)-Sens!F5517</f>
        <v>-119.05740503611</v>
      </c>
      <c r="G5659" s="6" t="n">
        <f aca="false">Sens!G5653-tax_f*(Sens!G5653-Sens!G5520)-Sens!G5517</f>
        <v>-105.931443602461</v>
      </c>
      <c r="H5659" s="6" t="n">
        <f aca="false">Sens!H5653-tax_f*(Sens!H5653-Sens!H5520)-Sens!H5517</f>
        <v>-71.3339108926105</v>
      </c>
      <c r="I5659" s="6" t="n">
        <f aca="false">Sens!I5653-tax_f*(Sens!I5653-Sens!I5520)-Sens!I5517</f>
        <v>-11.9198478458749</v>
      </c>
      <c r="J5659" s="6" t="n">
        <f aca="false">Sens!J5653-tax_f*(Sens!J5653-Sens!J5520)-Sens!J5517</f>
        <v>49.5714186901592</v>
      </c>
      <c r="K5659" s="6" t="n">
        <f aca="false">Sens!K5653-tax_f*(Sens!K5653-Sens!K5520)-Sens!K5517</f>
        <v>71.6462692811283</v>
      </c>
    </row>
    <row r="5660" customFormat="false" ht="17.15" hidden="false" customHeight="false" outlineLevel="0" collapsed="false">
      <c r="A5660" s="0" t="s">
        <v>1084</v>
      </c>
      <c r="B5660" s="0" t="s">
        <v>98</v>
      </c>
      <c r="G5660" s="6" t="n">
        <f aca="false">Sens!G5659/(1+wacc)^(Sens!G5632-(Sens!F5632+mid_yr))</f>
        <v>-100.867218655019</v>
      </c>
      <c r="H5660" s="6" t="n">
        <f aca="false">Sens!H5659/(1+wacc)^(Sens!H5632-(Sens!F5632+mid_yr))</f>
        <v>-61.5845113073768</v>
      </c>
      <c r="I5660" s="6" t="n">
        <f aca="false">Sens!I5659/(1+wacc)^(Sens!I5632-(Sens!F5632+mid_yr))</f>
        <v>-9.33031886464775</v>
      </c>
      <c r="J5660" s="6" t="n">
        <f aca="false">Sens!J5659/(1+wacc)^(Sens!J5632-(Sens!F5632+mid_yr))</f>
        <v>35.1809394343455</v>
      </c>
      <c r="K5660" s="6" t="n">
        <f aca="false">Sens!K5659/(1+wacc)^(Sens!K5632-(Sens!F5632+mid_yr))</f>
        <v>46.1020221170836</v>
      </c>
      <c r="L5660" s="1" t="s">
        <v>1085</v>
      </c>
    </row>
    <row r="5661" customFormat="false" ht="17.15" hidden="false" customHeight="false" outlineLevel="0" collapsed="false">
      <c r="A5661" s="0" t="s">
        <v>1086</v>
      </c>
      <c r="B5661" s="0" t="s">
        <v>98</v>
      </c>
      <c r="C5661" s="6" t="n">
        <f aca="false">(Sens!K5653-Sens!K5520)*(1-tax_f)*(1+g_tv)*(1-g_tv/(wacc+ronic_prem))/(wacc-g_tv)/(1+wacc)^(Sens!K5632+mid_yr-(Sens!F5632+mid_yr))</f>
        <v>330.594724857349</v>
      </c>
    </row>
    <row r="5662" customFormat="false" ht="17.15" hidden="false" customHeight="false" outlineLevel="0" collapsed="false">
      <c r="A5662" s="1" t="s">
        <v>1087</v>
      </c>
      <c r="B5662" s="0" t="s">
        <v>98</v>
      </c>
      <c r="C5662" s="6" t="n">
        <f aca="false">(SUM(Sens!G5660:K5660)+Sens!$C$5661)*(1+wacc)^(t_roll-(Sens!F5632+mid_yr))</f>
        <v>247.888645247621</v>
      </c>
      <c r="L5662" s="11" t="s">
        <v>1088</v>
      </c>
    </row>
    <row r="5663" customFormat="false" ht="17.15" hidden="false" customHeight="false" outlineLevel="0" collapsed="false">
      <c r="A5663" s="1" t="s">
        <v>1089</v>
      </c>
      <c r="B5663" s="0" t="s">
        <v>98</v>
      </c>
      <c r="C5663" s="6" t="n">
        <f aca="false">(w_ntm28*Sens!G5509+(1-w_ntm28)*Sens!H5509)*m_ai</f>
        <v>454.922440830797</v>
      </c>
    </row>
    <row r="5664" customFormat="false" ht="17.15" hidden="false" customHeight="false" outlineLevel="0" collapsed="false">
      <c r="A5664" s="1" t="s">
        <v>1090</v>
      </c>
      <c r="B5664" s="0" t="s">
        <v>98</v>
      </c>
      <c r="C5664" s="6" t="n">
        <f aca="false">(w_ntm28*Sens!G5655+(1-w_ntm28)*Sens!H5655)*m_cloud</f>
        <v>1066.84034635334</v>
      </c>
    </row>
    <row r="5665" customFormat="false" ht="17.15" hidden="false" customHeight="false" outlineLevel="0" collapsed="false">
      <c r="A5665" s="1" t="s">
        <v>1091</v>
      </c>
      <c r="B5665" s="0" t="s">
        <v>98</v>
      </c>
      <c r="C5665" s="6" t="n">
        <f aca="false">(w_ntm28*Sens!G5648+(1-w_ntm28)*Sens!H5648)*m_sw</f>
        <v>1046.81653016399</v>
      </c>
    </row>
    <row r="5666" customFormat="false" ht="17.15" hidden="false" customHeight="false" outlineLevel="0" collapsed="false">
      <c r="A5666" s="1" t="s">
        <v>1092</v>
      </c>
      <c r="B5666" s="0" t="s">
        <v>98</v>
      </c>
      <c r="C5666" s="6" t="n">
        <f aca="false">(w_ntm28*Sens!G5649+(1-w_ntm28)*Sens!H5649)*m_sw</f>
        <v>380.588206114803</v>
      </c>
    </row>
    <row r="5667" customFormat="false" ht="17.15" hidden="false" customHeight="false" outlineLevel="0" collapsed="false">
      <c r="A5667" s="1" t="s">
        <v>1093</v>
      </c>
      <c r="B5667" s="0" t="s">
        <v>98</v>
      </c>
      <c r="C5667" s="6" t="n">
        <f aca="false">(w_ntm28*Sens!G5650+(1-w_ntm28)*Sens!H5650)*m_sw</f>
        <v>109.941508211602</v>
      </c>
    </row>
    <row r="5668" customFormat="false" ht="17.15" hidden="false" customHeight="false" outlineLevel="0" collapsed="false">
      <c r="A5668" s="1" t="s">
        <v>1094</v>
      </c>
      <c r="B5668" s="0" t="s">
        <v>98</v>
      </c>
      <c r="C5668" s="6" t="n">
        <f aca="false">(w_ntm28*Sens!G5651+(1-w_ntm28)*Sens!H5651)*m_sw</f>
        <v>41.944622711021</v>
      </c>
    </row>
    <row r="5669" customFormat="false" ht="17.15" hidden="false" customHeight="false" outlineLevel="0" collapsed="false">
      <c r="A5669" s="1" t="s">
        <v>1095</v>
      </c>
      <c r="B5669" s="0" t="s">
        <v>98</v>
      </c>
      <c r="C5669" s="6" t="n">
        <f aca="false">(w_ntm28*Sens!G5652+(1-w_ntm28)*Sens!H5652)*m_ads</f>
        <v>115.893511108929</v>
      </c>
    </row>
    <row r="5670" customFormat="false" ht="17.15" hidden="false" customHeight="false" outlineLevel="0" collapsed="false">
      <c r="A5670" s="1" t="s">
        <v>1096</v>
      </c>
      <c r="B5670" s="0" t="s">
        <v>98</v>
      </c>
      <c r="C5670" s="6" t="n">
        <f aca="false">(w_ntm28*Sens!G5657+(1-w_ntm28)*Sens!H5657)*m_game</f>
        <v>98.416032447421</v>
      </c>
    </row>
    <row r="5671" customFormat="false" ht="17.15" hidden="false" customHeight="false" outlineLevel="0" collapsed="false">
      <c r="A5671" s="1" t="s">
        <v>1097</v>
      </c>
      <c r="B5671" s="0" t="s">
        <v>98</v>
      </c>
      <c r="C5671" s="6" t="n">
        <f aca="false">(w_ntm28*Sens!G5658+(1-w_ntm28)*Sens!H5658)*m_pc</f>
        <v>97.5716783311641</v>
      </c>
    </row>
    <row r="5672" customFormat="false" ht="17.15" hidden="false" customHeight="false" outlineLevel="0" collapsed="false">
      <c r="A5672" s="1" t="s">
        <v>1098</v>
      </c>
      <c r="B5672" s="0" t="s">
        <v>98</v>
      </c>
      <c r="C5672" s="6" t="n">
        <f aca="false">Sens!$C$5662+Sens!$C$5664+Sens!$C$5665+Sens!$C$5666+Sens!$C$5667+Sens!$C$5668+Sens!$C$5669+Sens!$C$5670+Sens!$C$5671</f>
        <v>3205.9010806899</v>
      </c>
    </row>
    <row r="5673" customFormat="false" ht="17.15" hidden="false" customHeight="false" outlineLevel="0" collapsed="false">
      <c r="A5673" s="1" t="s">
        <v>1099</v>
      </c>
      <c r="B5673" s="0" t="s">
        <v>98</v>
      </c>
      <c r="C5673" s="6" t="n">
        <f aca="false">(Sens!G5634-Sens!G5659)*t_stub</f>
        <v>46.8760727339385</v>
      </c>
      <c r="L5673" s="1" t="s">
        <v>1100</v>
      </c>
    </row>
    <row r="5674" customFormat="false" ht="17.15" hidden="false" customHeight="false" outlineLevel="0" collapsed="false">
      <c r="A5674" s="1" t="s">
        <v>1014</v>
      </c>
      <c r="B5674" s="0" t="s">
        <v>98</v>
      </c>
      <c r="C5674" s="6" t="n">
        <f aca="false">Sens!F5623+oai_v-Sens!F5612+Sens!$C$5673</f>
        <v>157.404471499467</v>
      </c>
      <c r="L5674" s="1" t="s">
        <v>1101</v>
      </c>
    </row>
    <row r="5675" customFormat="false" ht="17.15" hidden="false" customHeight="false" outlineLevel="0" collapsed="false">
      <c r="A5675" s="1" t="s">
        <v>1102</v>
      </c>
      <c r="B5675" s="0" t="s">
        <v>75</v>
      </c>
      <c r="C5675" s="5" t="n">
        <f aca="false">(Sens!$C$5672+Sens!$C$5674)/(Sens!F5625+dil_gap)-Sens!G5615*roll_div_q/q_per_yr</f>
        <v>447.640536311281</v>
      </c>
      <c r="L5675" s="1" t="s">
        <v>1103</v>
      </c>
    </row>
    <row r="5676" customFormat="false" ht="17.15" hidden="false" customHeight="false" outlineLevel="0" collapsed="false">
      <c r="A5676" s="1" t="s">
        <v>1104</v>
      </c>
      <c r="B5676" s="0" t="s">
        <v>75</v>
      </c>
      <c r="C5676" s="5" t="n">
        <f aca="false">w_dcf*Sens!$C$5646+(1-w_dcf)*Sens!$C$5675</f>
        <v>388.743470375239</v>
      </c>
    </row>
    <row r="5677" customFormat="false" ht="17.15" hidden="false" customHeight="false" outlineLevel="0" collapsed="false">
      <c r="A5677" s="3" t="s">
        <v>1407</v>
      </c>
    </row>
    <row r="5678" customFormat="false" ht="15" hidden="false" customHeight="false" outlineLevel="0" collapsed="false">
      <c r="A5678" s="4" t="s">
        <v>43</v>
      </c>
      <c r="B5678" s="4" t="s">
        <v>65</v>
      </c>
      <c r="C5678" s="20" t="s">
        <v>799</v>
      </c>
      <c r="D5678" s="20" t="s">
        <v>800</v>
      </c>
      <c r="E5678" s="20" t="s">
        <v>801</v>
      </c>
      <c r="F5678" s="20" t="s">
        <v>802</v>
      </c>
      <c r="G5678" s="20" t="s">
        <v>803</v>
      </c>
      <c r="H5678" s="20" t="s">
        <v>804</v>
      </c>
      <c r="I5678" s="20" t="s">
        <v>805</v>
      </c>
      <c r="J5678" s="20" t="s">
        <v>806</v>
      </c>
      <c r="K5678" s="20" t="s">
        <v>807</v>
      </c>
      <c r="L5678" s="4" t="s">
        <v>47</v>
      </c>
    </row>
    <row r="5679" customFormat="false" ht="17.15" hidden="false" customHeight="false" outlineLevel="0" collapsed="false">
      <c r="A5679" s="1" t="s">
        <v>808</v>
      </c>
      <c r="B5679" s="1" t="s">
        <v>235</v>
      </c>
      <c r="C5679" s="28" t="n">
        <v>2024</v>
      </c>
      <c r="D5679" s="28" t="n">
        <v>2025</v>
      </c>
      <c r="E5679" s="28" t="n">
        <v>2026</v>
      </c>
      <c r="F5679" s="28" t="n">
        <v>2027</v>
      </c>
      <c r="G5679" s="28" t="n">
        <v>2028</v>
      </c>
      <c r="H5679" s="28" t="n">
        <v>2029</v>
      </c>
      <c r="I5679" s="28" t="n">
        <v>2030</v>
      </c>
      <c r="J5679" s="28" t="n">
        <v>2031</v>
      </c>
      <c r="K5679" s="28" t="n">
        <v>2032</v>
      </c>
    </row>
    <row r="5680" customFormat="false" ht="17.15" hidden="false" customHeight="false" outlineLevel="0" collapsed="false">
      <c r="A5680" s="1" t="s">
        <v>809</v>
      </c>
      <c r="B5680" s="0" t="s">
        <v>399</v>
      </c>
      <c r="F5680" s="29" t="n">
        <f aca="false">pace</f>
        <v>2527.2</v>
      </c>
      <c r="G5680" s="29" t="n">
        <f aca="false">pace</f>
        <v>2527.2</v>
      </c>
      <c r="H5680" s="29" t="n">
        <f aca="false">pace</f>
        <v>2527.2</v>
      </c>
      <c r="I5680" s="29" t="n">
        <f aca="false">pace+(g_tv*Sens!H5681-pace)*MIN(1,(Sens!I5679-pace_y0)/(pace_y1-pace_y0))</f>
        <v>1793.116</v>
      </c>
      <c r="J5680" s="29" t="n">
        <f aca="false">pace+(g_tv*Sens!I5681-pace)*MIN(1,(Sens!J5679-pace_y0)/(pace_y1-pace_y0))</f>
        <v>1094.89432</v>
      </c>
      <c r="K5680" s="29" t="n">
        <f aca="false">pace+(g_tv*Sens!J5681-pace)*MIN(1,(Sens!K5679-pace_y0)/(pace_y1-pace_y0))</f>
        <v>411.5883096</v>
      </c>
      <c r="L5680" s="11" t="s">
        <v>810</v>
      </c>
    </row>
    <row r="5681" customFormat="false" ht="17.15" hidden="false" customHeight="false" outlineLevel="0" collapsed="false">
      <c r="A5681" s="1" t="s">
        <v>811</v>
      </c>
      <c r="B5681" s="0" t="s">
        <v>399</v>
      </c>
      <c r="C5681" s="29" t="n">
        <f aca="false">mw_ext_24</f>
        <v>640</v>
      </c>
      <c r="D5681" s="29" t="n">
        <f aca="false">mw_ext_25</f>
        <v>1630</v>
      </c>
      <c r="E5681" s="29" t="n">
        <f aca="false">mw_ext_26</f>
        <v>3250</v>
      </c>
      <c r="F5681" s="29" t="n">
        <f aca="false">Sens!E5681+Sens!F5680</f>
        <v>5777.2</v>
      </c>
      <c r="G5681" s="29" t="n">
        <f aca="false">Sens!F5681+Sens!G5680</f>
        <v>8304.4</v>
      </c>
      <c r="H5681" s="29" t="n">
        <f aca="false">Sens!G5681+Sens!H5680</f>
        <v>10831.6</v>
      </c>
      <c r="I5681" s="29" t="n">
        <f aca="false">Sens!H5681+Sens!I5680</f>
        <v>12624.716</v>
      </c>
      <c r="J5681" s="29" t="n">
        <f aca="false">Sens!I5681+Sens!J5680</f>
        <v>13719.61032</v>
      </c>
      <c r="K5681" s="29" t="n">
        <f aca="false">Sens!J5681+Sens!K5680</f>
        <v>14131.1986296</v>
      </c>
      <c r="L5681" s="1" t="s">
        <v>812</v>
      </c>
    </row>
    <row r="5682" customFormat="false" ht="17.15" hidden="false" customHeight="false" outlineLevel="0" collapsed="false">
      <c r="A5682" s="1" t="s">
        <v>813</v>
      </c>
      <c r="B5682" s="0" t="s">
        <v>399</v>
      </c>
      <c r="C5682" s="29" t="n">
        <f aca="false">rent_ext_24</f>
        <v>150</v>
      </c>
      <c r="D5682" s="29" t="n">
        <f aca="false">rent_ext_25</f>
        <v>400</v>
      </c>
      <c r="E5682" s="29" t="n">
        <f aca="false">rent_ext_26</f>
        <v>550</v>
      </c>
      <c r="F5682" s="29" t="n">
        <f aca="false">rent_ext_f</f>
        <v>756</v>
      </c>
      <c r="G5682" s="29" t="n">
        <f aca="false">rent_ext_f</f>
        <v>756</v>
      </c>
      <c r="H5682" s="29" t="n">
        <f aca="false">rent_ext_f</f>
        <v>756</v>
      </c>
      <c r="I5682" s="29" t="n">
        <f aca="false">rent_ext_f</f>
        <v>756</v>
      </c>
      <c r="J5682" s="29" t="n">
        <f aca="false">rent_ext_f</f>
        <v>756</v>
      </c>
      <c r="K5682" s="29" t="n">
        <f aca="false">rent_ext_f</f>
        <v>756</v>
      </c>
      <c r="L5682" s="1" t="s">
        <v>814</v>
      </c>
    </row>
    <row r="5683" customFormat="false" ht="17.15" hidden="false" customHeight="false" outlineLevel="0" collapsed="false">
      <c r="A5683" s="1" t="s">
        <v>815</v>
      </c>
      <c r="B5683" s="0" t="s">
        <v>399</v>
      </c>
      <c r="C5683" s="29" t="n">
        <f aca="false">Sens!C5681-Sens!C5682</f>
        <v>490</v>
      </c>
      <c r="D5683" s="29" t="n">
        <f aca="false">Sens!D5681-Sens!D5682</f>
        <v>1230</v>
      </c>
      <c r="E5683" s="29" t="n">
        <f aca="false">Sens!E5681-Sens!E5682</f>
        <v>2700</v>
      </c>
      <c r="F5683" s="29" t="n">
        <f aca="false">Sens!F5681-Sens!F5682</f>
        <v>5021.2</v>
      </c>
      <c r="G5683" s="29" t="n">
        <f aca="false">Sens!G5681-Sens!G5682</f>
        <v>7548.4</v>
      </c>
      <c r="H5683" s="29" t="n">
        <f aca="false">Sens!H5681-Sens!H5682</f>
        <v>10075.6</v>
      </c>
      <c r="I5683" s="29" t="n">
        <f aca="false">Sens!I5681-Sens!I5682</f>
        <v>11868.716</v>
      </c>
      <c r="J5683" s="29" t="n">
        <f aca="false">Sens!J5681-Sens!J5682</f>
        <v>12963.61032</v>
      </c>
      <c r="K5683" s="29" t="n">
        <f aca="false">Sens!K5681-Sens!K5682</f>
        <v>13375.1986296</v>
      </c>
    </row>
    <row r="5684" customFormat="false" ht="17.15" hidden="false" customHeight="false" outlineLevel="0" collapsed="false">
      <c r="A5684" s="1" t="s">
        <v>816</v>
      </c>
      <c r="B5684" s="0" t="s">
        <v>399</v>
      </c>
      <c r="C5684" s="29" t="n">
        <f aca="false">Sens!C5683/ext_sh</f>
        <v>816.666666666667</v>
      </c>
      <c r="D5684" s="29" t="n">
        <f aca="false">Sens!D5683/ext_sh</f>
        <v>2050</v>
      </c>
      <c r="E5684" s="29" t="n">
        <f aca="false">Sens!E5683/ext_sh</f>
        <v>4500</v>
      </c>
      <c r="F5684" s="29" t="n">
        <f aca="false">Sens!F5683/ext_sh</f>
        <v>8368.66666666667</v>
      </c>
      <c r="G5684" s="29" t="n">
        <f aca="false">Sens!G5683/ext_sh</f>
        <v>12580.6666666667</v>
      </c>
      <c r="H5684" s="29" t="n">
        <f aca="false">Sens!H5683/ext_sh</f>
        <v>16792.6666666667</v>
      </c>
      <c r="I5684" s="29" t="n">
        <f aca="false">Sens!I5683/ext_sh</f>
        <v>19781.1933333333</v>
      </c>
      <c r="J5684" s="29" t="n">
        <f aca="false">Sens!J5683/ext_sh</f>
        <v>21606.0172</v>
      </c>
      <c r="K5684" s="29" t="n">
        <f aca="false">Sens!K5683/ext_sh</f>
        <v>22291.997716</v>
      </c>
      <c r="L5684" s="1" t="s">
        <v>817</v>
      </c>
    </row>
    <row r="5685" customFormat="false" ht="17.15" hidden="false" customHeight="false" outlineLevel="0" collapsed="false">
      <c r="A5685" s="1" t="s">
        <v>818</v>
      </c>
      <c r="B5685" s="0" t="s">
        <v>399</v>
      </c>
      <c r="C5685" s="29" t="n">
        <f aca="false">Sens!C5684-Sens!C5683</f>
        <v>326.666666666667</v>
      </c>
      <c r="D5685" s="29" t="n">
        <f aca="false">Sens!D5684-Sens!D5683</f>
        <v>820</v>
      </c>
      <c r="E5685" s="29" t="n">
        <f aca="false">Sens!E5684-Sens!E5683</f>
        <v>1800</v>
      </c>
      <c r="F5685" s="29" t="n">
        <f aca="false">Sens!F5684-Sens!F5683</f>
        <v>3347.46666666667</v>
      </c>
      <c r="G5685" s="29" t="n">
        <f aca="false">Sens!G5684-Sens!G5683</f>
        <v>5032.26666666667</v>
      </c>
      <c r="H5685" s="29" t="n">
        <f aca="false">Sens!H5684-Sens!H5683</f>
        <v>6717.06666666667</v>
      </c>
      <c r="I5685" s="29" t="n">
        <f aca="false">Sens!I5684-Sens!I5683</f>
        <v>7912.47733333333</v>
      </c>
      <c r="J5685" s="29" t="n">
        <f aca="false">Sens!J5684-Sens!J5683</f>
        <v>8642.40688</v>
      </c>
      <c r="K5685" s="29" t="n">
        <f aca="false">Sens!K5684-Sens!K5683</f>
        <v>8916.7990864</v>
      </c>
    </row>
    <row r="5686" customFormat="false" ht="17.15" hidden="false" customHeight="false" outlineLevel="0" collapsed="false">
      <c r="A5686" s="1" t="s">
        <v>819</v>
      </c>
      <c r="B5686" s="0" t="s">
        <v>399</v>
      </c>
      <c r="C5686" s="29" t="n">
        <f aca="false">Sens!C5684</f>
        <v>816.666666666667</v>
      </c>
      <c r="D5686" s="29" t="n">
        <f aca="false">Sens!D5684-Sens!C5684</f>
        <v>1233.33333333333</v>
      </c>
      <c r="E5686" s="29" t="n">
        <f aca="false">Sens!E5684-Sens!D5684</f>
        <v>2450</v>
      </c>
      <c r="F5686" s="29" t="n">
        <f aca="false">Sens!F5684-Sens!E5684</f>
        <v>3868.66666666667</v>
      </c>
      <c r="G5686" s="29" t="n">
        <f aca="false">Sens!G5684-Sens!F5684</f>
        <v>4212</v>
      </c>
      <c r="H5686" s="29" t="n">
        <f aca="false">Sens!H5684-Sens!G5684</f>
        <v>4212</v>
      </c>
      <c r="I5686" s="29" t="n">
        <f aca="false">Sens!I5684-Sens!H5684</f>
        <v>2988.52666666667</v>
      </c>
      <c r="J5686" s="29" t="n">
        <f aca="false">Sens!J5684-Sens!I5684</f>
        <v>1824.82386666667</v>
      </c>
      <c r="K5686" s="29" t="n">
        <f aca="false">Sens!K5684-Sens!J5684</f>
        <v>685.980516</v>
      </c>
    </row>
    <row r="5687" customFormat="false" ht="17.15" hidden="false" customHeight="false" outlineLevel="0" collapsed="false">
      <c r="A5687" s="1" t="s">
        <v>820</v>
      </c>
      <c r="B5687" s="0" t="s">
        <v>399</v>
      </c>
      <c r="D5687" s="29" t="n">
        <f aca="false">Sens!D5681-Sens!C5681</f>
        <v>990</v>
      </c>
      <c r="E5687" s="29" t="n">
        <f aca="false">Sens!E5681-Sens!D5681</f>
        <v>1620</v>
      </c>
      <c r="F5687" s="29" t="n">
        <f aca="false">Sens!F5681-Sens!E5681</f>
        <v>2527.2</v>
      </c>
      <c r="G5687" s="29" t="n">
        <f aca="false">Sens!G5681-Sens!F5681</f>
        <v>2527.2</v>
      </c>
      <c r="H5687" s="29" t="n">
        <f aca="false">Sens!H5681-Sens!G5681</f>
        <v>2527.2</v>
      </c>
      <c r="I5687" s="29" t="n">
        <f aca="false">Sens!I5681-Sens!H5681</f>
        <v>1793.116</v>
      </c>
      <c r="J5687" s="29" t="n">
        <f aca="false">Sens!J5681-Sens!I5681</f>
        <v>1094.89432</v>
      </c>
      <c r="K5687" s="29" t="n">
        <f aca="false">Sens!K5681-Sens!J5681</f>
        <v>411.5883096</v>
      </c>
    </row>
    <row r="5688" customFormat="false" ht="17.15" hidden="false" customHeight="false" outlineLevel="0" collapsed="false">
      <c r="A5688" s="1" t="s">
        <v>821</v>
      </c>
      <c r="B5688" s="0" t="s">
        <v>399</v>
      </c>
      <c r="F5688" s="29" t="n">
        <f aca="false">Sens!F5705*ext_sh</f>
        <v>0</v>
      </c>
      <c r="G5688" s="29" t="n">
        <f aca="false">Sens!G5705*ext_sh</f>
        <v>0</v>
      </c>
      <c r="H5688" s="29" t="n">
        <f aca="false">Sens!H5705*ext_sh</f>
        <v>0</v>
      </c>
      <c r="I5688" s="29" t="n">
        <f aca="false">Sens!I5705*ext_sh</f>
        <v>490</v>
      </c>
      <c r="J5688" s="29" t="n">
        <f aca="false">Sens!J5705*ext_sh</f>
        <v>740</v>
      </c>
      <c r="K5688" s="29" t="n">
        <f aca="false">Sens!K5705*ext_sh</f>
        <v>1470</v>
      </c>
      <c r="L5688" s="1" t="s">
        <v>822</v>
      </c>
    </row>
    <row r="5689" customFormat="false" ht="17.15" hidden="false" customHeight="false" outlineLevel="0" collapsed="false">
      <c r="A5689" s="1" t="s">
        <v>823</v>
      </c>
      <c r="B5689" s="0" t="s">
        <v>399</v>
      </c>
      <c r="C5689" s="29" t="n">
        <f aca="false">mix_h*Sens!C5681</f>
        <v>128</v>
      </c>
      <c r="D5689" s="29" t="n">
        <f aca="false">mix_h*Sens!D5681</f>
        <v>326</v>
      </c>
      <c r="E5689" s="29" t="n">
        <f aca="false">mix_h*Sens!E5681</f>
        <v>650</v>
      </c>
      <c r="F5689" s="29" t="n">
        <f aca="false">Sens!E5689-Sens!F5688*mix_h</f>
        <v>650</v>
      </c>
      <c r="G5689" s="29" t="n">
        <f aca="false">Sens!F5689-Sens!G5688*mix_h</f>
        <v>650</v>
      </c>
      <c r="H5689" s="29" t="n">
        <f aca="false">Sens!G5689-Sens!H5688*mix_h</f>
        <v>650</v>
      </c>
      <c r="I5689" s="29" t="n">
        <f aca="false">Sens!H5689-Sens!I5688*mix_h</f>
        <v>552</v>
      </c>
      <c r="J5689" s="29" t="n">
        <f aca="false">Sens!I5689-Sens!J5688*mix_h</f>
        <v>404</v>
      </c>
      <c r="K5689" s="29" t="n">
        <f aca="false">Sens!J5689-Sens!K5688*mix_h</f>
        <v>110</v>
      </c>
    </row>
    <row r="5690" customFormat="false" ht="17.15" hidden="false" customHeight="false" outlineLevel="0" collapsed="false">
      <c r="A5690" s="1" t="s">
        <v>824</v>
      </c>
      <c r="B5690" s="0" t="s">
        <v>399</v>
      </c>
      <c r="C5690" s="29" t="n">
        <f aca="false">mix_g2*Sens!C5681</f>
        <v>288</v>
      </c>
      <c r="D5690" s="29" t="n">
        <f aca="false">mix_g2*Sens!D5681</f>
        <v>733.5</v>
      </c>
      <c r="E5690" s="29" t="n">
        <f aca="false">mix_g2*Sens!E5681</f>
        <v>1462.5</v>
      </c>
      <c r="F5690" s="29" t="n">
        <f aca="false">Sens!E5690-Sens!F5688*mix_g2</f>
        <v>1462.5</v>
      </c>
      <c r="G5690" s="29" t="n">
        <f aca="false">Sens!F5690-Sens!G5688*mix_g2</f>
        <v>1462.5</v>
      </c>
      <c r="H5690" s="29" t="n">
        <f aca="false">Sens!G5690-Sens!H5688*mix_g2</f>
        <v>1462.5</v>
      </c>
      <c r="I5690" s="29" t="n">
        <f aca="false">Sens!H5690-Sens!I5688*mix_g2</f>
        <v>1242</v>
      </c>
      <c r="J5690" s="29" t="n">
        <f aca="false">Sens!I5690-Sens!J5688*mix_g2</f>
        <v>909</v>
      </c>
      <c r="K5690" s="29" t="n">
        <f aca="false">Sens!J5690-Sens!K5688*mix_g2</f>
        <v>247.5</v>
      </c>
    </row>
    <row r="5691" customFormat="false" ht="17.15" hidden="false" customHeight="false" outlineLevel="0" collapsed="false">
      <c r="A5691" s="1" t="s">
        <v>825</v>
      </c>
      <c r="B5691" s="0" t="s">
        <v>399</v>
      </c>
      <c r="C5691" s="29" t="n">
        <f aca="false">mix_g3*Sens!C5681</f>
        <v>224</v>
      </c>
      <c r="D5691" s="29" t="n">
        <f aca="false">mix_g3*Sens!D5681</f>
        <v>570.5</v>
      </c>
      <c r="E5691" s="29" t="n">
        <f aca="false">mix_g3*Sens!E5681</f>
        <v>1137.5</v>
      </c>
      <c r="F5691" s="29" t="n">
        <f aca="false">Sens!E5691+(Sens!F5687+Sens!F5688)*a_g3_27-Sens!F5688*mix_g3</f>
        <v>2906.54</v>
      </c>
      <c r="G5691" s="29" t="n">
        <f aca="false">Sens!F5691+(Sens!G5687+Sens!G5688)*a_g3_28-Sens!G5688*mix_g3</f>
        <v>3664.7</v>
      </c>
      <c r="H5691" s="29" t="n">
        <f aca="false">Sens!G5691+(Sens!H5687+Sens!H5688)*a_g3_29-Sens!H5688*mix_g3</f>
        <v>3917.42</v>
      </c>
      <c r="I5691" s="29" t="n">
        <f aca="false">Sens!H5691+(Sens!I5687+Sens!I5688)*a_g3_29-Sens!I5688*mix_g3</f>
        <v>3974.2316</v>
      </c>
      <c r="J5691" s="29" t="n">
        <f aca="false">Sens!I5691+(Sens!J5687+Sens!J5688)*a_g3_29-Sens!J5688*mix_g3</f>
        <v>3898.721032</v>
      </c>
      <c r="K5691" s="29" t="n">
        <f aca="false">Sens!J5691+(Sens!K5687+Sens!K5688)*a_g3_29-Sens!K5688*mix_g3</f>
        <v>3572.37986296</v>
      </c>
    </row>
    <row r="5692" customFormat="false" ht="17.15" hidden="false" customHeight="false" outlineLevel="0" collapsed="false">
      <c r="A5692" s="1" t="s">
        <v>826</v>
      </c>
      <c r="B5692" s="0" t="s">
        <v>399</v>
      </c>
      <c r="C5692" s="29" t="n">
        <v>0</v>
      </c>
      <c r="D5692" s="29" t="n">
        <v>0</v>
      </c>
      <c r="E5692" s="29" t="n">
        <v>0</v>
      </c>
      <c r="F5692" s="29" t="n">
        <f aca="false">Sens!E5692+(Sens!F5687+Sens!F5688)*(1-a_g3_27)</f>
        <v>758.16</v>
      </c>
      <c r="G5692" s="29" t="n">
        <f aca="false">Sens!F5692+(Sens!G5687+Sens!G5688)*(1-a_g3_28)</f>
        <v>2527.2</v>
      </c>
      <c r="H5692" s="29" t="n">
        <f aca="false">Sens!G5692+(Sens!H5687+Sens!H5688)*(1-a_g3_29)</f>
        <v>4801.68</v>
      </c>
      <c r="I5692" s="29" t="n">
        <f aca="false">Sens!H5692+(Sens!I5687+Sens!I5688)*(1-a_g3_29)</f>
        <v>6856.4844</v>
      </c>
      <c r="J5692" s="29" t="n">
        <f aca="false">Sens!I5692+(Sens!J5687+Sens!J5688)*(1-a_g3_29)</f>
        <v>8507.889288</v>
      </c>
      <c r="K5692" s="29" t="n">
        <f aca="false">Sens!J5692+(Sens!K5687+Sens!K5688)*(1-a_g3_29)</f>
        <v>10201.31876664</v>
      </c>
    </row>
    <row r="5693" customFormat="false" ht="17.15" hidden="false" customHeight="false" outlineLevel="0" collapsed="false">
      <c r="A5693" s="1" t="s">
        <v>827</v>
      </c>
      <c r="B5693" s="0" t="s">
        <v>346</v>
      </c>
      <c r="C5693" s="14" t="n">
        <f aca="false">(Sens!C5689*tk_hold_h100+Sens!C5690*tk_hold_gb200+Sens!C5691*tk_hold_gb300+Sens!C5692*tk_hold_vr200)/Sens!C5681</f>
        <v>9.7235358126469</v>
      </c>
      <c r="D5693" s="14" t="n">
        <f aca="false">(Sens!D5689*tk_hold_h100+Sens!D5690*tk_hold_gb200+Sens!D5691*tk_hold_gb300+Sens!D5692*tk_hold_vr200)/Sens!D5681</f>
        <v>9.7235358126469</v>
      </c>
      <c r="E5693" s="14" t="n">
        <f aca="false">(Sens!E5689*tk_hold_h100+Sens!E5690*tk_hold_gb200+Sens!E5691*tk_hold_gb300+Sens!E5692*tk_hold_vr200)/Sens!E5681</f>
        <v>9.7235358126469</v>
      </c>
      <c r="F5693" s="14" t="n">
        <f aca="false">(Sens!F5689*tk_hold_h100+Sens!F5690*tk_hold_gb200+Sens!F5691*tk_hold_gb300+Sens!F5692*tk_hold_vr200)/Sens!F5681</f>
        <v>10.4079573161931</v>
      </c>
      <c r="G5693" s="14" t="n">
        <f aca="false">(Sens!G5689*tk_hold_h100+Sens!G5690*tk_hold_gb200+Sens!G5691*tk_hold_gb300+Sens!G5692*tk_hold_vr200)/Sens!G5681</f>
        <v>10.8388131109316</v>
      </c>
      <c r="H5693" s="14" t="n">
        <f aca="false">(Sens!H5689*tk_hold_h100+Sens!H5690*tk_hold_gb200+Sens!H5691*tk_hold_gb300+Sens!H5692*tk_hold_vr200)/Sens!H5681</f>
        <v>11.1311018388216</v>
      </c>
      <c r="I5693" s="14" t="n">
        <f aca="false">(Sens!I5689*tk_hold_h100+Sens!I5690*tk_hold_gb200+Sens!I5691*tk_hold_gb300+Sens!I5692*tk_hold_vr200)/Sens!I5681</f>
        <v>11.3594282560989</v>
      </c>
      <c r="J5693" s="14" t="n">
        <f aca="false">(Sens!J5689*tk_hold_h100+Sens!J5690*tk_hold_gb200+Sens!J5691*tk_hold_gb300+Sens!J5692*tk_hold_vr200)/Sens!J5681</f>
        <v>11.5455817917599</v>
      </c>
      <c r="K5693" s="14" t="n">
        <f aca="false">(Sens!K5689*tk_hold_h100+Sens!K5690*tk_hold_gb200+Sens!K5691*tk_hold_gb300+Sens!K5692*tk_hold_vr200)/Sens!K5681</f>
        <v>11.8078187977246</v>
      </c>
    </row>
    <row r="5694" customFormat="false" ht="17.15" hidden="false" customHeight="false" outlineLevel="0" collapsed="false">
      <c r="A5694" s="0" t="s">
        <v>828</v>
      </c>
      <c r="B5694" s="0" t="s">
        <v>185</v>
      </c>
      <c r="C5694" s="14" t="n">
        <f aca="false">k_B</f>
        <v>1.17213932619116</v>
      </c>
      <c r="D5694" s="14" t="n">
        <f aca="false">k_B</f>
        <v>1.17213932619116</v>
      </c>
      <c r="E5694" s="14" t="n">
        <f aca="false">k_B</f>
        <v>1.17213932619116</v>
      </c>
      <c r="F5694" s="14" t="n">
        <f aca="false">(k_B+((ls_C*k_long+(1-ls_C)*k_spot)-k_B)*MIN(1,(Sens!F5679-base_fy)/k_ramp))</f>
        <v>1.07843258004497</v>
      </c>
      <c r="G5694" s="14" t="n">
        <f aca="false">(k_B+((ls_C*k_long+(1-ls_C)*k_spot)-k_B)*MIN(1,(Sens!G5679-base_fy)/k_ramp))</f>
        <v>0.984725833898784</v>
      </c>
      <c r="H5694" s="14" t="n">
        <f aca="false">(k_B+((ls_C*k_long+(1-ls_C)*k_spot)-k_B)*MIN(1,(Sens!H5679-base_fy)/k_ramp))</f>
        <v>0.891019087752599</v>
      </c>
      <c r="I5694" s="14" t="n">
        <f aca="false">(k_B+((ls_C*k_long+(1-ls_C)*k_spot)-k_B)*MIN(1,(Sens!I5679-base_fy)/k_ramp))</f>
        <v>0.891019087752599</v>
      </c>
      <c r="J5694" s="14" t="n">
        <f aca="false">(k_B+((ls_C*k_long+(1-ls_C)*k_spot)-k_B)*MIN(1,(Sens!J5679-base_fy)/k_ramp))</f>
        <v>0.891019087752599</v>
      </c>
      <c r="K5694" s="14" t="n">
        <f aca="false">(k_B+((ls_C*k_long+(1-ls_C)*k_spot)-k_B)*MIN(1,(Sens!K5679-base_fy)/k_ramp))</f>
        <v>0.891019087752599</v>
      </c>
      <c r="L5694" s="1" t="s">
        <v>829</v>
      </c>
    </row>
    <row r="5695" customFormat="false" ht="17.15" hidden="false" customHeight="false" outlineLevel="0" collapsed="false">
      <c r="A5695" s="1" t="s">
        <v>830</v>
      </c>
      <c r="B5695" s="0" t="s">
        <v>346</v>
      </c>
      <c r="C5695" s="14" t="n">
        <f aca="false">Sens!C5693*Sens!C5694*chip_f</f>
        <v>11.3973387156315</v>
      </c>
      <c r="D5695" s="14" t="n">
        <f aca="false">Sens!D5693*Sens!D5694*chip_f</f>
        <v>11.3973387156315</v>
      </c>
      <c r="E5695" s="14" t="n">
        <f aca="false">Sens!E5693*Sens!E5694*chip_f</f>
        <v>11.3973387156315</v>
      </c>
      <c r="F5695" s="14" t="n">
        <f aca="false">Sens!F5693*Sens!F5694*chip_f</f>
        <v>11.2242802615</v>
      </c>
      <c r="G5695" s="14" t="n">
        <f aca="false">Sens!G5693*Sens!G5694*chip_f</f>
        <v>10.6732592791352</v>
      </c>
      <c r="H5695" s="14" t="n">
        <f aca="false">Sens!H5693*Sens!H5694*chip_f</f>
        <v>9.91802420610807</v>
      </c>
      <c r="I5695" s="14" t="n">
        <f aca="false">Sens!I5693*Sens!I5694*chip_f</f>
        <v>10.1214674021403</v>
      </c>
      <c r="J5695" s="14" t="n">
        <f aca="false">Sens!J5693*Sens!J5694*chip_f</f>
        <v>10.2873337556669</v>
      </c>
      <c r="K5695" s="14" t="n">
        <f aca="false">Sens!K5693*Sens!K5694*chip_f</f>
        <v>10.5209919334966</v>
      </c>
      <c r="L5695" s="1" t="s">
        <v>831</v>
      </c>
    </row>
    <row r="5696" customFormat="false" ht="17.15" hidden="false" customHeight="false" outlineLevel="0" collapsed="false">
      <c r="A5696" s="0" t="s">
        <v>832</v>
      </c>
      <c r="B5696" s="0" t="s">
        <v>98</v>
      </c>
      <c r="D5696" s="6" t="n">
        <f aca="false">(Sens!C5681+Sens!D5681)/2*Sens!D5695/1000</f>
        <v>12.9359794422418</v>
      </c>
      <c r="E5696" s="6" t="n">
        <f aca="false">(Sens!D5681+Sens!E5681)/2*Sens!E5695/1000</f>
        <v>27.8095064661409</v>
      </c>
      <c r="F5696" s="6" t="n">
        <f aca="false">(Sens!E5681+Sens!F5681)/2*Sens!F5695/1000</f>
        <v>50.6619113883066</v>
      </c>
      <c r="G5696" s="6" t="n">
        <f aca="false">(Sens!F5681+Sens!G5681)/2*Sens!G5695/1000</f>
        <v>75.1482839325348</v>
      </c>
      <c r="H5696" s="6" t="n">
        <f aca="false">(Sens!G5681+Sens!H5681)/2*Sens!H5695/1000</f>
        <v>94.895655604042</v>
      </c>
      <c r="I5696" s="6" t="n">
        <f aca="false">(Sens!H5681+Sens!I5681)/2*Sens!I5695/1000</f>
        <v>118.706168884151</v>
      </c>
      <c r="J5696" s="6" t="n">
        <f aca="false">(Sens!I5681+Sens!J5681)/2*Sens!J5695/1000</f>
        <v>135.50643871102</v>
      </c>
      <c r="K5696" s="6" t="n">
        <f aca="false">(Sens!J5681+Sens!K5681)/2*Sens!K5695/1000</f>
        <v>146.509068150048</v>
      </c>
      <c r="L5696" s="11" t="s">
        <v>833</v>
      </c>
    </row>
    <row r="5697" customFormat="false" ht="17.15" hidden="false" customHeight="false" outlineLevel="0" collapsed="false">
      <c r="A5697" s="1" t="s">
        <v>834</v>
      </c>
      <c r="B5697" s="0" t="s">
        <v>346</v>
      </c>
      <c r="C5697" s="14" t="n">
        <f aca="false">(Sens!C5689*tk_opex_h100+Sens!C5690*tk_opex_gb200+Sens!C5691*tk_opex_gb300+Sens!C5692*tk_opex_vr200)/Sens!C5681</f>
        <v>1.88636041306092</v>
      </c>
      <c r="D5697" s="14" t="n">
        <f aca="false">(Sens!D5689*tk_opex_h100+Sens!D5690*tk_opex_gb200+Sens!D5691*tk_opex_gb300+Sens!D5692*tk_opex_vr200)/Sens!D5681</f>
        <v>1.88636041306092</v>
      </c>
      <c r="E5697" s="14" t="n">
        <f aca="false">(Sens!E5689*tk_opex_h100+Sens!E5690*tk_opex_gb200+Sens!E5691*tk_opex_gb300+Sens!E5692*tk_opex_vr200)/Sens!E5681</f>
        <v>1.88636041306092</v>
      </c>
      <c r="F5697" s="14" t="n">
        <f aca="false">(Sens!F5689*tk_opex_h100+Sens!F5690*tk_opex_gb200+Sens!F5691*tk_opex_gb300+Sens!F5692*tk_opex_vr200)/Sens!F5681</f>
        <v>1.9430236476499</v>
      </c>
      <c r="G5697" s="14" t="n">
        <f aca="false">(Sens!G5689*tk_opex_h100+Sens!G5690*tk_opex_gb200+Sens!G5691*tk_opex_gb300+Sens!G5692*tk_opex_vr200)/Sens!G5681</f>
        <v>1.9786941852423</v>
      </c>
      <c r="H5697" s="14" t="n">
        <f aca="false">(Sens!H5689*tk_opex_h100+Sens!H5690*tk_opex_gb200+Sens!H5691*tk_opex_gb300+Sens!H5692*tk_opex_vr200)/Sens!H5681</f>
        <v>2.00289275976156</v>
      </c>
      <c r="I5697" s="14" t="n">
        <f aca="false">(Sens!I5689*tk_opex_h100+Sens!I5690*tk_opex_gb200+Sens!I5691*tk_opex_gb300+Sens!I5692*tk_opex_vr200)/Sens!I5681</f>
        <v>2.02179589661219</v>
      </c>
      <c r="J5697" s="14" t="n">
        <f aca="false">(Sens!J5689*tk_opex_h100+Sens!J5690*tk_opex_gb200+Sens!J5691*tk_opex_gb300+Sens!J5692*tk_opex_vr200)/Sens!J5681</f>
        <v>2.03720754193029</v>
      </c>
      <c r="K5697" s="14" t="n">
        <f aca="false">(Sens!K5689*tk_opex_h100+Sens!K5690*tk_opex_gb200+Sens!K5691*tk_opex_gb300+Sens!K5692*tk_opex_vr200)/Sens!K5681</f>
        <v>2.0589181353437</v>
      </c>
    </row>
    <row r="5698" customFormat="false" ht="17.15" hidden="false" customHeight="false" outlineLevel="0" collapsed="false">
      <c r="A5698" s="0" t="s">
        <v>835</v>
      </c>
      <c r="B5698" s="0" t="s">
        <v>98</v>
      </c>
      <c r="D5698" s="6" t="n">
        <f aca="false">(Sens!C5684+Sens!D5684)/2*Sens!D5697/1000</f>
        <v>2.70378325872065</v>
      </c>
      <c r="E5698" s="6" t="n">
        <f aca="false">(Sens!D5684+Sens!E5684)/2*Sens!E5697/1000</f>
        <v>6.17783035277451</v>
      </c>
      <c r="F5698" s="6" t="n">
        <f aca="false">(Sens!E5684+Sens!F5684)/2*Sens!F5697/1000</f>
        <v>12.5020618235287</v>
      </c>
      <c r="G5698" s="6" t="n">
        <f aca="false">(Sens!F5684+Sens!G5684)/2*Sens!G5697/1000</f>
        <v>20.7261620256847</v>
      </c>
      <c r="H5698" s="6" t="n">
        <f aca="false">(Sens!G5684+Sens!H5684)/2*Sens!H5697/1000</f>
        <v>29.4158183316982</v>
      </c>
      <c r="I5698" s="6" t="n">
        <f aca="false">(Sens!H5684+Sens!I5684)/2*Sens!I5697/1000</f>
        <v>36.9724400356344</v>
      </c>
      <c r="J5698" s="6" t="n">
        <f aca="false">(Sens!I5684+Sens!J5684)/2*Sens!J5697/1000</f>
        <v>42.1571687189816</v>
      </c>
      <c r="K5698" s="6" t="n">
        <f aca="false">(Sens!J5684+Sens!K5684)/2*Sens!K5697/1000</f>
        <v>45.1912095080704</v>
      </c>
    </row>
    <row r="5699" customFormat="false" ht="17.15" hidden="false" customHeight="false" outlineLevel="0" collapsed="false">
      <c r="A5699" s="0" t="s">
        <v>836</v>
      </c>
      <c r="B5699" s="0" t="s">
        <v>98</v>
      </c>
      <c r="D5699" s="6" t="n">
        <f aca="false">(Sens!C5682+Sens!D5682)/2*rent_mw/1000</f>
        <v>2.44475</v>
      </c>
      <c r="E5699" s="6" t="n">
        <f aca="false">(Sens!D5682+Sens!E5682)/2*rent_mw/1000</f>
        <v>4.22275</v>
      </c>
      <c r="F5699" s="6" t="n">
        <f aca="false">(Sens!E5682+Sens!F5682)/2*rent_mw/1000</f>
        <v>5.80517</v>
      </c>
      <c r="G5699" s="6" t="n">
        <f aca="false">(Sens!F5682+Sens!G5682)/2*rent_mw/1000</f>
        <v>6.72084</v>
      </c>
      <c r="H5699" s="6" t="n">
        <f aca="false">(Sens!G5682+Sens!H5682)/2*rent_mw/1000</f>
        <v>6.72084</v>
      </c>
      <c r="I5699" s="6" t="n">
        <f aca="false">(Sens!H5682+Sens!I5682)/2*rent_mw/1000</f>
        <v>6.72084</v>
      </c>
      <c r="J5699" s="6" t="n">
        <f aca="false">(Sens!I5682+Sens!J5682)/2*rent_mw/1000</f>
        <v>6.72084</v>
      </c>
      <c r="K5699" s="6" t="n">
        <f aca="false">(Sens!J5682+Sens!K5682)/2*rent_mw/1000</f>
        <v>6.72084</v>
      </c>
    </row>
    <row r="5700" customFormat="false" ht="17.15" hidden="false" customHeight="false" outlineLevel="0" collapsed="false">
      <c r="A5700" s="0" t="s">
        <v>837</v>
      </c>
      <c r="B5700" s="0" t="s">
        <v>98</v>
      </c>
      <c r="D5700" s="6" t="n">
        <f aca="false">(Sens!C5684+Sens!D5684)/2*(1-self_build)*fac_rent/1000</f>
        <v>0.853242375631075</v>
      </c>
      <c r="E5700" s="6" t="n">
        <f aca="false">(Sens!D5684+Sens!E5684)/2*(1-self_build)*fac_rent/1000</f>
        <v>1.94955961408728</v>
      </c>
      <c r="F5700" s="6" t="n">
        <f aca="false">(Sens!E5684+Sens!F5684)/2*(1-self_build)*fac_rent/1000</f>
        <v>3.83026455274573</v>
      </c>
      <c r="G5700" s="6" t="n">
        <f aca="false">(Sens!F5684+Sens!G5684)/2*(1-self_build)*fac_rent/1000</f>
        <v>6.23541590972812</v>
      </c>
      <c r="H5700" s="6" t="n">
        <f aca="false">(Sens!G5684+Sens!H5684)/2*(1-self_build)*fac_rent/1000</f>
        <v>8.74275792332679</v>
      </c>
      <c r="I5700" s="6" t="n">
        <f aca="false">(Sens!H5684+Sens!I5684)/2*(1-self_build)*fac_rent/1000</f>
        <v>10.8859420438599</v>
      </c>
      <c r="J5700" s="6" t="n">
        <f aca="false">(Sens!I5684+Sens!J5684)/2*(1-self_build)*fac_rent/1000</f>
        <v>12.3186006405366</v>
      </c>
      <c r="K5700" s="6" t="n">
        <f aca="false">(Sens!J5684+Sens!K5684)/2*(1-self_build)*fac_rent/1000</f>
        <v>13.0659232089824</v>
      </c>
      <c r="L5700" s="11" t="s">
        <v>838</v>
      </c>
    </row>
    <row r="5701" customFormat="false" ht="17.15" hidden="false" customHeight="false" outlineLevel="0" collapsed="false">
      <c r="A5701" s="1" t="s">
        <v>839</v>
      </c>
      <c r="B5701" s="0" t="s">
        <v>129</v>
      </c>
      <c r="D5701" s="7" t="n">
        <f aca="false">(Sens!C5683+Sens!D5683)/(Sens!C5684+Sens!D5684)</f>
        <v>0.6</v>
      </c>
      <c r="E5701" s="7" t="n">
        <f aca="false">(Sens!D5683+Sens!E5683)/(Sens!D5684+Sens!E5684)</f>
        <v>0.6</v>
      </c>
      <c r="F5701" s="7" t="n">
        <f aca="false">(Sens!E5683+Sens!F5683)/(Sens!E5684+Sens!F5684)</f>
        <v>0.6</v>
      </c>
      <c r="G5701" s="7" t="n">
        <f aca="false">(Sens!F5683+Sens!G5683)/(Sens!F5684+Sens!G5684)</f>
        <v>0.6</v>
      </c>
      <c r="H5701" s="7" t="n">
        <f aca="false">(Sens!G5683+Sens!H5683)/(Sens!G5684+Sens!H5684)</f>
        <v>0.6</v>
      </c>
      <c r="I5701" s="7" t="n">
        <f aca="false">(Sens!H5683+Sens!I5683)/(Sens!H5684+Sens!I5684)</f>
        <v>0.6</v>
      </c>
      <c r="J5701" s="7" t="n">
        <f aca="false">(Sens!I5683+Sens!J5683)/(Sens!I5684+Sens!J5684)</f>
        <v>0.6</v>
      </c>
      <c r="K5701" s="7" t="n">
        <f aca="false">(Sens!J5683+Sens!K5683)/(Sens!J5684+Sens!K5684)</f>
        <v>0.6</v>
      </c>
    </row>
    <row r="5702" customFormat="false" ht="17.15" hidden="false" customHeight="false" outlineLevel="0" collapsed="false">
      <c r="A5702" s="0" t="s">
        <v>840</v>
      </c>
      <c r="B5702" s="0" t="s">
        <v>98</v>
      </c>
      <c r="D5702" s="6" t="n">
        <f aca="false">Sens!D5696-Sens!D5701*(Sens!D5698+Sens!D5700)-Sens!D5699</f>
        <v>8.35701406163072</v>
      </c>
      <c r="E5702" s="6" t="n">
        <f aca="false">Sens!E5696-Sens!E5701*(Sens!E5698+Sens!E5700)-Sens!E5699</f>
        <v>18.7103224860238</v>
      </c>
      <c r="F5702" s="6" t="n">
        <f aca="false">Sens!F5696-Sens!F5701*(Sens!F5698+Sens!F5700)-Sens!F5699</f>
        <v>35.0573455625419</v>
      </c>
      <c r="G5702" s="6" t="n">
        <f aca="false">Sens!G5696-Sens!G5701*(Sens!G5698+Sens!G5700)-Sens!G5699</f>
        <v>52.2504971712871</v>
      </c>
      <c r="H5702" s="6" t="n">
        <f aca="false">Sens!H5696-Sens!H5701*(Sens!H5698+Sens!H5700)-Sens!H5699</f>
        <v>65.2796698510271</v>
      </c>
      <c r="I5702" s="6" t="n">
        <f aca="false">Sens!I5696-Sens!I5701*(Sens!I5698+Sens!I5700)-Sens!I5699</f>
        <v>83.2702996364549</v>
      </c>
      <c r="J5702" s="6" t="n">
        <f aca="false">Sens!J5696-Sens!J5701*(Sens!J5698+Sens!J5700)-Sens!J5699</f>
        <v>96.1001370953095</v>
      </c>
      <c r="K5702" s="6" t="n">
        <f aca="false">Sens!K5696-Sens!K5701*(Sens!K5698+Sens!K5700)-Sens!K5699</f>
        <v>104.833948519816</v>
      </c>
    </row>
    <row r="5703" customFormat="false" ht="17.15" hidden="false" customHeight="false" outlineLevel="0" collapsed="false">
      <c r="A5703" s="1" t="s">
        <v>841</v>
      </c>
      <c r="B5703" s="0" t="s">
        <v>98</v>
      </c>
      <c r="D5703" s="6" t="n">
        <f aca="false">(1-Sens!D5701)*(Sens!D5698+Sens!D5700)</f>
        <v>1.42281025374069</v>
      </c>
      <c r="E5703" s="6" t="n">
        <f aca="false">(1-Sens!E5701)*(Sens!E5698+Sens!E5700)</f>
        <v>3.25095598674472</v>
      </c>
      <c r="F5703" s="6" t="n">
        <f aca="false">(1-Sens!F5701)*(Sens!F5698+Sens!F5700)</f>
        <v>6.53293055050977</v>
      </c>
      <c r="G5703" s="6" t="n">
        <f aca="false">(1-Sens!G5701)*(Sens!G5698+Sens!G5700)</f>
        <v>10.7846311741651</v>
      </c>
      <c r="H5703" s="6" t="n">
        <f aca="false">(1-Sens!H5701)*(Sens!H5698+Sens!H5700)</f>
        <v>15.26343050201</v>
      </c>
      <c r="I5703" s="6" t="n">
        <f aca="false">(1-Sens!I5701)*(Sens!I5698+Sens!I5700)</f>
        <v>19.1433528317977</v>
      </c>
      <c r="J5703" s="6" t="n">
        <f aca="false">(1-Sens!J5701)*(Sens!J5698+Sens!J5700)</f>
        <v>21.7903077438073</v>
      </c>
      <c r="K5703" s="6" t="n">
        <f aca="false">(1-Sens!K5701)*(Sens!K5698+Sens!K5700)</f>
        <v>23.3028530868211</v>
      </c>
    </row>
    <row r="5704" customFormat="false" ht="17.15" hidden="false" customHeight="false" outlineLevel="0" collapsed="false">
      <c r="A5704" s="1" t="s">
        <v>842</v>
      </c>
      <c r="B5704" s="0" t="s">
        <v>357</v>
      </c>
      <c r="C5704" s="8" t="n">
        <f aca="false">cxit_open</f>
        <v>27.5918995</v>
      </c>
      <c r="D5704" s="8" t="n">
        <f aca="false">cxit_open</f>
        <v>27.5918995</v>
      </c>
      <c r="E5704" s="8" t="n">
        <f aca="false">cxit_open</f>
        <v>27.5918995</v>
      </c>
      <c r="F5704" s="8" t="n">
        <f aca="false">(a_g3_27*tk_cxit_gb300+(1-a_g3_27)*tk_cxit_vr200)</f>
        <v>33.8419624</v>
      </c>
      <c r="G5704" s="8" t="n">
        <f aca="false">(a_g3_28*tk_cxit_gb300+(1-a_g3_28)*tk_cxit_vr200)</f>
        <v>35.9816136</v>
      </c>
      <c r="H5704" s="8" t="n">
        <f aca="false">(a_g3_29*tk_cxit_gb300+(1-a_g3_29)*tk_cxit_vr200)</f>
        <v>37.0514392</v>
      </c>
      <c r="I5704" s="8" t="n">
        <f aca="false">(a_g3_29*tk_cxit_gb300+(1-a_g3_29)*tk_cxit_vr200)</f>
        <v>37.0514392</v>
      </c>
      <c r="J5704" s="8" t="n">
        <f aca="false">(a_g3_29*tk_cxit_gb300+(1-a_g3_29)*tk_cxit_vr200)</f>
        <v>37.0514392</v>
      </c>
      <c r="K5704" s="8" t="n">
        <f aca="false">(a_g3_29*tk_cxit_gb300+(1-a_g3_29)*tk_cxit_vr200)</f>
        <v>37.0514392</v>
      </c>
      <c r="L5704" s="11" t="s">
        <v>843</v>
      </c>
    </row>
    <row r="5705" customFormat="false" ht="17.15" hidden="false" customHeight="false" outlineLevel="0" collapsed="false">
      <c r="A5705" s="0" t="s">
        <v>844</v>
      </c>
      <c r="B5705" s="0" t="s">
        <v>399</v>
      </c>
      <c r="F5705" s="29" t="n">
        <f aca="false">Sens!C5686*IF(Sens!F5679-Sens!C5679=life_it,1,0)+Sens!D5686*IF(Sens!F5679-Sens!D5679=life_it,1,0)+Sens!E5686*IF(Sens!F5679-Sens!E5679=life_it,1,0)</f>
        <v>0</v>
      </c>
      <c r="G5705" s="29" t="n">
        <f aca="false">Sens!C5686*IF(Sens!G5679-Sens!C5679=life_it,1,0)+Sens!D5686*IF(Sens!G5679-Sens!D5679=life_it,1,0)+Sens!E5686*IF(Sens!G5679-Sens!E5679=life_it,1,0)+Sens!F5686*IF(Sens!G5679-Sens!F5679=life_it,1,0)</f>
        <v>0</v>
      </c>
      <c r="H5705" s="29" t="n">
        <f aca="false">Sens!C5686*IF(Sens!H5679-Sens!C5679=life_it,1,0)+Sens!D5686*IF(Sens!H5679-Sens!D5679=life_it,1,0)+Sens!E5686*IF(Sens!H5679-Sens!E5679=life_it,1,0)+Sens!F5686*IF(Sens!H5679-Sens!F5679=life_it,1,0)+Sens!G5686*IF(Sens!H5679-Sens!G5679=life_it,1,0)</f>
        <v>0</v>
      </c>
      <c r="I5705" s="29" t="n">
        <f aca="false">Sens!C5686*IF(Sens!I5679-Sens!C5679=life_it,1,0)+Sens!D5686*IF(Sens!I5679-Sens!D5679=life_it,1,0)+Sens!E5686*IF(Sens!I5679-Sens!E5679=life_it,1,0)+Sens!F5686*IF(Sens!I5679-Sens!F5679=life_it,1,0)+Sens!G5686*IF(Sens!I5679-Sens!G5679=life_it,1,0)+Sens!H5686*IF(Sens!I5679-Sens!H5679=life_it,1,0)</f>
        <v>816.666666666667</v>
      </c>
      <c r="J5705" s="29" t="n">
        <f aca="false">Sens!C5686*IF(Sens!J5679-Sens!C5679=life_it,1,0)+Sens!D5686*IF(Sens!J5679-Sens!D5679=life_it,1,0)+Sens!E5686*IF(Sens!J5679-Sens!E5679=life_it,1,0)+Sens!F5686*IF(Sens!J5679-Sens!F5679=life_it,1,0)+Sens!G5686*IF(Sens!J5679-Sens!G5679=life_it,1,0)+Sens!H5686*IF(Sens!J5679-Sens!H5679=life_it,1,0)+Sens!I5686*IF(Sens!J5679-Sens!I5679=life_it,1,0)</f>
        <v>1233.33333333333</v>
      </c>
      <c r="K5705" s="29" t="n">
        <f aca="false">Sens!C5686*IF(Sens!K5679-Sens!C5679=life_it,1,0)+Sens!D5686*IF(Sens!K5679-Sens!D5679=life_it,1,0)+Sens!E5686*IF(Sens!K5679-Sens!E5679=life_it,1,0)+Sens!F5686*IF(Sens!K5679-Sens!F5679=life_it,1,0)+Sens!G5686*IF(Sens!K5679-Sens!G5679=life_it,1,0)+Sens!H5686*IF(Sens!K5679-Sens!H5679=life_it,1,0)+Sens!I5686*IF(Sens!K5679-Sens!I5679=life_it,1,0)+Sens!J5686*IF(Sens!K5679-Sens!J5679=life_it,1,0)</f>
        <v>2450</v>
      </c>
      <c r="L5705" s="1" t="s">
        <v>845</v>
      </c>
    </row>
    <row r="5706" customFormat="false" ht="17.15" hidden="false" customHeight="false" outlineLevel="0" collapsed="false">
      <c r="A5706" s="0" t="s">
        <v>846</v>
      </c>
      <c r="B5706" s="0" t="s">
        <v>98</v>
      </c>
      <c r="C5706" s="6" t="n">
        <f aca="false">Sens!C5686*Sens!C5704/1000</f>
        <v>22.5333845916667</v>
      </c>
      <c r="D5706" s="6" t="n">
        <f aca="false">Sens!D5686*Sens!D5704/1000</f>
        <v>34.0300093833333</v>
      </c>
      <c r="E5706" s="6" t="n">
        <f aca="false">Sens!E5686*Sens!E5704/1000</f>
        <v>67.600153775</v>
      </c>
      <c r="F5706" s="6" t="n">
        <f aca="false">(Sens!F5686+Sens!F5705)*Sens!F5704/1000</f>
        <v>130.923271871467</v>
      </c>
      <c r="G5706" s="6" t="n">
        <f aca="false">(Sens!G5686+Sens!G5705)*Sens!G5704/1000</f>
        <v>151.5545564832</v>
      </c>
      <c r="H5706" s="6" t="n">
        <f aca="false">(Sens!H5686+Sens!H5705)*Sens!H5704/1000</f>
        <v>156.0606619104</v>
      </c>
      <c r="I5706" s="6" t="n">
        <f aca="false">(Sens!I5686+Sens!I5705)*Sens!I5704/1000</f>
        <v>140.987889434245</v>
      </c>
      <c r="J5706" s="6" t="n">
        <f aca="false">(Sens!J5686+Sens!J5705)*Sens!J5704/1000</f>
        <v>113.309125559842</v>
      </c>
      <c r="K5706" s="6" t="n">
        <f aca="false">(Sens!K5686+Sens!K5705)*Sens!K5704/1000</f>
        <v>116.192591420959</v>
      </c>
    </row>
    <row r="5707" customFormat="false" ht="17.15" hidden="false" customHeight="false" outlineLevel="0" collapsed="false">
      <c r="A5707" s="0" t="s">
        <v>847</v>
      </c>
      <c r="B5707" s="0" t="s">
        <v>98</v>
      </c>
      <c r="C5707" s="6" t="n">
        <f aca="false">Sens!C5686*self_build*tk_cxfac/1000</f>
        <v>6.2083</v>
      </c>
      <c r="D5707" s="6" t="n">
        <f aca="false">Sens!D5686*self_build*tk_cxfac/1000</f>
        <v>9.3758</v>
      </c>
      <c r="E5707" s="6" t="n">
        <f aca="false">Sens!E5686*self_build*tk_cxfac/1000</f>
        <v>18.6249</v>
      </c>
      <c r="F5707" s="6" t="n">
        <f aca="false">Sens!F5686*self_build*tk_cxfac/1000</f>
        <v>29.409604</v>
      </c>
      <c r="G5707" s="6" t="n">
        <f aca="false">Sens!G5686*self_build*tk_cxfac/1000</f>
        <v>32.019624</v>
      </c>
      <c r="H5707" s="6" t="n">
        <f aca="false">Sens!H5686*self_build*tk_cxfac/1000</f>
        <v>32.019624</v>
      </c>
      <c r="I5707" s="6" t="n">
        <f aca="false">Sens!I5686*self_build*tk_cxfac/1000</f>
        <v>22.71877972</v>
      </c>
      <c r="J5707" s="6" t="n">
        <f aca="false">Sens!J5686*self_build*tk_cxfac/1000</f>
        <v>13.8723110344</v>
      </c>
      <c r="K5707" s="6" t="n">
        <f aca="false">Sens!K5686*self_build*tk_cxfac/1000</f>
        <v>5.214823882632</v>
      </c>
    </row>
    <row r="5708" customFormat="false" ht="17.15" hidden="false" customHeight="false" outlineLevel="0" collapsed="false">
      <c r="A5708" s="0" t="s">
        <v>848</v>
      </c>
      <c r="B5708" s="0" t="s">
        <v>98</v>
      </c>
      <c r="F5708" s="6" t="n">
        <f aca="false">MAX(0,capex_floor27-Sens!F5706-Sens!F5707-Sens!F5802)</f>
        <v>8.51277689897088</v>
      </c>
    </row>
    <row r="5709" customFormat="false" ht="17.15" hidden="false" customHeight="false" outlineLevel="0" collapsed="false">
      <c r="A5709" s="0" t="s">
        <v>849</v>
      </c>
      <c r="B5709" s="0" t="s">
        <v>98</v>
      </c>
      <c r="C5709" s="6" t="n">
        <f aca="false">Sens!C5706</f>
        <v>22.5333845916667</v>
      </c>
      <c r="D5709" s="6" t="n">
        <f aca="false">Sens!D5706</f>
        <v>34.0300093833333</v>
      </c>
      <c r="E5709" s="6" t="n">
        <f aca="false">Sens!E5706</f>
        <v>67.600153775</v>
      </c>
      <c r="F5709" s="6" t="n">
        <f aca="false">Sens!F5706</f>
        <v>130.923271871467</v>
      </c>
      <c r="G5709" s="6" t="n">
        <f aca="false">Sens!G5706</f>
        <v>151.5545564832</v>
      </c>
      <c r="H5709" s="6" t="n">
        <f aca="false">Sens!H5706</f>
        <v>156.0606619104</v>
      </c>
      <c r="I5709" s="6" t="n">
        <f aca="false">Sens!I5706</f>
        <v>140.987889434245</v>
      </c>
      <c r="J5709" s="6" t="n">
        <f aca="false">Sens!J5706</f>
        <v>113.309125559842</v>
      </c>
      <c r="K5709" s="6" t="n">
        <f aca="false">Sens!K5706</f>
        <v>116.192591420959</v>
      </c>
    </row>
    <row r="5710" customFormat="false" ht="17.15" hidden="false" customHeight="false" outlineLevel="0" collapsed="false">
      <c r="A5710" s="0" t="s">
        <v>850</v>
      </c>
      <c r="B5710" s="0" t="s">
        <v>98</v>
      </c>
      <c r="C5710" s="6" t="n">
        <f aca="false">Sens!C5709+Sens!C5707</f>
        <v>28.7416845916667</v>
      </c>
      <c r="D5710" s="6" t="n">
        <f aca="false">Sens!D5709+Sens!D5707</f>
        <v>43.4058093833333</v>
      </c>
      <c r="E5710" s="6" t="n">
        <f aca="false">Sens!E5709+Sens!E5707</f>
        <v>86.225053775</v>
      </c>
      <c r="F5710" s="6" t="n">
        <f aca="false">Sens!F5709+Sens!F5707</f>
        <v>160.332875871467</v>
      </c>
      <c r="G5710" s="6" t="n">
        <f aca="false">Sens!G5709+Sens!G5707</f>
        <v>183.5741804832</v>
      </c>
      <c r="H5710" s="6" t="n">
        <f aca="false">Sens!H5709+Sens!H5707</f>
        <v>188.0802859104</v>
      </c>
      <c r="I5710" s="6" t="n">
        <f aca="false">Sens!I5709+Sens!I5707</f>
        <v>163.706669154245</v>
      </c>
      <c r="J5710" s="6" t="n">
        <f aca="false">Sens!J5709+Sens!J5707</f>
        <v>127.181436594242</v>
      </c>
      <c r="K5710" s="6" t="n">
        <f aca="false">Sens!K5709+Sens!K5707</f>
        <v>121.407415303591</v>
      </c>
      <c r="L5710" s="11" t="s">
        <v>851</v>
      </c>
    </row>
    <row r="5711" customFormat="false" ht="17.15" hidden="false" customHeight="false" outlineLevel="0" collapsed="false">
      <c r="A5711" s="0" t="s">
        <v>852</v>
      </c>
      <c r="B5711" s="0" t="s">
        <v>98</v>
      </c>
      <c r="E5711" s="6" t="n">
        <f aca="false">(Sens!C5709*IF(2&lt;life_it,1,IF(2=life_it,0.5,0))+Sens!D5709*IF(1&lt;life_it,1,IF(1=life_it,0.5,0))+Sens!E5709*0.5)/life_it</f>
        <v>15.0605784770833</v>
      </c>
      <c r="F5711" s="6" t="n">
        <f aca="false">(Sens!C5709*IF(3&lt;life_it,1,IF(3=life_it,0.5,0))+Sens!D5709*IF(2&lt;life_it,1,IF(2=life_it,0.5,0))+Sens!E5709*IF(1&lt;life_it,1,IF(1=life_it,0.5,0))+Sens!F5709*0.5)/life_it</f>
        <v>31.6041972809556</v>
      </c>
      <c r="G5711" s="6" t="n">
        <f aca="false">(Sens!C5709*IF(4&lt;life_it,1,IF(4=life_it,0.5,0))+Sens!D5709*IF(3&lt;life_it,1,IF(3=life_it,0.5,0))+Sens!E5709*IF(2&lt;life_it,1,IF(2=life_it,0.5,0))+Sens!F5709*IF(1&lt;life_it,1,IF(1=life_it,0.5,0))+Sens!G5709*0.5)/life_it</f>
        <v>55.1440163105111</v>
      </c>
      <c r="H5711" s="6" t="n">
        <f aca="false">(Sens!C5709*IF(5&lt;life_it,1,IF(5=life_it,0.5,0))+Sens!D5709*IF(4&lt;life_it,1,IF(4=life_it,0.5,0))+Sens!E5709*IF(3&lt;life_it,1,IF(3=life_it,0.5,0))+Sens!F5709*IF(2&lt;life_it,1,IF(2=life_it,0.5,0))+Sens!G5709*IF(1&lt;life_it,1,IF(1=life_it,0.5,0))+Sens!H5709*0.5)/life_it</f>
        <v>80.7786178433111</v>
      </c>
      <c r="I5711" s="6" t="n">
        <f aca="false">(Sens!C5709*IF(6&lt;life_it,1,IF(6=life_it,0.5,0))+Sens!D5709*IF(5&lt;life_it,1,IF(5=life_it,0.5,0))+Sens!E5709*IF(4&lt;life_it,1,IF(4=life_it,0.5,0))+Sens!F5709*IF(3&lt;life_it,1,IF(3=life_it,0.5,0))+Sens!G5709*IF(2&lt;life_it,1,IF(2=life_it,0.5,0))+Sens!H5709*IF(1&lt;life_it,1,IF(1=life_it,0.5,0))+Sens!I5709*0.5)/life_it</f>
        <v>103.654881739393</v>
      </c>
      <c r="J5711" s="6" t="n">
        <f aca="false">(Sens!C5709*IF(7&lt;life_it,1,IF(7=life_it,0.5,0))+Sens!D5709*IF(6&lt;life_it,1,IF(6=life_it,0.5,0))+Sens!E5709*IF(5&lt;life_it,1,IF(5=life_it,0.5,0))+Sens!F5709*IF(4&lt;life_it,1,IF(4=life_it,0.5,0))+Sens!G5709*IF(3&lt;life_it,1,IF(3=life_it,0.5,0))+Sens!H5709*IF(2&lt;life_it,1,IF(2=life_it,0.5,0))+Sens!I5709*IF(1&lt;life_it,1,IF(1=life_it,0.5,0))+Sens!J5709*0.5)/life_it</f>
        <v>120.132683490983</v>
      </c>
      <c r="K5711" s="6" t="n">
        <f aca="false">(Sens!C5709*IF(8&lt;life_it,1,IF(8=life_it,0.5,0))+Sens!D5709*IF(7&lt;life_it,1,IF(7=life_it,0.5,0))+Sens!E5709*IF(6&lt;life_it,1,IF(6=life_it,0.5,0))+Sens!F5709*IF(5&lt;life_it,1,IF(5=life_it,0.5,0))+Sens!G5709*IF(4&lt;life_it,1,IF(4=life_it,0.5,0))+Sens!H5709*IF(3&lt;life_it,1,IF(3=life_it,0.5,0))+Sens!I5709*IF(2&lt;life_it,1,IF(2=life_it,0.5,0))+Sens!J5709*IF(1&lt;life_it,1,IF(1=life_it,0.5,0))+Sens!K5709*0.5)/life_it</f>
        <v>130.788646309522</v>
      </c>
    </row>
    <row r="5712" customFormat="false" ht="17.15" hidden="false" customHeight="false" outlineLevel="0" collapsed="false">
      <c r="A5712" s="0" t="s">
        <v>853</v>
      </c>
      <c r="B5712" s="0" t="s">
        <v>98</v>
      </c>
      <c r="E5712" s="6" t="n">
        <f aca="false">(Sens!C5707*IF(2&lt;life_fac,1,IF(2=life_fac,0.5,0))+Sens!D5707*IF(1&lt;life_fac,1,IF(1=life_fac,0.5,0))+Sens!E5707*0.5)/life_fac</f>
        <v>1.2448275</v>
      </c>
      <c r="F5712" s="6" t="n">
        <f aca="false">(Sens!C5707*IF(3&lt;life_fac,1,IF(3=life_fac,0.5,0))+Sens!D5707*IF(2&lt;life_fac,1,IF(2=life_fac,0.5,0))+Sens!E5707*IF(1&lt;life_fac,1,IF(1=life_fac,0.5,0))+Sens!F5707*0.5)/life_fac</f>
        <v>2.4456901</v>
      </c>
      <c r="G5712" s="6" t="n">
        <f aca="false">(Sens!C5707*IF(4&lt;life_fac,1,IF(4=life_fac,0.5,0))+Sens!D5707*IF(3&lt;life_fac,1,IF(3=life_fac,0.5,0))+Sens!E5707*IF(2&lt;life_fac,1,IF(2=life_fac,0.5,0))+Sens!F5707*IF(1&lt;life_fac,1,IF(1=life_fac,0.5,0))+Sens!G5707*0.5)/life_fac</f>
        <v>3.9814208</v>
      </c>
      <c r="H5712" s="6" t="n">
        <f aca="false">(Sens!C5707*IF(5&lt;life_fac,1,IF(5=life_fac,0.5,0))+Sens!D5707*IF(4&lt;life_fac,1,IF(4=life_fac,0.5,0))+Sens!E5707*IF(3&lt;life_fac,1,IF(3=life_fac,0.5,0))+Sens!F5707*IF(2&lt;life_fac,1,IF(2=life_fac,0.5,0))+Sens!G5707*IF(1&lt;life_fac,1,IF(1=life_fac,0.5,0))+Sens!H5707*0.5)/life_fac</f>
        <v>5.582402</v>
      </c>
      <c r="I5712" s="6" t="n">
        <f aca="false">(Sens!C5707*IF(6&lt;life_fac,1,IF(6=life_fac,0.5,0))+Sens!D5707*IF(5&lt;life_fac,1,IF(5=life_fac,0.5,0))+Sens!E5707*IF(4&lt;life_fac,1,IF(4=life_fac,0.5,0))+Sens!F5707*IF(3&lt;life_fac,1,IF(3=life_fac,0.5,0))+Sens!G5707*IF(2&lt;life_fac,1,IF(2=life_fac,0.5,0))+Sens!H5707*IF(1&lt;life_fac,1,IF(1=life_fac,0.5,0))+Sens!I5707*0.5)/life_fac</f>
        <v>6.950862093</v>
      </c>
      <c r="J5712" s="6" t="n">
        <f aca="false">(Sens!C5707*IF(7&lt;life_fac,1,IF(7=life_fac,0.5,0))+Sens!D5707*IF(6&lt;life_fac,1,IF(6=life_fac,0.5,0))+Sens!E5707*IF(5&lt;life_fac,1,IF(5=life_fac,0.5,0))+Sens!F5707*IF(4&lt;life_fac,1,IF(4=life_fac,0.5,0))+Sens!G5707*IF(3&lt;life_fac,1,IF(3=life_fac,0.5,0))+Sens!H5707*IF(2&lt;life_fac,1,IF(2=life_fac,0.5,0))+Sens!I5707*IF(1&lt;life_fac,1,IF(1=life_fac,0.5,0))+Sens!J5707*0.5)/life_fac</f>
        <v>7.86563936186</v>
      </c>
      <c r="K5712" s="6" t="n">
        <f aca="false">(Sens!C5707*IF(8&lt;life_fac,1,IF(8=life_fac,0.5,0))+Sens!D5707*IF(7&lt;life_fac,1,IF(7=life_fac,0.5,0))+Sens!E5707*IF(6&lt;life_fac,1,IF(6=life_fac,0.5,0))+Sens!F5707*IF(5&lt;life_fac,1,IF(5=life_fac,0.5,0))+Sens!G5707*IF(4&lt;life_fac,1,IF(4=life_fac,0.5,0))+Sens!H5707*IF(3&lt;life_fac,1,IF(3=life_fac,0.5,0))+Sens!I5707*IF(2&lt;life_fac,1,IF(2=life_fac,0.5,0))+Sens!J5707*IF(1&lt;life_fac,1,IF(1=life_fac,0.5,0))+Sens!K5707*0.5)/life_fac</f>
        <v>8.3428177347858</v>
      </c>
    </row>
    <row r="5713" customFormat="false" ht="17.15" hidden="false" customHeight="false" outlineLevel="0" collapsed="false">
      <c r="A5713" s="0" t="s">
        <v>854</v>
      </c>
      <c r="B5713" s="0" t="s">
        <v>98</v>
      </c>
      <c r="E5713" s="6" t="n">
        <f aca="false">Sens!E5711+Sens!E5712</f>
        <v>16.3054059770833</v>
      </c>
      <c r="F5713" s="6" t="n">
        <f aca="false">Sens!F5711+Sens!F5712</f>
        <v>34.0498873809555</v>
      </c>
      <c r="G5713" s="6" t="n">
        <f aca="false">Sens!G5711+Sens!G5712</f>
        <v>59.1254371105111</v>
      </c>
      <c r="H5713" s="6" t="n">
        <f aca="false">Sens!H5711+Sens!H5712</f>
        <v>86.3610198433111</v>
      </c>
      <c r="I5713" s="6" t="n">
        <f aca="false">Sens!I5711+Sens!I5712</f>
        <v>110.605743832393</v>
      </c>
      <c r="J5713" s="6" t="n">
        <f aca="false">Sens!J5711+Sens!J5712</f>
        <v>127.998322852843</v>
      </c>
      <c r="K5713" s="6" t="n">
        <f aca="false">Sens!K5711+Sens!K5712</f>
        <v>139.131464044308</v>
      </c>
    </row>
    <row r="5714" customFormat="false" ht="17.15" hidden="false" customHeight="false" outlineLevel="0" collapsed="false">
      <c r="A5714" s="0" t="s">
        <v>855</v>
      </c>
      <c r="B5714" s="0" t="s">
        <v>98</v>
      </c>
      <c r="E5714" s="6" t="n">
        <f aca="false">Sens!E5702-Sens!E5701*Sens!E5713</f>
        <v>8.92707889977379</v>
      </c>
      <c r="F5714" s="6" t="n">
        <f aca="false">Sens!F5702-Sens!F5701*Sens!F5713</f>
        <v>14.6274131339686</v>
      </c>
      <c r="G5714" s="6" t="n">
        <f aca="false">Sens!G5702-Sens!G5701*Sens!G5713</f>
        <v>16.7752349049804</v>
      </c>
      <c r="H5714" s="6" t="n">
        <f aca="false">Sens!H5702-Sens!H5701*Sens!H5713</f>
        <v>13.4630579450404</v>
      </c>
      <c r="I5714" s="6" t="n">
        <f aca="false">Sens!I5702-Sens!I5701*Sens!I5713</f>
        <v>16.9068533370192</v>
      </c>
      <c r="J5714" s="6" t="n">
        <f aca="false">Sens!J5702-Sens!J5701*Sens!J5713</f>
        <v>19.3011433836036</v>
      </c>
      <c r="K5714" s="6" t="n">
        <f aca="false">Sens!K5702-Sens!K5701*Sens!K5713</f>
        <v>21.3550700932312</v>
      </c>
    </row>
    <row r="5715" customFormat="false" ht="17.15" hidden="false" customHeight="false" outlineLevel="0" collapsed="false">
      <c r="A5715" s="3" t="s">
        <v>1408</v>
      </c>
    </row>
    <row r="5716" customFormat="false" ht="15" hidden="false" customHeight="false" outlineLevel="0" collapsed="false">
      <c r="A5716" s="4" t="s">
        <v>43</v>
      </c>
      <c r="B5716" s="4" t="s">
        <v>65</v>
      </c>
      <c r="C5716" s="20" t="s">
        <v>799</v>
      </c>
      <c r="D5716" s="20" t="s">
        <v>800</v>
      </c>
      <c r="E5716" s="20" t="s">
        <v>801</v>
      </c>
      <c r="F5716" s="20" t="s">
        <v>802</v>
      </c>
      <c r="G5716" s="20" t="s">
        <v>803</v>
      </c>
      <c r="H5716" s="20" t="s">
        <v>804</v>
      </c>
      <c r="I5716" s="20" t="s">
        <v>805</v>
      </c>
      <c r="J5716" s="20" t="s">
        <v>806</v>
      </c>
      <c r="K5716" s="20" t="s">
        <v>807</v>
      </c>
      <c r="L5716" s="4" t="s">
        <v>47</v>
      </c>
    </row>
    <row r="5717" customFormat="false" ht="17.15" hidden="false" customHeight="false" outlineLevel="0" collapsed="false">
      <c r="A5717" s="0" t="s">
        <v>874</v>
      </c>
      <c r="B5717" s="0" t="s">
        <v>98</v>
      </c>
      <c r="D5717" s="6" t="n">
        <f aca="false">Sens!D5696</f>
        <v>12.9359794422418</v>
      </c>
      <c r="E5717" s="6" t="n">
        <f aca="false">Sens!E5696</f>
        <v>27.8095064661409</v>
      </c>
      <c r="F5717" s="6" t="n">
        <f aca="false">Sens!F5696</f>
        <v>50.6619113883066</v>
      </c>
      <c r="G5717" s="6" t="n">
        <f aca="false">Sens!G5696</f>
        <v>75.1482839325348</v>
      </c>
      <c r="H5717" s="6" t="n">
        <f aca="false">Sens!H5696</f>
        <v>94.895655604042</v>
      </c>
      <c r="I5717" s="6" t="n">
        <f aca="false">Sens!I5696</f>
        <v>118.706168884151</v>
      </c>
      <c r="J5717" s="6" t="n">
        <f aca="false">Sens!J5696</f>
        <v>135.50643871102</v>
      </c>
      <c r="K5717" s="6" t="n">
        <f aca="false">Sens!K5696</f>
        <v>146.509068150048</v>
      </c>
    </row>
    <row r="5718" customFormat="false" ht="17.15" hidden="false" customHeight="false" outlineLevel="0" collapsed="false">
      <c r="A5718" s="0" t="s">
        <v>875</v>
      </c>
      <c r="B5718" s="0" t="s">
        <v>98</v>
      </c>
      <c r="D5718" s="6" t="n">
        <f aca="false">Q!L6-Sens!D5717</f>
        <v>59.6740205577583</v>
      </c>
      <c r="E5718" s="6" t="n">
        <f aca="false">Q!M6-Sens!E5717</f>
        <v>74.1284935338591</v>
      </c>
      <c r="F5718" s="6" t="n">
        <f aca="false">Sens!E5718*(1+Sens!F5719)</f>
        <v>90.0799497373663</v>
      </c>
      <c r="G5718" s="6" t="n">
        <f aca="false">Sens!F5718*(1+Sens!G5719)</f>
        <v>107.02842520331</v>
      </c>
      <c r="H5718" s="6" t="n">
        <f aca="false">Sens!G5718*(1+Sens!H5719)</f>
        <v>124.271982585636</v>
      </c>
      <c r="I5718" s="6" t="n">
        <f aca="false">Sens!H5718*(1+Sens!I5719)</f>
        <v>140.933702381855</v>
      </c>
      <c r="J5718" s="6" t="n">
        <f aca="false">Sens!I5718*(1+Sens!J5719)</f>
        <v>156.018867314332</v>
      </c>
      <c r="K5718" s="6" t="n">
        <f aca="false">Sens!J5718*(1+Sens!K5719)</f>
        <v>168.500376699478</v>
      </c>
    </row>
    <row r="5719" customFormat="false" ht="15" hidden="false" customHeight="false" outlineLevel="0" collapsed="false">
      <c r="A5719" s="1" t="s">
        <v>876</v>
      </c>
      <c r="B5719" s="0" t="s">
        <v>129</v>
      </c>
      <c r="E5719" s="7" t="n">
        <f aca="false">Sens!E5718/Sens!D5718-1</f>
        <v>0.242223883039864</v>
      </c>
      <c r="F5719" s="7" t="n">
        <f aca="false">Sens!$E$5719+(glt_azo-Sens!$E$5719)*MIN(1,(Sens!F5679-base_fy)/n_conv)</f>
        <v>0.215186569199887</v>
      </c>
      <c r="G5719" s="7" t="n">
        <f aca="false">Sens!$E$5719+(glt_azo-Sens!$E$5719)*MIN(1,(Sens!G5679-base_fy)/n_conv)</f>
        <v>0.18814925535991</v>
      </c>
      <c r="H5719" s="7" t="n">
        <f aca="false">Sens!$E$5719+(glt_azo-Sens!$E$5719)*MIN(1,(Sens!H5679-base_fy)/n_conv)</f>
        <v>0.161111941519932</v>
      </c>
      <c r="I5719" s="7" t="n">
        <f aca="false">Sens!$E$5719+(glt_azo-Sens!$E$5719)*MIN(1,(Sens!I5679-base_fy)/n_conv)</f>
        <v>0.134074627679955</v>
      </c>
      <c r="J5719" s="7" t="n">
        <f aca="false">Sens!$E$5719+(glt_azo-Sens!$E$5719)*MIN(1,(Sens!J5679-base_fy)/n_conv)</f>
        <v>0.107037313839977</v>
      </c>
      <c r="K5719" s="7" t="n">
        <f aca="false">Sens!$E$5719+(glt_azo-Sens!$E$5719)*MIN(1,(Sens!K5679-base_fy)/n_conv)</f>
        <v>0.08</v>
      </c>
    </row>
    <row r="5720" customFormat="false" ht="15" hidden="false" customHeight="false" outlineLevel="0" collapsed="false">
      <c r="A5720" s="0" t="s">
        <v>877</v>
      </c>
      <c r="B5720" s="0" t="s">
        <v>98</v>
      </c>
      <c r="D5720" s="6" t="n">
        <f aca="false">Sens!D5717+Sens!D5718</f>
        <v>72.61</v>
      </c>
      <c r="E5720" s="6" t="n">
        <f aca="false">Sens!E5717+Sens!E5718</f>
        <v>101.938</v>
      </c>
      <c r="F5720" s="6" t="n">
        <f aca="false">Sens!F5717+Sens!F5718</f>
        <v>140.741861125673</v>
      </c>
      <c r="G5720" s="6" t="n">
        <f aca="false">Sens!G5717+Sens!G5718</f>
        <v>182.176709135845</v>
      </c>
      <c r="H5720" s="6" t="n">
        <f aca="false">Sens!H5717+Sens!H5718</f>
        <v>219.167638189678</v>
      </c>
      <c r="I5720" s="6" t="n">
        <f aca="false">Sens!I5717+Sens!I5718</f>
        <v>259.639871266006</v>
      </c>
      <c r="J5720" s="6" t="n">
        <f aca="false">Sens!J5717+Sens!J5718</f>
        <v>291.525306025352</v>
      </c>
      <c r="K5720" s="6" t="n">
        <f aca="false">Sens!K5717+Sens!K5718</f>
        <v>315.009444849526</v>
      </c>
    </row>
    <row r="5721" customFormat="false" ht="17.15" hidden="false" customHeight="false" outlineLevel="0" collapsed="false">
      <c r="A5721" s="0" t="s">
        <v>878</v>
      </c>
      <c r="B5721" s="1" t="s">
        <v>528</v>
      </c>
      <c r="C5721" s="29" t="n">
        <f aca="false">cop_s24</f>
        <v>1</v>
      </c>
      <c r="D5721" s="29" t="n">
        <f aca="false">cop_s25</f>
        <v>5</v>
      </c>
      <c r="E5721" s="29" t="n">
        <f aca="false">cop_s26</f>
        <v>30</v>
      </c>
      <c r="F5721" s="29" t="n">
        <f aca="false">Sens!E5721+cop_add_C*0.5</f>
        <v>35</v>
      </c>
      <c r="G5721" s="29" t="n">
        <f aca="false">Sens!F5721+cop_add_C*0.5</f>
        <v>40</v>
      </c>
      <c r="H5721" s="29" t="n">
        <f aca="false">Sens!G5721+cop_add_C*0.5</f>
        <v>45</v>
      </c>
      <c r="I5721" s="29" t="n">
        <f aca="false">Sens!H5721+cop_add_C*0.5*cop_tail</f>
        <v>47.5</v>
      </c>
      <c r="J5721" s="29" t="n">
        <f aca="false">Sens!I5721+cop_add_C*0.5*cop_tail</f>
        <v>50</v>
      </c>
      <c r="K5721" s="29" t="n">
        <f aca="false">Sens!J5721+cop_add_C*0.5*cop_tail</f>
        <v>52.5</v>
      </c>
      <c r="L5721" s="11" t="s">
        <v>879</v>
      </c>
    </row>
    <row r="5722" customFormat="false" ht="17.15" hidden="false" customHeight="false" outlineLevel="0" collapsed="false">
      <c r="A5722" s="0" t="s">
        <v>880</v>
      </c>
      <c r="B5722" s="0" t="s">
        <v>98</v>
      </c>
      <c r="D5722" s="6" t="n">
        <f aca="false">(Sens!C5721+Sens!D5721)/2*cop_px*12/1000</f>
        <v>0.9</v>
      </c>
      <c r="E5722" s="6" t="n">
        <f aca="false">(Sens!D5721+Sens!E5721)/2*cop_px*12/1000</f>
        <v>5.25</v>
      </c>
      <c r="F5722" s="6" t="n">
        <f aca="false">(Sens!E5721+Sens!F5721)/2*cop_px*12/1000</f>
        <v>9.75</v>
      </c>
      <c r="G5722" s="6" t="n">
        <f aca="false">(Sens!F5721+Sens!G5721)/2*cop_px*12/1000</f>
        <v>11.25</v>
      </c>
      <c r="H5722" s="6" t="n">
        <f aca="false">(Sens!G5721+Sens!H5721)/2*cop_px*12/1000</f>
        <v>12.75</v>
      </c>
      <c r="I5722" s="6" t="n">
        <f aca="false">(Sens!H5721+Sens!I5721)/2*cop_px*12/1000</f>
        <v>13.875</v>
      </c>
      <c r="J5722" s="6" t="n">
        <f aca="false">(Sens!I5721+Sens!J5721)/2*cop_px*12/1000</f>
        <v>14.625</v>
      </c>
      <c r="K5722" s="6" t="n">
        <f aca="false">(Sens!J5721+Sens!K5721)/2*cop_px*12/1000</f>
        <v>15.375</v>
      </c>
      <c r="L5722" s="1" t="s">
        <v>881</v>
      </c>
    </row>
    <row r="5723" customFormat="false" ht="17.15" hidden="false" customHeight="false" outlineLevel="0" collapsed="false">
      <c r="A5723" s="0" t="s">
        <v>882</v>
      </c>
      <c r="B5723" s="0" t="s">
        <v>98</v>
      </c>
      <c r="D5723" s="6" t="n">
        <f aca="false">Q!L7-Sens!D5722</f>
        <v>83.705</v>
      </c>
      <c r="E5723" s="6" t="n">
        <f aca="false">Q!M7-Sens!E5722</f>
        <v>95.049</v>
      </c>
      <c r="F5723" s="6" t="n">
        <f aca="false">Sens!E5723*(1+Sens!F5724)</f>
        <v>106.89238776686</v>
      </c>
      <c r="G5723" s="6" t="n">
        <f aca="false">Sens!F5723*(1+Sens!G5724)</f>
        <v>119.044168448684</v>
      </c>
      <c r="H5723" s="6" t="n">
        <f aca="false">Sens!G5723*(1+Sens!H5724)</f>
        <v>131.277359388781</v>
      </c>
      <c r="I5723" s="6" t="n">
        <f aca="false">Sens!H5723*(1+Sens!I5724)</f>
        <v>143.334028071957</v>
      </c>
      <c r="J5723" s="6" t="n">
        <f aca="false">Sens!I5723*(1+Sens!J5724)</f>
        <v>154.932702785465</v>
      </c>
      <c r="K5723" s="6" t="n">
        <f aca="false">Sens!J5723*(1+Sens!K5724)</f>
        <v>165.777991980448</v>
      </c>
    </row>
    <row r="5724" customFormat="false" ht="15" hidden="false" customHeight="false" outlineLevel="0" collapsed="false">
      <c r="A5724" s="1" t="s">
        <v>876</v>
      </c>
      <c r="B5724" s="0" t="s">
        <v>129</v>
      </c>
      <c r="E5724" s="7" t="n">
        <f aca="false">Sens!E5723/Sens!D5723-1</f>
        <v>0.135523564900544</v>
      </c>
      <c r="F5724" s="7" t="n">
        <f aca="false">Sens!$E$5724+(glt_m365b-Sens!$E$5724)*MIN(1,(Sens!F5679-base_fy)/n_conv)</f>
        <v>0.124602970750453</v>
      </c>
      <c r="G5724" s="7" t="n">
        <f aca="false">Sens!$E$5724+(glt_m365b-Sens!$E$5724)*MIN(1,(Sens!G5679-base_fy)/n_conv)</f>
        <v>0.113682376600363</v>
      </c>
      <c r="H5724" s="7" t="n">
        <f aca="false">Sens!$E$5724+(glt_m365b-Sens!$E$5724)*MIN(1,(Sens!H5679-base_fy)/n_conv)</f>
        <v>0.102761782450272</v>
      </c>
      <c r="I5724" s="7" t="n">
        <f aca="false">Sens!$E$5724+(glt_m365b-Sens!$E$5724)*MIN(1,(Sens!I5679-base_fy)/n_conv)</f>
        <v>0.0918411883001813</v>
      </c>
      <c r="J5724" s="7" t="n">
        <f aca="false">Sens!$E$5724+(glt_m365b-Sens!$E$5724)*MIN(1,(Sens!J5679-base_fy)/n_conv)</f>
        <v>0.0809205941500906</v>
      </c>
      <c r="K5724" s="7" t="n">
        <f aca="false">Sens!$E$5724+(glt_m365b-Sens!$E$5724)*MIN(1,(Sens!K5679-base_fy)/n_conv)</f>
        <v>0.07</v>
      </c>
    </row>
    <row r="5725" customFormat="false" ht="15" hidden="false" customHeight="false" outlineLevel="0" collapsed="false">
      <c r="A5725" s="0" t="s">
        <v>883</v>
      </c>
      <c r="B5725" s="0" t="s">
        <v>98</v>
      </c>
      <c r="D5725" s="6" t="n">
        <f aca="false">Sens!D5723+Sens!D5722</f>
        <v>84.605</v>
      </c>
      <c r="E5725" s="6" t="n">
        <f aca="false">Sens!E5723+Sens!E5722</f>
        <v>100.299</v>
      </c>
      <c r="F5725" s="6" t="n">
        <f aca="false">Sens!F5723+Sens!F5722</f>
        <v>116.64238776686</v>
      </c>
      <c r="G5725" s="6" t="n">
        <f aca="false">Sens!G5723+Sens!G5722</f>
        <v>130.294168448684</v>
      </c>
      <c r="H5725" s="6" t="n">
        <f aca="false">Sens!H5723+Sens!H5722</f>
        <v>144.027359388781</v>
      </c>
      <c r="I5725" s="6" t="n">
        <f aca="false">Sens!I5723+Sens!I5722</f>
        <v>157.209028071957</v>
      </c>
      <c r="J5725" s="6" t="n">
        <f aca="false">Sens!J5723+Sens!J5722</f>
        <v>169.557702785465</v>
      </c>
      <c r="K5725" s="6" t="n">
        <f aca="false">Sens!K5723+Sens!K5722</f>
        <v>181.152991980448</v>
      </c>
    </row>
    <row r="5726" customFormat="false" ht="15" hidden="false" customHeight="false" outlineLevel="0" collapsed="false">
      <c r="A5726" s="0" t="s">
        <v>884</v>
      </c>
      <c r="B5726" s="0" t="s">
        <v>98</v>
      </c>
      <c r="D5726" s="6" t="n">
        <f aca="false">Q!L8</f>
        <v>35.391</v>
      </c>
      <c r="E5726" s="6" t="n">
        <f aca="false">Q!M8</f>
        <v>37.285</v>
      </c>
      <c r="F5726" s="6" t="n">
        <f aca="false">Sens!E5726*(1+Sens!F5727)</f>
        <v>39.0720834331704</v>
      </c>
      <c r="G5726" s="6" t="n">
        <f aca="false">Sens!F5726*(1+Sens!G5727)</f>
        <v>40.726562953769</v>
      </c>
      <c r="H5726" s="6" t="n">
        <f aca="false">Sens!G5726*(1+Sens!H5727)</f>
        <v>42.2235987259198</v>
      </c>
      <c r="I5726" s="6" t="n">
        <f aca="false">Sens!H5726*(1+Sens!I5727)</f>
        <v>43.5397988077414</v>
      </c>
      <c r="J5726" s="6" t="n">
        <f aca="false">Sens!I5726*(1+Sens!J5727)</f>
        <v>44.653811225693</v>
      </c>
      <c r="K5726" s="6" t="n">
        <f aca="false">Sens!J5726*(1+Sens!K5727)</f>
        <v>45.5468874502068</v>
      </c>
    </row>
    <row r="5727" customFormat="false" ht="15" hidden="false" customHeight="false" outlineLevel="0" collapsed="false">
      <c r="A5727" s="1" t="s">
        <v>876</v>
      </c>
      <c r="B5727" s="0" t="s">
        <v>129</v>
      </c>
      <c r="E5727" s="7" t="n">
        <f aca="false">Sens!E5726/Sens!D5726-1</f>
        <v>0.0535164307309768</v>
      </c>
      <c r="F5727" s="7" t="n">
        <f aca="false">Sens!$E$5727+(glt_lic-Sens!$E$5727)*MIN(1,(Sens!F5679-base_fy)/n_conv)</f>
        <v>0.0479303589424807</v>
      </c>
      <c r="G5727" s="7" t="n">
        <f aca="false">Sens!$E$5727+(glt_lic-Sens!$E$5727)*MIN(1,(Sens!G5679-base_fy)/n_conv)</f>
        <v>0.0423442871539845</v>
      </c>
      <c r="H5727" s="7" t="n">
        <f aca="false">Sens!$E$5727+(glt_lic-Sens!$E$5727)*MIN(1,(Sens!H5679-base_fy)/n_conv)</f>
        <v>0.0367582153654884</v>
      </c>
      <c r="I5727" s="7" t="n">
        <f aca="false">Sens!$E$5727+(glt_lic-Sens!$E$5727)*MIN(1,(Sens!I5679-base_fy)/n_conv)</f>
        <v>0.0311721435769923</v>
      </c>
      <c r="J5727" s="7" t="n">
        <f aca="false">Sens!$E$5727+(glt_lic-Sens!$E$5727)*MIN(1,(Sens!J5679-base_fy)/n_conv)</f>
        <v>0.0255860717884961</v>
      </c>
      <c r="K5727" s="7" t="n">
        <f aca="false">Sens!$E$5727+(glt_lic-Sens!$E$5727)*MIN(1,(Sens!K5679-base_fy)/n_conv)</f>
        <v>0.02</v>
      </c>
    </row>
    <row r="5728" customFormat="false" ht="15" hidden="false" customHeight="false" outlineLevel="0" collapsed="false">
      <c r="A5728" s="0" t="s">
        <v>885</v>
      </c>
      <c r="B5728" s="0" t="s">
        <v>98</v>
      </c>
      <c r="D5728" s="6" t="n">
        <f aca="false">Q!L9</f>
        <v>18.417</v>
      </c>
      <c r="E5728" s="6" t="n">
        <f aca="false">Q!M9</f>
        <v>20.345</v>
      </c>
      <c r="F5728" s="6" t="n">
        <f aca="false">Sens!E5728*(1+Sens!F5729)</f>
        <v>22.3572203267814</v>
      </c>
      <c r="G5728" s="6" t="n">
        <f aca="false">Sens!F5728*(1+Sens!G5729)</f>
        <v>24.4392124437232</v>
      </c>
      <c r="H5728" s="6" t="n">
        <f aca="false">Sens!G5728*(1+Sens!H5729)</f>
        <v>26.5738052080665</v>
      </c>
      <c r="I5728" s="6" t="n">
        <f aca="false">Sens!H5728*(1+Sens!I5729)</f>
        <v>28.7412169166967</v>
      </c>
      <c r="J5728" s="6" t="n">
        <f aca="false">Sens!I5728*(1+Sens!J5729)</f>
        <v>30.9192545395413</v>
      </c>
      <c r="K5728" s="6" t="n">
        <f aca="false">Sens!J5728*(1+Sens!K5729)</f>
        <v>33.0836023573092</v>
      </c>
    </row>
    <row r="5729" customFormat="false" ht="15" hidden="false" customHeight="false" outlineLevel="0" collapsed="false">
      <c r="A5729" s="1" t="s">
        <v>876</v>
      </c>
      <c r="B5729" s="0" t="s">
        <v>129</v>
      </c>
      <c r="E5729" s="7" t="n">
        <f aca="false">Sens!E5728/Sens!D5728-1</f>
        <v>0.104685888038225</v>
      </c>
      <c r="F5729" s="7" t="n">
        <f aca="false">Sens!$E$5729+(glt_ind-Sens!$E$5729)*MIN(1,(Sens!F5679-base_fy)/n_conv)</f>
        <v>0.0989049066985211</v>
      </c>
      <c r="G5729" s="7" t="n">
        <f aca="false">Sens!$E$5729+(glt_ind-Sens!$E$5729)*MIN(1,(Sens!G5679-base_fy)/n_conv)</f>
        <v>0.0931239253588169</v>
      </c>
      <c r="H5729" s="7" t="n">
        <f aca="false">Sens!$E$5729+(glt_ind-Sens!$E$5729)*MIN(1,(Sens!H5679-base_fy)/n_conv)</f>
        <v>0.0873429440191127</v>
      </c>
      <c r="I5729" s="7" t="n">
        <f aca="false">Sens!$E$5729+(glt_ind-Sens!$E$5729)*MIN(1,(Sens!I5679-base_fy)/n_conv)</f>
        <v>0.0815619626794085</v>
      </c>
      <c r="J5729" s="7" t="n">
        <f aca="false">Sens!$E$5729+(glt_ind-Sens!$E$5729)*MIN(1,(Sens!J5679-base_fy)/n_conv)</f>
        <v>0.0757809813397042</v>
      </c>
      <c r="K5729" s="7" t="n">
        <f aca="false">Sens!$E$5729+(glt_ind-Sens!$E$5729)*MIN(1,(Sens!K5679-base_fy)/n_conv)</f>
        <v>0.07</v>
      </c>
    </row>
    <row r="5730" customFormat="false" ht="15" hidden="false" customHeight="false" outlineLevel="0" collapsed="false">
      <c r="A5730" s="0" t="s">
        <v>886</v>
      </c>
      <c r="B5730" s="0" t="s">
        <v>98</v>
      </c>
      <c r="D5730" s="6" t="n">
        <f aca="false">Q!L10</f>
        <v>7.76</v>
      </c>
      <c r="E5730" s="6" t="n">
        <f aca="false">Q!M10</f>
        <v>8.26</v>
      </c>
      <c r="F5730" s="6" t="n">
        <f aca="false">Sens!E5730*(1+Sens!F5731)</f>
        <v>8.79988041237113</v>
      </c>
      <c r="G5730" s="6" t="n">
        <f aca="false">Sens!F5730*(1+Sens!G5731)</f>
        <v>9.38321269125306</v>
      </c>
      <c r="H5730" s="6" t="n">
        <f aca="false">Sens!G5730*(1+Sens!H5731)</f>
        <v>10.0139193587476</v>
      </c>
      <c r="I5730" s="6" t="n">
        <f aca="false">Sens!H5730*(1+Sens!I5731)</f>
        <v>10.6963111830911</v>
      </c>
      <c r="J5730" s="6" t="n">
        <f aca="false">Sens!I5730*(1+Sens!J5731)</f>
        <v>11.4351285534696</v>
      </c>
      <c r="K5730" s="6" t="n">
        <f aca="false">Sens!J5730*(1+Sens!K5731)</f>
        <v>12.2355875522124</v>
      </c>
    </row>
    <row r="5731" customFormat="false" ht="15" hidden="false" customHeight="false" outlineLevel="0" collapsed="false">
      <c r="A5731" s="1" t="s">
        <v>876</v>
      </c>
      <c r="B5731" s="0" t="s">
        <v>129</v>
      </c>
      <c r="E5731" s="7" t="n">
        <f aca="false">Sens!E5730/Sens!D5730-1</f>
        <v>0.0644329896907216</v>
      </c>
      <c r="F5731" s="7" t="n">
        <f aca="false">Sens!$E$5731+(glt_fro-Sens!$E$5731)*MIN(1,(Sens!F5679-base_fy)/n_conv)</f>
        <v>0.065360824742268</v>
      </c>
      <c r="G5731" s="7" t="n">
        <f aca="false">Sens!$E$5731+(glt_fro-Sens!$E$5731)*MIN(1,(Sens!G5679-base_fy)/n_conv)</f>
        <v>0.0662886597938144</v>
      </c>
      <c r="H5731" s="7" t="n">
        <f aca="false">Sens!$E$5731+(glt_fro-Sens!$E$5731)*MIN(1,(Sens!H5679-base_fy)/n_conv)</f>
        <v>0.0672164948453608</v>
      </c>
      <c r="I5731" s="7" t="n">
        <f aca="false">Sens!$E$5731+(glt_fro-Sens!$E$5731)*MIN(1,(Sens!I5679-base_fy)/n_conv)</f>
        <v>0.0681443298969072</v>
      </c>
      <c r="J5731" s="7" t="n">
        <f aca="false">Sens!$E$5731+(glt_fro-Sens!$E$5731)*MIN(1,(Sens!J5679-base_fy)/n_conv)</f>
        <v>0.0690721649484536</v>
      </c>
      <c r="K5731" s="7" t="n">
        <f aca="false">Sens!$E$5731+(glt_fro-Sens!$E$5731)*MIN(1,(Sens!K5679-base_fy)/n_conv)</f>
        <v>0.07</v>
      </c>
    </row>
    <row r="5732" customFormat="false" ht="15" hidden="false" customHeight="false" outlineLevel="0" collapsed="false">
      <c r="A5732" s="0" t="s">
        <v>715</v>
      </c>
      <c r="B5732" s="0" t="s">
        <v>98</v>
      </c>
      <c r="D5732" s="6" t="n">
        <f aca="false">Sens!D5720+Sens!D5725+Sens!D5726+Sens!D5728+Sens!D5730</f>
        <v>218.783</v>
      </c>
      <c r="E5732" s="6" t="n">
        <f aca="false">Sens!E5720+Sens!E5725+Sens!E5726+Sens!E5728+Sens!E5730</f>
        <v>268.127</v>
      </c>
      <c r="F5732" s="6" t="n">
        <f aca="false">Sens!F5720+Sens!F5725+Sens!F5726+Sens!F5728+Sens!F5730</f>
        <v>327.613433064856</v>
      </c>
      <c r="G5732" s="6" t="n">
        <f aca="false">Sens!G5720+Sens!G5725+Sens!G5726+Sens!G5728+Sens!G5730</f>
        <v>387.019865673274</v>
      </c>
      <c r="H5732" s="6" t="n">
        <f aca="false">Sens!H5720+Sens!H5725+Sens!H5726+Sens!H5728+Sens!H5730</f>
        <v>442.006320871193</v>
      </c>
      <c r="I5732" s="6" t="n">
        <f aca="false">Sens!I5720+Sens!I5725+Sens!I5726+Sens!I5728+Sens!I5730</f>
        <v>499.826226245492</v>
      </c>
      <c r="J5732" s="6" t="n">
        <f aca="false">Sens!J5720+Sens!J5725+Sens!J5726+Sens!J5728+Sens!J5730</f>
        <v>548.091203129521</v>
      </c>
      <c r="K5732" s="6" t="n">
        <f aca="false">Sens!K5720+Sens!K5725+Sens!K5726+Sens!K5728+Sens!K5730</f>
        <v>587.028514189702</v>
      </c>
    </row>
    <row r="5733" customFormat="false" ht="15" hidden="false" customHeight="false" outlineLevel="0" collapsed="false">
      <c r="A5733" s="0" t="s">
        <v>887</v>
      </c>
      <c r="B5733" s="0" t="s">
        <v>98</v>
      </c>
      <c r="D5733" s="6" t="n">
        <f aca="false">Q!L13</f>
        <v>22.171</v>
      </c>
      <c r="E5733" s="6" t="n">
        <f aca="false">Q!M13</f>
        <v>24.835</v>
      </c>
      <c r="F5733" s="6" t="n">
        <f aca="false">Sens!E5733*(1+Sens!F5734)</f>
        <v>27.6114901218559</v>
      </c>
      <c r="G5733" s="6" t="n">
        <f aca="false">Sens!F5733*(1+Sens!G5734)</f>
        <v>30.4675667338515</v>
      </c>
      <c r="H5733" s="6" t="n">
        <f aca="false">Sens!G5733*(1+Sens!H5734)</f>
        <v>33.3643766955789</v>
      </c>
      <c r="I5733" s="6" t="n">
        <f aca="false">Sens!H5733*(1+Sens!I5734)</f>
        <v>36.2577016533691</v>
      </c>
      <c r="J5733" s="6" t="n">
        <f aca="false">Sens!I5733*(1+Sens!J5734)</f>
        <v>39.0988367952171</v>
      </c>
      <c r="K5733" s="6" t="n">
        <f aca="false">Sens!J5733*(1+Sens!K5734)</f>
        <v>41.8357553708823</v>
      </c>
    </row>
    <row r="5734" customFormat="false" ht="15" hidden="false" customHeight="false" outlineLevel="0" collapsed="false">
      <c r="A5734" s="1" t="s">
        <v>876</v>
      </c>
      <c r="B5734" s="0" t="s">
        <v>129</v>
      </c>
      <c r="E5734" s="7" t="n">
        <f aca="false">Sens!E5733/Sens!D5733-1</f>
        <v>0.120156961796942</v>
      </c>
      <c r="F5734" s="7" t="n">
        <f aca="false">Sens!$E$5734+(glt_srch-Sens!$E$5734)*MIN(1,(Sens!F5679-base_fy)/n_conv)</f>
        <v>0.111797468164118</v>
      </c>
      <c r="G5734" s="7" t="n">
        <f aca="false">Sens!$E$5734+(glt_srch-Sens!$E$5734)*MIN(1,(Sens!G5679-base_fy)/n_conv)</f>
        <v>0.103437974531295</v>
      </c>
      <c r="H5734" s="7" t="n">
        <f aca="false">Sens!$E$5734+(glt_srch-Sens!$E$5734)*MIN(1,(Sens!H5679-base_fy)/n_conv)</f>
        <v>0.095078480898471</v>
      </c>
      <c r="I5734" s="7" t="n">
        <f aca="false">Sens!$E$5734+(glt_srch-Sens!$E$5734)*MIN(1,(Sens!I5679-base_fy)/n_conv)</f>
        <v>0.0867189872656474</v>
      </c>
      <c r="J5734" s="7" t="n">
        <f aca="false">Sens!$E$5734+(glt_srch-Sens!$E$5734)*MIN(1,(Sens!J5679-base_fy)/n_conv)</f>
        <v>0.0783594936328237</v>
      </c>
      <c r="K5734" s="7" t="n">
        <f aca="false">Sens!$E$5734+(glt_srch-Sens!$E$5734)*MIN(1,(Sens!K5679-base_fy)/n_conv)</f>
        <v>0.07</v>
      </c>
    </row>
    <row r="5735" customFormat="false" ht="15" hidden="false" customHeight="false" outlineLevel="0" collapsed="false">
      <c r="A5735" s="0" t="s">
        <v>888</v>
      </c>
      <c r="B5735" s="0" t="s">
        <v>98</v>
      </c>
      <c r="D5735" s="6" t="n">
        <f aca="false">Q!L14</f>
        <v>23.455</v>
      </c>
      <c r="E5735" s="6" t="n">
        <f aca="false">Q!M14</f>
        <v>21.79</v>
      </c>
      <c r="F5735" s="6" t="n">
        <f aca="false">Sens!E5735*(1+Sens!F5736)</f>
        <v>20.5736277908051</v>
      </c>
      <c r="G5735" s="6" t="n">
        <f aca="false">Sens!F5735*(1+Sens!G5736)</f>
        <v>19.7371452817919</v>
      </c>
      <c r="H5735" s="6" t="n">
        <f aca="false">Sens!G5735*(1+Sens!H5736)</f>
        <v>19.2339764043138</v>
      </c>
      <c r="I5735" s="6" t="n">
        <f aca="false">Sens!H5735*(1+Sens!I5736)</f>
        <v>19.0353086852681</v>
      </c>
      <c r="J5735" s="6" t="n">
        <f aca="false">Sens!I5735*(1+Sens!J5736)</f>
        <v>19.1273539319129</v>
      </c>
      <c r="K5735" s="6" t="n">
        <f aca="false">Sens!J5735*(1+Sens!K5736)</f>
        <v>19.5099010105511</v>
      </c>
    </row>
    <row r="5736" customFormat="false" ht="15" hidden="false" customHeight="false" outlineLevel="0" collapsed="false">
      <c r="A5736" s="1" t="s">
        <v>876</v>
      </c>
      <c r="B5736" s="0" t="s">
        <v>129</v>
      </c>
      <c r="E5736" s="7" t="n">
        <f aca="false">Sens!E5735/Sens!D5735-1</f>
        <v>-0.0709869963760392</v>
      </c>
      <c r="F5736" s="7" t="n">
        <f aca="false">Sens!$E$5736+(glt_xbox-Sens!$E$5736)*MIN(1,(Sens!F5679-base_fy)/n_conv)</f>
        <v>-0.0558224969800327</v>
      </c>
      <c r="G5736" s="7" t="n">
        <f aca="false">Sens!$E$5736+(glt_xbox-Sens!$E$5736)*MIN(1,(Sens!G5679-base_fy)/n_conv)</f>
        <v>-0.0406579975840262</v>
      </c>
      <c r="H5736" s="7" t="n">
        <f aca="false">Sens!$E$5736+(glt_xbox-Sens!$E$5736)*MIN(1,(Sens!H5679-base_fy)/n_conv)</f>
        <v>-0.0254934981880196</v>
      </c>
      <c r="I5736" s="7" t="n">
        <f aca="false">Sens!$E$5736+(glt_xbox-Sens!$E$5736)*MIN(1,(Sens!I5679-base_fy)/n_conv)</f>
        <v>-0.0103289987920131</v>
      </c>
      <c r="J5736" s="7" t="n">
        <f aca="false">Sens!$E$5736+(glt_xbox-Sens!$E$5736)*MIN(1,(Sens!J5679-base_fy)/n_conv)</f>
        <v>0.00483550060399347</v>
      </c>
      <c r="K5736" s="7" t="n">
        <f aca="false">Sens!$E$5736+(glt_xbox-Sens!$E$5736)*MIN(1,(Sens!K5679-base_fy)/n_conv)</f>
        <v>0.02</v>
      </c>
    </row>
    <row r="5737" customFormat="false" ht="15" hidden="false" customHeight="false" outlineLevel="0" collapsed="false">
      <c r="A5737" s="0" t="s">
        <v>889</v>
      </c>
      <c r="B5737" s="0" t="s">
        <v>98</v>
      </c>
      <c r="D5737" s="6" t="n">
        <f aca="false">Q!L15</f>
        <v>17.315</v>
      </c>
      <c r="E5737" s="6" t="n">
        <f aca="false">Q!M15</f>
        <v>17.087</v>
      </c>
      <c r="F5737" s="6" t="n">
        <f aca="false">Sens!E5737*(1+Sens!F5738)</f>
        <v>16.9564585436519</v>
      </c>
      <c r="G5737" s="6" t="n">
        <f aca="false">Sens!F5737*(1+Sens!G5738)</f>
        <v>16.9206490624268</v>
      </c>
      <c r="H5737" s="6" t="n">
        <f aca="false">Sens!G5737*(1+Sens!H5738)</f>
        <v>16.9784519149849</v>
      </c>
      <c r="I5737" s="6" t="n">
        <f aca="false">Sens!H5737*(1+Sens!I5738)</f>
        <v>17.1303084701817</v>
      </c>
      <c r="J5737" s="6" t="n">
        <f aca="false">Sens!I5737*(1+Sens!J5738)</f>
        <v>17.3782189407267</v>
      </c>
      <c r="K5737" s="6" t="n">
        <f aca="false">Sens!J5737*(1+Sens!K5738)</f>
        <v>17.7257833195413</v>
      </c>
    </row>
    <row r="5738" customFormat="false" ht="15" hidden="false" customHeight="false" outlineLevel="0" collapsed="false">
      <c r="A5738" s="1" t="s">
        <v>876</v>
      </c>
      <c r="B5738" s="0" t="s">
        <v>129</v>
      </c>
      <c r="E5738" s="7" t="n">
        <f aca="false">Sens!E5737/Sens!D5737-1</f>
        <v>-0.0131677736066995</v>
      </c>
      <c r="F5738" s="7" t="n">
        <f aca="false">Sens!$E$5738+(glt_win-Sens!$E$5738)*MIN(1,(Sens!F5679-base_fy)/n_conv)</f>
        <v>-0.00763981133891627</v>
      </c>
      <c r="G5738" s="7" t="n">
        <f aca="false">Sens!$E$5738+(glt_win-Sens!$E$5738)*MIN(1,(Sens!G5679-base_fy)/n_conv)</f>
        <v>-0.00211184907113301</v>
      </c>
      <c r="H5738" s="7" t="n">
        <f aca="false">Sens!$E$5738+(glt_win-Sens!$E$5738)*MIN(1,(Sens!H5679-base_fy)/n_conv)</f>
        <v>0.00341611319665024</v>
      </c>
      <c r="I5738" s="7" t="n">
        <f aca="false">Sens!$E$5738+(glt_win-Sens!$E$5738)*MIN(1,(Sens!I5679-base_fy)/n_conv)</f>
        <v>0.00894407546443349</v>
      </c>
      <c r="J5738" s="7" t="n">
        <f aca="false">Sens!$E$5738+(glt_win-Sens!$E$5738)*MIN(1,(Sens!J5679-base_fy)/n_conv)</f>
        <v>0.0144720377322168</v>
      </c>
      <c r="K5738" s="7" t="n">
        <f aca="false">Sens!$E$5738+(glt_win-Sens!$E$5738)*MIN(1,(Sens!K5679-base_fy)/n_conv)</f>
        <v>0.02</v>
      </c>
    </row>
    <row r="5739" customFormat="false" ht="15" hidden="false" customHeight="false" outlineLevel="0" collapsed="false">
      <c r="A5739" s="0" t="s">
        <v>729</v>
      </c>
      <c r="B5739" s="0" t="s">
        <v>98</v>
      </c>
      <c r="D5739" s="6" t="n">
        <f aca="false">Sens!D5733+Sens!D5735+Sens!D5737</f>
        <v>62.941</v>
      </c>
      <c r="E5739" s="6" t="n">
        <f aca="false">Sens!E5733+Sens!E5735+Sens!E5737</f>
        <v>63.712</v>
      </c>
      <c r="F5739" s="6" t="n">
        <f aca="false">Sens!F5733+Sens!F5735+Sens!F5737</f>
        <v>65.1415764563129</v>
      </c>
      <c r="G5739" s="6" t="n">
        <f aca="false">Sens!G5733+Sens!G5735+Sens!G5737</f>
        <v>67.1253610780702</v>
      </c>
      <c r="H5739" s="6" t="n">
        <f aca="false">Sens!H5733+Sens!H5735+Sens!H5737</f>
        <v>69.5768050148776</v>
      </c>
      <c r="I5739" s="6" t="n">
        <f aca="false">Sens!I5733+Sens!I5735+Sens!I5737</f>
        <v>72.4233188088189</v>
      </c>
      <c r="J5739" s="6" t="n">
        <f aca="false">Sens!J5733+Sens!J5735+Sens!J5737</f>
        <v>75.6044096678567</v>
      </c>
      <c r="K5739" s="6" t="n">
        <f aca="false">Sens!K5733+Sens!K5735+Sens!K5737</f>
        <v>79.0714397009747</v>
      </c>
    </row>
    <row r="5740" customFormat="false" ht="15" hidden="false" customHeight="false" outlineLevel="0" collapsed="false">
      <c r="A5740" s="1" t="s">
        <v>890</v>
      </c>
      <c r="B5740" s="0" t="s">
        <v>98</v>
      </c>
      <c r="D5740" s="6" t="n">
        <f aca="false">Sens!D5732+Sens!D5739</f>
        <v>281.724</v>
      </c>
      <c r="E5740" s="6" t="n">
        <f aca="false">Sens!E5732+Sens!E5739</f>
        <v>331.839</v>
      </c>
      <c r="F5740" s="6" t="n">
        <f aca="false">Sens!F5732+Sens!F5739</f>
        <v>392.755009521169</v>
      </c>
      <c r="G5740" s="6" t="n">
        <f aca="false">Sens!G5732+Sens!G5739</f>
        <v>454.145226751344</v>
      </c>
      <c r="H5740" s="6" t="n">
        <f aca="false">Sens!H5732+Sens!H5739</f>
        <v>511.583125886071</v>
      </c>
      <c r="I5740" s="6" t="n">
        <f aca="false">Sens!I5732+Sens!I5739</f>
        <v>572.249545054311</v>
      </c>
      <c r="J5740" s="6" t="n">
        <f aca="false">Sens!J5732+Sens!J5739</f>
        <v>623.695612797378</v>
      </c>
      <c r="K5740" s="6" t="n">
        <f aca="false">Sens!K5732+Sens!K5739</f>
        <v>666.099953890677</v>
      </c>
    </row>
    <row r="5741" customFormat="false" ht="15" hidden="false" customHeight="false" outlineLevel="0" collapsed="false">
      <c r="A5741" s="23" t="s">
        <v>891</v>
      </c>
      <c r="B5741" s="30" t="s">
        <v>98</v>
      </c>
      <c r="C5741" s="30"/>
      <c r="D5741" s="24" t="n">
        <f aca="false">(Sens!D5720+Sens!D5725+Sens!D5726+Sens!D5728+Sens!D5730-Sens!D5732)+(Sens!D5733+Sens!D5735+Sens!D5737-Sens!D5739)+(Sens!D5732-Q!L5)+(Sens!D5739-Q!L12)+(Sens!D5720-Q!L6)+(Sens!D5725-Q!L7)</f>
        <v>0</v>
      </c>
      <c r="E5741" s="24" t="n">
        <f aca="false">(Sens!E5720+Sens!E5725+Sens!E5726+Sens!E5728+Sens!E5730-Sens!E5732)+(Sens!E5733+Sens!E5735+Sens!E5737-Sens!E5739)+(Sens!E5732-Q!M5)+(Sens!E5739-Q!M12)+(Sens!E5720-Q!M6)+(Sens!E5725-Q!M7)</f>
        <v>0</v>
      </c>
      <c r="F5741" s="24" t="n">
        <f aca="false">(Sens!F5720+Sens!F5725+Sens!F5726+Sens!F5728+Sens!F5730-Sens!F5732)+(Sens!F5733+Sens!F5735+Sens!F5737-Sens!F5739)</f>
        <v>0</v>
      </c>
      <c r="G5741" s="24" t="n">
        <f aca="false">(Sens!G5720+Sens!G5725+Sens!G5726+Sens!G5728+Sens!G5730-Sens!G5732)+(Sens!G5733+Sens!G5735+Sens!G5737-Sens!G5739)</f>
        <v>0</v>
      </c>
      <c r="H5741" s="24" t="n">
        <f aca="false">(Sens!H5720+Sens!H5725+Sens!H5726+Sens!H5728+Sens!H5730-Sens!H5732)+(Sens!H5733+Sens!H5735+Sens!H5737-Sens!H5739)</f>
        <v>0</v>
      </c>
      <c r="I5741" s="24" t="n">
        <f aca="false">(Sens!I5720+Sens!I5725+Sens!I5726+Sens!I5728+Sens!I5730-Sens!I5732)+(Sens!I5733+Sens!I5735+Sens!I5737-Sens!I5739)</f>
        <v>0</v>
      </c>
      <c r="J5741" s="24" t="n">
        <f aca="false">(Sens!J5720+Sens!J5725+Sens!J5726+Sens!J5728+Sens!J5730-Sens!J5732)+(Sens!J5733+Sens!J5735+Sens!J5737-Sens!J5739)</f>
        <v>0</v>
      </c>
      <c r="K5741" s="24" t="n">
        <f aca="false">(Sens!K5720+Sens!K5725+Sens!K5726+Sens!K5728+Sens!K5730-Sens!K5732)+(Sens!K5733+Sens!K5735+Sens!K5737-Sens!K5739)</f>
        <v>0</v>
      </c>
    </row>
    <row r="5742" customFormat="false" ht="17.15" hidden="false" customHeight="false" outlineLevel="0" collapsed="false">
      <c r="A5742" s="3" t="s">
        <v>1409</v>
      </c>
    </row>
    <row r="5743" customFormat="false" ht="15" hidden="false" customHeight="false" outlineLevel="0" collapsed="false">
      <c r="A5743" s="4" t="s">
        <v>43</v>
      </c>
      <c r="B5743" s="4" t="s">
        <v>65</v>
      </c>
      <c r="C5743" s="20" t="s">
        <v>799</v>
      </c>
      <c r="D5743" s="20" t="s">
        <v>800</v>
      </c>
      <c r="E5743" s="20" t="s">
        <v>801</v>
      </c>
      <c r="F5743" s="20" t="s">
        <v>802</v>
      </c>
      <c r="G5743" s="20" t="s">
        <v>803</v>
      </c>
      <c r="H5743" s="20" t="s">
        <v>804</v>
      </c>
      <c r="I5743" s="20" t="s">
        <v>805</v>
      </c>
      <c r="J5743" s="20" t="s">
        <v>806</v>
      </c>
      <c r="K5743" s="20" t="s">
        <v>807</v>
      </c>
      <c r="L5743" s="4" t="s">
        <v>47</v>
      </c>
    </row>
    <row r="5744" customFormat="false" ht="15" hidden="false" customHeight="false" outlineLevel="0" collapsed="false">
      <c r="A5744" s="0" t="s">
        <v>877</v>
      </c>
      <c r="B5744" s="0" t="s">
        <v>98</v>
      </c>
      <c r="D5744" s="6" t="n">
        <f aca="false">Sens!D5720</f>
        <v>72.61</v>
      </c>
      <c r="E5744" s="6" t="n">
        <f aca="false">Sens!E5720</f>
        <v>101.938</v>
      </c>
      <c r="F5744" s="6" t="n">
        <f aca="false">Sens!F5720</f>
        <v>140.741861125673</v>
      </c>
      <c r="G5744" s="6" t="n">
        <f aca="false">Sens!G5720</f>
        <v>182.176709135845</v>
      </c>
      <c r="H5744" s="6" t="n">
        <f aca="false">Sens!H5720</f>
        <v>219.167638189678</v>
      </c>
      <c r="I5744" s="6" t="n">
        <f aca="false">Sens!I5720</f>
        <v>259.639871266006</v>
      </c>
      <c r="J5744" s="6" t="n">
        <f aca="false">Sens!J5720</f>
        <v>291.525306025352</v>
      </c>
      <c r="K5744" s="6" t="n">
        <f aca="false">Sens!K5720</f>
        <v>315.009444849526</v>
      </c>
    </row>
    <row r="5745" customFormat="false" ht="17.15" hidden="false" customHeight="false" outlineLevel="0" collapsed="false">
      <c r="A5745" s="0" t="s">
        <v>874</v>
      </c>
      <c r="B5745" s="0" t="s">
        <v>98</v>
      </c>
      <c r="D5745" s="6" t="n">
        <f aca="false">Sens!D5717</f>
        <v>12.9359794422418</v>
      </c>
      <c r="E5745" s="6" t="n">
        <f aca="false">Sens!E5717</f>
        <v>27.8095064661409</v>
      </c>
      <c r="F5745" s="6" t="n">
        <f aca="false">Sens!F5717</f>
        <v>50.6619113883066</v>
      </c>
      <c r="G5745" s="6" t="n">
        <f aca="false">Sens!G5717</f>
        <v>75.1482839325348</v>
      </c>
      <c r="H5745" s="6" t="n">
        <f aca="false">Sens!H5717</f>
        <v>94.895655604042</v>
      </c>
      <c r="I5745" s="6" t="n">
        <f aca="false">Sens!I5717</f>
        <v>118.706168884151</v>
      </c>
      <c r="J5745" s="6" t="n">
        <f aca="false">Sens!J5717</f>
        <v>135.50643871102</v>
      </c>
      <c r="K5745" s="6" t="n">
        <f aca="false">Sens!K5717</f>
        <v>146.509068150048</v>
      </c>
    </row>
    <row r="5746" customFormat="false" ht="17.15" hidden="false" customHeight="false" outlineLevel="0" collapsed="false">
      <c r="A5746" s="0" t="s">
        <v>902</v>
      </c>
      <c r="B5746" s="0" t="s">
        <v>98</v>
      </c>
      <c r="D5746" s="6" t="n">
        <f aca="false">Sens!D5718</f>
        <v>59.6740205577583</v>
      </c>
      <c r="E5746" s="6" t="n">
        <f aca="false">Sens!E5718</f>
        <v>74.1284935338591</v>
      </c>
      <c r="F5746" s="6" t="n">
        <f aca="false">Sens!F5718</f>
        <v>90.0799497373663</v>
      </c>
      <c r="G5746" s="6" t="n">
        <f aca="false">Sens!G5718</f>
        <v>107.02842520331</v>
      </c>
      <c r="H5746" s="6" t="n">
        <f aca="false">Sens!H5718</f>
        <v>124.271982585636</v>
      </c>
      <c r="I5746" s="6" t="n">
        <f aca="false">Sens!I5718</f>
        <v>140.933702381855</v>
      </c>
      <c r="J5746" s="6" t="n">
        <f aca="false">Sens!J5718</f>
        <v>156.018867314332</v>
      </c>
      <c r="K5746" s="6" t="n">
        <f aca="false">Sens!K5718</f>
        <v>168.500376699478</v>
      </c>
    </row>
    <row r="5747" customFormat="false" ht="15" hidden="false" customHeight="false" outlineLevel="0" collapsed="false">
      <c r="A5747" s="0" t="s">
        <v>883</v>
      </c>
      <c r="B5747" s="0" t="s">
        <v>98</v>
      </c>
      <c r="D5747" s="6" t="n">
        <f aca="false">Sens!D5725</f>
        <v>84.605</v>
      </c>
      <c r="E5747" s="6" t="n">
        <f aca="false">Sens!E5725</f>
        <v>100.299</v>
      </c>
      <c r="F5747" s="6" t="n">
        <f aca="false">Sens!F5725</f>
        <v>116.64238776686</v>
      </c>
      <c r="G5747" s="6" t="n">
        <f aca="false">Sens!G5725</f>
        <v>130.294168448684</v>
      </c>
      <c r="H5747" s="6" t="n">
        <f aca="false">Sens!H5725</f>
        <v>144.027359388781</v>
      </c>
      <c r="I5747" s="6" t="n">
        <f aca="false">Sens!I5725</f>
        <v>157.209028071957</v>
      </c>
      <c r="J5747" s="6" t="n">
        <f aca="false">Sens!J5725</f>
        <v>169.557702785465</v>
      </c>
      <c r="K5747" s="6" t="n">
        <f aca="false">Sens!K5725</f>
        <v>181.152991980448</v>
      </c>
    </row>
    <row r="5748" customFormat="false" ht="17.15" hidden="false" customHeight="false" outlineLevel="0" collapsed="false">
      <c r="A5748" s="0" t="s">
        <v>903</v>
      </c>
      <c r="B5748" s="0" t="s">
        <v>98</v>
      </c>
      <c r="D5748" s="6" t="n">
        <f aca="false">Sens!D5723</f>
        <v>83.705</v>
      </c>
      <c r="E5748" s="6" t="n">
        <f aca="false">Sens!E5723</f>
        <v>95.049</v>
      </c>
      <c r="F5748" s="6" t="n">
        <f aca="false">Sens!F5723</f>
        <v>106.89238776686</v>
      </c>
      <c r="G5748" s="6" t="n">
        <f aca="false">Sens!G5723</f>
        <v>119.044168448684</v>
      </c>
      <c r="H5748" s="6" t="n">
        <f aca="false">Sens!H5723</f>
        <v>131.277359388781</v>
      </c>
      <c r="I5748" s="6" t="n">
        <f aca="false">Sens!I5723</f>
        <v>143.334028071957</v>
      </c>
      <c r="J5748" s="6" t="n">
        <f aca="false">Sens!J5723</f>
        <v>154.932702785465</v>
      </c>
      <c r="K5748" s="6" t="n">
        <f aca="false">Sens!K5723</f>
        <v>165.777991980448</v>
      </c>
    </row>
    <row r="5749" customFormat="false" ht="17.15" hidden="false" customHeight="false" outlineLevel="0" collapsed="false">
      <c r="A5749" s="0" t="s">
        <v>904</v>
      </c>
      <c r="B5749" s="0" t="s">
        <v>98</v>
      </c>
      <c r="D5749" s="6" t="n">
        <f aca="false">Sens!D5722</f>
        <v>0.9</v>
      </c>
      <c r="E5749" s="6" t="n">
        <f aca="false">Sens!E5722</f>
        <v>5.25</v>
      </c>
      <c r="F5749" s="6" t="n">
        <f aca="false">Sens!F5722</f>
        <v>9.75</v>
      </c>
      <c r="G5749" s="6" t="n">
        <f aca="false">Sens!G5722</f>
        <v>11.25</v>
      </c>
      <c r="H5749" s="6" t="n">
        <f aca="false">Sens!H5722</f>
        <v>12.75</v>
      </c>
      <c r="I5749" s="6" t="n">
        <f aca="false">Sens!I5722</f>
        <v>13.875</v>
      </c>
      <c r="J5749" s="6" t="n">
        <f aca="false">Sens!J5722</f>
        <v>14.625</v>
      </c>
      <c r="K5749" s="6" t="n">
        <f aca="false">Sens!K5722</f>
        <v>15.375</v>
      </c>
    </row>
    <row r="5750" customFormat="false" ht="15" hidden="false" customHeight="false" outlineLevel="0" collapsed="false">
      <c r="A5750" s="0" t="s">
        <v>884</v>
      </c>
      <c r="B5750" s="0" t="s">
        <v>98</v>
      </c>
      <c r="D5750" s="6" t="n">
        <f aca="false">Sens!D5726</f>
        <v>35.391</v>
      </c>
      <c r="E5750" s="6" t="n">
        <f aca="false">Sens!E5726</f>
        <v>37.285</v>
      </c>
      <c r="F5750" s="6" t="n">
        <f aca="false">Sens!F5726</f>
        <v>39.0720834331704</v>
      </c>
      <c r="G5750" s="6" t="n">
        <f aca="false">Sens!G5726</f>
        <v>40.726562953769</v>
      </c>
      <c r="H5750" s="6" t="n">
        <f aca="false">Sens!H5726</f>
        <v>42.2235987259198</v>
      </c>
      <c r="I5750" s="6" t="n">
        <f aca="false">Sens!I5726</f>
        <v>43.5397988077414</v>
      </c>
      <c r="J5750" s="6" t="n">
        <f aca="false">Sens!J5726</f>
        <v>44.653811225693</v>
      </c>
      <c r="K5750" s="6" t="n">
        <f aca="false">Sens!K5726</f>
        <v>45.5468874502068</v>
      </c>
    </row>
    <row r="5751" customFormat="false" ht="15" hidden="false" customHeight="false" outlineLevel="0" collapsed="false">
      <c r="A5751" s="0" t="s">
        <v>885</v>
      </c>
      <c r="B5751" s="0" t="s">
        <v>98</v>
      </c>
      <c r="D5751" s="6" t="n">
        <f aca="false">Sens!D5728</f>
        <v>18.417</v>
      </c>
      <c r="E5751" s="6" t="n">
        <f aca="false">Sens!E5728</f>
        <v>20.345</v>
      </c>
      <c r="F5751" s="6" t="n">
        <f aca="false">Sens!F5728</f>
        <v>22.3572203267814</v>
      </c>
      <c r="G5751" s="6" t="n">
        <f aca="false">Sens!G5728</f>
        <v>24.4392124437232</v>
      </c>
      <c r="H5751" s="6" t="n">
        <f aca="false">Sens!H5728</f>
        <v>26.5738052080665</v>
      </c>
      <c r="I5751" s="6" t="n">
        <f aca="false">Sens!I5728</f>
        <v>28.7412169166967</v>
      </c>
      <c r="J5751" s="6" t="n">
        <f aca="false">Sens!J5728</f>
        <v>30.9192545395413</v>
      </c>
      <c r="K5751" s="6" t="n">
        <f aca="false">Sens!K5728</f>
        <v>33.0836023573092</v>
      </c>
    </row>
    <row r="5752" customFormat="false" ht="15" hidden="false" customHeight="false" outlineLevel="0" collapsed="false">
      <c r="A5752" s="0" t="s">
        <v>886</v>
      </c>
      <c r="B5752" s="0" t="s">
        <v>98</v>
      </c>
      <c r="D5752" s="6" t="n">
        <f aca="false">Sens!D5730</f>
        <v>7.76</v>
      </c>
      <c r="E5752" s="6" t="n">
        <f aca="false">Sens!E5730</f>
        <v>8.26</v>
      </c>
      <c r="F5752" s="6" t="n">
        <f aca="false">Sens!F5730</f>
        <v>8.79988041237113</v>
      </c>
      <c r="G5752" s="6" t="n">
        <f aca="false">Sens!G5730</f>
        <v>9.38321269125306</v>
      </c>
      <c r="H5752" s="6" t="n">
        <f aca="false">Sens!H5730</f>
        <v>10.0139193587476</v>
      </c>
      <c r="I5752" s="6" t="n">
        <f aca="false">Sens!I5730</f>
        <v>10.6963111830911</v>
      </c>
      <c r="J5752" s="6" t="n">
        <f aca="false">Sens!J5730</f>
        <v>11.4351285534696</v>
      </c>
      <c r="K5752" s="6" t="n">
        <f aca="false">Sens!K5730</f>
        <v>12.2355875522124</v>
      </c>
    </row>
    <row r="5753" customFormat="false" ht="15" hidden="false" customHeight="false" outlineLevel="0" collapsed="false">
      <c r="A5753" s="0" t="s">
        <v>715</v>
      </c>
      <c r="B5753" s="0" t="s">
        <v>98</v>
      </c>
      <c r="D5753" s="6" t="n">
        <f aca="false">Sens!D5732</f>
        <v>218.783</v>
      </c>
      <c r="E5753" s="6" t="n">
        <f aca="false">Sens!E5732</f>
        <v>268.127</v>
      </c>
      <c r="F5753" s="6" t="n">
        <f aca="false">Sens!F5732</f>
        <v>327.613433064856</v>
      </c>
      <c r="G5753" s="6" t="n">
        <f aca="false">Sens!G5732</f>
        <v>387.019865673274</v>
      </c>
      <c r="H5753" s="6" t="n">
        <f aca="false">Sens!H5732</f>
        <v>442.006320871193</v>
      </c>
      <c r="I5753" s="6" t="n">
        <f aca="false">Sens!I5732</f>
        <v>499.826226245492</v>
      </c>
      <c r="J5753" s="6" t="n">
        <f aca="false">Sens!J5732</f>
        <v>548.091203129521</v>
      </c>
      <c r="K5753" s="6" t="n">
        <f aca="false">Sens!K5732</f>
        <v>587.028514189702</v>
      </c>
    </row>
    <row r="5754" customFormat="false" ht="15" hidden="false" customHeight="false" outlineLevel="0" collapsed="false">
      <c r="A5754" s="0" t="s">
        <v>887</v>
      </c>
      <c r="B5754" s="0" t="s">
        <v>98</v>
      </c>
      <c r="D5754" s="6" t="n">
        <f aca="false">Sens!D5733</f>
        <v>22.171</v>
      </c>
      <c r="E5754" s="6" t="n">
        <f aca="false">Sens!E5733</f>
        <v>24.835</v>
      </c>
      <c r="F5754" s="6" t="n">
        <f aca="false">Sens!F5733</f>
        <v>27.6114901218559</v>
      </c>
      <c r="G5754" s="6" t="n">
        <f aca="false">Sens!G5733</f>
        <v>30.4675667338515</v>
      </c>
      <c r="H5754" s="6" t="n">
        <f aca="false">Sens!H5733</f>
        <v>33.3643766955789</v>
      </c>
      <c r="I5754" s="6" t="n">
        <f aca="false">Sens!I5733</f>
        <v>36.2577016533691</v>
      </c>
      <c r="J5754" s="6" t="n">
        <f aca="false">Sens!J5733</f>
        <v>39.0988367952171</v>
      </c>
      <c r="K5754" s="6" t="n">
        <f aca="false">Sens!K5733</f>
        <v>41.8357553708823</v>
      </c>
    </row>
    <row r="5755" customFormat="false" ht="15" hidden="false" customHeight="false" outlineLevel="0" collapsed="false">
      <c r="A5755" s="0" t="s">
        <v>888</v>
      </c>
      <c r="B5755" s="0" t="s">
        <v>98</v>
      </c>
      <c r="D5755" s="6" t="n">
        <f aca="false">Sens!D5735</f>
        <v>23.455</v>
      </c>
      <c r="E5755" s="6" t="n">
        <f aca="false">Sens!E5735</f>
        <v>21.79</v>
      </c>
      <c r="F5755" s="6" t="n">
        <f aca="false">Sens!F5735</f>
        <v>20.5736277908051</v>
      </c>
      <c r="G5755" s="6" t="n">
        <f aca="false">Sens!G5735</f>
        <v>19.7371452817919</v>
      </c>
      <c r="H5755" s="6" t="n">
        <f aca="false">Sens!H5735</f>
        <v>19.2339764043138</v>
      </c>
      <c r="I5755" s="6" t="n">
        <f aca="false">Sens!I5735</f>
        <v>19.0353086852681</v>
      </c>
      <c r="J5755" s="6" t="n">
        <f aca="false">Sens!J5735</f>
        <v>19.1273539319129</v>
      </c>
      <c r="K5755" s="6" t="n">
        <f aca="false">Sens!K5735</f>
        <v>19.5099010105511</v>
      </c>
    </row>
    <row r="5756" customFormat="false" ht="15" hidden="false" customHeight="false" outlineLevel="0" collapsed="false">
      <c r="A5756" s="0" t="s">
        <v>889</v>
      </c>
      <c r="B5756" s="0" t="s">
        <v>98</v>
      </c>
      <c r="D5756" s="6" t="n">
        <f aca="false">Sens!D5737</f>
        <v>17.315</v>
      </c>
      <c r="E5756" s="6" t="n">
        <f aca="false">Sens!E5737</f>
        <v>17.087</v>
      </c>
      <c r="F5756" s="6" t="n">
        <f aca="false">Sens!F5737</f>
        <v>16.9564585436519</v>
      </c>
      <c r="G5756" s="6" t="n">
        <f aca="false">Sens!G5737</f>
        <v>16.9206490624268</v>
      </c>
      <c r="H5756" s="6" t="n">
        <f aca="false">Sens!H5737</f>
        <v>16.9784519149849</v>
      </c>
      <c r="I5756" s="6" t="n">
        <f aca="false">Sens!I5737</f>
        <v>17.1303084701817</v>
      </c>
      <c r="J5756" s="6" t="n">
        <f aca="false">Sens!J5737</f>
        <v>17.3782189407267</v>
      </c>
      <c r="K5756" s="6" t="n">
        <f aca="false">Sens!K5737</f>
        <v>17.7257833195413</v>
      </c>
    </row>
    <row r="5757" customFormat="false" ht="15" hidden="false" customHeight="false" outlineLevel="0" collapsed="false">
      <c r="A5757" s="0" t="s">
        <v>729</v>
      </c>
      <c r="B5757" s="0" t="s">
        <v>98</v>
      </c>
      <c r="D5757" s="6" t="n">
        <f aca="false">Sens!D5739</f>
        <v>62.941</v>
      </c>
      <c r="E5757" s="6" t="n">
        <f aca="false">Sens!E5739</f>
        <v>63.712</v>
      </c>
      <c r="F5757" s="6" t="n">
        <f aca="false">Sens!F5739</f>
        <v>65.1415764563129</v>
      </c>
      <c r="G5757" s="6" t="n">
        <f aca="false">Sens!G5739</f>
        <v>67.1253610780702</v>
      </c>
      <c r="H5757" s="6" t="n">
        <f aca="false">Sens!H5739</f>
        <v>69.5768050148776</v>
      </c>
      <c r="I5757" s="6" t="n">
        <f aca="false">Sens!I5739</f>
        <v>72.4233188088189</v>
      </c>
      <c r="J5757" s="6" t="n">
        <f aca="false">Sens!J5739</f>
        <v>75.6044096678567</v>
      </c>
      <c r="K5757" s="6" t="n">
        <f aca="false">Sens!K5739</f>
        <v>79.0714397009747</v>
      </c>
    </row>
    <row r="5758" customFormat="false" ht="15" hidden="false" customHeight="false" outlineLevel="0" collapsed="false">
      <c r="A5758" s="1" t="s">
        <v>905</v>
      </c>
      <c r="B5758" s="0" t="s">
        <v>98</v>
      </c>
      <c r="D5758" s="6" t="n">
        <f aca="false">Sens!D5740</f>
        <v>281.724</v>
      </c>
      <c r="E5758" s="6" t="n">
        <f aca="false">Sens!E5740</f>
        <v>331.839</v>
      </c>
      <c r="F5758" s="6" t="n">
        <f aca="false">Sens!F5740</f>
        <v>392.755009521169</v>
      </c>
      <c r="G5758" s="6" t="n">
        <f aca="false">Sens!G5740</f>
        <v>454.145226751344</v>
      </c>
      <c r="H5758" s="6" t="n">
        <f aca="false">Sens!H5740</f>
        <v>511.583125886071</v>
      </c>
      <c r="I5758" s="6" t="n">
        <f aca="false">Sens!I5740</f>
        <v>572.249545054311</v>
      </c>
      <c r="J5758" s="6" t="n">
        <f aca="false">Sens!J5740</f>
        <v>623.695612797378</v>
      </c>
      <c r="K5758" s="6" t="n">
        <f aca="false">Sens!K5740</f>
        <v>666.099953890677</v>
      </c>
    </row>
    <row r="5759" customFormat="false" ht="15" hidden="false" customHeight="false" outlineLevel="0" collapsed="false">
      <c r="A5759" s="1" t="s">
        <v>906</v>
      </c>
      <c r="B5759" s="0" t="s">
        <v>129</v>
      </c>
      <c r="E5759" s="7" t="n">
        <f aca="false">Sens!E5758/Sens!D5758-1</f>
        <v>0.177886867998467</v>
      </c>
      <c r="F5759" s="7" t="n">
        <f aca="false">Sens!F5758/Sens!E5758-1</f>
        <v>0.183570977254538</v>
      </c>
      <c r="G5759" s="7" t="n">
        <f aca="false">Sens!G5758/Sens!F5758-1</f>
        <v>0.156306643434084</v>
      </c>
      <c r="H5759" s="7" t="n">
        <f aca="false">Sens!H5758/Sens!G5758-1</f>
        <v>0.12647473924938</v>
      </c>
      <c r="I5759" s="7" t="n">
        <f aca="false">Sens!I5758/Sens!H5758-1</f>
        <v>0.118585653237028</v>
      </c>
      <c r="J5759" s="7" t="n">
        <f aca="false">Sens!J5758/Sens!I5758-1</f>
        <v>0.0899014567817329</v>
      </c>
      <c r="K5759" s="7" t="n">
        <f aca="false">Sens!K5758/Sens!J5758-1</f>
        <v>0.0679888397853379</v>
      </c>
    </row>
    <row r="5760" customFormat="false" ht="17.15" hidden="false" customHeight="false" outlineLevel="0" collapsed="false">
      <c r="A5760" s="23" t="s">
        <v>907</v>
      </c>
      <c r="B5760" s="30" t="s">
        <v>98</v>
      </c>
      <c r="C5760" s="30"/>
      <c r="D5760" s="24" t="n">
        <f aca="false">(Sens!D5753+Sens!D5757-Sens!D5758)+(Sens!D5745+Sens!D5746-Sens!D5744)+(Sens!D5748+Sens!D5749-Sens!D5747)+(Sens!D5758-Q!L18)</f>
        <v>0</v>
      </c>
      <c r="E5760" s="24" t="n">
        <f aca="false">(Sens!E5753+Sens!E5757-Sens!E5758)+(Sens!E5745+Sens!E5746-Sens!E5744)+(Sens!E5748+Sens!E5749-Sens!E5747)+(Sens!E5758-Q!M18)</f>
        <v>0</v>
      </c>
      <c r="F5760" s="24" t="n">
        <f aca="false">(Sens!F5753+Sens!F5757-Sens!F5758)+(Sens!F5745+Sens!F5746-Sens!F5744)+(Sens!F5748+Sens!F5749-Sens!F5747)</f>
        <v>0</v>
      </c>
      <c r="G5760" s="24" t="n">
        <f aca="false">(Sens!G5753+Sens!G5757-Sens!G5758)+(Sens!G5745+Sens!G5746-Sens!G5744)+(Sens!G5748+Sens!G5749-Sens!G5747)</f>
        <v>0</v>
      </c>
      <c r="H5760" s="24" t="n">
        <f aca="false">(Sens!H5753+Sens!H5757-Sens!H5758)+(Sens!H5745+Sens!H5746-Sens!H5744)+(Sens!H5748+Sens!H5749-Sens!H5747)</f>
        <v>0</v>
      </c>
      <c r="I5760" s="24" t="n">
        <f aca="false">(Sens!I5753+Sens!I5757-Sens!I5758)+(Sens!I5745+Sens!I5746-Sens!I5744)+(Sens!I5748+Sens!I5749-Sens!I5747)</f>
        <v>0</v>
      </c>
      <c r="J5760" s="24" t="n">
        <f aca="false">(Sens!J5753+Sens!J5757-Sens!J5758)+(Sens!J5745+Sens!J5746-Sens!J5744)+(Sens!J5748+Sens!J5749-Sens!J5747)</f>
        <v>0</v>
      </c>
      <c r="K5760" s="24" t="n">
        <f aca="false">(Sens!K5753+Sens!K5757-Sens!K5758)+(Sens!K5745+Sens!K5746-Sens!K5744)+(Sens!K5748+Sens!K5749-Sens!K5747)</f>
        <v>0</v>
      </c>
    </row>
    <row r="5761" customFormat="false" ht="17.15" hidden="false" customHeight="false" outlineLevel="0" collapsed="false">
      <c r="A5761" s="0" t="s">
        <v>908</v>
      </c>
      <c r="B5761" s="0" t="s">
        <v>129</v>
      </c>
      <c r="E5761" s="7" t="n">
        <f aca="false">(Q!M21+Sens!E5698+Sens!E5699+Sens!E5700+Sens!E5713-Sens!E5696)/(Q!M5-Sens!E5696)</f>
        <v>0.570957350878296</v>
      </c>
      <c r="F5761" s="7" t="n">
        <f aca="false">Sens!$E$5761+dm_seg</f>
        <v>0.570957350878296</v>
      </c>
      <c r="G5761" s="7" t="n">
        <f aca="false">Sens!$E$5761+dm_seg</f>
        <v>0.570957350878296</v>
      </c>
      <c r="H5761" s="7" t="n">
        <f aca="false">Sens!$E$5761+dm_seg</f>
        <v>0.570957350878296</v>
      </c>
      <c r="I5761" s="7" t="n">
        <f aca="false">Sens!$E$5761+dm_seg</f>
        <v>0.570957350878296</v>
      </c>
      <c r="J5761" s="7" t="n">
        <f aca="false">Sens!$E$5761+dm_seg</f>
        <v>0.570957350878296</v>
      </c>
      <c r="K5761" s="7" t="n">
        <f aca="false">Sens!$E$5761+dm_seg</f>
        <v>0.570957350878296</v>
      </c>
      <c r="L5761" s="11" t="s">
        <v>909</v>
      </c>
    </row>
    <row r="5762" customFormat="false" ht="17.15" hidden="false" customHeight="false" outlineLevel="0" collapsed="false">
      <c r="A5762" s="0" t="s">
        <v>743</v>
      </c>
      <c r="B5762" s="0" t="s">
        <v>98</v>
      </c>
      <c r="D5762" s="6" t="n">
        <f aca="false">Q!L21</f>
        <v>110.814</v>
      </c>
      <c r="E5762" s="6" t="n">
        <f aca="false">Q!M21</f>
        <v>136.365</v>
      </c>
      <c r="F5762" s="6" t="n">
        <f aca="false">Sens!F5761*(Sens!F5732-Sens!F5696)+Sens!F5696-(Sens!F5698+Sens!F5699+Sens!F5700)-Sens!F5713-Sens!F5796</f>
        <v>151.750757079335</v>
      </c>
      <c r="G5762" s="6" t="n">
        <f aca="false">Sens!G5761*(Sens!G5732-Sens!G5696)+Sens!G5696-(Sens!G5698+Sens!G5699+Sens!G5700)-Sens!G5713-Sens!G5796</f>
        <v>159.63965109062</v>
      </c>
      <c r="H5762" s="6" t="n">
        <f aca="false">Sens!H5761*(Sens!H5732-Sens!H5696)+Sens!H5696-(Sens!H5698+Sens!H5699+Sens!H5700)-Sens!H5713-Sens!H5796</f>
        <v>161.151070479425</v>
      </c>
      <c r="I5762" s="6" t="n">
        <f aca="false">Sens!I5761*(Sens!I5732-Sens!I5696)+Sens!I5696-(Sens!I5698+Sens!I5699+Sens!I5700)-Sens!I5713-Sens!I5796</f>
        <v>170.503919853945</v>
      </c>
      <c r="J5762" s="6" t="n">
        <f aca="false">Sens!J5761*(Sens!J5732-Sens!J5696)+Sens!J5696-(Sens!J5698+Sens!J5699+Sens!J5700)-Sens!J5713-Sens!J5796</f>
        <v>181.32128731145</v>
      </c>
      <c r="K5762" s="6" t="n">
        <f aca="false">Sens!K5761*(Sens!K5732-Sens!K5696)+Sens!K5696-(Sens!K5698+Sens!K5699+Sens!K5700)-Sens!K5713-Sens!K5796</f>
        <v>193.414776346755</v>
      </c>
      <c r="L5762" s="1" t="s">
        <v>910</v>
      </c>
    </row>
    <row r="5763" customFormat="false" ht="17.15" hidden="false" customHeight="false" outlineLevel="0" collapsed="false">
      <c r="A5763" s="0" t="s">
        <v>911</v>
      </c>
      <c r="B5763" s="0" t="s">
        <v>129</v>
      </c>
      <c r="E5763" s="7" t="n">
        <f aca="false">Q!M22/Q!M12</f>
        <v>0.296207935710698</v>
      </c>
      <c r="F5763" s="7" t="n">
        <f aca="false">Sens!$E$5763+dm_seg</f>
        <v>0.296207935710698</v>
      </c>
      <c r="G5763" s="7" t="n">
        <f aca="false">Sens!$E$5763+dm_seg</f>
        <v>0.296207935710698</v>
      </c>
      <c r="H5763" s="7" t="n">
        <f aca="false">Sens!$E$5763+dm_seg</f>
        <v>0.296207935710698</v>
      </c>
      <c r="I5763" s="7" t="n">
        <f aca="false">Sens!$E$5763+dm_seg</f>
        <v>0.296207935710698</v>
      </c>
      <c r="J5763" s="7" t="n">
        <f aca="false">Sens!$E$5763+dm_seg</f>
        <v>0.296207935710698</v>
      </c>
      <c r="K5763" s="7" t="n">
        <f aca="false">Sens!$E$5763+dm_seg</f>
        <v>0.296207935710698</v>
      </c>
      <c r="L5763" s="11" t="s">
        <v>912</v>
      </c>
    </row>
    <row r="5764" customFormat="false" ht="17.15" hidden="false" customHeight="false" outlineLevel="0" collapsed="false">
      <c r="A5764" s="0" t="s">
        <v>745</v>
      </c>
      <c r="B5764" s="0" t="s">
        <v>98</v>
      </c>
      <c r="D5764" s="6" t="n">
        <f aca="false">Q!L22</f>
        <v>17.714</v>
      </c>
      <c r="E5764" s="6" t="n">
        <f aca="false">Q!M22</f>
        <v>18.872</v>
      </c>
      <c r="F5764" s="6" t="n">
        <f aca="false">Sens!F5739*Sens!F5763</f>
        <v>19.2954518910651</v>
      </c>
      <c r="G5764" s="6" t="n">
        <f aca="false">Sens!G5739*Sens!G5763</f>
        <v>19.8830646387704</v>
      </c>
      <c r="H5764" s="6" t="n">
        <f aca="false">Sens!H5739*Sens!H5763</f>
        <v>20.6092017868026</v>
      </c>
      <c r="I5764" s="6" t="n">
        <f aca="false">Sens!I5739*Sens!I5763</f>
        <v>21.452361761678</v>
      </c>
      <c r="J5764" s="6" t="n">
        <f aca="false">Sens!J5739*Sens!J5763</f>
        <v>22.3946261183418</v>
      </c>
      <c r="K5764" s="6" t="n">
        <f aca="false">Sens!K5739*Sens!K5763</f>
        <v>23.4215879274986</v>
      </c>
    </row>
    <row r="5765" customFormat="false" ht="15" hidden="false" customHeight="false" outlineLevel="0" collapsed="false">
      <c r="A5765" s="1" t="s">
        <v>913</v>
      </c>
      <c r="B5765" s="0" t="s">
        <v>98</v>
      </c>
      <c r="D5765" s="6" t="n">
        <f aca="false">Sens!D5762+Sens!D5764</f>
        <v>128.528</v>
      </c>
      <c r="E5765" s="6" t="n">
        <f aca="false">Sens!E5762+Sens!E5764</f>
        <v>155.237</v>
      </c>
      <c r="F5765" s="6" t="n">
        <f aca="false">Sens!F5762+Sens!F5764</f>
        <v>171.0462089704</v>
      </c>
      <c r="G5765" s="6" t="n">
        <f aca="false">Sens!G5762+Sens!G5764</f>
        <v>179.52271572939</v>
      </c>
      <c r="H5765" s="6" t="n">
        <f aca="false">Sens!H5762+Sens!H5764</f>
        <v>181.760272266228</v>
      </c>
      <c r="I5765" s="6" t="n">
        <f aca="false">Sens!I5762+Sens!I5764</f>
        <v>191.956281615623</v>
      </c>
      <c r="J5765" s="6" t="n">
        <f aca="false">Sens!J5762+Sens!J5764</f>
        <v>203.715913429792</v>
      </c>
      <c r="K5765" s="6" t="n">
        <f aca="false">Sens!K5762+Sens!K5764</f>
        <v>216.836364274254</v>
      </c>
    </row>
    <row r="5766" customFormat="false" ht="15" hidden="false" customHeight="false" outlineLevel="0" collapsed="false">
      <c r="A5766" s="23" t="s">
        <v>914</v>
      </c>
      <c r="B5766" s="30" t="s">
        <v>98</v>
      </c>
      <c r="C5766" s="30"/>
      <c r="D5766" s="24" t="n">
        <f aca="false">Sens!D5765-Q!L23</f>
        <v>0</v>
      </c>
      <c r="E5766" s="24" t="n">
        <f aca="false">Sens!E5765-Q!M23</f>
        <v>0</v>
      </c>
      <c r="F5766" s="30"/>
      <c r="G5766" s="30"/>
      <c r="H5766" s="30"/>
      <c r="I5766" s="30"/>
      <c r="J5766" s="30"/>
      <c r="K5766" s="30"/>
    </row>
    <row r="5767" customFormat="false" ht="15" hidden="false" customHeight="false" outlineLevel="0" collapsed="false">
      <c r="A5767" s="1" t="s">
        <v>915</v>
      </c>
      <c r="B5767" s="0" t="s">
        <v>129</v>
      </c>
      <c r="D5767" s="7" t="n">
        <f aca="false">Sens!D5765/Sens!D5758</f>
        <v>0.456219562408598</v>
      </c>
      <c r="E5767" s="7" t="n">
        <f aca="false">Sens!E5765/Sens!E5758</f>
        <v>0.467808184089272</v>
      </c>
      <c r="F5767" s="7" t="n">
        <f aca="false">Sens!F5765/Sens!F5758</f>
        <v>0.435503570480063</v>
      </c>
      <c r="G5767" s="7" t="n">
        <f aca="false">Sens!G5765/Sens!G5758</f>
        <v>0.39529803497788</v>
      </c>
      <c r="H5767" s="7" t="n">
        <f aca="false">Sens!H5765/Sens!H5758</f>
        <v>0.355289811311535</v>
      </c>
      <c r="I5767" s="7" t="n">
        <f aca="false">Sens!I5765/Sens!I5758</f>
        <v>0.335441562644501</v>
      </c>
      <c r="J5767" s="7" t="n">
        <f aca="false">Sens!J5765/Sens!J5758</f>
        <v>0.326627138703273</v>
      </c>
      <c r="K5767" s="7" t="n">
        <f aca="false">Sens!K5765/Sens!K5758</f>
        <v>0.325531270506351</v>
      </c>
    </row>
    <row r="5768" customFormat="false" ht="17.15" hidden="false" customHeight="false" outlineLevel="0" collapsed="false">
      <c r="A5768" s="1" t="s">
        <v>916</v>
      </c>
      <c r="B5768" s="0" t="s">
        <v>98</v>
      </c>
      <c r="F5768" s="6" t="n">
        <f aca="false">Sens!F5783</f>
        <v>10.5835745134314</v>
      </c>
      <c r="G5768" s="6" t="n">
        <f aca="false">Sens!G5783</f>
        <v>27.7885924791316</v>
      </c>
      <c r="H5768" s="6" t="n">
        <f aca="false">Sens!H5783</f>
        <v>46.5275893953536</v>
      </c>
      <c r="I5768" s="6" t="n">
        <f aca="false">Sens!I5783</f>
        <v>63.2862695769062</v>
      </c>
      <c r="J5768" s="6" t="n">
        <f aca="false">Sens!J5783</f>
        <v>75.090447557388</v>
      </c>
      <c r="K5768" s="6" t="n">
        <f aca="false">Sens!K5783</f>
        <v>82.4187753389259</v>
      </c>
      <c r="L5768" s="1" t="s">
        <v>917</v>
      </c>
    </row>
    <row r="5769" customFormat="false" ht="17.15" hidden="false" customHeight="false" outlineLevel="0" collapsed="false">
      <c r="A5769" s="1" t="s">
        <v>918</v>
      </c>
      <c r="B5769" s="0" t="s">
        <v>98</v>
      </c>
      <c r="D5769" s="6" t="n">
        <f aca="false">Sens!D5765</f>
        <v>128.528</v>
      </c>
      <c r="E5769" s="6" t="n">
        <f aca="false">Sens!E5765</f>
        <v>155.237</v>
      </c>
      <c r="F5769" s="6" t="n">
        <f aca="false">Sens!F5765+Sens!F5768</f>
        <v>181.629783483831</v>
      </c>
      <c r="G5769" s="6" t="n">
        <f aca="false">Sens!G5765+Sens!G5768</f>
        <v>207.311308208522</v>
      </c>
      <c r="H5769" s="6" t="n">
        <f aca="false">Sens!H5765+Sens!H5768</f>
        <v>228.287861661581</v>
      </c>
      <c r="I5769" s="6" t="n">
        <f aca="false">Sens!I5765+Sens!I5768</f>
        <v>255.242551192529</v>
      </c>
      <c r="J5769" s="6" t="n">
        <f aca="false">Sens!J5765+Sens!J5768</f>
        <v>278.80636098718</v>
      </c>
      <c r="K5769" s="6" t="n">
        <f aca="false">Sens!K5765+Sens!K5768</f>
        <v>299.25513961318</v>
      </c>
    </row>
    <row r="5770" customFormat="false" ht="17.15" hidden="false" customHeight="false" outlineLevel="0" collapsed="false">
      <c r="A5770" s="1" t="s">
        <v>919</v>
      </c>
      <c r="B5770" s="0" t="s">
        <v>98</v>
      </c>
      <c r="E5770" s="6" t="n">
        <f aca="false">Sens!E5713</f>
        <v>16.3054059770833</v>
      </c>
      <c r="F5770" s="6" t="n">
        <f aca="false">Sens!F5713</f>
        <v>34.0498873809555</v>
      </c>
      <c r="G5770" s="6" t="n">
        <f aca="false">Sens!G5713</f>
        <v>59.1254371105111</v>
      </c>
      <c r="H5770" s="6" t="n">
        <f aca="false">Sens!H5713</f>
        <v>86.3610198433111</v>
      </c>
      <c r="I5770" s="6" t="n">
        <f aca="false">Sens!I5713</f>
        <v>110.605743832393</v>
      </c>
      <c r="J5770" s="6" t="n">
        <f aca="false">Sens!J5713</f>
        <v>127.998322852843</v>
      </c>
      <c r="K5770" s="6" t="n">
        <f aca="false">Sens!K5713</f>
        <v>139.131464044308</v>
      </c>
    </row>
    <row r="5771" customFormat="false" ht="17.15" hidden="false" customHeight="false" outlineLevel="0" collapsed="false">
      <c r="A5771" s="1" t="s">
        <v>920</v>
      </c>
      <c r="B5771" s="0" t="s">
        <v>98</v>
      </c>
      <c r="E5771" s="6" t="n">
        <f aca="false">Sens!E5795</f>
        <v>22.2285940229167</v>
      </c>
      <c r="F5771" s="6" t="n">
        <f aca="false">Sens!F5795</f>
        <v>24.3924470334783</v>
      </c>
      <c r="G5771" s="6" t="n">
        <f aca="false">Sens!G5795</f>
        <v>26.0009916871694</v>
      </c>
      <c r="H5771" s="6" t="n">
        <f aca="false">Sens!H5795</f>
        <v>27.9695438828615</v>
      </c>
      <c r="I5771" s="6" t="n">
        <f aca="false">Sens!I5795</f>
        <v>30.2461795257397</v>
      </c>
      <c r="J5771" s="6" t="n">
        <f aca="false">Sens!J5795</f>
        <v>32.7609028982031</v>
      </c>
      <c r="K5771" s="6" t="n">
        <f aca="false">Sens!K5795</f>
        <v>35.4304328825822</v>
      </c>
    </row>
    <row r="5772" customFormat="false" ht="17.15" hidden="false" customHeight="false" outlineLevel="0" collapsed="false">
      <c r="A5772" s="1" t="s">
        <v>921</v>
      </c>
      <c r="B5772" s="0" t="s">
        <v>98</v>
      </c>
      <c r="D5772" s="6" t="n">
        <f aca="false">Q!L27</f>
        <v>-4.901</v>
      </c>
      <c r="E5772" s="6" t="n">
        <f aca="false">Q!M27</f>
        <v>10.697</v>
      </c>
      <c r="F5772" s="6" t="n">
        <f aca="false">oie_f</f>
        <v>-0.4</v>
      </c>
      <c r="G5772" s="6" t="n">
        <f aca="false">oie_f</f>
        <v>-0.4</v>
      </c>
      <c r="H5772" s="6" t="n">
        <f aca="false">oie_f</f>
        <v>-0.4</v>
      </c>
      <c r="I5772" s="6" t="n">
        <f aca="false">oie_f</f>
        <v>-0.4</v>
      </c>
      <c r="J5772" s="6" t="n">
        <f aca="false">oie_f</f>
        <v>-0.4</v>
      </c>
      <c r="K5772" s="6" t="n">
        <f aca="false">oie_f</f>
        <v>-0.4</v>
      </c>
      <c r="L5772" s="11" t="s">
        <v>922</v>
      </c>
    </row>
    <row r="5773" customFormat="false" ht="15" hidden="false" customHeight="false" outlineLevel="0" collapsed="false">
      <c r="A5773" s="1" t="s">
        <v>923</v>
      </c>
      <c r="B5773" s="0" t="s">
        <v>98</v>
      </c>
      <c r="D5773" s="6" t="n">
        <f aca="false">Sens!D5765+Sens!D5772</f>
        <v>123.627</v>
      </c>
      <c r="E5773" s="6" t="n">
        <f aca="false">Sens!E5765+Sens!E5772</f>
        <v>165.934</v>
      </c>
      <c r="F5773" s="6" t="n">
        <f aca="false">Sens!F5765+Sens!F5772</f>
        <v>170.6462089704</v>
      </c>
      <c r="G5773" s="6" t="n">
        <f aca="false">Sens!G5765+Sens!G5772</f>
        <v>179.12271572939</v>
      </c>
      <c r="H5773" s="6" t="n">
        <f aca="false">Sens!H5765+Sens!H5772</f>
        <v>181.360272266228</v>
      </c>
      <c r="I5773" s="6" t="n">
        <f aca="false">Sens!I5765+Sens!I5772</f>
        <v>191.556281615623</v>
      </c>
      <c r="J5773" s="6" t="n">
        <f aca="false">Sens!J5765+Sens!J5772</f>
        <v>203.315913429792</v>
      </c>
      <c r="K5773" s="6" t="n">
        <f aca="false">Sens!K5765+Sens!K5772</f>
        <v>216.436364274254</v>
      </c>
    </row>
    <row r="5774" customFormat="false" ht="15" hidden="false" customHeight="false" outlineLevel="0" collapsed="false">
      <c r="A5774" s="1" t="s">
        <v>924</v>
      </c>
      <c r="B5774" s="0" t="s">
        <v>98</v>
      </c>
      <c r="D5774" s="6" t="n">
        <f aca="false">Q!L29</f>
        <v>21.795</v>
      </c>
      <c r="E5774" s="6" t="n">
        <f aca="false">Q!M29</f>
        <v>32.185</v>
      </c>
      <c r="F5774" s="6" t="n">
        <f aca="false">Sens!F5773*tax_f</f>
        <v>34.12924179408</v>
      </c>
      <c r="G5774" s="6" t="n">
        <f aca="false">Sens!G5773*tax_f</f>
        <v>35.824543145878</v>
      </c>
      <c r="H5774" s="6" t="n">
        <f aca="false">Sens!H5773*tax_f</f>
        <v>36.2720544532455</v>
      </c>
      <c r="I5774" s="6" t="n">
        <f aca="false">Sens!I5773*tax_f</f>
        <v>38.3112563231246</v>
      </c>
      <c r="J5774" s="6" t="n">
        <f aca="false">Sens!J5773*tax_f</f>
        <v>40.6631826859584</v>
      </c>
      <c r="K5774" s="6" t="n">
        <f aca="false">Sens!K5773*tax_f</f>
        <v>43.2872728548507</v>
      </c>
    </row>
    <row r="5775" customFormat="false" ht="15" hidden="false" customHeight="false" outlineLevel="0" collapsed="false">
      <c r="A5775" s="1" t="s">
        <v>925</v>
      </c>
      <c r="B5775" s="0" t="s">
        <v>98</v>
      </c>
      <c r="D5775" s="6" t="n">
        <f aca="false">Sens!D5773-Sens!D5774</f>
        <v>101.832</v>
      </c>
      <c r="E5775" s="6" t="n">
        <f aca="false">Sens!E5773-Sens!E5774</f>
        <v>133.749</v>
      </c>
      <c r="F5775" s="6" t="n">
        <f aca="false">Sens!F5773-Sens!F5774</f>
        <v>136.51696717632</v>
      </c>
      <c r="G5775" s="6" t="n">
        <f aca="false">Sens!G5773-Sens!G5774</f>
        <v>143.298172583512</v>
      </c>
      <c r="H5775" s="6" t="n">
        <f aca="false">Sens!H5773-Sens!H5774</f>
        <v>145.088217812982</v>
      </c>
      <c r="I5775" s="6" t="n">
        <f aca="false">Sens!I5773-Sens!I5774</f>
        <v>153.245025292498</v>
      </c>
      <c r="J5775" s="6" t="n">
        <f aca="false">Sens!J5773-Sens!J5774</f>
        <v>162.652730743834</v>
      </c>
      <c r="K5775" s="6" t="n">
        <f aca="false">Sens!K5773-Sens!K5774</f>
        <v>173.149091419403</v>
      </c>
    </row>
    <row r="5776" customFormat="false" ht="17.15" hidden="false" customHeight="false" outlineLevel="0" collapsed="false">
      <c r="A5776" s="1" t="s">
        <v>926</v>
      </c>
      <c r="B5776" s="1" t="s">
        <v>81</v>
      </c>
      <c r="D5776" s="14" t="n">
        <f aca="false">Q!L31</f>
        <v>7.465</v>
      </c>
      <c r="E5776" s="14" t="n">
        <f aca="false">Q!M31</f>
        <v>7.453</v>
      </c>
      <c r="F5776" s="14" t="n">
        <f aca="false">Sens!F5819</f>
        <v>7.4735</v>
      </c>
      <c r="G5776" s="14" t="n">
        <f aca="false">Sens!G5819</f>
        <v>7.5185</v>
      </c>
      <c r="H5776" s="14" t="n">
        <f aca="false">Sens!H5819</f>
        <v>7.55965815957265</v>
      </c>
      <c r="I5776" s="14" t="n">
        <f aca="false">Sens!I5819</f>
        <v>7.58484556530266</v>
      </c>
      <c r="J5776" s="14" t="n">
        <f aca="false">Sens!J5819</f>
        <v>7.59908707642054</v>
      </c>
      <c r="K5776" s="14" t="n">
        <f aca="false">Sens!K5819</f>
        <v>7.61560699412228</v>
      </c>
    </row>
    <row r="5777" customFormat="false" ht="17.15" hidden="false" customHeight="false" outlineLevel="0" collapsed="false">
      <c r="A5777" s="0" t="s">
        <v>927</v>
      </c>
      <c r="B5777" s="0" t="s">
        <v>75</v>
      </c>
      <c r="D5777" s="8" t="n">
        <f aca="false">Sens!D5775/Sens!D5776</f>
        <v>13.641259209645</v>
      </c>
      <c r="E5777" s="8" t="n">
        <f aca="false">Sens!E5775/Sens!E5776</f>
        <v>17.9456594659869</v>
      </c>
      <c r="F5777" s="8" t="n">
        <f aca="false">Sens!F5775/Sens!F5776</f>
        <v>18.2668050011802</v>
      </c>
      <c r="G5777" s="8" t="n">
        <f aca="false">Sens!G5775/Sens!G5776</f>
        <v>19.0594098002942</v>
      </c>
      <c r="H5777" s="8" t="n">
        <f aca="false">Sens!H5775/Sens!H5776</f>
        <v>19.1924310266939</v>
      </c>
      <c r="I5777" s="8" t="n">
        <f aca="false">Sens!I5775/Sens!I5776</f>
        <v>20.2041061974323</v>
      </c>
      <c r="J5777" s="8" t="n">
        <f aca="false">Sens!J5775/Sens!J5776</f>
        <v>21.4042462085392</v>
      </c>
      <c r="K5777" s="8" t="n">
        <f aca="false">Sens!K5775/Sens!K5776</f>
        <v>22.7360854562268</v>
      </c>
      <c r="L5777" s="1" t="s">
        <v>928</v>
      </c>
    </row>
    <row r="5778" customFormat="false" ht="17.15" hidden="false" customHeight="false" outlineLevel="0" collapsed="false">
      <c r="A5778" s="1" t="s">
        <v>929</v>
      </c>
      <c r="B5778" s="0" t="s">
        <v>98</v>
      </c>
      <c r="D5778" s="6" t="n">
        <f aca="false">Sens!D5775</f>
        <v>101.832</v>
      </c>
      <c r="E5778" s="6" t="n">
        <f aca="false">Sens!E5775</f>
        <v>133.749</v>
      </c>
      <c r="F5778" s="6" t="n">
        <f aca="false">Sens!F5775+Sens!F5768*(1-tax_f)</f>
        <v>144.983826787065</v>
      </c>
      <c r="G5778" s="6" t="n">
        <f aca="false">Sens!G5775+Sens!G5768*(1-tax_f)</f>
        <v>165.529046566818</v>
      </c>
      <c r="H5778" s="6" t="n">
        <f aca="false">Sens!H5775+Sens!H5768*(1-tax_f)</f>
        <v>182.310289329265</v>
      </c>
      <c r="I5778" s="6" t="n">
        <f aca="false">Sens!I5775+Sens!I5768*(1-tax_f)</f>
        <v>203.874040954023</v>
      </c>
      <c r="J5778" s="6" t="n">
        <f aca="false">Sens!J5775+Sens!J5768*(1-tax_f)</f>
        <v>222.725088789744</v>
      </c>
      <c r="K5778" s="6" t="n">
        <f aca="false">Sens!K5775+Sens!K5768*(1-tax_f)</f>
        <v>239.084111690544</v>
      </c>
    </row>
    <row r="5779" customFormat="false" ht="17.15" hidden="false" customHeight="false" outlineLevel="0" collapsed="false">
      <c r="A5779" s="0" t="s">
        <v>930</v>
      </c>
      <c r="B5779" s="0" t="s">
        <v>75</v>
      </c>
      <c r="D5779" s="8" t="n">
        <f aca="false">Sens!D5778/Sens!D5776</f>
        <v>13.641259209645</v>
      </c>
      <c r="E5779" s="8" t="n">
        <f aca="false">Sens!E5778/Sens!E5776</f>
        <v>17.9456594659869</v>
      </c>
      <c r="F5779" s="8" t="n">
        <f aca="false">Sens!F5778/Sens!F5776</f>
        <v>19.3997225914317</v>
      </c>
      <c r="G5779" s="8" t="n">
        <f aca="false">Sens!G5778/Sens!G5776</f>
        <v>22.0162328345837</v>
      </c>
      <c r="H5779" s="8" t="n">
        <f aca="false">Sens!H5778/Sens!H5776</f>
        <v>24.1162080984322</v>
      </c>
      <c r="I5779" s="8" t="n">
        <f aca="false">Sens!I5778/Sens!I5776</f>
        <v>26.879128810039</v>
      </c>
      <c r="J5779" s="8" t="n">
        <f aca="false">Sens!J5778/Sens!J5776</f>
        <v>29.3094534316951</v>
      </c>
      <c r="K5779" s="8" t="n">
        <f aca="false">Sens!K5778/Sens!K5776</f>
        <v>31.3939666102871</v>
      </c>
      <c r="L5779" s="1" t="s">
        <v>931</v>
      </c>
    </row>
    <row r="5780" customFormat="false" ht="17.15" hidden="false" customHeight="false" outlineLevel="0" collapsed="false">
      <c r="A5780" s="0" t="s">
        <v>932</v>
      </c>
      <c r="B5780" s="0" t="s">
        <v>129</v>
      </c>
      <c r="E5780" s="7" t="n">
        <f aca="false">Sens!E5779/Sens!D5779-1</f>
        <v>0.315542736208578</v>
      </c>
      <c r="F5780" s="7" t="n">
        <f aca="false">Sens!F5779/Sens!E5779-1</f>
        <v>0.0810258953258776</v>
      </c>
      <c r="G5780" s="7" t="n">
        <f aca="false">Sens!G5779/Sens!F5779-1</f>
        <v>0.134873590631011</v>
      </c>
      <c r="H5780" s="7" t="n">
        <f aca="false">Sens!H5779/Sens!G5779-1</f>
        <v>0.0953830421228923</v>
      </c>
      <c r="I5780" s="7" t="n">
        <f aca="false">Sens!I5779/Sens!H5779-1</f>
        <v>0.114566962614095</v>
      </c>
      <c r="J5780" s="7" t="n">
        <f aca="false">Sens!J5779/Sens!I5779-1</f>
        <v>0.0904167928518738</v>
      </c>
      <c r="K5780" s="7" t="n">
        <f aca="false">Sens!K5779/Sens!J5779-1</f>
        <v>0.0711208478673897</v>
      </c>
    </row>
    <row r="5781" customFormat="false" ht="17.15" hidden="false" customHeight="false" outlineLevel="0" collapsed="false">
      <c r="A5781" s="0" t="s">
        <v>856</v>
      </c>
      <c r="B5781" s="0" t="s">
        <v>98</v>
      </c>
      <c r="E5781" s="6" t="n">
        <f aca="false">Sens!E5722</f>
        <v>5.25</v>
      </c>
      <c r="F5781" s="6" t="n">
        <f aca="false">Sens!F5722</f>
        <v>9.75</v>
      </c>
      <c r="G5781" s="6" t="n">
        <f aca="false">Sens!G5722</f>
        <v>11.25</v>
      </c>
      <c r="H5781" s="6" t="n">
        <f aca="false">Sens!H5722</f>
        <v>12.75</v>
      </c>
      <c r="I5781" s="6" t="n">
        <f aca="false">Sens!I5722</f>
        <v>13.875</v>
      </c>
      <c r="J5781" s="6" t="n">
        <f aca="false">Sens!J5722</f>
        <v>14.625</v>
      </c>
      <c r="K5781" s="6" t="n">
        <f aca="false">Sens!K5722</f>
        <v>15.375</v>
      </c>
    </row>
    <row r="5782" customFormat="false" ht="17.15" hidden="false" customHeight="false" outlineLevel="0" collapsed="false">
      <c r="A5782" s="1" t="s">
        <v>857</v>
      </c>
      <c r="B5782" s="0" t="s">
        <v>98</v>
      </c>
      <c r="F5782" s="6" t="n">
        <f aca="false">MAX(0,((Sens!E5685+Sens!F5685)/2-(shadow_base*(Sens!$D$5685+Sens!$E$5685)/2+(1-shadow_base)*Sens!$E$5685))*Sens!F5693/1000-(Sens!F5781-Sens!$E$5781)*Sens!F5761)</f>
        <v>10.5835745134314</v>
      </c>
      <c r="G5782" s="6" t="n">
        <f aca="false">MAX(0,((Sens!F5685+Sens!G5685)/2-(shadow_base*(Sens!$D$5685+Sens!$E$5685)/2+(1-shadow_base)*Sens!$E$5685))*Sens!G5693/1000-(Sens!G5781-Sens!$E$5781)*Sens!G5761)</f>
        <v>27.7885924791316</v>
      </c>
      <c r="H5782" s="6" t="n">
        <f aca="false">MAX(0,((Sens!G5685+Sens!H5685)/2-(shadow_base*(Sens!$D$5685+Sens!$E$5685)/2+(1-shadow_base)*Sens!$E$5685))*Sens!H5693/1000-(Sens!H5781-Sens!$E$5781)*Sens!H5761)</f>
        <v>46.5275893953536</v>
      </c>
      <c r="I5782" s="6" t="n">
        <f aca="false">MAX(0,((Sens!H5685+Sens!I5685)/2-(shadow_base*(Sens!$D$5685+Sens!$E$5685)/2+(1-shadow_base)*Sens!$E$5685))*Sens!I5693/1000-(Sens!I5781-Sens!$E$5781)*Sens!I5761)</f>
        <v>63.2862695769062</v>
      </c>
      <c r="J5782" s="6" t="n">
        <f aca="false">MAX(0,((Sens!I5685+Sens!J5685)/2-(shadow_base*(Sens!$D$5685+Sens!$E$5685)/2+(1-shadow_base)*Sens!$E$5685))*Sens!J5693/1000-(Sens!J5781-Sens!$E$5781)*Sens!J5761)</f>
        <v>75.090447557388</v>
      </c>
      <c r="K5782" s="6" t="n">
        <f aca="false">MAX(0,((Sens!J5685+Sens!K5685)/2-(shadow_base*(Sens!$D$5685+Sens!$E$5685)/2+(1-shadow_base)*Sens!$E$5685))*Sens!K5693/1000-(Sens!K5781-Sens!$E$5781)*Sens!K5761)</f>
        <v>82.4187753389259</v>
      </c>
      <c r="L5782" s="1" t="s">
        <v>858</v>
      </c>
    </row>
    <row r="5783" customFormat="false" ht="17.15" hidden="false" customHeight="false" outlineLevel="0" collapsed="false">
      <c r="A5783" s="1" t="s">
        <v>859</v>
      </c>
      <c r="B5783" s="0" t="s">
        <v>98</v>
      </c>
      <c r="F5783" s="6" t="n">
        <f aca="false">IF(internal_ai_reading=2,1,0)*Sens!F5782</f>
        <v>10.5835745134314</v>
      </c>
      <c r="G5783" s="6" t="n">
        <f aca="false">IF(internal_ai_reading=2,1,0)*Sens!G5782</f>
        <v>27.7885924791316</v>
      </c>
      <c r="H5783" s="6" t="n">
        <f aca="false">IF(internal_ai_reading=2,1,0)*Sens!H5782</f>
        <v>46.5275893953536</v>
      </c>
      <c r="I5783" s="6" t="n">
        <f aca="false">IF(internal_ai_reading=2,1,0)*Sens!I5782</f>
        <v>63.2862695769062</v>
      </c>
      <c r="J5783" s="6" t="n">
        <f aca="false">IF(internal_ai_reading=2,1,0)*Sens!J5782</f>
        <v>75.090447557388</v>
      </c>
      <c r="K5783" s="6" t="n">
        <f aca="false">IF(internal_ai_reading=2,1,0)*Sens!K5782</f>
        <v>82.4187753389259</v>
      </c>
    </row>
    <row r="5784" customFormat="false" ht="17.15" hidden="false" customHeight="false" outlineLevel="0" collapsed="false">
      <c r="A5784" s="0" t="s">
        <v>860</v>
      </c>
      <c r="B5784" s="0" t="s">
        <v>98</v>
      </c>
      <c r="F5784" s="6" t="n">
        <f aca="false">Sens!F5702+Sens!F5781*Sens!F5761+Sens!F5783-Sens!F5703-Sens!F5713</f>
        <v>10.6249363155714</v>
      </c>
      <c r="G5784" s="6" t="n">
        <f aca="false">Sens!G5702+Sens!G5781*Sens!G5761+Sens!G5783-Sens!G5703-Sens!G5713</f>
        <v>16.5522915631233</v>
      </c>
      <c r="H5784" s="6" t="n">
        <f aca="false">Sens!H5702+Sens!H5781*Sens!H5761+Sens!H5783-Sens!H5703-Sens!H5713</f>
        <v>17.4625151247579</v>
      </c>
      <c r="I5784" s="6" t="n">
        <f aca="false">Sens!I5702+Sens!I5781*Sens!I5761+Sens!I5783-Sens!I5703-Sens!I5713</f>
        <v>24.729505792607</v>
      </c>
      <c r="J5784" s="6" t="n">
        <f aca="false">Sens!J5702+Sens!J5781*Sens!J5761+Sens!J5783-Sens!J5703-Sens!J5713</f>
        <v>29.752205312642</v>
      </c>
      <c r="K5784" s="6" t="n">
        <f aca="false">Sens!K5702+Sens!K5781*Sens!K5761+Sens!K5783-Sens!K5703-Sens!K5713</f>
        <v>33.5968759973665</v>
      </c>
    </row>
    <row r="5785" customFormat="false" ht="17.15" hidden="false" customHeight="false" outlineLevel="0" collapsed="false">
      <c r="A5785" s="0" t="s">
        <v>861</v>
      </c>
      <c r="B5785" s="0" t="s">
        <v>98</v>
      </c>
      <c r="E5785" s="6" t="n">
        <f aca="false">Sens!E5684*(cxit_open+self_build*tk_cxfac)/1000*ai_net_open</f>
        <v>126.6980382</v>
      </c>
      <c r="F5785" s="6" t="n">
        <f aca="false">Sens!E5785+Sens!F5710-Sens!F5713</f>
        <v>252.981026690511</v>
      </c>
      <c r="G5785" s="6" t="n">
        <f aca="false">Sens!F5785+Sens!G5710-Sens!G5713</f>
        <v>377.4297700632</v>
      </c>
      <c r="H5785" s="6" t="n">
        <f aca="false">Sens!G5785+Sens!H5710-Sens!H5713</f>
        <v>479.149036130289</v>
      </c>
      <c r="I5785" s="6" t="n">
        <f aca="false">Sens!H5785+Sens!I5710-Sens!I5713</f>
        <v>532.249961452141</v>
      </c>
      <c r="J5785" s="6" t="n">
        <f aca="false">Sens!I5785+Sens!J5710-Sens!J5713</f>
        <v>531.43307519354</v>
      </c>
      <c r="K5785" s="6" t="n">
        <f aca="false">Sens!J5785+Sens!K5710-Sens!K5713</f>
        <v>513.709026452823</v>
      </c>
      <c r="L5785" s="1" t="s">
        <v>862</v>
      </c>
    </row>
    <row r="5786" customFormat="false" ht="17.15" hidden="false" customHeight="false" outlineLevel="0" collapsed="false">
      <c r="A5786" s="0" t="s">
        <v>863</v>
      </c>
      <c r="B5786" s="0" t="s">
        <v>129</v>
      </c>
      <c r="F5786" s="7" t="n">
        <f aca="false">Sens!F5784*(1-tax_f)/((Sens!E5785+Sens!F5785)/2)</f>
        <v>0.0447743888903028</v>
      </c>
      <c r="G5786" s="7" t="n">
        <f aca="false">Sens!G5784*(1-tax_f)/((Sens!F5785+Sens!G5785)/2)</f>
        <v>0.0420101727910983</v>
      </c>
      <c r="H5786" s="7" t="n">
        <f aca="false">Sens!H5784*(1-tax_f)/((Sens!G5785+Sens!H5785)/2)</f>
        <v>0.0326181595874103</v>
      </c>
      <c r="I5786" s="7" t="n">
        <f aca="false">Sens!I5784*(1-tax_f)/((Sens!H5785+Sens!I5785)/2)</f>
        <v>0.0391212660510339</v>
      </c>
      <c r="J5786" s="7" t="n">
        <f aca="false">Sens!J5784*(1-tax_f)/((Sens!I5785+Sens!J5785)/2)</f>
        <v>0.0447534903351892</v>
      </c>
      <c r="K5786" s="7" t="n">
        <f aca="false">Sens!K5784*(1-tax_f)/((Sens!J5785+Sens!K5785)/2)</f>
        <v>0.0514331989029135</v>
      </c>
    </row>
    <row r="5787" customFormat="false" ht="17.15" hidden="false" customHeight="false" outlineLevel="0" collapsed="false">
      <c r="A5787" s="1" t="s">
        <v>864</v>
      </c>
      <c r="B5787" s="0" t="s">
        <v>129</v>
      </c>
      <c r="F5787" s="7" t="n">
        <f aca="false">(Sens!F5784-Sens!F5783)*(1-tax_f)/((Sens!E5785+Sens!F5785)/2)</f>
        <v>0.000174302166075649</v>
      </c>
      <c r="G5787" s="7" t="n">
        <f aca="false">(Sens!G5784-Sens!G5783)*(1-tax_f)/((Sens!F5785+Sens!G5785)/2)</f>
        <v>-0.0285180418200182</v>
      </c>
      <c r="H5787" s="7" t="n">
        <f aca="false">(Sens!H5784-Sens!H5783)*(1-tax_f)/((Sens!G5785+Sens!H5785)/2)</f>
        <v>-0.0542905317020517</v>
      </c>
      <c r="I5787" s="7" t="n">
        <f aca="false">(Sens!I5784-Sens!I5783)*(1-tax_f)/((Sens!H5785+Sens!I5785)/2)</f>
        <v>-0.0609955341090308</v>
      </c>
      <c r="J5787" s="7" t="n">
        <f aca="false">(Sens!J5784-Sens!J5783)*(1-tax_f)/((Sens!I5785+Sens!J5785)/2)</f>
        <v>-0.0681981239640258</v>
      </c>
      <c r="K5787" s="7" t="n">
        <f aca="false">(Sens!K5784-Sens!K5783)*(1-tax_f)/((Sens!J5785+Sens!K5785)/2)</f>
        <v>-0.0747410699688053</v>
      </c>
    </row>
    <row r="5788" customFormat="false" ht="17.15" hidden="false" customHeight="false" outlineLevel="0" collapsed="false">
      <c r="A5788" s="1" t="s">
        <v>865</v>
      </c>
      <c r="B5788" s="0" t="s">
        <v>129</v>
      </c>
      <c r="F5788" s="7" t="n">
        <f aca="false">(Sens!F5784-Sens!F5783+Sens!F5782)*(1-tax_f)/((Sens!E5785+Sens!F5785)/2)</f>
        <v>0.0447743888903028</v>
      </c>
      <c r="G5788" s="7" t="n">
        <f aca="false">(Sens!G5784-Sens!G5783+Sens!G5782)*(1-tax_f)/((Sens!F5785+Sens!G5785)/2)</f>
        <v>0.0420101727910983</v>
      </c>
      <c r="H5788" s="7" t="n">
        <f aca="false">(Sens!H5784-Sens!H5783+Sens!H5782)*(1-tax_f)/((Sens!G5785+Sens!H5785)/2)</f>
        <v>0.0326181595874103</v>
      </c>
      <c r="I5788" s="7" t="n">
        <f aca="false">(Sens!I5784-Sens!I5783+Sens!I5782)*(1-tax_f)/((Sens!H5785+Sens!I5785)/2)</f>
        <v>0.0391212660510339</v>
      </c>
      <c r="J5788" s="7" t="n">
        <f aca="false">(Sens!J5784-Sens!J5783+Sens!J5782)*(1-tax_f)/((Sens!I5785+Sens!J5785)/2)</f>
        <v>0.0447534903351892</v>
      </c>
      <c r="K5788" s="7" t="n">
        <f aca="false">(Sens!K5784-Sens!K5783+Sens!K5782)*(1-tax_f)/((Sens!J5785+Sens!K5785)/2)</f>
        <v>0.0514331989029135</v>
      </c>
    </row>
    <row r="5789" customFormat="false" ht="17.15" hidden="false" customHeight="false" outlineLevel="0" collapsed="false">
      <c r="A5789" s="1" t="s">
        <v>866</v>
      </c>
      <c r="B5789" s="0" t="s">
        <v>129</v>
      </c>
      <c r="F5789" s="7" t="n">
        <f aca="false">Sens!F5714*(1-tax_f)/(Sens!F5701*(Sens!E5785+Sens!F5785)/2)</f>
        <v>0.102735279953254</v>
      </c>
      <c r="G5789" s="7" t="n">
        <f aca="false">Sens!G5714*(1-tax_f)/(Sens!G5701*(Sens!F5785+Sens!G5785)/2)</f>
        <v>0.0709600152423962</v>
      </c>
      <c r="H5789" s="7" t="n">
        <f aca="false">Sens!H5714*(1-tax_f)/(Sens!H5701*(Sens!G5785+Sens!H5785)/2)</f>
        <v>0.0419126501774916</v>
      </c>
      <c r="I5789" s="7" t="n">
        <f aca="false">Sens!I5714*(1-tax_f)/(Sens!I5701*(Sens!H5785+Sens!I5785)/2)</f>
        <v>0.044576811268173</v>
      </c>
      <c r="J5789" s="7" t="n">
        <f aca="false">Sens!J5714*(1-tax_f)/(Sens!J5701*(Sens!I5785+Sens!J5785)/2)</f>
        <v>0.0483882076863038</v>
      </c>
      <c r="K5789" s="7" t="n">
        <f aca="false">Sens!K5714*(1-tax_f)/(Sens!K5701*(Sens!J5785+Sens!K5785)/2)</f>
        <v>0.0544871874286225</v>
      </c>
    </row>
    <row r="5790" customFormat="false" ht="17.15" hidden="false" customHeight="false" outlineLevel="0" collapsed="false">
      <c r="A5790" s="0" t="s">
        <v>867</v>
      </c>
      <c r="B5790" s="0" t="s">
        <v>209</v>
      </c>
      <c r="F5790" s="7" t="n">
        <f aca="false">Sens!F5786-wacc</f>
        <v>-0.0581600312025729</v>
      </c>
      <c r="G5790" s="7" t="n">
        <f aca="false">Sens!G5786-wacc</f>
        <v>-0.0609242473017775</v>
      </c>
      <c r="H5790" s="7" t="n">
        <f aca="false">Sens!H5786-wacc</f>
        <v>-0.0703162605054654</v>
      </c>
      <c r="I5790" s="7" t="n">
        <f aca="false">Sens!I5786-wacc</f>
        <v>-0.0638131540418418</v>
      </c>
      <c r="J5790" s="7" t="n">
        <f aca="false">Sens!J5786-wacc</f>
        <v>-0.0581809297576865</v>
      </c>
      <c r="K5790" s="7" t="n">
        <f aca="false">Sens!K5786-wacc</f>
        <v>-0.0515012211899622</v>
      </c>
    </row>
    <row r="5791" customFormat="false" ht="17.15" hidden="false" customHeight="false" outlineLevel="0" collapsed="false">
      <c r="A5791" s="0" t="s">
        <v>868</v>
      </c>
      <c r="B5791" s="0" t="s">
        <v>98</v>
      </c>
      <c r="F5791" s="6" t="n">
        <f aca="false">Sens!F5784*(1-tax_f)-wacc*(Sens!E5785+Sens!F5785)/2</f>
        <v>-11.0410731304979</v>
      </c>
      <c r="G5791" s="6" t="n">
        <f aca="false">Sens!G5784*(1-tax_f)-wacc*(Sens!F5785+Sens!G5785)/2</f>
        <v>-19.2036516415668</v>
      </c>
      <c r="H5791" s="6" t="n">
        <f aca="false">Sens!H5784*(1-tax_f)-wacc*(Sens!G5785+Sens!H5785)/2</f>
        <v>-30.115709239881</v>
      </c>
      <c r="I5791" s="6" t="n">
        <f aca="false">Sens!I5784*(1-tax_f)-wacc*(Sens!H5785+Sens!I5785)/2</f>
        <v>-32.270280015246</v>
      </c>
      <c r="J5791" s="6" t="n">
        <f aca="false">Sens!J5784*(1-tax_f)-wacc*(Sens!I5785+Sens!J5785)/2</f>
        <v>-30.9430340197625</v>
      </c>
      <c r="K5791" s="6" t="n">
        <f aca="false">Sens!K5784*(1-tax_f)-wacc*(Sens!J5785+Sens!K5785)/2</f>
        <v>-26.9130472759157</v>
      </c>
    </row>
    <row r="5792" customFormat="false" ht="17.15" hidden="false" customHeight="false" outlineLevel="0" collapsed="false">
      <c r="A5792" s="3" t="s">
        <v>1410</v>
      </c>
    </row>
    <row r="5793" customFormat="false" ht="15" hidden="false" customHeight="false" outlineLevel="0" collapsed="false">
      <c r="A5793" s="4" t="s">
        <v>43</v>
      </c>
      <c r="B5793" s="4" t="s">
        <v>65</v>
      </c>
      <c r="C5793" s="20" t="s">
        <v>799</v>
      </c>
      <c r="D5793" s="20" t="s">
        <v>800</v>
      </c>
      <c r="E5793" s="20" t="s">
        <v>801</v>
      </c>
      <c r="F5793" s="20" t="s">
        <v>802</v>
      </c>
      <c r="G5793" s="20" t="s">
        <v>803</v>
      </c>
      <c r="H5793" s="20" t="s">
        <v>804</v>
      </c>
      <c r="I5793" s="20" t="s">
        <v>805</v>
      </c>
      <c r="J5793" s="20" t="s">
        <v>806</v>
      </c>
      <c r="K5793" s="20" t="s">
        <v>807</v>
      </c>
      <c r="L5793" s="4" t="s">
        <v>47</v>
      </c>
    </row>
    <row r="5794" customFormat="false" ht="15" hidden="false" customHeight="false" outlineLevel="0" collapsed="false">
      <c r="A5794" s="1" t="s">
        <v>925</v>
      </c>
      <c r="B5794" s="0" t="s">
        <v>98</v>
      </c>
      <c r="F5794" s="6" t="n">
        <f aca="false">Sens!F5775</f>
        <v>136.51696717632</v>
      </c>
      <c r="G5794" s="6" t="n">
        <f aca="false">Sens!G5775</f>
        <v>143.298172583512</v>
      </c>
      <c r="H5794" s="6" t="n">
        <f aca="false">Sens!H5775</f>
        <v>145.088217812982</v>
      </c>
      <c r="I5794" s="6" t="n">
        <f aca="false">Sens!I5775</f>
        <v>153.245025292498</v>
      </c>
      <c r="J5794" s="6" t="n">
        <f aca="false">Sens!J5775</f>
        <v>162.652730743834</v>
      </c>
      <c r="K5794" s="6" t="n">
        <f aca="false">Sens!K5775</f>
        <v>173.149091419403</v>
      </c>
    </row>
    <row r="5795" customFormat="false" ht="17.15" hidden="false" customHeight="false" outlineLevel="0" collapsed="false">
      <c r="A5795" s="1" t="s">
        <v>947</v>
      </c>
      <c r="B5795" s="0" t="s">
        <v>98</v>
      </c>
      <c r="E5795" s="6" t="n">
        <f aca="false">Q!M38-Sens!E5713</f>
        <v>22.2285940229167</v>
      </c>
      <c r="F5795" s="6" t="n">
        <f aca="false">Sens!E5795*(1-1/life_nonai)+(Sens!F5802+Sens!F5803)/life_nonai</f>
        <v>24.3924470334783</v>
      </c>
      <c r="G5795" s="6" t="n">
        <f aca="false">Sens!F5795*(1-1/life_nonai)+(Sens!G5802)/life_nonai</f>
        <v>26.0009916871694</v>
      </c>
      <c r="H5795" s="6" t="n">
        <f aca="false">Sens!G5795*(1-1/life_nonai)+(Sens!H5802)/life_nonai</f>
        <v>27.9695438828615</v>
      </c>
      <c r="I5795" s="6" t="n">
        <f aca="false">Sens!H5795*(1-1/life_nonai)+(Sens!I5802)/life_nonai</f>
        <v>30.2461795257397</v>
      </c>
      <c r="J5795" s="6" t="n">
        <f aca="false">Sens!I5795*(1-1/life_nonai)+(Sens!J5802)/life_nonai</f>
        <v>32.7609028982031</v>
      </c>
      <c r="K5795" s="6" t="n">
        <f aca="false">Sens!J5795*(1-1/life_nonai)+(Sens!K5802)/life_nonai</f>
        <v>35.4304328825822</v>
      </c>
      <c r="L5795" s="11" t="s">
        <v>948</v>
      </c>
    </row>
    <row r="5796" customFormat="false" ht="17.15" hidden="false" customHeight="false" outlineLevel="0" collapsed="false">
      <c r="A5796" s="1" t="s">
        <v>949</v>
      </c>
      <c r="B5796" s="0" t="s">
        <v>98</v>
      </c>
      <c r="F5796" s="6" t="n">
        <f aca="false">Sens!$F$5803/life_nonai*(1-1/life_nonai)^(Sens!F5679-2027)</f>
        <v>0.851277689897088</v>
      </c>
      <c r="G5796" s="6" t="n">
        <f aca="false">Sens!$F$5803/life_nonai*(1-1/life_nonai)^(Sens!G5679-2027)</f>
        <v>0.76614992090738</v>
      </c>
      <c r="H5796" s="6" t="n">
        <f aca="false">Sens!$F$5803/life_nonai*(1-1/life_nonai)^(Sens!H5679-2027)</f>
        <v>0.689534928816642</v>
      </c>
      <c r="I5796" s="6" t="n">
        <f aca="false">Sens!$F$5803/life_nonai*(1-1/life_nonai)^(Sens!I5679-2027)</f>
        <v>0.620581435934978</v>
      </c>
      <c r="J5796" s="6" t="n">
        <f aca="false">Sens!$F$5803/life_nonai*(1-1/life_nonai)^(Sens!J5679-2027)</f>
        <v>0.55852329234148</v>
      </c>
      <c r="K5796" s="6" t="n">
        <f aca="false">Sens!$F$5803/life_nonai*(1-1/life_nonai)^(Sens!K5679-2027)</f>
        <v>0.502670963107332</v>
      </c>
      <c r="L5796" s="1" t="s">
        <v>950</v>
      </c>
    </row>
    <row r="5797" customFormat="false" ht="17.15" hidden="false" customHeight="false" outlineLevel="0" collapsed="false">
      <c r="A5797" s="1" t="s">
        <v>951</v>
      </c>
      <c r="B5797" s="0" t="s">
        <v>98</v>
      </c>
      <c r="E5797" s="6" t="n">
        <f aca="false">Sens!E5713+Sens!E5795</f>
        <v>38.534</v>
      </c>
      <c r="F5797" s="6" t="n">
        <f aca="false">Sens!F5713+Sens!F5795</f>
        <v>58.4423344144339</v>
      </c>
      <c r="G5797" s="6" t="n">
        <f aca="false">Sens!G5713+Sens!G5795</f>
        <v>85.1264287976806</v>
      </c>
      <c r="H5797" s="6" t="n">
        <f aca="false">Sens!H5713+Sens!H5795</f>
        <v>114.330563726173</v>
      </c>
      <c r="I5797" s="6" t="n">
        <f aca="false">Sens!I5713+Sens!I5795</f>
        <v>140.851923358132</v>
      </c>
      <c r="J5797" s="6" t="n">
        <f aca="false">Sens!J5713+Sens!J5795</f>
        <v>160.759225751046</v>
      </c>
      <c r="K5797" s="6" t="n">
        <f aca="false">Sens!K5713+Sens!K5795</f>
        <v>174.56189692689</v>
      </c>
    </row>
    <row r="5798" customFormat="false" ht="17.15" hidden="false" customHeight="false" outlineLevel="0" collapsed="false">
      <c r="A5798" s="1" t="s">
        <v>952</v>
      </c>
      <c r="B5798" s="0" t="s">
        <v>98</v>
      </c>
      <c r="F5798" s="6" t="n">
        <f aca="false">Sens!F5740*sbc_r</f>
        <v>14.6821979728425</v>
      </c>
      <c r="G5798" s="6" t="n">
        <f aca="false">Sens!G5740*sbc_r</f>
        <v>16.9771230562123</v>
      </c>
      <c r="H5798" s="6" t="n">
        <f aca="false">Sens!H5740*sbc_r</f>
        <v>19.1243002679513</v>
      </c>
      <c r="I5798" s="6" t="n">
        <f aca="false">Sens!I5740*sbc_r</f>
        <v>21.3921679079274</v>
      </c>
      <c r="J5798" s="6" t="n">
        <f aca="false">Sens!J5740*sbc_r</f>
        <v>23.3153549665695</v>
      </c>
      <c r="K5798" s="6" t="n">
        <f aca="false">Sens!K5740*sbc_r</f>
        <v>24.9005388999299</v>
      </c>
    </row>
    <row r="5799" customFormat="false" ht="17.15" hidden="false" customHeight="false" outlineLevel="0" collapsed="false">
      <c r="A5799" s="1" t="s">
        <v>953</v>
      </c>
      <c r="B5799" s="0" t="s">
        <v>98</v>
      </c>
      <c r="F5799" s="6" t="n">
        <f aca="false">wc27</f>
        <v>-4.895</v>
      </c>
      <c r="G5799" s="6" t="n">
        <f aca="false">wc_f</f>
        <v>0</v>
      </c>
      <c r="H5799" s="6" t="n">
        <f aca="false">wc_f</f>
        <v>0</v>
      </c>
      <c r="I5799" s="6" t="n">
        <f aca="false">wc_f</f>
        <v>0</v>
      </c>
      <c r="J5799" s="6" t="n">
        <f aca="false">wc_f</f>
        <v>0</v>
      </c>
      <c r="K5799" s="6" t="n">
        <f aca="false">wc_f</f>
        <v>0</v>
      </c>
      <c r="L5799" s="11" t="s">
        <v>954</v>
      </c>
    </row>
    <row r="5800" customFormat="false" ht="15" hidden="false" customHeight="false" outlineLevel="0" collapsed="false">
      <c r="A5800" s="1" t="s">
        <v>767</v>
      </c>
      <c r="B5800" s="0" t="s">
        <v>98</v>
      </c>
      <c r="E5800" s="6" t="n">
        <f aca="false">Q!M35</f>
        <v>182.935</v>
      </c>
      <c r="F5800" s="6" t="n">
        <f aca="false">Sens!F5794+Sens!F5797+Sens!F5798+Sens!F5799</f>
        <v>204.746499563596</v>
      </c>
      <c r="G5800" s="6" t="n">
        <f aca="false">Sens!G5794+Sens!G5797+Sens!G5798+Sens!G5799</f>
        <v>245.401724437405</v>
      </c>
      <c r="H5800" s="6" t="n">
        <f aca="false">Sens!H5794+Sens!H5797+Sens!H5798+Sens!H5799</f>
        <v>278.543081807106</v>
      </c>
      <c r="I5800" s="6" t="n">
        <f aca="false">Sens!I5794+Sens!I5797+Sens!I5798+Sens!I5799</f>
        <v>315.489116558558</v>
      </c>
      <c r="J5800" s="6" t="n">
        <f aca="false">Sens!J5794+Sens!J5797+Sens!J5798+Sens!J5799</f>
        <v>346.72731146145</v>
      </c>
      <c r="K5800" s="6" t="n">
        <f aca="false">Sens!K5794+Sens!K5797+Sens!K5798+Sens!K5799</f>
        <v>372.611527246223</v>
      </c>
    </row>
    <row r="5801" customFormat="false" ht="17.15" hidden="false" customHeight="false" outlineLevel="0" collapsed="false">
      <c r="A5801" s="0" t="s">
        <v>955</v>
      </c>
      <c r="B5801" s="0" t="s">
        <v>98</v>
      </c>
      <c r="F5801" s="6" t="n">
        <f aca="false">Sens!F5710</f>
        <v>160.332875871467</v>
      </c>
      <c r="G5801" s="6" t="n">
        <f aca="false">Sens!G5710</f>
        <v>183.5741804832</v>
      </c>
      <c r="H5801" s="6" t="n">
        <f aca="false">Sens!H5710</f>
        <v>188.0802859104</v>
      </c>
      <c r="I5801" s="6" t="n">
        <f aca="false">Sens!I5710</f>
        <v>163.706669154245</v>
      </c>
      <c r="J5801" s="6" t="n">
        <f aca="false">Sens!J5710</f>
        <v>127.181436594242</v>
      </c>
      <c r="K5801" s="6" t="n">
        <f aca="false">Sens!K5710</f>
        <v>121.407415303591</v>
      </c>
    </row>
    <row r="5802" customFormat="false" ht="17.15" hidden="false" customHeight="false" outlineLevel="0" collapsed="false">
      <c r="A5802" s="1" t="s">
        <v>956</v>
      </c>
      <c r="B5802" s="0" t="s">
        <v>98</v>
      </c>
      <c r="E5802" s="6" t="n">
        <f aca="false">Sens!E5718*cx_azo+Sens!E5725*cx_m365+Sens!E5726*cx_lic+(Sens!E5728+Sens!E5730)*cx_ind+Sens!E5733*cx_srch+(Sens!E5735+Sens!E5737)*cx_dev</f>
        <v>30.1846587067718</v>
      </c>
      <c r="F5802" s="6" t="n">
        <f aca="false">Sens!F5718*cx_azo+Sens!F5725*cx_m365+Sens!F5726*cx_lic+(Sens!F5728+Sens!F5730)*cx_ind+Sens!F5733*cx_srch+(Sens!F5735+Sens!F5737)*cx_dev</f>
        <v>35.3543472295625</v>
      </c>
      <c r="G5802" s="6" t="n">
        <f aca="false">Sens!G5718*cx_azo+Sens!G5725*cx_m365+Sens!G5726*cx_lic+(Sens!G5728+Sens!G5730)*cx_ind+Sens!G5733*cx_srch+(Sens!G5735+Sens!G5737)*cx_dev</f>
        <v>40.4778935703892</v>
      </c>
      <c r="H5802" s="6" t="n">
        <f aca="false">Sens!H5718*cx_azo+Sens!H5725*cx_m365+Sens!H5726*cx_lic+(Sens!H5728+Sens!H5730)*cx_ind+Sens!H5733*cx_srch+(Sens!H5735+Sens!H5737)*cx_dev</f>
        <v>45.6865136440897</v>
      </c>
      <c r="I5802" s="6" t="n">
        <f aca="false">Sens!I5718*cx_azo+Sens!I5725*cx_m365+Sens!I5726*cx_lic+(Sens!I5728+Sens!I5730)*cx_ind+Sens!I5733*cx_srch+(Sens!I5735+Sens!I5737)*cx_dev</f>
        <v>50.7359003116439</v>
      </c>
      <c r="J5802" s="6" t="n">
        <f aca="false">Sens!J5718*cx_azo+Sens!J5725*cx_m365+Sens!J5726*cx_lic+(Sens!J5728+Sens!J5730)*cx_ind+Sens!J5733*cx_srch+(Sens!J5735+Sens!J5737)*cx_dev</f>
        <v>55.3934132503738</v>
      </c>
      <c r="K5802" s="6" t="n">
        <f aca="false">Sens!K5718*cx_azo+Sens!K5725*cx_m365+Sens!K5726*cx_lic+(Sens!K5728+Sens!K5730)*cx_ind+Sens!K5733*cx_srch+(Sens!K5735+Sens!K5737)*cx_dev</f>
        <v>59.456202741994</v>
      </c>
    </row>
    <row r="5803" customFormat="false" ht="17.15" hidden="false" customHeight="false" outlineLevel="0" collapsed="false">
      <c r="A5803" s="0" t="s">
        <v>957</v>
      </c>
      <c r="B5803" s="0" t="s">
        <v>98</v>
      </c>
      <c r="F5803" s="6" t="n">
        <f aca="false">Sens!F5708</f>
        <v>8.51277689897088</v>
      </c>
      <c r="L5803" s="1" t="s">
        <v>958</v>
      </c>
    </row>
    <row r="5804" customFormat="false" ht="17.15" hidden="false" customHeight="false" outlineLevel="0" collapsed="false">
      <c r="A5804" s="1" t="s">
        <v>959</v>
      </c>
      <c r="B5804" s="0" t="s">
        <v>98</v>
      </c>
      <c r="E5804" s="6" t="n">
        <f aca="false">Q!M42</f>
        <v>145.3</v>
      </c>
      <c r="F5804" s="6" t="n">
        <f aca="false">Sens!F5801+Sens!F5802+Sens!F5803</f>
        <v>204.2</v>
      </c>
      <c r="G5804" s="6" t="n">
        <f aca="false">Sens!G5801+Sens!G5802</f>
        <v>224.052074053589</v>
      </c>
      <c r="H5804" s="6" t="n">
        <f aca="false">Sens!H5801+Sens!H5802</f>
        <v>233.76679955449</v>
      </c>
      <c r="I5804" s="6" t="n">
        <f aca="false">Sens!I5801+Sens!I5802</f>
        <v>214.442569465889</v>
      </c>
      <c r="J5804" s="6" t="n">
        <f aca="false">Sens!J5801+Sens!J5802</f>
        <v>182.574849844616</v>
      </c>
      <c r="K5804" s="6" t="n">
        <f aca="false">Sens!K5801+Sens!K5802</f>
        <v>180.863618045585</v>
      </c>
      <c r="L5804" s="1" t="s">
        <v>960</v>
      </c>
    </row>
    <row r="5805" customFormat="false" ht="15" hidden="false" customHeight="false" outlineLevel="0" collapsed="false">
      <c r="A5805" s="1" t="s">
        <v>961</v>
      </c>
      <c r="B5805" s="0" t="s">
        <v>98</v>
      </c>
      <c r="E5805" s="6" t="n">
        <f aca="false">fl_liab</f>
        <v>66.594</v>
      </c>
      <c r="F5805" s="6" t="n">
        <f aca="false">Sens!E5805-Sens!F5806</f>
        <v>62.46973</v>
      </c>
      <c r="G5805" s="6" t="n">
        <f aca="false">Sens!F5805-Sens!G5806</f>
        <v>57.98686785</v>
      </c>
      <c r="H5805" s="6" t="n">
        <f aca="false">Sens!G5805-Sens!H5806</f>
        <v>53.92827690325</v>
      </c>
      <c r="I5805" s="6" t="n">
        <f aca="false">Sens!H5805-Sens!I5806</f>
        <v>49.7850493638962</v>
      </c>
      <c r="J5805" s="6" t="n">
        <f aca="false">Sens!I5805-Sens!J5806</f>
        <v>45.4823765852716</v>
      </c>
      <c r="K5805" s="6" t="n">
        <f aca="false">Sens!J5805-Sens!K5806</f>
        <v>40.9860835316088</v>
      </c>
    </row>
    <row r="5806" customFormat="false" ht="15" hidden="false" customHeight="false" outlineLevel="0" collapsed="false">
      <c r="A5806" s="1" t="s">
        <v>962</v>
      </c>
      <c r="B5806" s="0" t="s">
        <v>98</v>
      </c>
      <c r="F5806" s="6" t="n">
        <f aca="false">fl_pay_27-Sens!E5805*fl_rate</f>
        <v>4.12427</v>
      </c>
      <c r="G5806" s="6" t="n">
        <f aca="false">fl_pay_28-Sens!F5805*fl_rate</f>
        <v>4.48286215</v>
      </c>
      <c r="H5806" s="6" t="n">
        <f aca="false">fl_pay_29-Sens!G5805*fl_rate</f>
        <v>4.05859094675</v>
      </c>
      <c r="I5806" s="6" t="n">
        <f aca="false">fl_pay_30-Sens!H5805*fl_rate</f>
        <v>4.14322753935375</v>
      </c>
      <c r="J5806" s="6" t="n">
        <f aca="false">fl_pay_31-Sens!I5805*fl_rate</f>
        <v>4.30267277862467</v>
      </c>
      <c r="K5806" s="6" t="n">
        <f aca="false">fl_pay_32-Sens!J5805*fl_rate</f>
        <v>4.49629305366278</v>
      </c>
    </row>
    <row r="5807" customFormat="false" ht="17.15" hidden="false" customHeight="false" outlineLevel="0" collapsed="false">
      <c r="A5807" s="1" t="s">
        <v>963</v>
      </c>
      <c r="B5807" s="0" t="s">
        <v>98</v>
      </c>
      <c r="E5807" s="6" t="n">
        <f aca="false">Q!M35-Q!M36-Q!M43</f>
        <v>63.886</v>
      </c>
      <c r="F5807" s="6" t="n">
        <f aca="false">Sens!F5800-Sens!F5804-Sens!F5806</f>
        <v>-3.57777043640357</v>
      </c>
      <c r="G5807" s="6" t="n">
        <f aca="false">Sens!G5800-Sens!G5804-Sens!G5806</f>
        <v>16.8667882338157</v>
      </c>
      <c r="H5807" s="6" t="n">
        <f aca="false">Sens!H5800-Sens!H5804-Sens!H5806</f>
        <v>40.7176913058663</v>
      </c>
      <c r="I5807" s="6" t="n">
        <f aca="false">Sens!I5800-Sens!I5804-Sens!I5806</f>
        <v>96.903319553315</v>
      </c>
      <c r="J5807" s="6" t="n">
        <f aca="false">Sens!J5800-Sens!J5804-Sens!J5806</f>
        <v>159.849788838209</v>
      </c>
      <c r="K5807" s="6" t="n">
        <f aca="false">Sens!K5800-Sens!K5804-Sens!K5806</f>
        <v>187.251616146976</v>
      </c>
      <c r="L5807" s="11" t="s">
        <v>964</v>
      </c>
    </row>
    <row r="5808" customFormat="false" ht="15" hidden="false" customHeight="false" outlineLevel="0" collapsed="false">
      <c r="A5808" s="1" t="s">
        <v>965</v>
      </c>
      <c r="B5808" s="0" t="s">
        <v>75</v>
      </c>
      <c r="F5808" s="8" t="n">
        <f aca="false">dps_27</f>
        <v>3.85</v>
      </c>
      <c r="G5808" s="8" t="n">
        <f aca="false">Sens!F5808*(1+dps_g)</f>
        <v>4.158</v>
      </c>
      <c r="H5808" s="8" t="n">
        <f aca="false">Sens!G5808*(1+dps_g)</f>
        <v>4.49064</v>
      </c>
      <c r="I5808" s="8" t="n">
        <f aca="false">Sens!H5808*(1+dps_g)</f>
        <v>4.8498912</v>
      </c>
      <c r="J5808" s="8" t="n">
        <f aca="false">Sens!I5808*(1+dps_g)</f>
        <v>5.237882496</v>
      </c>
      <c r="K5808" s="8" t="n">
        <f aca="false">Sens!J5808*(1+dps_g)</f>
        <v>5.65691309568</v>
      </c>
    </row>
    <row r="5809" customFormat="false" ht="17.15" hidden="false" customHeight="false" outlineLevel="0" collapsed="false">
      <c r="A5809" s="1" t="s">
        <v>966</v>
      </c>
      <c r="B5809" s="0" t="s">
        <v>98</v>
      </c>
      <c r="E5809" s="6" t="n">
        <f aca="false">Q!M41</f>
        <v>26.445</v>
      </c>
      <c r="F5809" s="6" t="n">
        <f aca="false">Sens!F5808*Sens!E5818</f>
        <v>28.59395</v>
      </c>
      <c r="G5809" s="6" t="n">
        <f aca="false">Sens!G5808*Sens!F5818</f>
        <v>31.068576</v>
      </c>
      <c r="H5809" s="6" t="n">
        <f aca="false">Sens!H5808*Sens!G5818</f>
        <v>33.75614088</v>
      </c>
      <c r="I5809" s="6" t="n">
        <f aca="false">Sens!I5808*Sens!H5818</f>
        <v>36.6376122382392</v>
      </c>
      <c r="J5809" s="6" t="n">
        <f aca="false">Sens!J5808*Sens!I5818</f>
        <v>39.6370200656178</v>
      </c>
      <c r="K5809" s="6" t="n">
        <f aca="false">Sens!K5808*Sens!J5818</f>
        <v>42.8952368961722</v>
      </c>
      <c r="L5809" s="1" t="s">
        <v>967</v>
      </c>
    </row>
    <row r="5810" customFormat="false" ht="15" hidden="false" customHeight="false" outlineLevel="0" collapsed="false">
      <c r="A5810" s="1" t="s">
        <v>968</v>
      </c>
      <c r="B5810" s="0" t="s">
        <v>98</v>
      </c>
      <c r="E5810" s="6" t="n">
        <f aca="false">Sens!E5807-Sens!E5809</f>
        <v>37.441</v>
      </c>
      <c r="F5810" s="6" t="n">
        <f aca="false">Sens!F5807-Sens!F5809</f>
        <v>-32.1717204364036</v>
      </c>
      <c r="G5810" s="6" t="n">
        <f aca="false">Sens!G5807-Sens!G5809</f>
        <v>-14.2017877661843</v>
      </c>
      <c r="H5810" s="6" t="n">
        <f aca="false">Sens!H5807-Sens!H5809</f>
        <v>6.96155042586634</v>
      </c>
      <c r="I5810" s="6" t="n">
        <f aca="false">Sens!I5807-Sens!I5809</f>
        <v>60.2657073150759</v>
      </c>
      <c r="J5810" s="6" t="n">
        <f aca="false">Sens!J5807-Sens!J5809</f>
        <v>120.212768772591</v>
      </c>
      <c r="K5810" s="6" t="n">
        <f aca="false">Sens!K5807-Sens!K5809</f>
        <v>144.356379250803</v>
      </c>
    </row>
    <row r="5811" customFormat="false" ht="15" hidden="false" customHeight="false" outlineLevel="0" collapsed="false">
      <c r="A5811" s="1" t="s">
        <v>969</v>
      </c>
      <c r="B5811" s="0" t="s">
        <v>98</v>
      </c>
      <c r="F5811" s="6" t="n">
        <f aca="false">debt_mat_27</f>
        <v>9.25</v>
      </c>
      <c r="G5811" s="6" t="n">
        <f aca="false">debt_mat_28</f>
        <v>0</v>
      </c>
      <c r="H5811" s="6" t="n">
        <f aca="false">debt_mat_29</f>
        <v>2.001</v>
      </c>
      <c r="I5811" s="6" t="n">
        <f aca="false">debt_mat_30</f>
        <v>0</v>
      </c>
      <c r="J5811" s="6" t="n">
        <f aca="false">debt_mat_31</f>
        <v>0.5</v>
      </c>
      <c r="K5811" s="6" t="n">
        <f aca="false">debt_mat_32</f>
        <v>0</v>
      </c>
    </row>
    <row r="5812" customFormat="false" ht="15" hidden="false" customHeight="false" outlineLevel="0" collapsed="false">
      <c r="A5812" s="1" t="s">
        <v>970</v>
      </c>
      <c r="B5812" s="0" t="s">
        <v>98</v>
      </c>
      <c r="E5812" s="6" t="n">
        <f aca="false">Q!M40</f>
        <v>22.271</v>
      </c>
      <c r="F5812" s="6" t="n">
        <f aca="false">MAX(0,MIN(bb_target,Sens!E5814+Sens!F5810-Sens!F5811-min_cash))</f>
        <v>0</v>
      </c>
      <c r="G5812" s="6" t="n">
        <f aca="false">MAX(0,MIN(bb_target,Sens!F5814+Sens!G5810-Sens!G5811-min_cash))</f>
        <v>0</v>
      </c>
      <c r="H5812" s="6" t="n">
        <f aca="false">MAX(0,MIN(bb_target,Sens!G5814+Sens!H5810-Sens!H5811-min_cash))</f>
        <v>4.96055042586634</v>
      </c>
      <c r="I5812" s="6" t="n">
        <f aca="false">MAX(0,MIN(bb_target,Sens!H5814+Sens!I5810-Sens!I5811-min_cash))</f>
        <v>22.271</v>
      </c>
      <c r="J5812" s="6" t="n">
        <f aca="false">MAX(0,MIN(bb_target,Sens!I5814+Sens!J5810-Sens!J5811-min_cash))</f>
        <v>22.271</v>
      </c>
      <c r="K5812" s="6" t="n">
        <f aca="false">MAX(0,MIN(bb_target,Sens!J5814+Sens!K5810-Sens!K5811-min_cash))</f>
        <v>22.271</v>
      </c>
    </row>
    <row r="5813" customFormat="false" ht="15" hidden="false" customHeight="false" outlineLevel="0" collapsed="false">
      <c r="A5813" s="1" t="s">
        <v>971</v>
      </c>
      <c r="B5813" s="0" t="s">
        <v>98</v>
      </c>
      <c r="F5813" s="6" t="n">
        <f aca="false">MAX(0,min_cash-(Sens!E5814+Sens!F5810-Sens!F5811-Sens!F5812))</f>
        <v>14.5787204364036</v>
      </c>
      <c r="G5813" s="6" t="n">
        <f aca="false">MAX(0,min_cash-(Sens!F5814+Sens!G5810-Sens!G5811-Sens!G5812))</f>
        <v>14.2017877661843</v>
      </c>
      <c r="H5813" s="6" t="n">
        <f aca="false">MAX(0,min_cash-(Sens!G5814+Sens!H5810-Sens!H5811-Sens!H5812))</f>
        <v>0</v>
      </c>
      <c r="I5813" s="6" t="n">
        <f aca="false">MAX(0,min_cash-(Sens!H5814+Sens!I5810-Sens!I5811-Sens!I5812))</f>
        <v>0</v>
      </c>
      <c r="J5813" s="6" t="n">
        <f aca="false">MAX(0,min_cash-(Sens!I5814+Sens!J5810-Sens!J5811-Sens!J5812))</f>
        <v>0</v>
      </c>
      <c r="K5813" s="6" t="n">
        <f aca="false">MAX(0,min_cash-(Sens!J5814+Sens!K5810-Sens!K5811-Sens!K5812))</f>
        <v>0</v>
      </c>
    </row>
    <row r="5814" customFormat="false" ht="15" hidden="false" customHeight="false" outlineLevel="0" collapsed="false">
      <c r="A5814" s="1" t="s">
        <v>972</v>
      </c>
      <c r="B5814" s="0" t="s">
        <v>98</v>
      </c>
      <c r="E5814" s="6" t="n">
        <f aca="false">cash_open</f>
        <v>76.843</v>
      </c>
      <c r="F5814" s="6" t="n">
        <f aca="false">Sens!E5814+Sens!F5810-Sens!F5811-Sens!F5812+Sens!F5813</f>
        <v>50</v>
      </c>
      <c r="G5814" s="6" t="n">
        <f aca="false">Sens!F5814+Sens!G5810-Sens!G5811-Sens!G5812+Sens!G5813</f>
        <v>50</v>
      </c>
      <c r="H5814" s="6" t="n">
        <f aca="false">Sens!G5814+Sens!H5810-Sens!H5811-Sens!H5812+Sens!H5813</f>
        <v>50</v>
      </c>
      <c r="I5814" s="6" t="n">
        <f aca="false">Sens!H5814+Sens!I5810-Sens!I5811-Sens!I5812+Sens!I5813</f>
        <v>87.9947073150759</v>
      </c>
      <c r="J5814" s="6" t="n">
        <f aca="false">Sens!I5814+Sens!J5810-Sens!J5811-Sens!J5812+Sens!J5813</f>
        <v>185.436476087667</v>
      </c>
      <c r="K5814" s="6" t="n">
        <f aca="false">Sens!J5814+Sens!K5810-Sens!K5811-Sens!K5812+Sens!K5813</f>
        <v>307.521855338471</v>
      </c>
    </row>
    <row r="5815" customFormat="false" ht="15" hidden="false" customHeight="false" outlineLevel="0" collapsed="false">
      <c r="A5815" s="1" t="s">
        <v>973</v>
      </c>
      <c r="B5815" s="0" t="s">
        <v>98</v>
      </c>
      <c r="E5815" s="6" t="n">
        <f aca="false">debt_face</f>
        <v>46.136</v>
      </c>
      <c r="F5815" s="6" t="n">
        <f aca="false">Sens!E5815-Sens!F5811+Sens!F5813</f>
        <v>51.4647204364036</v>
      </c>
      <c r="G5815" s="6" t="n">
        <f aca="false">Sens!F5815-Sens!G5811+Sens!G5813</f>
        <v>65.6665082025878</v>
      </c>
      <c r="H5815" s="6" t="n">
        <f aca="false">Sens!G5815-Sens!H5811+Sens!H5813</f>
        <v>63.6655082025878</v>
      </c>
      <c r="I5815" s="6" t="n">
        <f aca="false">Sens!H5815-Sens!I5811+Sens!I5813</f>
        <v>63.6655082025878</v>
      </c>
      <c r="J5815" s="6" t="n">
        <f aca="false">Sens!I5815-Sens!J5811+Sens!J5813</f>
        <v>63.1655082025878</v>
      </c>
      <c r="K5815" s="6" t="n">
        <f aca="false">Sens!J5815-Sens!K5811+Sens!K5813</f>
        <v>63.1655082025878</v>
      </c>
    </row>
    <row r="5816" customFormat="false" ht="15" hidden="false" customHeight="false" outlineLevel="0" collapsed="false">
      <c r="A5816" s="1" t="s">
        <v>974</v>
      </c>
      <c r="B5816" s="0" t="s">
        <v>98</v>
      </c>
      <c r="E5816" s="6" t="n">
        <f aca="false">Sens!E5814-Sens!E5815</f>
        <v>30.707</v>
      </c>
      <c r="F5816" s="6" t="n">
        <f aca="false">Sens!F5814-Sens!F5815</f>
        <v>-1.46472043640357</v>
      </c>
      <c r="G5816" s="6" t="n">
        <f aca="false">Sens!G5814-Sens!G5815</f>
        <v>-15.6665082025878</v>
      </c>
      <c r="H5816" s="6" t="n">
        <f aca="false">Sens!H5814-Sens!H5815</f>
        <v>-13.6655082025878</v>
      </c>
      <c r="I5816" s="6" t="n">
        <f aca="false">Sens!I5814-Sens!I5815</f>
        <v>24.329199112488</v>
      </c>
      <c r="J5816" s="6" t="n">
        <f aca="false">Sens!J5814-Sens!J5815</f>
        <v>122.270967885079</v>
      </c>
      <c r="K5816" s="6" t="n">
        <f aca="false">Sens!K5814-Sens!K5815</f>
        <v>244.356347135883</v>
      </c>
    </row>
    <row r="5817" customFormat="false" ht="15" hidden="false" customHeight="false" outlineLevel="0" collapsed="false">
      <c r="A5817" s="1" t="s">
        <v>975</v>
      </c>
      <c r="B5817" s="0" t="s">
        <v>75</v>
      </c>
      <c r="F5817" s="29" t="n">
        <f aca="false">px*(1+bb_g)^(Sens!F5679-base_fy-mid_yr)</f>
        <v>553.494156066711</v>
      </c>
      <c r="G5817" s="29" t="n">
        <f aca="false">px*(1+bb_g)^(Sens!G5679-base_fy-mid_yr)</f>
        <v>597.773688552047</v>
      </c>
      <c r="H5817" s="29" t="n">
        <f aca="false">px*(1+bb_g)^(Sens!H5679-base_fy-mid_yr)</f>
        <v>645.595583636211</v>
      </c>
      <c r="I5817" s="29" t="n">
        <f aca="false">px*(1+bb_g)^(Sens!I5679-base_fy-mid_yr)</f>
        <v>697.243230327108</v>
      </c>
      <c r="J5817" s="29" t="n">
        <f aca="false">px*(1+bb_g)^(Sens!J5679-base_fy-mid_yr)</f>
        <v>753.022688753277</v>
      </c>
      <c r="K5817" s="29" t="n">
        <f aca="false">px*(1+bb_g)^(Sens!K5679-base_fy-mid_yr)</f>
        <v>813.264503853539</v>
      </c>
    </row>
    <row r="5818" customFormat="false" ht="15" hidden="false" customHeight="false" outlineLevel="0" collapsed="false">
      <c r="A5818" s="1" t="s">
        <v>976</v>
      </c>
      <c r="B5818" s="1" t="s">
        <v>81</v>
      </c>
      <c r="E5818" s="14" t="n">
        <f aca="false">sh_out26</f>
        <v>7.427</v>
      </c>
      <c r="F5818" s="14" t="n">
        <f aca="false">Sens!E5818+sh_iss-Sens!F5812/Sens!F5817</f>
        <v>7.472</v>
      </c>
      <c r="G5818" s="14" t="n">
        <f aca="false">Sens!F5818+sh_iss-Sens!G5812/Sens!G5817</f>
        <v>7.517</v>
      </c>
      <c r="H5818" s="14" t="n">
        <f aca="false">Sens!G5818+sh_iss-Sens!H5812/Sens!H5817</f>
        <v>7.5543163191453</v>
      </c>
      <c r="I5818" s="14" t="n">
        <f aca="false">Sens!H5818+sh_iss-Sens!I5812/Sens!I5817</f>
        <v>7.56737481146002</v>
      </c>
      <c r="J5818" s="14" t="n">
        <f aca="false">Sens!I5818+sh_iss-Sens!J5812/Sens!J5817</f>
        <v>7.58279934138106</v>
      </c>
      <c r="K5818" s="14" t="n">
        <f aca="false">Sens!J5818+sh_iss-Sens!K5812/Sens!K5817</f>
        <v>7.60041464686351</v>
      </c>
    </row>
    <row r="5819" customFormat="false" ht="15" hidden="false" customHeight="false" outlineLevel="0" collapsed="false">
      <c r="A5819" s="1" t="s">
        <v>977</v>
      </c>
      <c r="B5819" s="1" t="s">
        <v>81</v>
      </c>
      <c r="E5819" s="14" t="n">
        <f aca="false">sh_dil26</f>
        <v>7.453</v>
      </c>
      <c r="F5819" s="14" t="n">
        <f aca="false">(Sens!E5818+Sens!F5818)/2+dil_gap</f>
        <v>7.4735</v>
      </c>
      <c r="G5819" s="14" t="n">
        <f aca="false">(Sens!F5818+Sens!G5818)/2+dil_gap</f>
        <v>7.5185</v>
      </c>
      <c r="H5819" s="14" t="n">
        <f aca="false">(Sens!G5818+Sens!H5818)/2+dil_gap</f>
        <v>7.55965815957265</v>
      </c>
      <c r="I5819" s="14" t="n">
        <f aca="false">(Sens!H5818+Sens!I5818)/2+dil_gap</f>
        <v>7.58484556530266</v>
      </c>
      <c r="J5819" s="14" t="n">
        <f aca="false">(Sens!I5818+Sens!J5818)/2+dil_gap</f>
        <v>7.59908707642054</v>
      </c>
      <c r="K5819" s="14" t="n">
        <f aca="false">(Sens!J5818+Sens!K5818)/2+dil_gap</f>
        <v>7.61560699412228</v>
      </c>
    </row>
    <row r="5820" customFormat="false" ht="17.15" hidden="false" customHeight="false" outlineLevel="0" collapsed="false">
      <c r="A5820" s="1" t="s">
        <v>978</v>
      </c>
      <c r="B5820" s="0" t="s">
        <v>98</v>
      </c>
      <c r="C5820" s="6" t="n">
        <f aca="false">SUM(Sens!F5810:J5810)</f>
        <v>141.066518310946</v>
      </c>
    </row>
    <row r="5821" customFormat="false" ht="15" hidden="false" customHeight="false" outlineLevel="0" collapsed="false">
      <c r="A5821" s="23" t="s">
        <v>945</v>
      </c>
      <c r="B5821" s="30" t="s">
        <v>98</v>
      </c>
      <c r="C5821" s="24" t="n">
        <f aca="false">Sens!$C$5820-(Sens!F5810+Sens!G5810+Sens!H5810+Sens!I5810+Sens!J5810)</f>
        <v>0</v>
      </c>
      <c r="D5821" s="30"/>
      <c r="E5821" s="30"/>
      <c r="F5821" s="30"/>
      <c r="G5821" s="30"/>
      <c r="H5821" s="30"/>
      <c r="I5821" s="30"/>
      <c r="J5821" s="30"/>
      <c r="K5821" s="30"/>
    </row>
    <row r="5822" customFormat="false" ht="17.15" hidden="false" customHeight="false" outlineLevel="0" collapsed="false">
      <c r="A5822" s="1" t="s">
        <v>939</v>
      </c>
      <c r="B5822" s="1" t="s">
        <v>979</v>
      </c>
      <c r="C5822" s="32" t="str">
        <f aca="false">IF(SUM(Sens!F5813:J5813)&gt;0.05,"需要舉債 "&amp;TEXT(SUM(Sens!F5813:J5813),"0.0")&amp;" 十億美元","不需舉債")&amp;"；"&amp;IF(SUM(Sens!F5812:J5812)&lt;COUNT(Sens!F5812:J5812)*bb_target-0.05,"回購較每年 "&amp;TEXT(bb_target,"0.0")&amp;" 的目標少 "&amp;TEXT(COUNT(Sens!F5812:J5812)*bb_target-SUM(Sens!F5812:J5812),"0.0")&amp;" 十億美元（"&amp;TEXT(COUNTIF(Sens!F5812:J5812,"&lt;"&amp;(bb_target-0.05)),"0")&amp;" 年減少）","回購不減")</f>
        <v>需要舉債 28.8 十億美元；回購較每年 22.3 的目標少 61.9 十億美元（3 年減少）</v>
      </c>
    </row>
    <row r="5823" customFormat="false" ht="17.15" hidden="false" customHeight="false" outlineLevel="0" collapsed="false">
      <c r="A5823" s="3" t="s">
        <v>1411</v>
      </c>
    </row>
    <row r="5824" customFormat="false" ht="15" hidden="false" customHeight="false" outlineLevel="0" collapsed="false">
      <c r="A5824" s="4" t="s">
        <v>43</v>
      </c>
      <c r="B5824" s="4" t="s">
        <v>65</v>
      </c>
      <c r="C5824" s="20" t="s">
        <v>799</v>
      </c>
      <c r="D5824" s="20" t="s">
        <v>800</v>
      </c>
      <c r="E5824" s="20" t="s">
        <v>801</v>
      </c>
      <c r="F5824" s="20" t="s">
        <v>802</v>
      </c>
      <c r="G5824" s="20" t="s">
        <v>803</v>
      </c>
      <c r="H5824" s="20" t="s">
        <v>804</v>
      </c>
      <c r="I5824" s="20" t="s">
        <v>805</v>
      </c>
      <c r="J5824" s="20" t="s">
        <v>806</v>
      </c>
      <c r="K5824" s="20" t="s">
        <v>807</v>
      </c>
      <c r="L5824" s="4" t="s">
        <v>47</v>
      </c>
    </row>
    <row r="5825" customFormat="false" ht="15" hidden="false" customHeight="false" outlineLevel="0" collapsed="false">
      <c r="A5825" s="1" t="s">
        <v>1057</v>
      </c>
      <c r="B5825" s="1" t="s">
        <v>235</v>
      </c>
      <c r="F5825" s="36" t="n">
        <f aca="false">Sens!F5679-base_fy-mid_yr</f>
        <v>0.5</v>
      </c>
      <c r="G5825" s="36" t="n">
        <f aca="false">Sens!G5679-base_fy-mid_yr</f>
        <v>1.5</v>
      </c>
      <c r="H5825" s="36" t="n">
        <f aca="false">Sens!H5679-base_fy-mid_yr</f>
        <v>2.5</v>
      </c>
      <c r="I5825" s="36" t="n">
        <f aca="false">Sens!I5679-base_fy-mid_yr</f>
        <v>3.5</v>
      </c>
      <c r="J5825" s="36" t="n">
        <f aca="false">Sens!J5679-base_fy-mid_yr</f>
        <v>4.5</v>
      </c>
      <c r="K5825" s="36" t="n">
        <f aca="false">Sens!K5679-base_fy-mid_yr</f>
        <v>5.5</v>
      </c>
    </row>
    <row r="5826" customFormat="false" ht="15" hidden="false" customHeight="false" outlineLevel="0" collapsed="false">
      <c r="A5826" s="1" t="s">
        <v>1058</v>
      </c>
      <c r="B5826" s="0" t="s">
        <v>185</v>
      </c>
      <c r="F5826" s="14" t="n">
        <f aca="false">1/(1+wacc)^Sens!F5825</f>
        <v>0.952193373608246</v>
      </c>
      <c r="G5826" s="14" t="n">
        <f aca="false">1/(1+wacc)^Sens!G5825</f>
        <v>0.863327280626589</v>
      </c>
      <c r="H5826" s="14" t="n">
        <f aca="false">1/(1+wacc)^Sens!H5825</f>
        <v>0.782754862754115</v>
      </c>
      <c r="I5826" s="14" t="n">
        <f aca="false">1/(1+wacc)^Sens!I5825</f>
        <v>0.709702089711011</v>
      </c>
      <c r="J5826" s="14" t="n">
        <f aca="false">1/(1+wacc)^Sens!J5825</f>
        <v>0.643467169744551</v>
      </c>
      <c r="K5826" s="14" t="n">
        <f aca="false">1/(1+wacc)^Sens!K5825</f>
        <v>0.583413807767797</v>
      </c>
    </row>
    <row r="5827" customFormat="false" ht="17.15" hidden="false" customHeight="false" outlineLevel="0" collapsed="false">
      <c r="A5827" s="1" t="s">
        <v>1059</v>
      </c>
      <c r="B5827" s="0" t="s">
        <v>98</v>
      </c>
      <c r="F5827" s="6" t="n">
        <f aca="false">Sens!F5800-Sens!F5798-Sens!F5804+Sens!F5783*(1-tax_f)</f>
        <v>-5.66883879850098</v>
      </c>
      <c r="G5827" s="6" t="n">
        <f aca="false">Sens!G5800-Sens!G5798-Sens!G5804+Sens!G5783*(1-tax_f)</f>
        <v>26.6034013109088</v>
      </c>
      <c r="H5827" s="6" t="n">
        <f aca="false">Sens!H5800-Sens!H5798-Sens!H5804+Sens!H5783*(1-tax_f)</f>
        <v>62.8740535009479</v>
      </c>
      <c r="I5827" s="6" t="n">
        <f aca="false">Sens!I5800-Sens!I5798-Sens!I5804+Sens!I5783*(1-tax_f)</f>
        <v>130.283394846266</v>
      </c>
      <c r="J5827" s="6" t="n">
        <f aca="false">Sens!J5800-Sens!J5798-Sens!J5804+Sens!J5783*(1-tax_f)</f>
        <v>200.909464696175</v>
      </c>
      <c r="K5827" s="6" t="n">
        <f aca="false">Sens!K5800-Sens!K5798-Sens!K5804+Sens!K5783*(1-tax_f)</f>
        <v>232.782390571849</v>
      </c>
      <c r="L5827" s="1" t="s">
        <v>1060</v>
      </c>
    </row>
    <row r="5828" customFormat="false" ht="15" hidden="false" customHeight="false" outlineLevel="0" collapsed="false">
      <c r="A5828" s="1" t="s">
        <v>1061</v>
      </c>
      <c r="B5828" s="0" t="s">
        <v>98</v>
      </c>
      <c r="F5828" s="6" t="n">
        <f aca="false">Sens!F5827*Sens!F5826</f>
        <v>-5.39783073998597</v>
      </c>
      <c r="G5828" s="6" t="n">
        <f aca="false">Sens!G5827*Sens!G5826</f>
        <v>22.9674421091647</v>
      </c>
      <c r="H5828" s="6" t="n">
        <f aca="false">Sens!H5827*Sens!H5826</f>
        <v>49.2149711189294</v>
      </c>
      <c r="I5828" s="6" t="n">
        <f aca="false">Sens!I5827*Sens!I5826</f>
        <v>92.4623975770399</v>
      </c>
      <c r="J5828" s="6" t="n">
        <f aca="false">Sens!J5827*Sens!J5826</f>
        <v>129.27864462294</v>
      </c>
      <c r="K5828" s="6" t="n">
        <f aca="false">Sens!K5827*Sens!K5826</f>
        <v>135.808460864813</v>
      </c>
    </row>
    <row r="5829" customFormat="false" ht="17.15" hidden="false" customHeight="false" outlineLevel="0" collapsed="false">
      <c r="A5829" s="1" t="s">
        <v>1062</v>
      </c>
      <c r="B5829" s="0" t="s">
        <v>98</v>
      </c>
      <c r="C5829" s="6" t="n">
        <f aca="false">SUM(Sens!F5828:K5828)</f>
        <v>424.334085552901</v>
      </c>
    </row>
    <row r="5830" customFormat="false" ht="17.15" hidden="false" customHeight="false" outlineLevel="0" collapsed="false">
      <c r="A5830" s="1" t="s">
        <v>1063</v>
      </c>
      <c r="B5830" s="0" t="s">
        <v>98</v>
      </c>
      <c r="C5830" s="6" t="n">
        <f aca="false">Sens!K5769*(1+g_tv)*(1-tax_f)</f>
        <v>246.58623504126</v>
      </c>
    </row>
    <row r="5831" customFormat="false" ht="17.15" hidden="false" customHeight="false" outlineLevel="0" collapsed="false">
      <c r="A5831" s="1" t="s">
        <v>1064</v>
      </c>
      <c r="B5831" s="0" t="s">
        <v>98</v>
      </c>
      <c r="C5831" s="6" t="n">
        <f aca="false">Sens!$C$5830*(1-g_tv/(wacc+ronic_prem))</f>
        <v>174.719243955449</v>
      </c>
    </row>
    <row r="5832" customFormat="false" ht="17.15" hidden="false" customHeight="false" outlineLevel="0" collapsed="false">
      <c r="A5832" s="1" t="s">
        <v>1065</v>
      </c>
      <c r="B5832" s="0" t="s">
        <v>98</v>
      </c>
      <c r="C5832" s="6" t="n">
        <f aca="false">Sens!$C$5831/(wacc-g_tv)</f>
        <v>2395.56636952702</v>
      </c>
    </row>
    <row r="5833" customFormat="false" ht="15" hidden="false" customHeight="false" outlineLevel="0" collapsed="false">
      <c r="A5833" s="1" t="s">
        <v>1066</v>
      </c>
      <c r="B5833" s="0" t="s">
        <v>98</v>
      </c>
      <c r="C5833" s="6" t="n">
        <f aca="false">Sens!$C$5832/(1+wacc)^(Sens!K5825+mid_yr)</f>
        <v>1330.79164574205</v>
      </c>
    </row>
    <row r="5834" customFormat="false" ht="17.15" hidden="false" customHeight="false" outlineLevel="0" collapsed="false">
      <c r="A5834" s="0" t="s">
        <v>986</v>
      </c>
      <c r="B5834" s="0" t="s">
        <v>98</v>
      </c>
      <c r="C5834" s="6" t="n">
        <f aca="false">Sens!$C$5829+Sens!$C$5833</f>
        <v>1755.12573129495</v>
      </c>
    </row>
    <row r="5835" customFormat="false" ht="15" hidden="false" customHeight="false" outlineLevel="0" collapsed="false">
      <c r="A5835" s="1" t="s">
        <v>987</v>
      </c>
      <c r="B5835" s="0" t="s">
        <v>129</v>
      </c>
      <c r="C5835" s="7" t="n">
        <f aca="false">Sens!$C$5833/Sens!$C$5834</f>
        <v>0.758231516986636</v>
      </c>
    </row>
    <row r="5836" customFormat="false" ht="17.15" hidden="false" customHeight="false" outlineLevel="0" collapsed="false">
      <c r="A5836" s="1" t="s">
        <v>1067</v>
      </c>
      <c r="B5836" s="0" t="s">
        <v>98</v>
      </c>
      <c r="C5836" s="6" t="n">
        <f aca="false">Sens!$C$5834+Sens!E5816-Sens!E5805+oai_v</f>
        <v>1889.63873129495</v>
      </c>
    </row>
    <row r="5837" customFormat="false" ht="17.15" hidden="false" customHeight="false" outlineLevel="0" collapsed="false">
      <c r="A5837" s="0" t="s">
        <v>994</v>
      </c>
      <c r="B5837" s="0" t="s">
        <v>75</v>
      </c>
      <c r="C5837" s="5" t="n">
        <f aca="false">Sens!$C$5836/sh_dil26</f>
        <v>253.540685803697</v>
      </c>
    </row>
    <row r="5838" customFormat="false" ht="15" hidden="false" customHeight="false" outlineLevel="0" collapsed="false">
      <c r="A5838" s="1" t="s">
        <v>1068</v>
      </c>
      <c r="B5838" s="0" t="s">
        <v>75</v>
      </c>
      <c r="C5838" s="8" t="n">
        <f aca="false">dps_27+Sens!G5808*roll_div_q/q_per_yr</f>
        <v>4.8895</v>
      </c>
    </row>
    <row r="5839" customFormat="false" ht="17.15" hidden="false" customHeight="false" outlineLevel="0" collapsed="false">
      <c r="A5839" s="0" t="s">
        <v>1069</v>
      </c>
      <c r="B5839" s="0" t="s">
        <v>75</v>
      </c>
      <c r="C5839" s="5" t="n">
        <f aca="false">Sens!$C$5837*(1+wacc)^t_roll-Sens!$C$5838</f>
        <v>283.825744527925</v>
      </c>
    </row>
    <row r="5840" customFormat="false" ht="17.15" hidden="false" customHeight="false" outlineLevel="0" collapsed="false">
      <c r="A5840" s="1" t="s">
        <v>1070</v>
      </c>
      <c r="B5840" s="0" t="s">
        <v>129</v>
      </c>
      <c r="F5840" s="7" t="n">
        <f aca="false">Sens!F5795/(Sens!F5740-Sens!F5696)</f>
        <v>0.071303534524993</v>
      </c>
      <c r="G5840" s="7" t="n">
        <f aca="false">Sens!G5795/(Sens!G5740-Sens!G5696)</f>
        <v>0.0686047530984966</v>
      </c>
      <c r="H5840" s="7" t="n">
        <f aca="false">Sens!H5795/(Sens!H5740-Sens!H5696)</f>
        <v>0.0671235539286331</v>
      </c>
      <c r="I5840" s="7" t="n">
        <f aca="false">Sens!I5795/(Sens!I5740-Sens!I5696)</f>
        <v>0.0666886148380039</v>
      </c>
      <c r="J5840" s="7" t="n">
        <f aca="false">Sens!J5795/(Sens!J5740-Sens!J5696)</f>
        <v>0.0671069835981409</v>
      </c>
      <c r="K5840" s="7" t="n">
        <f aca="false">Sens!K5795/(Sens!K5740-Sens!K5696)</f>
        <v>0.0681890961810837</v>
      </c>
    </row>
    <row r="5841" customFormat="false" ht="17.15" hidden="false" customHeight="false" outlineLevel="0" collapsed="false">
      <c r="A5841" s="0" t="s">
        <v>1071</v>
      </c>
      <c r="B5841" s="0" t="s">
        <v>98</v>
      </c>
      <c r="F5841" s="6" t="n">
        <f aca="false">Sens!F5725*(al_m365+Sens!F5840+sbc_r)</f>
        <v>82.6628412908555</v>
      </c>
      <c r="G5841" s="6" t="n">
        <f aca="false">Sens!G5725*(al_m365+Sens!G5840+sbc_r)</f>
        <v>91.9860333005498</v>
      </c>
      <c r="H5841" s="6" t="n">
        <f aca="false">Sens!H5725*(al_m365+Sens!H5840+sbc_r)</f>
        <v>101.468159026352</v>
      </c>
      <c r="I5841" s="6" t="n">
        <f aca="false">Sens!I5725*(al_m365+Sens!I5840+sbc_r)</f>
        <v>110.686349198207</v>
      </c>
      <c r="J5841" s="6" t="n">
        <f aca="false">Sens!J5725*(al_m365+Sens!J5840+sbc_r)</f>
        <v>119.451633080041</v>
      </c>
      <c r="K5841" s="6" t="n">
        <f aca="false">Sens!K5725*(al_m365+Sens!K5840+sbc_r)</f>
        <v>127.81642130799</v>
      </c>
      <c r="L5841" s="11" t="s">
        <v>1072</v>
      </c>
    </row>
    <row r="5842" customFormat="false" ht="17.15" hidden="false" customHeight="false" outlineLevel="0" collapsed="false">
      <c r="A5842" s="0" t="s">
        <v>1073</v>
      </c>
      <c r="B5842" s="0" t="s">
        <v>98</v>
      </c>
      <c r="F5842" s="6" t="n">
        <f aca="false">Sens!F5726*(al_lic+Sens!F5840+sbc_r)</f>
        <v>33.5506557492794</v>
      </c>
      <c r="G5842" s="6" t="n">
        <f aca="false">Sens!G5726*(al_lic+Sens!G5840+sbc_r)</f>
        <v>34.8614222588667</v>
      </c>
      <c r="H5842" s="6" t="n">
        <f aca="false">Sens!H5726*(al_lic+Sens!H5840+sbc_r)</f>
        <v>36.0803243668239</v>
      </c>
      <c r="I5842" s="6" t="n">
        <f aca="false">Sens!I5726*(al_lic+Sens!I5840+sbc_r)</f>
        <v>37.1860882577914</v>
      </c>
      <c r="J5842" s="6" t="n">
        <f aca="false">Sens!J5726*(al_lic+Sens!J5840+sbc_r)</f>
        <v>38.1562159411264</v>
      </c>
      <c r="K5842" s="6" t="n">
        <f aca="false">Sens!K5726*(al_lic+Sens!K5840+sbc_r)</f>
        <v>38.9686271199727</v>
      </c>
    </row>
    <row r="5843" customFormat="false" ht="17.15" hidden="false" customHeight="false" outlineLevel="0" collapsed="false">
      <c r="A5843" s="0" t="s">
        <v>1074</v>
      </c>
      <c r="B5843" s="0" t="s">
        <v>98</v>
      </c>
      <c r="F5843" s="6" t="n">
        <f aca="false">Sens!F5728*(al_ind+Sens!F5840+sbc_r)</f>
        <v>9.13708564406256</v>
      </c>
      <c r="G5843" s="6" t="n">
        <f aca="false">Sens!G5728*(al_ind+Sens!G5840+sbc_r)</f>
        <v>9.92201083295604</v>
      </c>
      <c r="H5843" s="6" t="n">
        <f aca="false">Sens!H5728*(al_ind+Sens!H5840+sbc_r)</f>
        <v>10.7492673714817</v>
      </c>
      <c r="I5843" s="6" t="n">
        <f aca="false">Sens!I5728*(al_ind+Sens!I5840+sbc_r)</f>
        <v>11.6134980369161</v>
      </c>
      <c r="J5843" s="6" t="n">
        <f aca="false">Sens!J5728*(al_ind+Sens!J5840+sbc_r)</f>
        <v>12.5065159651264</v>
      </c>
      <c r="K5843" s="6" t="n">
        <f aca="false">Sens!K5728*(al_ind+Sens!K5840+sbc_r)</f>
        <v>13.4177722650852</v>
      </c>
    </row>
    <row r="5844" customFormat="false" ht="17.15" hidden="false" customHeight="false" outlineLevel="0" collapsed="false">
      <c r="A5844" s="0" t="s">
        <v>1075</v>
      </c>
      <c r="B5844" s="0" t="s">
        <v>98</v>
      </c>
      <c r="F5844" s="6" t="n">
        <f aca="false">Sens!F5730*(al_fro+Sens!F5840+sbc_r)</f>
        <v>3.59638898799183</v>
      </c>
      <c r="G5844" s="6" t="n">
        <f aca="false">Sens!G5730*(al_fro+Sens!G5840+sbc_r)</f>
        <v>3.80946555397102</v>
      </c>
      <c r="H5844" s="6" t="n">
        <f aca="false">Sens!H5730*(al_fro+Sens!H5840+sbc_r)</f>
        <v>4.05069186670183</v>
      </c>
      <c r="I5844" s="6" t="n">
        <f aca="false">Sens!I5730*(al_fro+Sens!I5840+sbc_r)</f>
        <v>4.32207130571802</v>
      </c>
      <c r="J5844" s="6" t="n">
        <f aca="false">Sens!J5730*(al_fro+Sens!J5840+sbc_r)</f>
        <v>4.62539022842048</v>
      </c>
      <c r="K5844" s="6" t="n">
        <f aca="false">Sens!K5730*(al_fro+Sens!K5840+sbc_r)</f>
        <v>4.96240782765986</v>
      </c>
    </row>
    <row r="5845" customFormat="false" ht="17.15" hidden="false" customHeight="false" outlineLevel="0" collapsed="false">
      <c r="A5845" s="0" t="s">
        <v>1076</v>
      </c>
      <c r="B5845" s="0" t="s">
        <v>98</v>
      </c>
      <c r="F5845" s="6" t="n">
        <f aca="false">Sens!F5733*(al_srch+Sens!F5840+sbc_r)</f>
        <v>11.2844327835054</v>
      </c>
      <c r="G5845" s="6" t="n">
        <f aca="false">Sens!G5733*(al_srch+Sens!G5840+sbc_r)</f>
        <v>12.3694463511538</v>
      </c>
      <c r="H5845" s="6" t="n">
        <f aca="false">Sens!H5733*(al_srch+Sens!H5840+sbc_r)</f>
        <v>13.4960952327122</v>
      </c>
      <c r="I5845" s="6" t="n">
        <f aca="false">Sens!I5733*(al_srch+Sens!I5840+sbc_r)</f>
        <v>14.6506930515483</v>
      </c>
      <c r="J5845" s="6" t="n">
        <f aca="false">Sens!J5733*(al_srch+Sens!J5840+sbc_r)</f>
        <v>15.8150716723104</v>
      </c>
      <c r="K5845" s="6" t="n">
        <f aca="false">Sens!K5733*(al_srch+Sens!K5840+sbc_r)</f>
        <v>16.9673976866758</v>
      </c>
    </row>
    <row r="5846" customFormat="false" ht="17.15" hidden="false" customHeight="false" outlineLevel="0" collapsed="false">
      <c r="A5846" s="0" t="s">
        <v>1077</v>
      </c>
      <c r="B5846" s="0" t="s">
        <v>98</v>
      </c>
      <c r="F5846" s="6" t="n">
        <f aca="false">Sens!F5702-Sens!F5703+Sens!F5783</f>
        <v>39.1079895254636</v>
      </c>
      <c r="G5846" s="6" t="n">
        <f aca="false">Sens!G5702-Sens!G5703+Sens!G5783</f>
        <v>69.2544584762536</v>
      </c>
      <c r="H5846" s="6" t="n">
        <f aca="false">Sens!H5702-Sens!H5703+Sens!H5783</f>
        <v>96.5438287443707</v>
      </c>
      <c r="I5846" s="6" t="n">
        <f aca="false">Sens!I5702-Sens!I5703+Sens!I5783</f>
        <v>127.413216381563</v>
      </c>
      <c r="J5846" s="6" t="n">
        <f aca="false">Sens!J5702-Sens!J5703+Sens!J5783</f>
        <v>149.40027690889</v>
      </c>
      <c r="K5846" s="6" t="n">
        <f aca="false">Sens!K5702-Sens!K5703+Sens!K5783</f>
        <v>163.949870771921</v>
      </c>
    </row>
    <row r="5847" customFormat="false" ht="17.15" hidden="false" customHeight="false" outlineLevel="0" collapsed="false">
      <c r="A5847" s="0" t="s">
        <v>1078</v>
      </c>
      <c r="B5847" s="0" t="s">
        <v>98</v>
      </c>
      <c r="F5847" s="6" t="n">
        <f aca="false">Sens!F5762+Sens!F5783+Sens!F5713+Sens!F5840*(Sens!F5732-Sens!F5696)+sbc_r*Sens!F5732</f>
        <v>228.378878741419</v>
      </c>
      <c r="G5847" s="6" t="n">
        <f aca="false">Sens!G5762+Sens!G5783+Sens!G5713+Sens!G5840*(Sens!G5732-Sens!G5696)+sbc_r*Sens!G5732</f>
        <v>282.417357007983</v>
      </c>
      <c r="H5847" s="6" t="n">
        <f aca="false">Sens!H5762+Sens!H5783+Sens!H5713+Sens!H5840*(Sens!H5732-Sens!H5696)+sbc_r*Sens!H5732</f>
        <v>333.862320538932</v>
      </c>
      <c r="I5847" s="6" t="n">
        <f aca="false">Sens!I5762+Sens!I5783+Sens!I5713+Sens!I5840*(Sens!I5732-Sens!I5696)+sbc_r*Sens!I5732</f>
        <v>388.497098930125</v>
      </c>
      <c r="J5847" s="6" t="n">
        <f aca="false">Sens!J5762+Sens!J5783+Sens!J5713+Sens!J5840*(Sens!J5732-Sens!J5696)+sbc_r*Sens!J5732</f>
        <v>432.586443350435</v>
      </c>
      <c r="K5847" s="6" t="n">
        <f aca="false">Sens!K5762+Sens!K5783+Sens!K5713+Sens!K5840*(Sens!K5732-Sens!K5696)+sbc_r*Sens!K5732</f>
        <v>466.948282600222</v>
      </c>
    </row>
    <row r="5848" customFormat="false" ht="17.15" hidden="false" customHeight="false" outlineLevel="0" collapsed="false">
      <c r="A5848" s="0" t="s">
        <v>1079</v>
      </c>
      <c r="B5848" s="0" t="s">
        <v>98</v>
      </c>
      <c r="F5848" s="6" t="n">
        <f aca="false">Sens!F5847-Sens!F5841-Sens!F5842-Sens!F5843-Sens!F5844-Sens!F5846</f>
        <v>60.3239175437657</v>
      </c>
      <c r="G5848" s="6" t="n">
        <f aca="false">Sens!G5847-Sens!G5841-Sens!G5842-Sens!G5843-Sens!G5844-Sens!G5846</f>
        <v>72.5839665853862</v>
      </c>
      <c r="H5848" s="6" t="n">
        <f aca="false">Sens!H5847-Sens!H5841-Sens!H5842-Sens!H5843-Sens!H5844-Sens!H5846</f>
        <v>84.9700491632027</v>
      </c>
      <c r="I5848" s="6" t="n">
        <f aca="false">Sens!I5847-Sens!I5841-Sens!I5842-Sens!I5843-Sens!I5844-Sens!I5846</f>
        <v>97.2758757499293</v>
      </c>
      <c r="J5848" s="6" t="n">
        <f aca="false">Sens!J5847-Sens!J5841-Sens!J5842-Sens!J5843-Sens!J5844-Sens!J5846</f>
        <v>108.44641122683</v>
      </c>
      <c r="K5848" s="6" t="n">
        <f aca="false">Sens!K5847-Sens!K5841-Sens!K5842-Sens!K5843-Sens!K5844-Sens!K5846</f>
        <v>117.833183307594</v>
      </c>
    </row>
    <row r="5849" customFormat="false" ht="17.15" hidden="false" customHeight="false" outlineLevel="0" collapsed="false">
      <c r="A5849" s="0" t="s">
        <v>1080</v>
      </c>
      <c r="B5849" s="0" t="s">
        <v>98</v>
      </c>
      <c r="F5849" s="6" t="n">
        <f aca="false">Sens!F5764+Sens!F5840*Sens!F5739+sbc_r*Sens!F5739</f>
        <v>26.3754371296893</v>
      </c>
      <c r="G5849" s="6" t="n">
        <f aca="false">Sens!G5764+Sens!G5840*Sens!G5739+sbc_r*Sens!G5739</f>
        <v>26.9975030544313</v>
      </c>
      <c r="H5849" s="6" t="n">
        <f aca="false">Sens!H5764+Sens!H5840*Sens!H5739+sbc_r*Sens!H5739</f>
        <v>27.8804051167727</v>
      </c>
      <c r="I5849" s="6" t="n">
        <f aca="false">Sens!I5764+Sens!I5840*Sens!I5739+sbc_r*Sens!I5739</f>
        <v>28.9895435284638</v>
      </c>
      <c r="J5849" s="6" t="n">
        <f aca="false">Sens!J5764+Sens!J5840*Sens!J5739+sbc_r*Sens!J5739</f>
        <v>30.2944983543612</v>
      </c>
      <c r="K5849" s="6" t="n">
        <f aca="false">Sens!K5764+Sens!K5840*Sens!K5739+sbc_r*Sens!K5739</f>
        <v>31.7692928397775</v>
      </c>
    </row>
    <row r="5850" customFormat="false" ht="17.15" hidden="false" customHeight="false" outlineLevel="0" collapsed="false">
      <c r="A5850" s="0" t="s">
        <v>1081</v>
      </c>
      <c r="B5850" s="0" t="s">
        <v>98</v>
      </c>
      <c r="F5850" s="6" t="n">
        <f aca="false">(Sens!F5849-Sens!F5845)*Sens!F5735/(Sens!F5735+Sens!F5737)</f>
        <v>8.27274159832548</v>
      </c>
      <c r="G5850" s="6" t="n">
        <f aca="false">(Sens!G5849-Sens!G5845)*Sens!G5735/(Sens!G5735+Sens!G5737)</f>
        <v>7.8759806886311</v>
      </c>
      <c r="H5850" s="6" t="n">
        <f aca="false">(Sens!H5849-Sens!H5845)*Sens!H5735/(Sens!H5735+Sens!H5737)</f>
        <v>7.64012494447698</v>
      </c>
      <c r="I5850" s="6" t="n">
        <f aca="false">(Sens!I5849-Sens!I5845)*Sens!I5735/(Sens!I5735+Sens!I5737)</f>
        <v>7.5470700208654</v>
      </c>
      <c r="J5850" s="6" t="n">
        <f aca="false">(Sens!J5849-Sens!J5845)*Sens!J5735/(Sens!J5735+Sens!J5737)</f>
        <v>7.58659834883297</v>
      </c>
      <c r="K5850" s="6" t="n">
        <f aca="false">(Sens!K5849-Sens!K5845)*Sens!K5735/(Sens!K5735+Sens!K5737)</f>
        <v>7.75555799231513</v>
      </c>
    </row>
    <row r="5851" customFormat="false" ht="17.15" hidden="false" customHeight="false" outlineLevel="0" collapsed="false">
      <c r="A5851" s="0" t="s">
        <v>1082</v>
      </c>
      <c r="B5851" s="0" t="s">
        <v>98</v>
      </c>
      <c r="F5851" s="6" t="n">
        <f aca="false">Sens!F5849-Sens!F5845-Sens!F5850</f>
        <v>6.81826274785841</v>
      </c>
      <c r="G5851" s="6" t="n">
        <f aca="false">Sens!G5849-Sens!G5845-Sens!G5850</f>
        <v>6.75207601464636</v>
      </c>
      <c r="H5851" s="6" t="n">
        <f aca="false">Sens!H5849-Sens!H5845-Sens!H5850</f>
        <v>6.74418493958355</v>
      </c>
      <c r="I5851" s="6" t="n">
        <f aca="false">Sens!I5849-Sens!I5845-Sens!I5850</f>
        <v>6.79178045605014</v>
      </c>
      <c r="J5851" s="6" t="n">
        <f aca="false">Sens!J5849-Sens!J5845-Sens!J5850</f>
        <v>6.89282833321786</v>
      </c>
      <c r="K5851" s="6" t="n">
        <f aca="false">Sens!K5849-Sens!K5845-Sens!K5850</f>
        <v>7.04633716078659</v>
      </c>
    </row>
    <row r="5852" customFormat="false" ht="17.15" hidden="false" customHeight="false" outlineLevel="0" collapsed="false">
      <c r="A5852" s="0" t="s">
        <v>1083</v>
      </c>
      <c r="B5852" s="0" t="s">
        <v>98</v>
      </c>
      <c r="F5852" s="6" t="n">
        <f aca="false">Sens!F5846-tax_f*(Sens!F5846-Sens!F5713)-Sens!F5710</f>
        <v>-122.236506774905</v>
      </c>
      <c r="G5852" s="6" t="n">
        <f aca="false">Sens!G5846-tax_f*(Sens!G5846-Sens!G5713)-Sens!G5710</f>
        <v>-116.345526280095</v>
      </c>
      <c r="H5852" s="6" t="n">
        <f aca="false">Sens!H5846-tax_f*(Sens!H5846-Sens!H5713)-Sens!H5710</f>
        <v>-93.5730189462411</v>
      </c>
      <c r="I5852" s="6" t="n">
        <f aca="false">Sens!I5846-tax_f*(Sens!I5846-Sens!I5713)-Sens!I5710</f>
        <v>-39.6549472825162</v>
      </c>
      <c r="J5852" s="6" t="n">
        <f aca="false">Sens!J5846-tax_f*(Sens!J5846-Sens!J5713)-Sens!J5710</f>
        <v>17.9384495034387</v>
      </c>
      <c r="K5852" s="6" t="n">
        <f aca="false">Sens!K5846-tax_f*(Sens!K5846-Sens!K5713)-Sens!K5710</f>
        <v>37.5787741228076</v>
      </c>
    </row>
    <row r="5853" customFormat="false" ht="17.15" hidden="false" customHeight="false" outlineLevel="0" collapsed="false">
      <c r="A5853" s="0" t="s">
        <v>1084</v>
      </c>
      <c r="B5853" s="0" t="s">
        <v>98</v>
      </c>
      <c r="G5853" s="6" t="n">
        <f aca="false">Sens!G5852/(1+wacc)^(Sens!G5825-(Sens!F5825+mid_yr))</f>
        <v>-110.78343917287</v>
      </c>
      <c r="H5853" s="6" t="n">
        <f aca="false">Sens!H5852/(1+wacc)^(Sens!H5825-(Sens!F5825+mid_yr))</f>
        <v>-80.7841399868786</v>
      </c>
      <c r="I5853" s="6" t="n">
        <f aca="false">Sens!I5852/(1+wacc)^(Sens!I5825-(Sens!F5825+mid_yr))</f>
        <v>-31.0401028176477</v>
      </c>
      <c r="J5853" s="6" t="n">
        <f aca="false">Sens!J5852/(1+wacc)^(Sens!J5825-(Sens!F5825+mid_yr))</f>
        <v>12.7309550987659</v>
      </c>
      <c r="K5853" s="6" t="n">
        <f aca="false">Sens!K5852/(1+wacc)^(Sens!K5825-(Sens!F5825+mid_yr))</f>
        <v>24.1807074272728</v>
      </c>
      <c r="L5853" s="1" t="s">
        <v>1085</v>
      </c>
    </row>
    <row r="5854" customFormat="false" ht="17.15" hidden="false" customHeight="false" outlineLevel="0" collapsed="false">
      <c r="A5854" s="0" t="s">
        <v>1086</v>
      </c>
      <c r="B5854" s="0" t="s">
        <v>98</v>
      </c>
      <c r="C5854" s="6" t="n">
        <f aca="false">(Sens!K5846-Sens!K5713)*(1-tax_f)*(1+g_tv)*(1-g_tv/(wacc+ronic_prem))/(wacc-g_tv)/(1+wacc)^(Sens!K5825+mid_yr-(Sens!F5825+mid_yr))</f>
        <v>121.728434197015</v>
      </c>
    </row>
    <row r="5855" customFormat="false" ht="17.15" hidden="false" customHeight="false" outlineLevel="0" collapsed="false">
      <c r="A5855" s="1" t="s">
        <v>1087</v>
      </c>
      <c r="B5855" s="0" t="s">
        <v>98</v>
      </c>
      <c r="C5855" s="6" t="n">
        <f aca="false">(SUM(Sens!G5853:K5853)+Sens!$C$5854)*(1+wacc)^(t_roll-(Sens!F5825+mid_yr))</f>
        <v>-66.043840730187</v>
      </c>
      <c r="L5855" s="11" t="s">
        <v>1088</v>
      </c>
    </row>
    <row r="5856" customFormat="false" ht="17.15" hidden="false" customHeight="false" outlineLevel="0" collapsed="false">
      <c r="A5856" s="1" t="s">
        <v>1089</v>
      </c>
      <c r="B5856" s="0" t="s">
        <v>98</v>
      </c>
      <c r="C5856" s="6" t="n">
        <f aca="false">(w_ntm28*Sens!G5702+(1-w_ntm28)*Sens!H5702)*m_ai</f>
        <v>338.776008390068</v>
      </c>
    </row>
    <row r="5857" customFormat="false" ht="17.15" hidden="false" customHeight="false" outlineLevel="0" collapsed="false">
      <c r="A5857" s="1" t="s">
        <v>1090</v>
      </c>
      <c r="B5857" s="0" t="s">
        <v>98</v>
      </c>
      <c r="C5857" s="6" t="n">
        <f aca="false">(w_ntm28*Sens!G5848+(1-w_ntm28)*Sens!H5848)*m_cloud</f>
        <v>1058.44939909935</v>
      </c>
    </row>
    <row r="5858" customFormat="false" ht="17.15" hidden="false" customHeight="false" outlineLevel="0" collapsed="false">
      <c r="A5858" s="1" t="s">
        <v>1091</v>
      </c>
      <c r="B5858" s="0" t="s">
        <v>98</v>
      </c>
      <c r="C5858" s="6" t="n">
        <f aca="false">(w_ntm28*Sens!G5841+(1-w_ntm28)*Sens!H5841)*m_sw</f>
        <v>1026.55606656364</v>
      </c>
    </row>
    <row r="5859" customFormat="false" ht="17.15" hidden="false" customHeight="false" outlineLevel="0" collapsed="false">
      <c r="A5859" s="1" t="s">
        <v>1092</v>
      </c>
      <c r="B5859" s="0" t="s">
        <v>98</v>
      </c>
      <c r="C5859" s="6" t="n">
        <f aca="false">(w_ntm28*Sens!G5842+(1-w_ntm28)*Sens!H5842)*m_sw</f>
        <v>380.759165454337</v>
      </c>
    </row>
    <row r="5860" customFormat="false" ht="17.15" hidden="false" customHeight="false" outlineLevel="0" collapsed="false">
      <c r="A5860" s="1" t="s">
        <v>1093</v>
      </c>
      <c r="B5860" s="0" t="s">
        <v>98</v>
      </c>
      <c r="C5860" s="6" t="n">
        <f aca="false">(w_ntm28*Sens!G5843+(1-w_ntm28)*Sens!H5843)*m_sw</f>
        <v>110.046088866328</v>
      </c>
    </row>
    <row r="5861" customFormat="false" ht="17.15" hidden="false" customHeight="false" outlineLevel="0" collapsed="false">
      <c r="A5861" s="1" t="s">
        <v>1094</v>
      </c>
      <c r="B5861" s="0" t="s">
        <v>98</v>
      </c>
      <c r="C5861" s="6" t="n">
        <f aca="false">(w_ntm28*Sens!G5844+(1-w_ntm28)*Sens!H5844)*m_sw</f>
        <v>41.9844713060216</v>
      </c>
    </row>
    <row r="5862" customFormat="false" ht="17.15" hidden="false" customHeight="false" outlineLevel="0" collapsed="false">
      <c r="A5862" s="1" t="s">
        <v>1095</v>
      </c>
      <c r="B5862" s="0" t="s">
        <v>98</v>
      </c>
      <c r="C5862" s="6" t="n">
        <f aca="false">(w_ntm28*Sens!G5845+(1-w_ntm28)*Sens!H5845)*m_ads</f>
        <v>116.00380698421</v>
      </c>
    </row>
    <row r="5863" customFormat="false" ht="17.15" hidden="false" customHeight="false" outlineLevel="0" collapsed="false">
      <c r="A5863" s="1" t="s">
        <v>1096</v>
      </c>
      <c r="B5863" s="0" t="s">
        <v>98</v>
      </c>
      <c r="C5863" s="6" t="n">
        <f aca="false">(w_ntm28*Sens!G5850+(1-w_ntm28)*Sens!H5850)*m_game</f>
        <v>98.5106080159241</v>
      </c>
    </row>
    <row r="5864" customFormat="false" ht="17.15" hidden="false" customHeight="false" outlineLevel="0" collapsed="false">
      <c r="A5864" s="1" t="s">
        <v>1097</v>
      </c>
      <c r="B5864" s="0" t="s">
        <v>98</v>
      </c>
      <c r="C5864" s="6" t="n">
        <f aca="false">(w_ntm28*Sens!G5851+(1-w_ntm28)*Sens!H5851)*m_pc</f>
        <v>97.6656256989829</v>
      </c>
    </row>
    <row r="5865" customFormat="false" ht="17.15" hidden="false" customHeight="false" outlineLevel="0" collapsed="false">
      <c r="A5865" s="1" t="s">
        <v>1098</v>
      </c>
      <c r="B5865" s="0" t="s">
        <v>98</v>
      </c>
      <c r="C5865" s="6" t="n">
        <f aca="false">Sens!$C$5855+Sens!$C$5857+Sens!$C$5858+Sens!$C$5859+Sens!$C$5860+Sens!$C$5861+Sens!$C$5862+Sens!$C$5863+Sens!$C$5864</f>
        <v>2863.93139125861</v>
      </c>
    </row>
    <row r="5866" customFormat="false" ht="17.15" hidden="false" customHeight="false" outlineLevel="0" collapsed="false">
      <c r="A5866" s="1" t="s">
        <v>1099</v>
      </c>
      <c r="B5866" s="0" t="s">
        <v>98</v>
      </c>
      <c r="C5866" s="6" t="n">
        <f aca="false">(Sens!G5827-Sens!G5852)*t_stub</f>
        <v>46.6052668036423</v>
      </c>
      <c r="L5866" s="1" t="s">
        <v>1100</v>
      </c>
    </row>
    <row r="5867" customFormat="false" ht="17.15" hidden="false" customHeight="false" outlineLevel="0" collapsed="false">
      <c r="A5867" s="1" t="s">
        <v>1014</v>
      </c>
      <c r="B5867" s="0" t="s">
        <v>98</v>
      </c>
      <c r="C5867" s="6" t="n">
        <f aca="false">Sens!F5816+oai_v-Sens!F5805+Sens!$C$5866</f>
        <v>153.070816367239</v>
      </c>
      <c r="L5867" s="1" t="s">
        <v>1101</v>
      </c>
    </row>
    <row r="5868" customFormat="false" ht="17.15" hidden="false" customHeight="false" outlineLevel="0" collapsed="false">
      <c r="A5868" s="1" t="s">
        <v>1102</v>
      </c>
      <c r="B5868" s="0" t="s">
        <v>75</v>
      </c>
      <c r="C5868" s="5" t="n">
        <f aca="false">(Sens!$C$5865+Sens!$C$5867)/(Sens!F5818+dil_gap)-Sens!G5808*roll_div_q/q_per_yr</f>
        <v>401.442117879649</v>
      </c>
      <c r="L5868" s="1" t="s">
        <v>1103</v>
      </c>
    </row>
    <row r="5869" customFormat="false" ht="17.15" hidden="false" customHeight="false" outlineLevel="0" collapsed="false">
      <c r="A5869" s="1" t="s">
        <v>1104</v>
      </c>
      <c r="B5869" s="0" t="s">
        <v>75</v>
      </c>
      <c r="C5869" s="5" t="n">
        <f aca="false">w_dcf*Sens!$C$5839+(1-w_dcf)*Sens!$C$5868</f>
        <v>342.633931203787</v>
      </c>
    </row>
    <row r="5870" customFormat="false" ht="17.15" hidden="false" customHeight="false" outlineLevel="0" collapsed="false">
      <c r="A5870" s="3" t="s">
        <v>1412</v>
      </c>
    </row>
    <row r="5871" customFormat="false" ht="15" hidden="false" customHeight="false" outlineLevel="0" collapsed="false">
      <c r="A5871" s="4" t="s">
        <v>43</v>
      </c>
      <c r="B5871" s="4" t="s">
        <v>65</v>
      </c>
      <c r="C5871" s="20" t="s">
        <v>799</v>
      </c>
      <c r="D5871" s="20" t="s">
        <v>800</v>
      </c>
      <c r="E5871" s="20" t="s">
        <v>801</v>
      </c>
      <c r="F5871" s="20" t="s">
        <v>802</v>
      </c>
      <c r="G5871" s="20" t="s">
        <v>803</v>
      </c>
      <c r="H5871" s="20" t="s">
        <v>804</v>
      </c>
      <c r="I5871" s="20" t="s">
        <v>805</v>
      </c>
      <c r="J5871" s="20" t="s">
        <v>806</v>
      </c>
      <c r="K5871" s="20" t="s">
        <v>807</v>
      </c>
      <c r="L5871" s="4" t="s">
        <v>47</v>
      </c>
    </row>
    <row r="5872" customFormat="false" ht="17.15" hidden="false" customHeight="false" outlineLevel="0" collapsed="false">
      <c r="A5872" s="1" t="s">
        <v>808</v>
      </c>
      <c r="B5872" s="1" t="s">
        <v>235</v>
      </c>
      <c r="C5872" s="28" t="n">
        <v>2024</v>
      </c>
      <c r="D5872" s="28" t="n">
        <v>2025</v>
      </c>
      <c r="E5872" s="28" t="n">
        <v>2026</v>
      </c>
      <c r="F5872" s="28" t="n">
        <v>2027</v>
      </c>
      <c r="G5872" s="28" t="n">
        <v>2028</v>
      </c>
      <c r="H5872" s="28" t="n">
        <v>2029</v>
      </c>
      <c r="I5872" s="28" t="n">
        <v>2030</v>
      </c>
      <c r="J5872" s="28" t="n">
        <v>2031</v>
      </c>
      <c r="K5872" s="28" t="n">
        <v>2032</v>
      </c>
    </row>
    <row r="5873" customFormat="false" ht="17.15" hidden="false" customHeight="false" outlineLevel="0" collapsed="false">
      <c r="A5873" s="1" t="s">
        <v>809</v>
      </c>
      <c r="B5873" s="0" t="s">
        <v>399</v>
      </c>
      <c r="F5873" s="29" t="n">
        <f aca="false">pace</f>
        <v>2527.2</v>
      </c>
      <c r="G5873" s="29" t="n">
        <f aca="false">pace</f>
        <v>2527.2</v>
      </c>
      <c r="H5873" s="29" t="n">
        <f aca="false">pace</f>
        <v>2527.2</v>
      </c>
      <c r="I5873" s="29" t="n">
        <f aca="false">pace+(g_tv*Sens!H5874-pace)*MIN(1,(Sens!I5872-pace_y0)/(pace_y1-pace_y0))</f>
        <v>1793.116</v>
      </c>
      <c r="J5873" s="29" t="n">
        <f aca="false">pace+(g_tv*Sens!I5874-pace)*MIN(1,(Sens!J5872-pace_y0)/(pace_y1-pace_y0))</f>
        <v>1094.89432</v>
      </c>
      <c r="K5873" s="29" t="n">
        <f aca="false">pace+(g_tv*Sens!J5874-pace)*MIN(1,(Sens!K5872-pace_y0)/(pace_y1-pace_y0))</f>
        <v>411.5883096</v>
      </c>
      <c r="L5873" s="11" t="s">
        <v>810</v>
      </c>
    </row>
    <row r="5874" customFormat="false" ht="17.15" hidden="false" customHeight="false" outlineLevel="0" collapsed="false">
      <c r="A5874" s="1" t="s">
        <v>811</v>
      </c>
      <c r="B5874" s="0" t="s">
        <v>399</v>
      </c>
      <c r="C5874" s="29" t="n">
        <f aca="false">mw_ext_24</f>
        <v>640</v>
      </c>
      <c r="D5874" s="29" t="n">
        <f aca="false">mw_ext_25</f>
        <v>1630</v>
      </c>
      <c r="E5874" s="29" t="n">
        <f aca="false">mw_ext_26</f>
        <v>3250</v>
      </c>
      <c r="F5874" s="29" t="n">
        <f aca="false">Sens!E5874+Sens!F5873</f>
        <v>5777.2</v>
      </c>
      <c r="G5874" s="29" t="n">
        <f aca="false">Sens!F5874+Sens!G5873</f>
        <v>8304.4</v>
      </c>
      <c r="H5874" s="29" t="n">
        <f aca="false">Sens!G5874+Sens!H5873</f>
        <v>10831.6</v>
      </c>
      <c r="I5874" s="29" t="n">
        <f aca="false">Sens!H5874+Sens!I5873</f>
        <v>12624.716</v>
      </c>
      <c r="J5874" s="29" t="n">
        <f aca="false">Sens!I5874+Sens!J5873</f>
        <v>13719.61032</v>
      </c>
      <c r="K5874" s="29" t="n">
        <f aca="false">Sens!J5874+Sens!K5873</f>
        <v>14131.1986296</v>
      </c>
      <c r="L5874" s="1" t="s">
        <v>812</v>
      </c>
    </row>
    <row r="5875" customFormat="false" ht="17.15" hidden="false" customHeight="false" outlineLevel="0" collapsed="false">
      <c r="A5875" s="1" t="s">
        <v>813</v>
      </c>
      <c r="B5875" s="0" t="s">
        <v>399</v>
      </c>
      <c r="C5875" s="29" t="n">
        <f aca="false">rent_ext_24</f>
        <v>150</v>
      </c>
      <c r="D5875" s="29" t="n">
        <f aca="false">rent_ext_25</f>
        <v>400</v>
      </c>
      <c r="E5875" s="29" t="n">
        <f aca="false">rent_ext_26</f>
        <v>550</v>
      </c>
      <c r="F5875" s="29" t="n">
        <f aca="false">rent_ext_f</f>
        <v>756</v>
      </c>
      <c r="G5875" s="29" t="n">
        <f aca="false">rent_ext_f</f>
        <v>756</v>
      </c>
      <c r="H5875" s="29" t="n">
        <f aca="false">rent_ext_f</f>
        <v>756</v>
      </c>
      <c r="I5875" s="29" t="n">
        <f aca="false">rent_ext_f</f>
        <v>756</v>
      </c>
      <c r="J5875" s="29" t="n">
        <f aca="false">rent_ext_f</f>
        <v>756</v>
      </c>
      <c r="K5875" s="29" t="n">
        <f aca="false">rent_ext_f</f>
        <v>756</v>
      </c>
      <c r="L5875" s="1" t="s">
        <v>814</v>
      </c>
    </row>
    <row r="5876" customFormat="false" ht="17.15" hidden="false" customHeight="false" outlineLevel="0" collapsed="false">
      <c r="A5876" s="1" t="s">
        <v>815</v>
      </c>
      <c r="B5876" s="0" t="s">
        <v>399</v>
      </c>
      <c r="C5876" s="29" t="n">
        <f aca="false">Sens!C5874-Sens!C5875</f>
        <v>490</v>
      </c>
      <c r="D5876" s="29" t="n">
        <f aca="false">Sens!D5874-Sens!D5875</f>
        <v>1230</v>
      </c>
      <c r="E5876" s="29" t="n">
        <f aca="false">Sens!E5874-Sens!E5875</f>
        <v>2700</v>
      </c>
      <c r="F5876" s="29" t="n">
        <f aca="false">Sens!F5874-Sens!F5875</f>
        <v>5021.2</v>
      </c>
      <c r="G5876" s="29" t="n">
        <f aca="false">Sens!G5874-Sens!G5875</f>
        <v>7548.4</v>
      </c>
      <c r="H5876" s="29" t="n">
        <f aca="false">Sens!H5874-Sens!H5875</f>
        <v>10075.6</v>
      </c>
      <c r="I5876" s="29" t="n">
        <f aca="false">Sens!I5874-Sens!I5875</f>
        <v>11868.716</v>
      </c>
      <c r="J5876" s="29" t="n">
        <f aca="false">Sens!J5874-Sens!J5875</f>
        <v>12963.61032</v>
      </c>
      <c r="K5876" s="29" t="n">
        <f aca="false">Sens!K5874-Sens!K5875</f>
        <v>13375.1986296</v>
      </c>
    </row>
    <row r="5877" customFormat="false" ht="17.15" hidden="false" customHeight="false" outlineLevel="0" collapsed="false">
      <c r="A5877" s="1" t="s">
        <v>816</v>
      </c>
      <c r="B5877" s="0" t="s">
        <v>399</v>
      </c>
      <c r="C5877" s="29" t="n">
        <f aca="false">Sens!C5876/ext_sh</f>
        <v>816.666666666667</v>
      </c>
      <c r="D5877" s="29" t="n">
        <f aca="false">Sens!D5876/ext_sh</f>
        <v>2050</v>
      </c>
      <c r="E5877" s="29" t="n">
        <f aca="false">Sens!E5876/ext_sh</f>
        <v>4500</v>
      </c>
      <c r="F5877" s="29" t="n">
        <f aca="false">Sens!F5876/ext_sh</f>
        <v>8368.66666666667</v>
      </c>
      <c r="G5877" s="29" t="n">
        <f aca="false">Sens!G5876/ext_sh</f>
        <v>12580.6666666667</v>
      </c>
      <c r="H5877" s="29" t="n">
        <f aca="false">Sens!H5876/ext_sh</f>
        <v>16792.6666666667</v>
      </c>
      <c r="I5877" s="29" t="n">
        <f aca="false">Sens!I5876/ext_sh</f>
        <v>19781.1933333333</v>
      </c>
      <c r="J5877" s="29" t="n">
        <f aca="false">Sens!J5876/ext_sh</f>
        <v>21606.0172</v>
      </c>
      <c r="K5877" s="29" t="n">
        <f aca="false">Sens!K5876/ext_sh</f>
        <v>22291.997716</v>
      </c>
      <c r="L5877" s="1" t="s">
        <v>817</v>
      </c>
    </row>
    <row r="5878" customFormat="false" ht="17.15" hidden="false" customHeight="false" outlineLevel="0" collapsed="false">
      <c r="A5878" s="1" t="s">
        <v>818</v>
      </c>
      <c r="B5878" s="0" t="s">
        <v>399</v>
      </c>
      <c r="C5878" s="29" t="n">
        <f aca="false">Sens!C5877-Sens!C5876</f>
        <v>326.666666666667</v>
      </c>
      <c r="D5878" s="29" t="n">
        <f aca="false">Sens!D5877-Sens!D5876</f>
        <v>820</v>
      </c>
      <c r="E5878" s="29" t="n">
        <f aca="false">Sens!E5877-Sens!E5876</f>
        <v>1800</v>
      </c>
      <c r="F5878" s="29" t="n">
        <f aca="false">Sens!F5877-Sens!F5876</f>
        <v>3347.46666666667</v>
      </c>
      <c r="G5878" s="29" t="n">
        <f aca="false">Sens!G5877-Sens!G5876</f>
        <v>5032.26666666667</v>
      </c>
      <c r="H5878" s="29" t="n">
        <f aca="false">Sens!H5877-Sens!H5876</f>
        <v>6717.06666666667</v>
      </c>
      <c r="I5878" s="29" t="n">
        <f aca="false">Sens!I5877-Sens!I5876</f>
        <v>7912.47733333333</v>
      </c>
      <c r="J5878" s="29" t="n">
        <f aca="false">Sens!J5877-Sens!J5876</f>
        <v>8642.40688</v>
      </c>
      <c r="K5878" s="29" t="n">
        <f aca="false">Sens!K5877-Sens!K5876</f>
        <v>8916.7990864</v>
      </c>
    </row>
    <row r="5879" customFormat="false" ht="17.15" hidden="false" customHeight="false" outlineLevel="0" collapsed="false">
      <c r="A5879" s="1" t="s">
        <v>819</v>
      </c>
      <c r="B5879" s="0" t="s">
        <v>399</v>
      </c>
      <c r="C5879" s="29" t="n">
        <f aca="false">Sens!C5877</f>
        <v>816.666666666667</v>
      </c>
      <c r="D5879" s="29" t="n">
        <f aca="false">Sens!D5877-Sens!C5877</f>
        <v>1233.33333333333</v>
      </c>
      <c r="E5879" s="29" t="n">
        <f aca="false">Sens!E5877-Sens!D5877</f>
        <v>2450</v>
      </c>
      <c r="F5879" s="29" t="n">
        <f aca="false">Sens!F5877-Sens!E5877</f>
        <v>3868.66666666667</v>
      </c>
      <c r="G5879" s="29" t="n">
        <f aca="false">Sens!G5877-Sens!F5877</f>
        <v>4212</v>
      </c>
      <c r="H5879" s="29" t="n">
        <f aca="false">Sens!H5877-Sens!G5877</f>
        <v>4212</v>
      </c>
      <c r="I5879" s="29" t="n">
        <f aca="false">Sens!I5877-Sens!H5877</f>
        <v>2988.52666666667</v>
      </c>
      <c r="J5879" s="29" t="n">
        <f aca="false">Sens!J5877-Sens!I5877</f>
        <v>1824.82386666667</v>
      </c>
      <c r="K5879" s="29" t="n">
        <f aca="false">Sens!K5877-Sens!J5877</f>
        <v>685.980516</v>
      </c>
    </row>
    <row r="5880" customFormat="false" ht="17.15" hidden="false" customHeight="false" outlineLevel="0" collapsed="false">
      <c r="A5880" s="1" t="s">
        <v>820</v>
      </c>
      <c r="B5880" s="0" t="s">
        <v>399</v>
      </c>
      <c r="D5880" s="29" t="n">
        <f aca="false">Sens!D5874-Sens!C5874</f>
        <v>990</v>
      </c>
      <c r="E5880" s="29" t="n">
        <f aca="false">Sens!E5874-Sens!D5874</f>
        <v>1620</v>
      </c>
      <c r="F5880" s="29" t="n">
        <f aca="false">Sens!F5874-Sens!E5874</f>
        <v>2527.2</v>
      </c>
      <c r="G5880" s="29" t="n">
        <f aca="false">Sens!G5874-Sens!F5874</f>
        <v>2527.2</v>
      </c>
      <c r="H5880" s="29" t="n">
        <f aca="false">Sens!H5874-Sens!G5874</f>
        <v>2527.2</v>
      </c>
      <c r="I5880" s="29" t="n">
        <f aca="false">Sens!I5874-Sens!H5874</f>
        <v>1793.116</v>
      </c>
      <c r="J5880" s="29" t="n">
        <f aca="false">Sens!J5874-Sens!I5874</f>
        <v>1094.89432</v>
      </c>
      <c r="K5880" s="29" t="n">
        <f aca="false">Sens!K5874-Sens!J5874</f>
        <v>411.5883096</v>
      </c>
    </row>
    <row r="5881" customFormat="false" ht="17.15" hidden="false" customHeight="false" outlineLevel="0" collapsed="false">
      <c r="A5881" s="1" t="s">
        <v>821</v>
      </c>
      <c r="B5881" s="0" t="s">
        <v>399</v>
      </c>
      <c r="F5881" s="29" t="n">
        <f aca="false">Sens!F5898*ext_sh</f>
        <v>0</v>
      </c>
      <c r="G5881" s="29" t="n">
        <f aca="false">Sens!G5898*ext_sh</f>
        <v>0</v>
      </c>
      <c r="H5881" s="29" t="n">
        <f aca="false">Sens!H5898*ext_sh</f>
        <v>0</v>
      </c>
      <c r="I5881" s="29" t="n">
        <f aca="false">Sens!I5898*ext_sh</f>
        <v>490</v>
      </c>
      <c r="J5881" s="29" t="n">
        <f aca="false">Sens!J5898*ext_sh</f>
        <v>740</v>
      </c>
      <c r="K5881" s="29" t="n">
        <f aca="false">Sens!K5898*ext_sh</f>
        <v>1470</v>
      </c>
      <c r="L5881" s="1" t="s">
        <v>822</v>
      </c>
    </row>
    <row r="5882" customFormat="false" ht="17.15" hidden="false" customHeight="false" outlineLevel="0" collapsed="false">
      <c r="A5882" s="1" t="s">
        <v>823</v>
      </c>
      <c r="B5882" s="0" t="s">
        <v>399</v>
      </c>
      <c r="C5882" s="29" t="n">
        <f aca="false">mix_h*Sens!C5874</f>
        <v>128</v>
      </c>
      <c r="D5882" s="29" t="n">
        <f aca="false">mix_h*Sens!D5874</f>
        <v>326</v>
      </c>
      <c r="E5882" s="29" t="n">
        <f aca="false">mix_h*Sens!E5874</f>
        <v>650</v>
      </c>
      <c r="F5882" s="29" t="n">
        <f aca="false">Sens!E5882-Sens!F5881*mix_h</f>
        <v>650</v>
      </c>
      <c r="G5882" s="29" t="n">
        <f aca="false">Sens!F5882-Sens!G5881*mix_h</f>
        <v>650</v>
      </c>
      <c r="H5882" s="29" t="n">
        <f aca="false">Sens!G5882-Sens!H5881*mix_h</f>
        <v>650</v>
      </c>
      <c r="I5882" s="29" t="n">
        <f aca="false">Sens!H5882-Sens!I5881*mix_h</f>
        <v>552</v>
      </c>
      <c r="J5882" s="29" t="n">
        <f aca="false">Sens!I5882-Sens!J5881*mix_h</f>
        <v>404</v>
      </c>
      <c r="K5882" s="29" t="n">
        <f aca="false">Sens!J5882-Sens!K5881*mix_h</f>
        <v>110</v>
      </c>
    </row>
    <row r="5883" customFormat="false" ht="17.15" hidden="false" customHeight="false" outlineLevel="0" collapsed="false">
      <c r="A5883" s="1" t="s">
        <v>824</v>
      </c>
      <c r="B5883" s="0" t="s">
        <v>399</v>
      </c>
      <c r="C5883" s="29" t="n">
        <f aca="false">mix_g2*Sens!C5874</f>
        <v>288</v>
      </c>
      <c r="D5883" s="29" t="n">
        <f aca="false">mix_g2*Sens!D5874</f>
        <v>733.5</v>
      </c>
      <c r="E5883" s="29" t="n">
        <f aca="false">mix_g2*Sens!E5874</f>
        <v>1462.5</v>
      </c>
      <c r="F5883" s="29" t="n">
        <f aca="false">Sens!E5883-Sens!F5881*mix_g2</f>
        <v>1462.5</v>
      </c>
      <c r="G5883" s="29" t="n">
        <f aca="false">Sens!F5883-Sens!G5881*mix_g2</f>
        <v>1462.5</v>
      </c>
      <c r="H5883" s="29" t="n">
        <f aca="false">Sens!G5883-Sens!H5881*mix_g2</f>
        <v>1462.5</v>
      </c>
      <c r="I5883" s="29" t="n">
        <f aca="false">Sens!H5883-Sens!I5881*mix_g2</f>
        <v>1242</v>
      </c>
      <c r="J5883" s="29" t="n">
        <f aca="false">Sens!I5883-Sens!J5881*mix_g2</f>
        <v>909</v>
      </c>
      <c r="K5883" s="29" t="n">
        <f aca="false">Sens!J5883-Sens!K5881*mix_g2</f>
        <v>247.5</v>
      </c>
    </row>
    <row r="5884" customFormat="false" ht="17.15" hidden="false" customHeight="false" outlineLevel="0" collapsed="false">
      <c r="A5884" s="1" t="s">
        <v>825</v>
      </c>
      <c r="B5884" s="0" t="s">
        <v>399</v>
      </c>
      <c r="C5884" s="29" t="n">
        <f aca="false">mix_g3*Sens!C5874</f>
        <v>224</v>
      </c>
      <c r="D5884" s="29" t="n">
        <f aca="false">mix_g3*Sens!D5874</f>
        <v>570.5</v>
      </c>
      <c r="E5884" s="29" t="n">
        <f aca="false">mix_g3*Sens!E5874</f>
        <v>1137.5</v>
      </c>
      <c r="F5884" s="29" t="n">
        <f aca="false">Sens!E5884+(Sens!F5880+Sens!F5881)*a_g3_27-Sens!F5881*mix_g3</f>
        <v>2906.54</v>
      </c>
      <c r="G5884" s="29" t="n">
        <f aca="false">Sens!F5884+(Sens!G5880+Sens!G5881)*a_g3_28-Sens!G5881*mix_g3</f>
        <v>3664.7</v>
      </c>
      <c r="H5884" s="29" t="n">
        <f aca="false">Sens!G5884+(Sens!H5880+Sens!H5881)*a_g3_29-Sens!H5881*mix_g3</f>
        <v>3917.42</v>
      </c>
      <c r="I5884" s="29" t="n">
        <f aca="false">Sens!H5884+(Sens!I5880+Sens!I5881)*a_g3_29-Sens!I5881*mix_g3</f>
        <v>3974.2316</v>
      </c>
      <c r="J5884" s="29" t="n">
        <f aca="false">Sens!I5884+(Sens!J5880+Sens!J5881)*a_g3_29-Sens!J5881*mix_g3</f>
        <v>3898.721032</v>
      </c>
      <c r="K5884" s="29" t="n">
        <f aca="false">Sens!J5884+(Sens!K5880+Sens!K5881)*a_g3_29-Sens!K5881*mix_g3</f>
        <v>3572.37986296</v>
      </c>
    </row>
    <row r="5885" customFormat="false" ht="17.15" hidden="false" customHeight="false" outlineLevel="0" collapsed="false">
      <c r="A5885" s="1" t="s">
        <v>826</v>
      </c>
      <c r="B5885" s="0" t="s">
        <v>399</v>
      </c>
      <c r="C5885" s="29" t="n">
        <v>0</v>
      </c>
      <c r="D5885" s="29" t="n">
        <v>0</v>
      </c>
      <c r="E5885" s="29" t="n">
        <v>0</v>
      </c>
      <c r="F5885" s="29" t="n">
        <f aca="false">Sens!E5885+(Sens!F5880+Sens!F5881)*(1-a_g3_27)</f>
        <v>758.16</v>
      </c>
      <c r="G5885" s="29" t="n">
        <f aca="false">Sens!F5885+(Sens!G5880+Sens!G5881)*(1-a_g3_28)</f>
        <v>2527.2</v>
      </c>
      <c r="H5885" s="29" t="n">
        <f aca="false">Sens!G5885+(Sens!H5880+Sens!H5881)*(1-a_g3_29)</f>
        <v>4801.68</v>
      </c>
      <c r="I5885" s="29" t="n">
        <f aca="false">Sens!H5885+(Sens!I5880+Sens!I5881)*(1-a_g3_29)</f>
        <v>6856.4844</v>
      </c>
      <c r="J5885" s="29" t="n">
        <f aca="false">Sens!I5885+(Sens!J5880+Sens!J5881)*(1-a_g3_29)</f>
        <v>8507.889288</v>
      </c>
      <c r="K5885" s="29" t="n">
        <f aca="false">Sens!J5885+(Sens!K5880+Sens!K5881)*(1-a_g3_29)</f>
        <v>10201.31876664</v>
      </c>
    </row>
    <row r="5886" customFormat="false" ht="17.15" hidden="false" customHeight="false" outlineLevel="0" collapsed="false">
      <c r="A5886" s="1" t="s">
        <v>827</v>
      </c>
      <c r="B5886" s="0" t="s">
        <v>346</v>
      </c>
      <c r="C5886" s="14" t="n">
        <f aca="false">(Sens!C5882*tk_hold_h100+Sens!C5883*tk_hold_gb200+Sens!C5884*tk_hold_gb300+Sens!C5885*tk_hold_vr200)/Sens!C5874</f>
        <v>9.7235358126469</v>
      </c>
      <c r="D5886" s="14" t="n">
        <f aca="false">(Sens!D5882*tk_hold_h100+Sens!D5883*tk_hold_gb200+Sens!D5884*tk_hold_gb300+Sens!D5885*tk_hold_vr200)/Sens!D5874</f>
        <v>9.7235358126469</v>
      </c>
      <c r="E5886" s="14" t="n">
        <f aca="false">(Sens!E5882*tk_hold_h100+Sens!E5883*tk_hold_gb200+Sens!E5884*tk_hold_gb300+Sens!E5885*tk_hold_vr200)/Sens!E5874</f>
        <v>9.7235358126469</v>
      </c>
      <c r="F5886" s="14" t="n">
        <f aca="false">(Sens!F5882*tk_hold_h100+Sens!F5883*tk_hold_gb200+Sens!F5884*tk_hold_gb300+Sens!F5885*tk_hold_vr200)/Sens!F5874</f>
        <v>10.4079573161931</v>
      </c>
      <c r="G5886" s="14" t="n">
        <f aca="false">(Sens!G5882*tk_hold_h100+Sens!G5883*tk_hold_gb200+Sens!G5884*tk_hold_gb300+Sens!G5885*tk_hold_vr200)/Sens!G5874</f>
        <v>10.8388131109316</v>
      </c>
      <c r="H5886" s="14" t="n">
        <f aca="false">(Sens!H5882*tk_hold_h100+Sens!H5883*tk_hold_gb200+Sens!H5884*tk_hold_gb300+Sens!H5885*tk_hold_vr200)/Sens!H5874</f>
        <v>11.1311018388216</v>
      </c>
      <c r="I5886" s="14" t="n">
        <f aca="false">(Sens!I5882*tk_hold_h100+Sens!I5883*tk_hold_gb200+Sens!I5884*tk_hold_gb300+Sens!I5885*tk_hold_vr200)/Sens!I5874</f>
        <v>11.3594282560989</v>
      </c>
      <c r="J5886" s="14" t="n">
        <f aca="false">(Sens!J5882*tk_hold_h100+Sens!J5883*tk_hold_gb200+Sens!J5884*tk_hold_gb300+Sens!J5885*tk_hold_vr200)/Sens!J5874</f>
        <v>11.5455817917599</v>
      </c>
      <c r="K5886" s="14" t="n">
        <f aca="false">(Sens!K5882*tk_hold_h100+Sens!K5883*tk_hold_gb200+Sens!K5884*tk_hold_gb300+Sens!K5885*tk_hold_vr200)/Sens!K5874</f>
        <v>11.8078187977246</v>
      </c>
    </row>
    <row r="5887" customFormat="false" ht="17.15" hidden="false" customHeight="false" outlineLevel="0" collapsed="false">
      <c r="A5887" s="0" t="s">
        <v>828</v>
      </c>
      <c r="B5887" s="0" t="s">
        <v>185</v>
      </c>
      <c r="C5887" s="14" t="n">
        <f aca="false">k_B</f>
        <v>1.17213932619116</v>
      </c>
      <c r="D5887" s="14" t="n">
        <f aca="false">k_B</f>
        <v>1.17213932619116</v>
      </c>
      <c r="E5887" s="14" t="n">
        <f aca="false">k_B</f>
        <v>1.17213932619116</v>
      </c>
      <c r="F5887" s="14" t="n">
        <f aca="false">(k_B+((ls_A*k_long+(1-ls_A)*k_spot)-k_B)*MIN(1,(Sens!F5872-base_fy)/k_ramp))</f>
        <v>1.25022828131298</v>
      </c>
      <c r="G5887" s="14" t="n">
        <f aca="false">(k_B+((ls_A*k_long+(1-ls_A)*k_spot)-k_B)*MIN(1,(Sens!G5872-base_fy)/k_ramp))</f>
        <v>1.3283172364348</v>
      </c>
      <c r="H5887" s="14" t="n">
        <f aca="false">(k_B+((ls_A*k_long+(1-ls_A)*k_spot)-k_B)*MIN(1,(Sens!H5872-base_fy)/k_ramp))</f>
        <v>1.40640619155662</v>
      </c>
      <c r="I5887" s="14" t="n">
        <f aca="false">(k_B+((ls_A*k_long+(1-ls_A)*k_spot)-k_B)*MIN(1,(Sens!I5872-base_fy)/k_ramp))</f>
        <v>1.40640619155662</v>
      </c>
      <c r="J5887" s="14" t="n">
        <f aca="false">(k_B+((ls_A*k_long+(1-ls_A)*k_spot)-k_B)*MIN(1,(Sens!J5872-base_fy)/k_ramp))</f>
        <v>1.40640619155662</v>
      </c>
      <c r="K5887" s="14" t="n">
        <f aca="false">(k_B+((ls_A*k_long+(1-ls_A)*k_spot)-k_B)*MIN(1,(Sens!K5872-base_fy)/k_ramp))</f>
        <v>1.40640619155662</v>
      </c>
      <c r="L5887" s="1" t="s">
        <v>829</v>
      </c>
    </row>
    <row r="5888" customFormat="false" ht="17.15" hidden="false" customHeight="false" outlineLevel="0" collapsed="false">
      <c r="A5888" s="1" t="s">
        <v>830</v>
      </c>
      <c r="B5888" s="0" t="s">
        <v>346</v>
      </c>
      <c r="C5888" s="14" t="n">
        <f aca="false">Sens!C5886*Sens!C5887*chip_f</f>
        <v>11.3973387156315</v>
      </c>
      <c r="D5888" s="14" t="n">
        <f aca="false">Sens!D5886*Sens!D5887*chip_f</f>
        <v>11.3973387156315</v>
      </c>
      <c r="E5888" s="14" t="n">
        <f aca="false">Sens!E5886*Sens!E5887*chip_f</f>
        <v>11.3973387156315</v>
      </c>
      <c r="F5888" s="14" t="n">
        <f aca="false">Sens!F5886*Sens!F5887*chip_f</f>
        <v>13.0123225874029</v>
      </c>
      <c r="G5888" s="14" t="n">
        <f aca="false">Sens!G5886*Sens!G5887*chip_f</f>
        <v>14.3973822777458</v>
      </c>
      <c r="H5888" s="14" t="n">
        <f aca="false">Sens!H5886*Sens!H5887*chip_f</f>
        <v>15.6548505449659</v>
      </c>
      <c r="I5888" s="14" t="n">
        <f aca="false">Sens!I5886*Sens!I5887*chip_f</f>
        <v>15.9759702319207</v>
      </c>
      <c r="J5888" s="14" t="n">
        <f aca="false">Sens!J5886*Sens!J5887*chip_f</f>
        <v>16.2377777170545</v>
      </c>
      <c r="K5888" s="14" t="n">
        <f aca="false">Sens!K5886*Sens!K5887*chip_f</f>
        <v>16.6065894658985</v>
      </c>
      <c r="L5888" s="1" t="s">
        <v>831</v>
      </c>
    </row>
    <row r="5889" customFormat="false" ht="17.15" hidden="false" customHeight="false" outlineLevel="0" collapsed="false">
      <c r="A5889" s="0" t="s">
        <v>832</v>
      </c>
      <c r="B5889" s="0" t="s">
        <v>98</v>
      </c>
      <c r="D5889" s="6" t="n">
        <f aca="false">(Sens!C5874+Sens!D5874)/2*Sens!D5888/1000</f>
        <v>12.9359794422418</v>
      </c>
      <c r="E5889" s="6" t="n">
        <f aca="false">(Sens!D5874+Sens!E5874)/2*Sens!E5888/1000</f>
        <v>27.8095064661409</v>
      </c>
      <c r="F5889" s="6" t="n">
        <f aca="false">(Sens!E5874+Sens!F5874)/2*Sens!F5888/1000</f>
        <v>58.7324192305018</v>
      </c>
      <c r="G5889" s="6" t="n">
        <f aca="false">(Sens!F5874+Sens!G5874)/2*Sens!G5888/1000</f>
        <v>101.369089141153</v>
      </c>
      <c r="H5889" s="6" t="n">
        <f aca="false">(Sens!G5874+Sens!H5874)/2*Sens!H5888/1000</f>
        <v>149.785610014234</v>
      </c>
      <c r="I5889" s="6" t="n">
        <f aca="false">(Sens!H5874+Sens!I5874)/2*Sens!I5888/1000</f>
        <v>187.368703083263</v>
      </c>
      <c r="J5889" s="6" t="n">
        <f aca="false">(Sens!I5874+Sens!J5874)/2*Sens!J5888/1000</f>
        <v>213.886657444854</v>
      </c>
      <c r="K5889" s="6" t="n">
        <f aca="false">(Sens!J5874+Sens!K5874)/2*Sens!K5888/1000</f>
        <v>231.253475259589</v>
      </c>
      <c r="L5889" s="11" t="s">
        <v>833</v>
      </c>
    </row>
    <row r="5890" customFormat="false" ht="17.15" hidden="false" customHeight="false" outlineLevel="0" collapsed="false">
      <c r="A5890" s="1" t="s">
        <v>834</v>
      </c>
      <c r="B5890" s="0" t="s">
        <v>346</v>
      </c>
      <c r="C5890" s="14" t="n">
        <f aca="false">(Sens!C5882*tk_opex_h100+Sens!C5883*tk_opex_gb200+Sens!C5884*tk_opex_gb300+Sens!C5885*tk_opex_vr200)/Sens!C5874</f>
        <v>1.88636041306092</v>
      </c>
      <c r="D5890" s="14" t="n">
        <f aca="false">(Sens!D5882*tk_opex_h100+Sens!D5883*tk_opex_gb200+Sens!D5884*tk_opex_gb300+Sens!D5885*tk_opex_vr200)/Sens!D5874</f>
        <v>1.88636041306092</v>
      </c>
      <c r="E5890" s="14" t="n">
        <f aca="false">(Sens!E5882*tk_opex_h100+Sens!E5883*tk_opex_gb200+Sens!E5884*tk_opex_gb300+Sens!E5885*tk_opex_vr200)/Sens!E5874</f>
        <v>1.88636041306092</v>
      </c>
      <c r="F5890" s="14" t="n">
        <f aca="false">(Sens!F5882*tk_opex_h100+Sens!F5883*tk_opex_gb200+Sens!F5884*tk_opex_gb300+Sens!F5885*tk_opex_vr200)/Sens!F5874</f>
        <v>1.9430236476499</v>
      </c>
      <c r="G5890" s="14" t="n">
        <f aca="false">(Sens!G5882*tk_opex_h100+Sens!G5883*tk_opex_gb200+Sens!G5884*tk_opex_gb300+Sens!G5885*tk_opex_vr200)/Sens!G5874</f>
        <v>1.9786941852423</v>
      </c>
      <c r="H5890" s="14" t="n">
        <f aca="false">(Sens!H5882*tk_opex_h100+Sens!H5883*tk_opex_gb200+Sens!H5884*tk_opex_gb300+Sens!H5885*tk_opex_vr200)/Sens!H5874</f>
        <v>2.00289275976156</v>
      </c>
      <c r="I5890" s="14" t="n">
        <f aca="false">(Sens!I5882*tk_opex_h100+Sens!I5883*tk_opex_gb200+Sens!I5884*tk_opex_gb300+Sens!I5885*tk_opex_vr200)/Sens!I5874</f>
        <v>2.02179589661219</v>
      </c>
      <c r="J5890" s="14" t="n">
        <f aca="false">(Sens!J5882*tk_opex_h100+Sens!J5883*tk_opex_gb200+Sens!J5884*tk_opex_gb300+Sens!J5885*tk_opex_vr200)/Sens!J5874</f>
        <v>2.03720754193029</v>
      </c>
      <c r="K5890" s="14" t="n">
        <f aca="false">(Sens!K5882*tk_opex_h100+Sens!K5883*tk_opex_gb200+Sens!K5884*tk_opex_gb300+Sens!K5885*tk_opex_vr200)/Sens!K5874</f>
        <v>2.0589181353437</v>
      </c>
    </row>
    <row r="5891" customFormat="false" ht="17.15" hidden="false" customHeight="false" outlineLevel="0" collapsed="false">
      <c r="A5891" s="0" t="s">
        <v>835</v>
      </c>
      <c r="B5891" s="0" t="s">
        <v>98</v>
      </c>
      <c r="D5891" s="6" t="n">
        <f aca="false">(Sens!C5877+Sens!D5877)/2*Sens!D5890/1000</f>
        <v>2.70378325872065</v>
      </c>
      <c r="E5891" s="6" t="n">
        <f aca="false">(Sens!D5877+Sens!E5877)/2*Sens!E5890/1000</f>
        <v>6.17783035277451</v>
      </c>
      <c r="F5891" s="6" t="n">
        <f aca="false">(Sens!E5877+Sens!F5877)/2*Sens!F5890/1000</f>
        <v>12.5020618235287</v>
      </c>
      <c r="G5891" s="6" t="n">
        <f aca="false">(Sens!F5877+Sens!G5877)/2*Sens!G5890/1000</f>
        <v>20.7261620256847</v>
      </c>
      <c r="H5891" s="6" t="n">
        <f aca="false">(Sens!G5877+Sens!H5877)/2*Sens!H5890/1000</f>
        <v>29.4158183316982</v>
      </c>
      <c r="I5891" s="6" t="n">
        <f aca="false">(Sens!H5877+Sens!I5877)/2*Sens!I5890/1000</f>
        <v>36.9724400356344</v>
      </c>
      <c r="J5891" s="6" t="n">
        <f aca="false">(Sens!I5877+Sens!J5877)/2*Sens!J5890/1000</f>
        <v>42.1571687189816</v>
      </c>
      <c r="K5891" s="6" t="n">
        <f aca="false">(Sens!J5877+Sens!K5877)/2*Sens!K5890/1000</f>
        <v>45.1912095080704</v>
      </c>
    </row>
    <row r="5892" customFormat="false" ht="17.15" hidden="false" customHeight="false" outlineLevel="0" collapsed="false">
      <c r="A5892" s="0" t="s">
        <v>836</v>
      </c>
      <c r="B5892" s="0" t="s">
        <v>98</v>
      </c>
      <c r="D5892" s="6" t="n">
        <f aca="false">(Sens!C5875+Sens!D5875)/2*rent_mw/1000</f>
        <v>2.44475</v>
      </c>
      <c r="E5892" s="6" t="n">
        <f aca="false">(Sens!D5875+Sens!E5875)/2*rent_mw/1000</f>
        <v>4.22275</v>
      </c>
      <c r="F5892" s="6" t="n">
        <f aca="false">(Sens!E5875+Sens!F5875)/2*rent_mw/1000</f>
        <v>5.80517</v>
      </c>
      <c r="G5892" s="6" t="n">
        <f aca="false">(Sens!F5875+Sens!G5875)/2*rent_mw/1000</f>
        <v>6.72084</v>
      </c>
      <c r="H5892" s="6" t="n">
        <f aca="false">(Sens!G5875+Sens!H5875)/2*rent_mw/1000</f>
        <v>6.72084</v>
      </c>
      <c r="I5892" s="6" t="n">
        <f aca="false">(Sens!H5875+Sens!I5875)/2*rent_mw/1000</f>
        <v>6.72084</v>
      </c>
      <c r="J5892" s="6" t="n">
        <f aca="false">(Sens!I5875+Sens!J5875)/2*rent_mw/1000</f>
        <v>6.72084</v>
      </c>
      <c r="K5892" s="6" t="n">
        <f aca="false">(Sens!J5875+Sens!K5875)/2*rent_mw/1000</f>
        <v>6.72084</v>
      </c>
    </row>
    <row r="5893" customFormat="false" ht="17.15" hidden="false" customHeight="false" outlineLevel="0" collapsed="false">
      <c r="A5893" s="0" t="s">
        <v>837</v>
      </c>
      <c r="B5893" s="0" t="s">
        <v>98</v>
      </c>
      <c r="D5893" s="6" t="n">
        <f aca="false">(Sens!C5877+Sens!D5877)/2*(1-self_build)*fac_rent/1000</f>
        <v>0.853242375631075</v>
      </c>
      <c r="E5893" s="6" t="n">
        <f aca="false">(Sens!D5877+Sens!E5877)/2*(1-self_build)*fac_rent/1000</f>
        <v>1.94955961408728</v>
      </c>
      <c r="F5893" s="6" t="n">
        <f aca="false">(Sens!E5877+Sens!F5877)/2*(1-self_build)*fac_rent/1000</f>
        <v>3.83026455274573</v>
      </c>
      <c r="G5893" s="6" t="n">
        <f aca="false">(Sens!F5877+Sens!G5877)/2*(1-self_build)*fac_rent/1000</f>
        <v>6.23541590972812</v>
      </c>
      <c r="H5893" s="6" t="n">
        <f aca="false">(Sens!G5877+Sens!H5877)/2*(1-self_build)*fac_rent/1000</f>
        <v>8.74275792332679</v>
      </c>
      <c r="I5893" s="6" t="n">
        <f aca="false">(Sens!H5877+Sens!I5877)/2*(1-self_build)*fac_rent/1000</f>
        <v>10.8859420438599</v>
      </c>
      <c r="J5893" s="6" t="n">
        <f aca="false">(Sens!I5877+Sens!J5877)/2*(1-self_build)*fac_rent/1000</f>
        <v>12.3186006405366</v>
      </c>
      <c r="K5893" s="6" t="n">
        <f aca="false">(Sens!J5877+Sens!K5877)/2*(1-self_build)*fac_rent/1000</f>
        <v>13.0659232089824</v>
      </c>
      <c r="L5893" s="11" t="s">
        <v>838</v>
      </c>
    </row>
    <row r="5894" customFormat="false" ht="17.15" hidden="false" customHeight="false" outlineLevel="0" collapsed="false">
      <c r="A5894" s="1" t="s">
        <v>839</v>
      </c>
      <c r="B5894" s="0" t="s">
        <v>129</v>
      </c>
      <c r="D5894" s="7" t="n">
        <f aca="false">(Sens!C5876+Sens!D5876)/(Sens!C5877+Sens!D5877)</f>
        <v>0.6</v>
      </c>
      <c r="E5894" s="7" t="n">
        <f aca="false">(Sens!D5876+Sens!E5876)/(Sens!D5877+Sens!E5877)</f>
        <v>0.6</v>
      </c>
      <c r="F5894" s="7" t="n">
        <f aca="false">(Sens!E5876+Sens!F5876)/(Sens!E5877+Sens!F5877)</f>
        <v>0.6</v>
      </c>
      <c r="G5894" s="7" t="n">
        <f aca="false">(Sens!F5876+Sens!G5876)/(Sens!F5877+Sens!G5877)</f>
        <v>0.6</v>
      </c>
      <c r="H5894" s="7" t="n">
        <f aca="false">(Sens!G5876+Sens!H5876)/(Sens!G5877+Sens!H5877)</f>
        <v>0.6</v>
      </c>
      <c r="I5894" s="7" t="n">
        <f aca="false">(Sens!H5876+Sens!I5876)/(Sens!H5877+Sens!I5877)</f>
        <v>0.6</v>
      </c>
      <c r="J5894" s="7" t="n">
        <f aca="false">(Sens!I5876+Sens!J5876)/(Sens!I5877+Sens!J5877)</f>
        <v>0.6</v>
      </c>
      <c r="K5894" s="7" t="n">
        <f aca="false">(Sens!J5876+Sens!K5876)/(Sens!J5877+Sens!K5877)</f>
        <v>0.6</v>
      </c>
    </row>
    <row r="5895" customFormat="false" ht="17.15" hidden="false" customHeight="false" outlineLevel="0" collapsed="false">
      <c r="A5895" s="0" t="s">
        <v>840</v>
      </c>
      <c r="B5895" s="0" t="s">
        <v>98</v>
      </c>
      <c r="D5895" s="6" t="n">
        <f aca="false">Sens!D5889-Sens!D5894*(Sens!D5891+Sens!D5893)-Sens!D5892</f>
        <v>8.35701406163072</v>
      </c>
      <c r="E5895" s="6" t="n">
        <f aca="false">Sens!E5889-Sens!E5894*(Sens!E5891+Sens!E5893)-Sens!E5892</f>
        <v>18.7103224860238</v>
      </c>
      <c r="F5895" s="6" t="n">
        <f aca="false">Sens!F5889-Sens!F5894*(Sens!F5891+Sens!F5893)-Sens!F5892</f>
        <v>43.1278534047371</v>
      </c>
      <c r="G5895" s="6" t="n">
        <f aca="false">Sens!G5889-Sens!G5894*(Sens!G5891+Sens!G5893)-Sens!G5892</f>
        <v>78.4713023799053</v>
      </c>
      <c r="H5895" s="6" t="n">
        <f aca="false">Sens!H5889-Sens!H5894*(Sens!H5891+Sens!H5893)-Sens!H5892</f>
        <v>120.169624261219</v>
      </c>
      <c r="I5895" s="6" t="n">
        <f aca="false">Sens!I5889-Sens!I5894*(Sens!I5891+Sens!I5893)-Sens!I5892</f>
        <v>151.932833835566</v>
      </c>
      <c r="J5895" s="6" t="n">
        <f aca="false">Sens!J5889-Sens!J5894*(Sens!J5891+Sens!J5893)-Sens!J5892</f>
        <v>174.480355829143</v>
      </c>
      <c r="K5895" s="6" t="n">
        <f aca="false">Sens!K5889-Sens!K5894*(Sens!K5891+Sens!K5893)-Sens!K5892</f>
        <v>189.578355629358</v>
      </c>
    </row>
    <row r="5896" customFormat="false" ht="17.15" hidden="false" customHeight="false" outlineLevel="0" collapsed="false">
      <c r="A5896" s="1" t="s">
        <v>841</v>
      </c>
      <c r="B5896" s="0" t="s">
        <v>98</v>
      </c>
      <c r="D5896" s="6" t="n">
        <f aca="false">(1-Sens!D5894)*(Sens!D5891+Sens!D5893)</f>
        <v>1.42281025374069</v>
      </c>
      <c r="E5896" s="6" t="n">
        <f aca="false">(1-Sens!E5894)*(Sens!E5891+Sens!E5893)</f>
        <v>3.25095598674472</v>
      </c>
      <c r="F5896" s="6" t="n">
        <f aca="false">(1-Sens!F5894)*(Sens!F5891+Sens!F5893)</f>
        <v>6.53293055050977</v>
      </c>
      <c r="G5896" s="6" t="n">
        <f aca="false">(1-Sens!G5894)*(Sens!G5891+Sens!G5893)</f>
        <v>10.7846311741651</v>
      </c>
      <c r="H5896" s="6" t="n">
        <f aca="false">(1-Sens!H5894)*(Sens!H5891+Sens!H5893)</f>
        <v>15.26343050201</v>
      </c>
      <c r="I5896" s="6" t="n">
        <f aca="false">(1-Sens!I5894)*(Sens!I5891+Sens!I5893)</f>
        <v>19.1433528317977</v>
      </c>
      <c r="J5896" s="6" t="n">
        <f aca="false">(1-Sens!J5894)*(Sens!J5891+Sens!J5893)</f>
        <v>21.7903077438073</v>
      </c>
      <c r="K5896" s="6" t="n">
        <f aca="false">(1-Sens!K5894)*(Sens!K5891+Sens!K5893)</f>
        <v>23.3028530868211</v>
      </c>
    </row>
    <row r="5897" customFormat="false" ht="17.15" hidden="false" customHeight="false" outlineLevel="0" collapsed="false">
      <c r="A5897" s="1" t="s">
        <v>842</v>
      </c>
      <c r="B5897" s="0" t="s">
        <v>357</v>
      </c>
      <c r="C5897" s="8" t="n">
        <f aca="false">cxit_open</f>
        <v>27.5918995</v>
      </c>
      <c r="D5897" s="8" t="n">
        <f aca="false">cxit_open</f>
        <v>27.5918995</v>
      </c>
      <c r="E5897" s="8" t="n">
        <f aca="false">cxit_open</f>
        <v>27.5918995</v>
      </c>
      <c r="F5897" s="8" t="n">
        <f aca="false">(a_g3_27*tk_cxit_gb300+(1-a_g3_27)*tk_cxit_vr200)</f>
        <v>33.8419624</v>
      </c>
      <c r="G5897" s="8" t="n">
        <f aca="false">(a_g3_28*tk_cxit_gb300+(1-a_g3_28)*tk_cxit_vr200)</f>
        <v>35.9816136</v>
      </c>
      <c r="H5897" s="8" t="n">
        <f aca="false">(a_g3_29*tk_cxit_gb300+(1-a_g3_29)*tk_cxit_vr200)</f>
        <v>37.0514392</v>
      </c>
      <c r="I5897" s="8" t="n">
        <f aca="false">(a_g3_29*tk_cxit_gb300+(1-a_g3_29)*tk_cxit_vr200)</f>
        <v>37.0514392</v>
      </c>
      <c r="J5897" s="8" t="n">
        <f aca="false">(a_g3_29*tk_cxit_gb300+(1-a_g3_29)*tk_cxit_vr200)</f>
        <v>37.0514392</v>
      </c>
      <c r="K5897" s="8" t="n">
        <f aca="false">(a_g3_29*tk_cxit_gb300+(1-a_g3_29)*tk_cxit_vr200)</f>
        <v>37.0514392</v>
      </c>
      <c r="L5897" s="11" t="s">
        <v>843</v>
      </c>
    </row>
    <row r="5898" customFormat="false" ht="17.15" hidden="false" customHeight="false" outlineLevel="0" collapsed="false">
      <c r="A5898" s="0" t="s">
        <v>844</v>
      </c>
      <c r="B5898" s="0" t="s">
        <v>399</v>
      </c>
      <c r="F5898" s="29" t="n">
        <f aca="false">Sens!C5879*IF(Sens!F5872-Sens!C5872=life_it,1,0)+Sens!D5879*IF(Sens!F5872-Sens!D5872=life_it,1,0)+Sens!E5879*IF(Sens!F5872-Sens!E5872=life_it,1,0)</f>
        <v>0</v>
      </c>
      <c r="G5898" s="29" t="n">
        <f aca="false">Sens!C5879*IF(Sens!G5872-Sens!C5872=life_it,1,0)+Sens!D5879*IF(Sens!G5872-Sens!D5872=life_it,1,0)+Sens!E5879*IF(Sens!G5872-Sens!E5872=life_it,1,0)+Sens!F5879*IF(Sens!G5872-Sens!F5872=life_it,1,0)</f>
        <v>0</v>
      </c>
      <c r="H5898" s="29" t="n">
        <f aca="false">Sens!C5879*IF(Sens!H5872-Sens!C5872=life_it,1,0)+Sens!D5879*IF(Sens!H5872-Sens!D5872=life_it,1,0)+Sens!E5879*IF(Sens!H5872-Sens!E5872=life_it,1,0)+Sens!F5879*IF(Sens!H5872-Sens!F5872=life_it,1,0)+Sens!G5879*IF(Sens!H5872-Sens!G5872=life_it,1,0)</f>
        <v>0</v>
      </c>
      <c r="I5898" s="29" t="n">
        <f aca="false">Sens!C5879*IF(Sens!I5872-Sens!C5872=life_it,1,0)+Sens!D5879*IF(Sens!I5872-Sens!D5872=life_it,1,0)+Sens!E5879*IF(Sens!I5872-Sens!E5872=life_it,1,0)+Sens!F5879*IF(Sens!I5872-Sens!F5872=life_it,1,0)+Sens!G5879*IF(Sens!I5872-Sens!G5872=life_it,1,0)+Sens!H5879*IF(Sens!I5872-Sens!H5872=life_it,1,0)</f>
        <v>816.666666666667</v>
      </c>
      <c r="J5898" s="29" t="n">
        <f aca="false">Sens!C5879*IF(Sens!J5872-Sens!C5872=life_it,1,0)+Sens!D5879*IF(Sens!J5872-Sens!D5872=life_it,1,0)+Sens!E5879*IF(Sens!J5872-Sens!E5872=life_it,1,0)+Sens!F5879*IF(Sens!J5872-Sens!F5872=life_it,1,0)+Sens!G5879*IF(Sens!J5872-Sens!G5872=life_it,1,0)+Sens!H5879*IF(Sens!J5872-Sens!H5872=life_it,1,0)+Sens!I5879*IF(Sens!J5872-Sens!I5872=life_it,1,0)</f>
        <v>1233.33333333333</v>
      </c>
      <c r="K5898" s="29" t="n">
        <f aca="false">Sens!C5879*IF(Sens!K5872-Sens!C5872=life_it,1,0)+Sens!D5879*IF(Sens!K5872-Sens!D5872=life_it,1,0)+Sens!E5879*IF(Sens!K5872-Sens!E5872=life_it,1,0)+Sens!F5879*IF(Sens!K5872-Sens!F5872=life_it,1,0)+Sens!G5879*IF(Sens!K5872-Sens!G5872=life_it,1,0)+Sens!H5879*IF(Sens!K5872-Sens!H5872=life_it,1,0)+Sens!I5879*IF(Sens!K5872-Sens!I5872=life_it,1,0)+Sens!J5879*IF(Sens!K5872-Sens!J5872=life_it,1,0)</f>
        <v>2450</v>
      </c>
      <c r="L5898" s="1" t="s">
        <v>845</v>
      </c>
    </row>
    <row r="5899" customFormat="false" ht="17.15" hidden="false" customHeight="false" outlineLevel="0" collapsed="false">
      <c r="A5899" s="0" t="s">
        <v>846</v>
      </c>
      <c r="B5899" s="0" t="s">
        <v>98</v>
      </c>
      <c r="C5899" s="6" t="n">
        <f aca="false">Sens!C5879*Sens!C5897/1000</f>
        <v>22.5333845916667</v>
      </c>
      <c r="D5899" s="6" t="n">
        <f aca="false">Sens!D5879*Sens!D5897/1000</f>
        <v>34.0300093833333</v>
      </c>
      <c r="E5899" s="6" t="n">
        <f aca="false">Sens!E5879*Sens!E5897/1000</f>
        <v>67.600153775</v>
      </c>
      <c r="F5899" s="6" t="n">
        <f aca="false">(Sens!F5879+Sens!F5898)*Sens!F5897/1000</f>
        <v>130.923271871467</v>
      </c>
      <c r="G5899" s="6" t="n">
        <f aca="false">(Sens!G5879+Sens!G5898)*Sens!G5897/1000</f>
        <v>151.5545564832</v>
      </c>
      <c r="H5899" s="6" t="n">
        <f aca="false">(Sens!H5879+Sens!H5898)*Sens!H5897/1000</f>
        <v>156.0606619104</v>
      </c>
      <c r="I5899" s="6" t="n">
        <f aca="false">(Sens!I5879+Sens!I5898)*Sens!I5897/1000</f>
        <v>140.987889434245</v>
      </c>
      <c r="J5899" s="6" t="n">
        <f aca="false">(Sens!J5879+Sens!J5898)*Sens!J5897/1000</f>
        <v>113.309125559842</v>
      </c>
      <c r="K5899" s="6" t="n">
        <f aca="false">(Sens!K5879+Sens!K5898)*Sens!K5897/1000</f>
        <v>116.192591420959</v>
      </c>
    </row>
    <row r="5900" customFormat="false" ht="17.15" hidden="false" customHeight="false" outlineLevel="0" collapsed="false">
      <c r="A5900" s="0" t="s">
        <v>847</v>
      </c>
      <c r="B5900" s="0" t="s">
        <v>98</v>
      </c>
      <c r="C5900" s="6" t="n">
        <f aca="false">Sens!C5879*self_build*tk_cxfac/1000</f>
        <v>6.2083</v>
      </c>
      <c r="D5900" s="6" t="n">
        <f aca="false">Sens!D5879*self_build*tk_cxfac/1000</f>
        <v>9.3758</v>
      </c>
      <c r="E5900" s="6" t="n">
        <f aca="false">Sens!E5879*self_build*tk_cxfac/1000</f>
        <v>18.6249</v>
      </c>
      <c r="F5900" s="6" t="n">
        <f aca="false">Sens!F5879*self_build*tk_cxfac/1000</f>
        <v>29.409604</v>
      </c>
      <c r="G5900" s="6" t="n">
        <f aca="false">Sens!G5879*self_build*tk_cxfac/1000</f>
        <v>32.019624</v>
      </c>
      <c r="H5900" s="6" t="n">
        <f aca="false">Sens!H5879*self_build*tk_cxfac/1000</f>
        <v>32.019624</v>
      </c>
      <c r="I5900" s="6" t="n">
        <f aca="false">Sens!I5879*self_build*tk_cxfac/1000</f>
        <v>22.71877972</v>
      </c>
      <c r="J5900" s="6" t="n">
        <f aca="false">Sens!J5879*self_build*tk_cxfac/1000</f>
        <v>13.8723110344</v>
      </c>
      <c r="K5900" s="6" t="n">
        <f aca="false">Sens!K5879*self_build*tk_cxfac/1000</f>
        <v>5.214823882632</v>
      </c>
    </row>
    <row r="5901" customFormat="false" ht="17.15" hidden="false" customHeight="false" outlineLevel="0" collapsed="false">
      <c r="A5901" s="0" t="s">
        <v>848</v>
      </c>
      <c r="B5901" s="0" t="s">
        <v>98</v>
      </c>
      <c r="F5901" s="6" t="n">
        <f aca="false">MAX(0,capex_floor27-Sens!F5899-Sens!F5900-Sens!F5995)</f>
        <v>7.91277689897088</v>
      </c>
    </row>
    <row r="5902" customFormat="false" ht="17.15" hidden="false" customHeight="false" outlineLevel="0" collapsed="false">
      <c r="A5902" s="0" t="s">
        <v>849</v>
      </c>
      <c r="B5902" s="0" t="s">
        <v>98</v>
      </c>
      <c r="C5902" s="6" t="n">
        <f aca="false">Sens!C5899</f>
        <v>22.5333845916667</v>
      </c>
      <c r="D5902" s="6" t="n">
        <f aca="false">Sens!D5899</f>
        <v>34.0300093833333</v>
      </c>
      <c r="E5902" s="6" t="n">
        <f aca="false">Sens!E5899</f>
        <v>67.600153775</v>
      </c>
      <c r="F5902" s="6" t="n">
        <f aca="false">Sens!F5899</f>
        <v>130.923271871467</v>
      </c>
      <c r="G5902" s="6" t="n">
        <f aca="false">Sens!G5899</f>
        <v>151.5545564832</v>
      </c>
      <c r="H5902" s="6" t="n">
        <f aca="false">Sens!H5899</f>
        <v>156.0606619104</v>
      </c>
      <c r="I5902" s="6" t="n">
        <f aca="false">Sens!I5899</f>
        <v>140.987889434245</v>
      </c>
      <c r="J5902" s="6" t="n">
        <f aca="false">Sens!J5899</f>
        <v>113.309125559842</v>
      </c>
      <c r="K5902" s="6" t="n">
        <f aca="false">Sens!K5899</f>
        <v>116.192591420959</v>
      </c>
    </row>
    <row r="5903" customFormat="false" ht="17.15" hidden="false" customHeight="false" outlineLevel="0" collapsed="false">
      <c r="A5903" s="0" t="s">
        <v>850</v>
      </c>
      <c r="B5903" s="0" t="s">
        <v>98</v>
      </c>
      <c r="C5903" s="6" t="n">
        <f aca="false">Sens!C5902+Sens!C5900</f>
        <v>28.7416845916667</v>
      </c>
      <c r="D5903" s="6" t="n">
        <f aca="false">Sens!D5902+Sens!D5900</f>
        <v>43.4058093833333</v>
      </c>
      <c r="E5903" s="6" t="n">
        <f aca="false">Sens!E5902+Sens!E5900</f>
        <v>86.225053775</v>
      </c>
      <c r="F5903" s="6" t="n">
        <f aca="false">Sens!F5902+Sens!F5900</f>
        <v>160.332875871467</v>
      </c>
      <c r="G5903" s="6" t="n">
        <f aca="false">Sens!G5902+Sens!G5900</f>
        <v>183.5741804832</v>
      </c>
      <c r="H5903" s="6" t="n">
        <f aca="false">Sens!H5902+Sens!H5900</f>
        <v>188.0802859104</v>
      </c>
      <c r="I5903" s="6" t="n">
        <f aca="false">Sens!I5902+Sens!I5900</f>
        <v>163.706669154245</v>
      </c>
      <c r="J5903" s="6" t="n">
        <f aca="false">Sens!J5902+Sens!J5900</f>
        <v>127.181436594242</v>
      </c>
      <c r="K5903" s="6" t="n">
        <f aca="false">Sens!K5902+Sens!K5900</f>
        <v>121.407415303591</v>
      </c>
      <c r="L5903" s="11" t="s">
        <v>851</v>
      </c>
    </row>
    <row r="5904" customFormat="false" ht="17.15" hidden="false" customHeight="false" outlineLevel="0" collapsed="false">
      <c r="A5904" s="0" t="s">
        <v>852</v>
      </c>
      <c r="B5904" s="0" t="s">
        <v>98</v>
      </c>
      <c r="E5904" s="6" t="n">
        <f aca="false">(Sens!C5902*IF(2&lt;life_it,1,IF(2=life_it,0.5,0))+Sens!D5902*IF(1&lt;life_it,1,IF(1=life_it,0.5,0))+Sens!E5902*0.5)/life_it</f>
        <v>15.0605784770833</v>
      </c>
      <c r="F5904" s="6" t="n">
        <f aca="false">(Sens!C5902*IF(3&lt;life_it,1,IF(3=life_it,0.5,0))+Sens!D5902*IF(2&lt;life_it,1,IF(2=life_it,0.5,0))+Sens!E5902*IF(1&lt;life_it,1,IF(1=life_it,0.5,0))+Sens!F5902*0.5)/life_it</f>
        <v>31.6041972809556</v>
      </c>
      <c r="G5904" s="6" t="n">
        <f aca="false">(Sens!C5902*IF(4&lt;life_it,1,IF(4=life_it,0.5,0))+Sens!D5902*IF(3&lt;life_it,1,IF(3=life_it,0.5,0))+Sens!E5902*IF(2&lt;life_it,1,IF(2=life_it,0.5,0))+Sens!F5902*IF(1&lt;life_it,1,IF(1=life_it,0.5,0))+Sens!G5902*0.5)/life_it</f>
        <v>55.1440163105111</v>
      </c>
      <c r="H5904" s="6" t="n">
        <f aca="false">(Sens!C5902*IF(5&lt;life_it,1,IF(5=life_it,0.5,0))+Sens!D5902*IF(4&lt;life_it,1,IF(4=life_it,0.5,0))+Sens!E5902*IF(3&lt;life_it,1,IF(3=life_it,0.5,0))+Sens!F5902*IF(2&lt;life_it,1,IF(2=life_it,0.5,0))+Sens!G5902*IF(1&lt;life_it,1,IF(1=life_it,0.5,0))+Sens!H5902*0.5)/life_it</f>
        <v>80.7786178433111</v>
      </c>
      <c r="I5904" s="6" t="n">
        <f aca="false">(Sens!C5902*IF(6&lt;life_it,1,IF(6=life_it,0.5,0))+Sens!D5902*IF(5&lt;life_it,1,IF(5=life_it,0.5,0))+Sens!E5902*IF(4&lt;life_it,1,IF(4=life_it,0.5,0))+Sens!F5902*IF(3&lt;life_it,1,IF(3=life_it,0.5,0))+Sens!G5902*IF(2&lt;life_it,1,IF(2=life_it,0.5,0))+Sens!H5902*IF(1&lt;life_it,1,IF(1=life_it,0.5,0))+Sens!I5902*0.5)/life_it</f>
        <v>103.654881739393</v>
      </c>
      <c r="J5904" s="6" t="n">
        <f aca="false">(Sens!C5902*IF(7&lt;life_it,1,IF(7=life_it,0.5,0))+Sens!D5902*IF(6&lt;life_it,1,IF(6=life_it,0.5,0))+Sens!E5902*IF(5&lt;life_it,1,IF(5=life_it,0.5,0))+Sens!F5902*IF(4&lt;life_it,1,IF(4=life_it,0.5,0))+Sens!G5902*IF(3&lt;life_it,1,IF(3=life_it,0.5,0))+Sens!H5902*IF(2&lt;life_it,1,IF(2=life_it,0.5,0))+Sens!I5902*IF(1&lt;life_it,1,IF(1=life_it,0.5,0))+Sens!J5902*0.5)/life_it</f>
        <v>120.132683490983</v>
      </c>
      <c r="K5904" s="6" t="n">
        <f aca="false">(Sens!C5902*IF(8&lt;life_it,1,IF(8=life_it,0.5,0))+Sens!D5902*IF(7&lt;life_it,1,IF(7=life_it,0.5,0))+Sens!E5902*IF(6&lt;life_it,1,IF(6=life_it,0.5,0))+Sens!F5902*IF(5&lt;life_it,1,IF(5=life_it,0.5,0))+Sens!G5902*IF(4&lt;life_it,1,IF(4=life_it,0.5,0))+Sens!H5902*IF(3&lt;life_it,1,IF(3=life_it,0.5,0))+Sens!I5902*IF(2&lt;life_it,1,IF(2=life_it,0.5,0))+Sens!J5902*IF(1&lt;life_it,1,IF(1=life_it,0.5,0))+Sens!K5902*0.5)/life_it</f>
        <v>130.788646309522</v>
      </c>
    </row>
    <row r="5905" customFormat="false" ht="17.15" hidden="false" customHeight="false" outlineLevel="0" collapsed="false">
      <c r="A5905" s="0" t="s">
        <v>853</v>
      </c>
      <c r="B5905" s="0" t="s">
        <v>98</v>
      </c>
      <c r="E5905" s="6" t="n">
        <f aca="false">(Sens!C5900*IF(2&lt;life_fac,1,IF(2=life_fac,0.5,0))+Sens!D5900*IF(1&lt;life_fac,1,IF(1=life_fac,0.5,0))+Sens!E5900*0.5)/life_fac</f>
        <v>1.2448275</v>
      </c>
      <c r="F5905" s="6" t="n">
        <f aca="false">(Sens!C5900*IF(3&lt;life_fac,1,IF(3=life_fac,0.5,0))+Sens!D5900*IF(2&lt;life_fac,1,IF(2=life_fac,0.5,0))+Sens!E5900*IF(1&lt;life_fac,1,IF(1=life_fac,0.5,0))+Sens!F5900*0.5)/life_fac</f>
        <v>2.4456901</v>
      </c>
      <c r="G5905" s="6" t="n">
        <f aca="false">(Sens!C5900*IF(4&lt;life_fac,1,IF(4=life_fac,0.5,0))+Sens!D5900*IF(3&lt;life_fac,1,IF(3=life_fac,0.5,0))+Sens!E5900*IF(2&lt;life_fac,1,IF(2=life_fac,0.5,0))+Sens!F5900*IF(1&lt;life_fac,1,IF(1=life_fac,0.5,0))+Sens!G5900*0.5)/life_fac</f>
        <v>3.9814208</v>
      </c>
      <c r="H5905" s="6" t="n">
        <f aca="false">(Sens!C5900*IF(5&lt;life_fac,1,IF(5=life_fac,0.5,0))+Sens!D5900*IF(4&lt;life_fac,1,IF(4=life_fac,0.5,0))+Sens!E5900*IF(3&lt;life_fac,1,IF(3=life_fac,0.5,0))+Sens!F5900*IF(2&lt;life_fac,1,IF(2=life_fac,0.5,0))+Sens!G5900*IF(1&lt;life_fac,1,IF(1=life_fac,0.5,0))+Sens!H5900*0.5)/life_fac</f>
        <v>5.582402</v>
      </c>
      <c r="I5905" s="6" t="n">
        <f aca="false">(Sens!C5900*IF(6&lt;life_fac,1,IF(6=life_fac,0.5,0))+Sens!D5900*IF(5&lt;life_fac,1,IF(5=life_fac,0.5,0))+Sens!E5900*IF(4&lt;life_fac,1,IF(4=life_fac,0.5,0))+Sens!F5900*IF(3&lt;life_fac,1,IF(3=life_fac,0.5,0))+Sens!G5900*IF(2&lt;life_fac,1,IF(2=life_fac,0.5,0))+Sens!H5900*IF(1&lt;life_fac,1,IF(1=life_fac,0.5,0))+Sens!I5900*0.5)/life_fac</f>
        <v>6.950862093</v>
      </c>
      <c r="J5905" s="6" t="n">
        <f aca="false">(Sens!C5900*IF(7&lt;life_fac,1,IF(7=life_fac,0.5,0))+Sens!D5900*IF(6&lt;life_fac,1,IF(6=life_fac,0.5,0))+Sens!E5900*IF(5&lt;life_fac,1,IF(5=life_fac,0.5,0))+Sens!F5900*IF(4&lt;life_fac,1,IF(4=life_fac,0.5,0))+Sens!G5900*IF(3&lt;life_fac,1,IF(3=life_fac,0.5,0))+Sens!H5900*IF(2&lt;life_fac,1,IF(2=life_fac,0.5,0))+Sens!I5900*IF(1&lt;life_fac,1,IF(1=life_fac,0.5,0))+Sens!J5900*0.5)/life_fac</f>
        <v>7.86563936186</v>
      </c>
      <c r="K5905" s="6" t="n">
        <f aca="false">(Sens!C5900*IF(8&lt;life_fac,1,IF(8=life_fac,0.5,0))+Sens!D5900*IF(7&lt;life_fac,1,IF(7=life_fac,0.5,0))+Sens!E5900*IF(6&lt;life_fac,1,IF(6=life_fac,0.5,0))+Sens!F5900*IF(5&lt;life_fac,1,IF(5=life_fac,0.5,0))+Sens!G5900*IF(4&lt;life_fac,1,IF(4=life_fac,0.5,0))+Sens!H5900*IF(3&lt;life_fac,1,IF(3=life_fac,0.5,0))+Sens!I5900*IF(2&lt;life_fac,1,IF(2=life_fac,0.5,0))+Sens!J5900*IF(1&lt;life_fac,1,IF(1=life_fac,0.5,0))+Sens!K5900*0.5)/life_fac</f>
        <v>8.3428177347858</v>
      </c>
    </row>
    <row r="5906" customFormat="false" ht="17.15" hidden="false" customHeight="false" outlineLevel="0" collapsed="false">
      <c r="A5906" s="0" t="s">
        <v>854</v>
      </c>
      <c r="B5906" s="0" t="s">
        <v>98</v>
      </c>
      <c r="E5906" s="6" t="n">
        <f aca="false">Sens!E5904+Sens!E5905</f>
        <v>16.3054059770833</v>
      </c>
      <c r="F5906" s="6" t="n">
        <f aca="false">Sens!F5904+Sens!F5905</f>
        <v>34.0498873809555</v>
      </c>
      <c r="G5906" s="6" t="n">
        <f aca="false">Sens!G5904+Sens!G5905</f>
        <v>59.1254371105111</v>
      </c>
      <c r="H5906" s="6" t="n">
        <f aca="false">Sens!H5904+Sens!H5905</f>
        <v>86.3610198433111</v>
      </c>
      <c r="I5906" s="6" t="n">
        <f aca="false">Sens!I5904+Sens!I5905</f>
        <v>110.605743832393</v>
      </c>
      <c r="J5906" s="6" t="n">
        <f aca="false">Sens!J5904+Sens!J5905</f>
        <v>127.998322852843</v>
      </c>
      <c r="K5906" s="6" t="n">
        <f aca="false">Sens!K5904+Sens!K5905</f>
        <v>139.131464044308</v>
      </c>
    </row>
    <row r="5907" customFormat="false" ht="17.15" hidden="false" customHeight="false" outlineLevel="0" collapsed="false">
      <c r="A5907" s="0" t="s">
        <v>855</v>
      </c>
      <c r="B5907" s="0" t="s">
        <v>98</v>
      </c>
      <c r="E5907" s="6" t="n">
        <f aca="false">Sens!E5895-Sens!E5894*Sens!E5906</f>
        <v>8.92707889977379</v>
      </c>
      <c r="F5907" s="6" t="n">
        <f aca="false">Sens!F5895-Sens!F5894*Sens!F5906</f>
        <v>22.6979209761638</v>
      </c>
      <c r="G5907" s="6" t="n">
        <f aca="false">Sens!G5895-Sens!G5894*Sens!G5906</f>
        <v>42.9960401135986</v>
      </c>
      <c r="H5907" s="6" t="n">
        <f aca="false">Sens!H5895-Sens!H5894*Sens!H5906</f>
        <v>68.3530123552322</v>
      </c>
      <c r="I5907" s="6" t="n">
        <f aca="false">Sens!I5895-Sens!I5894*Sens!I5906</f>
        <v>85.5693875361303</v>
      </c>
      <c r="J5907" s="6" t="n">
        <f aca="false">Sens!J5895-Sens!J5894*Sens!J5906</f>
        <v>97.6813621174372</v>
      </c>
      <c r="K5907" s="6" t="n">
        <f aca="false">Sens!K5895-Sens!K5894*Sens!K5906</f>
        <v>106.099477202773</v>
      </c>
    </row>
    <row r="5908" customFormat="false" ht="17.15" hidden="false" customHeight="false" outlineLevel="0" collapsed="false">
      <c r="A5908" s="3" t="s">
        <v>1413</v>
      </c>
    </row>
    <row r="5909" customFormat="false" ht="15" hidden="false" customHeight="false" outlineLevel="0" collapsed="false">
      <c r="A5909" s="4" t="s">
        <v>43</v>
      </c>
      <c r="B5909" s="4" t="s">
        <v>65</v>
      </c>
      <c r="C5909" s="20" t="s">
        <v>799</v>
      </c>
      <c r="D5909" s="20" t="s">
        <v>800</v>
      </c>
      <c r="E5909" s="20" t="s">
        <v>801</v>
      </c>
      <c r="F5909" s="20" t="s">
        <v>802</v>
      </c>
      <c r="G5909" s="20" t="s">
        <v>803</v>
      </c>
      <c r="H5909" s="20" t="s">
        <v>804</v>
      </c>
      <c r="I5909" s="20" t="s">
        <v>805</v>
      </c>
      <c r="J5909" s="20" t="s">
        <v>806</v>
      </c>
      <c r="K5909" s="20" t="s">
        <v>807</v>
      </c>
      <c r="L5909" s="4" t="s">
        <v>47</v>
      </c>
    </row>
    <row r="5910" customFormat="false" ht="17.15" hidden="false" customHeight="false" outlineLevel="0" collapsed="false">
      <c r="A5910" s="0" t="s">
        <v>874</v>
      </c>
      <c r="B5910" s="0" t="s">
        <v>98</v>
      </c>
      <c r="D5910" s="6" t="n">
        <f aca="false">Sens!D5889</f>
        <v>12.9359794422418</v>
      </c>
      <c r="E5910" s="6" t="n">
        <f aca="false">Sens!E5889</f>
        <v>27.8095064661409</v>
      </c>
      <c r="F5910" s="6" t="n">
        <f aca="false">Sens!F5889</f>
        <v>58.7324192305018</v>
      </c>
      <c r="G5910" s="6" t="n">
        <f aca="false">Sens!G5889</f>
        <v>101.369089141153</v>
      </c>
      <c r="H5910" s="6" t="n">
        <f aca="false">Sens!H5889</f>
        <v>149.785610014234</v>
      </c>
      <c r="I5910" s="6" t="n">
        <f aca="false">Sens!I5889</f>
        <v>187.368703083263</v>
      </c>
      <c r="J5910" s="6" t="n">
        <f aca="false">Sens!J5889</f>
        <v>213.886657444854</v>
      </c>
      <c r="K5910" s="6" t="n">
        <f aca="false">Sens!K5889</f>
        <v>231.253475259589</v>
      </c>
    </row>
    <row r="5911" customFormat="false" ht="17.15" hidden="false" customHeight="false" outlineLevel="0" collapsed="false">
      <c r="A5911" s="0" t="s">
        <v>875</v>
      </c>
      <c r="B5911" s="0" t="s">
        <v>98</v>
      </c>
      <c r="D5911" s="6" t="n">
        <f aca="false">Q!L6-Sens!D5910</f>
        <v>59.6740205577583</v>
      </c>
      <c r="E5911" s="6" t="n">
        <f aca="false">Q!M6-Sens!E5910</f>
        <v>74.1284935338591</v>
      </c>
      <c r="F5911" s="6" t="n">
        <f aca="false">Sens!E5911*(1+Sens!F5912)</f>
        <v>90.0799497373663</v>
      </c>
      <c r="G5911" s="6" t="n">
        <f aca="false">Sens!F5911*(1+Sens!G5912)</f>
        <v>107.02842520331</v>
      </c>
      <c r="H5911" s="6" t="n">
        <f aca="false">Sens!G5911*(1+Sens!H5912)</f>
        <v>124.271982585636</v>
      </c>
      <c r="I5911" s="6" t="n">
        <f aca="false">Sens!H5911*(1+Sens!I5912)</f>
        <v>140.933702381855</v>
      </c>
      <c r="J5911" s="6" t="n">
        <f aca="false">Sens!I5911*(1+Sens!J5912)</f>
        <v>156.018867314332</v>
      </c>
      <c r="K5911" s="6" t="n">
        <f aca="false">Sens!J5911*(1+Sens!K5912)</f>
        <v>168.500376699478</v>
      </c>
    </row>
    <row r="5912" customFormat="false" ht="15" hidden="false" customHeight="false" outlineLevel="0" collapsed="false">
      <c r="A5912" s="1" t="s">
        <v>876</v>
      </c>
      <c r="B5912" s="0" t="s">
        <v>129</v>
      </c>
      <c r="E5912" s="7" t="n">
        <f aca="false">Sens!E5911/Sens!D5911-1</f>
        <v>0.242223883039864</v>
      </c>
      <c r="F5912" s="7" t="n">
        <f aca="false">Sens!$E$5912+(glt_azo-Sens!$E$5912)*MIN(1,(Sens!F5872-base_fy)/n_conv)</f>
        <v>0.215186569199887</v>
      </c>
      <c r="G5912" s="7" t="n">
        <f aca="false">Sens!$E$5912+(glt_azo-Sens!$E$5912)*MIN(1,(Sens!G5872-base_fy)/n_conv)</f>
        <v>0.18814925535991</v>
      </c>
      <c r="H5912" s="7" t="n">
        <f aca="false">Sens!$E$5912+(glt_azo-Sens!$E$5912)*MIN(1,(Sens!H5872-base_fy)/n_conv)</f>
        <v>0.161111941519932</v>
      </c>
      <c r="I5912" s="7" t="n">
        <f aca="false">Sens!$E$5912+(glt_azo-Sens!$E$5912)*MIN(1,(Sens!I5872-base_fy)/n_conv)</f>
        <v>0.134074627679955</v>
      </c>
      <c r="J5912" s="7" t="n">
        <f aca="false">Sens!$E$5912+(glt_azo-Sens!$E$5912)*MIN(1,(Sens!J5872-base_fy)/n_conv)</f>
        <v>0.107037313839977</v>
      </c>
      <c r="K5912" s="7" t="n">
        <f aca="false">Sens!$E$5912+(glt_azo-Sens!$E$5912)*MIN(1,(Sens!K5872-base_fy)/n_conv)</f>
        <v>0.08</v>
      </c>
    </row>
    <row r="5913" customFormat="false" ht="15" hidden="false" customHeight="false" outlineLevel="0" collapsed="false">
      <c r="A5913" s="0" t="s">
        <v>877</v>
      </c>
      <c r="B5913" s="0" t="s">
        <v>98</v>
      </c>
      <c r="D5913" s="6" t="n">
        <f aca="false">Sens!D5910+Sens!D5911</f>
        <v>72.61</v>
      </c>
      <c r="E5913" s="6" t="n">
        <f aca="false">Sens!E5910+Sens!E5911</f>
        <v>101.938</v>
      </c>
      <c r="F5913" s="6" t="n">
        <f aca="false">Sens!F5910+Sens!F5911</f>
        <v>148.812368967868</v>
      </c>
      <c r="G5913" s="6" t="n">
        <f aca="false">Sens!G5910+Sens!G5911</f>
        <v>208.397514344463</v>
      </c>
      <c r="H5913" s="6" t="n">
        <f aca="false">Sens!H5910+Sens!H5911</f>
        <v>274.05759259987</v>
      </c>
      <c r="I5913" s="6" t="n">
        <f aca="false">Sens!I5910+Sens!I5911</f>
        <v>328.302405465117</v>
      </c>
      <c r="J5913" s="6" t="n">
        <f aca="false">Sens!J5910+Sens!J5911</f>
        <v>369.905524759186</v>
      </c>
      <c r="K5913" s="6" t="n">
        <f aca="false">Sens!K5910+Sens!K5911</f>
        <v>399.753851959067</v>
      </c>
    </row>
    <row r="5914" customFormat="false" ht="17.15" hidden="false" customHeight="false" outlineLevel="0" collapsed="false">
      <c r="A5914" s="0" t="s">
        <v>878</v>
      </c>
      <c r="B5914" s="1" t="s">
        <v>528</v>
      </c>
      <c r="C5914" s="29" t="n">
        <f aca="false">cop_s24</f>
        <v>1</v>
      </c>
      <c r="D5914" s="29" t="n">
        <f aca="false">cop_s25</f>
        <v>5</v>
      </c>
      <c r="E5914" s="29" t="n">
        <f aca="false">cop_s26</f>
        <v>30</v>
      </c>
      <c r="F5914" s="29" t="n">
        <f aca="false">Sens!E5914+cop_add_A*1.5</f>
        <v>75</v>
      </c>
      <c r="G5914" s="29" t="n">
        <f aca="false">Sens!F5914+cop_add_A*1.5</f>
        <v>120</v>
      </c>
      <c r="H5914" s="29" t="n">
        <f aca="false">Sens!G5914+cop_add_A*1.5</f>
        <v>165</v>
      </c>
      <c r="I5914" s="29" t="n">
        <f aca="false">Sens!H5914+cop_add_A*1.5*cop_tail</f>
        <v>187.5</v>
      </c>
      <c r="J5914" s="29" t="n">
        <f aca="false">Sens!I5914+cop_add_A*1.5*cop_tail</f>
        <v>210</v>
      </c>
      <c r="K5914" s="29" t="n">
        <f aca="false">Sens!J5914+cop_add_A*1.5*cop_tail</f>
        <v>232.5</v>
      </c>
      <c r="L5914" s="11" t="s">
        <v>879</v>
      </c>
    </row>
    <row r="5915" customFormat="false" ht="17.15" hidden="false" customHeight="false" outlineLevel="0" collapsed="false">
      <c r="A5915" s="0" t="s">
        <v>880</v>
      </c>
      <c r="B5915" s="0" t="s">
        <v>98</v>
      </c>
      <c r="D5915" s="6" t="n">
        <f aca="false">(Sens!C5914+Sens!D5914)/2*cop_px*12/1000</f>
        <v>0.9</v>
      </c>
      <c r="E5915" s="6" t="n">
        <f aca="false">(Sens!D5914+Sens!E5914)/2*cop_px*12/1000</f>
        <v>5.25</v>
      </c>
      <c r="F5915" s="6" t="n">
        <f aca="false">(Sens!E5914+Sens!F5914)/2*cop_px*12/1000</f>
        <v>15.75</v>
      </c>
      <c r="G5915" s="6" t="n">
        <f aca="false">(Sens!F5914+Sens!G5914)/2*cop_px*12/1000</f>
        <v>29.25</v>
      </c>
      <c r="H5915" s="6" t="n">
        <f aca="false">(Sens!G5914+Sens!H5914)/2*cop_px*12/1000</f>
        <v>42.75</v>
      </c>
      <c r="I5915" s="6" t="n">
        <f aca="false">(Sens!H5914+Sens!I5914)/2*cop_px*12/1000</f>
        <v>52.875</v>
      </c>
      <c r="J5915" s="6" t="n">
        <f aca="false">(Sens!I5914+Sens!J5914)/2*cop_px*12/1000</f>
        <v>59.625</v>
      </c>
      <c r="K5915" s="6" t="n">
        <f aca="false">(Sens!J5914+Sens!K5914)/2*cop_px*12/1000</f>
        <v>66.375</v>
      </c>
      <c r="L5915" s="1" t="s">
        <v>881</v>
      </c>
    </row>
    <row r="5916" customFormat="false" ht="17.15" hidden="false" customHeight="false" outlineLevel="0" collapsed="false">
      <c r="A5916" s="0" t="s">
        <v>882</v>
      </c>
      <c r="B5916" s="0" t="s">
        <v>98</v>
      </c>
      <c r="D5916" s="6" t="n">
        <f aca="false">Q!L7-Sens!D5915</f>
        <v>83.705</v>
      </c>
      <c r="E5916" s="6" t="n">
        <f aca="false">Q!M7-Sens!E5915</f>
        <v>95.049</v>
      </c>
      <c r="F5916" s="6" t="n">
        <f aca="false">Sens!E5916*(1+Sens!F5917)</f>
        <v>106.89238776686</v>
      </c>
      <c r="G5916" s="6" t="n">
        <f aca="false">Sens!F5916*(1+Sens!G5917)</f>
        <v>119.044168448684</v>
      </c>
      <c r="H5916" s="6" t="n">
        <f aca="false">Sens!G5916*(1+Sens!H5917)</f>
        <v>131.277359388781</v>
      </c>
      <c r="I5916" s="6" t="n">
        <f aca="false">Sens!H5916*(1+Sens!I5917)</f>
        <v>143.334028071957</v>
      </c>
      <c r="J5916" s="6" t="n">
        <f aca="false">Sens!I5916*(1+Sens!J5917)</f>
        <v>154.932702785465</v>
      </c>
      <c r="K5916" s="6" t="n">
        <f aca="false">Sens!J5916*(1+Sens!K5917)</f>
        <v>165.777991980448</v>
      </c>
    </row>
    <row r="5917" customFormat="false" ht="15" hidden="false" customHeight="false" outlineLevel="0" collapsed="false">
      <c r="A5917" s="1" t="s">
        <v>876</v>
      </c>
      <c r="B5917" s="0" t="s">
        <v>129</v>
      </c>
      <c r="E5917" s="7" t="n">
        <f aca="false">Sens!E5916/Sens!D5916-1</f>
        <v>0.135523564900544</v>
      </c>
      <c r="F5917" s="7" t="n">
        <f aca="false">Sens!$E$5917+(glt_m365b-Sens!$E$5917)*MIN(1,(Sens!F5872-base_fy)/n_conv)</f>
        <v>0.124602970750453</v>
      </c>
      <c r="G5917" s="7" t="n">
        <f aca="false">Sens!$E$5917+(glt_m365b-Sens!$E$5917)*MIN(1,(Sens!G5872-base_fy)/n_conv)</f>
        <v>0.113682376600363</v>
      </c>
      <c r="H5917" s="7" t="n">
        <f aca="false">Sens!$E$5917+(glt_m365b-Sens!$E$5917)*MIN(1,(Sens!H5872-base_fy)/n_conv)</f>
        <v>0.102761782450272</v>
      </c>
      <c r="I5917" s="7" t="n">
        <f aca="false">Sens!$E$5917+(glt_m365b-Sens!$E$5917)*MIN(1,(Sens!I5872-base_fy)/n_conv)</f>
        <v>0.0918411883001813</v>
      </c>
      <c r="J5917" s="7" t="n">
        <f aca="false">Sens!$E$5917+(glt_m365b-Sens!$E$5917)*MIN(1,(Sens!J5872-base_fy)/n_conv)</f>
        <v>0.0809205941500906</v>
      </c>
      <c r="K5917" s="7" t="n">
        <f aca="false">Sens!$E$5917+(glt_m365b-Sens!$E$5917)*MIN(1,(Sens!K5872-base_fy)/n_conv)</f>
        <v>0.07</v>
      </c>
    </row>
    <row r="5918" customFormat="false" ht="15" hidden="false" customHeight="false" outlineLevel="0" collapsed="false">
      <c r="A5918" s="0" t="s">
        <v>883</v>
      </c>
      <c r="B5918" s="0" t="s">
        <v>98</v>
      </c>
      <c r="D5918" s="6" t="n">
        <f aca="false">Sens!D5916+Sens!D5915</f>
        <v>84.605</v>
      </c>
      <c r="E5918" s="6" t="n">
        <f aca="false">Sens!E5916+Sens!E5915</f>
        <v>100.299</v>
      </c>
      <c r="F5918" s="6" t="n">
        <f aca="false">Sens!F5916+Sens!F5915</f>
        <v>122.64238776686</v>
      </c>
      <c r="G5918" s="6" t="n">
        <f aca="false">Sens!G5916+Sens!G5915</f>
        <v>148.294168448684</v>
      </c>
      <c r="H5918" s="6" t="n">
        <f aca="false">Sens!H5916+Sens!H5915</f>
        <v>174.027359388781</v>
      </c>
      <c r="I5918" s="6" t="n">
        <f aca="false">Sens!I5916+Sens!I5915</f>
        <v>196.209028071957</v>
      </c>
      <c r="J5918" s="6" t="n">
        <f aca="false">Sens!J5916+Sens!J5915</f>
        <v>214.557702785465</v>
      </c>
      <c r="K5918" s="6" t="n">
        <f aca="false">Sens!K5916+Sens!K5915</f>
        <v>232.152991980448</v>
      </c>
    </row>
    <row r="5919" customFormat="false" ht="15" hidden="false" customHeight="false" outlineLevel="0" collapsed="false">
      <c r="A5919" s="0" t="s">
        <v>884</v>
      </c>
      <c r="B5919" s="0" t="s">
        <v>98</v>
      </c>
      <c r="D5919" s="6" t="n">
        <f aca="false">Q!L8</f>
        <v>35.391</v>
      </c>
      <c r="E5919" s="6" t="n">
        <f aca="false">Q!M8</f>
        <v>37.285</v>
      </c>
      <c r="F5919" s="6" t="n">
        <f aca="false">Sens!E5919*(1+Sens!F5920)</f>
        <v>39.0720834331704</v>
      </c>
      <c r="G5919" s="6" t="n">
        <f aca="false">Sens!F5919*(1+Sens!G5920)</f>
        <v>40.726562953769</v>
      </c>
      <c r="H5919" s="6" t="n">
        <f aca="false">Sens!G5919*(1+Sens!H5920)</f>
        <v>42.2235987259198</v>
      </c>
      <c r="I5919" s="6" t="n">
        <f aca="false">Sens!H5919*(1+Sens!I5920)</f>
        <v>43.5397988077414</v>
      </c>
      <c r="J5919" s="6" t="n">
        <f aca="false">Sens!I5919*(1+Sens!J5920)</f>
        <v>44.653811225693</v>
      </c>
      <c r="K5919" s="6" t="n">
        <f aca="false">Sens!J5919*(1+Sens!K5920)</f>
        <v>45.5468874502068</v>
      </c>
    </row>
    <row r="5920" customFormat="false" ht="15" hidden="false" customHeight="false" outlineLevel="0" collapsed="false">
      <c r="A5920" s="1" t="s">
        <v>876</v>
      </c>
      <c r="B5920" s="0" t="s">
        <v>129</v>
      </c>
      <c r="E5920" s="7" t="n">
        <f aca="false">Sens!E5919/Sens!D5919-1</f>
        <v>0.0535164307309768</v>
      </c>
      <c r="F5920" s="7" t="n">
        <f aca="false">Sens!$E$5920+(glt_lic-Sens!$E$5920)*MIN(1,(Sens!F5872-base_fy)/n_conv)</f>
        <v>0.0479303589424807</v>
      </c>
      <c r="G5920" s="7" t="n">
        <f aca="false">Sens!$E$5920+(glt_lic-Sens!$E$5920)*MIN(1,(Sens!G5872-base_fy)/n_conv)</f>
        <v>0.0423442871539845</v>
      </c>
      <c r="H5920" s="7" t="n">
        <f aca="false">Sens!$E$5920+(glt_lic-Sens!$E$5920)*MIN(1,(Sens!H5872-base_fy)/n_conv)</f>
        <v>0.0367582153654884</v>
      </c>
      <c r="I5920" s="7" t="n">
        <f aca="false">Sens!$E$5920+(glt_lic-Sens!$E$5920)*MIN(1,(Sens!I5872-base_fy)/n_conv)</f>
        <v>0.0311721435769923</v>
      </c>
      <c r="J5920" s="7" t="n">
        <f aca="false">Sens!$E$5920+(glt_lic-Sens!$E$5920)*MIN(1,(Sens!J5872-base_fy)/n_conv)</f>
        <v>0.0255860717884961</v>
      </c>
      <c r="K5920" s="7" t="n">
        <f aca="false">Sens!$E$5920+(glt_lic-Sens!$E$5920)*MIN(1,(Sens!K5872-base_fy)/n_conv)</f>
        <v>0.02</v>
      </c>
    </row>
    <row r="5921" customFormat="false" ht="15" hidden="false" customHeight="false" outlineLevel="0" collapsed="false">
      <c r="A5921" s="0" t="s">
        <v>885</v>
      </c>
      <c r="B5921" s="0" t="s">
        <v>98</v>
      </c>
      <c r="D5921" s="6" t="n">
        <f aca="false">Q!L9</f>
        <v>18.417</v>
      </c>
      <c r="E5921" s="6" t="n">
        <f aca="false">Q!M9</f>
        <v>20.345</v>
      </c>
      <c r="F5921" s="6" t="n">
        <f aca="false">Sens!E5921*(1+Sens!F5922)</f>
        <v>22.3572203267814</v>
      </c>
      <c r="G5921" s="6" t="n">
        <f aca="false">Sens!F5921*(1+Sens!G5922)</f>
        <v>24.4392124437232</v>
      </c>
      <c r="H5921" s="6" t="n">
        <f aca="false">Sens!G5921*(1+Sens!H5922)</f>
        <v>26.5738052080665</v>
      </c>
      <c r="I5921" s="6" t="n">
        <f aca="false">Sens!H5921*(1+Sens!I5922)</f>
        <v>28.7412169166967</v>
      </c>
      <c r="J5921" s="6" t="n">
        <f aca="false">Sens!I5921*(1+Sens!J5922)</f>
        <v>30.9192545395413</v>
      </c>
      <c r="K5921" s="6" t="n">
        <f aca="false">Sens!J5921*(1+Sens!K5922)</f>
        <v>33.0836023573092</v>
      </c>
    </row>
    <row r="5922" customFormat="false" ht="15" hidden="false" customHeight="false" outlineLevel="0" collapsed="false">
      <c r="A5922" s="1" t="s">
        <v>876</v>
      </c>
      <c r="B5922" s="0" t="s">
        <v>129</v>
      </c>
      <c r="E5922" s="7" t="n">
        <f aca="false">Sens!E5921/Sens!D5921-1</f>
        <v>0.104685888038225</v>
      </c>
      <c r="F5922" s="7" t="n">
        <f aca="false">Sens!$E$5922+(glt_ind-Sens!$E$5922)*MIN(1,(Sens!F5872-base_fy)/n_conv)</f>
        <v>0.0989049066985211</v>
      </c>
      <c r="G5922" s="7" t="n">
        <f aca="false">Sens!$E$5922+(glt_ind-Sens!$E$5922)*MIN(1,(Sens!G5872-base_fy)/n_conv)</f>
        <v>0.0931239253588169</v>
      </c>
      <c r="H5922" s="7" t="n">
        <f aca="false">Sens!$E$5922+(glt_ind-Sens!$E$5922)*MIN(1,(Sens!H5872-base_fy)/n_conv)</f>
        <v>0.0873429440191127</v>
      </c>
      <c r="I5922" s="7" t="n">
        <f aca="false">Sens!$E$5922+(glt_ind-Sens!$E$5922)*MIN(1,(Sens!I5872-base_fy)/n_conv)</f>
        <v>0.0815619626794085</v>
      </c>
      <c r="J5922" s="7" t="n">
        <f aca="false">Sens!$E$5922+(glt_ind-Sens!$E$5922)*MIN(1,(Sens!J5872-base_fy)/n_conv)</f>
        <v>0.0757809813397042</v>
      </c>
      <c r="K5922" s="7" t="n">
        <f aca="false">Sens!$E$5922+(glt_ind-Sens!$E$5922)*MIN(1,(Sens!K5872-base_fy)/n_conv)</f>
        <v>0.07</v>
      </c>
    </row>
    <row r="5923" customFormat="false" ht="15" hidden="false" customHeight="false" outlineLevel="0" collapsed="false">
      <c r="A5923" s="0" t="s">
        <v>886</v>
      </c>
      <c r="B5923" s="0" t="s">
        <v>98</v>
      </c>
      <c r="D5923" s="6" t="n">
        <f aca="false">Q!L10</f>
        <v>7.76</v>
      </c>
      <c r="E5923" s="6" t="n">
        <f aca="false">Q!M10</f>
        <v>8.26</v>
      </c>
      <c r="F5923" s="6" t="n">
        <f aca="false">Sens!E5923*(1+Sens!F5924)</f>
        <v>8.79988041237113</v>
      </c>
      <c r="G5923" s="6" t="n">
        <f aca="false">Sens!F5923*(1+Sens!G5924)</f>
        <v>9.38321269125306</v>
      </c>
      <c r="H5923" s="6" t="n">
        <f aca="false">Sens!G5923*(1+Sens!H5924)</f>
        <v>10.0139193587476</v>
      </c>
      <c r="I5923" s="6" t="n">
        <f aca="false">Sens!H5923*(1+Sens!I5924)</f>
        <v>10.6963111830911</v>
      </c>
      <c r="J5923" s="6" t="n">
        <f aca="false">Sens!I5923*(1+Sens!J5924)</f>
        <v>11.4351285534696</v>
      </c>
      <c r="K5923" s="6" t="n">
        <f aca="false">Sens!J5923*(1+Sens!K5924)</f>
        <v>12.2355875522124</v>
      </c>
    </row>
    <row r="5924" customFormat="false" ht="15" hidden="false" customHeight="false" outlineLevel="0" collapsed="false">
      <c r="A5924" s="1" t="s">
        <v>876</v>
      </c>
      <c r="B5924" s="0" t="s">
        <v>129</v>
      </c>
      <c r="E5924" s="7" t="n">
        <f aca="false">Sens!E5923/Sens!D5923-1</f>
        <v>0.0644329896907216</v>
      </c>
      <c r="F5924" s="7" t="n">
        <f aca="false">Sens!$E$5924+(glt_fro-Sens!$E$5924)*MIN(1,(Sens!F5872-base_fy)/n_conv)</f>
        <v>0.065360824742268</v>
      </c>
      <c r="G5924" s="7" t="n">
        <f aca="false">Sens!$E$5924+(glt_fro-Sens!$E$5924)*MIN(1,(Sens!G5872-base_fy)/n_conv)</f>
        <v>0.0662886597938144</v>
      </c>
      <c r="H5924" s="7" t="n">
        <f aca="false">Sens!$E$5924+(glt_fro-Sens!$E$5924)*MIN(1,(Sens!H5872-base_fy)/n_conv)</f>
        <v>0.0672164948453608</v>
      </c>
      <c r="I5924" s="7" t="n">
        <f aca="false">Sens!$E$5924+(glt_fro-Sens!$E$5924)*MIN(1,(Sens!I5872-base_fy)/n_conv)</f>
        <v>0.0681443298969072</v>
      </c>
      <c r="J5924" s="7" t="n">
        <f aca="false">Sens!$E$5924+(glt_fro-Sens!$E$5924)*MIN(1,(Sens!J5872-base_fy)/n_conv)</f>
        <v>0.0690721649484536</v>
      </c>
      <c r="K5924" s="7" t="n">
        <f aca="false">Sens!$E$5924+(glt_fro-Sens!$E$5924)*MIN(1,(Sens!K5872-base_fy)/n_conv)</f>
        <v>0.07</v>
      </c>
    </row>
    <row r="5925" customFormat="false" ht="15" hidden="false" customHeight="false" outlineLevel="0" collapsed="false">
      <c r="A5925" s="0" t="s">
        <v>715</v>
      </c>
      <c r="B5925" s="0" t="s">
        <v>98</v>
      </c>
      <c r="D5925" s="6" t="n">
        <f aca="false">Sens!D5913+Sens!D5918+Sens!D5919+Sens!D5921+Sens!D5923</f>
        <v>218.783</v>
      </c>
      <c r="E5925" s="6" t="n">
        <f aca="false">Sens!E5913+Sens!E5918+Sens!E5919+Sens!E5921+Sens!E5923</f>
        <v>268.127</v>
      </c>
      <c r="F5925" s="6" t="n">
        <f aca="false">Sens!F5913+Sens!F5918+Sens!F5919+Sens!F5921+Sens!F5923</f>
        <v>341.683940907051</v>
      </c>
      <c r="G5925" s="6" t="n">
        <f aca="false">Sens!G5913+Sens!G5918+Sens!G5919+Sens!G5921+Sens!G5923</f>
        <v>431.240670881892</v>
      </c>
      <c r="H5925" s="6" t="n">
        <f aca="false">Sens!H5913+Sens!H5918+Sens!H5919+Sens!H5921+Sens!H5923</f>
        <v>526.896275281385</v>
      </c>
      <c r="I5925" s="6" t="n">
        <f aca="false">Sens!I5913+Sens!I5918+Sens!I5919+Sens!I5921+Sens!I5923</f>
        <v>607.488760444604</v>
      </c>
      <c r="J5925" s="6" t="n">
        <f aca="false">Sens!J5913+Sens!J5918+Sens!J5919+Sens!J5921+Sens!J5923</f>
        <v>671.471421863355</v>
      </c>
      <c r="K5925" s="6" t="n">
        <f aca="false">Sens!K5913+Sens!K5918+Sens!K5919+Sens!K5921+Sens!K5923</f>
        <v>722.772921299244</v>
      </c>
    </row>
    <row r="5926" customFormat="false" ht="15" hidden="false" customHeight="false" outlineLevel="0" collapsed="false">
      <c r="A5926" s="0" t="s">
        <v>887</v>
      </c>
      <c r="B5926" s="0" t="s">
        <v>98</v>
      </c>
      <c r="D5926" s="6" t="n">
        <f aca="false">Q!L13</f>
        <v>22.171</v>
      </c>
      <c r="E5926" s="6" t="n">
        <f aca="false">Q!M13</f>
        <v>24.835</v>
      </c>
      <c r="F5926" s="6" t="n">
        <f aca="false">Sens!E5926*(1+Sens!F5927)</f>
        <v>27.6114901218559</v>
      </c>
      <c r="G5926" s="6" t="n">
        <f aca="false">Sens!F5926*(1+Sens!G5927)</f>
        <v>30.4675667338515</v>
      </c>
      <c r="H5926" s="6" t="n">
        <f aca="false">Sens!G5926*(1+Sens!H5927)</f>
        <v>33.3643766955789</v>
      </c>
      <c r="I5926" s="6" t="n">
        <f aca="false">Sens!H5926*(1+Sens!I5927)</f>
        <v>36.2577016533691</v>
      </c>
      <c r="J5926" s="6" t="n">
        <f aca="false">Sens!I5926*(1+Sens!J5927)</f>
        <v>39.0988367952171</v>
      </c>
      <c r="K5926" s="6" t="n">
        <f aca="false">Sens!J5926*(1+Sens!K5927)</f>
        <v>41.8357553708823</v>
      </c>
    </row>
    <row r="5927" customFormat="false" ht="15" hidden="false" customHeight="false" outlineLevel="0" collapsed="false">
      <c r="A5927" s="1" t="s">
        <v>876</v>
      </c>
      <c r="B5927" s="0" t="s">
        <v>129</v>
      </c>
      <c r="E5927" s="7" t="n">
        <f aca="false">Sens!E5926/Sens!D5926-1</f>
        <v>0.120156961796942</v>
      </c>
      <c r="F5927" s="7" t="n">
        <f aca="false">Sens!$E$5927+(glt_srch-Sens!$E$5927)*MIN(1,(Sens!F5872-base_fy)/n_conv)</f>
        <v>0.111797468164118</v>
      </c>
      <c r="G5927" s="7" t="n">
        <f aca="false">Sens!$E$5927+(glt_srch-Sens!$E$5927)*MIN(1,(Sens!G5872-base_fy)/n_conv)</f>
        <v>0.103437974531295</v>
      </c>
      <c r="H5927" s="7" t="n">
        <f aca="false">Sens!$E$5927+(glt_srch-Sens!$E$5927)*MIN(1,(Sens!H5872-base_fy)/n_conv)</f>
        <v>0.095078480898471</v>
      </c>
      <c r="I5927" s="7" t="n">
        <f aca="false">Sens!$E$5927+(glt_srch-Sens!$E$5927)*MIN(1,(Sens!I5872-base_fy)/n_conv)</f>
        <v>0.0867189872656474</v>
      </c>
      <c r="J5927" s="7" t="n">
        <f aca="false">Sens!$E$5927+(glt_srch-Sens!$E$5927)*MIN(1,(Sens!J5872-base_fy)/n_conv)</f>
        <v>0.0783594936328237</v>
      </c>
      <c r="K5927" s="7" t="n">
        <f aca="false">Sens!$E$5927+(glt_srch-Sens!$E$5927)*MIN(1,(Sens!K5872-base_fy)/n_conv)</f>
        <v>0.07</v>
      </c>
    </row>
    <row r="5928" customFormat="false" ht="15" hidden="false" customHeight="false" outlineLevel="0" collapsed="false">
      <c r="A5928" s="0" t="s">
        <v>888</v>
      </c>
      <c r="B5928" s="0" t="s">
        <v>98</v>
      </c>
      <c r="D5928" s="6" t="n">
        <f aca="false">Q!L14</f>
        <v>23.455</v>
      </c>
      <c r="E5928" s="6" t="n">
        <f aca="false">Q!M14</f>
        <v>21.79</v>
      </c>
      <c r="F5928" s="6" t="n">
        <f aca="false">Sens!E5928*(1+Sens!F5929)</f>
        <v>20.5736277908051</v>
      </c>
      <c r="G5928" s="6" t="n">
        <f aca="false">Sens!F5928*(1+Sens!G5929)</f>
        <v>19.7371452817919</v>
      </c>
      <c r="H5928" s="6" t="n">
        <f aca="false">Sens!G5928*(1+Sens!H5929)</f>
        <v>19.2339764043138</v>
      </c>
      <c r="I5928" s="6" t="n">
        <f aca="false">Sens!H5928*(1+Sens!I5929)</f>
        <v>19.0353086852681</v>
      </c>
      <c r="J5928" s="6" t="n">
        <f aca="false">Sens!I5928*(1+Sens!J5929)</f>
        <v>19.1273539319129</v>
      </c>
      <c r="K5928" s="6" t="n">
        <f aca="false">Sens!J5928*(1+Sens!K5929)</f>
        <v>19.5099010105511</v>
      </c>
    </row>
    <row r="5929" customFormat="false" ht="15" hidden="false" customHeight="false" outlineLevel="0" collapsed="false">
      <c r="A5929" s="1" t="s">
        <v>876</v>
      </c>
      <c r="B5929" s="0" t="s">
        <v>129</v>
      </c>
      <c r="E5929" s="7" t="n">
        <f aca="false">Sens!E5928/Sens!D5928-1</f>
        <v>-0.0709869963760392</v>
      </c>
      <c r="F5929" s="7" t="n">
        <f aca="false">Sens!$E$5929+(glt_xbox-Sens!$E$5929)*MIN(1,(Sens!F5872-base_fy)/n_conv)</f>
        <v>-0.0558224969800327</v>
      </c>
      <c r="G5929" s="7" t="n">
        <f aca="false">Sens!$E$5929+(glt_xbox-Sens!$E$5929)*MIN(1,(Sens!G5872-base_fy)/n_conv)</f>
        <v>-0.0406579975840262</v>
      </c>
      <c r="H5929" s="7" t="n">
        <f aca="false">Sens!$E$5929+(glt_xbox-Sens!$E$5929)*MIN(1,(Sens!H5872-base_fy)/n_conv)</f>
        <v>-0.0254934981880196</v>
      </c>
      <c r="I5929" s="7" t="n">
        <f aca="false">Sens!$E$5929+(glt_xbox-Sens!$E$5929)*MIN(1,(Sens!I5872-base_fy)/n_conv)</f>
        <v>-0.0103289987920131</v>
      </c>
      <c r="J5929" s="7" t="n">
        <f aca="false">Sens!$E$5929+(glt_xbox-Sens!$E$5929)*MIN(1,(Sens!J5872-base_fy)/n_conv)</f>
        <v>0.00483550060399347</v>
      </c>
      <c r="K5929" s="7" t="n">
        <f aca="false">Sens!$E$5929+(glt_xbox-Sens!$E$5929)*MIN(1,(Sens!K5872-base_fy)/n_conv)</f>
        <v>0.02</v>
      </c>
    </row>
    <row r="5930" customFormat="false" ht="15" hidden="false" customHeight="false" outlineLevel="0" collapsed="false">
      <c r="A5930" s="0" t="s">
        <v>889</v>
      </c>
      <c r="B5930" s="0" t="s">
        <v>98</v>
      </c>
      <c r="D5930" s="6" t="n">
        <f aca="false">Q!L15</f>
        <v>17.315</v>
      </c>
      <c r="E5930" s="6" t="n">
        <f aca="false">Q!M15</f>
        <v>17.087</v>
      </c>
      <c r="F5930" s="6" t="n">
        <f aca="false">Sens!E5930*(1+Sens!F5931)</f>
        <v>16.9564585436519</v>
      </c>
      <c r="G5930" s="6" t="n">
        <f aca="false">Sens!F5930*(1+Sens!G5931)</f>
        <v>16.9206490624268</v>
      </c>
      <c r="H5930" s="6" t="n">
        <f aca="false">Sens!G5930*(1+Sens!H5931)</f>
        <v>16.9784519149849</v>
      </c>
      <c r="I5930" s="6" t="n">
        <f aca="false">Sens!H5930*(1+Sens!I5931)</f>
        <v>17.1303084701817</v>
      </c>
      <c r="J5930" s="6" t="n">
        <f aca="false">Sens!I5930*(1+Sens!J5931)</f>
        <v>17.3782189407267</v>
      </c>
      <c r="K5930" s="6" t="n">
        <f aca="false">Sens!J5930*(1+Sens!K5931)</f>
        <v>17.7257833195413</v>
      </c>
    </row>
    <row r="5931" customFormat="false" ht="15" hidden="false" customHeight="false" outlineLevel="0" collapsed="false">
      <c r="A5931" s="1" t="s">
        <v>876</v>
      </c>
      <c r="B5931" s="0" t="s">
        <v>129</v>
      </c>
      <c r="E5931" s="7" t="n">
        <f aca="false">Sens!E5930/Sens!D5930-1</f>
        <v>-0.0131677736066995</v>
      </c>
      <c r="F5931" s="7" t="n">
        <f aca="false">Sens!$E$5931+(glt_win-Sens!$E$5931)*MIN(1,(Sens!F5872-base_fy)/n_conv)</f>
        <v>-0.00763981133891627</v>
      </c>
      <c r="G5931" s="7" t="n">
        <f aca="false">Sens!$E$5931+(glt_win-Sens!$E$5931)*MIN(1,(Sens!G5872-base_fy)/n_conv)</f>
        <v>-0.00211184907113301</v>
      </c>
      <c r="H5931" s="7" t="n">
        <f aca="false">Sens!$E$5931+(glt_win-Sens!$E$5931)*MIN(1,(Sens!H5872-base_fy)/n_conv)</f>
        <v>0.00341611319665024</v>
      </c>
      <c r="I5931" s="7" t="n">
        <f aca="false">Sens!$E$5931+(glt_win-Sens!$E$5931)*MIN(1,(Sens!I5872-base_fy)/n_conv)</f>
        <v>0.00894407546443349</v>
      </c>
      <c r="J5931" s="7" t="n">
        <f aca="false">Sens!$E$5931+(glt_win-Sens!$E$5931)*MIN(1,(Sens!J5872-base_fy)/n_conv)</f>
        <v>0.0144720377322168</v>
      </c>
      <c r="K5931" s="7" t="n">
        <f aca="false">Sens!$E$5931+(glt_win-Sens!$E$5931)*MIN(1,(Sens!K5872-base_fy)/n_conv)</f>
        <v>0.02</v>
      </c>
    </row>
    <row r="5932" customFormat="false" ht="15" hidden="false" customHeight="false" outlineLevel="0" collapsed="false">
      <c r="A5932" s="0" t="s">
        <v>729</v>
      </c>
      <c r="B5932" s="0" t="s">
        <v>98</v>
      </c>
      <c r="D5932" s="6" t="n">
        <f aca="false">Sens!D5926+Sens!D5928+Sens!D5930</f>
        <v>62.941</v>
      </c>
      <c r="E5932" s="6" t="n">
        <f aca="false">Sens!E5926+Sens!E5928+Sens!E5930</f>
        <v>63.712</v>
      </c>
      <c r="F5932" s="6" t="n">
        <f aca="false">Sens!F5926+Sens!F5928+Sens!F5930</f>
        <v>65.1415764563129</v>
      </c>
      <c r="G5932" s="6" t="n">
        <f aca="false">Sens!G5926+Sens!G5928+Sens!G5930</f>
        <v>67.1253610780702</v>
      </c>
      <c r="H5932" s="6" t="n">
        <f aca="false">Sens!H5926+Sens!H5928+Sens!H5930</f>
        <v>69.5768050148776</v>
      </c>
      <c r="I5932" s="6" t="n">
        <f aca="false">Sens!I5926+Sens!I5928+Sens!I5930</f>
        <v>72.4233188088189</v>
      </c>
      <c r="J5932" s="6" t="n">
        <f aca="false">Sens!J5926+Sens!J5928+Sens!J5930</f>
        <v>75.6044096678567</v>
      </c>
      <c r="K5932" s="6" t="n">
        <f aca="false">Sens!K5926+Sens!K5928+Sens!K5930</f>
        <v>79.0714397009747</v>
      </c>
    </row>
    <row r="5933" customFormat="false" ht="15" hidden="false" customHeight="false" outlineLevel="0" collapsed="false">
      <c r="A5933" s="1" t="s">
        <v>890</v>
      </c>
      <c r="B5933" s="0" t="s">
        <v>98</v>
      </c>
      <c r="D5933" s="6" t="n">
        <f aca="false">Sens!D5925+Sens!D5932</f>
        <v>281.724</v>
      </c>
      <c r="E5933" s="6" t="n">
        <f aca="false">Sens!E5925+Sens!E5932</f>
        <v>331.839</v>
      </c>
      <c r="F5933" s="6" t="n">
        <f aca="false">Sens!F5925+Sens!F5932</f>
        <v>406.825517363364</v>
      </c>
      <c r="G5933" s="6" t="n">
        <f aca="false">Sens!G5925+Sens!G5932</f>
        <v>498.366031959962</v>
      </c>
      <c r="H5933" s="6" t="n">
        <f aca="false">Sens!H5925+Sens!H5932</f>
        <v>596.473080296262</v>
      </c>
      <c r="I5933" s="6" t="n">
        <f aca="false">Sens!I5925+Sens!I5932</f>
        <v>679.912079253422</v>
      </c>
      <c r="J5933" s="6" t="n">
        <f aca="false">Sens!J5925+Sens!J5932</f>
        <v>747.075831531211</v>
      </c>
      <c r="K5933" s="6" t="n">
        <f aca="false">Sens!K5925+Sens!K5932</f>
        <v>801.844361000218</v>
      </c>
    </row>
    <row r="5934" customFormat="false" ht="15" hidden="false" customHeight="false" outlineLevel="0" collapsed="false">
      <c r="A5934" s="23" t="s">
        <v>891</v>
      </c>
      <c r="B5934" s="30" t="s">
        <v>98</v>
      </c>
      <c r="C5934" s="30"/>
      <c r="D5934" s="24" t="n">
        <f aca="false">(Sens!D5913+Sens!D5918+Sens!D5919+Sens!D5921+Sens!D5923-Sens!D5925)+(Sens!D5926+Sens!D5928+Sens!D5930-Sens!D5932)+(Sens!D5925-Q!L5)+(Sens!D5932-Q!L12)+(Sens!D5913-Q!L6)+(Sens!D5918-Q!L7)</f>
        <v>0</v>
      </c>
      <c r="E5934" s="24" t="n">
        <f aca="false">(Sens!E5913+Sens!E5918+Sens!E5919+Sens!E5921+Sens!E5923-Sens!E5925)+(Sens!E5926+Sens!E5928+Sens!E5930-Sens!E5932)+(Sens!E5925-Q!M5)+(Sens!E5932-Q!M12)+(Sens!E5913-Q!M6)+(Sens!E5918-Q!M7)</f>
        <v>0</v>
      </c>
      <c r="F5934" s="24" t="n">
        <f aca="false">(Sens!F5913+Sens!F5918+Sens!F5919+Sens!F5921+Sens!F5923-Sens!F5925)+(Sens!F5926+Sens!F5928+Sens!F5930-Sens!F5932)</f>
        <v>0</v>
      </c>
      <c r="G5934" s="24" t="n">
        <f aca="false">(Sens!G5913+Sens!G5918+Sens!G5919+Sens!G5921+Sens!G5923-Sens!G5925)+(Sens!G5926+Sens!G5928+Sens!G5930-Sens!G5932)</f>
        <v>0</v>
      </c>
      <c r="H5934" s="24" t="n">
        <f aca="false">(Sens!H5913+Sens!H5918+Sens!H5919+Sens!H5921+Sens!H5923-Sens!H5925)+(Sens!H5926+Sens!H5928+Sens!H5930-Sens!H5932)</f>
        <v>0</v>
      </c>
      <c r="I5934" s="24" t="n">
        <f aca="false">(Sens!I5913+Sens!I5918+Sens!I5919+Sens!I5921+Sens!I5923-Sens!I5925)+(Sens!I5926+Sens!I5928+Sens!I5930-Sens!I5932)</f>
        <v>0</v>
      </c>
      <c r="J5934" s="24" t="n">
        <f aca="false">(Sens!J5913+Sens!J5918+Sens!J5919+Sens!J5921+Sens!J5923-Sens!J5925)+(Sens!J5926+Sens!J5928+Sens!J5930-Sens!J5932)</f>
        <v>0</v>
      </c>
      <c r="K5934" s="24" t="n">
        <f aca="false">(Sens!K5913+Sens!K5918+Sens!K5919+Sens!K5921+Sens!K5923-Sens!K5925)+(Sens!K5926+Sens!K5928+Sens!K5930-Sens!K5932)</f>
        <v>0</v>
      </c>
    </row>
    <row r="5935" customFormat="false" ht="17.15" hidden="false" customHeight="false" outlineLevel="0" collapsed="false">
      <c r="A5935" s="3" t="s">
        <v>1414</v>
      </c>
    </row>
    <row r="5936" customFormat="false" ht="15" hidden="false" customHeight="false" outlineLevel="0" collapsed="false">
      <c r="A5936" s="4" t="s">
        <v>43</v>
      </c>
      <c r="B5936" s="4" t="s">
        <v>65</v>
      </c>
      <c r="C5936" s="20" t="s">
        <v>799</v>
      </c>
      <c r="D5936" s="20" t="s">
        <v>800</v>
      </c>
      <c r="E5936" s="20" t="s">
        <v>801</v>
      </c>
      <c r="F5936" s="20" t="s">
        <v>802</v>
      </c>
      <c r="G5936" s="20" t="s">
        <v>803</v>
      </c>
      <c r="H5936" s="20" t="s">
        <v>804</v>
      </c>
      <c r="I5936" s="20" t="s">
        <v>805</v>
      </c>
      <c r="J5936" s="20" t="s">
        <v>806</v>
      </c>
      <c r="K5936" s="20" t="s">
        <v>807</v>
      </c>
      <c r="L5936" s="4" t="s">
        <v>47</v>
      </c>
    </row>
    <row r="5937" customFormat="false" ht="15" hidden="false" customHeight="false" outlineLevel="0" collapsed="false">
      <c r="A5937" s="0" t="s">
        <v>877</v>
      </c>
      <c r="B5937" s="0" t="s">
        <v>98</v>
      </c>
      <c r="D5937" s="6" t="n">
        <f aca="false">Sens!D5913</f>
        <v>72.61</v>
      </c>
      <c r="E5937" s="6" t="n">
        <f aca="false">Sens!E5913</f>
        <v>101.938</v>
      </c>
      <c r="F5937" s="6" t="n">
        <f aca="false">Sens!F5913</f>
        <v>148.812368967868</v>
      </c>
      <c r="G5937" s="6" t="n">
        <f aca="false">Sens!G5913</f>
        <v>208.397514344463</v>
      </c>
      <c r="H5937" s="6" t="n">
        <f aca="false">Sens!H5913</f>
        <v>274.05759259987</v>
      </c>
      <c r="I5937" s="6" t="n">
        <f aca="false">Sens!I5913</f>
        <v>328.302405465117</v>
      </c>
      <c r="J5937" s="6" t="n">
        <f aca="false">Sens!J5913</f>
        <v>369.905524759186</v>
      </c>
      <c r="K5937" s="6" t="n">
        <f aca="false">Sens!K5913</f>
        <v>399.753851959067</v>
      </c>
    </row>
    <row r="5938" customFormat="false" ht="17.15" hidden="false" customHeight="false" outlineLevel="0" collapsed="false">
      <c r="A5938" s="0" t="s">
        <v>874</v>
      </c>
      <c r="B5938" s="0" t="s">
        <v>98</v>
      </c>
      <c r="D5938" s="6" t="n">
        <f aca="false">Sens!D5910</f>
        <v>12.9359794422418</v>
      </c>
      <c r="E5938" s="6" t="n">
        <f aca="false">Sens!E5910</f>
        <v>27.8095064661409</v>
      </c>
      <c r="F5938" s="6" t="n">
        <f aca="false">Sens!F5910</f>
        <v>58.7324192305018</v>
      </c>
      <c r="G5938" s="6" t="n">
        <f aca="false">Sens!G5910</f>
        <v>101.369089141153</v>
      </c>
      <c r="H5938" s="6" t="n">
        <f aca="false">Sens!H5910</f>
        <v>149.785610014234</v>
      </c>
      <c r="I5938" s="6" t="n">
        <f aca="false">Sens!I5910</f>
        <v>187.368703083263</v>
      </c>
      <c r="J5938" s="6" t="n">
        <f aca="false">Sens!J5910</f>
        <v>213.886657444854</v>
      </c>
      <c r="K5938" s="6" t="n">
        <f aca="false">Sens!K5910</f>
        <v>231.253475259589</v>
      </c>
    </row>
    <row r="5939" customFormat="false" ht="17.15" hidden="false" customHeight="false" outlineLevel="0" collapsed="false">
      <c r="A5939" s="0" t="s">
        <v>902</v>
      </c>
      <c r="B5939" s="0" t="s">
        <v>98</v>
      </c>
      <c r="D5939" s="6" t="n">
        <f aca="false">Sens!D5911</f>
        <v>59.6740205577583</v>
      </c>
      <c r="E5939" s="6" t="n">
        <f aca="false">Sens!E5911</f>
        <v>74.1284935338591</v>
      </c>
      <c r="F5939" s="6" t="n">
        <f aca="false">Sens!F5911</f>
        <v>90.0799497373663</v>
      </c>
      <c r="G5939" s="6" t="n">
        <f aca="false">Sens!G5911</f>
        <v>107.02842520331</v>
      </c>
      <c r="H5939" s="6" t="n">
        <f aca="false">Sens!H5911</f>
        <v>124.271982585636</v>
      </c>
      <c r="I5939" s="6" t="n">
        <f aca="false">Sens!I5911</f>
        <v>140.933702381855</v>
      </c>
      <c r="J5939" s="6" t="n">
        <f aca="false">Sens!J5911</f>
        <v>156.018867314332</v>
      </c>
      <c r="K5939" s="6" t="n">
        <f aca="false">Sens!K5911</f>
        <v>168.500376699478</v>
      </c>
    </row>
    <row r="5940" customFormat="false" ht="15" hidden="false" customHeight="false" outlineLevel="0" collapsed="false">
      <c r="A5940" s="0" t="s">
        <v>883</v>
      </c>
      <c r="B5940" s="0" t="s">
        <v>98</v>
      </c>
      <c r="D5940" s="6" t="n">
        <f aca="false">Sens!D5918</f>
        <v>84.605</v>
      </c>
      <c r="E5940" s="6" t="n">
        <f aca="false">Sens!E5918</f>
        <v>100.299</v>
      </c>
      <c r="F5940" s="6" t="n">
        <f aca="false">Sens!F5918</f>
        <v>122.64238776686</v>
      </c>
      <c r="G5940" s="6" t="n">
        <f aca="false">Sens!G5918</f>
        <v>148.294168448684</v>
      </c>
      <c r="H5940" s="6" t="n">
        <f aca="false">Sens!H5918</f>
        <v>174.027359388781</v>
      </c>
      <c r="I5940" s="6" t="n">
        <f aca="false">Sens!I5918</f>
        <v>196.209028071957</v>
      </c>
      <c r="J5940" s="6" t="n">
        <f aca="false">Sens!J5918</f>
        <v>214.557702785465</v>
      </c>
      <c r="K5940" s="6" t="n">
        <f aca="false">Sens!K5918</f>
        <v>232.152991980448</v>
      </c>
    </row>
    <row r="5941" customFormat="false" ht="17.15" hidden="false" customHeight="false" outlineLevel="0" collapsed="false">
      <c r="A5941" s="0" t="s">
        <v>903</v>
      </c>
      <c r="B5941" s="0" t="s">
        <v>98</v>
      </c>
      <c r="D5941" s="6" t="n">
        <f aca="false">Sens!D5916</f>
        <v>83.705</v>
      </c>
      <c r="E5941" s="6" t="n">
        <f aca="false">Sens!E5916</f>
        <v>95.049</v>
      </c>
      <c r="F5941" s="6" t="n">
        <f aca="false">Sens!F5916</f>
        <v>106.89238776686</v>
      </c>
      <c r="G5941" s="6" t="n">
        <f aca="false">Sens!G5916</f>
        <v>119.044168448684</v>
      </c>
      <c r="H5941" s="6" t="n">
        <f aca="false">Sens!H5916</f>
        <v>131.277359388781</v>
      </c>
      <c r="I5941" s="6" t="n">
        <f aca="false">Sens!I5916</f>
        <v>143.334028071957</v>
      </c>
      <c r="J5941" s="6" t="n">
        <f aca="false">Sens!J5916</f>
        <v>154.932702785465</v>
      </c>
      <c r="K5941" s="6" t="n">
        <f aca="false">Sens!K5916</f>
        <v>165.777991980448</v>
      </c>
    </row>
    <row r="5942" customFormat="false" ht="17.15" hidden="false" customHeight="false" outlineLevel="0" collapsed="false">
      <c r="A5942" s="0" t="s">
        <v>904</v>
      </c>
      <c r="B5942" s="0" t="s">
        <v>98</v>
      </c>
      <c r="D5942" s="6" t="n">
        <f aca="false">Sens!D5915</f>
        <v>0.9</v>
      </c>
      <c r="E5942" s="6" t="n">
        <f aca="false">Sens!E5915</f>
        <v>5.25</v>
      </c>
      <c r="F5942" s="6" t="n">
        <f aca="false">Sens!F5915</f>
        <v>15.75</v>
      </c>
      <c r="G5942" s="6" t="n">
        <f aca="false">Sens!G5915</f>
        <v>29.25</v>
      </c>
      <c r="H5942" s="6" t="n">
        <f aca="false">Sens!H5915</f>
        <v>42.75</v>
      </c>
      <c r="I5942" s="6" t="n">
        <f aca="false">Sens!I5915</f>
        <v>52.875</v>
      </c>
      <c r="J5942" s="6" t="n">
        <f aca="false">Sens!J5915</f>
        <v>59.625</v>
      </c>
      <c r="K5942" s="6" t="n">
        <f aca="false">Sens!K5915</f>
        <v>66.375</v>
      </c>
    </row>
    <row r="5943" customFormat="false" ht="15" hidden="false" customHeight="false" outlineLevel="0" collapsed="false">
      <c r="A5943" s="0" t="s">
        <v>884</v>
      </c>
      <c r="B5943" s="0" t="s">
        <v>98</v>
      </c>
      <c r="D5943" s="6" t="n">
        <f aca="false">Sens!D5919</f>
        <v>35.391</v>
      </c>
      <c r="E5943" s="6" t="n">
        <f aca="false">Sens!E5919</f>
        <v>37.285</v>
      </c>
      <c r="F5943" s="6" t="n">
        <f aca="false">Sens!F5919</f>
        <v>39.0720834331704</v>
      </c>
      <c r="G5943" s="6" t="n">
        <f aca="false">Sens!G5919</f>
        <v>40.726562953769</v>
      </c>
      <c r="H5943" s="6" t="n">
        <f aca="false">Sens!H5919</f>
        <v>42.2235987259198</v>
      </c>
      <c r="I5943" s="6" t="n">
        <f aca="false">Sens!I5919</f>
        <v>43.5397988077414</v>
      </c>
      <c r="J5943" s="6" t="n">
        <f aca="false">Sens!J5919</f>
        <v>44.653811225693</v>
      </c>
      <c r="K5943" s="6" t="n">
        <f aca="false">Sens!K5919</f>
        <v>45.5468874502068</v>
      </c>
    </row>
    <row r="5944" customFormat="false" ht="15" hidden="false" customHeight="false" outlineLevel="0" collapsed="false">
      <c r="A5944" s="0" t="s">
        <v>885</v>
      </c>
      <c r="B5944" s="0" t="s">
        <v>98</v>
      </c>
      <c r="D5944" s="6" t="n">
        <f aca="false">Sens!D5921</f>
        <v>18.417</v>
      </c>
      <c r="E5944" s="6" t="n">
        <f aca="false">Sens!E5921</f>
        <v>20.345</v>
      </c>
      <c r="F5944" s="6" t="n">
        <f aca="false">Sens!F5921</f>
        <v>22.3572203267814</v>
      </c>
      <c r="G5944" s="6" t="n">
        <f aca="false">Sens!G5921</f>
        <v>24.4392124437232</v>
      </c>
      <c r="H5944" s="6" t="n">
        <f aca="false">Sens!H5921</f>
        <v>26.5738052080665</v>
      </c>
      <c r="I5944" s="6" t="n">
        <f aca="false">Sens!I5921</f>
        <v>28.7412169166967</v>
      </c>
      <c r="J5944" s="6" t="n">
        <f aca="false">Sens!J5921</f>
        <v>30.9192545395413</v>
      </c>
      <c r="K5944" s="6" t="n">
        <f aca="false">Sens!K5921</f>
        <v>33.0836023573092</v>
      </c>
    </row>
    <row r="5945" customFormat="false" ht="15" hidden="false" customHeight="false" outlineLevel="0" collapsed="false">
      <c r="A5945" s="0" t="s">
        <v>886</v>
      </c>
      <c r="B5945" s="0" t="s">
        <v>98</v>
      </c>
      <c r="D5945" s="6" t="n">
        <f aca="false">Sens!D5923</f>
        <v>7.76</v>
      </c>
      <c r="E5945" s="6" t="n">
        <f aca="false">Sens!E5923</f>
        <v>8.26</v>
      </c>
      <c r="F5945" s="6" t="n">
        <f aca="false">Sens!F5923</f>
        <v>8.79988041237113</v>
      </c>
      <c r="G5945" s="6" t="n">
        <f aca="false">Sens!G5923</f>
        <v>9.38321269125306</v>
      </c>
      <c r="H5945" s="6" t="n">
        <f aca="false">Sens!H5923</f>
        <v>10.0139193587476</v>
      </c>
      <c r="I5945" s="6" t="n">
        <f aca="false">Sens!I5923</f>
        <v>10.6963111830911</v>
      </c>
      <c r="J5945" s="6" t="n">
        <f aca="false">Sens!J5923</f>
        <v>11.4351285534696</v>
      </c>
      <c r="K5945" s="6" t="n">
        <f aca="false">Sens!K5923</f>
        <v>12.2355875522124</v>
      </c>
    </row>
    <row r="5946" customFormat="false" ht="15" hidden="false" customHeight="false" outlineLevel="0" collapsed="false">
      <c r="A5946" s="0" t="s">
        <v>715</v>
      </c>
      <c r="B5946" s="0" t="s">
        <v>98</v>
      </c>
      <c r="D5946" s="6" t="n">
        <f aca="false">Sens!D5925</f>
        <v>218.783</v>
      </c>
      <c r="E5946" s="6" t="n">
        <f aca="false">Sens!E5925</f>
        <v>268.127</v>
      </c>
      <c r="F5946" s="6" t="n">
        <f aca="false">Sens!F5925</f>
        <v>341.683940907051</v>
      </c>
      <c r="G5946" s="6" t="n">
        <f aca="false">Sens!G5925</f>
        <v>431.240670881892</v>
      </c>
      <c r="H5946" s="6" t="n">
        <f aca="false">Sens!H5925</f>
        <v>526.896275281385</v>
      </c>
      <c r="I5946" s="6" t="n">
        <f aca="false">Sens!I5925</f>
        <v>607.488760444604</v>
      </c>
      <c r="J5946" s="6" t="n">
        <f aca="false">Sens!J5925</f>
        <v>671.471421863355</v>
      </c>
      <c r="K5946" s="6" t="n">
        <f aca="false">Sens!K5925</f>
        <v>722.772921299244</v>
      </c>
    </row>
    <row r="5947" customFormat="false" ht="15" hidden="false" customHeight="false" outlineLevel="0" collapsed="false">
      <c r="A5947" s="0" t="s">
        <v>887</v>
      </c>
      <c r="B5947" s="0" t="s">
        <v>98</v>
      </c>
      <c r="D5947" s="6" t="n">
        <f aca="false">Sens!D5926</f>
        <v>22.171</v>
      </c>
      <c r="E5947" s="6" t="n">
        <f aca="false">Sens!E5926</f>
        <v>24.835</v>
      </c>
      <c r="F5947" s="6" t="n">
        <f aca="false">Sens!F5926</f>
        <v>27.6114901218559</v>
      </c>
      <c r="G5947" s="6" t="n">
        <f aca="false">Sens!G5926</f>
        <v>30.4675667338515</v>
      </c>
      <c r="H5947" s="6" t="n">
        <f aca="false">Sens!H5926</f>
        <v>33.3643766955789</v>
      </c>
      <c r="I5947" s="6" t="n">
        <f aca="false">Sens!I5926</f>
        <v>36.2577016533691</v>
      </c>
      <c r="J5947" s="6" t="n">
        <f aca="false">Sens!J5926</f>
        <v>39.0988367952171</v>
      </c>
      <c r="K5947" s="6" t="n">
        <f aca="false">Sens!K5926</f>
        <v>41.8357553708823</v>
      </c>
    </row>
    <row r="5948" customFormat="false" ht="15" hidden="false" customHeight="false" outlineLevel="0" collapsed="false">
      <c r="A5948" s="0" t="s">
        <v>888</v>
      </c>
      <c r="B5948" s="0" t="s">
        <v>98</v>
      </c>
      <c r="D5948" s="6" t="n">
        <f aca="false">Sens!D5928</f>
        <v>23.455</v>
      </c>
      <c r="E5948" s="6" t="n">
        <f aca="false">Sens!E5928</f>
        <v>21.79</v>
      </c>
      <c r="F5948" s="6" t="n">
        <f aca="false">Sens!F5928</f>
        <v>20.5736277908051</v>
      </c>
      <c r="G5948" s="6" t="n">
        <f aca="false">Sens!G5928</f>
        <v>19.7371452817919</v>
      </c>
      <c r="H5948" s="6" t="n">
        <f aca="false">Sens!H5928</f>
        <v>19.2339764043138</v>
      </c>
      <c r="I5948" s="6" t="n">
        <f aca="false">Sens!I5928</f>
        <v>19.0353086852681</v>
      </c>
      <c r="J5948" s="6" t="n">
        <f aca="false">Sens!J5928</f>
        <v>19.1273539319129</v>
      </c>
      <c r="K5948" s="6" t="n">
        <f aca="false">Sens!K5928</f>
        <v>19.5099010105511</v>
      </c>
    </row>
    <row r="5949" customFormat="false" ht="15" hidden="false" customHeight="false" outlineLevel="0" collapsed="false">
      <c r="A5949" s="0" t="s">
        <v>889</v>
      </c>
      <c r="B5949" s="0" t="s">
        <v>98</v>
      </c>
      <c r="D5949" s="6" t="n">
        <f aca="false">Sens!D5930</f>
        <v>17.315</v>
      </c>
      <c r="E5949" s="6" t="n">
        <f aca="false">Sens!E5930</f>
        <v>17.087</v>
      </c>
      <c r="F5949" s="6" t="n">
        <f aca="false">Sens!F5930</f>
        <v>16.9564585436519</v>
      </c>
      <c r="G5949" s="6" t="n">
        <f aca="false">Sens!G5930</f>
        <v>16.9206490624268</v>
      </c>
      <c r="H5949" s="6" t="n">
        <f aca="false">Sens!H5930</f>
        <v>16.9784519149849</v>
      </c>
      <c r="I5949" s="6" t="n">
        <f aca="false">Sens!I5930</f>
        <v>17.1303084701817</v>
      </c>
      <c r="J5949" s="6" t="n">
        <f aca="false">Sens!J5930</f>
        <v>17.3782189407267</v>
      </c>
      <c r="K5949" s="6" t="n">
        <f aca="false">Sens!K5930</f>
        <v>17.7257833195413</v>
      </c>
    </row>
    <row r="5950" customFormat="false" ht="15" hidden="false" customHeight="false" outlineLevel="0" collapsed="false">
      <c r="A5950" s="0" t="s">
        <v>729</v>
      </c>
      <c r="B5950" s="0" t="s">
        <v>98</v>
      </c>
      <c r="D5950" s="6" t="n">
        <f aca="false">Sens!D5932</f>
        <v>62.941</v>
      </c>
      <c r="E5950" s="6" t="n">
        <f aca="false">Sens!E5932</f>
        <v>63.712</v>
      </c>
      <c r="F5950" s="6" t="n">
        <f aca="false">Sens!F5932</f>
        <v>65.1415764563129</v>
      </c>
      <c r="G5950" s="6" t="n">
        <f aca="false">Sens!G5932</f>
        <v>67.1253610780702</v>
      </c>
      <c r="H5950" s="6" t="n">
        <f aca="false">Sens!H5932</f>
        <v>69.5768050148776</v>
      </c>
      <c r="I5950" s="6" t="n">
        <f aca="false">Sens!I5932</f>
        <v>72.4233188088189</v>
      </c>
      <c r="J5950" s="6" t="n">
        <f aca="false">Sens!J5932</f>
        <v>75.6044096678567</v>
      </c>
      <c r="K5950" s="6" t="n">
        <f aca="false">Sens!K5932</f>
        <v>79.0714397009747</v>
      </c>
    </row>
    <row r="5951" customFormat="false" ht="15" hidden="false" customHeight="false" outlineLevel="0" collapsed="false">
      <c r="A5951" s="1" t="s">
        <v>905</v>
      </c>
      <c r="B5951" s="0" t="s">
        <v>98</v>
      </c>
      <c r="D5951" s="6" t="n">
        <f aca="false">Sens!D5933</f>
        <v>281.724</v>
      </c>
      <c r="E5951" s="6" t="n">
        <f aca="false">Sens!E5933</f>
        <v>331.839</v>
      </c>
      <c r="F5951" s="6" t="n">
        <f aca="false">Sens!F5933</f>
        <v>406.825517363364</v>
      </c>
      <c r="G5951" s="6" t="n">
        <f aca="false">Sens!G5933</f>
        <v>498.366031959962</v>
      </c>
      <c r="H5951" s="6" t="n">
        <f aca="false">Sens!H5933</f>
        <v>596.473080296262</v>
      </c>
      <c r="I5951" s="6" t="n">
        <f aca="false">Sens!I5933</f>
        <v>679.912079253422</v>
      </c>
      <c r="J5951" s="6" t="n">
        <f aca="false">Sens!J5933</f>
        <v>747.075831531211</v>
      </c>
      <c r="K5951" s="6" t="n">
        <f aca="false">Sens!K5933</f>
        <v>801.844361000218</v>
      </c>
    </row>
    <row r="5952" customFormat="false" ht="15" hidden="false" customHeight="false" outlineLevel="0" collapsed="false">
      <c r="A5952" s="1" t="s">
        <v>906</v>
      </c>
      <c r="B5952" s="0" t="s">
        <v>129</v>
      </c>
      <c r="E5952" s="7" t="n">
        <f aca="false">Sens!E5951/Sens!D5951-1</f>
        <v>0.177886867998467</v>
      </c>
      <c r="F5952" s="7" t="n">
        <f aca="false">Sens!F5951/Sens!E5951-1</f>
        <v>0.225972587198502</v>
      </c>
      <c r="G5952" s="7" t="n">
        <f aca="false">Sens!G5951/Sens!F5951-1</f>
        <v>0.225011732769057</v>
      </c>
      <c r="H5952" s="7" t="n">
        <f aca="false">Sens!H5951/Sens!G5951-1</f>
        <v>0.19685741411883</v>
      </c>
      <c r="I5952" s="7" t="n">
        <f aca="false">Sens!I5951/Sens!H5951-1</f>
        <v>0.139887283623457</v>
      </c>
      <c r="J5952" s="7" t="n">
        <f aca="false">Sens!J5951/Sens!I5951-1</f>
        <v>0.0987829961066997</v>
      </c>
      <c r="K5952" s="7" t="n">
        <f aca="false">Sens!K5951/Sens!J5951-1</f>
        <v>0.0733105357681738</v>
      </c>
    </row>
    <row r="5953" customFormat="false" ht="17.15" hidden="false" customHeight="false" outlineLevel="0" collapsed="false">
      <c r="A5953" s="23" t="s">
        <v>907</v>
      </c>
      <c r="B5953" s="30" t="s">
        <v>98</v>
      </c>
      <c r="C5953" s="30"/>
      <c r="D5953" s="24" t="n">
        <f aca="false">(Sens!D5946+Sens!D5950-Sens!D5951)+(Sens!D5938+Sens!D5939-Sens!D5937)+(Sens!D5941+Sens!D5942-Sens!D5940)+(Sens!D5951-Q!L18)</f>
        <v>0</v>
      </c>
      <c r="E5953" s="24" t="n">
        <f aca="false">(Sens!E5946+Sens!E5950-Sens!E5951)+(Sens!E5938+Sens!E5939-Sens!E5937)+(Sens!E5941+Sens!E5942-Sens!E5940)+(Sens!E5951-Q!M18)</f>
        <v>0</v>
      </c>
      <c r="F5953" s="24" t="n">
        <f aca="false">(Sens!F5946+Sens!F5950-Sens!F5951)+(Sens!F5938+Sens!F5939-Sens!F5937)+(Sens!F5941+Sens!F5942-Sens!F5940)</f>
        <v>0</v>
      </c>
      <c r="G5953" s="24" t="n">
        <f aca="false">(Sens!G5946+Sens!G5950-Sens!G5951)+(Sens!G5938+Sens!G5939-Sens!G5937)+(Sens!G5941+Sens!G5942-Sens!G5940)</f>
        <v>0</v>
      </c>
      <c r="H5953" s="24" t="n">
        <f aca="false">(Sens!H5946+Sens!H5950-Sens!H5951)+(Sens!H5938+Sens!H5939-Sens!H5937)+(Sens!H5941+Sens!H5942-Sens!H5940)</f>
        <v>0</v>
      </c>
      <c r="I5953" s="24" t="n">
        <f aca="false">(Sens!I5946+Sens!I5950-Sens!I5951)+(Sens!I5938+Sens!I5939-Sens!I5937)+(Sens!I5941+Sens!I5942-Sens!I5940)</f>
        <v>0</v>
      </c>
      <c r="J5953" s="24" t="n">
        <f aca="false">(Sens!J5946+Sens!J5950-Sens!J5951)+(Sens!J5938+Sens!J5939-Sens!J5937)+(Sens!J5941+Sens!J5942-Sens!J5940)</f>
        <v>0</v>
      </c>
      <c r="K5953" s="24" t="n">
        <f aca="false">(Sens!K5946+Sens!K5950-Sens!K5951)+(Sens!K5938+Sens!K5939-Sens!K5937)+(Sens!K5941+Sens!K5942-Sens!K5940)</f>
        <v>0</v>
      </c>
    </row>
    <row r="5954" customFormat="false" ht="17.15" hidden="false" customHeight="false" outlineLevel="0" collapsed="false">
      <c r="A5954" s="0" t="s">
        <v>908</v>
      </c>
      <c r="B5954" s="0" t="s">
        <v>129</v>
      </c>
      <c r="E5954" s="7" t="n">
        <f aca="false">(Q!M21+Sens!E5891+Sens!E5892+Sens!E5893+Sens!E5906-Sens!E5889)/(Q!M5-Sens!E5889)</f>
        <v>0.570957350878296</v>
      </c>
      <c r="F5954" s="7" t="n">
        <f aca="false">Sens!$E$5954+dm_seg</f>
        <v>0.570957350878296</v>
      </c>
      <c r="G5954" s="7" t="n">
        <f aca="false">Sens!$E$5954+dm_seg</f>
        <v>0.570957350878296</v>
      </c>
      <c r="H5954" s="7" t="n">
        <f aca="false">Sens!$E$5954+dm_seg</f>
        <v>0.570957350878296</v>
      </c>
      <c r="I5954" s="7" t="n">
        <f aca="false">Sens!$E$5954+dm_seg</f>
        <v>0.570957350878296</v>
      </c>
      <c r="J5954" s="7" t="n">
        <f aca="false">Sens!$E$5954+dm_seg</f>
        <v>0.570957350878296</v>
      </c>
      <c r="K5954" s="7" t="n">
        <f aca="false">Sens!$E$5954+dm_seg</f>
        <v>0.570957350878296</v>
      </c>
      <c r="L5954" s="11" t="s">
        <v>909</v>
      </c>
    </row>
    <row r="5955" customFormat="false" ht="17.15" hidden="false" customHeight="false" outlineLevel="0" collapsed="false">
      <c r="A5955" s="0" t="s">
        <v>743</v>
      </c>
      <c r="B5955" s="0" t="s">
        <v>98</v>
      </c>
      <c r="D5955" s="6" t="n">
        <f aca="false">Q!L21</f>
        <v>110.814</v>
      </c>
      <c r="E5955" s="6" t="n">
        <f aca="false">Q!M21</f>
        <v>136.365</v>
      </c>
      <c r="F5955" s="6" t="n">
        <f aca="false">Sens!F5954*(Sens!F5925-Sens!F5889)+Sens!F5889-(Sens!F5891+Sens!F5892+Sens!F5893)-Sens!F5906-Sens!F5989</f>
        <v>163.3070090268</v>
      </c>
      <c r="G5955" s="6" t="n">
        <f aca="false">Sens!G5954*(Sens!G5925-Sens!G5889)+Sens!G5889-(Sens!G5891+Sens!G5892+Sens!G5893)-Sens!G5906-Sens!G5989</f>
        <v>196.191688615047</v>
      </c>
      <c r="H5955" s="6" t="n">
        <f aca="false">Sens!H5954*(Sens!H5925-Sens!H5889)+Sens!H5889-(Sens!H5891+Sens!H5892+Sens!H5893)-Sens!H5906-Sens!H5989</f>
        <v>233.218345415965</v>
      </c>
      <c r="I5955" s="6" t="n">
        <f aca="false">Sens!I5954*(Sens!I5925-Sens!I5889)+Sens!I5889-(Sens!I5891+Sens!I5892+Sens!I5893)-Sens!I5906-Sens!I5989</f>
        <v>261.47753073731</v>
      </c>
      <c r="J5955" s="6" t="n">
        <f aca="false">Sens!J5954*(Sens!J5925-Sens!J5889)+Sens!J5889-(Sens!J5891+Sens!J5892+Sens!J5893)-Sens!J5906-Sens!J5989</f>
        <v>285.433952834807</v>
      </c>
      <c r="K5955" s="6" t="n">
        <f aca="false">Sens!K5954*(Sens!K5925-Sens!K5889)+Sens!K5889-(Sens!K5891+Sens!K5892+Sens!K5893)-Sens!K5906-Sens!K5989</f>
        <v>307.31343775109</v>
      </c>
      <c r="L5955" s="1" t="s">
        <v>910</v>
      </c>
    </row>
    <row r="5956" customFormat="false" ht="17.15" hidden="false" customHeight="false" outlineLevel="0" collapsed="false">
      <c r="A5956" s="0" t="s">
        <v>911</v>
      </c>
      <c r="B5956" s="0" t="s">
        <v>129</v>
      </c>
      <c r="E5956" s="7" t="n">
        <f aca="false">Q!M22/Q!M12</f>
        <v>0.296207935710698</v>
      </c>
      <c r="F5956" s="7" t="n">
        <f aca="false">Sens!$E$5956+dm_seg</f>
        <v>0.296207935710698</v>
      </c>
      <c r="G5956" s="7" t="n">
        <f aca="false">Sens!$E$5956+dm_seg</f>
        <v>0.296207935710698</v>
      </c>
      <c r="H5956" s="7" t="n">
        <f aca="false">Sens!$E$5956+dm_seg</f>
        <v>0.296207935710698</v>
      </c>
      <c r="I5956" s="7" t="n">
        <f aca="false">Sens!$E$5956+dm_seg</f>
        <v>0.296207935710698</v>
      </c>
      <c r="J5956" s="7" t="n">
        <f aca="false">Sens!$E$5956+dm_seg</f>
        <v>0.296207935710698</v>
      </c>
      <c r="K5956" s="7" t="n">
        <f aca="false">Sens!$E$5956+dm_seg</f>
        <v>0.296207935710698</v>
      </c>
      <c r="L5956" s="11" t="s">
        <v>912</v>
      </c>
    </row>
    <row r="5957" customFormat="false" ht="17.15" hidden="false" customHeight="false" outlineLevel="0" collapsed="false">
      <c r="A5957" s="0" t="s">
        <v>745</v>
      </c>
      <c r="B5957" s="0" t="s">
        <v>98</v>
      </c>
      <c r="D5957" s="6" t="n">
        <f aca="false">Q!L22</f>
        <v>17.714</v>
      </c>
      <c r="E5957" s="6" t="n">
        <f aca="false">Q!M22</f>
        <v>18.872</v>
      </c>
      <c r="F5957" s="6" t="n">
        <f aca="false">Sens!F5932*Sens!F5956</f>
        <v>19.2954518910651</v>
      </c>
      <c r="G5957" s="6" t="n">
        <f aca="false">Sens!G5932*Sens!G5956</f>
        <v>19.8830646387704</v>
      </c>
      <c r="H5957" s="6" t="n">
        <f aca="false">Sens!H5932*Sens!H5956</f>
        <v>20.6092017868026</v>
      </c>
      <c r="I5957" s="6" t="n">
        <f aca="false">Sens!I5932*Sens!I5956</f>
        <v>21.452361761678</v>
      </c>
      <c r="J5957" s="6" t="n">
        <f aca="false">Sens!J5932*Sens!J5956</f>
        <v>22.3946261183418</v>
      </c>
      <c r="K5957" s="6" t="n">
        <f aca="false">Sens!K5932*Sens!K5956</f>
        <v>23.4215879274986</v>
      </c>
    </row>
    <row r="5958" customFormat="false" ht="15" hidden="false" customHeight="false" outlineLevel="0" collapsed="false">
      <c r="A5958" s="1" t="s">
        <v>913</v>
      </c>
      <c r="B5958" s="0" t="s">
        <v>98</v>
      </c>
      <c r="D5958" s="6" t="n">
        <f aca="false">Sens!D5955+Sens!D5957</f>
        <v>128.528</v>
      </c>
      <c r="E5958" s="6" t="n">
        <f aca="false">Sens!E5955+Sens!E5957</f>
        <v>155.237</v>
      </c>
      <c r="F5958" s="6" t="n">
        <f aca="false">Sens!F5955+Sens!F5957</f>
        <v>182.602460917865</v>
      </c>
      <c r="G5958" s="6" t="n">
        <f aca="false">Sens!G5955+Sens!G5957</f>
        <v>216.074753253818</v>
      </c>
      <c r="H5958" s="6" t="n">
        <f aca="false">Sens!H5955+Sens!H5957</f>
        <v>253.827547202768</v>
      </c>
      <c r="I5958" s="6" t="n">
        <f aca="false">Sens!I5955+Sens!I5957</f>
        <v>282.929892498988</v>
      </c>
      <c r="J5958" s="6" t="n">
        <f aca="false">Sens!J5955+Sens!J5957</f>
        <v>307.828578953149</v>
      </c>
      <c r="K5958" s="6" t="n">
        <f aca="false">Sens!K5955+Sens!K5957</f>
        <v>330.735025678588</v>
      </c>
    </row>
    <row r="5959" customFormat="false" ht="15" hidden="false" customHeight="false" outlineLevel="0" collapsed="false">
      <c r="A5959" s="23" t="s">
        <v>914</v>
      </c>
      <c r="B5959" s="30" t="s">
        <v>98</v>
      </c>
      <c r="C5959" s="30"/>
      <c r="D5959" s="24" t="n">
        <f aca="false">Sens!D5958-Q!L23</f>
        <v>0</v>
      </c>
      <c r="E5959" s="24" t="n">
        <f aca="false">Sens!E5958-Q!M23</f>
        <v>0</v>
      </c>
      <c r="F5959" s="30"/>
      <c r="G5959" s="30"/>
      <c r="H5959" s="30"/>
      <c r="I5959" s="30"/>
      <c r="J5959" s="30"/>
      <c r="K5959" s="30"/>
    </row>
    <row r="5960" customFormat="false" ht="15" hidden="false" customHeight="false" outlineLevel="0" collapsed="false">
      <c r="A5960" s="1" t="s">
        <v>915</v>
      </c>
      <c r="B5960" s="0" t="s">
        <v>129</v>
      </c>
      <c r="D5960" s="7" t="n">
        <f aca="false">Sens!D5958/Sens!D5951</f>
        <v>0.456219562408598</v>
      </c>
      <c r="E5960" s="7" t="n">
        <f aca="false">Sens!E5958/Sens!E5951</f>
        <v>0.467808184089272</v>
      </c>
      <c r="F5960" s="7" t="n">
        <f aca="false">Sens!F5958/Sens!F5951</f>
        <v>0.448847117804487</v>
      </c>
      <c r="G5960" s="7" t="n">
        <f aca="false">Sens!G5958/Sens!G5951</f>
        <v>0.433566373703368</v>
      </c>
      <c r="H5960" s="7" t="n">
        <f aca="false">Sens!H5958/Sens!H5951</f>
        <v>0.425547364311386</v>
      </c>
      <c r="I5960" s="7" t="n">
        <f aca="false">Sens!I5958/Sens!I5951</f>
        <v>0.416127174574776</v>
      </c>
      <c r="J5960" s="7" t="n">
        <f aca="false">Sens!J5958/Sens!J5951</f>
        <v>0.412044622461179</v>
      </c>
      <c r="K5960" s="7" t="n">
        <f aca="false">Sens!K5958/Sens!K5951</f>
        <v>0.412467857560326</v>
      </c>
    </row>
    <row r="5961" customFormat="false" ht="17.15" hidden="false" customHeight="false" outlineLevel="0" collapsed="false">
      <c r="A5961" s="1" t="s">
        <v>916</v>
      </c>
      <c r="B5961" s="0" t="s">
        <v>98</v>
      </c>
      <c r="F5961" s="6" t="n">
        <f aca="false">Sens!F5976</f>
        <v>7.15783040816165</v>
      </c>
      <c r="G5961" s="6" t="n">
        <f aca="false">Sens!G5976</f>
        <v>17.5113601633223</v>
      </c>
      <c r="H5961" s="6" t="n">
        <f aca="false">Sens!H5976</f>
        <v>29.3988688690047</v>
      </c>
      <c r="I5961" s="6" t="n">
        <f aca="false">Sens!I5976</f>
        <v>41.0189328926527</v>
      </c>
      <c r="J5961" s="6" t="n">
        <f aca="false">Sens!J5976</f>
        <v>49.3973667678647</v>
      </c>
      <c r="K5961" s="6" t="n">
        <f aca="false">Sens!K5976</f>
        <v>53.2999504441328</v>
      </c>
      <c r="L5961" s="1" t="s">
        <v>917</v>
      </c>
    </row>
    <row r="5962" customFormat="false" ht="17.15" hidden="false" customHeight="false" outlineLevel="0" collapsed="false">
      <c r="A5962" s="1" t="s">
        <v>918</v>
      </c>
      <c r="B5962" s="0" t="s">
        <v>98</v>
      </c>
      <c r="D5962" s="6" t="n">
        <f aca="false">Sens!D5958</f>
        <v>128.528</v>
      </c>
      <c r="E5962" s="6" t="n">
        <f aca="false">Sens!E5958</f>
        <v>155.237</v>
      </c>
      <c r="F5962" s="6" t="n">
        <f aca="false">Sens!F5958+Sens!F5961</f>
        <v>189.760291326027</v>
      </c>
      <c r="G5962" s="6" t="n">
        <f aca="false">Sens!G5958+Sens!G5961</f>
        <v>233.58611341714</v>
      </c>
      <c r="H5962" s="6" t="n">
        <f aca="false">Sens!H5958+Sens!H5961</f>
        <v>283.226416071773</v>
      </c>
      <c r="I5962" s="6" t="n">
        <f aca="false">Sens!I5958+Sens!I5961</f>
        <v>323.94882539164</v>
      </c>
      <c r="J5962" s="6" t="n">
        <f aca="false">Sens!J5958+Sens!J5961</f>
        <v>357.225945721014</v>
      </c>
      <c r="K5962" s="6" t="n">
        <f aca="false">Sens!K5958+Sens!K5961</f>
        <v>384.034976122721</v>
      </c>
    </row>
    <row r="5963" customFormat="false" ht="17.15" hidden="false" customHeight="false" outlineLevel="0" collapsed="false">
      <c r="A5963" s="1" t="s">
        <v>919</v>
      </c>
      <c r="B5963" s="0" t="s">
        <v>98</v>
      </c>
      <c r="E5963" s="6" t="n">
        <f aca="false">Sens!E5906</f>
        <v>16.3054059770833</v>
      </c>
      <c r="F5963" s="6" t="n">
        <f aca="false">Sens!F5906</f>
        <v>34.0498873809555</v>
      </c>
      <c r="G5963" s="6" t="n">
        <f aca="false">Sens!G5906</f>
        <v>59.1254371105111</v>
      </c>
      <c r="H5963" s="6" t="n">
        <f aca="false">Sens!H5906</f>
        <v>86.3610198433111</v>
      </c>
      <c r="I5963" s="6" t="n">
        <f aca="false">Sens!I5906</f>
        <v>110.605743832393</v>
      </c>
      <c r="J5963" s="6" t="n">
        <f aca="false">Sens!J5906</f>
        <v>127.998322852843</v>
      </c>
      <c r="K5963" s="6" t="n">
        <f aca="false">Sens!K5906</f>
        <v>139.131464044308</v>
      </c>
    </row>
    <row r="5964" customFormat="false" ht="17.15" hidden="false" customHeight="false" outlineLevel="0" collapsed="false">
      <c r="A5964" s="1" t="s">
        <v>920</v>
      </c>
      <c r="B5964" s="0" t="s">
        <v>98</v>
      </c>
      <c r="E5964" s="6" t="n">
        <f aca="false">Sens!E5988</f>
        <v>22.2285940229167</v>
      </c>
      <c r="F5964" s="6" t="n">
        <f aca="false">Sens!F5988</f>
        <v>24.3924470334783</v>
      </c>
      <c r="G5964" s="6" t="n">
        <f aca="false">Sens!G5988</f>
        <v>26.1809916871694</v>
      </c>
      <c r="H5964" s="6" t="n">
        <f aca="false">Sens!H5988</f>
        <v>28.4315438828615</v>
      </c>
      <c r="I5964" s="6" t="n">
        <f aca="false">Sens!I5988</f>
        <v>31.0519795257397</v>
      </c>
      <c r="J5964" s="6" t="n">
        <f aca="false">Sens!J5988</f>
        <v>33.9361228982031</v>
      </c>
      <c r="K5964" s="6" t="n">
        <f aca="false">Sens!K5988</f>
        <v>36.9981308825822</v>
      </c>
    </row>
    <row r="5965" customFormat="false" ht="17.15" hidden="false" customHeight="false" outlineLevel="0" collapsed="false">
      <c r="A5965" s="1" t="s">
        <v>921</v>
      </c>
      <c r="B5965" s="0" t="s">
        <v>98</v>
      </c>
      <c r="D5965" s="6" t="n">
        <f aca="false">Q!L27</f>
        <v>-4.901</v>
      </c>
      <c r="E5965" s="6" t="n">
        <f aca="false">Q!M27</f>
        <v>10.697</v>
      </c>
      <c r="F5965" s="6" t="n">
        <f aca="false">oie_f</f>
        <v>-0.4</v>
      </c>
      <c r="G5965" s="6" t="n">
        <f aca="false">oie_f</f>
        <v>-0.4</v>
      </c>
      <c r="H5965" s="6" t="n">
        <f aca="false">oie_f</f>
        <v>-0.4</v>
      </c>
      <c r="I5965" s="6" t="n">
        <f aca="false">oie_f</f>
        <v>-0.4</v>
      </c>
      <c r="J5965" s="6" t="n">
        <f aca="false">oie_f</f>
        <v>-0.4</v>
      </c>
      <c r="K5965" s="6" t="n">
        <f aca="false">oie_f</f>
        <v>-0.4</v>
      </c>
      <c r="L5965" s="11" t="s">
        <v>922</v>
      </c>
    </row>
    <row r="5966" customFormat="false" ht="15" hidden="false" customHeight="false" outlineLevel="0" collapsed="false">
      <c r="A5966" s="1" t="s">
        <v>923</v>
      </c>
      <c r="B5966" s="0" t="s">
        <v>98</v>
      </c>
      <c r="D5966" s="6" t="n">
        <f aca="false">Sens!D5958+Sens!D5965</f>
        <v>123.627</v>
      </c>
      <c r="E5966" s="6" t="n">
        <f aca="false">Sens!E5958+Sens!E5965</f>
        <v>165.934</v>
      </c>
      <c r="F5966" s="6" t="n">
        <f aca="false">Sens!F5958+Sens!F5965</f>
        <v>182.202460917865</v>
      </c>
      <c r="G5966" s="6" t="n">
        <f aca="false">Sens!G5958+Sens!G5965</f>
        <v>215.674753253818</v>
      </c>
      <c r="H5966" s="6" t="n">
        <f aca="false">Sens!H5958+Sens!H5965</f>
        <v>253.427547202768</v>
      </c>
      <c r="I5966" s="6" t="n">
        <f aca="false">Sens!I5958+Sens!I5965</f>
        <v>282.529892498988</v>
      </c>
      <c r="J5966" s="6" t="n">
        <f aca="false">Sens!J5958+Sens!J5965</f>
        <v>307.428578953149</v>
      </c>
      <c r="K5966" s="6" t="n">
        <f aca="false">Sens!K5958+Sens!K5965</f>
        <v>330.335025678588</v>
      </c>
    </row>
    <row r="5967" customFormat="false" ht="15" hidden="false" customHeight="false" outlineLevel="0" collapsed="false">
      <c r="A5967" s="1" t="s">
        <v>924</v>
      </c>
      <c r="B5967" s="0" t="s">
        <v>98</v>
      </c>
      <c r="D5967" s="6" t="n">
        <f aca="false">Q!L29</f>
        <v>21.795</v>
      </c>
      <c r="E5967" s="6" t="n">
        <f aca="false">Q!M29</f>
        <v>32.185</v>
      </c>
      <c r="F5967" s="6" t="n">
        <f aca="false">Sens!F5966*tax_f</f>
        <v>36.440492183573</v>
      </c>
      <c r="G5967" s="6" t="n">
        <f aca="false">Sens!G5966*tax_f</f>
        <v>43.1349506507635</v>
      </c>
      <c r="H5967" s="6" t="n">
        <f aca="false">Sens!H5966*tax_f</f>
        <v>50.6855094405536</v>
      </c>
      <c r="I5967" s="6" t="n">
        <f aca="false">Sens!I5966*tax_f</f>
        <v>56.5059784997975</v>
      </c>
      <c r="J5967" s="6" t="n">
        <f aca="false">Sens!J5966*tax_f</f>
        <v>61.4857157906298</v>
      </c>
      <c r="K5967" s="6" t="n">
        <f aca="false">Sens!K5966*tax_f</f>
        <v>66.0670051357177</v>
      </c>
    </row>
    <row r="5968" customFormat="false" ht="15" hidden="false" customHeight="false" outlineLevel="0" collapsed="false">
      <c r="A5968" s="1" t="s">
        <v>925</v>
      </c>
      <c r="B5968" s="0" t="s">
        <v>98</v>
      </c>
      <c r="D5968" s="6" t="n">
        <f aca="false">Sens!D5966-Sens!D5967</f>
        <v>101.832</v>
      </c>
      <c r="E5968" s="6" t="n">
        <f aca="false">Sens!E5966-Sens!E5967</f>
        <v>133.749</v>
      </c>
      <c r="F5968" s="6" t="n">
        <f aca="false">Sens!F5966-Sens!F5967</f>
        <v>145.761968734292</v>
      </c>
      <c r="G5968" s="6" t="n">
        <f aca="false">Sens!G5966-Sens!G5967</f>
        <v>172.539802603054</v>
      </c>
      <c r="H5968" s="6" t="n">
        <f aca="false">Sens!H5966-Sens!H5967</f>
        <v>202.742037762215</v>
      </c>
      <c r="I5968" s="6" t="n">
        <f aca="false">Sens!I5966-Sens!I5967</f>
        <v>226.02391399919</v>
      </c>
      <c r="J5968" s="6" t="n">
        <f aca="false">Sens!J5966-Sens!J5967</f>
        <v>245.942863162519</v>
      </c>
      <c r="K5968" s="6" t="n">
        <f aca="false">Sens!K5966-Sens!K5967</f>
        <v>264.268020542871</v>
      </c>
    </row>
    <row r="5969" customFormat="false" ht="17.15" hidden="false" customHeight="false" outlineLevel="0" collapsed="false">
      <c r="A5969" s="1" t="s">
        <v>926</v>
      </c>
      <c r="B5969" s="1" t="s">
        <v>81</v>
      </c>
      <c r="D5969" s="14" t="n">
        <f aca="false">Q!L31</f>
        <v>7.465</v>
      </c>
      <c r="E5969" s="14" t="n">
        <f aca="false">Q!M31</f>
        <v>7.453</v>
      </c>
      <c r="F5969" s="14" t="n">
        <f aca="false">Sens!F6012</f>
        <v>7.4735</v>
      </c>
      <c r="G5969" s="14" t="n">
        <f aca="false">Sens!G6012</f>
        <v>7.50589244416271</v>
      </c>
      <c r="H5969" s="14" t="n">
        <f aca="false">Sens!H6012</f>
        <v>7.52103647417537</v>
      </c>
      <c r="I5969" s="14" t="n">
        <f aca="false">Sens!I6012</f>
        <v>7.53281730618268</v>
      </c>
      <c r="J5969" s="14" t="n">
        <f aca="false">Sens!J6012</f>
        <v>7.54705881730056</v>
      </c>
      <c r="K5969" s="14" t="n">
        <f aca="false">Sens!K6012</f>
        <v>7.56357873500231</v>
      </c>
    </row>
    <row r="5970" customFormat="false" ht="17.15" hidden="false" customHeight="false" outlineLevel="0" collapsed="false">
      <c r="A5970" s="0" t="s">
        <v>927</v>
      </c>
      <c r="B5970" s="0" t="s">
        <v>75</v>
      </c>
      <c r="D5970" s="8" t="n">
        <f aca="false">Sens!D5968/Sens!D5969</f>
        <v>13.641259209645</v>
      </c>
      <c r="E5970" s="8" t="n">
        <f aca="false">Sens!E5968/Sens!E5969</f>
        <v>17.9456594659869</v>
      </c>
      <c r="F5970" s="8" t="n">
        <f aca="false">Sens!F5968/Sens!F5969</f>
        <v>19.5038427422616</v>
      </c>
      <c r="G5970" s="8" t="n">
        <f aca="false">Sens!G5968/Sens!G5969</f>
        <v>22.9872468712548</v>
      </c>
      <c r="H5970" s="8" t="n">
        <f aca="false">Sens!H5968/Sens!H5969</f>
        <v>26.9566619518946</v>
      </c>
      <c r="I5970" s="8" t="n">
        <f aca="false">Sens!I5968/Sens!I5969</f>
        <v>30.0052297582841</v>
      </c>
      <c r="J5970" s="8" t="n">
        <f aca="false">Sens!J5968/Sens!J5969</f>
        <v>32.5879086298798</v>
      </c>
      <c r="K5970" s="8" t="n">
        <f aca="false">Sens!K5968/Sens!K5969</f>
        <v>34.9395477725255</v>
      </c>
      <c r="L5970" s="1" t="s">
        <v>928</v>
      </c>
    </row>
    <row r="5971" customFormat="false" ht="17.15" hidden="false" customHeight="false" outlineLevel="0" collapsed="false">
      <c r="A5971" s="1" t="s">
        <v>929</v>
      </c>
      <c r="B5971" s="0" t="s">
        <v>98</v>
      </c>
      <c r="D5971" s="6" t="n">
        <f aca="false">Sens!D5968</f>
        <v>101.832</v>
      </c>
      <c r="E5971" s="6" t="n">
        <f aca="false">Sens!E5968</f>
        <v>133.749</v>
      </c>
      <c r="F5971" s="6" t="n">
        <f aca="false">Sens!F5968+Sens!F5961*(1-tax_f)</f>
        <v>151.488233060821</v>
      </c>
      <c r="G5971" s="6" t="n">
        <f aca="false">Sens!G5968+Sens!G5961*(1-tax_f)</f>
        <v>186.548890733712</v>
      </c>
      <c r="H5971" s="6" t="n">
        <f aca="false">Sens!H5968+Sens!H5961*(1-tax_f)</f>
        <v>226.261132857418</v>
      </c>
      <c r="I5971" s="6" t="n">
        <f aca="false">Sens!I5968+Sens!I5961*(1-tax_f)</f>
        <v>258.839060313312</v>
      </c>
      <c r="J5971" s="6" t="n">
        <f aca="false">Sens!J5968+Sens!J5961*(1-tax_f)</f>
        <v>285.460756576811</v>
      </c>
      <c r="K5971" s="6" t="n">
        <f aca="false">Sens!K5968+Sens!K5961*(1-tax_f)</f>
        <v>306.907980898177</v>
      </c>
    </row>
    <row r="5972" customFormat="false" ht="17.15" hidden="false" customHeight="false" outlineLevel="0" collapsed="false">
      <c r="A5972" s="0" t="s">
        <v>930</v>
      </c>
      <c r="B5972" s="0" t="s">
        <v>75</v>
      </c>
      <c r="D5972" s="8" t="n">
        <f aca="false">Sens!D5971/Sens!D5969</f>
        <v>13.641259209645</v>
      </c>
      <c r="E5972" s="8" t="n">
        <f aca="false">Sens!E5971/Sens!E5969</f>
        <v>17.9456594659869</v>
      </c>
      <c r="F5972" s="8" t="n">
        <f aca="false">Sens!F5971/Sens!F5969</f>
        <v>20.2700519249109</v>
      </c>
      <c r="G5972" s="8" t="n">
        <f aca="false">Sens!G5971/Sens!G5969</f>
        <v>24.8536589248345</v>
      </c>
      <c r="H5972" s="8" t="n">
        <f aca="false">Sens!H5971/Sens!H5969</f>
        <v>30.0837701870375</v>
      </c>
      <c r="I5972" s="8" t="n">
        <f aca="false">Sens!I5971/Sens!I5969</f>
        <v>34.3615210342173</v>
      </c>
      <c r="J5972" s="8" t="n">
        <f aca="false">Sens!J5971/Sens!J5969</f>
        <v>37.8241065145051</v>
      </c>
      <c r="K5972" s="8" t="n">
        <f aca="false">Sens!K5971/Sens!K5969</f>
        <v>40.5770854843998</v>
      </c>
      <c r="L5972" s="1" t="s">
        <v>931</v>
      </c>
    </row>
    <row r="5973" customFormat="false" ht="17.15" hidden="false" customHeight="false" outlineLevel="0" collapsed="false">
      <c r="A5973" s="0" t="s">
        <v>932</v>
      </c>
      <c r="B5973" s="0" t="s">
        <v>129</v>
      </c>
      <c r="E5973" s="7" t="n">
        <f aca="false">Sens!E5972/Sens!D5972-1</f>
        <v>0.315542736208578</v>
      </c>
      <c r="F5973" s="7" t="n">
        <f aca="false">Sens!F5972/Sens!E5972-1</f>
        <v>0.129523936600353</v>
      </c>
      <c r="G5973" s="7" t="n">
        <f aca="false">Sens!G5972/Sens!F5972-1</f>
        <v>0.226127047769946</v>
      </c>
      <c r="H5973" s="7" t="n">
        <f aca="false">Sens!H5972/Sens!G5972-1</f>
        <v>0.210436269284155</v>
      </c>
      <c r="I5973" s="7" t="n">
        <f aca="false">Sens!I5972/Sens!H5972-1</f>
        <v>0.142194639188642</v>
      </c>
      <c r="J5973" s="7" t="n">
        <f aca="false">Sens!J5972/Sens!I5972-1</f>
        <v>0.100769272606987</v>
      </c>
      <c r="K5973" s="7" t="n">
        <f aca="false">Sens!K5972/Sens!J5972-1</f>
        <v>0.0727837145033157</v>
      </c>
    </row>
    <row r="5974" customFormat="false" ht="17.15" hidden="false" customHeight="false" outlineLevel="0" collapsed="false">
      <c r="A5974" s="0" t="s">
        <v>856</v>
      </c>
      <c r="B5974" s="0" t="s">
        <v>98</v>
      </c>
      <c r="E5974" s="6" t="n">
        <f aca="false">Sens!E5915</f>
        <v>5.25</v>
      </c>
      <c r="F5974" s="6" t="n">
        <f aca="false">Sens!F5915</f>
        <v>15.75</v>
      </c>
      <c r="G5974" s="6" t="n">
        <f aca="false">Sens!G5915</f>
        <v>29.25</v>
      </c>
      <c r="H5974" s="6" t="n">
        <f aca="false">Sens!H5915</f>
        <v>42.75</v>
      </c>
      <c r="I5974" s="6" t="n">
        <f aca="false">Sens!I5915</f>
        <v>52.875</v>
      </c>
      <c r="J5974" s="6" t="n">
        <f aca="false">Sens!J5915</f>
        <v>59.625</v>
      </c>
      <c r="K5974" s="6" t="n">
        <f aca="false">Sens!K5915</f>
        <v>66.375</v>
      </c>
    </row>
    <row r="5975" customFormat="false" ht="17.15" hidden="false" customHeight="false" outlineLevel="0" collapsed="false">
      <c r="A5975" s="1" t="s">
        <v>857</v>
      </c>
      <c r="B5975" s="0" t="s">
        <v>98</v>
      </c>
      <c r="F5975" s="6" t="n">
        <f aca="false">MAX(0,((Sens!E5878+Sens!F5878)/2-(shadow_base*(Sens!$D$5878+Sens!$E$5878)/2+(1-shadow_base)*Sens!$E$5878))*Sens!F5886/1000-(Sens!F5974-Sens!$E$5974)*Sens!F5954)</f>
        <v>7.15783040816165</v>
      </c>
      <c r="G5975" s="6" t="n">
        <f aca="false">MAX(0,((Sens!F5878+Sens!G5878)/2-(shadow_base*(Sens!$D$5878+Sens!$E$5878)/2+(1-shadow_base)*Sens!$E$5878))*Sens!G5886/1000-(Sens!G5974-Sens!$E$5974)*Sens!G5954)</f>
        <v>17.5113601633223</v>
      </c>
      <c r="H5975" s="6" t="n">
        <f aca="false">MAX(0,((Sens!G5878+Sens!H5878)/2-(shadow_base*(Sens!$D$5878+Sens!$E$5878)/2+(1-shadow_base)*Sens!$E$5878))*Sens!H5886/1000-(Sens!H5974-Sens!$E$5974)*Sens!H5954)</f>
        <v>29.3988688690047</v>
      </c>
      <c r="I5975" s="6" t="n">
        <f aca="false">MAX(0,((Sens!H5878+Sens!I5878)/2-(shadow_base*(Sens!$D$5878+Sens!$E$5878)/2+(1-shadow_base)*Sens!$E$5878))*Sens!I5886/1000-(Sens!I5974-Sens!$E$5974)*Sens!I5954)</f>
        <v>41.0189328926527</v>
      </c>
      <c r="J5975" s="6" t="n">
        <f aca="false">MAX(0,((Sens!I5878+Sens!J5878)/2-(shadow_base*(Sens!$D$5878+Sens!$E$5878)/2+(1-shadow_base)*Sens!$E$5878))*Sens!J5886/1000-(Sens!J5974-Sens!$E$5974)*Sens!J5954)</f>
        <v>49.3973667678647</v>
      </c>
      <c r="K5975" s="6" t="n">
        <f aca="false">MAX(0,((Sens!J5878+Sens!K5878)/2-(shadow_base*(Sens!$D$5878+Sens!$E$5878)/2+(1-shadow_base)*Sens!$E$5878))*Sens!K5886/1000-(Sens!K5974-Sens!$E$5974)*Sens!K5954)</f>
        <v>53.2999504441328</v>
      </c>
      <c r="L5975" s="1" t="s">
        <v>858</v>
      </c>
    </row>
    <row r="5976" customFormat="false" ht="17.15" hidden="false" customHeight="false" outlineLevel="0" collapsed="false">
      <c r="A5976" s="1" t="s">
        <v>859</v>
      </c>
      <c r="B5976" s="0" t="s">
        <v>98</v>
      </c>
      <c r="F5976" s="6" t="n">
        <f aca="false">IF(internal_ai_reading=2,1,0)*Sens!F5975</f>
        <v>7.15783040816165</v>
      </c>
      <c r="G5976" s="6" t="n">
        <f aca="false">IF(internal_ai_reading=2,1,0)*Sens!G5975</f>
        <v>17.5113601633223</v>
      </c>
      <c r="H5976" s="6" t="n">
        <f aca="false">IF(internal_ai_reading=2,1,0)*Sens!H5975</f>
        <v>29.3988688690047</v>
      </c>
      <c r="I5976" s="6" t="n">
        <f aca="false">IF(internal_ai_reading=2,1,0)*Sens!I5975</f>
        <v>41.0189328926527</v>
      </c>
      <c r="J5976" s="6" t="n">
        <f aca="false">IF(internal_ai_reading=2,1,0)*Sens!J5975</f>
        <v>49.3973667678647</v>
      </c>
      <c r="K5976" s="6" t="n">
        <f aca="false">IF(internal_ai_reading=2,1,0)*Sens!K5975</f>
        <v>53.2999504441328</v>
      </c>
    </row>
    <row r="5977" customFormat="false" ht="17.15" hidden="false" customHeight="false" outlineLevel="0" collapsed="false">
      <c r="A5977" s="0" t="s">
        <v>860</v>
      </c>
      <c r="B5977" s="0" t="s">
        <v>98</v>
      </c>
      <c r="F5977" s="6" t="n">
        <f aca="false">Sens!F5895+Sens!F5974*Sens!F5954+Sens!F5976-Sens!F5896-Sens!F5906</f>
        <v>18.6954441577666</v>
      </c>
      <c r="G5977" s="6" t="n">
        <f aca="false">Sens!G5895+Sens!G5974*Sens!G5954+Sens!G5976-Sens!G5896-Sens!G5906</f>
        <v>42.7730967717415</v>
      </c>
      <c r="H5977" s="6" t="n">
        <f aca="false">Sens!H5895+Sens!H5974*Sens!H5954+Sens!H5976-Sens!H5896-Sens!H5906</f>
        <v>72.3524695349497</v>
      </c>
      <c r="I5977" s="6" t="n">
        <f aca="false">Sens!I5895+Sens!I5974*Sens!I5954+Sens!I5976-Sens!I5896-Sens!I5906</f>
        <v>93.3920399917181</v>
      </c>
      <c r="J5977" s="6" t="n">
        <f aca="false">Sens!J5895+Sens!J5974*Sens!J5954+Sens!J5976-Sens!J5896-Sens!J5906</f>
        <v>108.132424046476</v>
      </c>
      <c r="K5977" s="6" t="n">
        <f aca="false">Sens!K5895+Sens!K5974*Sens!K5954+Sens!K5976-Sens!K5896-Sens!K5906</f>
        <v>118.341283106908</v>
      </c>
    </row>
    <row r="5978" customFormat="false" ht="17.15" hidden="false" customHeight="false" outlineLevel="0" collapsed="false">
      <c r="A5978" s="0" t="s">
        <v>861</v>
      </c>
      <c r="B5978" s="0" t="s">
        <v>98</v>
      </c>
      <c r="E5978" s="6" t="n">
        <f aca="false">Sens!E5877*(cxit_open+self_build*tk_cxfac)/1000*ai_net_open</f>
        <v>126.6980382</v>
      </c>
      <c r="F5978" s="6" t="n">
        <f aca="false">Sens!E5978+Sens!F5903-Sens!F5906</f>
        <v>252.981026690511</v>
      </c>
      <c r="G5978" s="6" t="n">
        <f aca="false">Sens!F5978+Sens!G5903-Sens!G5906</f>
        <v>377.4297700632</v>
      </c>
      <c r="H5978" s="6" t="n">
        <f aca="false">Sens!G5978+Sens!H5903-Sens!H5906</f>
        <v>479.149036130289</v>
      </c>
      <c r="I5978" s="6" t="n">
        <f aca="false">Sens!H5978+Sens!I5903-Sens!I5906</f>
        <v>532.249961452141</v>
      </c>
      <c r="J5978" s="6" t="n">
        <f aca="false">Sens!I5978+Sens!J5903-Sens!J5906</f>
        <v>531.43307519354</v>
      </c>
      <c r="K5978" s="6" t="n">
        <f aca="false">Sens!J5978+Sens!K5903-Sens!K5906</f>
        <v>513.709026452823</v>
      </c>
      <c r="L5978" s="1" t="s">
        <v>862</v>
      </c>
    </row>
    <row r="5979" customFormat="false" ht="17.15" hidden="false" customHeight="false" outlineLevel="0" collapsed="false">
      <c r="A5979" s="0" t="s">
        <v>863</v>
      </c>
      <c r="B5979" s="0" t="s">
        <v>129</v>
      </c>
      <c r="F5979" s="7" t="n">
        <f aca="false">Sens!F5977*(1-tax_f)/((Sens!E5978+Sens!F5978)/2)</f>
        <v>0.0787841980727922</v>
      </c>
      <c r="G5979" s="7" t="n">
        <f aca="false">Sens!G5977*(1-tax_f)/((Sens!F5978+Sens!G5978)/2)</f>
        <v>0.108559300042451</v>
      </c>
      <c r="H5979" s="7" t="n">
        <f aca="false">Sens!H5977*(1-tax_f)/((Sens!G5978+Sens!H5978)/2)</f>
        <v>0.135146877810762</v>
      </c>
      <c r="I5979" s="7" t="n">
        <f aca="false">Sens!I5977*(1-tax_f)/((Sens!H5978+Sens!I5978)/2)</f>
        <v>0.147743140287788</v>
      </c>
      <c r="J5979" s="7" t="n">
        <f aca="false">Sens!J5977*(1-tax_f)/((Sens!I5978+Sens!J5978)/2)</f>
        <v>0.162653603107137</v>
      </c>
      <c r="K5979" s="7" t="n">
        <f aca="false">Sens!K5977*(1-tax_f)/((Sens!J5978+Sens!K5978)/2)</f>
        <v>0.181167759554213</v>
      </c>
    </row>
    <row r="5980" customFormat="false" ht="17.15" hidden="false" customHeight="false" outlineLevel="0" collapsed="false">
      <c r="A5980" s="1" t="s">
        <v>864</v>
      </c>
      <c r="B5980" s="0" t="s">
        <v>129</v>
      </c>
      <c r="F5980" s="7" t="n">
        <f aca="false">(Sens!F5977-Sens!F5976)*(1-tax_f)/((Sens!E5978+Sens!F5978)/2)</f>
        <v>0.0486204895302598</v>
      </c>
      <c r="G5980" s="7" t="n">
        <f aca="false">(Sens!G5977-Sens!G5976)*(1-tax_f)/((Sens!F5978+Sens!G5978)/2)</f>
        <v>0.0641149846760342</v>
      </c>
      <c r="H5980" s="7" t="n">
        <f aca="false">(Sens!H5977-Sens!H5976)*(1-tax_f)/((Sens!G5978+Sens!H5978)/2)</f>
        <v>0.0802328525625321</v>
      </c>
      <c r="I5980" s="7" t="n">
        <f aca="false">(Sens!I5977-Sens!I5976)*(1-tax_f)/((Sens!H5978+Sens!I5978)/2)</f>
        <v>0.0828525355065671</v>
      </c>
      <c r="J5980" s="7" t="n">
        <f aca="false">(Sens!J5977-Sens!J5976)*(1-tax_f)/((Sens!I5978+Sens!J5978)/2)</f>
        <v>0.0883497135971358</v>
      </c>
      <c r="K5980" s="7" t="n">
        <f aca="false">(Sens!K5977-Sens!K5976)*(1-tax_f)/((Sens!J5978+Sens!K5978)/2)</f>
        <v>0.0995712756155456</v>
      </c>
    </row>
    <row r="5981" customFormat="false" ht="17.15" hidden="false" customHeight="false" outlineLevel="0" collapsed="false">
      <c r="A5981" s="1" t="s">
        <v>865</v>
      </c>
      <c r="B5981" s="0" t="s">
        <v>129</v>
      </c>
      <c r="F5981" s="7" t="n">
        <f aca="false">(Sens!F5977-Sens!F5976+Sens!F5975)*(1-tax_f)/((Sens!E5978+Sens!F5978)/2)</f>
        <v>0.0787841980727922</v>
      </c>
      <c r="G5981" s="7" t="n">
        <f aca="false">(Sens!G5977-Sens!G5976+Sens!G5975)*(1-tax_f)/((Sens!F5978+Sens!G5978)/2)</f>
        <v>0.108559300042451</v>
      </c>
      <c r="H5981" s="7" t="n">
        <f aca="false">(Sens!H5977-Sens!H5976+Sens!H5975)*(1-tax_f)/((Sens!G5978+Sens!H5978)/2)</f>
        <v>0.135146877810762</v>
      </c>
      <c r="I5981" s="7" t="n">
        <f aca="false">(Sens!I5977-Sens!I5976+Sens!I5975)*(1-tax_f)/((Sens!H5978+Sens!I5978)/2)</f>
        <v>0.147743140287788</v>
      </c>
      <c r="J5981" s="7" t="n">
        <f aca="false">(Sens!J5977-Sens!J5976+Sens!J5975)*(1-tax_f)/((Sens!I5978+Sens!J5978)/2)</f>
        <v>0.162653603107137</v>
      </c>
      <c r="K5981" s="7" t="n">
        <f aca="false">(Sens!K5977-Sens!K5976+Sens!K5975)*(1-tax_f)/((Sens!J5978+Sens!K5978)/2)</f>
        <v>0.181167759554213</v>
      </c>
    </row>
    <row r="5982" customFormat="false" ht="17.15" hidden="false" customHeight="false" outlineLevel="0" collapsed="false">
      <c r="A5982" s="1" t="s">
        <v>866</v>
      </c>
      <c r="B5982" s="0" t="s">
        <v>129</v>
      </c>
      <c r="F5982" s="7" t="n">
        <f aca="false">Sens!F5907*(1-tax_f)/(Sens!F5894*(Sens!E5978+Sens!F5978)/2)</f>
        <v>0.159418295257403</v>
      </c>
      <c r="G5982" s="7" t="n">
        <f aca="false">Sens!G5907*(1-tax_f)/(Sens!G5894*(Sens!F5978+Sens!G5978)/2)</f>
        <v>0.181875227327983</v>
      </c>
      <c r="H5982" s="7" t="n">
        <f aca="false">Sens!H5907*(1-tax_f)/(Sens!H5894*(Sens!G5978+Sens!H5978)/2)</f>
        <v>0.212793847216411</v>
      </c>
      <c r="I5982" s="7" t="n">
        <f aca="false">Sens!I5907*(1-tax_f)/(Sens!I5894*(Sens!H5978+Sens!I5978)/2)</f>
        <v>0.225613268329429</v>
      </c>
      <c r="J5982" s="7" t="n">
        <f aca="false">Sens!J5907*(1-tax_f)/(Sens!J5894*(Sens!I5978+Sens!J5978)/2)</f>
        <v>0.24488839563955</v>
      </c>
      <c r="K5982" s="7" t="n">
        <f aca="false">Sens!K5907*(1-tax_f)/(Sens!K5894*(Sens!J5978+Sens!K5978)/2)</f>
        <v>0.270711455180788</v>
      </c>
    </row>
    <row r="5983" customFormat="false" ht="17.15" hidden="false" customHeight="false" outlineLevel="0" collapsed="false">
      <c r="A5983" s="0" t="s">
        <v>867</v>
      </c>
      <c r="B5983" s="0" t="s">
        <v>209</v>
      </c>
      <c r="F5983" s="7" t="n">
        <f aca="false">Sens!F5979-wacc</f>
        <v>-0.0241502220200835</v>
      </c>
      <c r="G5983" s="7" t="n">
        <f aca="false">Sens!G5979-wacc</f>
        <v>0.00562487994957479</v>
      </c>
      <c r="H5983" s="7" t="n">
        <f aca="false">Sens!H5979-wacc</f>
        <v>0.0322124577178859</v>
      </c>
      <c r="I5983" s="7" t="n">
        <f aca="false">Sens!I5979-wacc</f>
        <v>0.0448087201949121</v>
      </c>
      <c r="J5983" s="7" t="n">
        <f aca="false">Sens!J5979-wacc</f>
        <v>0.0597191830142614</v>
      </c>
      <c r="K5983" s="7" t="n">
        <f aca="false">Sens!K5979-wacc</f>
        <v>0.0782333394613372</v>
      </c>
    </row>
    <row r="5984" customFormat="false" ht="17.15" hidden="false" customHeight="false" outlineLevel="0" collapsed="false">
      <c r="A5984" s="0" t="s">
        <v>868</v>
      </c>
      <c r="B5984" s="0" t="s">
        <v>98</v>
      </c>
      <c r="F5984" s="6" t="n">
        <f aca="false">Sens!F5977*(1-tax_f)-wacc*(Sens!E5978+Sens!F5978)/2</f>
        <v>-4.58466685674177</v>
      </c>
      <c r="G5984" s="6" t="n">
        <f aca="false">Sens!G5977*(1-tax_f)-wacc*(Sens!F5978+Sens!G5978)/2</f>
        <v>1.77299252532771</v>
      </c>
      <c r="H5984" s="6" t="n">
        <f aca="false">Sens!H5977*(1-tax_f)-wacc*(Sens!G5978+Sens!H5978)/2</f>
        <v>13.7962542882725</v>
      </c>
      <c r="I5984" s="6" t="n">
        <f aca="false">Sens!I5977*(1-tax_f)-wacc*(Sens!H5978+Sens!I5978)/2</f>
        <v>22.6597473440428</v>
      </c>
      <c r="J5984" s="6" t="n">
        <f aca="false">Sens!J5977*(1-tax_f)-wacc*(Sens!I5978+Sens!J5978)/2</f>
        <v>31.7611409673044</v>
      </c>
      <c r="K5984" s="6" t="n">
        <f aca="false">Sens!K5977*(1-tax_f)-wacc*(Sens!J5978+Sens!K5978)/2</f>
        <v>40.8824784117176</v>
      </c>
    </row>
    <row r="5985" customFormat="false" ht="17.15" hidden="false" customHeight="false" outlineLevel="0" collapsed="false">
      <c r="A5985" s="3" t="s">
        <v>1415</v>
      </c>
    </row>
    <row r="5986" customFormat="false" ht="15" hidden="false" customHeight="false" outlineLevel="0" collapsed="false">
      <c r="A5986" s="4" t="s">
        <v>43</v>
      </c>
      <c r="B5986" s="4" t="s">
        <v>65</v>
      </c>
      <c r="C5986" s="20" t="s">
        <v>799</v>
      </c>
      <c r="D5986" s="20" t="s">
        <v>800</v>
      </c>
      <c r="E5986" s="20" t="s">
        <v>801</v>
      </c>
      <c r="F5986" s="20" t="s">
        <v>802</v>
      </c>
      <c r="G5986" s="20" t="s">
        <v>803</v>
      </c>
      <c r="H5986" s="20" t="s">
        <v>804</v>
      </c>
      <c r="I5986" s="20" t="s">
        <v>805</v>
      </c>
      <c r="J5986" s="20" t="s">
        <v>806</v>
      </c>
      <c r="K5986" s="20" t="s">
        <v>807</v>
      </c>
      <c r="L5986" s="4" t="s">
        <v>47</v>
      </c>
    </row>
    <row r="5987" customFormat="false" ht="15" hidden="false" customHeight="false" outlineLevel="0" collapsed="false">
      <c r="A5987" s="1" t="s">
        <v>925</v>
      </c>
      <c r="B5987" s="0" t="s">
        <v>98</v>
      </c>
      <c r="F5987" s="6" t="n">
        <f aca="false">Sens!F5968</f>
        <v>145.761968734292</v>
      </c>
      <c r="G5987" s="6" t="n">
        <f aca="false">Sens!G5968</f>
        <v>172.539802603054</v>
      </c>
      <c r="H5987" s="6" t="n">
        <f aca="false">Sens!H5968</f>
        <v>202.742037762215</v>
      </c>
      <c r="I5987" s="6" t="n">
        <f aca="false">Sens!I5968</f>
        <v>226.02391399919</v>
      </c>
      <c r="J5987" s="6" t="n">
        <f aca="false">Sens!J5968</f>
        <v>245.942863162519</v>
      </c>
      <c r="K5987" s="6" t="n">
        <f aca="false">Sens!K5968</f>
        <v>264.268020542871</v>
      </c>
    </row>
    <row r="5988" customFormat="false" ht="17.15" hidden="false" customHeight="false" outlineLevel="0" collapsed="false">
      <c r="A5988" s="1" t="s">
        <v>947</v>
      </c>
      <c r="B5988" s="0" t="s">
        <v>98</v>
      </c>
      <c r="E5988" s="6" t="n">
        <f aca="false">Q!M38-Sens!E5906</f>
        <v>22.2285940229167</v>
      </c>
      <c r="F5988" s="6" t="n">
        <f aca="false">Sens!E5988*(1-1/life_nonai)+(Sens!F5995+Sens!F5996)/life_nonai</f>
        <v>24.3924470334783</v>
      </c>
      <c r="G5988" s="6" t="n">
        <f aca="false">Sens!F5988*(1-1/life_nonai)+(Sens!G5995)/life_nonai</f>
        <v>26.1809916871694</v>
      </c>
      <c r="H5988" s="6" t="n">
        <f aca="false">Sens!G5988*(1-1/life_nonai)+(Sens!H5995)/life_nonai</f>
        <v>28.4315438828615</v>
      </c>
      <c r="I5988" s="6" t="n">
        <f aca="false">Sens!H5988*(1-1/life_nonai)+(Sens!I5995)/life_nonai</f>
        <v>31.0519795257397</v>
      </c>
      <c r="J5988" s="6" t="n">
        <f aca="false">Sens!I5988*(1-1/life_nonai)+(Sens!J5995)/life_nonai</f>
        <v>33.9361228982031</v>
      </c>
      <c r="K5988" s="6" t="n">
        <f aca="false">Sens!J5988*(1-1/life_nonai)+(Sens!K5995)/life_nonai</f>
        <v>36.9981308825822</v>
      </c>
      <c r="L5988" s="11" t="s">
        <v>948</v>
      </c>
    </row>
    <row r="5989" customFormat="false" ht="17.15" hidden="false" customHeight="false" outlineLevel="0" collapsed="false">
      <c r="A5989" s="1" t="s">
        <v>949</v>
      </c>
      <c r="B5989" s="0" t="s">
        <v>98</v>
      </c>
      <c r="F5989" s="6" t="n">
        <f aca="false">Sens!$F$5996/life_nonai*(1-1/life_nonai)^(Sens!F5872-2027)</f>
        <v>0.791277689897088</v>
      </c>
      <c r="G5989" s="6" t="n">
        <f aca="false">Sens!$F$5996/life_nonai*(1-1/life_nonai)^(Sens!G5872-2027)</f>
        <v>0.712149920907379</v>
      </c>
      <c r="H5989" s="6" t="n">
        <f aca="false">Sens!$F$5996/life_nonai*(1-1/life_nonai)^(Sens!H5872-2027)</f>
        <v>0.640934928816642</v>
      </c>
      <c r="I5989" s="6" t="n">
        <f aca="false">Sens!$F$5996/life_nonai*(1-1/life_nonai)^(Sens!I5872-2027)</f>
        <v>0.576841435934977</v>
      </c>
      <c r="J5989" s="6" t="n">
        <f aca="false">Sens!$F$5996/life_nonai*(1-1/life_nonai)^(Sens!J5872-2027)</f>
        <v>0.51915729234148</v>
      </c>
      <c r="K5989" s="6" t="n">
        <f aca="false">Sens!$F$5996/life_nonai*(1-1/life_nonai)^(Sens!K5872-2027)</f>
        <v>0.467241563107332</v>
      </c>
      <c r="L5989" s="1" t="s">
        <v>950</v>
      </c>
    </row>
    <row r="5990" customFormat="false" ht="17.15" hidden="false" customHeight="false" outlineLevel="0" collapsed="false">
      <c r="A5990" s="1" t="s">
        <v>951</v>
      </c>
      <c r="B5990" s="0" t="s">
        <v>98</v>
      </c>
      <c r="E5990" s="6" t="n">
        <f aca="false">Sens!E5906+Sens!E5988</f>
        <v>38.534</v>
      </c>
      <c r="F5990" s="6" t="n">
        <f aca="false">Sens!F5906+Sens!F5988</f>
        <v>58.4423344144339</v>
      </c>
      <c r="G5990" s="6" t="n">
        <f aca="false">Sens!G5906+Sens!G5988</f>
        <v>85.3064287976806</v>
      </c>
      <c r="H5990" s="6" t="n">
        <f aca="false">Sens!H5906+Sens!H5988</f>
        <v>114.792563726173</v>
      </c>
      <c r="I5990" s="6" t="n">
        <f aca="false">Sens!I5906+Sens!I5988</f>
        <v>141.657723358132</v>
      </c>
      <c r="J5990" s="6" t="n">
        <f aca="false">Sens!J5906+Sens!J5988</f>
        <v>161.934445751046</v>
      </c>
      <c r="K5990" s="6" t="n">
        <f aca="false">Sens!K5906+Sens!K5988</f>
        <v>176.12959492689</v>
      </c>
    </row>
    <row r="5991" customFormat="false" ht="17.15" hidden="false" customHeight="false" outlineLevel="0" collapsed="false">
      <c r="A5991" s="1" t="s">
        <v>952</v>
      </c>
      <c r="B5991" s="0" t="s">
        <v>98</v>
      </c>
      <c r="F5991" s="6" t="n">
        <f aca="false">Sens!F5933*sbc_r</f>
        <v>15.2081899441974</v>
      </c>
      <c r="G5991" s="6" t="n">
        <f aca="false">Sens!G5933*sbc_r</f>
        <v>18.6302111158222</v>
      </c>
      <c r="H5991" s="6" t="n">
        <f aca="false">Sens!H5933*sbc_r</f>
        <v>22.2977063005709</v>
      </c>
      <c r="I5991" s="6" t="n">
        <f aca="false">Sens!I5933*sbc_r</f>
        <v>25.4168718659913</v>
      </c>
      <c r="J5991" s="6" t="n">
        <f aca="false">Sens!J5933*sbc_r</f>
        <v>27.9276266205741</v>
      </c>
      <c r="K5991" s="6" t="n">
        <f aca="false">Sens!K5933*sbc_r</f>
        <v>29.9750158908619</v>
      </c>
    </row>
    <row r="5992" customFormat="false" ht="17.15" hidden="false" customHeight="false" outlineLevel="0" collapsed="false">
      <c r="A5992" s="1" t="s">
        <v>953</v>
      </c>
      <c r="B5992" s="0" t="s">
        <v>98</v>
      </c>
      <c r="F5992" s="6" t="n">
        <f aca="false">wc27</f>
        <v>-4.895</v>
      </c>
      <c r="G5992" s="6" t="n">
        <f aca="false">wc_f</f>
        <v>0</v>
      </c>
      <c r="H5992" s="6" t="n">
        <f aca="false">wc_f</f>
        <v>0</v>
      </c>
      <c r="I5992" s="6" t="n">
        <f aca="false">wc_f</f>
        <v>0</v>
      </c>
      <c r="J5992" s="6" t="n">
        <f aca="false">wc_f</f>
        <v>0</v>
      </c>
      <c r="K5992" s="6" t="n">
        <f aca="false">wc_f</f>
        <v>0</v>
      </c>
      <c r="L5992" s="11" t="s">
        <v>954</v>
      </c>
    </row>
    <row r="5993" customFormat="false" ht="15" hidden="false" customHeight="false" outlineLevel="0" collapsed="false">
      <c r="A5993" s="1" t="s">
        <v>767</v>
      </c>
      <c r="B5993" s="0" t="s">
        <v>98</v>
      </c>
      <c r="E5993" s="6" t="n">
        <f aca="false">Q!M35</f>
        <v>182.935</v>
      </c>
      <c r="F5993" s="6" t="n">
        <f aca="false">Sens!F5987+Sens!F5990+Sens!F5991+Sens!F5992</f>
        <v>214.517493092923</v>
      </c>
      <c r="G5993" s="6" t="n">
        <f aca="false">Sens!G5987+Sens!G5990+Sens!G5991+Sens!G5992</f>
        <v>276.476442516557</v>
      </c>
      <c r="H5993" s="6" t="n">
        <f aca="false">Sens!H5987+Sens!H5990+Sens!H5991+Sens!H5992</f>
        <v>339.832307788958</v>
      </c>
      <c r="I5993" s="6" t="n">
        <f aca="false">Sens!I5987+Sens!I5990+Sens!I5991+Sens!I5992</f>
        <v>393.098509223314</v>
      </c>
      <c r="J5993" s="6" t="n">
        <f aca="false">Sens!J5987+Sens!J5990+Sens!J5991+Sens!J5992</f>
        <v>435.80493553414</v>
      </c>
      <c r="K5993" s="6" t="n">
        <f aca="false">Sens!K5987+Sens!K5990+Sens!K5991+Sens!K5992</f>
        <v>470.372631360623</v>
      </c>
    </row>
    <row r="5994" customFormat="false" ht="17.15" hidden="false" customHeight="false" outlineLevel="0" collapsed="false">
      <c r="A5994" s="0" t="s">
        <v>955</v>
      </c>
      <c r="B5994" s="0" t="s">
        <v>98</v>
      </c>
      <c r="F5994" s="6" t="n">
        <f aca="false">Sens!F5903</f>
        <v>160.332875871467</v>
      </c>
      <c r="G5994" s="6" t="n">
        <f aca="false">Sens!G5903</f>
        <v>183.5741804832</v>
      </c>
      <c r="H5994" s="6" t="n">
        <f aca="false">Sens!H5903</f>
        <v>188.0802859104</v>
      </c>
      <c r="I5994" s="6" t="n">
        <f aca="false">Sens!I5903</f>
        <v>163.706669154245</v>
      </c>
      <c r="J5994" s="6" t="n">
        <f aca="false">Sens!J5903</f>
        <v>127.181436594242</v>
      </c>
      <c r="K5994" s="6" t="n">
        <f aca="false">Sens!K5903</f>
        <v>121.407415303591</v>
      </c>
    </row>
    <row r="5995" customFormat="false" ht="17.15" hidden="false" customHeight="false" outlineLevel="0" collapsed="false">
      <c r="A5995" s="1" t="s">
        <v>956</v>
      </c>
      <c r="B5995" s="0" t="s">
        <v>98</v>
      </c>
      <c r="E5995" s="6" t="n">
        <f aca="false">Sens!E5911*cx_azo+Sens!E5918*cx_m365+Sens!E5919*cx_lic+(Sens!E5921+Sens!E5923)*cx_ind+Sens!E5926*cx_srch+(Sens!E5928+Sens!E5930)*cx_dev</f>
        <v>30.1846587067718</v>
      </c>
      <c r="F5995" s="6" t="n">
        <f aca="false">Sens!F5911*cx_azo+Sens!F5918*cx_m365+Sens!F5919*cx_lic+(Sens!F5921+Sens!F5923)*cx_ind+Sens!F5926*cx_srch+(Sens!F5928+Sens!F5930)*cx_dev</f>
        <v>35.9543472295625</v>
      </c>
      <c r="G5995" s="6" t="n">
        <f aca="false">Sens!G5911*cx_azo+Sens!G5918*cx_m365+Sens!G5919*cx_lic+(Sens!G5921+Sens!G5923)*cx_ind+Sens!G5926*cx_srch+(Sens!G5928+Sens!G5930)*cx_dev</f>
        <v>42.2778935703892</v>
      </c>
      <c r="H5995" s="6" t="n">
        <f aca="false">Sens!H5911*cx_azo+Sens!H5918*cx_m365+Sens!H5919*cx_lic+(Sens!H5921+Sens!H5923)*cx_ind+Sens!H5926*cx_srch+(Sens!H5928+Sens!H5930)*cx_dev</f>
        <v>48.6865136440897</v>
      </c>
      <c r="I5995" s="6" t="n">
        <f aca="false">Sens!I5911*cx_azo+Sens!I5918*cx_m365+Sens!I5919*cx_lic+(Sens!I5921+Sens!I5923)*cx_ind+Sens!I5926*cx_srch+(Sens!I5928+Sens!I5930)*cx_dev</f>
        <v>54.6359003116439</v>
      </c>
      <c r="J5995" s="6" t="n">
        <f aca="false">Sens!J5911*cx_azo+Sens!J5918*cx_m365+Sens!J5919*cx_lic+(Sens!J5921+Sens!J5923)*cx_ind+Sens!J5926*cx_srch+(Sens!J5928+Sens!J5930)*cx_dev</f>
        <v>59.8934132503738</v>
      </c>
      <c r="K5995" s="6" t="n">
        <f aca="false">Sens!K5911*cx_azo+Sens!K5918*cx_m365+Sens!K5919*cx_lic+(Sens!K5921+Sens!K5923)*cx_ind+Sens!K5926*cx_srch+(Sens!K5928+Sens!K5930)*cx_dev</f>
        <v>64.556202741994</v>
      </c>
    </row>
    <row r="5996" customFormat="false" ht="17.15" hidden="false" customHeight="false" outlineLevel="0" collapsed="false">
      <c r="A5996" s="0" t="s">
        <v>957</v>
      </c>
      <c r="B5996" s="0" t="s">
        <v>98</v>
      </c>
      <c r="F5996" s="6" t="n">
        <f aca="false">Sens!F5901</f>
        <v>7.91277689897088</v>
      </c>
      <c r="L5996" s="1" t="s">
        <v>958</v>
      </c>
    </row>
    <row r="5997" customFormat="false" ht="17.15" hidden="false" customHeight="false" outlineLevel="0" collapsed="false">
      <c r="A5997" s="1" t="s">
        <v>959</v>
      </c>
      <c r="B5997" s="0" t="s">
        <v>98</v>
      </c>
      <c r="E5997" s="6" t="n">
        <f aca="false">Q!M42</f>
        <v>145.3</v>
      </c>
      <c r="F5997" s="6" t="n">
        <f aca="false">Sens!F5994+Sens!F5995+Sens!F5996</f>
        <v>204.2</v>
      </c>
      <c r="G5997" s="6" t="n">
        <f aca="false">Sens!G5994+Sens!G5995</f>
        <v>225.852074053589</v>
      </c>
      <c r="H5997" s="6" t="n">
        <f aca="false">Sens!H5994+Sens!H5995</f>
        <v>236.76679955449</v>
      </c>
      <c r="I5997" s="6" t="n">
        <f aca="false">Sens!I5994+Sens!I5995</f>
        <v>218.342569465889</v>
      </c>
      <c r="J5997" s="6" t="n">
        <f aca="false">Sens!J5994+Sens!J5995</f>
        <v>187.074849844616</v>
      </c>
      <c r="K5997" s="6" t="n">
        <f aca="false">Sens!K5994+Sens!K5995</f>
        <v>185.963618045585</v>
      </c>
      <c r="L5997" s="1" t="s">
        <v>960</v>
      </c>
    </row>
    <row r="5998" customFormat="false" ht="15" hidden="false" customHeight="false" outlineLevel="0" collapsed="false">
      <c r="A5998" s="1" t="s">
        <v>961</v>
      </c>
      <c r="B5998" s="0" t="s">
        <v>98</v>
      </c>
      <c r="E5998" s="6" t="n">
        <f aca="false">fl_liab</f>
        <v>66.594</v>
      </c>
      <c r="F5998" s="6" t="n">
        <f aca="false">Sens!E5998-Sens!F5999</f>
        <v>62.46973</v>
      </c>
      <c r="G5998" s="6" t="n">
        <f aca="false">Sens!F5998-Sens!G5999</f>
        <v>57.98686785</v>
      </c>
      <c r="H5998" s="6" t="n">
        <f aca="false">Sens!G5998-Sens!H5999</f>
        <v>53.92827690325</v>
      </c>
      <c r="I5998" s="6" t="n">
        <f aca="false">Sens!H5998-Sens!I5999</f>
        <v>49.7850493638962</v>
      </c>
      <c r="J5998" s="6" t="n">
        <f aca="false">Sens!I5998-Sens!J5999</f>
        <v>45.4823765852716</v>
      </c>
      <c r="K5998" s="6" t="n">
        <f aca="false">Sens!J5998-Sens!K5999</f>
        <v>40.9860835316088</v>
      </c>
    </row>
    <row r="5999" customFormat="false" ht="15" hidden="false" customHeight="false" outlineLevel="0" collapsed="false">
      <c r="A5999" s="1" t="s">
        <v>962</v>
      </c>
      <c r="B5999" s="0" t="s">
        <v>98</v>
      </c>
      <c r="F5999" s="6" t="n">
        <f aca="false">fl_pay_27-Sens!E5998*fl_rate</f>
        <v>4.12427</v>
      </c>
      <c r="G5999" s="6" t="n">
        <f aca="false">fl_pay_28-Sens!F5998*fl_rate</f>
        <v>4.48286215</v>
      </c>
      <c r="H5999" s="6" t="n">
        <f aca="false">fl_pay_29-Sens!G5998*fl_rate</f>
        <v>4.05859094675</v>
      </c>
      <c r="I5999" s="6" t="n">
        <f aca="false">fl_pay_30-Sens!H5998*fl_rate</f>
        <v>4.14322753935375</v>
      </c>
      <c r="J5999" s="6" t="n">
        <f aca="false">fl_pay_31-Sens!I5998*fl_rate</f>
        <v>4.30267277862467</v>
      </c>
      <c r="K5999" s="6" t="n">
        <f aca="false">fl_pay_32-Sens!J5998*fl_rate</f>
        <v>4.49629305366278</v>
      </c>
    </row>
    <row r="6000" customFormat="false" ht="17.15" hidden="false" customHeight="false" outlineLevel="0" collapsed="false">
      <c r="A6000" s="1" t="s">
        <v>963</v>
      </c>
      <c r="B6000" s="0" t="s">
        <v>98</v>
      </c>
      <c r="E6000" s="6" t="n">
        <f aca="false">Q!M35-Q!M36-Q!M43</f>
        <v>63.886</v>
      </c>
      <c r="F6000" s="6" t="n">
        <f aca="false">Sens!F5993-Sens!F5997-Sens!F5999</f>
        <v>6.19322309292329</v>
      </c>
      <c r="G6000" s="6" t="n">
        <f aca="false">Sens!G5993-Sens!G5997-Sens!G5999</f>
        <v>46.1415063129677</v>
      </c>
      <c r="H6000" s="6" t="n">
        <f aca="false">Sens!H5993-Sens!H5997-Sens!H5999</f>
        <v>99.0069172877183</v>
      </c>
      <c r="I6000" s="6" t="n">
        <f aca="false">Sens!I5993-Sens!I5997-Sens!I5999</f>
        <v>170.612712218071</v>
      </c>
      <c r="J6000" s="6" t="n">
        <f aca="false">Sens!J5993-Sens!J5997-Sens!J5999</f>
        <v>244.427412910899</v>
      </c>
      <c r="K6000" s="6" t="n">
        <f aca="false">Sens!K5993-Sens!K5997-Sens!K5999</f>
        <v>279.912720261375</v>
      </c>
      <c r="L6000" s="11" t="s">
        <v>964</v>
      </c>
    </row>
    <row r="6001" customFormat="false" ht="15" hidden="false" customHeight="false" outlineLevel="0" collapsed="false">
      <c r="A6001" s="1" t="s">
        <v>965</v>
      </c>
      <c r="B6001" s="0" t="s">
        <v>75</v>
      </c>
      <c r="F6001" s="8" t="n">
        <f aca="false">dps_27</f>
        <v>3.85</v>
      </c>
      <c r="G6001" s="8" t="n">
        <f aca="false">Sens!F6001*(1+dps_g)</f>
        <v>4.158</v>
      </c>
      <c r="H6001" s="8" t="n">
        <f aca="false">Sens!G6001*(1+dps_g)</f>
        <v>4.49064</v>
      </c>
      <c r="I6001" s="8" t="n">
        <f aca="false">Sens!H6001*(1+dps_g)</f>
        <v>4.8498912</v>
      </c>
      <c r="J6001" s="8" t="n">
        <f aca="false">Sens!I6001*(1+dps_g)</f>
        <v>5.237882496</v>
      </c>
      <c r="K6001" s="8" t="n">
        <f aca="false">Sens!J6001*(1+dps_g)</f>
        <v>5.65691309568</v>
      </c>
    </row>
    <row r="6002" customFormat="false" ht="17.15" hidden="false" customHeight="false" outlineLevel="0" collapsed="false">
      <c r="A6002" s="1" t="s">
        <v>966</v>
      </c>
      <c r="B6002" s="0" t="s">
        <v>98</v>
      </c>
      <c r="E6002" s="6" t="n">
        <f aca="false">Q!M41</f>
        <v>26.445</v>
      </c>
      <c r="F6002" s="6" t="n">
        <f aca="false">Sens!F6001*Sens!E6011</f>
        <v>28.59395</v>
      </c>
      <c r="G6002" s="6" t="n">
        <f aca="false">Sens!G6001*Sens!F6011</f>
        <v>31.068576</v>
      </c>
      <c r="H6002" s="6" t="n">
        <f aca="false">Sens!H6001*Sens!G6011</f>
        <v>33.6429088909097</v>
      </c>
      <c r="I6002" s="6" t="n">
        <f aca="false">Sens!I6001*Sens!H6011</f>
        <v>36.3852808421819</v>
      </c>
      <c r="J6002" s="6" t="n">
        <f aca="false">Sens!J6001*Sens!I6011</f>
        <v>39.3645021578759</v>
      </c>
      <c r="K6002" s="6" t="n">
        <f aca="false">Sens!K6001*Sens!J6011</f>
        <v>42.600917555811</v>
      </c>
      <c r="L6002" s="1" t="s">
        <v>967</v>
      </c>
    </row>
    <row r="6003" customFormat="false" ht="15" hidden="false" customHeight="false" outlineLevel="0" collapsed="false">
      <c r="A6003" s="1" t="s">
        <v>968</v>
      </c>
      <c r="B6003" s="0" t="s">
        <v>98</v>
      </c>
      <c r="E6003" s="6" t="n">
        <f aca="false">Sens!E6000-Sens!E6002</f>
        <v>37.441</v>
      </c>
      <c r="F6003" s="6" t="n">
        <f aca="false">Sens!F6000-Sens!F6002</f>
        <v>-22.4007269070767</v>
      </c>
      <c r="G6003" s="6" t="n">
        <f aca="false">Sens!G6000-Sens!G6002</f>
        <v>15.0729303129677</v>
      </c>
      <c r="H6003" s="6" t="n">
        <f aca="false">Sens!H6000-Sens!H6002</f>
        <v>65.3640083968087</v>
      </c>
      <c r="I6003" s="6" t="n">
        <f aca="false">Sens!I6000-Sens!I6002</f>
        <v>134.227431375889</v>
      </c>
      <c r="J6003" s="6" t="n">
        <f aca="false">Sens!J6000-Sens!J6002</f>
        <v>205.062910753023</v>
      </c>
      <c r="K6003" s="6" t="n">
        <f aca="false">Sens!K6000-Sens!K6002</f>
        <v>237.311802705564</v>
      </c>
    </row>
    <row r="6004" customFormat="false" ht="15" hidden="false" customHeight="false" outlineLevel="0" collapsed="false">
      <c r="A6004" s="1" t="s">
        <v>969</v>
      </c>
      <c r="B6004" s="0" t="s">
        <v>98</v>
      </c>
      <c r="F6004" s="6" t="n">
        <f aca="false">debt_mat_27</f>
        <v>9.25</v>
      </c>
      <c r="G6004" s="6" t="n">
        <f aca="false">debt_mat_28</f>
        <v>0</v>
      </c>
      <c r="H6004" s="6" t="n">
        <f aca="false">debt_mat_29</f>
        <v>2.001</v>
      </c>
      <c r="I6004" s="6" t="n">
        <f aca="false">debt_mat_30</f>
        <v>0</v>
      </c>
      <c r="J6004" s="6" t="n">
        <f aca="false">debt_mat_31</f>
        <v>0.5</v>
      </c>
      <c r="K6004" s="6" t="n">
        <f aca="false">debt_mat_32</f>
        <v>0</v>
      </c>
    </row>
    <row r="6005" customFormat="false" ht="15" hidden="false" customHeight="false" outlineLevel="0" collapsed="false">
      <c r="A6005" s="1" t="s">
        <v>970</v>
      </c>
      <c r="B6005" s="0" t="s">
        <v>98</v>
      </c>
      <c r="E6005" s="6" t="n">
        <f aca="false">Q!M40</f>
        <v>22.271</v>
      </c>
      <c r="F6005" s="6" t="n">
        <f aca="false">MAX(0,MIN(bb_target,Sens!E6007+Sens!F6003-Sens!F6004-min_cash))</f>
        <v>0</v>
      </c>
      <c r="G6005" s="6" t="n">
        <f aca="false">MAX(0,MIN(bb_target,Sens!F6007+Sens!G6003-Sens!G6004-min_cash))</f>
        <v>15.0729303129677</v>
      </c>
      <c r="H6005" s="6" t="n">
        <f aca="false">MAX(0,MIN(bb_target,Sens!G6007+Sens!H6003-Sens!H6004-min_cash))</f>
        <v>22.271</v>
      </c>
      <c r="I6005" s="6" t="n">
        <f aca="false">MAX(0,MIN(bb_target,Sens!H6007+Sens!I6003-Sens!I6004-min_cash))</f>
        <v>22.271</v>
      </c>
      <c r="J6005" s="6" t="n">
        <f aca="false">MAX(0,MIN(bb_target,Sens!I6007+Sens!J6003-Sens!J6004-min_cash))</f>
        <v>22.271</v>
      </c>
      <c r="K6005" s="6" t="n">
        <f aca="false">MAX(0,MIN(bb_target,Sens!J6007+Sens!K6003-Sens!K6004-min_cash))</f>
        <v>22.271</v>
      </c>
    </row>
    <row r="6006" customFormat="false" ht="15" hidden="false" customHeight="false" outlineLevel="0" collapsed="false">
      <c r="A6006" s="1" t="s">
        <v>971</v>
      </c>
      <c r="B6006" s="0" t="s">
        <v>98</v>
      </c>
      <c r="F6006" s="6" t="n">
        <f aca="false">MAX(0,min_cash-(Sens!E6007+Sens!F6003-Sens!F6004-Sens!F6005))</f>
        <v>4.80772690707671</v>
      </c>
      <c r="G6006" s="6" t="n">
        <f aca="false">MAX(0,min_cash-(Sens!F6007+Sens!G6003-Sens!G6004-Sens!G6005))</f>
        <v>0</v>
      </c>
      <c r="H6006" s="6" t="n">
        <f aca="false">MAX(0,min_cash-(Sens!G6007+Sens!H6003-Sens!H6004-Sens!H6005))</f>
        <v>0</v>
      </c>
      <c r="I6006" s="6" t="n">
        <f aca="false">MAX(0,min_cash-(Sens!H6007+Sens!I6003-Sens!I6004-Sens!I6005))</f>
        <v>0</v>
      </c>
      <c r="J6006" s="6" t="n">
        <f aca="false">MAX(0,min_cash-(Sens!I6007+Sens!J6003-Sens!J6004-Sens!J6005))</f>
        <v>0</v>
      </c>
      <c r="K6006" s="6" t="n">
        <f aca="false">MAX(0,min_cash-(Sens!J6007+Sens!K6003-Sens!K6004-Sens!K6005))</f>
        <v>0</v>
      </c>
    </row>
    <row r="6007" customFormat="false" ht="15" hidden="false" customHeight="false" outlineLevel="0" collapsed="false">
      <c r="A6007" s="1" t="s">
        <v>972</v>
      </c>
      <c r="B6007" s="0" t="s">
        <v>98</v>
      </c>
      <c r="E6007" s="6" t="n">
        <f aca="false">cash_open</f>
        <v>76.843</v>
      </c>
      <c r="F6007" s="6" t="n">
        <f aca="false">Sens!E6007+Sens!F6003-Sens!F6004-Sens!F6005+Sens!F6006</f>
        <v>50</v>
      </c>
      <c r="G6007" s="6" t="n">
        <f aca="false">Sens!F6007+Sens!G6003-Sens!G6004-Sens!G6005+Sens!G6006</f>
        <v>50</v>
      </c>
      <c r="H6007" s="6" t="n">
        <f aca="false">Sens!G6007+Sens!H6003-Sens!H6004-Sens!H6005+Sens!H6006</f>
        <v>91.0920083968087</v>
      </c>
      <c r="I6007" s="6" t="n">
        <f aca="false">Sens!H6007+Sens!I6003-Sens!I6004-Sens!I6005+Sens!I6006</f>
        <v>203.048439772698</v>
      </c>
      <c r="J6007" s="6" t="n">
        <f aca="false">Sens!I6007+Sens!J6003-Sens!J6004-Sens!J6005+Sens!J6006</f>
        <v>385.340350525721</v>
      </c>
      <c r="K6007" s="6" t="n">
        <f aca="false">Sens!J6007+Sens!K6003-Sens!K6004-Sens!K6005+Sens!K6006</f>
        <v>600.381153231285</v>
      </c>
    </row>
    <row r="6008" customFormat="false" ht="15" hidden="false" customHeight="false" outlineLevel="0" collapsed="false">
      <c r="A6008" s="1" t="s">
        <v>973</v>
      </c>
      <c r="B6008" s="0" t="s">
        <v>98</v>
      </c>
      <c r="E6008" s="6" t="n">
        <f aca="false">debt_face</f>
        <v>46.136</v>
      </c>
      <c r="F6008" s="6" t="n">
        <f aca="false">Sens!E6008-Sens!F6004+Sens!F6006</f>
        <v>41.6937269070767</v>
      </c>
      <c r="G6008" s="6" t="n">
        <f aca="false">Sens!F6008-Sens!G6004+Sens!G6006</f>
        <v>41.6937269070767</v>
      </c>
      <c r="H6008" s="6" t="n">
        <f aca="false">Sens!G6008-Sens!H6004+Sens!H6006</f>
        <v>39.6927269070767</v>
      </c>
      <c r="I6008" s="6" t="n">
        <f aca="false">Sens!H6008-Sens!I6004+Sens!I6006</f>
        <v>39.6927269070767</v>
      </c>
      <c r="J6008" s="6" t="n">
        <f aca="false">Sens!I6008-Sens!J6004+Sens!J6006</f>
        <v>39.1927269070767</v>
      </c>
      <c r="K6008" s="6" t="n">
        <f aca="false">Sens!J6008-Sens!K6004+Sens!K6006</f>
        <v>39.1927269070767</v>
      </c>
    </row>
    <row r="6009" customFormat="false" ht="15" hidden="false" customHeight="false" outlineLevel="0" collapsed="false">
      <c r="A6009" s="1" t="s">
        <v>974</v>
      </c>
      <c r="B6009" s="0" t="s">
        <v>98</v>
      </c>
      <c r="E6009" s="6" t="n">
        <f aca="false">Sens!E6007-Sens!E6008</f>
        <v>30.707</v>
      </c>
      <c r="F6009" s="6" t="n">
        <f aca="false">Sens!F6007-Sens!F6008</f>
        <v>8.30627309292328</v>
      </c>
      <c r="G6009" s="6" t="n">
        <f aca="false">Sens!G6007-Sens!G6008</f>
        <v>8.30627309292328</v>
      </c>
      <c r="H6009" s="6" t="n">
        <f aca="false">Sens!H6007-Sens!H6008</f>
        <v>51.399281489732</v>
      </c>
      <c r="I6009" s="6" t="n">
        <f aca="false">Sens!I6007-Sens!I6008</f>
        <v>163.355712865621</v>
      </c>
      <c r="J6009" s="6" t="n">
        <f aca="false">Sens!J6007-Sens!J6008</f>
        <v>346.147623618644</v>
      </c>
      <c r="K6009" s="6" t="n">
        <f aca="false">Sens!K6007-Sens!K6008</f>
        <v>561.188426324209</v>
      </c>
    </row>
    <row r="6010" customFormat="false" ht="15" hidden="false" customHeight="false" outlineLevel="0" collapsed="false">
      <c r="A6010" s="1" t="s">
        <v>975</v>
      </c>
      <c r="B6010" s="0" t="s">
        <v>75</v>
      </c>
      <c r="F6010" s="29" t="n">
        <f aca="false">px*(1+bb_g)^(Sens!F5872-base_fy-mid_yr)</f>
        <v>553.494156066711</v>
      </c>
      <c r="G6010" s="29" t="n">
        <f aca="false">px*(1+bb_g)^(Sens!G5872-base_fy-mid_yr)</f>
        <v>597.773688552047</v>
      </c>
      <c r="H6010" s="29" t="n">
        <f aca="false">px*(1+bb_g)^(Sens!H5872-base_fy-mid_yr)</f>
        <v>645.595583636211</v>
      </c>
      <c r="I6010" s="29" t="n">
        <f aca="false">px*(1+bb_g)^(Sens!I5872-base_fy-mid_yr)</f>
        <v>697.243230327108</v>
      </c>
      <c r="J6010" s="29" t="n">
        <f aca="false">px*(1+bb_g)^(Sens!J5872-base_fy-mid_yr)</f>
        <v>753.022688753277</v>
      </c>
      <c r="K6010" s="29" t="n">
        <f aca="false">px*(1+bb_g)^(Sens!K5872-base_fy-mid_yr)</f>
        <v>813.264503853539</v>
      </c>
    </row>
    <row r="6011" customFormat="false" ht="15" hidden="false" customHeight="false" outlineLevel="0" collapsed="false">
      <c r="A6011" s="1" t="s">
        <v>976</v>
      </c>
      <c r="B6011" s="1" t="s">
        <v>81</v>
      </c>
      <c r="E6011" s="14" t="n">
        <f aca="false">sh_out26</f>
        <v>7.427</v>
      </c>
      <c r="F6011" s="14" t="n">
        <f aca="false">Sens!E6011+sh_iss-Sens!F6005/Sens!F6010</f>
        <v>7.472</v>
      </c>
      <c r="G6011" s="14" t="n">
        <f aca="false">Sens!F6011+sh_iss-Sens!G6005/Sens!G6010</f>
        <v>7.49178488832542</v>
      </c>
      <c r="H6011" s="14" t="n">
        <f aca="false">Sens!G6011+sh_iss-Sens!H6005/Sens!H6010</f>
        <v>7.50228806002532</v>
      </c>
      <c r="I6011" s="14" t="n">
        <f aca="false">Sens!H6011+sh_iss-Sens!I6005/Sens!I6010</f>
        <v>7.51534655234004</v>
      </c>
      <c r="J6011" s="14" t="n">
        <f aca="false">Sens!I6011+sh_iss-Sens!J6005/Sens!J6010</f>
        <v>7.53077108226108</v>
      </c>
      <c r="K6011" s="14" t="n">
        <f aca="false">Sens!J6011+sh_iss-Sens!K6005/Sens!K6010</f>
        <v>7.54838638774353</v>
      </c>
    </row>
    <row r="6012" customFormat="false" ht="15" hidden="false" customHeight="false" outlineLevel="0" collapsed="false">
      <c r="A6012" s="1" t="s">
        <v>977</v>
      </c>
      <c r="B6012" s="1" t="s">
        <v>81</v>
      </c>
      <c r="E6012" s="14" t="n">
        <f aca="false">sh_dil26</f>
        <v>7.453</v>
      </c>
      <c r="F6012" s="14" t="n">
        <f aca="false">(Sens!E6011+Sens!F6011)/2+dil_gap</f>
        <v>7.4735</v>
      </c>
      <c r="G6012" s="14" t="n">
        <f aca="false">(Sens!F6011+Sens!G6011)/2+dil_gap</f>
        <v>7.50589244416271</v>
      </c>
      <c r="H6012" s="14" t="n">
        <f aca="false">(Sens!G6011+Sens!H6011)/2+dil_gap</f>
        <v>7.52103647417537</v>
      </c>
      <c r="I6012" s="14" t="n">
        <f aca="false">(Sens!H6011+Sens!I6011)/2+dil_gap</f>
        <v>7.53281730618268</v>
      </c>
      <c r="J6012" s="14" t="n">
        <f aca="false">(Sens!I6011+Sens!J6011)/2+dil_gap</f>
        <v>7.54705881730056</v>
      </c>
      <c r="K6012" s="14" t="n">
        <f aca="false">(Sens!J6011+Sens!K6011)/2+dil_gap</f>
        <v>7.56357873500231</v>
      </c>
    </row>
    <row r="6013" customFormat="false" ht="17.15" hidden="false" customHeight="false" outlineLevel="0" collapsed="false">
      <c r="A6013" s="1" t="s">
        <v>978</v>
      </c>
      <c r="B6013" s="0" t="s">
        <v>98</v>
      </c>
      <c r="C6013" s="6" t="n">
        <f aca="false">SUM(Sens!F6003:J6003)</f>
        <v>397.326553931612</v>
      </c>
    </row>
    <row r="6014" customFormat="false" ht="15" hidden="false" customHeight="false" outlineLevel="0" collapsed="false">
      <c r="A6014" s="23" t="s">
        <v>945</v>
      </c>
      <c r="B6014" s="30" t="s">
        <v>98</v>
      </c>
      <c r="C6014" s="24" t="n">
        <f aca="false">Sens!$C$6013-(Sens!F6003+Sens!G6003+Sens!H6003+Sens!I6003+Sens!J6003)</f>
        <v>0</v>
      </c>
      <c r="D6014" s="30"/>
      <c r="E6014" s="30"/>
      <c r="F6014" s="30"/>
      <c r="G6014" s="30"/>
      <c r="H6014" s="30"/>
      <c r="I6014" s="30"/>
      <c r="J6014" s="30"/>
      <c r="K6014" s="30"/>
    </row>
    <row r="6015" customFormat="false" ht="17.15" hidden="false" customHeight="false" outlineLevel="0" collapsed="false">
      <c r="A6015" s="1" t="s">
        <v>939</v>
      </c>
      <c r="B6015" s="1" t="s">
        <v>979</v>
      </c>
      <c r="C6015" s="32" t="str">
        <f aca="false">IF(SUM(Sens!F6006:J6006)&gt;0.05,"需要舉債 "&amp;TEXT(SUM(Sens!F6006:J6006),"0.0")&amp;" 十億美元","不需舉債")&amp;"；"&amp;IF(SUM(Sens!F6005:J6005)&lt;COUNT(Sens!F6005:J6005)*bb_target-0.05,"回購較每年 "&amp;TEXT(bb_target,"0.0")&amp;" 的目標少 "&amp;TEXT(COUNT(Sens!F6005:J6005)*bb_target-SUM(Sens!F6005:J6005),"0.0")&amp;" 十億美元（"&amp;TEXT(COUNTIF(Sens!F6005:J6005,"&lt;"&amp;(bb_target-0.05)),"0")&amp;" 年減少）","回購不減")</f>
        <v>需要舉債 4.8 十億美元；回購較每年 22.3 的目標少 29.5 十億美元（2 年減少）</v>
      </c>
    </row>
    <row r="6016" customFormat="false" ht="17.15" hidden="false" customHeight="false" outlineLevel="0" collapsed="false">
      <c r="A6016" s="3" t="s">
        <v>1416</v>
      </c>
    </row>
    <row r="6017" customFormat="false" ht="15" hidden="false" customHeight="false" outlineLevel="0" collapsed="false">
      <c r="A6017" s="4" t="s">
        <v>43</v>
      </c>
      <c r="B6017" s="4" t="s">
        <v>65</v>
      </c>
      <c r="C6017" s="20" t="s">
        <v>799</v>
      </c>
      <c r="D6017" s="20" t="s">
        <v>800</v>
      </c>
      <c r="E6017" s="20" t="s">
        <v>801</v>
      </c>
      <c r="F6017" s="20" t="s">
        <v>802</v>
      </c>
      <c r="G6017" s="20" t="s">
        <v>803</v>
      </c>
      <c r="H6017" s="20" t="s">
        <v>804</v>
      </c>
      <c r="I6017" s="20" t="s">
        <v>805</v>
      </c>
      <c r="J6017" s="20" t="s">
        <v>806</v>
      </c>
      <c r="K6017" s="20" t="s">
        <v>807</v>
      </c>
      <c r="L6017" s="4" t="s">
        <v>47</v>
      </c>
    </row>
    <row r="6018" customFormat="false" ht="15" hidden="false" customHeight="false" outlineLevel="0" collapsed="false">
      <c r="A6018" s="1" t="s">
        <v>1057</v>
      </c>
      <c r="B6018" s="1" t="s">
        <v>235</v>
      </c>
      <c r="F6018" s="36" t="n">
        <f aca="false">Sens!F5872-base_fy-mid_yr</f>
        <v>0.5</v>
      </c>
      <c r="G6018" s="36" t="n">
        <f aca="false">Sens!G5872-base_fy-mid_yr</f>
        <v>1.5</v>
      </c>
      <c r="H6018" s="36" t="n">
        <f aca="false">Sens!H5872-base_fy-mid_yr</f>
        <v>2.5</v>
      </c>
      <c r="I6018" s="36" t="n">
        <f aca="false">Sens!I5872-base_fy-mid_yr</f>
        <v>3.5</v>
      </c>
      <c r="J6018" s="36" t="n">
        <f aca="false">Sens!J5872-base_fy-mid_yr</f>
        <v>4.5</v>
      </c>
      <c r="K6018" s="36" t="n">
        <f aca="false">Sens!K5872-base_fy-mid_yr</f>
        <v>5.5</v>
      </c>
    </row>
    <row r="6019" customFormat="false" ht="15" hidden="false" customHeight="false" outlineLevel="0" collapsed="false">
      <c r="A6019" s="1" t="s">
        <v>1058</v>
      </c>
      <c r="B6019" s="0" t="s">
        <v>185</v>
      </c>
      <c r="F6019" s="14" t="n">
        <f aca="false">1/(1+wacc)^Sens!F6018</f>
        <v>0.952193373608246</v>
      </c>
      <c r="G6019" s="14" t="n">
        <f aca="false">1/(1+wacc)^Sens!G6018</f>
        <v>0.863327280626589</v>
      </c>
      <c r="H6019" s="14" t="n">
        <f aca="false">1/(1+wacc)^Sens!H6018</f>
        <v>0.782754862754115</v>
      </c>
      <c r="I6019" s="14" t="n">
        <f aca="false">1/(1+wacc)^Sens!I6018</f>
        <v>0.709702089711011</v>
      </c>
      <c r="J6019" s="14" t="n">
        <f aca="false">1/(1+wacc)^Sens!J6018</f>
        <v>0.643467169744551</v>
      </c>
      <c r="K6019" s="14" t="n">
        <f aca="false">1/(1+wacc)^Sens!K6018</f>
        <v>0.583413807767797</v>
      </c>
    </row>
    <row r="6020" customFormat="false" ht="17.15" hidden="false" customHeight="false" outlineLevel="0" collapsed="false">
      <c r="A6020" s="1" t="s">
        <v>1059</v>
      </c>
      <c r="B6020" s="0" t="s">
        <v>98</v>
      </c>
      <c r="F6020" s="6" t="n">
        <f aca="false">Sens!F5993-Sens!F5991-Sens!F5997+Sens!F5976*(1-tax_f)</f>
        <v>0.835567475255189</v>
      </c>
      <c r="G6020" s="6" t="n">
        <f aca="false">Sens!G5993-Sens!G5991-Sens!G5997+Sens!G5976*(1-tax_f)</f>
        <v>46.0032454778033</v>
      </c>
      <c r="H6020" s="6" t="n">
        <f aca="false">Sens!H5993-Sens!H5991-Sens!H5997+Sens!H5976*(1-tax_f)</f>
        <v>104.286897029101</v>
      </c>
      <c r="I6020" s="6" t="n">
        <f aca="false">Sens!I5993-Sens!I5991-Sens!I5997+Sens!I5976*(1-tax_f)</f>
        <v>182.154214205555</v>
      </c>
      <c r="J6020" s="6" t="n">
        <f aca="false">Sens!J5993-Sens!J5991-Sens!J5997+Sens!J5976*(1-tax_f)</f>
        <v>260.320352483241</v>
      </c>
      <c r="K6020" s="6" t="n">
        <f aca="false">Sens!K5993-Sens!K5991-Sens!K5997+Sens!K5976*(1-tax_f)</f>
        <v>297.073957779483</v>
      </c>
      <c r="L6020" s="1" t="s">
        <v>1060</v>
      </c>
    </row>
    <row r="6021" customFormat="false" ht="15" hidden="false" customHeight="false" outlineLevel="0" collapsed="false">
      <c r="A6021" s="1" t="s">
        <v>1061</v>
      </c>
      <c r="B6021" s="0" t="s">
        <v>98</v>
      </c>
      <c r="F6021" s="6" t="n">
        <f aca="false">Sens!F6020*Sens!F6019</f>
        <v>0.795621813140563</v>
      </c>
      <c r="G6021" s="6" t="n">
        <f aca="false">Sens!G6020*Sens!G6019</f>
        <v>39.7158568183494</v>
      </c>
      <c r="H6021" s="6" t="n">
        <f aca="false">Sens!H6020*Sens!H6019</f>
        <v>81.6310757710668</v>
      </c>
      <c r="I6021" s="6" t="n">
        <f aca="false">Sens!I6020*Sens!I6019</f>
        <v>129.27522647135</v>
      </c>
      <c r="J6021" s="6" t="n">
        <f aca="false">Sens!J6020*Sens!J6019</f>
        <v>167.507600439295</v>
      </c>
      <c r="K6021" s="6" t="n">
        <f aca="false">Sens!K6020*Sens!K6019</f>
        <v>173.317048896778</v>
      </c>
    </row>
    <row r="6022" customFormat="false" ht="17.15" hidden="false" customHeight="false" outlineLevel="0" collapsed="false">
      <c r="A6022" s="1" t="s">
        <v>1062</v>
      </c>
      <c r="B6022" s="0" t="s">
        <v>98</v>
      </c>
      <c r="C6022" s="6" t="n">
        <f aca="false">SUM(Sens!F6021:K6021)</f>
        <v>592.242430209979</v>
      </c>
    </row>
    <row r="6023" customFormat="false" ht="17.15" hidden="false" customHeight="false" outlineLevel="0" collapsed="false">
      <c r="A6023" s="1" t="s">
        <v>1063</v>
      </c>
      <c r="B6023" s="0" t="s">
        <v>98</v>
      </c>
      <c r="C6023" s="6" t="n">
        <f aca="false">Sens!K5962*(1+g_tv)*(1-tax_f)</f>
        <v>316.444820325122</v>
      </c>
    </row>
    <row r="6024" customFormat="false" ht="17.15" hidden="false" customHeight="false" outlineLevel="0" collapsed="false">
      <c r="A6024" s="1" t="s">
        <v>1064</v>
      </c>
      <c r="B6024" s="0" t="s">
        <v>98</v>
      </c>
      <c r="C6024" s="6" t="n">
        <f aca="false">Sens!$C$6023*(1-g_tv/(wacc+ronic_prem))</f>
        <v>224.217705224187</v>
      </c>
    </row>
    <row r="6025" customFormat="false" ht="17.15" hidden="false" customHeight="false" outlineLevel="0" collapsed="false">
      <c r="A6025" s="1" t="s">
        <v>1065</v>
      </c>
      <c r="B6025" s="0" t="s">
        <v>98</v>
      </c>
      <c r="C6025" s="6" t="n">
        <f aca="false">Sens!$C$6024/(wacc-g_tv)</f>
        <v>3074.23717003117</v>
      </c>
    </row>
    <row r="6026" customFormat="false" ht="15" hidden="false" customHeight="false" outlineLevel="0" collapsed="false">
      <c r="A6026" s="1" t="s">
        <v>1066</v>
      </c>
      <c r="B6026" s="0" t="s">
        <v>98</v>
      </c>
      <c r="C6026" s="6" t="n">
        <f aca="false">Sens!$C$6025/(1+wacc)^(Sens!K6018+mid_yr)</f>
        <v>1707.80872321017</v>
      </c>
    </row>
    <row r="6027" customFormat="false" ht="17.15" hidden="false" customHeight="false" outlineLevel="0" collapsed="false">
      <c r="A6027" s="0" t="s">
        <v>986</v>
      </c>
      <c r="B6027" s="0" t="s">
        <v>98</v>
      </c>
      <c r="C6027" s="6" t="n">
        <f aca="false">Sens!$C$6022+Sens!$C$6026</f>
        <v>2300.05115342015</v>
      </c>
    </row>
    <row r="6028" customFormat="false" ht="15" hidden="false" customHeight="false" outlineLevel="0" collapsed="false">
      <c r="A6028" s="1" t="s">
        <v>987</v>
      </c>
      <c r="B6028" s="0" t="s">
        <v>129</v>
      </c>
      <c r="C6028" s="7" t="n">
        <f aca="false">Sens!$C$6026/Sens!$C$6027</f>
        <v>0.742509017971482</v>
      </c>
    </row>
    <row r="6029" customFormat="false" ht="17.15" hidden="false" customHeight="false" outlineLevel="0" collapsed="false">
      <c r="A6029" s="1" t="s">
        <v>1067</v>
      </c>
      <c r="B6029" s="0" t="s">
        <v>98</v>
      </c>
      <c r="C6029" s="6" t="n">
        <f aca="false">Sens!$C$6027+Sens!E6009-Sens!E5998+oai_v</f>
        <v>2434.56415342015</v>
      </c>
    </row>
    <row r="6030" customFormat="false" ht="17.15" hidden="false" customHeight="false" outlineLevel="0" collapsed="false">
      <c r="A6030" s="0" t="s">
        <v>994</v>
      </c>
      <c r="B6030" s="0" t="s">
        <v>75</v>
      </c>
      <c r="C6030" s="5" t="n">
        <f aca="false">Sens!$C$6029/sh_dil26</f>
        <v>326.655595521287</v>
      </c>
    </row>
    <row r="6031" customFormat="false" ht="15" hidden="false" customHeight="false" outlineLevel="0" collapsed="false">
      <c r="A6031" s="1" t="s">
        <v>1068</v>
      </c>
      <c r="B6031" s="0" t="s">
        <v>75</v>
      </c>
      <c r="C6031" s="8" t="n">
        <f aca="false">dps_27+Sens!G6001*roll_div_q/q_per_yr</f>
        <v>4.8895</v>
      </c>
    </row>
    <row r="6032" customFormat="false" ht="17.15" hidden="false" customHeight="false" outlineLevel="0" collapsed="false">
      <c r="A6032" s="0" t="s">
        <v>1069</v>
      </c>
      <c r="B6032" s="0" t="s">
        <v>75</v>
      </c>
      <c r="C6032" s="5" t="n">
        <f aca="false">Sens!$C$6030*(1+wacc)^t_roll-Sens!$C$6031</f>
        <v>367.084133495505</v>
      </c>
    </row>
    <row r="6033" customFormat="false" ht="17.15" hidden="false" customHeight="false" outlineLevel="0" collapsed="false">
      <c r="A6033" s="1" t="s">
        <v>1070</v>
      </c>
      <c r="B6033" s="0" t="s">
        <v>129</v>
      </c>
      <c r="F6033" s="7" t="n">
        <f aca="false">Sens!F5988/(Sens!F5933-Sens!F5889)</f>
        <v>0.0700744920376678</v>
      </c>
      <c r="G6033" s="7" t="n">
        <f aca="false">Sens!G5988/(Sens!G5933-Sens!G5889)</f>
        <v>0.0659475901785937</v>
      </c>
      <c r="H6033" s="7" t="n">
        <f aca="false">Sens!H5988/(Sens!H5933-Sens!H5889)</f>
        <v>0.0636497456821666</v>
      </c>
      <c r="I6033" s="7" t="n">
        <f aca="false">Sens!I5988/(Sens!I5933-Sens!I5889)</f>
        <v>0.0630441521053206</v>
      </c>
      <c r="J6033" s="7" t="n">
        <f aca="false">Sens!J5988/(Sens!J5933-Sens!J5889)</f>
        <v>0.0636474342457424</v>
      </c>
      <c r="K6033" s="7" t="n">
        <f aca="false">Sens!K5988/(Sens!K5933-Sens!K5889)</f>
        <v>0.0648417838545712</v>
      </c>
    </row>
    <row r="6034" customFormat="false" ht="17.15" hidden="false" customHeight="false" outlineLevel="0" collapsed="false">
      <c r="A6034" s="0" t="s">
        <v>1071</v>
      </c>
      <c r="B6034" s="0" t="s">
        <v>98</v>
      </c>
      <c r="F6034" s="6" t="n">
        <f aca="false">Sens!F5918*(al_m365+Sens!F6033+sbc_r)</f>
        <v>86.7642253094948</v>
      </c>
      <c r="G6034" s="6" t="n">
        <f aca="false">Sens!G5918*(al_m365+Sens!G6033+sbc_r)</f>
        <v>104.299763641089</v>
      </c>
      <c r="H6034" s="6" t="n">
        <f aca="false">Sens!H5918*(al_m365+Sens!H6033+sbc_r)</f>
        <v>121.998805552064</v>
      </c>
      <c r="I6034" s="6" t="n">
        <f aca="false">Sens!I5918*(al_m365+Sens!I6033+sbc_r)</f>
        <v>137.430049545477</v>
      </c>
      <c r="J6034" s="6" t="n">
        <f aca="false">Sens!J5918*(al_m365+Sens!J6033+sbc_r)</f>
        <v>150.411390756248</v>
      </c>
      <c r="K6034" s="6" t="n">
        <f aca="false">Sens!K5918*(al_m365+Sens!K6033+sbc_r)</f>
        <v>163.023488534348</v>
      </c>
      <c r="L6034" s="11" t="s">
        <v>1072</v>
      </c>
    </row>
    <row r="6035" customFormat="false" ht="17.15" hidden="false" customHeight="false" outlineLevel="0" collapsed="false">
      <c r="A6035" s="0" t="s">
        <v>1073</v>
      </c>
      <c r="B6035" s="0" t="s">
        <v>98</v>
      </c>
      <c r="F6035" s="6" t="n">
        <f aca="false">Sens!F5919*(al_lic+Sens!F6033+sbc_r)</f>
        <v>33.5026344986717</v>
      </c>
      <c r="G6035" s="6" t="n">
        <f aca="false">Sens!G5919*(al_lic+Sens!G6033+sbc_r)</f>
        <v>34.7532051459309</v>
      </c>
      <c r="H6035" s="6" t="n">
        <f aca="false">Sens!H5919*(al_lic+Sens!H6033+sbc_r)</f>
        <v>35.9336476813743</v>
      </c>
      <c r="I6035" s="6" t="n">
        <f aca="false">Sens!I5919*(al_lic+Sens!I6033+sbc_r)</f>
        <v>37.027409083648</v>
      </c>
      <c r="J6035" s="6" t="n">
        <f aca="false">Sens!J5919*(al_lic+Sens!J6033+sbc_r)</f>
        <v>38.0017338774185</v>
      </c>
      <c r="K6035" s="6" t="n">
        <f aca="false">Sens!K5919*(al_lic+Sens!K6033+sbc_r)</f>
        <v>38.8161674621764</v>
      </c>
    </row>
    <row r="6036" customFormat="false" ht="17.15" hidden="false" customHeight="false" outlineLevel="0" collapsed="false">
      <c r="A6036" s="0" t="s">
        <v>1074</v>
      </c>
      <c r="B6036" s="0" t="s">
        <v>98</v>
      </c>
      <c r="F6036" s="6" t="n">
        <f aca="false">Sens!F5921*(al_ind+Sens!F6033+sbc_r)</f>
        <v>9.10960767038246</v>
      </c>
      <c r="G6036" s="6" t="n">
        <f aca="false">Sens!G5921*(al_ind+Sens!G6033+sbc_r)</f>
        <v>9.85707186385895</v>
      </c>
      <c r="H6036" s="6" t="n">
        <f aca="false">Sens!H5921*(al_ind+Sens!H6033+sbc_r)</f>
        <v>10.6569550678099</v>
      </c>
      <c r="I6036" s="6" t="n">
        <f aca="false">Sens!I5921*(al_ind+Sens!I6033+sbc_r)</f>
        <v>11.5087517429712</v>
      </c>
      <c r="J6036" s="6" t="n">
        <f aca="false">Sens!J5921*(al_ind+Sens!J6033+sbc_r)</f>
        <v>12.3995492781075</v>
      </c>
      <c r="K6036" s="6" t="n">
        <f aca="false">Sens!K5921*(al_ind+Sens!K6033+sbc_r)</f>
        <v>13.3070311151091</v>
      </c>
    </row>
    <row r="6037" customFormat="false" ht="17.15" hidden="false" customHeight="false" outlineLevel="0" collapsed="false">
      <c r="A6037" s="0" t="s">
        <v>1075</v>
      </c>
      <c r="B6037" s="0" t="s">
        <v>98</v>
      </c>
      <c r="F6037" s="6" t="n">
        <f aca="false">Sens!F5923*(al_fro+Sens!F6033+sbc_r)</f>
        <v>3.58557356108164</v>
      </c>
      <c r="G6037" s="6" t="n">
        <f aca="false">Sens!G5923*(al_fro+Sens!G6033+sbc_r)</f>
        <v>3.78453282913826</v>
      </c>
      <c r="H6037" s="6" t="n">
        <f aca="false">Sens!H5923*(al_fro+Sens!H6033+sbc_r)</f>
        <v>4.01590543105396</v>
      </c>
      <c r="I6037" s="6" t="n">
        <f aca="false">Sens!I5923*(al_fro+Sens!I6033+sbc_r)</f>
        <v>4.28308899823406</v>
      </c>
      <c r="J6037" s="6" t="n">
        <f aca="false">Sens!J5923*(al_fro+Sens!J6033+sbc_r)</f>
        <v>4.58582983683873</v>
      </c>
      <c r="K6037" s="6" t="n">
        <f aca="false">Sens!K5923*(al_fro+Sens!K6033+sbc_r)</f>
        <v>4.92145149462421</v>
      </c>
    </row>
    <row r="6038" customFormat="false" ht="17.15" hidden="false" customHeight="false" outlineLevel="0" collapsed="false">
      <c r="A6038" s="0" t="s">
        <v>1076</v>
      </c>
      <c r="B6038" s="0" t="s">
        <v>98</v>
      </c>
      <c r="F6038" s="6" t="n">
        <f aca="false">Sens!F5926*(al_srch+Sens!F6033+sbc_r)</f>
        <v>11.2504970890072</v>
      </c>
      <c r="G6038" s="6" t="n">
        <f aca="false">Sens!G5926*(al_srch+Sens!G6033+sbc_r)</f>
        <v>12.288489062569</v>
      </c>
      <c r="H6038" s="6" t="n">
        <f aca="false">Sens!H5926*(al_srch+Sens!H6033+sbc_r)</f>
        <v>13.3801937858089</v>
      </c>
      <c r="I6038" s="6" t="n">
        <f aca="false">Sens!I5926*(al_srch+Sens!I6033+sbc_r)</f>
        <v>14.5185532090998</v>
      </c>
      <c r="J6038" s="6" t="n">
        <f aca="false">Sens!J5926*(al_srch+Sens!J6033+sbc_r)</f>
        <v>15.6798073167959</v>
      </c>
      <c r="K6038" s="6" t="n">
        <f aca="false">Sens!K5926*(al_srch+Sens!K6033+sbc_r)</f>
        <v>16.8273603470339</v>
      </c>
    </row>
    <row r="6039" customFormat="false" ht="17.15" hidden="false" customHeight="false" outlineLevel="0" collapsed="false">
      <c r="A6039" s="0" t="s">
        <v>1077</v>
      </c>
      <c r="B6039" s="0" t="s">
        <v>98</v>
      </c>
      <c r="F6039" s="6" t="n">
        <f aca="false">Sens!F5895-Sens!F5896+Sens!F5976</f>
        <v>43.752753262389</v>
      </c>
      <c r="G6039" s="6" t="n">
        <f aca="false">Sens!G5895-Sens!G5896+Sens!G5976</f>
        <v>85.1980313690625</v>
      </c>
      <c r="H6039" s="6" t="n">
        <f aca="false">Sens!H5895-Sens!H5896+Sens!H5976</f>
        <v>134.305062628214</v>
      </c>
      <c r="I6039" s="6" t="n">
        <f aca="false">Sens!I5895-Sens!I5896+Sens!I5976</f>
        <v>173.808413896421</v>
      </c>
      <c r="J6039" s="6" t="n">
        <f aca="false">Sens!J5895-Sens!J5896+Sens!J5976</f>
        <v>202.087414853201</v>
      </c>
      <c r="K6039" s="6" t="n">
        <f aca="false">Sens!K5895-Sens!K5896+Sens!K5976</f>
        <v>219.575452986669</v>
      </c>
    </row>
    <row r="6040" customFormat="false" ht="17.15" hidden="false" customHeight="false" outlineLevel="0" collapsed="false">
      <c r="A6040" s="0" t="s">
        <v>1078</v>
      </c>
      <c r="B6040" s="0" t="s">
        <v>98</v>
      </c>
      <c r="F6040" s="6" t="n">
        <f aca="false">Sens!F5955+Sens!F5976+Sens!F5906+Sens!F6033*(Sens!F5925-Sens!F5889)+sbc_r*Sens!F5925</f>
        <v>237.115440320125</v>
      </c>
      <c r="G6040" s="6" t="n">
        <f aca="false">Sens!G5955+Sens!G5976+Sens!G5906+Sens!G6033*(Sens!G5925-Sens!G5889)+sbc_r*Sens!G5925</f>
        <v>310.703613296653</v>
      </c>
      <c r="H6040" s="6" t="n">
        <f aca="false">Sens!H5955+Sens!H5976+Sens!H5906+Sens!H6033*(Sens!H5925-Sens!H5889)+sbc_r*Sens!H5925</f>
        <v>392.677977460767</v>
      </c>
      <c r="I6040" s="6" t="n">
        <f aca="false">Sens!I5955+Sens!I5976+Sens!I5906+Sens!I6033*(Sens!I5925-Sens!I5889)+sbc_r*Sens!I5925</f>
        <v>462.297821173676</v>
      </c>
      <c r="J6040" s="6" t="n">
        <f aca="false">Sens!J5955+Sens!J5976+Sens!J5906+Sens!J6033*(Sens!J5925-Sens!J5889)+sbc_r*Sens!J5925</f>
        <v>517.055076924778</v>
      </c>
      <c r="K6040" s="6" t="n">
        <f aca="false">Sens!K5955+Sens!K5976+Sens!K5906+Sens!K6033*(Sens!K5925-Sens!K5889)+sbc_r*Sens!K5925</f>
        <v>558.634970905482</v>
      </c>
    </row>
    <row r="6041" customFormat="false" ht="17.15" hidden="false" customHeight="false" outlineLevel="0" collapsed="false">
      <c r="A6041" s="0" t="s">
        <v>1079</v>
      </c>
      <c r="B6041" s="0" t="s">
        <v>98</v>
      </c>
      <c r="F6041" s="6" t="n">
        <f aca="false">Sens!F6040-Sens!F6034-Sens!F6035-Sens!F6036-Sens!F6037-Sens!F6039</f>
        <v>60.4006460181052</v>
      </c>
      <c r="G6041" s="6" t="n">
        <f aca="false">Sens!G6040-Sens!G6034-Sens!G6035-Sens!G6036-Sens!G6037-Sens!G6039</f>
        <v>72.8110084475742</v>
      </c>
      <c r="H6041" s="6" t="n">
        <f aca="false">Sens!H6040-Sens!H6034-Sens!H6035-Sens!H6036-Sens!H6037-Sens!H6039</f>
        <v>85.7676011002511</v>
      </c>
      <c r="I6041" s="6" t="n">
        <f aca="false">Sens!I6040-Sens!I6034-Sens!I6035-Sens!I6036-Sens!I6037-Sens!I6039</f>
        <v>98.2401079069252</v>
      </c>
      <c r="J6041" s="6" t="n">
        <f aca="false">Sens!J6040-Sens!J6034-Sens!J6035-Sens!J6036-Sens!J6037-Sens!J6039</f>
        <v>109.569158322965</v>
      </c>
      <c r="K6041" s="6" t="n">
        <f aca="false">Sens!K6040-Sens!K6034-Sens!K6035-Sens!K6036-Sens!K6037-Sens!K6039</f>
        <v>118.991379312556</v>
      </c>
    </row>
    <row r="6042" customFormat="false" ht="17.15" hidden="false" customHeight="false" outlineLevel="0" collapsed="false">
      <c r="A6042" s="0" t="s">
        <v>1080</v>
      </c>
      <c r="B6042" s="0" t="s">
        <v>98</v>
      </c>
      <c r="F6042" s="6" t="n">
        <f aca="false">Sens!F5957+Sens!F6033*Sens!F5932+sbc_r*Sens!F5932</f>
        <v>26.2953753645331</v>
      </c>
      <c r="G6042" s="6" t="n">
        <f aca="false">Sens!G5957+Sens!G6033*Sens!G5932+sbc_r*Sens!G5932</f>
        <v>26.8191400339896</v>
      </c>
      <c r="H6042" s="6" t="n">
        <f aca="false">Sens!H5957+Sens!H6033*Sens!H5932+sbc_r*Sens!H5932</f>
        <v>27.6387086377492</v>
      </c>
      <c r="I6042" s="6" t="n">
        <f aca="false">Sens!I5957+Sens!I6033*Sens!I5932+sbc_r*Sens!I5932</f>
        <v>28.7255994420878</v>
      </c>
      <c r="J6042" s="6" t="n">
        <f aca="false">Sens!J5957+Sens!J6033*Sens!J5932+sbc_r*Sens!J5932</f>
        <v>30.0329411678563</v>
      </c>
      <c r="K6042" s="6" t="n">
        <f aca="false">Sens!K5957+Sens!K6033*Sens!K5932+sbc_r*Sens!K5932</f>
        <v>31.5046160349914</v>
      </c>
    </row>
    <row r="6043" customFormat="false" ht="17.15" hidden="false" customHeight="false" outlineLevel="0" collapsed="false">
      <c r="A6043" s="0" t="s">
        <v>1081</v>
      </c>
      <c r="B6043" s="0" t="s">
        <v>98</v>
      </c>
      <c r="F6043" s="6" t="n">
        <f aca="false">(Sens!F6042-Sens!F6038)*Sens!F5928/(Sens!F5928+Sens!F5930)</f>
        <v>8.24745573565217</v>
      </c>
      <c r="G6043" s="6" t="n">
        <f aca="false">(Sens!G6042-Sens!G6038)*Sens!G5928/(Sens!G5928+Sens!G5930)</f>
        <v>7.82353587804359</v>
      </c>
      <c r="H6043" s="6" t="n">
        <f aca="false">(Sens!H6042-Sens!H6038)*Sens!H5928/(Sens!H5928+Sens!H5930)</f>
        <v>7.57330979863133</v>
      </c>
      <c r="I6043" s="6" t="n">
        <f aca="false">(Sens!I6042-Sens!I6038)*Sens!I5928/(Sens!I5928+Sens!I5930)</f>
        <v>7.47769654775682</v>
      </c>
      <c r="J6043" s="6" t="n">
        <f aca="false">(Sens!J6042-Sens!J6038)*Sens!J5928/(Sens!J5928+Sens!J5930)</f>
        <v>7.52042632392473</v>
      </c>
      <c r="K6043" s="6" t="n">
        <f aca="false">(Sens!K6042-Sens!K6038)*Sens!K5928/(Sens!K5928+Sens!K5930)</f>
        <v>7.69025226017347</v>
      </c>
    </row>
    <row r="6044" customFormat="false" ht="17.15" hidden="false" customHeight="false" outlineLevel="0" collapsed="false">
      <c r="A6044" s="0" t="s">
        <v>1082</v>
      </c>
      <c r="B6044" s="0" t="s">
        <v>98</v>
      </c>
      <c r="F6044" s="6" t="n">
        <f aca="false">Sens!F6042-Sens!F6038-Sens!F6043</f>
        <v>6.7974225398737</v>
      </c>
      <c r="G6044" s="6" t="n">
        <f aca="false">Sens!G6042-Sens!G6038-Sens!G6043</f>
        <v>6.70711509337699</v>
      </c>
      <c r="H6044" s="6" t="n">
        <f aca="false">Sens!H6042-Sens!H6038-Sens!H6043</f>
        <v>6.68520505330904</v>
      </c>
      <c r="I6044" s="6" t="n">
        <f aca="false">Sens!I6042-Sens!I6038-Sens!I6043</f>
        <v>6.72934968523119</v>
      </c>
      <c r="J6044" s="6" t="n">
        <f aca="false">Sens!J6042-Sens!J6038-Sens!J6043</f>
        <v>6.83270752713563</v>
      </c>
      <c r="K6044" s="6" t="n">
        <f aca="false">Sens!K6042-Sens!K6038-Sens!K6043</f>
        <v>6.987003427784</v>
      </c>
    </row>
    <row r="6045" customFormat="false" ht="17.15" hidden="false" customHeight="false" outlineLevel="0" collapsed="false">
      <c r="A6045" s="0" t="s">
        <v>1083</v>
      </c>
      <c r="B6045" s="0" t="s">
        <v>98</v>
      </c>
      <c r="F6045" s="6" t="n">
        <f aca="false">Sens!F6039-tax_f*(Sens!F6039-Sens!F5906)-Sens!F5903</f>
        <v>-118.520695785364</v>
      </c>
      <c r="G6045" s="6" t="n">
        <f aca="false">Sens!G6039-tax_f*(Sens!G6039-Sens!G5906)-Sens!G5903</f>
        <v>-103.590667965848</v>
      </c>
      <c r="H6045" s="6" t="n">
        <f aca="false">Sens!H6039-tax_f*(Sens!H6039-Sens!H5906)-Sens!H5903</f>
        <v>-63.3640318391668</v>
      </c>
      <c r="I6045" s="6" t="n">
        <f aca="false">Sens!I6039-tax_f*(Sens!I6039-Sens!I5906)-Sens!I5903</f>
        <v>-2.53878927063019</v>
      </c>
      <c r="J6045" s="6" t="n">
        <f aca="false">Sens!J6039-tax_f*(Sens!J6039-Sens!J5906)-Sens!J5903</f>
        <v>60.0881598588869</v>
      </c>
      <c r="K6045" s="6" t="n">
        <f aca="false">Sens!K6039-tax_f*(Sens!K6039-Sens!K5906)-Sens!K5903</f>
        <v>82.0792398946064</v>
      </c>
    </row>
    <row r="6046" customFormat="false" ht="17.15" hidden="false" customHeight="false" outlineLevel="0" collapsed="false">
      <c r="A6046" s="0" t="s">
        <v>1084</v>
      </c>
      <c r="B6046" s="0" t="s">
        <v>98</v>
      </c>
      <c r="G6046" s="6" t="n">
        <f aca="false">Sens!G6045/(1+wacc)^(Sens!G6018-(Sens!F6018+mid_yr))</f>
        <v>-98.6383476047323</v>
      </c>
      <c r="H6046" s="6" t="n">
        <f aca="false">Sens!H6045/(1+wacc)^(Sens!H6018-(Sens!F6018+mid_yr))</f>
        <v>-54.7038972972444</v>
      </c>
      <c r="I6046" s="6" t="n">
        <f aca="false">Sens!I6045/(1+wacc)^(Sens!I6018-(Sens!F6018+mid_yr))</f>
        <v>-1.98724964709376</v>
      </c>
      <c r="J6046" s="6" t="n">
        <f aca="false">Sens!J6045/(1+wacc)^(Sens!J6018-(Sens!F6018+mid_yr))</f>
        <v>42.6446926187413</v>
      </c>
      <c r="K6046" s="6" t="n">
        <f aca="false">Sens!K6045/(1+wacc)^(Sens!K6018-(Sens!F6018+mid_yr))</f>
        <v>52.8152961897665</v>
      </c>
      <c r="L6046" s="1" t="s">
        <v>1085</v>
      </c>
    </row>
    <row r="6047" customFormat="false" ht="17.15" hidden="false" customHeight="false" outlineLevel="0" collapsed="false">
      <c r="A6047" s="0" t="s">
        <v>1086</v>
      </c>
      <c r="B6047" s="0" t="s">
        <v>98</v>
      </c>
      <c r="C6047" s="6" t="n">
        <f aca="false">(Sens!K6039-Sens!K5906)*(1-tax_f)*(1+g_tv)*(1-g_tv/(wacc+ronic_prem))/(wacc-g_tv)/(1+wacc)^(Sens!K6018+mid_yr-(Sens!F6018+mid_yr))</f>
        <v>394.55880153744</v>
      </c>
    </row>
    <row r="6048" customFormat="false" ht="17.15" hidden="false" customHeight="false" outlineLevel="0" collapsed="false">
      <c r="A6048" s="1" t="s">
        <v>1087</v>
      </c>
      <c r="B6048" s="0" t="s">
        <v>98</v>
      </c>
      <c r="C6048" s="6" t="n">
        <f aca="false">(SUM(Sens!G6046:K6046)+Sens!$C$6047)*(1+wacc)^(t_roll-(Sens!F6018+mid_yr))</f>
        <v>345.552617905123</v>
      </c>
      <c r="L6048" s="11" t="s">
        <v>1088</v>
      </c>
    </row>
    <row r="6049" customFormat="false" ht="17.15" hidden="false" customHeight="false" outlineLevel="0" collapsed="false">
      <c r="A6049" s="1" t="s">
        <v>1089</v>
      </c>
      <c r="B6049" s="0" t="s">
        <v>98</v>
      </c>
      <c r="C6049" s="6" t="n">
        <f aca="false">(w_ntm28*Sens!G5895+(1-w_ntm28)*Sens!H5895)*m_ai</f>
        <v>551.711134531404</v>
      </c>
    </row>
    <row r="6050" customFormat="false" ht="17.15" hidden="false" customHeight="false" outlineLevel="0" collapsed="false">
      <c r="A6050" s="1" t="s">
        <v>1090</v>
      </c>
      <c r="B6050" s="0" t="s">
        <v>98</v>
      </c>
      <c r="C6050" s="6" t="n">
        <f aca="false">(w_ntm28*Sens!G6041+(1-w_ntm28)*Sens!H6041)*m_cloud</f>
        <v>1064.13606286679</v>
      </c>
    </row>
    <row r="6051" customFormat="false" ht="17.15" hidden="false" customHeight="false" outlineLevel="0" collapsed="false">
      <c r="A6051" s="1" t="s">
        <v>1091</v>
      </c>
      <c r="B6051" s="0" t="s">
        <v>98</v>
      </c>
      <c r="C6051" s="6" t="n">
        <f aca="false">(w_ntm28*Sens!G6034+(1-w_ntm28)*Sens!H6034)*m_sw</f>
        <v>1188.23377338224</v>
      </c>
    </row>
    <row r="6052" customFormat="false" ht="17.15" hidden="false" customHeight="false" outlineLevel="0" collapsed="false">
      <c r="A6052" s="1" t="s">
        <v>1092</v>
      </c>
      <c r="B6052" s="0" t="s">
        <v>98</v>
      </c>
      <c r="C6052" s="6" t="n">
        <f aca="false">(w_ntm28*Sens!G6035+(1-w_ntm28)*Sens!H6035)*m_sw</f>
        <v>379.456138773777</v>
      </c>
    </row>
    <row r="6053" customFormat="false" ht="17.15" hidden="false" customHeight="false" outlineLevel="0" collapsed="false">
      <c r="A6053" s="1" t="s">
        <v>1093</v>
      </c>
      <c r="B6053" s="0" t="s">
        <v>98</v>
      </c>
      <c r="C6053" s="6" t="n">
        <f aca="false">(w_ntm28*Sens!G6036+(1-w_ntm28)*Sens!H6036)*m_sw</f>
        <v>109.249173814923</v>
      </c>
    </row>
    <row r="6054" customFormat="false" ht="17.15" hidden="false" customHeight="false" outlineLevel="0" collapsed="false">
      <c r="A6054" s="1" t="s">
        <v>1094</v>
      </c>
      <c r="B6054" s="0" t="s">
        <v>98</v>
      </c>
      <c r="C6054" s="6" t="n">
        <f aca="false">(w_ntm28*Sens!G6037+(1-w_ntm28)*Sens!H6037)*m_sw</f>
        <v>41.6807935790257</v>
      </c>
    </row>
    <row r="6055" customFormat="false" ht="17.15" hidden="false" customHeight="false" outlineLevel="0" collapsed="false">
      <c r="A6055" s="1" t="s">
        <v>1095</v>
      </c>
      <c r="B6055" s="0" t="s">
        <v>98</v>
      </c>
      <c r="C6055" s="6" t="n">
        <f aca="false">(w_ntm28*Sens!G6038+(1-w_ntm28)*Sens!H6038)*m_ads</f>
        <v>115.163370273396</v>
      </c>
    </row>
    <row r="6056" customFormat="false" ht="17.15" hidden="false" customHeight="false" outlineLevel="0" collapsed="false">
      <c r="A6056" s="1" t="s">
        <v>1096</v>
      </c>
      <c r="B6056" s="0" t="s">
        <v>98</v>
      </c>
      <c r="C6056" s="6" t="n">
        <f aca="false">(w_ntm28*Sens!G6043+(1-w_ntm28)*Sens!H6043)*m_game</f>
        <v>97.7895542076597</v>
      </c>
    </row>
    <row r="6057" customFormat="false" ht="17.15" hidden="false" customHeight="false" outlineLevel="0" collapsed="false">
      <c r="A6057" s="1" t="s">
        <v>1097</v>
      </c>
      <c r="B6057" s="0" t="s">
        <v>98</v>
      </c>
      <c r="C6057" s="6" t="n">
        <f aca="false">(w_ntm28*Sens!G6044+(1-w_ntm28)*Sens!H6044)*m_pc</f>
        <v>96.9494608340023</v>
      </c>
    </row>
    <row r="6058" customFormat="false" ht="17.15" hidden="false" customHeight="false" outlineLevel="0" collapsed="false">
      <c r="A6058" s="1" t="s">
        <v>1098</v>
      </c>
      <c r="B6058" s="0" t="s">
        <v>98</v>
      </c>
      <c r="C6058" s="6" t="n">
        <f aca="false">Sens!$C$6048+Sens!$C$6050+Sens!$C$6051+Sens!$C$6052+Sens!$C$6053+Sens!$C$6054+Sens!$C$6055+Sens!$C$6056+Sens!$C$6057</f>
        <v>3438.21094563694</v>
      </c>
    </row>
    <row r="6059" customFormat="false" ht="17.15" hidden="false" customHeight="false" outlineLevel="0" collapsed="false">
      <c r="A6059" s="1" t="s">
        <v>1099</v>
      </c>
      <c r="B6059" s="0" t="s">
        <v>98</v>
      </c>
      <c r="C6059" s="6" t="n">
        <f aca="false">(Sens!G6020-Sens!G6045)*t_stub</f>
        <v>48.7717142460123</v>
      </c>
      <c r="L6059" s="1" t="s">
        <v>1100</v>
      </c>
    </row>
    <row r="6060" customFormat="false" ht="17.15" hidden="false" customHeight="false" outlineLevel="0" collapsed="false">
      <c r="A6060" s="1" t="s">
        <v>1014</v>
      </c>
      <c r="B6060" s="0" t="s">
        <v>98</v>
      </c>
      <c r="C6060" s="6" t="n">
        <f aca="false">Sens!F6009+oai_v-Sens!F5998+Sens!$C$6059</f>
        <v>165.008257338936</v>
      </c>
      <c r="L6060" s="1" t="s">
        <v>1101</v>
      </c>
    </row>
    <row r="6061" customFormat="false" ht="17.15" hidden="false" customHeight="false" outlineLevel="0" collapsed="false">
      <c r="A6061" s="1" t="s">
        <v>1102</v>
      </c>
      <c r="B6061" s="0" t="s">
        <v>75</v>
      </c>
      <c r="C6061" s="5" t="n">
        <f aca="false">(Sens!$C$6058+Sens!$C$6060)/(Sens!F6011+dil_gap)-Sens!G6001*roll_div_q/q_per_yr</f>
        <v>479.646092712897</v>
      </c>
      <c r="L6061" s="1" t="s">
        <v>1103</v>
      </c>
    </row>
    <row r="6062" customFormat="false" ht="17.15" hidden="false" customHeight="false" outlineLevel="0" collapsed="false">
      <c r="A6062" s="1" t="s">
        <v>1104</v>
      </c>
      <c r="B6062" s="0" t="s">
        <v>75</v>
      </c>
      <c r="C6062" s="5" t="n">
        <f aca="false">w_dcf*Sens!$C$6032+(1-w_dcf)*Sens!$C$6061</f>
        <v>423.365113104201</v>
      </c>
    </row>
    <row r="6063" customFormat="false" ht="17.15" hidden="false" customHeight="false" outlineLevel="0" collapsed="false">
      <c r="A6063" s="3" t="s">
        <v>1417</v>
      </c>
    </row>
    <row r="6064" customFormat="false" ht="15" hidden="false" customHeight="false" outlineLevel="0" collapsed="false">
      <c r="A6064" s="4" t="s">
        <v>43</v>
      </c>
      <c r="B6064" s="4" t="s">
        <v>65</v>
      </c>
      <c r="C6064" s="20" t="s">
        <v>799</v>
      </c>
      <c r="D6064" s="20" t="s">
        <v>800</v>
      </c>
      <c r="E6064" s="20" t="s">
        <v>801</v>
      </c>
      <c r="F6064" s="20" t="s">
        <v>802</v>
      </c>
      <c r="G6064" s="20" t="s">
        <v>803</v>
      </c>
      <c r="H6064" s="20" t="s">
        <v>804</v>
      </c>
      <c r="I6064" s="20" t="s">
        <v>805</v>
      </c>
      <c r="J6064" s="20" t="s">
        <v>806</v>
      </c>
      <c r="K6064" s="20" t="s">
        <v>807</v>
      </c>
      <c r="L6064" s="4" t="s">
        <v>47</v>
      </c>
    </row>
    <row r="6065" customFormat="false" ht="17.15" hidden="false" customHeight="false" outlineLevel="0" collapsed="false">
      <c r="A6065" s="1" t="s">
        <v>808</v>
      </c>
      <c r="B6065" s="1" t="s">
        <v>235</v>
      </c>
      <c r="C6065" s="28" t="n">
        <v>2024</v>
      </c>
      <c r="D6065" s="28" t="n">
        <v>2025</v>
      </c>
      <c r="E6065" s="28" t="n">
        <v>2026</v>
      </c>
      <c r="F6065" s="28" t="n">
        <v>2027</v>
      </c>
      <c r="G6065" s="28" t="n">
        <v>2028</v>
      </c>
      <c r="H6065" s="28" t="n">
        <v>2029</v>
      </c>
      <c r="I6065" s="28" t="n">
        <v>2030</v>
      </c>
      <c r="J6065" s="28" t="n">
        <v>2031</v>
      </c>
      <c r="K6065" s="28" t="n">
        <v>2032</v>
      </c>
    </row>
    <row r="6066" customFormat="false" ht="17.15" hidden="false" customHeight="false" outlineLevel="0" collapsed="false">
      <c r="A6066" s="1" t="s">
        <v>809</v>
      </c>
      <c r="B6066" s="0" t="s">
        <v>399</v>
      </c>
      <c r="F6066" s="29" t="n">
        <f aca="false">pace</f>
        <v>2527.2</v>
      </c>
      <c r="G6066" s="29" t="n">
        <f aca="false">pace</f>
        <v>2527.2</v>
      </c>
      <c r="H6066" s="29" t="n">
        <f aca="false">pace</f>
        <v>2527.2</v>
      </c>
      <c r="I6066" s="29" t="n">
        <f aca="false">pace+(g_tv*Sens!H6067-pace)*MIN(1,(Sens!I6065-pace_y0)/(pace_y1-pace_y0))</f>
        <v>1793.116</v>
      </c>
      <c r="J6066" s="29" t="n">
        <f aca="false">pace+(g_tv*Sens!I6067-pace)*MIN(1,(Sens!J6065-pace_y0)/(pace_y1-pace_y0))</f>
        <v>1094.89432</v>
      </c>
      <c r="K6066" s="29" t="n">
        <f aca="false">pace+(g_tv*Sens!J6067-pace)*MIN(1,(Sens!K6065-pace_y0)/(pace_y1-pace_y0))</f>
        <v>411.5883096</v>
      </c>
      <c r="L6066" s="11" t="s">
        <v>810</v>
      </c>
    </row>
    <row r="6067" customFormat="false" ht="17.15" hidden="false" customHeight="false" outlineLevel="0" collapsed="false">
      <c r="A6067" s="1" t="s">
        <v>811</v>
      </c>
      <c r="B6067" s="0" t="s">
        <v>399</v>
      </c>
      <c r="C6067" s="29" t="n">
        <f aca="false">mw_ext_24</f>
        <v>640</v>
      </c>
      <c r="D6067" s="29" t="n">
        <f aca="false">mw_ext_25</f>
        <v>1630</v>
      </c>
      <c r="E6067" s="29" t="n">
        <f aca="false">mw_ext_26</f>
        <v>3250</v>
      </c>
      <c r="F6067" s="29" t="n">
        <f aca="false">Sens!E6067+Sens!F6066</f>
        <v>5777.2</v>
      </c>
      <c r="G6067" s="29" t="n">
        <f aca="false">Sens!F6067+Sens!G6066</f>
        <v>8304.4</v>
      </c>
      <c r="H6067" s="29" t="n">
        <f aca="false">Sens!G6067+Sens!H6066</f>
        <v>10831.6</v>
      </c>
      <c r="I6067" s="29" t="n">
        <f aca="false">Sens!H6067+Sens!I6066</f>
        <v>12624.716</v>
      </c>
      <c r="J6067" s="29" t="n">
        <f aca="false">Sens!I6067+Sens!J6066</f>
        <v>13719.61032</v>
      </c>
      <c r="K6067" s="29" t="n">
        <f aca="false">Sens!J6067+Sens!K6066</f>
        <v>14131.1986296</v>
      </c>
      <c r="L6067" s="1" t="s">
        <v>812</v>
      </c>
    </row>
    <row r="6068" customFormat="false" ht="17.15" hidden="false" customHeight="false" outlineLevel="0" collapsed="false">
      <c r="A6068" s="1" t="s">
        <v>813</v>
      </c>
      <c r="B6068" s="0" t="s">
        <v>399</v>
      </c>
      <c r="C6068" s="29" t="n">
        <f aca="false">rent_ext_24</f>
        <v>150</v>
      </c>
      <c r="D6068" s="29" t="n">
        <f aca="false">rent_ext_25</f>
        <v>400</v>
      </c>
      <c r="E6068" s="29" t="n">
        <f aca="false">rent_ext_26</f>
        <v>550</v>
      </c>
      <c r="F6068" s="29" t="n">
        <f aca="false">rent_ext_f</f>
        <v>756</v>
      </c>
      <c r="G6068" s="29" t="n">
        <f aca="false">rent_ext_f</f>
        <v>756</v>
      </c>
      <c r="H6068" s="29" t="n">
        <f aca="false">rent_ext_f</f>
        <v>756</v>
      </c>
      <c r="I6068" s="29" t="n">
        <f aca="false">rent_ext_f</f>
        <v>756</v>
      </c>
      <c r="J6068" s="29" t="n">
        <f aca="false">rent_ext_f</f>
        <v>756</v>
      </c>
      <c r="K6068" s="29" t="n">
        <f aca="false">rent_ext_f</f>
        <v>756</v>
      </c>
      <c r="L6068" s="1" t="s">
        <v>814</v>
      </c>
    </row>
    <row r="6069" customFormat="false" ht="17.15" hidden="false" customHeight="false" outlineLevel="0" collapsed="false">
      <c r="A6069" s="1" t="s">
        <v>815</v>
      </c>
      <c r="B6069" s="0" t="s">
        <v>399</v>
      </c>
      <c r="C6069" s="29" t="n">
        <f aca="false">Sens!C6067-Sens!C6068</f>
        <v>490</v>
      </c>
      <c r="D6069" s="29" t="n">
        <f aca="false">Sens!D6067-Sens!D6068</f>
        <v>1230</v>
      </c>
      <c r="E6069" s="29" t="n">
        <f aca="false">Sens!E6067-Sens!E6068</f>
        <v>2700</v>
      </c>
      <c r="F6069" s="29" t="n">
        <f aca="false">Sens!F6067-Sens!F6068</f>
        <v>5021.2</v>
      </c>
      <c r="G6069" s="29" t="n">
        <f aca="false">Sens!G6067-Sens!G6068</f>
        <v>7548.4</v>
      </c>
      <c r="H6069" s="29" t="n">
        <f aca="false">Sens!H6067-Sens!H6068</f>
        <v>10075.6</v>
      </c>
      <c r="I6069" s="29" t="n">
        <f aca="false">Sens!I6067-Sens!I6068</f>
        <v>11868.716</v>
      </c>
      <c r="J6069" s="29" t="n">
        <f aca="false">Sens!J6067-Sens!J6068</f>
        <v>12963.61032</v>
      </c>
      <c r="K6069" s="29" t="n">
        <f aca="false">Sens!K6067-Sens!K6068</f>
        <v>13375.1986296</v>
      </c>
    </row>
    <row r="6070" customFormat="false" ht="17.15" hidden="false" customHeight="false" outlineLevel="0" collapsed="false">
      <c r="A6070" s="1" t="s">
        <v>816</v>
      </c>
      <c r="B6070" s="0" t="s">
        <v>399</v>
      </c>
      <c r="C6070" s="29" t="n">
        <f aca="false">Sens!C6069/ext_sh</f>
        <v>816.666666666667</v>
      </c>
      <c r="D6070" s="29" t="n">
        <f aca="false">Sens!D6069/ext_sh</f>
        <v>2050</v>
      </c>
      <c r="E6070" s="29" t="n">
        <f aca="false">Sens!E6069/ext_sh</f>
        <v>4500</v>
      </c>
      <c r="F6070" s="29" t="n">
        <f aca="false">Sens!F6069/ext_sh</f>
        <v>8368.66666666667</v>
      </c>
      <c r="G6070" s="29" t="n">
        <f aca="false">Sens!G6069/ext_sh</f>
        <v>12580.6666666667</v>
      </c>
      <c r="H6070" s="29" t="n">
        <f aca="false">Sens!H6069/ext_sh</f>
        <v>16792.6666666667</v>
      </c>
      <c r="I6070" s="29" t="n">
        <f aca="false">Sens!I6069/ext_sh</f>
        <v>19781.1933333333</v>
      </c>
      <c r="J6070" s="29" t="n">
        <f aca="false">Sens!J6069/ext_sh</f>
        <v>21606.0172</v>
      </c>
      <c r="K6070" s="29" t="n">
        <f aca="false">Sens!K6069/ext_sh</f>
        <v>22291.997716</v>
      </c>
      <c r="L6070" s="1" t="s">
        <v>817</v>
      </c>
    </row>
    <row r="6071" customFormat="false" ht="17.15" hidden="false" customHeight="false" outlineLevel="0" collapsed="false">
      <c r="A6071" s="1" t="s">
        <v>818</v>
      </c>
      <c r="B6071" s="0" t="s">
        <v>399</v>
      </c>
      <c r="C6071" s="29" t="n">
        <f aca="false">Sens!C6070-Sens!C6069</f>
        <v>326.666666666667</v>
      </c>
      <c r="D6071" s="29" t="n">
        <f aca="false">Sens!D6070-Sens!D6069</f>
        <v>820</v>
      </c>
      <c r="E6071" s="29" t="n">
        <f aca="false">Sens!E6070-Sens!E6069</f>
        <v>1800</v>
      </c>
      <c r="F6071" s="29" t="n">
        <f aca="false">Sens!F6070-Sens!F6069</f>
        <v>3347.46666666667</v>
      </c>
      <c r="G6071" s="29" t="n">
        <f aca="false">Sens!G6070-Sens!G6069</f>
        <v>5032.26666666667</v>
      </c>
      <c r="H6071" s="29" t="n">
        <f aca="false">Sens!H6070-Sens!H6069</f>
        <v>6717.06666666667</v>
      </c>
      <c r="I6071" s="29" t="n">
        <f aca="false">Sens!I6070-Sens!I6069</f>
        <v>7912.47733333333</v>
      </c>
      <c r="J6071" s="29" t="n">
        <f aca="false">Sens!J6070-Sens!J6069</f>
        <v>8642.40688</v>
      </c>
      <c r="K6071" s="29" t="n">
        <f aca="false">Sens!K6070-Sens!K6069</f>
        <v>8916.7990864</v>
      </c>
    </row>
    <row r="6072" customFormat="false" ht="17.15" hidden="false" customHeight="false" outlineLevel="0" collapsed="false">
      <c r="A6072" s="1" t="s">
        <v>819</v>
      </c>
      <c r="B6072" s="0" t="s">
        <v>399</v>
      </c>
      <c r="C6072" s="29" t="n">
        <f aca="false">Sens!C6070</f>
        <v>816.666666666667</v>
      </c>
      <c r="D6072" s="29" t="n">
        <f aca="false">Sens!D6070-Sens!C6070</f>
        <v>1233.33333333333</v>
      </c>
      <c r="E6072" s="29" t="n">
        <f aca="false">Sens!E6070-Sens!D6070</f>
        <v>2450</v>
      </c>
      <c r="F6072" s="29" t="n">
        <f aca="false">Sens!F6070-Sens!E6070</f>
        <v>3868.66666666667</v>
      </c>
      <c r="G6072" s="29" t="n">
        <f aca="false">Sens!G6070-Sens!F6070</f>
        <v>4212</v>
      </c>
      <c r="H6072" s="29" t="n">
        <f aca="false">Sens!H6070-Sens!G6070</f>
        <v>4212</v>
      </c>
      <c r="I6072" s="29" t="n">
        <f aca="false">Sens!I6070-Sens!H6070</f>
        <v>2988.52666666667</v>
      </c>
      <c r="J6072" s="29" t="n">
        <f aca="false">Sens!J6070-Sens!I6070</f>
        <v>1824.82386666667</v>
      </c>
      <c r="K6072" s="29" t="n">
        <f aca="false">Sens!K6070-Sens!J6070</f>
        <v>685.980516</v>
      </c>
    </row>
    <row r="6073" customFormat="false" ht="17.15" hidden="false" customHeight="false" outlineLevel="0" collapsed="false">
      <c r="A6073" s="1" t="s">
        <v>820</v>
      </c>
      <c r="B6073" s="0" t="s">
        <v>399</v>
      </c>
      <c r="D6073" s="29" t="n">
        <f aca="false">Sens!D6067-Sens!C6067</f>
        <v>990</v>
      </c>
      <c r="E6073" s="29" t="n">
        <f aca="false">Sens!E6067-Sens!D6067</f>
        <v>1620</v>
      </c>
      <c r="F6073" s="29" t="n">
        <f aca="false">Sens!F6067-Sens!E6067</f>
        <v>2527.2</v>
      </c>
      <c r="G6073" s="29" t="n">
        <f aca="false">Sens!G6067-Sens!F6067</f>
        <v>2527.2</v>
      </c>
      <c r="H6073" s="29" t="n">
        <f aca="false">Sens!H6067-Sens!G6067</f>
        <v>2527.2</v>
      </c>
      <c r="I6073" s="29" t="n">
        <f aca="false">Sens!I6067-Sens!H6067</f>
        <v>1793.116</v>
      </c>
      <c r="J6073" s="29" t="n">
        <f aca="false">Sens!J6067-Sens!I6067</f>
        <v>1094.89432</v>
      </c>
      <c r="K6073" s="29" t="n">
        <f aca="false">Sens!K6067-Sens!J6067</f>
        <v>411.5883096</v>
      </c>
    </row>
    <row r="6074" customFormat="false" ht="17.15" hidden="false" customHeight="false" outlineLevel="0" collapsed="false">
      <c r="A6074" s="1" t="s">
        <v>821</v>
      </c>
      <c r="B6074" s="0" t="s">
        <v>399</v>
      </c>
      <c r="F6074" s="29" t="n">
        <f aca="false">Sens!F6091*ext_sh</f>
        <v>0</v>
      </c>
      <c r="G6074" s="29" t="n">
        <f aca="false">Sens!G6091*ext_sh</f>
        <v>0</v>
      </c>
      <c r="H6074" s="29" t="n">
        <f aca="false">Sens!H6091*ext_sh</f>
        <v>0</v>
      </c>
      <c r="I6074" s="29" t="n">
        <f aca="false">Sens!I6091*ext_sh</f>
        <v>490</v>
      </c>
      <c r="J6074" s="29" t="n">
        <f aca="false">Sens!J6091*ext_sh</f>
        <v>740</v>
      </c>
      <c r="K6074" s="29" t="n">
        <f aca="false">Sens!K6091*ext_sh</f>
        <v>1470</v>
      </c>
      <c r="L6074" s="1" t="s">
        <v>822</v>
      </c>
    </row>
    <row r="6075" customFormat="false" ht="17.15" hidden="false" customHeight="false" outlineLevel="0" collapsed="false">
      <c r="A6075" s="1" t="s">
        <v>823</v>
      </c>
      <c r="B6075" s="0" t="s">
        <v>399</v>
      </c>
      <c r="C6075" s="29" t="n">
        <f aca="false">mix_h*Sens!C6067</f>
        <v>128</v>
      </c>
      <c r="D6075" s="29" t="n">
        <f aca="false">mix_h*Sens!D6067</f>
        <v>326</v>
      </c>
      <c r="E6075" s="29" t="n">
        <f aca="false">mix_h*Sens!E6067</f>
        <v>650</v>
      </c>
      <c r="F6075" s="29" t="n">
        <f aca="false">Sens!E6075-Sens!F6074*mix_h</f>
        <v>650</v>
      </c>
      <c r="G6075" s="29" t="n">
        <f aca="false">Sens!F6075-Sens!G6074*mix_h</f>
        <v>650</v>
      </c>
      <c r="H6075" s="29" t="n">
        <f aca="false">Sens!G6075-Sens!H6074*mix_h</f>
        <v>650</v>
      </c>
      <c r="I6075" s="29" t="n">
        <f aca="false">Sens!H6075-Sens!I6074*mix_h</f>
        <v>552</v>
      </c>
      <c r="J6075" s="29" t="n">
        <f aca="false">Sens!I6075-Sens!J6074*mix_h</f>
        <v>404</v>
      </c>
      <c r="K6075" s="29" t="n">
        <f aca="false">Sens!J6075-Sens!K6074*mix_h</f>
        <v>110</v>
      </c>
    </row>
    <row r="6076" customFormat="false" ht="17.15" hidden="false" customHeight="false" outlineLevel="0" collapsed="false">
      <c r="A6076" s="1" t="s">
        <v>824</v>
      </c>
      <c r="B6076" s="0" t="s">
        <v>399</v>
      </c>
      <c r="C6076" s="29" t="n">
        <f aca="false">mix_g2*Sens!C6067</f>
        <v>288</v>
      </c>
      <c r="D6076" s="29" t="n">
        <f aca="false">mix_g2*Sens!D6067</f>
        <v>733.5</v>
      </c>
      <c r="E6076" s="29" t="n">
        <f aca="false">mix_g2*Sens!E6067</f>
        <v>1462.5</v>
      </c>
      <c r="F6076" s="29" t="n">
        <f aca="false">Sens!E6076-Sens!F6074*mix_g2</f>
        <v>1462.5</v>
      </c>
      <c r="G6076" s="29" t="n">
        <f aca="false">Sens!F6076-Sens!G6074*mix_g2</f>
        <v>1462.5</v>
      </c>
      <c r="H6076" s="29" t="n">
        <f aca="false">Sens!G6076-Sens!H6074*mix_g2</f>
        <v>1462.5</v>
      </c>
      <c r="I6076" s="29" t="n">
        <f aca="false">Sens!H6076-Sens!I6074*mix_g2</f>
        <v>1242</v>
      </c>
      <c r="J6076" s="29" t="n">
        <f aca="false">Sens!I6076-Sens!J6074*mix_g2</f>
        <v>909</v>
      </c>
      <c r="K6076" s="29" t="n">
        <f aca="false">Sens!J6076-Sens!K6074*mix_g2</f>
        <v>247.5</v>
      </c>
    </row>
    <row r="6077" customFormat="false" ht="17.15" hidden="false" customHeight="false" outlineLevel="0" collapsed="false">
      <c r="A6077" s="1" t="s">
        <v>825</v>
      </c>
      <c r="B6077" s="0" t="s">
        <v>399</v>
      </c>
      <c r="C6077" s="29" t="n">
        <f aca="false">mix_g3*Sens!C6067</f>
        <v>224</v>
      </c>
      <c r="D6077" s="29" t="n">
        <f aca="false">mix_g3*Sens!D6067</f>
        <v>570.5</v>
      </c>
      <c r="E6077" s="29" t="n">
        <f aca="false">mix_g3*Sens!E6067</f>
        <v>1137.5</v>
      </c>
      <c r="F6077" s="29" t="n">
        <f aca="false">Sens!E6077+(Sens!F6073+Sens!F6074)*a_g3_27-Sens!F6074*mix_g3</f>
        <v>2906.54</v>
      </c>
      <c r="G6077" s="29" t="n">
        <f aca="false">Sens!F6077+(Sens!G6073+Sens!G6074)*a_g3_28-Sens!G6074*mix_g3</f>
        <v>3664.7</v>
      </c>
      <c r="H6077" s="29" t="n">
        <f aca="false">Sens!G6077+(Sens!H6073+Sens!H6074)*a_g3_29-Sens!H6074*mix_g3</f>
        <v>3917.42</v>
      </c>
      <c r="I6077" s="29" t="n">
        <f aca="false">Sens!H6077+(Sens!I6073+Sens!I6074)*a_g3_29-Sens!I6074*mix_g3</f>
        <v>3974.2316</v>
      </c>
      <c r="J6077" s="29" t="n">
        <f aca="false">Sens!I6077+(Sens!J6073+Sens!J6074)*a_g3_29-Sens!J6074*mix_g3</f>
        <v>3898.721032</v>
      </c>
      <c r="K6077" s="29" t="n">
        <f aca="false">Sens!J6077+(Sens!K6073+Sens!K6074)*a_g3_29-Sens!K6074*mix_g3</f>
        <v>3572.37986296</v>
      </c>
    </row>
    <row r="6078" customFormat="false" ht="17.15" hidden="false" customHeight="false" outlineLevel="0" collapsed="false">
      <c r="A6078" s="1" t="s">
        <v>826</v>
      </c>
      <c r="B6078" s="0" t="s">
        <v>399</v>
      </c>
      <c r="C6078" s="29" t="n">
        <v>0</v>
      </c>
      <c r="D6078" s="29" t="n">
        <v>0</v>
      </c>
      <c r="E6078" s="29" t="n">
        <v>0</v>
      </c>
      <c r="F6078" s="29" t="n">
        <f aca="false">Sens!E6078+(Sens!F6073+Sens!F6074)*(1-a_g3_27)</f>
        <v>758.16</v>
      </c>
      <c r="G6078" s="29" t="n">
        <f aca="false">Sens!F6078+(Sens!G6073+Sens!G6074)*(1-a_g3_28)</f>
        <v>2527.2</v>
      </c>
      <c r="H6078" s="29" t="n">
        <f aca="false">Sens!G6078+(Sens!H6073+Sens!H6074)*(1-a_g3_29)</f>
        <v>4801.68</v>
      </c>
      <c r="I6078" s="29" t="n">
        <f aca="false">Sens!H6078+(Sens!I6073+Sens!I6074)*(1-a_g3_29)</f>
        <v>6856.4844</v>
      </c>
      <c r="J6078" s="29" t="n">
        <f aca="false">Sens!I6078+(Sens!J6073+Sens!J6074)*(1-a_g3_29)</f>
        <v>8507.889288</v>
      </c>
      <c r="K6078" s="29" t="n">
        <f aca="false">Sens!J6078+(Sens!K6073+Sens!K6074)*(1-a_g3_29)</f>
        <v>10201.31876664</v>
      </c>
    </row>
    <row r="6079" customFormat="false" ht="17.15" hidden="false" customHeight="false" outlineLevel="0" collapsed="false">
      <c r="A6079" s="1" t="s">
        <v>827</v>
      </c>
      <c r="B6079" s="0" t="s">
        <v>346</v>
      </c>
      <c r="C6079" s="14" t="n">
        <f aca="false">(Sens!C6075*tk_hold_h100+Sens!C6076*tk_hold_gb200+Sens!C6077*tk_hold_gb300+Sens!C6078*tk_hold_vr200)/Sens!C6067</f>
        <v>9.7235358126469</v>
      </c>
      <c r="D6079" s="14" t="n">
        <f aca="false">(Sens!D6075*tk_hold_h100+Sens!D6076*tk_hold_gb200+Sens!D6077*tk_hold_gb300+Sens!D6078*tk_hold_vr200)/Sens!D6067</f>
        <v>9.7235358126469</v>
      </c>
      <c r="E6079" s="14" t="n">
        <f aca="false">(Sens!E6075*tk_hold_h100+Sens!E6076*tk_hold_gb200+Sens!E6077*tk_hold_gb300+Sens!E6078*tk_hold_vr200)/Sens!E6067</f>
        <v>9.7235358126469</v>
      </c>
      <c r="F6079" s="14" t="n">
        <f aca="false">(Sens!F6075*tk_hold_h100+Sens!F6076*tk_hold_gb200+Sens!F6077*tk_hold_gb300+Sens!F6078*tk_hold_vr200)/Sens!F6067</f>
        <v>10.4079573161931</v>
      </c>
      <c r="G6079" s="14" t="n">
        <f aca="false">(Sens!G6075*tk_hold_h100+Sens!G6076*tk_hold_gb200+Sens!G6077*tk_hold_gb300+Sens!G6078*tk_hold_vr200)/Sens!G6067</f>
        <v>10.8388131109316</v>
      </c>
      <c r="H6079" s="14" t="n">
        <f aca="false">(Sens!H6075*tk_hold_h100+Sens!H6076*tk_hold_gb200+Sens!H6077*tk_hold_gb300+Sens!H6078*tk_hold_vr200)/Sens!H6067</f>
        <v>11.1311018388216</v>
      </c>
      <c r="I6079" s="14" t="n">
        <f aca="false">(Sens!I6075*tk_hold_h100+Sens!I6076*tk_hold_gb200+Sens!I6077*tk_hold_gb300+Sens!I6078*tk_hold_vr200)/Sens!I6067</f>
        <v>11.3594282560989</v>
      </c>
      <c r="J6079" s="14" t="n">
        <f aca="false">(Sens!J6075*tk_hold_h100+Sens!J6076*tk_hold_gb200+Sens!J6077*tk_hold_gb300+Sens!J6078*tk_hold_vr200)/Sens!J6067</f>
        <v>11.5455817917599</v>
      </c>
      <c r="K6079" s="14" t="n">
        <f aca="false">(Sens!K6075*tk_hold_h100+Sens!K6076*tk_hold_gb200+Sens!K6077*tk_hold_gb300+Sens!K6078*tk_hold_vr200)/Sens!K6067</f>
        <v>11.8078187977246</v>
      </c>
    </row>
    <row r="6080" customFormat="false" ht="17.15" hidden="false" customHeight="false" outlineLevel="0" collapsed="false">
      <c r="A6080" s="0" t="s">
        <v>828</v>
      </c>
      <c r="B6080" s="0" t="s">
        <v>185</v>
      </c>
      <c r="C6080" s="14" t="n">
        <f aca="false">k_B</f>
        <v>1.17213932619116</v>
      </c>
      <c r="D6080" s="14" t="n">
        <f aca="false">k_B</f>
        <v>1.17213932619116</v>
      </c>
      <c r="E6080" s="14" t="n">
        <f aca="false">k_B</f>
        <v>1.17213932619116</v>
      </c>
      <c r="F6080" s="14" t="n">
        <f aca="false">(k_B+((ls_B*k_long+(1-ls_B)*k_spot)-k_B)*MIN(1,(Sens!F6065-base_fy)/k_ramp))</f>
        <v>1.17213932619116</v>
      </c>
      <c r="G6080" s="14" t="n">
        <f aca="false">(k_B+((ls_B*k_long+(1-ls_B)*k_spot)-k_B)*MIN(1,(Sens!G6065-base_fy)/k_ramp))</f>
        <v>1.17213932619116</v>
      </c>
      <c r="H6080" s="14" t="n">
        <f aca="false">(k_B+((ls_B*k_long+(1-ls_B)*k_spot)-k_B)*MIN(1,(Sens!H6065-base_fy)/k_ramp))</f>
        <v>1.17213932619116</v>
      </c>
      <c r="I6080" s="14" t="n">
        <f aca="false">(k_B+((ls_B*k_long+(1-ls_B)*k_spot)-k_B)*MIN(1,(Sens!I6065-base_fy)/k_ramp))</f>
        <v>1.17213932619116</v>
      </c>
      <c r="J6080" s="14" t="n">
        <f aca="false">(k_B+((ls_B*k_long+(1-ls_B)*k_spot)-k_B)*MIN(1,(Sens!J6065-base_fy)/k_ramp))</f>
        <v>1.17213932619116</v>
      </c>
      <c r="K6080" s="14" t="n">
        <f aca="false">(k_B+((ls_B*k_long+(1-ls_B)*k_spot)-k_B)*MIN(1,(Sens!K6065-base_fy)/k_ramp))</f>
        <v>1.17213932619116</v>
      </c>
      <c r="L6080" s="1" t="s">
        <v>829</v>
      </c>
    </row>
    <row r="6081" customFormat="false" ht="17.15" hidden="false" customHeight="false" outlineLevel="0" collapsed="false">
      <c r="A6081" s="1" t="s">
        <v>830</v>
      </c>
      <c r="B6081" s="0" t="s">
        <v>346</v>
      </c>
      <c r="C6081" s="14" t="n">
        <f aca="false">Sens!C6079*Sens!C6080*chip_f</f>
        <v>11.3973387156315</v>
      </c>
      <c r="D6081" s="14" t="n">
        <f aca="false">Sens!D6079*Sens!D6080*chip_f</f>
        <v>11.3973387156315</v>
      </c>
      <c r="E6081" s="14" t="n">
        <f aca="false">Sens!E6079*Sens!E6080*chip_f</f>
        <v>11.3973387156315</v>
      </c>
      <c r="F6081" s="14" t="n">
        <f aca="false">Sens!F6079*Sens!F6080*chip_f</f>
        <v>12.1995760756289</v>
      </c>
      <c r="G6081" s="14" t="n">
        <f aca="false">Sens!G6079*Sens!G6080*chip_f</f>
        <v>12.7045990965592</v>
      </c>
      <c r="H6081" s="14" t="n">
        <f aca="false">Sens!H6079*Sens!H6080*chip_f</f>
        <v>13.0472022091214</v>
      </c>
      <c r="I6081" s="14" t="n">
        <f aca="false">Sens!I6079*Sens!I6080*chip_f</f>
        <v>13.3148325820205</v>
      </c>
      <c r="J6081" s="14" t="n">
        <f aca="false">Sens!J6079*Sens!J6080*chip_f</f>
        <v>13.5330304618783</v>
      </c>
      <c r="K6081" s="14" t="n">
        <f aca="false">Sens!K6079*Sens!K6080*chip_f</f>
        <v>13.8404087693522</v>
      </c>
      <c r="L6081" s="1" t="s">
        <v>831</v>
      </c>
    </row>
    <row r="6082" customFormat="false" ht="17.15" hidden="false" customHeight="false" outlineLevel="0" collapsed="false">
      <c r="A6082" s="0" t="s">
        <v>832</v>
      </c>
      <c r="B6082" s="0" t="s">
        <v>98</v>
      </c>
      <c r="D6082" s="6" t="n">
        <f aca="false">(Sens!C6067+Sens!D6067)/2*Sens!D6081/1000</f>
        <v>12.9359794422418</v>
      </c>
      <c r="E6082" s="6" t="n">
        <f aca="false">(Sens!D6067+Sens!E6067)/2*Sens!E6081/1000</f>
        <v>27.8095064661409</v>
      </c>
      <c r="F6082" s="6" t="n">
        <f aca="false">(Sens!E6067+Sens!F6067)/2*Sens!F6081/1000</f>
        <v>55.0640065749585</v>
      </c>
      <c r="G6082" s="6" t="n">
        <f aca="false">(Sens!F6067+Sens!G6067)/2*Sens!G6081/1000</f>
        <v>89.4505413190538</v>
      </c>
      <c r="H6082" s="6" t="n">
        <f aca="false">(Sens!G6067+Sens!H6067)/2*Sens!H6081/1000</f>
        <v>124.835630736874</v>
      </c>
      <c r="I6082" s="6" t="n">
        <f aca="false">(Sens!H6067+Sens!I6067)/2*Sens!I6081/1000</f>
        <v>156.158460265485</v>
      </c>
      <c r="J6082" s="6" t="n">
        <f aca="false">(Sens!I6067+Sens!J6067)/2*Sens!J6081/1000</f>
        <v>178.259285293112</v>
      </c>
      <c r="K6082" s="6" t="n">
        <f aca="false">(Sens!J6067+Sens!K6067)/2*Sens!K6081/1000</f>
        <v>192.733290209798</v>
      </c>
      <c r="L6082" s="11" t="s">
        <v>833</v>
      </c>
    </row>
    <row r="6083" customFormat="false" ht="17.15" hidden="false" customHeight="false" outlineLevel="0" collapsed="false">
      <c r="A6083" s="1" t="s">
        <v>834</v>
      </c>
      <c r="B6083" s="0" t="s">
        <v>346</v>
      </c>
      <c r="C6083" s="14" t="n">
        <f aca="false">(Sens!C6075*tk_opex_h100+Sens!C6076*tk_opex_gb200+Sens!C6077*tk_opex_gb300+Sens!C6078*tk_opex_vr200)/Sens!C6067</f>
        <v>1.88636041306092</v>
      </c>
      <c r="D6083" s="14" t="n">
        <f aca="false">(Sens!D6075*tk_opex_h100+Sens!D6076*tk_opex_gb200+Sens!D6077*tk_opex_gb300+Sens!D6078*tk_opex_vr200)/Sens!D6067</f>
        <v>1.88636041306092</v>
      </c>
      <c r="E6083" s="14" t="n">
        <f aca="false">(Sens!E6075*tk_opex_h100+Sens!E6076*tk_opex_gb200+Sens!E6077*tk_opex_gb300+Sens!E6078*tk_opex_vr200)/Sens!E6067</f>
        <v>1.88636041306092</v>
      </c>
      <c r="F6083" s="14" t="n">
        <f aca="false">(Sens!F6075*tk_opex_h100+Sens!F6076*tk_opex_gb200+Sens!F6077*tk_opex_gb300+Sens!F6078*tk_opex_vr200)/Sens!F6067</f>
        <v>1.9430236476499</v>
      </c>
      <c r="G6083" s="14" t="n">
        <f aca="false">(Sens!G6075*tk_opex_h100+Sens!G6076*tk_opex_gb200+Sens!G6077*tk_opex_gb300+Sens!G6078*tk_opex_vr200)/Sens!G6067</f>
        <v>1.9786941852423</v>
      </c>
      <c r="H6083" s="14" t="n">
        <f aca="false">(Sens!H6075*tk_opex_h100+Sens!H6076*tk_opex_gb200+Sens!H6077*tk_opex_gb300+Sens!H6078*tk_opex_vr200)/Sens!H6067</f>
        <v>2.00289275976156</v>
      </c>
      <c r="I6083" s="14" t="n">
        <f aca="false">(Sens!I6075*tk_opex_h100+Sens!I6076*tk_opex_gb200+Sens!I6077*tk_opex_gb300+Sens!I6078*tk_opex_vr200)/Sens!I6067</f>
        <v>2.02179589661219</v>
      </c>
      <c r="J6083" s="14" t="n">
        <f aca="false">(Sens!J6075*tk_opex_h100+Sens!J6076*tk_opex_gb200+Sens!J6077*tk_opex_gb300+Sens!J6078*tk_opex_vr200)/Sens!J6067</f>
        <v>2.03720754193029</v>
      </c>
      <c r="K6083" s="14" t="n">
        <f aca="false">(Sens!K6075*tk_opex_h100+Sens!K6076*tk_opex_gb200+Sens!K6077*tk_opex_gb300+Sens!K6078*tk_opex_vr200)/Sens!K6067</f>
        <v>2.0589181353437</v>
      </c>
    </row>
    <row r="6084" customFormat="false" ht="17.15" hidden="false" customHeight="false" outlineLevel="0" collapsed="false">
      <c r="A6084" s="0" t="s">
        <v>835</v>
      </c>
      <c r="B6084" s="0" t="s">
        <v>98</v>
      </c>
      <c r="D6084" s="6" t="n">
        <f aca="false">(Sens!C6070+Sens!D6070)/2*Sens!D6083/1000</f>
        <v>2.70378325872065</v>
      </c>
      <c r="E6084" s="6" t="n">
        <f aca="false">(Sens!D6070+Sens!E6070)/2*Sens!E6083/1000</f>
        <v>6.17783035277451</v>
      </c>
      <c r="F6084" s="6" t="n">
        <f aca="false">(Sens!E6070+Sens!F6070)/2*Sens!F6083/1000</f>
        <v>12.5020618235287</v>
      </c>
      <c r="G6084" s="6" t="n">
        <f aca="false">(Sens!F6070+Sens!G6070)/2*Sens!G6083/1000</f>
        <v>20.7261620256847</v>
      </c>
      <c r="H6084" s="6" t="n">
        <f aca="false">(Sens!G6070+Sens!H6070)/2*Sens!H6083/1000</f>
        <v>29.4158183316982</v>
      </c>
      <c r="I6084" s="6" t="n">
        <f aca="false">(Sens!H6070+Sens!I6070)/2*Sens!I6083/1000</f>
        <v>36.9724400356344</v>
      </c>
      <c r="J6084" s="6" t="n">
        <f aca="false">(Sens!I6070+Sens!J6070)/2*Sens!J6083/1000</f>
        <v>42.1571687189816</v>
      </c>
      <c r="K6084" s="6" t="n">
        <f aca="false">(Sens!J6070+Sens!K6070)/2*Sens!K6083/1000</f>
        <v>45.1912095080704</v>
      </c>
    </row>
    <row r="6085" customFormat="false" ht="17.15" hidden="false" customHeight="false" outlineLevel="0" collapsed="false">
      <c r="A6085" s="0" t="s">
        <v>836</v>
      </c>
      <c r="B6085" s="0" t="s">
        <v>98</v>
      </c>
      <c r="D6085" s="6" t="n">
        <f aca="false">(Sens!C6068+Sens!D6068)/2*rent_mw/1000</f>
        <v>2.44475</v>
      </c>
      <c r="E6085" s="6" t="n">
        <f aca="false">(Sens!D6068+Sens!E6068)/2*rent_mw/1000</f>
        <v>4.22275</v>
      </c>
      <c r="F6085" s="6" t="n">
        <f aca="false">(Sens!E6068+Sens!F6068)/2*rent_mw/1000</f>
        <v>5.80517</v>
      </c>
      <c r="G6085" s="6" t="n">
        <f aca="false">(Sens!F6068+Sens!G6068)/2*rent_mw/1000</f>
        <v>6.72084</v>
      </c>
      <c r="H6085" s="6" t="n">
        <f aca="false">(Sens!G6068+Sens!H6068)/2*rent_mw/1000</f>
        <v>6.72084</v>
      </c>
      <c r="I6085" s="6" t="n">
        <f aca="false">(Sens!H6068+Sens!I6068)/2*rent_mw/1000</f>
        <v>6.72084</v>
      </c>
      <c r="J6085" s="6" t="n">
        <f aca="false">(Sens!I6068+Sens!J6068)/2*rent_mw/1000</f>
        <v>6.72084</v>
      </c>
      <c r="K6085" s="6" t="n">
        <f aca="false">(Sens!J6068+Sens!K6068)/2*rent_mw/1000</f>
        <v>6.72084</v>
      </c>
    </row>
    <row r="6086" customFormat="false" ht="17.15" hidden="false" customHeight="false" outlineLevel="0" collapsed="false">
      <c r="A6086" s="0" t="s">
        <v>837</v>
      </c>
      <c r="B6086" s="0" t="s">
        <v>98</v>
      </c>
      <c r="D6086" s="6" t="n">
        <f aca="false">(Sens!C6070+Sens!D6070)/2*(1-self_build)*fac_rent/1000</f>
        <v>0.853242375631075</v>
      </c>
      <c r="E6086" s="6" t="n">
        <f aca="false">(Sens!D6070+Sens!E6070)/2*(1-self_build)*fac_rent/1000</f>
        <v>1.94955961408728</v>
      </c>
      <c r="F6086" s="6" t="n">
        <f aca="false">(Sens!E6070+Sens!F6070)/2*(1-self_build)*fac_rent/1000</f>
        <v>3.83026455274573</v>
      </c>
      <c r="G6086" s="6" t="n">
        <f aca="false">(Sens!F6070+Sens!G6070)/2*(1-self_build)*fac_rent/1000</f>
        <v>6.23541590972812</v>
      </c>
      <c r="H6086" s="6" t="n">
        <f aca="false">(Sens!G6070+Sens!H6070)/2*(1-self_build)*fac_rent/1000</f>
        <v>8.74275792332679</v>
      </c>
      <c r="I6086" s="6" t="n">
        <f aca="false">(Sens!H6070+Sens!I6070)/2*(1-self_build)*fac_rent/1000</f>
        <v>10.8859420438599</v>
      </c>
      <c r="J6086" s="6" t="n">
        <f aca="false">(Sens!I6070+Sens!J6070)/2*(1-self_build)*fac_rent/1000</f>
        <v>12.3186006405366</v>
      </c>
      <c r="K6086" s="6" t="n">
        <f aca="false">(Sens!J6070+Sens!K6070)/2*(1-self_build)*fac_rent/1000</f>
        <v>13.0659232089824</v>
      </c>
      <c r="L6086" s="11" t="s">
        <v>838</v>
      </c>
    </row>
    <row r="6087" customFormat="false" ht="17.15" hidden="false" customHeight="false" outlineLevel="0" collapsed="false">
      <c r="A6087" s="1" t="s">
        <v>839</v>
      </c>
      <c r="B6087" s="0" t="s">
        <v>129</v>
      </c>
      <c r="D6087" s="7" t="n">
        <f aca="false">(Sens!C6069+Sens!D6069)/(Sens!C6070+Sens!D6070)</f>
        <v>0.6</v>
      </c>
      <c r="E6087" s="7" t="n">
        <f aca="false">(Sens!D6069+Sens!E6069)/(Sens!D6070+Sens!E6070)</f>
        <v>0.6</v>
      </c>
      <c r="F6087" s="7" t="n">
        <f aca="false">(Sens!E6069+Sens!F6069)/(Sens!E6070+Sens!F6070)</f>
        <v>0.6</v>
      </c>
      <c r="G6087" s="7" t="n">
        <f aca="false">(Sens!F6069+Sens!G6069)/(Sens!F6070+Sens!G6070)</f>
        <v>0.6</v>
      </c>
      <c r="H6087" s="7" t="n">
        <f aca="false">(Sens!G6069+Sens!H6069)/(Sens!G6070+Sens!H6070)</f>
        <v>0.6</v>
      </c>
      <c r="I6087" s="7" t="n">
        <f aca="false">(Sens!H6069+Sens!I6069)/(Sens!H6070+Sens!I6070)</f>
        <v>0.6</v>
      </c>
      <c r="J6087" s="7" t="n">
        <f aca="false">(Sens!I6069+Sens!J6069)/(Sens!I6070+Sens!J6070)</f>
        <v>0.6</v>
      </c>
      <c r="K6087" s="7" t="n">
        <f aca="false">(Sens!J6069+Sens!K6069)/(Sens!J6070+Sens!K6070)</f>
        <v>0.6</v>
      </c>
    </row>
    <row r="6088" customFormat="false" ht="17.15" hidden="false" customHeight="false" outlineLevel="0" collapsed="false">
      <c r="A6088" s="0" t="s">
        <v>840</v>
      </c>
      <c r="B6088" s="0" t="s">
        <v>98</v>
      </c>
      <c r="D6088" s="6" t="n">
        <f aca="false">Sens!D6082-Sens!D6087*(Sens!D6084+Sens!D6086)-Sens!D6085</f>
        <v>8.35701406163072</v>
      </c>
      <c r="E6088" s="6" t="n">
        <f aca="false">Sens!E6082-Sens!E6087*(Sens!E6084+Sens!E6086)-Sens!E6085</f>
        <v>18.7103224860238</v>
      </c>
      <c r="F6088" s="6" t="n">
        <f aca="false">Sens!F6082-Sens!F6087*(Sens!F6084+Sens!F6086)-Sens!F6085</f>
        <v>39.4594407491938</v>
      </c>
      <c r="G6088" s="6" t="n">
        <f aca="false">Sens!G6082-Sens!G6087*(Sens!G6084+Sens!G6086)-Sens!G6085</f>
        <v>66.5527545578061</v>
      </c>
      <c r="H6088" s="6" t="n">
        <f aca="false">Sens!H6082-Sens!H6087*(Sens!H6084+Sens!H6086)-Sens!H6085</f>
        <v>95.219644983859</v>
      </c>
      <c r="I6088" s="6" t="n">
        <f aca="false">Sens!I6082-Sens!I6087*(Sens!I6084+Sens!I6086)-Sens!I6085</f>
        <v>120.722591017788</v>
      </c>
      <c r="J6088" s="6" t="n">
        <f aca="false">Sens!J6082-Sens!J6087*(Sens!J6084+Sens!J6086)-Sens!J6085</f>
        <v>138.852983677401</v>
      </c>
      <c r="K6088" s="6" t="n">
        <f aca="false">Sens!K6082-Sens!K6087*(Sens!K6084+Sens!K6086)-Sens!K6085</f>
        <v>151.058170579566</v>
      </c>
    </row>
    <row r="6089" customFormat="false" ht="17.15" hidden="false" customHeight="false" outlineLevel="0" collapsed="false">
      <c r="A6089" s="1" t="s">
        <v>841</v>
      </c>
      <c r="B6089" s="0" t="s">
        <v>98</v>
      </c>
      <c r="D6089" s="6" t="n">
        <f aca="false">(1-Sens!D6087)*(Sens!D6084+Sens!D6086)</f>
        <v>1.42281025374069</v>
      </c>
      <c r="E6089" s="6" t="n">
        <f aca="false">(1-Sens!E6087)*(Sens!E6084+Sens!E6086)</f>
        <v>3.25095598674472</v>
      </c>
      <c r="F6089" s="6" t="n">
        <f aca="false">(1-Sens!F6087)*(Sens!F6084+Sens!F6086)</f>
        <v>6.53293055050977</v>
      </c>
      <c r="G6089" s="6" t="n">
        <f aca="false">(1-Sens!G6087)*(Sens!G6084+Sens!G6086)</f>
        <v>10.7846311741651</v>
      </c>
      <c r="H6089" s="6" t="n">
        <f aca="false">(1-Sens!H6087)*(Sens!H6084+Sens!H6086)</f>
        <v>15.26343050201</v>
      </c>
      <c r="I6089" s="6" t="n">
        <f aca="false">(1-Sens!I6087)*(Sens!I6084+Sens!I6086)</f>
        <v>19.1433528317977</v>
      </c>
      <c r="J6089" s="6" t="n">
        <f aca="false">(1-Sens!J6087)*(Sens!J6084+Sens!J6086)</f>
        <v>21.7903077438073</v>
      </c>
      <c r="K6089" s="6" t="n">
        <f aca="false">(1-Sens!K6087)*(Sens!K6084+Sens!K6086)</f>
        <v>23.3028530868211</v>
      </c>
    </row>
    <row r="6090" customFormat="false" ht="17.15" hidden="false" customHeight="false" outlineLevel="0" collapsed="false">
      <c r="A6090" s="1" t="s">
        <v>842</v>
      </c>
      <c r="B6090" s="0" t="s">
        <v>357</v>
      </c>
      <c r="C6090" s="8" t="n">
        <f aca="false">cxit_open</f>
        <v>27.5918995</v>
      </c>
      <c r="D6090" s="8" t="n">
        <f aca="false">cxit_open</f>
        <v>27.5918995</v>
      </c>
      <c r="E6090" s="8" t="n">
        <f aca="false">cxit_open</f>
        <v>27.5918995</v>
      </c>
      <c r="F6090" s="8" t="n">
        <f aca="false">(a_g3_27*tk_cxit_gb300+(1-a_g3_27)*tk_cxit_vr200)</f>
        <v>33.8419624</v>
      </c>
      <c r="G6090" s="8" t="n">
        <f aca="false">(a_g3_28*tk_cxit_gb300+(1-a_g3_28)*tk_cxit_vr200)</f>
        <v>35.9816136</v>
      </c>
      <c r="H6090" s="8" t="n">
        <f aca="false">(a_g3_29*tk_cxit_gb300+(1-a_g3_29)*tk_cxit_vr200)</f>
        <v>37.0514392</v>
      </c>
      <c r="I6090" s="8" t="n">
        <f aca="false">(a_g3_29*tk_cxit_gb300+(1-a_g3_29)*tk_cxit_vr200)</f>
        <v>37.0514392</v>
      </c>
      <c r="J6090" s="8" t="n">
        <f aca="false">(a_g3_29*tk_cxit_gb300+(1-a_g3_29)*tk_cxit_vr200)</f>
        <v>37.0514392</v>
      </c>
      <c r="K6090" s="8" t="n">
        <f aca="false">(a_g3_29*tk_cxit_gb300+(1-a_g3_29)*tk_cxit_vr200)</f>
        <v>37.0514392</v>
      </c>
      <c r="L6090" s="11" t="s">
        <v>843</v>
      </c>
    </row>
    <row r="6091" customFormat="false" ht="17.15" hidden="false" customHeight="false" outlineLevel="0" collapsed="false">
      <c r="A6091" s="0" t="s">
        <v>844</v>
      </c>
      <c r="B6091" s="0" t="s">
        <v>399</v>
      </c>
      <c r="F6091" s="29" t="n">
        <f aca="false">Sens!C6072*IF(Sens!F6065-Sens!C6065=life_it,1,0)+Sens!D6072*IF(Sens!F6065-Sens!D6065=life_it,1,0)+Sens!E6072*IF(Sens!F6065-Sens!E6065=life_it,1,0)</f>
        <v>0</v>
      </c>
      <c r="G6091" s="29" t="n">
        <f aca="false">Sens!C6072*IF(Sens!G6065-Sens!C6065=life_it,1,0)+Sens!D6072*IF(Sens!G6065-Sens!D6065=life_it,1,0)+Sens!E6072*IF(Sens!G6065-Sens!E6065=life_it,1,0)+Sens!F6072*IF(Sens!G6065-Sens!F6065=life_it,1,0)</f>
        <v>0</v>
      </c>
      <c r="H6091" s="29" t="n">
        <f aca="false">Sens!C6072*IF(Sens!H6065-Sens!C6065=life_it,1,0)+Sens!D6072*IF(Sens!H6065-Sens!D6065=life_it,1,0)+Sens!E6072*IF(Sens!H6065-Sens!E6065=life_it,1,0)+Sens!F6072*IF(Sens!H6065-Sens!F6065=life_it,1,0)+Sens!G6072*IF(Sens!H6065-Sens!G6065=life_it,1,0)</f>
        <v>0</v>
      </c>
      <c r="I6091" s="29" t="n">
        <f aca="false">Sens!C6072*IF(Sens!I6065-Sens!C6065=life_it,1,0)+Sens!D6072*IF(Sens!I6065-Sens!D6065=life_it,1,0)+Sens!E6072*IF(Sens!I6065-Sens!E6065=life_it,1,0)+Sens!F6072*IF(Sens!I6065-Sens!F6065=life_it,1,0)+Sens!G6072*IF(Sens!I6065-Sens!G6065=life_it,1,0)+Sens!H6072*IF(Sens!I6065-Sens!H6065=life_it,1,0)</f>
        <v>816.666666666667</v>
      </c>
      <c r="J6091" s="29" t="n">
        <f aca="false">Sens!C6072*IF(Sens!J6065-Sens!C6065=life_it,1,0)+Sens!D6072*IF(Sens!J6065-Sens!D6065=life_it,1,0)+Sens!E6072*IF(Sens!J6065-Sens!E6065=life_it,1,0)+Sens!F6072*IF(Sens!J6065-Sens!F6065=life_it,1,0)+Sens!G6072*IF(Sens!J6065-Sens!G6065=life_it,1,0)+Sens!H6072*IF(Sens!J6065-Sens!H6065=life_it,1,0)+Sens!I6072*IF(Sens!J6065-Sens!I6065=life_it,1,0)</f>
        <v>1233.33333333333</v>
      </c>
      <c r="K6091" s="29" t="n">
        <f aca="false">Sens!C6072*IF(Sens!K6065-Sens!C6065=life_it,1,0)+Sens!D6072*IF(Sens!K6065-Sens!D6065=life_it,1,0)+Sens!E6072*IF(Sens!K6065-Sens!E6065=life_it,1,0)+Sens!F6072*IF(Sens!K6065-Sens!F6065=life_it,1,0)+Sens!G6072*IF(Sens!K6065-Sens!G6065=life_it,1,0)+Sens!H6072*IF(Sens!K6065-Sens!H6065=life_it,1,0)+Sens!I6072*IF(Sens!K6065-Sens!I6065=life_it,1,0)+Sens!J6072*IF(Sens!K6065-Sens!J6065=life_it,1,0)</f>
        <v>2450</v>
      </c>
      <c r="L6091" s="1" t="s">
        <v>845</v>
      </c>
    </row>
    <row r="6092" customFormat="false" ht="17.15" hidden="false" customHeight="false" outlineLevel="0" collapsed="false">
      <c r="A6092" s="0" t="s">
        <v>846</v>
      </c>
      <c r="B6092" s="0" t="s">
        <v>98</v>
      </c>
      <c r="C6092" s="6" t="n">
        <f aca="false">Sens!C6072*Sens!C6090/1000</f>
        <v>22.5333845916667</v>
      </c>
      <c r="D6092" s="6" t="n">
        <f aca="false">Sens!D6072*Sens!D6090/1000</f>
        <v>34.0300093833333</v>
      </c>
      <c r="E6092" s="6" t="n">
        <f aca="false">Sens!E6072*Sens!E6090/1000</f>
        <v>67.600153775</v>
      </c>
      <c r="F6092" s="6" t="n">
        <f aca="false">(Sens!F6072+Sens!F6091)*Sens!F6090/1000</f>
        <v>130.923271871467</v>
      </c>
      <c r="G6092" s="6" t="n">
        <f aca="false">(Sens!G6072+Sens!G6091)*Sens!G6090/1000</f>
        <v>151.5545564832</v>
      </c>
      <c r="H6092" s="6" t="n">
        <f aca="false">(Sens!H6072+Sens!H6091)*Sens!H6090/1000</f>
        <v>156.0606619104</v>
      </c>
      <c r="I6092" s="6" t="n">
        <f aca="false">(Sens!I6072+Sens!I6091)*Sens!I6090/1000</f>
        <v>140.987889434245</v>
      </c>
      <c r="J6092" s="6" t="n">
        <f aca="false">(Sens!J6072+Sens!J6091)*Sens!J6090/1000</f>
        <v>113.309125559842</v>
      </c>
      <c r="K6092" s="6" t="n">
        <f aca="false">(Sens!K6072+Sens!K6091)*Sens!K6090/1000</f>
        <v>116.192591420959</v>
      </c>
    </row>
    <row r="6093" customFormat="false" ht="17.15" hidden="false" customHeight="false" outlineLevel="0" collapsed="false">
      <c r="A6093" s="0" t="s">
        <v>847</v>
      </c>
      <c r="B6093" s="0" t="s">
        <v>98</v>
      </c>
      <c r="C6093" s="6" t="n">
        <f aca="false">Sens!C6072*self_build*tk_cxfac/1000</f>
        <v>6.2083</v>
      </c>
      <c r="D6093" s="6" t="n">
        <f aca="false">Sens!D6072*self_build*tk_cxfac/1000</f>
        <v>9.3758</v>
      </c>
      <c r="E6093" s="6" t="n">
        <f aca="false">Sens!E6072*self_build*tk_cxfac/1000</f>
        <v>18.6249</v>
      </c>
      <c r="F6093" s="6" t="n">
        <f aca="false">Sens!F6072*self_build*tk_cxfac/1000</f>
        <v>29.409604</v>
      </c>
      <c r="G6093" s="6" t="n">
        <f aca="false">Sens!G6072*self_build*tk_cxfac/1000</f>
        <v>32.019624</v>
      </c>
      <c r="H6093" s="6" t="n">
        <f aca="false">Sens!H6072*self_build*tk_cxfac/1000</f>
        <v>32.019624</v>
      </c>
      <c r="I6093" s="6" t="n">
        <f aca="false">Sens!I6072*self_build*tk_cxfac/1000</f>
        <v>22.71877972</v>
      </c>
      <c r="J6093" s="6" t="n">
        <f aca="false">Sens!J6072*self_build*tk_cxfac/1000</f>
        <v>13.8723110344</v>
      </c>
      <c r="K6093" s="6" t="n">
        <f aca="false">Sens!K6072*self_build*tk_cxfac/1000</f>
        <v>5.214823882632</v>
      </c>
    </row>
    <row r="6094" customFormat="false" ht="17.15" hidden="false" customHeight="false" outlineLevel="0" collapsed="false">
      <c r="A6094" s="0" t="s">
        <v>848</v>
      </c>
      <c r="B6094" s="0" t="s">
        <v>98</v>
      </c>
      <c r="F6094" s="6" t="n">
        <f aca="false">MAX(0,capex_floor27-Sens!F6092-Sens!F6093-Sens!F6188)</f>
        <v>8.13777689897088</v>
      </c>
    </row>
    <row r="6095" customFormat="false" ht="17.15" hidden="false" customHeight="false" outlineLevel="0" collapsed="false">
      <c r="A6095" s="0" t="s">
        <v>849</v>
      </c>
      <c r="B6095" s="0" t="s">
        <v>98</v>
      </c>
      <c r="C6095" s="6" t="n">
        <f aca="false">Sens!C6092</f>
        <v>22.5333845916667</v>
      </c>
      <c r="D6095" s="6" t="n">
        <f aca="false">Sens!D6092</f>
        <v>34.0300093833333</v>
      </c>
      <c r="E6095" s="6" t="n">
        <f aca="false">Sens!E6092</f>
        <v>67.600153775</v>
      </c>
      <c r="F6095" s="6" t="n">
        <f aca="false">Sens!F6092</f>
        <v>130.923271871467</v>
      </c>
      <c r="G6095" s="6" t="n">
        <f aca="false">Sens!G6092</f>
        <v>151.5545564832</v>
      </c>
      <c r="H6095" s="6" t="n">
        <f aca="false">Sens!H6092</f>
        <v>156.0606619104</v>
      </c>
      <c r="I6095" s="6" t="n">
        <f aca="false">Sens!I6092</f>
        <v>140.987889434245</v>
      </c>
      <c r="J6095" s="6" t="n">
        <f aca="false">Sens!J6092</f>
        <v>113.309125559842</v>
      </c>
      <c r="K6095" s="6" t="n">
        <f aca="false">Sens!K6092</f>
        <v>116.192591420959</v>
      </c>
    </row>
    <row r="6096" customFormat="false" ht="17.15" hidden="false" customHeight="false" outlineLevel="0" collapsed="false">
      <c r="A6096" s="0" t="s">
        <v>850</v>
      </c>
      <c r="B6096" s="0" t="s">
        <v>98</v>
      </c>
      <c r="C6096" s="6" t="n">
        <f aca="false">Sens!C6095+Sens!C6093</f>
        <v>28.7416845916667</v>
      </c>
      <c r="D6096" s="6" t="n">
        <f aca="false">Sens!D6095+Sens!D6093</f>
        <v>43.4058093833333</v>
      </c>
      <c r="E6096" s="6" t="n">
        <f aca="false">Sens!E6095+Sens!E6093</f>
        <v>86.225053775</v>
      </c>
      <c r="F6096" s="6" t="n">
        <f aca="false">Sens!F6095+Sens!F6093</f>
        <v>160.332875871467</v>
      </c>
      <c r="G6096" s="6" t="n">
        <f aca="false">Sens!G6095+Sens!G6093</f>
        <v>183.5741804832</v>
      </c>
      <c r="H6096" s="6" t="n">
        <f aca="false">Sens!H6095+Sens!H6093</f>
        <v>188.0802859104</v>
      </c>
      <c r="I6096" s="6" t="n">
        <f aca="false">Sens!I6095+Sens!I6093</f>
        <v>163.706669154245</v>
      </c>
      <c r="J6096" s="6" t="n">
        <f aca="false">Sens!J6095+Sens!J6093</f>
        <v>127.181436594242</v>
      </c>
      <c r="K6096" s="6" t="n">
        <f aca="false">Sens!K6095+Sens!K6093</f>
        <v>121.407415303591</v>
      </c>
      <c r="L6096" s="11" t="s">
        <v>851</v>
      </c>
    </row>
    <row r="6097" customFormat="false" ht="17.15" hidden="false" customHeight="false" outlineLevel="0" collapsed="false">
      <c r="A6097" s="0" t="s">
        <v>852</v>
      </c>
      <c r="B6097" s="0" t="s">
        <v>98</v>
      </c>
      <c r="E6097" s="6" t="n">
        <f aca="false">(Sens!C6095*IF(2&lt;life_it,1,IF(2=life_it,0.5,0))+Sens!D6095*IF(1&lt;life_it,1,IF(1=life_it,0.5,0))+Sens!E6095*0.5)/life_it</f>
        <v>15.0605784770833</v>
      </c>
      <c r="F6097" s="6" t="n">
        <f aca="false">(Sens!C6095*IF(3&lt;life_it,1,IF(3=life_it,0.5,0))+Sens!D6095*IF(2&lt;life_it,1,IF(2=life_it,0.5,0))+Sens!E6095*IF(1&lt;life_it,1,IF(1=life_it,0.5,0))+Sens!F6095*0.5)/life_it</f>
        <v>31.6041972809556</v>
      </c>
      <c r="G6097" s="6" t="n">
        <f aca="false">(Sens!C6095*IF(4&lt;life_it,1,IF(4=life_it,0.5,0))+Sens!D6095*IF(3&lt;life_it,1,IF(3=life_it,0.5,0))+Sens!E6095*IF(2&lt;life_it,1,IF(2=life_it,0.5,0))+Sens!F6095*IF(1&lt;life_it,1,IF(1=life_it,0.5,0))+Sens!G6095*0.5)/life_it</f>
        <v>55.1440163105111</v>
      </c>
      <c r="H6097" s="6" t="n">
        <f aca="false">(Sens!C6095*IF(5&lt;life_it,1,IF(5=life_it,0.5,0))+Sens!D6095*IF(4&lt;life_it,1,IF(4=life_it,0.5,0))+Sens!E6095*IF(3&lt;life_it,1,IF(3=life_it,0.5,0))+Sens!F6095*IF(2&lt;life_it,1,IF(2=life_it,0.5,0))+Sens!G6095*IF(1&lt;life_it,1,IF(1=life_it,0.5,0))+Sens!H6095*0.5)/life_it</f>
        <v>80.7786178433111</v>
      </c>
      <c r="I6097" s="6" t="n">
        <f aca="false">(Sens!C6095*IF(6&lt;life_it,1,IF(6=life_it,0.5,0))+Sens!D6095*IF(5&lt;life_it,1,IF(5=life_it,0.5,0))+Sens!E6095*IF(4&lt;life_it,1,IF(4=life_it,0.5,0))+Sens!F6095*IF(3&lt;life_it,1,IF(3=life_it,0.5,0))+Sens!G6095*IF(2&lt;life_it,1,IF(2=life_it,0.5,0))+Sens!H6095*IF(1&lt;life_it,1,IF(1=life_it,0.5,0))+Sens!I6095*0.5)/life_it</f>
        <v>103.654881739393</v>
      </c>
      <c r="J6097" s="6" t="n">
        <f aca="false">(Sens!C6095*IF(7&lt;life_it,1,IF(7=life_it,0.5,0))+Sens!D6095*IF(6&lt;life_it,1,IF(6=life_it,0.5,0))+Sens!E6095*IF(5&lt;life_it,1,IF(5=life_it,0.5,0))+Sens!F6095*IF(4&lt;life_it,1,IF(4=life_it,0.5,0))+Sens!G6095*IF(3&lt;life_it,1,IF(3=life_it,0.5,0))+Sens!H6095*IF(2&lt;life_it,1,IF(2=life_it,0.5,0))+Sens!I6095*IF(1&lt;life_it,1,IF(1=life_it,0.5,0))+Sens!J6095*0.5)/life_it</f>
        <v>120.132683490983</v>
      </c>
      <c r="K6097" s="6" t="n">
        <f aca="false">(Sens!C6095*IF(8&lt;life_it,1,IF(8=life_it,0.5,0))+Sens!D6095*IF(7&lt;life_it,1,IF(7=life_it,0.5,0))+Sens!E6095*IF(6&lt;life_it,1,IF(6=life_it,0.5,0))+Sens!F6095*IF(5&lt;life_it,1,IF(5=life_it,0.5,0))+Sens!G6095*IF(4&lt;life_it,1,IF(4=life_it,0.5,0))+Sens!H6095*IF(3&lt;life_it,1,IF(3=life_it,0.5,0))+Sens!I6095*IF(2&lt;life_it,1,IF(2=life_it,0.5,0))+Sens!J6095*IF(1&lt;life_it,1,IF(1=life_it,0.5,0))+Sens!K6095*0.5)/life_it</f>
        <v>130.788646309522</v>
      </c>
    </row>
    <row r="6098" customFormat="false" ht="17.15" hidden="false" customHeight="false" outlineLevel="0" collapsed="false">
      <c r="A6098" s="0" t="s">
        <v>853</v>
      </c>
      <c r="B6098" s="0" t="s">
        <v>98</v>
      </c>
      <c r="E6098" s="6" t="n">
        <f aca="false">(Sens!C6093*IF(2&lt;life_fac,1,IF(2=life_fac,0.5,0))+Sens!D6093*IF(1&lt;life_fac,1,IF(1=life_fac,0.5,0))+Sens!E6093*0.5)/life_fac</f>
        <v>1.2448275</v>
      </c>
      <c r="F6098" s="6" t="n">
        <f aca="false">(Sens!C6093*IF(3&lt;life_fac,1,IF(3=life_fac,0.5,0))+Sens!D6093*IF(2&lt;life_fac,1,IF(2=life_fac,0.5,0))+Sens!E6093*IF(1&lt;life_fac,1,IF(1=life_fac,0.5,0))+Sens!F6093*0.5)/life_fac</f>
        <v>2.4456901</v>
      </c>
      <c r="G6098" s="6" t="n">
        <f aca="false">(Sens!C6093*IF(4&lt;life_fac,1,IF(4=life_fac,0.5,0))+Sens!D6093*IF(3&lt;life_fac,1,IF(3=life_fac,0.5,0))+Sens!E6093*IF(2&lt;life_fac,1,IF(2=life_fac,0.5,0))+Sens!F6093*IF(1&lt;life_fac,1,IF(1=life_fac,0.5,0))+Sens!G6093*0.5)/life_fac</f>
        <v>3.9814208</v>
      </c>
      <c r="H6098" s="6" t="n">
        <f aca="false">(Sens!C6093*IF(5&lt;life_fac,1,IF(5=life_fac,0.5,0))+Sens!D6093*IF(4&lt;life_fac,1,IF(4=life_fac,0.5,0))+Sens!E6093*IF(3&lt;life_fac,1,IF(3=life_fac,0.5,0))+Sens!F6093*IF(2&lt;life_fac,1,IF(2=life_fac,0.5,0))+Sens!G6093*IF(1&lt;life_fac,1,IF(1=life_fac,0.5,0))+Sens!H6093*0.5)/life_fac</f>
        <v>5.582402</v>
      </c>
      <c r="I6098" s="6" t="n">
        <f aca="false">(Sens!C6093*IF(6&lt;life_fac,1,IF(6=life_fac,0.5,0))+Sens!D6093*IF(5&lt;life_fac,1,IF(5=life_fac,0.5,0))+Sens!E6093*IF(4&lt;life_fac,1,IF(4=life_fac,0.5,0))+Sens!F6093*IF(3&lt;life_fac,1,IF(3=life_fac,0.5,0))+Sens!G6093*IF(2&lt;life_fac,1,IF(2=life_fac,0.5,0))+Sens!H6093*IF(1&lt;life_fac,1,IF(1=life_fac,0.5,0))+Sens!I6093*0.5)/life_fac</f>
        <v>6.950862093</v>
      </c>
      <c r="J6098" s="6" t="n">
        <f aca="false">(Sens!C6093*IF(7&lt;life_fac,1,IF(7=life_fac,0.5,0))+Sens!D6093*IF(6&lt;life_fac,1,IF(6=life_fac,0.5,0))+Sens!E6093*IF(5&lt;life_fac,1,IF(5=life_fac,0.5,0))+Sens!F6093*IF(4&lt;life_fac,1,IF(4=life_fac,0.5,0))+Sens!G6093*IF(3&lt;life_fac,1,IF(3=life_fac,0.5,0))+Sens!H6093*IF(2&lt;life_fac,1,IF(2=life_fac,0.5,0))+Sens!I6093*IF(1&lt;life_fac,1,IF(1=life_fac,0.5,0))+Sens!J6093*0.5)/life_fac</f>
        <v>7.86563936186</v>
      </c>
      <c r="K6098" s="6" t="n">
        <f aca="false">(Sens!C6093*IF(8&lt;life_fac,1,IF(8=life_fac,0.5,0))+Sens!D6093*IF(7&lt;life_fac,1,IF(7=life_fac,0.5,0))+Sens!E6093*IF(6&lt;life_fac,1,IF(6=life_fac,0.5,0))+Sens!F6093*IF(5&lt;life_fac,1,IF(5=life_fac,0.5,0))+Sens!G6093*IF(4&lt;life_fac,1,IF(4=life_fac,0.5,0))+Sens!H6093*IF(3&lt;life_fac,1,IF(3=life_fac,0.5,0))+Sens!I6093*IF(2&lt;life_fac,1,IF(2=life_fac,0.5,0))+Sens!J6093*IF(1&lt;life_fac,1,IF(1=life_fac,0.5,0))+Sens!K6093*0.5)/life_fac</f>
        <v>8.3428177347858</v>
      </c>
    </row>
    <row r="6099" customFormat="false" ht="17.15" hidden="false" customHeight="false" outlineLevel="0" collapsed="false">
      <c r="A6099" s="0" t="s">
        <v>854</v>
      </c>
      <c r="B6099" s="0" t="s">
        <v>98</v>
      </c>
      <c r="E6099" s="6" t="n">
        <f aca="false">Sens!E6097+Sens!E6098</f>
        <v>16.3054059770833</v>
      </c>
      <c r="F6099" s="6" t="n">
        <f aca="false">Sens!F6097+Sens!F6098</f>
        <v>34.0498873809555</v>
      </c>
      <c r="G6099" s="6" t="n">
        <f aca="false">Sens!G6097+Sens!G6098</f>
        <v>59.1254371105111</v>
      </c>
      <c r="H6099" s="6" t="n">
        <f aca="false">Sens!H6097+Sens!H6098</f>
        <v>86.3610198433111</v>
      </c>
      <c r="I6099" s="6" t="n">
        <f aca="false">Sens!I6097+Sens!I6098</f>
        <v>110.605743832393</v>
      </c>
      <c r="J6099" s="6" t="n">
        <f aca="false">Sens!J6097+Sens!J6098</f>
        <v>127.998322852843</v>
      </c>
      <c r="K6099" s="6" t="n">
        <f aca="false">Sens!K6097+Sens!K6098</f>
        <v>139.131464044308</v>
      </c>
    </row>
    <row r="6100" customFormat="false" ht="17.15" hidden="false" customHeight="false" outlineLevel="0" collapsed="false">
      <c r="A6100" s="0" t="s">
        <v>855</v>
      </c>
      <c r="B6100" s="0" t="s">
        <v>98</v>
      </c>
      <c r="E6100" s="6" t="n">
        <f aca="false">Sens!E6088-Sens!E6087*Sens!E6099</f>
        <v>8.92707889977379</v>
      </c>
      <c r="F6100" s="6" t="n">
        <f aca="false">Sens!F6088-Sens!F6087*Sens!F6099</f>
        <v>19.0295083206205</v>
      </c>
      <c r="G6100" s="6" t="n">
        <f aca="false">Sens!G6088-Sens!G6087*Sens!G6099</f>
        <v>31.0774922914994</v>
      </c>
      <c r="H6100" s="6" t="n">
        <f aca="false">Sens!H6088-Sens!H6087*Sens!H6099</f>
        <v>43.4030330778723</v>
      </c>
      <c r="I6100" s="6" t="n">
        <f aca="false">Sens!I6088-Sens!I6087*Sens!I6099</f>
        <v>54.3591447183526</v>
      </c>
      <c r="J6100" s="6" t="n">
        <f aca="false">Sens!J6088-Sens!J6087*Sens!J6099</f>
        <v>62.0539899656947</v>
      </c>
      <c r="K6100" s="6" t="n">
        <f aca="false">Sens!K6088-Sens!K6087*Sens!K6099</f>
        <v>67.5792921529812</v>
      </c>
    </row>
    <row r="6101" customFormat="false" ht="17.15" hidden="false" customHeight="false" outlineLevel="0" collapsed="false">
      <c r="A6101" s="3" t="s">
        <v>1418</v>
      </c>
    </row>
    <row r="6102" customFormat="false" ht="15" hidden="false" customHeight="false" outlineLevel="0" collapsed="false">
      <c r="A6102" s="4" t="s">
        <v>43</v>
      </c>
      <c r="B6102" s="4" t="s">
        <v>65</v>
      </c>
      <c r="C6102" s="20" t="s">
        <v>799</v>
      </c>
      <c r="D6102" s="20" t="s">
        <v>800</v>
      </c>
      <c r="E6102" s="20" t="s">
        <v>801</v>
      </c>
      <c r="F6102" s="20" t="s">
        <v>802</v>
      </c>
      <c r="G6102" s="20" t="s">
        <v>803</v>
      </c>
      <c r="H6102" s="20" t="s">
        <v>804</v>
      </c>
      <c r="I6102" s="20" t="s">
        <v>805</v>
      </c>
      <c r="J6102" s="20" t="s">
        <v>806</v>
      </c>
      <c r="K6102" s="20" t="s">
        <v>807</v>
      </c>
      <c r="L6102" s="4" t="s">
        <v>47</v>
      </c>
    </row>
    <row r="6103" customFormat="false" ht="17.15" hidden="false" customHeight="false" outlineLevel="0" collapsed="false">
      <c r="A6103" s="0" t="s">
        <v>874</v>
      </c>
      <c r="B6103" s="0" t="s">
        <v>98</v>
      </c>
      <c r="D6103" s="6" t="n">
        <f aca="false">Sens!D6082</f>
        <v>12.9359794422418</v>
      </c>
      <c r="E6103" s="6" t="n">
        <f aca="false">Sens!E6082</f>
        <v>27.8095064661409</v>
      </c>
      <c r="F6103" s="6" t="n">
        <f aca="false">Sens!F6082</f>
        <v>55.0640065749585</v>
      </c>
      <c r="G6103" s="6" t="n">
        <f aca="false">Sens!G6082</f>
        <v>89.4505413190538</v>
      </c>
      <c r="H6103" s="6" t="n">
        <f aca="false">Sens!H6082</f>
        <v>124.835630736874</v>
      </c>
      <c r="I6103" s="6" t="n">
        <f aca="false">Sens!I6082</f>
        <v>156.158460265485</v>
      </c>
      <c r="J6103" s="6" t="n">
        <f aca="false">Sens!J6082</f>
        <v>178.259285293112</v>
      </c>
      <c r="K6103" s="6" t="n">
        <f aca="false">Sens!K6082</f>
        <v>192.733290209798</v>
      </c>
    </row>
    <row r="6104" customFormat="false" ht="17.15" hidden="false" customHeight="false" outlineLevel="0" collapsed="false">
      <c r="A6104" s="0" t="s">
        <v>875</v>
      </c>
      <c r="B6104" s="0" t="s">
        <v>98</v>
      </c>
      <c r="D6104" s="6" t="n">
        <f aca="false">Q!L6-Sens!D6103</f>
        <v>59.6740205577583</v>
      </c>
      <c r="E6104" s="6" t="n">
        <f aca="false">Q!M6-Sens!E6103</f>
        <v>74.1284935338591</v>
      </c>
      <c r="F6104" s="6" t="n">
        <f aca="false">Sens!E6104*(1+Sens!F6105)</f>
        <v>90.0799497373663</v>
      </c>
      <c r="G6104" s="6" t="n">
        <f aca="false">Sens!F6104*(1+Sens!G6105)</f>
        <v>107.02842520331</v>
      </c>
      <c r="H6104" s="6" t="n">
        <f aca="false">Sens!G6104*(1+Sens!H6105)</f>
        <v>124.271982585636</v>
      </c>
      <c r="I6104" s="6" t="n">
        <f aca="false">Sens!H6104*(1+Sens!I6105)</f>
        <v>140.933702381855</v>
      </c>
      <c r="J6104" s="6" t="n">
        <f aca="false">Sens!I6104*(1+Sens!J6105)</f>
        <v>156.018867314332</v>
      </c>
      <c r="K6104" s="6" t="n">
        <f aca="false">Sens!J6104*(1+Sens!K6105)</f>
        <v>168.500376699478</v>
      </c>
    </row>
    <row r="6105" customFormat="false" ht="15" hidden="false" customHeight="false" outlineLevel="0" collapsed="false">
      <c r="A6105" s="1" t="s">
        <v>876</v>
      </c>
      <c r="B6105" s="0" t="s">
        <v>129</v>
      </c>
      <c r="E6105" s="7" t="n">
        <f aca="false">Sens!E6104/Sens!D6104-1</f>
        <v>0.242223883039864</v>
      </c>
      <c r="F6105" s="7" t="n">
        <f aca="false">Sens!$E$6105+(glt_azo-Sens!$E$6105)*MIN(1,(Sens!F6065-base_fy)/n_conv)</f>
        <v>0.215186569199887</v>
      </c>
      <c r="G6105" s="7" t="n">
        <f aca="false">Sens!$E$6105+(glt_azo-Sens!$E$6105)*MIN(1,(Sens!G6065-base_fy)/n_conv)</f>
        <v>0.18814925535991</v>
      </c>
      <c r="H6105" s="7" t="n">
        <f aca="false">Sens!$E$6105+(glt_azo-Sens!$E$6105)*MIN(1,(Sens!H6065-base_fy)/n_conv)</f>
        <v>0.161111941519932</v>
      </c>
      <c r="I6105" s="7" t="n">
        <f aca="false">Sens!$E$6105+(glt_azo-Sens!$E$6105)*MIN(1,(Sens!I6065-base_fy)/n_conv)</f>
        <v>0.134074627679955</v>
      </c>
      <c r="J6105" s="7" t="n">
        <f aca="false">Sens!$E$6105+(glt_azo-Sens!$E$6105)*MIN(1,(Sens!J6065-base_fy)/n_conv)</f>
        <v>0.107037313839977</v>
      </c>
      <c r="K6105" s="7" t="n">
        <f aca="false">Sens!$E$6105+(glt_azo-Sens!$E$6105)*MIN(1,(Sens!K6065-base_fy)/n_conv)</f>
        <v>0.08</v>
      </c>
    </row>
    <row r="6106" customFormat="false" ht="15" hidden="false" customHeight="false" outlineLevel="0" collapsed="false">
      <c r="A6106" s="0" t="s">
        <v>877</v>
      </c>
      <c r="B6106" s="0" t="s">
        <v>98</v>
      </c>
      <c r="D6106" s="6" t="n">
        <f aca="false">Sens!D6103+Sens!D6104</f>
        <v>72.61</v>
      </c>
      <c r="E6106" s="6" t="n">
        <f aca="false">Sens!E6103+Sens!E6104</f>
        <v>101.938</v>
      </c>
      <c r="F6106" s="6" t="n">
        <f aca="false">Sens!F6103+Sens!F6104</f>
        <v>145.143956312325</v>
      </c>
      <c r="G6106" s="6" t="n">
        <f aca="false">Sens!G6103+Sens!G6104</f>
        <v>196.478966522364</v>
      </c>
      <c r="H6106" s="6" t="n">
        <f aca="false">Sens!H6103+Sens!H6104</f>
        <v>249.10761332251</v>
      </c>
      <c r="I6106" s="6" t="n">
        <f aca="false">Sens!I6103+Sens!I6104</f>
        <v>297.09216264734</v>
      </c>
      <c r="J6106" s="6" t="n">
        <f aca="false">Sens!J6103+Sens!J6104</f>
        <v>334.278152607443</v>
      </c>
      <c r="K6106" s="6" t="n">
        <f aca="false">Sens!K6103+Sens!K6104</f>
        <v>361.233666909276</v>
      </c>
    </row>
    <row r="6107" customFormat="false" ht="17.15" hidden="false" customHeight="false" outlineLevel="0" collapsed="false">
      <c r="A6107" s="0" t="s">
        <v>878</v>
      </c>
      <c r="B6107" s="1" t="s">
        <v>528</v>
      </c>
      <c r="C6107" s="29" t="n">
        <f aca="false">cop_s24</f>
        <v>1</v>
      </c>
      <c r="D6107" s="29" t="n">
        <f aca="false">cop_s25</f>
        <v>5</v>
      </c>
      <c r="E6107" s="29" t="n">
        <f aca="false">cop_s26</f>
        <v>30</v>
      </c>
      <c r="F6107" s="29" t="n">
        <f aca="false">Sens!E6107+cop_add_B*1.5</f>
        <v>60</v>
      </c>
      <c r="G6107" s="29" t="n">
        <f aca="false">Sens!F6107+cop_add_B*1.5</f>
        <v>90</v>
      </c>
      <c r="H6107" s="29" t="n">
        <f aca="false">Sens!G6107+cop_add_B*1.5</f>
        <v>120</v>
      </c>
      <c r="I6107" s="29" t="n">
        <f aca="false">Sens!H6107+cop_add_B*1.5*cop_tail</f>
        <v>135</v>
      </c>
      <c r="J6107" s="29" t="n">
        <f aca="false">Sens!I6107+cop_add_B*1.5*cop_tail</f>
        <v>150</v>
      </c>
      <c r="K6107" s="29" t="n">
        <f aca="false">Sens!J6107+cop_add_B*1.5*cop_tail</f>
        <v>165</v>
      </c>
      <c r="L6107" s="11" t="s">
        <v>879</v>
      </c>
    </row>
    <row r="6108" customFormat="false" ht="17.15" hidden="false" customHeight="false" outlineLevel="0" collapsed="false">
      <c r="A6108" s="0" t="s">
        <v>880</v>
      </c>
      <c r="B6108" s="0" t="s">
        <v>98</v>
      </c>
      <c r="D6108" s="6" t="n">
        <f aca="false">(Sens!C6107+Sens!D6107)/2*cop_px*12/1000</f>
        <v>0.9</v>
      </c>
      <c r="E6108" s="6" t="n">
        <f aca="false">(Sens!D6107+Sens!E6107)/2*cop_px*12/1000</f>
        <v>5.25</v>
      </c>
      <c r="F6108" s="6" t="n">
        <f aca="false">(Sens!E6107+Sens!F6107)/2*cop_px*12/1000</f>
        <v>13.5</v>
      </c>
      <c r="G6108" s="6" t="n">
        <f aca="false">(Sens!F6107+Sens!G6107)/2*cop_px*12/1000</f>
        <v>22.5</v>
      </c>
      <c r="H6108" s="6" t="n">
        <f aca="false">(Sens!G6107+Sens!H6107)/2*cop_px*12/1000</f>
        <v>31.5</v>
      </c>
      <c r="I6108" s="6" t="n">
        <f aca="false">(Sens!H6107+Sens!I6107)/2*cop_px*12/1000</f>
        <v>38.25</v>
      </c>
      <c r="J6108" s="6" t="n">
        <f aca="false">(Sens!I6107+Sens!J6107)/2*cop_px*12/1000</f>
        <v>42.75</v>
      </c>
      <c r="K6108" s="6" t="n">
        <f aca="false">(Sens!J6107+Sens!K6107)/2*cop_px*12/1000</f>
        <v>47.25</v>
      </c>
      <c r="L6108" s="1" t="s">
        <v>881</v>
      </c>
    </row>
    <row r="6109" customFormat="false" ht="17.15" hidden="false" customHeight="false" outlineLevel="0" collapsed="false">
      <c r="A6109" s="0" t="s">
        <v>882</v>
      </c>
      <c r="B6109" s="0" t="s">
        <v>98</v>
      </c>
      <c r="D6109" s="6" t="n">
        <f aca="false">Q!L7-Sens!D6108</f>
        <v>83.705</v>
      </c>
      <c r="E6109" s="6" t="n">
        <f aca="false">Q!M7-Sens!E6108</f>
        <v>95.049</v>
      </c>
      <c r="F6109" s="6" t="n">
        <f aca="false">Sens!E6109*(1+Sens!F6110)</f>
        <v>106.89238776686</v>
      </c>
      <c r="G6109" s="6" t="n">
        <f aca="false">Sens!F6109*(1+Sens!G6110)</f>
        <v>119.044168448684</v>
      </c>
      <c r="H6109" s="6" t="n">
        <f aca="false">Sens!G6109*(1+Sens!H6110)</f>
        <v>131.277359388781</v>
      </c>
      <c r="I6109" s="6" t="n">
        <f aca="false">Sens!H6109*(1+Sens!I6110)</f>
        <v>143.334028071957</v>
      </c>
      <c r="J6109" s="6" t="n">
        <f aca="false">Sens!I6109*(1+Sens!J6110)</f>
        <v>154.932702785465</v>
      </c>
      <c r="K6109" s="6" t="n">
        <f aca="false">Sens!J6109*(1+Sens!K6110)</f>
        <v>165.777991980448</v>
      </c>
    </row>
    <row r="6110" customFormat="false" ht="15" hidden="false" customHeight="false" outlineLevel="0" collapsed="false">
      <c r="A6110" s="1" t="s">
        <v>876</v>
      </c>
      <c r="B6110" s="0" t="s">
        <v>129</v>
      </c>
      <c r="E6110" s="7" t="n">
        <f aca="false">Sens!E6109/Sens!D6109-1</f>
        <v>0.135523564900544</v>
      </c>
      <c r="F6110" s="7" t="n">
        <f aca="false">Sens!$E$6110+(glt_m365b-Sens!$E$6110)*MIN(1,(Sens!F6065-base_fy)/n_conv)</f>
        <v>0.124602970750453</v>
      </c>
      <c r="G6110" s="7" t="n">
        <f aca="false">Sens!$E$6110+(glt_m365b-Sens!$E$6110)*MIN(1,(Sens!G6065-base_fy)/n_conv)</f>
        <v>0.113682376600363</v>
      </c>
      <c r="H6110" s="7" t="n">
        <f aca="false">Sens!$E$6110+(glt_m365b-Sens!$E$6110)*MIN(1,(Sens!H6065-base_fy)/n_conv)</f>
        <v>0.102761782450272</v>
      </c>
      <c r="I6110" s="7" t="n">
        <f aca="false">Sens!$E$6110+(glt_m365b-Sens!$E$6110)*MIN(1,(Sens!I6065-base_fy)/n_conv)</f>
        <v>0.0918411883001813</v>
      </c>
      <c r="J6110" s="7" t="n">
        <f aca="false">Sens!$E$6110+(glt_m365b-Sens!$E$6110)*MIN(1,(Sens!J6065-base_fy)/n_conv)</f>
        <v>0.0809205941500906</v>
      </c>
      <c r="K6110" s="7" t="n">
        <f aca="false">Sens!$E$6110+(glt_m365b-Sens!$E$6110)*MIN(1,(Sens!K6065-base_fy)/n_conv)</f>
        <v>0.07</v>
      </c>
    </row>
    <row r="6111" customFormat="false" ht="15" hidden="false" customHeight="false" outlineLevel="0" collapsed="false">
      <c r="A6111" s="0" t="s">
        <v>883</v>
      </c>
      <c r="B6111" s="0" t="s">
        <v>98</v>
      </c>
      <c r="D6111" s="6" t="n">
        <f aca="false">Sens!D6109+Sens!D6108</f>
        <v>84.605</v>
      </c>
      <c r="E6111" s="6" t="n">
        <f aca="false">Sens!E6109+Sens!E6108</f>
        <v>100.299</v>
      </c>
      <c r="F6111" s="6" t="n">
        <f aca="false">Sens!F6109+Sens!F6108</f>
        <v>120.39238776686</v>
      </c>
      <c r="G6111" s="6" t="n">
        <f aca="false">Sens!G6109+Sens!G6108</f>
        <v>141.544168448684</v>
      </c>
      <c r="H6111" s="6" t="n">
        <f aca="false">Sens!H6109+Sens!H6108</f>
        <v>162.777359388781</v>
      </c>
      <c r="I6111" s="6" t="n">
        <f aca="false">Sens!I6109+Sens!I6108</f>
        <v>181.584028071957</v>
      </c>
      <c r="J6111" s="6" t="n">
        <f aca="false">Sens!J6109+Sens!J6108</f>
        <v>197.682702785465</v>
      </c>
      <c r="K6111" s="6" t="n">
        <f aca="false">Sens!K6109+Sens!K6108</f>
        <v>213.027991980448</v>
      </c>
    </row>
    <row r="6112" customFormat="false" ht="15" hidden="false" customHeight="false" outlineLevel="0" collapsed="false">
      <c r="A6112" s="0" t="s">
        <v>884</v>
      </c>
      <c r="B6112" s="0" t="s">
        <v>98</v>
      </c>
      <c r="D6112" s="6" t="n">
        <f aca="false">Q!L8</f>
        <v>35.391</v>
      </c>
      <c r="E6112" s="6" t="n">
        <f aca="false">Q!M8</f>
        <v>37.285</v>
      </c>
      <c r="F6112" s="6" t="n">
        <f aca="false">Sens!E6112*(1+Sens!F6113)</f>
        <v>39.0720834331704</v>
      </c>
      <c r="G6112" s="6" t="n">
        <f aca="false">Sens!F6112*(1+Sens!G6113)</f>
        <v>40.726562953769</v>
      </c>
      <c r="H6112" s="6" t="n">
        <f aca="false">Sens!G6112*(1+Sens!H6113)</f>
        <v>42.2235987259198</v>
      </c>
      <c r="I6112" s="6" t="n">
        <f aca="false">Sens!H6112*(1+Sens!I6113)</f>
        <v>43.5397988077414</v>
      </c>
      <c r="J6112" s="6" t="n">
        <f aca="false">Sens!I6112*(1+Sens!J6113)</f>
        <v>44.653811225693</v>
      </c>
      <c r="K6112" s="6" t="n">
        <f aca="false">Sens!J6112*(1+Sens!K6113)</f>
        <v>45.5468874502068</v>
      </c>
    </row>
    <row r="6113" customFormat="false" ht="15" hidden="false" customHeight="false" outlineLevel="0" collapsed="false">
      <c r="A6113" s="1" t="s">
        <v>876</v>
      </c>
      <c r="B6113" s="0" t="s">
        <v>129</v>
      </c>
      <c r="E6113" s="7" t="n">
        <f aca="false">Sens!E6112/Sens!D6112-1</f>
        <v>0.0535164307309768</v>
      </c>
      <c r="F6113" s="7" t="n">
        <f aca="false">Sens!$E$6113+(glt_lic-Sens!$E$6113)*MIN(1,(Sens!F6065-base_fy)/n_conv)</f>
        <v>0.0479303589424807</v>
      </c>
      <c r="G6113" s="7" t="n">
        <f aca="false">Sens!$E$6113+(glt_lic-Sens!$E$6113)*MIN(1,(Sens!G6065-base_fy)/n_conv)</f>
        <v>0.0423442871539845</v>
      </c>
      <c r="H6113" s="7" t="n">
        <f aca="false">Sens!$E$6113+(glt_lic-Sens!$E$6113)*MIN(1,(Sens!H6065-base_fy)/n_conv)</f>
        <v>0.0367582153654884</v>
      </c>
      <c r="I6113" s="7" t="n">
        <f aca="false">Sens!$E$6113+(glt_lic-Sens!$E$6113)*MIN(1,(Sens!I6065-base_fy)/n_conv)</f>
        <v>0.0311721435769923</v>
      </c>
      <c r="J6113" s="7" t="n">
        <f aca="false">Sens!$E$6113+(glt_lic-Sens!$E$6113)*MIN(1,(Sens!J6065-base_fy)/n_conv)</f>
        <v>0.0255860717884961</v>
      </c>
      <c r="K6113" s="7" t="n">
        <f aca="false">Sens!$E$6113+(glt_lic-Sens!$E$6113)*MIN(1,(Sens!K6065-base_fy)/n_conv)</f>
        <v>0.02</v>
      </c>
    </row>
    <row r="6114" customFormat="false" ht="15" hidden="false" customHeight="false" outlineLevel="0" collapsed="false">
      <c r="A6114" s="0" t="s">
        <v>885</v>
      </c>
      <c r="B6114" s="0" t="s">
        <v>98</v>
      </c>
      <c r="D6114" s="6" t="n">
        <f aca="false">Q!L9</f>
        <v>18.417</v>
      </c>
      <c r="E6114" s="6" t="n">
        <f aca="false">Q!M9</f>
        <v>20.345</v>
      </c>
      <c r="F6114" s="6" t="n">
        <f aca="false">Sens!E6114*(1+Sens!F6115)</f>
        <v>22.3572203267814</v>
      </c>
      <c r="G6114" s="6" t="n">
        <f aca="false">Sens!F6114*(1+Sens!G6115)</f>
        <v>24.4392124437232</v>
      </c>
      <c r="H6114" s="6" t="n">
        <f aca="false">Sens!G6114*(1+Sens!H6115)</f>
        <v>26.5738052080665</v>
      </c>
      <c r="I6114" s="6" t="n">
        <f aca="false">Sens!H6114*(1+Sens!I6115)</f>
        <v>28.7412169166967</v>
      </c>
      <c r="J6114" s="6" t="n">
        <f aca="false">Sens!I6114*(1+Sens!J6115)</f>
        <v>30.9192545395413</v>
      </c>
      <c r="K6114" s="6" t="n">
        <f aca="false">Sens!J6114*(1+Sens!K6115)</f>
        <v>33.0836023573092</v>
      </c>
    </row>
    <row r="6115" customFormat="false" ht="15" hidden="false" customHeight="false" outlineLevel="0" collapsed="false">
      <c r="A6115" s="1" t="s">
        <v>876</v>
      </c>
      <c r="B6115" s="0" t="s">
        <v>129</v>
      </c>
      <c r="E6115" s="7" t="n">
        <f aca="false">Sens!E6114/Sens!D6114-1</f>
        <v>0.104685888038225</v>
      </c>
      <c r="F6115" s="7" t="n">
        <f aca="false">Sens!$E$6115+(glt_ind-Sens!$E$6115)*MIN(1,(Sens!F6065-base_fy)/n_conv)</f>
        <v>0.0989049066985211</v>
      </c>
      <c r="G6115" s="7" t="n">
        <f aca="false">Sens!$E$6115+(glt_ind-Sens!$E$6115)*MIN(1,(Sens!G6065-base_fy)/n_conv)</f>
        <v>0.0931239253588169</v>
      </c>
      <c r="H6115" s="7" t="n">
        <f aca="false">Sens!$E$6115+(glt_ind-Sens!$E$6115)*MIN(1,(Sens!H6065-base_fy)/n_conv)</f>
        <v>0.0873429440191127</v>
      </c>
      <c r="I6115" s="7" t="n">
        <f aca="false">Sens!$E$6115+(glt_ind-Sens!$E$6115)*MIN(1,(Sens!I6065-base_fy)/n_conv)</f>
        <v>0.0815619626794085</v>
      </c>
      <c r="J6115" s="7" t="n">
        <f aca="false">Sens!$E$6115+(glt_ind-Sens!$E$6115)*MIN(1,(Sens!J6065-base_fy)/n_conv)</f>
        <v>0.0757809813397042</v>
      </c>
      <c r="K6115" s="7" t="n">
        <f aca="false">Sens!$E$6115+(glt_ind-Sens!$E$6115)*MIN(1,(Sens!K6065-base_fy)/n_conv)</f>
        <v>0.07</v>
      </c>
    </row>
    <row r="6116" customFormat="false" ht="15" hidden="false" customHeight="false" outlineLevel="0" collapsed="false">
      <c r="A6116" s="0" t="s">
        <v>886</v>
      </c>
      <c r="B6116" s="0" t="s">
        <v>98</v>
      </c>
      <c r="D6116" s="6" t="n">
        <f aca="false">Q!L10</f>
        <v>7.76</v>
      </c>
      <c r="E6116" s="6" t="n">
        <f aca="false">Q!M10</f>
        <v>8.26</v>
      </c>
      <c r="F6116" s="6" t="n">
        <f aca="false">Sens!E6116*(1+Sens!F6117)</f>
        <v>8.79988041237113</v>
      </c>
      <c r="G6116" s="6" t="n">
        <f aca="false">Sens!F6116*(1+Sens!G6117)</f>
        <v>9.38321269125306</v>
      </c>
      <c r="H6116" s="6" t="n">
        <f aca="false">Sens!G6116*(1+Sens!H6117)</f>
        <v>10.0139193587476</v>
      </c>
      <c r="I6116" s="6" t="n">
        <f aca="false">Sens!H6116*(1+Sens!I6117)</f>
        <v>10.6963111830911</v>
      </c>
      <c r="J6116" s="6" t="n">
        <f aca="false">Sens!I6116*(1+Sens!J6117)</f>
        <v>11.4351285534696</v>
      </c>
      <c r="K6116" s="6" t="n">
        <f aca="false">Sens!J6116*(1+Sens!K6117)</f>
        <v>12.2355875522124</v>
      </c>
    </row>
    <row r="6117" customFormat="false" ht="15" hidden="false" customHeight="false" outlineLevel="0" collapsed="false">
      <c r="A6117" s="1" t="s">
        <v>876</v>
      </c>
      <c r="B6117" s="0" t="s">
        <v>129</v>
      </c>
      <c r="E6117" s="7" t="n">
        <f aca="false">Sens!E6116/Sens!D6116-1</f>
        <v>0.0644329896907216</v>
      </c>
      <c r="F6117" s="7" t="n">
        <f aca="false">Sens!$E$6117+(glt_fro-Sens!$E$6117)*MIN(1,(Sens!F6065-base_fy)/n_conv)</f>
        <v>0.065360824742268</v>
      </c>
      <c r="G6117" s="7" t="n">
        <f aca="false">Sens!$E$6117+(glt_fro-Sens!$E$6117)*MIN(1,(Sens!G6065-base_fy)/n_conv)</f>
        <v>0.0662886597938144</v>
      </c>
      <c r="H6117" s="7" t="n">
        <f aca="false">Sens!$E$6117+(glt_fro-Sens!$E$6117)*MIN(1,(Sens!H6065-base_fy)/n_conv)</f>
        <v>0.0672164948453608</v>
      </c>
      <c r="I6117" s="7" t="n">
        <f aca="false">Sens!$E$6117+(glt_fro-Sens!$E$6117)*MIN(1,(Sens!I6065-base_fy)/n_conv)</f>
        <v>0.0681443298969072</v>
      </c>
      <c r="J6117" s="7" t="n">
        <f aca="false">Sens!$E$6117+(glt_fro-Sens!$E$6117)*MIN(1,(Sens!J6065-base_fy)/n_conv)</f>
        <v>0.0690721649484536</v>
      </c>
      <c r="K6117" s="7" t="n">
        <f aca="false">Sens!$E$6117+(glt_fro-Sens!$E$6117)*MIN(1,(Sens!K6065-base_fy)/n_conv)</f>
        <v>0.07</v>
      </c>
    </row>
    <row r="6118" customFormat="false" ht="15" hidden="false" customHeight="false" outlineLevel="0" collapsed="false">
      <c r="A6118" s="0" t="s">
        <v>715</v>
      </c>
      <c r="B6118" s="0" t="s">
        <v>98</v>
      </c>
      <c r="D6118" s="6" t="n">
        <f aca="false">Sens!D6106+Sens!D6111+Sens!D6112+Sens!D6114+Sens!D6116</f>
        <v>218.783</v>
      </c>
      <c r="E6118" s="6" t="n">
        <f aca="false">Sens!E6106+Sens!E6111+Sens!E6112+Sens!E6114+Sens!E6116</f>
        <v>268.127</v>
      </c>
      <c r="F6118" s="6" t="n">
        <f aca="false">Sens!F6106+Sens!F6111+Sens!F6112+Sens!F6114+Sens!F6116</f>
        <v>335.765528251508</v>
      </c>
      <c r="G6118" s="6" t="n">
        <f aca="false">Sens!G6106+Sens!G6111+Sens!G6112+Sens!G6114+Sens!G6116</f>
        <v>412.572123059793</v>
      </c>
      <c r="H6118" s="6" t="n">
        <f aca="false">Sens!H6106+Sens!H6111+Sens!H6112+Sens!H6114+Sens!H6116</f>
        <v>490.696296004025</v>
      </c>
      <c r="I6118" s="6" t="n">
        <f aca="false">Sens!I6106+Sens!I6111+Sens!I6112+Sens!I6114+Sens!I6116</f>
        <v>561.653517626826</v>
      </c>
      <c r="J6118" s="6" t="n">
        <f aca="false">Sens!J6106+Sens!J6111+Sens!J6112+Sens!J6114+Sens!J6116</f>
        <v>618.969049711612</v>
      </c>
      <c r="K6118" s="6" t="n">
        <f aca="false">Sens!K6106+Sens!K6111+Sens!K6112+Sens!K6114+Sens!K6116</f>
        <v>665.127736249452</v>
      </c>
    </row>
    <row r="6119" customFormat="false" ht="15" hidden="false" customHeight="false" outlineLevel="0" collapsed="false">
      <c r="A6119" s="0" t="s">
        <v>887</v>
      </c>
      <c r="B6119" s="0" t="s">
        <v>98</v>
      </c>
      <c r="D6119" s="6" t="n">
        <f aca="false">Q!L13</f>
        <v>22.171</v>
      </c>
      <c r="E6119" s="6" t="n">
        <f aca="false">Q!M13</f>
        <v>24.835</v>
      </c>
      <c r="F6119" s="6" t="n">
        <f aca="false">Sens!E6119*(1+Sens!F6120)</f>
        <v>27.6114901218559</v>
      </c>
      <c r="G6119" s="6" t="n">
        <f aca="false">Sens!F6119*(1+Sens!G6120)</f>
        <v>30.4675667338515</v>
      </c>
      <c r="H6119" s="6" t="n">
        <f aca="false">Sens!G6119*(1+Sens!H6120)</f>
        <v>33.3643766955789</v>
      </c>
      <c r="I6119" s="6" t="n">
        <f aca="false">Sens!H6119*(1+Sens!I6120)</f>
        <v>36.2577016533691</v>
      </c>
      <c r="J6119" s="6" t="n">
        <f aca="false">Sens!I6119*(1+Sens!J6120)</f>
        <v>39.0988367952171</v>
      </c>
      <c r="K6119" s="6" t="n">
        <f aca="false">Sens!J6119*(1+Sens!K6120)</f>
        <v>41.8357553708823</v>
      </c>
    </row>
    <row r="6120" customFormat="false" ht="15" hidden="false" customHeight="false" outlineLevel="0" collapsed="false">
      <c r="A6120" s="1" t="s">
        <v>876</v>
      </c>
      <c r="B6120" s="0" t="s">
        <v>129</v>
      </c>
      <c r="E6120" s="7" t="n">
        <f aca="false">Sens!E6119/Sens!D6119-1</f>
        <v>0.120156961796942</v>
      </c>
      <c r="F6120" s="7" t="n">
        <f aca="false">Sens!$E$6120+(glt_srch-Sens!$E$6120)*MIN(1,(Sens!F6065-base_fy)/n_conv)</f>
        <v>0.111797468164118</v>
      </c>
      <c r="G6120" s="7" t="n">
        <f aca="false">Sens!$E$6120+(glt_srch-Sens!$E$6120)*MIN(1,(Sens!G6065-base_fy)/n_conv)</f>
        <v>0.103437974531295</v>
      </c>
      <c r="H6120" s="7" t="n">
        <f aca="false">Sens!$E$6120+(glt_srch-Sens!$E$6120)*MIN(1,(Sens!H6065-base_fy)/n_conv)</f>
        <v>0.095078480898471</v>
      </c>
      <c r="I6120" s="7" t="n">
        <f aca="false">Sens!$E$6120+(glt_srch-Sens!$E$6120)*MIN(1,(Sens!I6065-base_fy)/n_conv)</f>
        <v>0.0867189872656474</v>
      </c>
      <c r="J6120" s="7" t="n">
        <f aca="false">Sens!$E$6120+(glt_srch-Sens!$E$6120)*MIN(1,(Sens!J6065-base_fy)/n_conv)</f>
        <v>0.0783594936328237</v>
      </c>
      <c r="K6120" s="7" t="n">
        <f aca="false">Sens!$E$6120+(glt_srch-Sens!$E$6120)*MIN(1,(Sens!K6065-base_fy)/n_conv)</f>
        <v>0.07</v>
      </c>
    </row>
    <row r="6121" customFormat="false" ht="15" hidden="false" customHeight="false" outlineLevel="0" collapsed="false">
      <c r="A6121" s="0" t="s">
        <v>888</v>
      </c>
      <c r="B6121" s="0" t="s">
        <v>98</v>
      </c>
      <c r="D6121" s="6" t="n">
        <f aca="false">Q!L14</f>
        <v>23.455</v>
      </c>
      <c r="E6121" s="6" t="n">
        <f aca="false">Q!M14</f>
        <v>21.79</v>
      </c>
      <c r="F6121" s="6" t="n">
        <f aca="false">Sens!E6121*(1+Sens!F6122)</f>
        <v>20.5736277908051</v>
      </c>
      <c r="G6121" s="6" t="n">
        <f aca="false">Sens!F6121*(1+Sens!G6122)</f>
        <v>19.7371452817919</v>
      </c>
      <c r="H6121" s="6" t="n">
        <f aca="false">Sens!G6121*(1+Sens!H6122)</f>
        <v>19.2339764043138</v>
      </c>
      <c r="I6121" s="6" t="n">
        <f aca="false">Sens!H6121*(1+Sens!I6122)</f>
        <v>19.0353086852681</v>
      </c>
      <c r="J6121" s="6" t="n">
        <f aca="false">Sens!I6121*(1+Sens!J6122)</f>
        <v>19.1273539319129</v>
      </c>
      <c r="K6121" s="6" t="n">
        <f aca="false">Sens!J6121*(1+Sens!K6122)</f>
        <v>19.5099010105511</v>
      </c>
    </row>
    <row r="6122" customFormat="false" ht="15" hidden="false" customHeight="false" outlineLevel="0" collapsed="false">
      <c r="A6122" s="1" t="s">
        <v>876</v>
      </c>
      <c r="B6122" s="0" t="s">
        <v>129</v>
      </c>
      <c r="E6122" s="7" t="n">
        <f aca="false">Sens!E6121/Sens!D6121-1</f>
        <v>-0.0709869963760392</v>
      </c>
      <c r="F6122" s="7" t="n">
        <f aca="false">Sens!$E$6122+(glt_xbox-Sens!$E$6122)*MIN(1,(Sens!F6065-base_fy)/n_conv)</f>
        <v>-0.0558224969800327</v>
      </c>
      <c r="G6122" s="7" t="n">
        <f aca="false">Sens!$E$6122+(glt_xbox-Sens!$E$6122)*MIN(1,(Sens!G6065-base_fy)/n_conv)</f>
        <v>-0.0406579975840262</v>
      </c>
      <c r="H6122" s="7" t="n">
        <f aca="false">Sens!$E$6122+(glt_xbox-Sens!$E$6122)*MIN(1,(Sens!H6065-base_fy)/n_conv)</f>
        <v>-0.0254934981880196</v>
      </c>
      <c r="I6122" s="7" t="n">
        <f aca="false">Sens!$E$6122+(glt_xbox-Sens!$E$6122)*MIN(1,(Sens!I6065-base_fy)/n_conv)</f>
        <v>-0.0103289987920131</v>
      </c>
      <c r="J6122" s="7" t="n">
        <f aca="false">Sens!$E$6122+(glt_xbox-Sens!$E$6122)*MIN(1,(Sens!J6065-base_fy)/n_conv)</f>
        <v>0.00483550060399347</v>
      </c>
      <c r="K6122" s="7" t="n">
        <f aca="false">Sens!$E$6122+(glt_xbox-Sens!$E$6122)*MIN(1,(Sens!K6065-base_fy)/n_conv)</f>
        <v>0.02</v>
      </c>
    </row>
    <row r="6123" customFormat="false" ht="15" hidden="false" customHeight="false" outlineLevel="0" collapsed="false">
      <c r="A6123" s="0" t="s">
        <v>889</v>
      </c>
      <c r="B6123" s="0" t="s">
        <v>98</v>
      </c>
      <c r="D6123" s="6" t="n">
        <f aca="false">Q!L15</f>
        <v>17.315</v>
      </c>
      <c r="E6123" s="6" t="n">
        <f aca="false">Q!M15</f>
        <v>17.087</v>
      </c>
      <c r="F6123" s="6" t="n">
        <f aca="false">Sens!E6123*(1+Sens!F6124)</f>
        <v>16.9564585436519</v>
      </c>
      <c r="G6123" s="6" t="n">
        <f aca="false">Sens!F6123*(1+Sens!G6124)</f>
        <v>16.9206490624268</v>
      </c>
      <c r="H6123" s="6" t="n">
        <f aca="false">Sens!G6123*(1+Sens!H6124)</f>
        <v>16.9784519149849</v>
      </c>
      <c r="I6123" s="6" t="n">
        <f aca="false">Sens!H6123*(1+Sens!I6124)</f>
        <v>17.1303084701817</v>
      </c>
      <c r="J6123" s="6" t="n">
        <f aca="false">Sens!I6123*(1+Sens!J6124)</f>
        <v>17.3782189407267</v>
      </c>
      <c r="K6123" s="6" t="n">
        <f aca="false">Sens!J6123*(1+Sens!K6124)</f>
        <v>17.7257833195413</v>
      </c>
    </row>
    <row r="6124" customFormat="false" ht="15" hidden="false" customHeight="false" outlineLevel="0" collapsed="false">
      <c r="A6124" s="1" t="s">
        <v>876</v>
      </c>
      <c r="B6124" s="0" t="s">
        <v>129</v>
      </c>
      <c r="E6124" s="7" t="n">
        <f aca="false">Sens!E6123/Sens!D6123-1</f>
        <v>-0.0131677736066995</v>
      </c>
      <c r="F6124" s="7" t="n">
        <f aca="false">Sens!$E$6124+(glt_win-Sens!$E$6124)*MIN(1,(Sens!F6065-base_fy)/n_conv)</f>
        <v>-0.00763981133891627</v>
      </c>
      <c r="G6124" s="7" t="n">
        <f aca="false">Sens!$E$6124+(glt_win-Sens!$E$6124)*MIN(1,(Sens!G6065-base_fy)/n_conv)</f>
        <v>-0.00211184907113301</v>
      </c>
      <c r="H6124" s="7" t="n">
        <f aca="false">Sens!$E$6124+(glt_win-Sens!$E$6124)*MIN(1,(Sens!H6065-base_fy)/n_conv)</f>
        <v>0.00341611319665024</v>
      </c>
      <c r="I6124" s="7" t="n">
        <f aca="false">Sens!$E$6124+(glt_win-Sens!$E$6124)*MIN(1,(Sens!I6065-base_fy)/n_conv)</f>
        <v>0.00894407546443349</v>
      </c>
      <c r="J6124" s="7" t="n">
        <f aca="false">Sens!$E$6124+(glt_win-Sens!$E$6124)*MIN(1,(Sens!J6065-base_fy)/n_conv)</f>
        <v>0.0144720377322168</v>
      </c>
      <c r="K6124" s="7" t="n">
        <f aca="false">Sens!$E$6124+(glt_win-Sens!$E$6124)*MIN(1,(Sens!K6065-base_fy)/n_conv)</f>
        <v>0.02</v>
      </c>
    </row>
    <row r="6125" customFormat="false" ht="15" hidden="false" customHeight="false" outlineLevel="0" collapsed="false">
      <c r="A6125" s="0" t="s">
        <v>729</v>
      </c>
      <c r="B6125" s="0" t="s">
        <v>98</v>
      </c>
      <c r="D6125" s="6" t="n">
        <f aca="false">Sens!D6119+Sens!D6121+Sens!D6123</f>
        <v>62.941</v>
      </c>
      <c r="E6125" s="6" t="n">
        <f aca="false">Sens!E6119+Sens!E6121+Sens!E6123</f>
        <v>63.712</v>
      </c>
      <c r="F6125" s="6" t="n">
        <f aca="false">Sens!F6119+Sens!F6121+Sens!F6123</f>
        <v>65.1415764563129</v>
      </c>
      <c r="G6125" s="6" t="n">
        <f aca="false">Sens!G6119+Sens!G6121+Sens!G6123</f>
        <v>67.1253610780702</v>
      </c>
      <c r="H6125" s="6" t="n">
        <f aca="false">Sens!H6119+Sens!H6121+Sens!H6123</f>
        <v>69.5768050148776</v>
      </c>
      <c r="I6125" s="6" t="n">
        <f aca="false">Sens!I6119+Sens!I6121+Sens!I6123</f>
        <v>72.4233188088189</v>
      </c>
      <c r="J6125" s="6" t="n">
        <f aca="false">Sens!J6119+Sens!J6121+Sens!J6123</f>
        <v>75.6044096678567</v>
      </c>
      <c r="K6125" s="6" t="n">
        <f aca="false">Sens!K6119+Sens!K6121+Sens!K6123</f>
        <v>79.0714397009747</v>
      </c>
    </row>
    <row r="6126" customFormat="false" ht="15" hidden="false" customHeight="false" outlineLevel="0" collapsed="false">
      <c r="A6126" s="1" t="s">
        <v>890</v>
      </c>
      <c r="B6126" s="0" t="s">
        <v>98</v>
      </c>
      <c r="D6126" s="6" t="n">
        <f aca="false">Sens!D6118+Sens!D6125</f>
        <v>281.724</v>
      </c>
      <c r="E6126" s="6" t="n">
        <f aca="false">Sens!E6118+Sens!E6125</f>
        <v>331.839</v>
      </c>
      <c r="F6126" s="6" t="n">
        <f aca="false">Sens!F6118+Sens!F6125</f>
        <v>400.907104707821</v>
      </c>
      <c r="G6126" s="6" t="n">
        <f aca="false">Sens!G6118+Sens!G6125</f>
        <v>479.697484137863</v>
      </c>
      <c r="H6126" s="6" t="n">
        <f aca="false">Sens!H6118+Sens!H6125</f>
        <v>560.273101018903</v>
      </c>
      <c r="I6126" s="6" t="n">
        <f aca="false">Sens!I6118+Sens!I6125</f>
        <v>634.076836435645</v>
      </c>
      <c r="J6126" s="6" t="n">
        <f aca="false">Sens!J6118+Sens!J6125</f>
        <v>694.573459379469</v>
      </c>
      <c r="K6126" s="6" t="n">
        <f aca="false">Sens!K6118+Sens!K6125</f>
        <v>744.199175950427</v>
      </c>
    </row>
    <row r="6127" customFormat="false" ht="15" hidden="false" customHeight="false" outlineLevel="0" collapsed="false">
      <c r="A6127" s="23" t="s">
        <v>891</v>
      </c>
      <c r="B6127" s="30" t="s">
        <v>98</v>
      </c>
      <c r="C6127" s="30"/>
      <c r="D6127" s="24" t="n">
        <f aca="false">(Sens!D6106+Sens!D6111+Sens!D6112+Sens!D6114+Sens!D6116-Sens!D6118)+(Sens!D6119+Sens!D6121+Sens!D6123-Sens!D6125)+(Sens!D6118-Q!L5)+(Sens!D6125-Q!L12)+(Sens!D6106-Q!L6)+(Sens!D6111-Q!L7)</f>
        <v>0</v>
      </c>
      <c r="E6127" s="24" t="n">
        <f aca="false">(Sens!E6106+Sens!E6111+Sens!E6112+Sens!E6114+Sens!E6116-Sens!E6118)+(Sens!E6119+Sens!E6121+Sens!E6123-Sens!E6125)+(Sens!E6118-Q!M5)+(Sens!E6125-Q!M12)+(Sens!E6106-Q!M6)+(Sens!E6111-Q!M7)</f>
        <v>0</v>
      </c>
      <c r="F6127" s="24" t="n">
        <f aca="false">(Sens!F6106+Sens!F6111+Sens!F6112+Sens!F6114+Sens!F6116-Sens!F6118)+(Sens!F6119+Sens!F6121+Sens!F6123-Sens!F6125)</f>
        <v>0</v>
      </c>
      <c r="G6127" s="24" t="n">
        <f aca="false">(Sens!G6106+Sens!G6111+Sens!G6112+Sens!G6114+Sens!G6116-Sens!G6118)+(Sens!G6119+Sens!G6121+Sens!G6123-Sens!G6125)</f>
        <v>0</v>
      </c>
      <c r="H6127" s="24" t="n">
        <f aca="false">(Sens!H6106+Sens!H6111+Sens!H6112+Sens!H6114+Sens!H6116-Sens!H6118)+(Sens!H6119+Sens!H6121+Sens!H6123-Sens!H6125)</f>
        <v>0</v>
      </c>
      <c r="I6127" s="24" t="n">
        <f aca="false">(Sens!I6106+Sens!I6111+Sens!I6112+Sens!I6114+Sens!I6116-Sens!I6118)+(Sens!I6119+Sens!I6121+Sens!I6123-Sens!I6125)</f>
        <v>0</v>
      </c>
      <c r="J6127" s="24" t="n">
        <f aca="false">(Sens!J6106+Sens!J6111+Sens!J6112+Sens!J6114+Sens!J6116-Sens!J6118)+(Sens!J6119+Sens!J6121+Sens!J6123-Sens!J6125)</f>
        <v>0</v>
      </c>
      <c r="K6127" s="24" t="n">
        <f aca="false">(Sens!K6106+Sens!K6111+Sens!K6112+Sens!K6114+Sens!K6116-Sens!K6118)+(Sens!K6119+Sens!K6121+Sens!K6123-Sens!K6125)</f>
        <v>0</v>
      </c>
    </row>
    <row r="6128" customFormat="false" ht="17.15" hidden="false" customHeight="false" outlineLevel="0" collapsed="false">
      <c r="A6128" s="3" t="s">
        <v>1419</v>
      </c>
    </row>
    <row r="6129" customFormat="false" ht="15" hidden="false" customHeight="false" outlineLevel="0" collapsed="false">
      <c r="A6129" s="4" t="s">
        <v>43</v>
      </c>
      <c r="B6129" s="4" t="s">
        <v>65</v>
      </c>
      <c r="C6129" s="20" t="s">
        <v>799</v>
      </c>
      <c r="D6129" s="20" t="s">
        <v>800</v>
      </c>
      <c r="E6129" s="20" t="s">
        <v>801</v>
      </c>
      <c r="F6129" s="20" t="s">
        <v>802</v>
      </c>
      <c r="G6129" s="20" t="s">
        <v>803</v>
      </c>
      <c r="H6129" s="20" t="s">
        <v>804</v>
      </c>
      <c r="I6129" s="20" t="s">
        <v>805</v>
      </c>
      <c r="J6129" s="20" t="s">
        <v>806</v>
      </c>
      <c r="K6129" s="20" t="s">
        <v>807</v>
      </c>
      <c r="L6129" s="4" t="s">
        <v>47</v>
      </c>
    </row>
    <row r="6130" customFormat="false" ht="15" hidden="false" customHeight="false" outlineLevel="0" collapsed="false">
      <c r="A6130" s="0" t="s">
        <v>877</v>
      </c>
      <c r="B6130" s="0" t="s">
        <v>98</v>
      </c>
      <c r="D6130" s="6" t="n">
        <f aca="false">Sens!D6106</f>
        <v>72.61</v>
      </c>
      <c r="E6130" s="6" t="n">
        <f aca="false">Sens!E6106</f>
        <v>101.938</v>
      </c>
      <c r="F6130" s="6" t="n">
        <f aca="false">Sens!F6106</f>
        <v>145.143956312325</v>
      </c>
      <c r="G6130" s="6" t="n">
        <f aca="false">Sens!G6106</f>
        <v>196.478966522364</v>
      </c>
      <c r="H6130" s="6" t="n">
        <f aca="false">Sens!H6106</f>
        <v>249.10761332251</v>
      </c>
      <c r="I6130" s="6" t="n">
        <f aca="false">Sens!I6106</f>
        <v>297.09216264734</v>
      </c>
      <c r="J6130" s="6" t="n">
        <f aca="false">Sens!J6106</f>
        <v>334.278152607443</v>
      </c>
      <c r="K6130" s="6" t="n">
        <f aca="false">Sens!K6106</f>
        <v>361.233666909276</v>
      </c>
    </row>
    <row r="6131" customFormat="false" ht="17.15" hidden="false" customHeight="false" outlineLevel="0" collapsed="false">
      <c r="A6131" s="0" t="s">
        <v>874</v>
      </c>
      <c r="B6131" s="0" t="s">
        <v>98</v>
      </c>
      <c r="D6131" s="6" t="n">
        <f aca="false">Sens!D6103</f>
        <v>12.9359794422418</v>
      </c>
      <c r="E6131" s="6" t="n">
        <f aca="false">Sens!E6103</f>
        <v>27.8095064661409</v>
      </c>
      <c r="F6131" s="6" t="n">
        <f aca="false">Sens!F6103</f>
        <v>55.0640065749585</v>
      </c>
      <c r="G6131" s="6" t="n">
        <f aca="false">Sens!G6103</f>
        <v>89.4505413190538</v>
      </c>
      <c r="H6131" s="6" t="n">
        <f aca="false">Sens!H6103</f>
        <v>124.835630736874</v>
      </c>
      <c r="I6131" s="6" t="n">
        <f aca="false">Sens!I6103</f>
        <v>156.158460265485</v>
      </c>
      <c r="J6131" s="6" t="n">
        <f aca="false">Sens!J6103</f>
        <v>178.259285293112</v>
      </c>
      <c r="K6131" s="6" t="n">
        <f aca="false">Sens!K6103</f>
        <v>192.733290209798</v>
      </c>
    </row>
    <row r="6132" customFormat="false" ht="17.15" hidden="false" customHeight="false" outlineLevel="0" collapsed="false">
      <c r="A6132" s="0" t="s">
        <v>902</v>
      </c>
      <c r="B6132" s="0" t="s">
        <v>98</v>
      </c>
      <c r="D6132" s="6" t="n">
        <f aca="false">Sens!D6104</f>
        <v>59.6740205577583</v>
      </c>
      <c r="E6132" s="6" t="n">
        <f aca="false">Sens!E6104</f>
        <v>74.1284935338591</v>
      </c>
      <c r="F6132" s="6" t="n">
        <f aca="false">Sens!F6104</f>
        <v>90.0799497373663</v>
      </c>
      <c r="G6132" s="6" t="n">
        <f aca="false">Sens!G6104</f>
        <v>107.02842520331</v>
      </c>
      <c r="H6132" s="6" t="n">
        <f aca="false">Sens!H6104</f>
        <v>124.271982585636</v>
      </c>
      <c r="I6132" s="6" t="n">
        <f aca="false">Sens!I6104</f>
        <v>140.933702381855</v>
      </c>
      <c r="J6132" s="6" t="n">
        <f aca="false">Sens!J6104</f>
        <v>156.018867314332</v>
      </c>
      <c r="K6132" s="6" t="n">
        <f aca="false">Sens!K6104</f>
        <v>168.500376699478</v>
      </c>
    </row>
    <row r="6133" customFormat="false" ht="15" hidden="false" customHeight="false" outlineLevel="0" collapsed="false">
      <c r="A6133" s="0" t="s">
        <v>883</v>
      </c>
      <c r="B6133" s="0" t="s">
        <v>98</v>
      </c>
      <c r="D6133" s="6" t="n">
        <f aca="false">Sens!D6111</f>
        <v>84.605</v>
      </c>
      <c r="E6133" s="6" t="n">
        <f aca="false">Sens!E6111</f>
        <v>100.299</v>
      </c>
      <c r="F6133" s="6" t="n">
        <f aca="false">Sens!F6111</f>
        <v>120.39238776686</v>
      </c>
      <c r="G6133" s="6" t="n">
        <f aca="false">Sens!G6111</f>
        <v>141.544168448684</v>
      </c>
      <c r="H6133" s="6" t="n">
        <f aca="false">Sens!H6111</f>
        <v>162.777359388781</v>
      </c>
      <c r="I6133" s="6" t="n">
        <f aca="false">Sens!I6111</f>
        <v>181.584028071957</v>
      </c>
      <c r="J6133" s="6" t="n">
        <f aca="false">Sens!J6111</f>
        <v>197.682702785465</v>
      </c>
      <c r="K6133" s="6" t="n">
        <f aca="false">Sens!K6111</f>
        <v>213.027991980448</v>
      </c>
    </row>
    <row r="6134" customFormat="false" ht="17.15" hidden="false" customHeight="false" outlineLevel="0" collapsed="false">
      <c r="A6134" s="0" t="s">
        <v>903</v>
      </c>
      <c r="B6134" s="0" t="s">
        <v>98</v>
      </c>
      <c r="D6134" s="6" t="n">
        <f aca="false">Sens!D6109</f>
        <v>83.705</v>
      </c>
      <c r="E6134" s="6" t="n">
        <f aca="false">Sens!E6109</f>
        <v>95.049</v>
      </c>
      <c r="F6134" s="6" t="n">
        <f aca="false">Sens!F6109</f>
        <v>106.89238776686</v>
      </c>
      <c r="G6134" s="6" t="n">
        <f aca="false">Sens!G6109</f>
        <v>119.044168448684</v>
      </c>
      <c r="H6134" s="6" t="n">
        <f aca="false">Sens!H6109</f>
        <v>131.277359388781</v>
      </c>
      <c r="I6134" s="6" t="n">
        <f aca="false">Sens!I6109</f>
        <v>143.334028071957</v>
      </c>
      <c r="J6134" s="6" t="n">
        <f aca="false">Sens!J6109</f>
        <v>154.932702785465</v>
      </c>
      <c r="K6134" s="6" t="n">
        <f aca="false">Sens!K6109</f>
        <v>165.777991980448</v>
      </c>
    </row>
    <row r="6135" customFormat="false" ht="17.15" hidden="false" customHeight="false" outlineLevel="0" collapsed="false">
      <c r="A6135" s="0" t="s">
        <v>904</v>
      </c>
      <c r="B6135" s="0" t="s">
        <v>98</v>
      </c>
      <c r="D6135" s="6" t="n">
        <f aca="false">Sens!D6108</f>
        <v>0.9</v>
      </c>
      <c r="E6135" s="6" t="n">
        <f aca="false">Sens!E6108</f>
        <v>5.25</v>
      </c>
      <c r="F6135" s="6" t="n">
        <f aca="false">Sens!F6108</f>
        <v>13.5</v>
      </c>
      <c r="G6135" s="6" t="n">
        <f aca="false">Sens!G6108</f>
        <v>22.5</v>
      </c>
      <c r="H6135" s="6" t="n">
        <f aca="false">Sens!H6108</f>
        <v>31.5</v>
      </c>
      <c r="I6135" s="6" t="n">
        <f aca="false">Sens!I6108</f>
        <v>38.25</v>
      </c>
      <c r="J6135" s="6" t="n">
        <f aca="false">Sens!J6108</f>
        <v>42.75</v>
      </c>
      <c r="K6135" s="6" t="n">
        <f aca="false">Sens!K6108</f>
        <v>47.25</v>
      </c>
    </row>
    <row r="6136" customFormat="false" ht="15" hidden="false" customHeight="false" outlineLevel="0" collapsed="false">
      <c r="A6136" s="0" t="s">
        <v>884</v>
      </c>
      <c r="B6136" s="0" t="s">
        <v>98</v>
      </c>
      <c r="D6136" s="6" t="n">
        <f aca="false">Sens!D6112</f>
        <v>35.391</v>
      </c>
      <c r="E6136" s="6" t="n">
        <f aca="false">Sens!E6112</f>
        <v>37.285</v>
      </c>
      <c r="F6136" s="6" t="n">
        <f aca="false">Sens!F6112</f>
        <v>39.0720834331704</v>
      </c>
      <c r="G6136" s="6" t="n">
        <f aca="false">Sens!G6112</f>
        <v>40.726562953769</v>
      </c>
      <c r="H6136" s="6" t="n">
        <f aca="false">Sens!H6112</f>
        <v>42.2235987259198</v>
      </c>
      <c r="I6136" s="6" t="n">
        <f aca="false">Sens!I6112</f>
        <v>43.5397988077414</v>
      </c>
      <c r="J6136" s="6" t="n">
        <f aca="false">Sens!J6112</f>
        <v>44.653811225693</v>
      </c>
      <c r="K6136" s="6" t="n">
        <f aca="false">Sens!K6112</f>
        <v>45.5468874502068</v>
      </c>
    </row>
    <row r="6137" customFormat="false" ht="15" hidden="false" customHeight="false" outlineLevel="0" collapsed="false">
      <c r="A6137" s="0" t="s">
        <v>885</v>
      </c>
      <c r="B6137" s="0" t="s">
        <v>98</v>
      </c>
      <c r="D6137" s="6" t="n">
        <f aca="false">Sens!D6114</f>
        <v>18.417</v>
      </c>
      <c r="E6137" s="6" t="n">
        <f aca="false">Sens!E6114</f>
        <v>20.345</v>
      </c>
      <c r="F6137" s="6" t="n">
        <f aca="false">Sens!F6114</f>
        <v>22.3572203267814</v>
      </c>
      <c r="G6137" s="6" t="n">
        <f aca="false">Sens!G6114</f>
        <v>24.4392124437232</v>
      </c>
      <c r="H6137" s="6" t="n">
        <f aca="false">Sens!H6114</f>
        <v>26.5738052080665</v>
      </c>
      <c r="I6137" s="6" t="n">
        <f aca="false">Sens!I6114</f>
        <v>28.7412169166967</v>
      </c>
      <c r="J6137" s="6" t="n">
        <f aca="false">Sens!J6114</f>
        <v>30.9192545395413</v>
      </c>
      <c r="K6137" s="6" t="n">
        <f aca="false">Sens!K6114</f>
        <v>33.0836023573092</v>
      </c>
    </row>
    <row r="6138" customFormat="false" ht="15" hidden="false" customHeight="false" outlineLevel="0" collapsed="false">
      <c r="A6138" s="0" t="s">
        <v>886</v>
      </c>
      <c r="B6138" s="0" t="s">
        <v>98</v>
      </c>
      <c r="D6138" s="6" t="n">
        <f aca="false">Sens!D6116</f>
        <v>7.76</v>
      </c>
      <c r="E6138" s="6" t="n">
        <f aca="false">Sens!E6116</f>
        <v>8.26</v>
      </c>
      <c r="F6138" s="6" t="n">
        <f aca="false">Sens!F6116</f>
        <v>8.79988041237113</v>
      </c>
      <c r="G6138" s="6" t="n">
        <f aca="false">Sens!G6116</f>
        <v>9.38321269125306</v>
      </c>
      <c r="H6138" s="6" t="n">
        <f aca="false">Sens!H6116</f>
        <v>10.0139193587476</v>
      </c>
      <c r="I6138" s="6" t="n">
        <f aca="false">Sens!I6116</f>
        <v>10.6963111830911</v>
      </c>
      <c r="J6138" s="6" t="n">
        <f aca="false">Sens!J6116</f>
        <v>11.4351285534696</v>
      </c>
      <c r="K6138" s="6" t="n">
        <f aca="false">Sens!K6116</f>
        <v>12.2355875522124</v>
      </c>
    </row>
    <row r="6139" customFormat="false" ht="15" hidden="false" customHeight="false" outlineLevel="0" collapsed="false">
      <c r="A6139" s="0" t="s">
        <v>715</v>
      </c>
      <c r="B6139" s="0" t="s">
        <v>98</v>
      </c>
      <c r="D6139" s="6" t="n">
        <f aca="false">Sens!D6118</f>
        <v>218.783</v>
      </c>
      <c r="E6139" s="6" t="n">
        <f aca="false">Sens!E6118</f>
        <v>268.127</v>
      </c>
      <c r="F6139" s="6" t="n">
        <f aca="false">Sens!F6118</f>
        <v>335.765528251508</v>
      </c>
      <c r="G6139" s="6" t="n">
        <f aca="false">Sens!G6118</f>
        <v>412.572123059793</v>
      </c>
      <c r="H6139" s="6" t="n">
        <f aca="false">Sens!H6118</f>
        <v>490.696296004025</v>
      </c>
      <c r="I6139" s="6" t="n">
        <f aca="false">Sens!I6118</f>
        <v>561.653517626826</v>
      </c>
      <c r="J6139" s="6" t="n">
        <f aca="false">Sens!J6118</f>
        <v>618.969049711612</v>
      </c>
      <c r="K6139" s="6" t="n">
        <f aca="false">Sens!K6118</f>
        <v>665.127736249452</v>
      </c>
    </row>
    <row r="6140" customFormat="false" ht="15" hidden="false" customHeight="false" outlineLevel="0" collapsed="false">
      <c r="A6140" s="0" t="s">
        <v>887</v>
      </c>
      <c r="B6140" s="0" t="s">
        <v>98</v>
      </c>
      <c r="D6140" s="6" t="n">
        <f aca="false">Sens!D6119</f>
        <v>22.171</v>
      </c>
      <c r="E6140" s="6" t="n">
        <f aca="false">Sens!E6119</f>
        <v>24.835</v>
      </c>
      <c r="F6140" s="6" t="n">
        <f aca="false">Sens!F6119</f>
        <v>27.6114901218559</v>
      </c>
      <c r="G6140" s="6" t="n">
        <f aca="false">Sens!G6119</f>
        <v>30.4675667338515</v>
      </c>
      <c r="H6140" s="6" t="n">
        <f aca="false">Sens!H6119</f>
        <v>33.3643766955789</v>
      </c>
      <c r="I6140" s="6" t="n">
        <f aca="false">Sens!I6119</f>
        <v>36.2577016533691</v>
      </c>
      <c r="J6140" s="6" t="n">
        <f aca="false">Sens!J6119</f>
        <v>39.0988367952171</v>
      </c>
      <c r="K6140" s="6" t="n">
        <f aca="false">Sens!K6119</f>
        <v>41.8357553708823</v>
      </c>
    </row>
    <row r="6141" customFormat="false" ht="15" hidden="false" customHeight="false" outlineLevel="0" collapsed="false">
      <c r="A6141" s="0" t="s">
        <v>888</v>
      </c>
      <c r="B6141" s="0" t="s">
        <v>98</v>
      </c>
      <c r="D6141" s="6" t="n">
        <f aca="false">Sens!D6121</f>
        <v>23.455</v>
      </c>
      <c r="E6141" s="6" t="n">
        <f aca="false">Sens!E6121</f>
        <v>21.79</v>
      </c>
      <c r="F6141" s="6" t="n">
        <f aca="false">Sens!F6121</f>
        <v>20.5736277908051</v>
      </c>
      <c r="G6141" s="6" t="n">
        <f aca="false">Sens!G6121</f>
        <v>19.7371452817919</v>
      </c>
      <c r="H6141" s="6" t="n">
        <f aca="false">Sens!H6121</f>
        <v>19.2339764043138</v>
      </c>
      <c r="I6141" s="6" t="n">
        <f aca="false">Sens!I6121</f>
        <v>19.0353086852681</v>
      </c>
      <c r="J6141" s="6" t="n">
        <f aca="false">Sens!J6121</f>
        <v>19.1273539319129</v>
      </c>
      <c r="K6141" s="6" t="n">
        <f aca="false">Sens!K6121</f>
        <v>19.5099010105511</v>
      </c>
    </row>
    <row r="6142" customFormat="false" ht="15" hidden="false" customHeight="false" outlineLevel="0" collapsed="false">
      <c r="A6142" s="0" t="s">
        <v>889</v>
      </c>
      <c r="B6142" s="0" t="s">
        <v>98</v>
      </c>
      <c r="D6142" s="6" t="n">
        <f aca="false">Sens!D6123</f>
        <v>17.315</v>
      </c>
      <c r="E6142" s="6" t="n">
        <f aca="false">Sens!E6123</f>
        <v>17.087</v>
      </c>
      <c r="F6142" s="6" t="n">
        <f aca="false">Sens!F6123</f>
        <v>16.9564585436519</v>
      </c>
      <c r="G6142" s="6" t="n">
        <f aca="false">Sens!G6123</f>
        <v>16.9206490624268</v>
      </c>
      <c r="H6142" s="6" t="n">
        <f aca="false">Sens!H6123</f>
        <v>16.9784519149849</v>
      </c>
      <c r="I6142" s="6" t="n">
        <f aca="false">Sens!I6123</f>
        <v>17.1303084701817</v>
      </c>
      <c r="J6142" s="6" t="n">
        <f aca="false">Sens!J6123</f>
        <v>17.3782189407267</v>
      </c>
      <c r="K6142" s="6" t="n">
        <f aca="false">Sens!K6123</f>
        <v>17.7257833195413</v>
      </c>
    </row>
    <row r="6143" customFormat="false" ht="15" hidden="false" customHeight="false" outlineLevel="0" collapsed="false">
      <c r="A6143" s="0" t="s">
        <v>729</v>
      </c>
      <c r="B6143" s="0" t="s">
        <v>98</v>
      </c>
      <c r="D6143" s="6" t="n">
        <f aca="false">Sens!D6125</f>
        <v>62.941</v>
      </c>
      <c r="E6143" s="6" t="n">
        <f aca="false">Sens!E6125</f>
        <v>63.712</v>
      </c>
      <c r="F6143" s="6" t="n">
        <f aca="false">Sens!F6125</f>
        <v>65.1415764563129</v>
      </c>
      <c r="G6143" s="6" t="n">
        <f aca="false">Sens!G6125</f>
        <v>67.1253610780702</v>
      </c>
      <c r="H6143" s="6" t="n">
        <f aca="false">Sens!H6125</f>
        <v>69.5768050148776</v>
      </c>
      <c r="I6143" s="6" t="n">
        <f aca="false">Sens!I6125</f>
        <v>72.4233188088189</v>
      </c>
      <c r="J6143" s="6" t="n">
        <f aca="false">Sens!J6125</f>
        <v>75.6044096678567</v>
      </c>
      <c r="K6143" s="6" t="n">
        <f aca="false">Sens!K6125</f>
        <v>79.0714397009747</v>
      </c>
    </row>
    <row r="6144" customFormat="false" ht="15" hidden="false" customHeight="false" outlineLevel="0" collapsed="false">
      <c r="A6144" s="1" t="s">
        <v>905</v>
      </c>
      <c r="B6144" s="0" t="s">
        <v>98</v>
      </c>
      <c r="D6144" s="6" t="n">
        <f aca="false">Sens!D6126</f>
        <v>281.724</v>
      </c>
      <c r="E6144" s="6" t="n">
        <f aca="false">Sens!E6126</f>
        <v>331.839</v>
      </c>
      <c r="F6144" s="6" t="n">
        <f aca="false">Sens!F6126</f>
        <v>400.907104707821</v>
      </c>
      <c r="G6144" s="6" t="n">
        <f aca="false">Sens!G6126</f>
        <v>479.697484137863</v>
      </c>
      <c r="H6144" s="6" t="n">
        <f aca="false">Sens!H6126</f>
        <v>560.273101018903</v>
      </c>
      <c r="I6144" s="6" t="n">
        <f aca="false">Sens!I6126</f>
        <v>634.076836435645</v>
      </c>
      <c r="J6144" s="6" t="n">
        <f aca="false">Sens!J6126</f>
        <v>694.573459379469</v>
      </c>
      <c r="K6144" s="6" t="n">
        <f aca="false">Sens!K6126</f>
        <v>744.199175950427</v>
      </c>
    </row>
    <row r="6145" customFormat="false" ht="15" hidden="false" customHeight="false" outlineLevel="0" collapsed="false">
      <c r="A6145" s="1" t="s">
        <v>906</v>
      </c>
      <c r="B6145" s="0" t="s">
        <v>129</v>
      </c>
      <c r="E6145" s="7" t="n">
        <f aca="false">Sens!E6144/Sens!D6144-1</f>
        <v>0.177886867998467</v>
      </c>
      <c r="F6145" s="7" t="n">
        <f aca="false">Sens!F6144/Sens!E6144-1</f>
        <v>0.208137394061037</v>
      </c>
      <c r="G6145" s="7" t="n">
        <f aca="false">Sens!G6144/Sens!F6144-1</f>
        <v>0.196530264754137</v>
      </c>
      <c r="H6145" s="7" t="n">
        <f aca="false">Sens!H6144/Sens!G6144-1</f>
        <v>0.16797173123777</v>
      </c>
      <c r="I6145" s="7" t="n">
        <f aca="false">Sens!I6144/Sens!H6144-1</f>
        <v>0.131728143440269</v>
      </c>
      <c r="J6145" s="7" t="n">
        <f aca="false">Sens!J6144/Sens!I6144-1</f>
        <v>0.0954089780095038</v>
      </c>
      <c r="K6145" s="7" t="n">
        <f aca="false">Sens!K6144/Sens!J6144-1</f>
        <v>0.0714477581900312</v>
      </c>
    </row>
    <row r="6146" customFormat="false" ht="17.15" hidden="false" customHeight="false" outlineLevel="0" collapsed="false">
      <c r="A6146" s="23" t="s">
        <v>907</v>
      </c>
      <c r="B6146" s="30" t="s">
        <v>98</v>
      </c>
      <c r="C6146" s="30"/>
      <c r="D6146" s="24" t="n">
        <f aca="false">(Sens!D6139+Sens!D6143-Sens!D6144)+(Sens!D6131+Sens!D6132-Sens!D6130)+(Sens!D6134+Sens!D6135-Sens!D6133)+(Sens!D6144-Q!L18)</f>
        <v>0</v>
      </c>
      <c r="E6146" s="24" t="n">
        <f aca="false">(Sens!E6139+Sens!E6143-Sens!E6144)+(Sens!E6131+Sens!E6132-Sens!E6130)+(Sens!E6134+Sens!E6135-Sens!E6133)+(Sens!E6144-Q!M18)</f>
        <v>0</v>
      </c>
      <c r="F6146" s="24" t="n">
        <f aca="false">(Sens!F6139+Sens!F6143-Sens!F6144)+(Sens!F6131+Sens!F6132-Sens!F6130)+(Sens!F6134+Sens!F6135-Sens!F6133)</f>
        <v>0</v>
      </c>
      <c r="G6146" s="24" t="n">
        <f aca="false">(Sens!G6139+Sens!G6143-Sens!G6144)+(Sens!G6131+Sens!G6132-Sens!G6130)+(Sens!G6134+Sens!G6135-Sens!G6133)</f>
        <v>0</v>
      </c>
      <c r="H6146" s="24" t="n">
        <f aca="false">(Sens!H6139+Sens!H6143-Sens!H6144)+(Sens!H6131+Sens!H6132-Sens!H6130)+(Sens!H6134+Sens!H6135-Sens!H6133)</f>
        <v>0</v>
      </c>
      <c r="I6146" s="24" t="n">
        <f aca="false">(Sens!I6139+Sens!I6143-Sens!I6144)+(Sens!I6131+Sens!I6132-Sens!I6130)+(Sens!I6134+Sens!I6135-Sens!I6133)</f>
        <v>0</v>
      </c>
      <c r="J6146" s="24" t="n">
        <f aca="false">(Sens!J6139+Sens!J6143-Sens!J6144)+(Sens!J6131+Sens!J6132-Sens!J6130)+(Sens!J6134+Sens!J6135-Sens!J6133)</f>
        <v>0</v>
      </c>
      <c r="K6146" s="24" t="n">
        <f aca="false">(Sens!K6139+Sens!K6143-Sens!K6144)+(Sens!K6131+Sens!K6132-Sens!K6130)+(Sens!K6134+Sens!K6135-Sens!K6133)</f>
        <v>0</v>
      </c>
    </row>
    <row r="6147" customFormat="false" ht="17.15" hidden="false" customHeight="false" outlineLevel="0" collapsed="false">
      <c r="A6147" s="0" t="s">
        <v>908</v>
      </c>
      <c r="B6147" s="0" t="s">
        <v>129</v>
      </c>
      <c r="E6147" s="7" t="n">
        <f aca="false">(Q!M21+Sens!E6084+Sens!E6085+Sens!E6086+Sens!E6099-Sens!E6082)/(Q!M5-Sens!E6082)</f>
        <v>0.570957350878296</v>
      </c>
      <c r="F6147" s="7" t="n">
        <f aca="false">Sens!$E$6147+dm_seg</f>
        <v>0.570957350878296</v>
      </c>
      <c r="G6147" s="7" t="n">
        <f aca="false">Sens!$E$6147+dm_seg</f>
        <v>0.570957350878296</v>
      </c>
      <c r="H6147" s="7" t="n">
        <f aca="false">Sens!$E$6147+dm_seg</f>
        <v>0.570957350878296</v>
      </c>
      <c r="I6147" s="7" t="n">
        <f aca="false">Sens!$E$6147+dm_seg</f>
        <v>0.570957350878296</v>
      </c>
      <c r="J6147" s="7" t="n">
        <f aca="false">Sens!$E$6147+dm_seg</f>
        <v>0.570957350878296</v>
      </c>
      <c r="K6147" s="7" t="n">
        <f aca="false">Sens!$E$6147+dm_seg</f>
        <v>0.570957350878296</v>
      </c>
      <c r="L6147" s="11" t="s">
        <v>909</v>
      </c>
    </row>
    <row r="6148" customFormat="false" ht="17.15" hidden="false" customHeight="false" outlineLevel="0" collapsed="false">
      <c r="A6148" s="0" t="s">
        <v>743</v>
      </c>
      <c r="B6148" s="0" t="s">
        <v>98</v>
      </c>
      <c r="D6148" s="6" t="n">
        <f aca="false">Q!L21</f>
        <v>110.814</v>
      </c>
      <c r="E6148" s="6" t="n">
        <f aca="false">Q!M21</f>
        <v>136.365</v>
      </c>
      <c r="F6148" s="6" t="n">
        <f aca="false">Sens!F6147*(Sens!F6118-Sens!F6082)+Sens!F6082-(Sens!F6084+Sens!F6085+Sens!F6086)-Sens!F6099-Sens!F6182</f>
        <v>158.331442331781</v>
      </c>
      <c r="G6148" s="6" t="n">
        <f aca="false">Sens!G6147*(Sens!G6118-Sens!G6082)+Sens!G6082-(Sens!G6084+Sens!G6085+Sens!G6086)-Sens!G6099-Sens!G6182</f>
        <v>180.39892867452</v>
      </c>
      <c r="H6148" s="6" t="n">
        <f aca="false">Sens!H6147*(Sens!H6118-Sens!H6082)+Sens!H6082-(Sens!H6084+Sens!H6085+Sens!H6086)-Sens!H6099-Sens!H6182</f>
        <v>201.826870941225</v>
      </c>
      <c r="I6148" s="6" t="n">
        <f aca="false">Sens!I6147*(Sens!I6118-Sens!I6082)+Sens!I6082-(Sens!I6084+Sens!I6085+Sens!I6086)-Sens!I6099-Sens!I6182</f>
        <v>221.900634162937</v>
      </c>
      <c r="J6148" s="6" t="n">
        <f aca="false">Sens!J6147*(Sens!J6118-Sens!J6082)+Sens!J6082-(Sens!J6084+Sens!J6085+Sens!J6086)-Sens!J6099-Sens!J6182</f>
        <v>240.156913136994</v>
      </c>
      <c r="K6148" s="6" t="n">
        <f aca="false">Sens!K6147*(Sens!K6118-Sens!K6082)+Sens!K6082-(Sens!K6084+Sens!K6085+Sens!K6086)-Sens!K6099-Sens!K6182</f>
        <v>257.860407340751</v>
      </c>
      <c r="L6148" s="1" t="s">
        <v>910</v>
      </c>
    </row>
    <row r="6149" customFormat="false" ht="17.15" hidden="false" customHeight="false" outlineLevel="0" collapsed="false">
      <c r="A6149" s="0" t="s">
        <v>911</v>
      </c>
      <c r="B6149" s="0" t="s">
        <v>129</v>
      </c>
      <c r="E6149" s="7" t="n">
        <f aca="false">Q!M22/Q!M12</f>
        <v>0.296207935710698</v>
      </c>
      <c r="F6149" s="7" t="n">
        <f aca="false">Sens!$E$6149+dm_seg</f>
        <v>0.296207935710698</v>
      </c>
      <c r="G6149" s="7" t="n">
        <f aca="false">Sens!$E$6149+dm_seg</f>
        <v>0.296207935710698</v>
      </c>
      <c r="H6149" s="7" t="n">
        <f aca="false">Sens!$E$6149+dm_seg</f>
        <v>0.296207935710698</v>
      </c>
      <c r="I6149" s="7" t="n">
        <f aca="false">Sens!$E$6149+dm_seg</f>
        <v>0.296207935710698</v>
      </c>
      <c r="J6149" s="7" t="n">
        <f aca="false">Sens!$E$6149+dm_seg</f>
        <v>0.296207935710698</v>
      </c>
      <c r="K6149" s="7" t="n">
        <f aca="false">Sens!$E$6149+dm_seg</f>
        <v>0.296207935710698</v>
      </c>
      <c r="L6149" s="11" t="s">
        <v>912</v>
      </c>
    </row>
    <row r="6150" customFormat="false" ht="17.15" hidden="false" customHeight="false" outlineLevel="0" collapsed="false">
      <c r="A6150" s="0" t="s">
        <v>745</v>
      </c>
      <c r="B6150" s="0" t="s">
        <v>98</v>
      </c>
      <c r="D6150" s="6" t="n">
        <f aca="false">Q!L22</f>
        <v>17.714</v>
      </c>
      <c r="E6150" s="6" t="n">
        <f aca="false">Q!M22</f>
        <v>18.872</v>
      </c>
      <c r="F6150" s="6" t="n">
        <f aca="false">Sens!F6125*Sens!F6149</f>
        <v>19.2954518910651</v>
      </c>
      <c r="G6150" s="6" t="n">
        <f aca="false">Sens!G6125*Sens!G6149</f>
        <v>19.8830646387704</v>
      </c>
      <c r="H6150" s="6" t="n">
        <f aca="false">Sens!H6125*Sens!H6149</f>
        <v>20.6092017868026</v>
      </c>
      <c r="I6150" s="6" t="n">
        <f aca="false">Sens!I6125*Sens!I6149</f>
        <v>21.452361761678</v>
      </c>
      <c r="J6150" s="6" t="n">
        <f aca="false">Sens!J6125*Sens!J6149</f>
        <v>22.3946261183418</v>
      </c>
      <c r="K6150" s="6" t="n">
        <f aca="false">Sens!K6125*Sens!K6149</f>
        <v>23.4215879274986</v>
      </c>
    </row>
    <row r="6151" customFormat="false" ht="15" hidden="false" customHeight="false" outlineLevel="0" collapsed="false">
      <c r="A6151" s="1" t="s">
        <v>913</v>
      </c>
      <c r="B6151" s="0" t="s">
        <v>98</v>
      </c>
      <c r="D6151" s="6" t="n">
        <f aca="false">Sens!D6148+Sens!D6150</f>
        <v>128.528</v>
      </c>
      <c r="E6151" s="6" t="n">
        <f aca="false">Sens!E6148+Sens!E6150</f>
        <v>155.237</v>
      </c>
      <c r="F6151" s="6" t="n">
        <f aca="false">Sens!F6148+Sens!F6150</f>
        <v>177.626894222846</v>
      </c>
      <c r="G6151" s="6" t="n">
        <f aca="false">Sens!G6148+Sens!G6150</f>
        <v>200.28199331329</v>
      </c>
      <c r="H6151" s="6" t="n">
        <f aca="false">Sens!H6148+Sens!H6150</f>
        <v>222.436072728027</v>
      </c>
      <c r="I6151" s="6" t="n">
        <f aca="false">Sens!I6148+Sens!I6150</f>
        <v>243.352995924615</v>
      </c>
      <c r="J6151" s="6" t="n">
        <f aca="false">Sens!J6148+Sens!J6150</f>
        <v>262.551539255335</v>
      </c>
      <c r="K6151" s="6" t="n">
        <f aca="false">Sens!K6148+Sens!K6150</f>
        <v>281.281995268249</v>
      </c>
    </row>
    <row r="6152" customFormat="false" ht="15" hidden="false" customHeight="false" outlineLevel="0" collapsed="false">
      <c r="A6152" s="23" t="s">
        <v>914</v>
      </c>
      <c r="B6152" s="30" t="s">
        <v>98</v>
      </c>
      <c r="C6152" s="30"/>
      <c r="D6152" s="24" t="n">
        <f aca="false">Sens!D6151-Q!L23</f>
        <v>0</v>
      </c>
      <c r="E6152" s="24" t="n">
        <f aca="false">Sens!E6151-Q!M23</f>
        <v>0</v>
      </c>
      <c r="F6152" s="30"/>
      <c r="G6152" s="30"/>
      <c r="H6152" s="30"/>
      <c r="I6152" s="30"/>
      <c r="J6152" s="30"/>
      <c r="K6152" s="30"/>
    </row>
    <row r="6153" customFormat="false" ht="15" hidden="false" customHeight="false" outlineLevel="0" collapsed="false">
      <c r="A6153" s="1" t="s">
        <v>915</v>
      </c>
      <c r="B6153" s="0" t="s">
        <v>129</v>
      </c>
      <c r="D6153" s="7" t="n">
        <f aca="false">Sens!D6151/Sens!D6144</f>
        <v>0.456219562408598</v>
      </c>
      <c r="E6153" s="7" t="n">
        <f aca="false">Sens!E6151/Sens!E6144</f>
        <v>0.467808184089272</v>
      </c>
      <c r="F6153" s="7" t="n">
        <f aca="false">Sens!F6151/Sens!F6144</f>
        <v>0.443062475413848</v>
      </c>
      <c r="G6153" s="7" t="n">
        <f aca="false">Sens!G6151/Sens!G6144</f>
        <v>0.417517289408443</v>
      </c>
      <c r="H6153" s="7" t="n">
        <f aca="false">Sens!H6151/Sens!H6144</f>
        <v>0.397013656953206</v>
      </c>
      <c r="I6153" s="7" t="n">
        <f aca="false">Sens!I6151/Sens!I6144</f>
        <v>0.383791020174436</v>
      </c>
      <c r="J6153" s="7" t="n">
        <f aca="false">Sens!J6151/Sens!J6144</f>
        <v>0.378003990376912</v>
      </c>
      <c r="K6153" s="7" t="n">
        <f aca="false">Sens!K6151/Sens!K6144</f>
        <v>0.377966012807016</v>
      </c>
    </row>
    <row r="6154" customFormat="false" ht="17.15" hidden="false" customHeight="false" outlineLevel="0" collapsed="false">
      <c r="A6154" s="1" t="s">
        <v>916</v>
      </c>
      <c r="B6154" s="0" t="s">
        <v>98</v>
      </c>
      <c r="F6154" s="6" t="n">
        <f aca="false">Sens!F6169</f>
        <v>8.44248444763781</v>
      </c>
      <c r="G6154" s="6" t="n">
        <f aca="false">Sens!G6169</f>
        <v>21.3653222817508</v>
      </c>
      <c r="H6154" s="6" t="n">
        <f aca="false">Sens!H6169</f>
        <v>35.8221390663856</v>
      </c>
      <c r="I6154" s="6" t="n">
        <f aca="false">Sens!I6169</f>
        <v>49.3691841492478</v>
      </c>
      <c r="J6154" s="6" t="n">
        <f aca="false">Sens!J6169</f>
        <v>59.0322720639359</v>
      </c>
      <c r="K6154" s="6" t="n">
        <f aca="false">Sens!K6169</f>
        <v>64.2195097796802</v>
      </c>
      <c r="L6154" s="1" t="s">
        <v>917</v>
      </c>
    </row>
    <row r="6155" customFormat="false" ht="17.15" hidden="false" customHeight="false" outlineLevel="0" collapsed="false">
      <c r="A6155" s="1" t="s">
        <v>918</v>
      </c>
      <c r="B6155" s="0" t="s">
        <v>98</v>
      </c>
      <c r="D6155" s="6" t="n">
        <f aca="false">Sens!D6151</f>
        <v>128.528</v>
      </c>
      <c r="E6155" s="6" t="n">
        <f aca="false">Sens!E6151</f>
        <v>155.237</v>
      </c>
      <c r="F6155" s="6" t="n">
        <f aca="false">Sens!F6151+Sens!F6154</f>
        <v>186.069378670483</v>
      </c>
      <c r="G6155" s="6" t="n">
        <f aca="false">Sens!G6151+Sens!G6154</f>
        <v>221.647315595041</v>
      </c>
      <c r="H6155" s="6" t="n">
        <f aca="false">Sens!H6151+Sens!H6154</f>
        <v>258.258211794413</v>
      </c>
      <c r="I6155" s="6" t="n">
        <f aca="false">Sens!I6151+Sens!I6154</f>
        <v>292.722180073863</v>
      </c>
      <c r="J6155" s="6" t="n">
        <f aca="false">Sens!J6151+Sens!J6154</f>
        <v>321.583811319271</v>
      </c>
      <c r="K6155" s="6" t="n">
        <f aca="false">Sens!K6151+Sens!K6154</f>
        <v>345.50150504793</v>
      </c>
    </row>
    <row r="6156" customFormat="false" ht="17.15" hidden="false" customHeight="false" outlineLevel="0" collapsed="false">
      <c r="A6156" s="1" t="s">
        <v>919</v>
      </c>
      <c r="B6156" s="0" t="s">
        <v>98</v>
      </c>
      <c r="E6156" s="6" t="n">
        <f aca="false">Sens!E6099</f>
        <v>16.3054059770833</v>
      </c>
      <c r="F6156" s="6" t="n">
        <f aca="false">Sens!F6099</f>
        <v>34.0498873809555</v>
      </c>
      <c r="G6156" s="6" t="n">
        <f aca="false">Sens!G6099</f>
        <v>59.1254371105111</v>
      </c>
      <c r="H6156" s="6" t="n">
        <f aca="false">Sens!H6099</f>
        <v>86.3610198433111</v>
      </c>
      <c r="I6156" s="6" t="n">
        <f aca="false">Sens!I6099</f>
        <v>110.605743832393</v>
      </c>
      <c r="J6156" s="6" t="n">
        <f aca="false">Sens!J6099</f>
        <v>127.998322852843</v>
      </c>
      <c r="K6156" s="6" t="n">
        <f aca="false">Sens!K6099</f>
        <v>139.131464044308</v>
      </c>
    </row>
    <row r="6157" customFormat="false" ht="17.15" hidden="false" customHeight="false" outlineLevel="0" collapsed="false">
      <c r="A6157" s="1" t="s">
        <v>920</v>
      </c>
      <c r="B6157" s="0" t="s">
        <v>98</v>
      </c>
      <c r="E6157" s="6" t="n">
        <f aca="false">Sens!E6181</f>
        <v>22.2285940229167</v>
      </c>
      <c r="F6157" s="6" t="n">
        <f aca="false">Sens!F6181</f>
        <v>24.3924470334783</v>
      </c>
      <c r="G6157" s="6" t="n">
        <f aca="false">Sens!G6181</f>
        <v>26.1134916871694</v>
      </c>
      <c r="H6157" s="6" t="n">
        <f aca="false">Sens!H6181</f>
        <v>28.2582938828615</v>
      </c>
      <c r="I6157" s="6" t="n">
        <f aca="false">Sens!I6181</f>
        <v>30.7498045257397</v>
      </c>
      <c r="J6157" s="6" t="n">
        <f aca="false">Sens!J6181</f>
        <v>33.4954153982031</v>
      </c>
      <c r="K6157" s="6" t="n">
        <f aca="false">Sens!K6181</f>
        <v>36.4102441325822</v>
      </c>
    </row>
    <row r="6158" customFormat="false" ht="17.15" hidden="false" customHeight="false" outlineLevel="0" collapsed="false">
      <c r="A6158" s="1" t="s">
        <v>921</v>
      </c>
      <c r="B6158" s="0" t="s">
        <v>98</v>
      </c>
      <c r="D6158" s="6" t="n">
        <f aca="false">Q!L27</f>
        <v>-4.901</v>
      </c>
      <c r="E6158" s="6" t="n">
        <f aca="false">Q!M27</f>
        <v>10.697</v>
      </c>
      <c r="F6158" s="6" t="n">
        <f aca="false">oie_f</f>
        <v>-0.4</v>
      </c>
      <c r="G6158" s="6" t="n">
        <f aca="false">oie_f</f>
        <v>-0.4</v>
      </c>
      <c r="H6158" s="6" t="n">
        <f aca="false">oie_f</f>
        <v>-0.4</v>
      </c>
      <c r="I6158" s="6" t="n">
        <f aca="false">oie_f</f>
        <v>-0.4</v>
      </c>
      <c r="J6158" s="6" t="n">
        <f aca="false">oie_f</f>
        <v>-0.4</v>
      </c>
      <c r="K6158" s="6" t="n">
        <f aca="false">oie_f</f>
        <v>-0.4</v>
      </c>
      <c r="L6158" s="11" t="s">
        <v>922</v>
      </c>
    </row>
    <row r="6159" customFormat="false" ht="15" hidden="false" customHeight="false" outlineLevel="0" collapsed="false">
      <c r="A6159" s="1" t="s">
        <v>923</v>
      </c>
      <c r="B6159" s="0" t="s">
        <v>98</v>
      </c>
      <c r="D6159" s="6" t="n">
        <f aca="false">Sens!D6151+Sens!D6158</f>
        <v>123.627</v>
      </c>
      <c r="E6159" s="6" t="n">
        <f aca="false">Sens!E6151+Sens!E6158</f>
        <v>165.934</v>
      </c>
      <c r="F6159" s="6" t="n">
        <f aca="false">Sens!F6151+Sens!F6158</f>
        <v>177.226894222846</v>
      </c>
      <c r="G6159" s="6" t="n">
        <f aca="false">Sens!G6151+Sens!G6158</f>
        <v>199.88199331329</v>
      </c>
      <c r="H6159" s="6" t="n">
        <f aca="false">Sens!H6151+Sens!H6158</f>
        <v>222.036072728027</v>
      </c>
      <c r="I6159" s="6" t="n">
        <f aca="false">Sens!I6151+Sens!I6158</f>
        <v>242.952995924615</v>
      </c>
      <c r="J6159" s="6" t="n">
        <f aca="false">Sens!J6151+Sens!J6158</f>
        <v>262.151539255335</v>
      </c>
      <c r="K6159" s="6" t="n">
        <f aca="false">Sens!K6151+Sens!K6158</f>
        <v>280.881995268249</v>
      </c>
    </row>
    <row r="6160" customFormat="false" ht="15" hidden="false" customHeight="false" outlineLevel="0" collapsed="false">
      <c r="A6160" s="1" t="s">
        <v>924</v>
      </c>
      <c r="B6160" s="0" t="s">
        <v>98</v>
      </c>
      <c r="D6160" s="6" t="n">
        <f aca="false">Q!L29</f>
        <v>21.795</v>
      </c>
      <c r="E6160" s="6" t="n">
        <f aca="false">Q!M29</f>
        <v>32.185</v>
      </c>
      <c r="F6160" s="6" t="n">
        <f aca="false">Sens!F6159*tax_f</f>
        <v>35.4453788445691</v>
      </c>
      <c r="G6160" s="6" t="n">
        <f aca="false">Sens!G6159*tax_f</f>
        <v>39.976398662658</v>
      </c>
      <c r="H6160" s="6" t="n">
        <f aca="false">Sens!H6159*tax_f</f>
        <v>44.4072145456055</v>
      </c>
      <c r="I6160" s="6" t="n">
        <f aca="false">Sens!I6159*tax_f</f>
        <v>48.590599184923</v>
      </c>
      <c r="J6160" s="6" t="n">
        <f aca="false">Sens!J6159*tax_f</f>
        <v>52.4303078510671</v>
      </c>
      <c r="K6160" s="6" t="n">
        <f aca="false">Sens!K6159*tax_f</f>
        <v>56.1763990536499</v>
      </c>
    </row>
    <row r="6161" customFormat="false" ht="15" hidden="false" customHeight="false" outlineLevel="0" collapsed="false">
      <c r="A6161" s="1" t="s">
        <v>925</v>
      </c>
      <c r="B6161" s="0" t="s">
        <v>98</v>
      </c>
      <c r="D6161" s="6" t="n">
        <f aca="false">Sens!D6159-Sens!D6160</f>
        <v>101.832</v>
      </c>
      <c r="E6161" s="6" t="n">
        <f aca="false">Sens!E6159-Sens!E6160</f>
        <v>133.749</v>
      </c>
      <c r="F6161" s="6" t="n">
        <f aca="false">Sens!F6159-Sens!F6160</f>
        <v>141.781515378276</v>
      </c>
      <c r="G6161" s="6" t="n">
        <f aca="false">Sens!G6159-Sens!G6160</f>
        <v>159.905594650632</v>
      </c>
      <c r="H6161" s="6" t="n">
        <f aca="false">Sens!H6159-Sens!H6160</f>
        <v>177.628858182422</v>
      </c>
      <c r="I6161" s="6" t="n">
        <f aca="false">Sens!I6159-Sens!I6160</f>
        <v>194.362396739692</v>
      </c>
      <c r="J6161" s="6" t="n">
        <f aca="false">Sens!J6159-Sens!J6160</f>
        <v>209.721231404268</v>
      </c>
      <c r="K6161" s="6" t="n">
        <f aca="false">Sens!K6159-Sens!K6160</f>
        <v>224.705596214599</v>
      </c>
    </row>
    <row r="6162" customFormat="false" ht="17.15" hidden="false" customHeight="false" outlineLevel="0" collapsed="false">
      <c r="A6162" s="1" t="s">
        <v>926</v>
      </c>
      <c r="B6162" s="1" t="s">
        <v>81</v>
      </c>
      <c r="D6162" s="14" t="n">
        <f aca="false">Q!L31</f>
        <v>7.465</v>
      </c>
      <c r="E6162" s="14" t="n">
        <f aca="false">Q!M31</f>
        <v>7.453</v>
      </c>
      <c r="F6162" s="14" t="n">
        <f aca="false">Sens!F6205</f>
        <v>7.4735</v>
      </c>
      <c r="G6162" s="14" t="n">
        <f aca="false">Sens!G6205</f>
        <v>7.51653575850814</v>
      </c>
      <c r="H6162" s="14" t="n">
        <f aca="false">Sens!H6205</f>
        <v>7.54232310286622</v>
      </c>
      <c r="I6162" s="14" t="n">
        <f aca="false">Sens!I6205</f>
        <v>7.55410393487354</v>
      </c>
      <c r="J6162" s="14" t="n">
        <f aca="false">Sens!J6205</f>
        <v>7.56834544599142</v>
      </c>
      <c r="K6162" s="14" t="n">
        <f aca="false">Sens!K6205</f>
        <v>7.58486536369316</v>
      </c>
    </row>
    <row r="6163" customFormat="false" ht="17.15" hidden="false" customHeight="false" outlineLevel="0" collapsed="false">
      <c r="A6163" s="0" t="s">
        <v>927</v>
      </c>
      <c r="B6163" s="0" t="s">
        <v>75</v>
      </c>
      <c r="D6163" s="8" t="n">
        <f aca="false">Sens!D6161/Sens!D6162</f>
        <v>13.641259209645</v>
      </c>
      <c r="E6163" s="8" t="n">
        <f aca="false">Sens!E6161/Sens!E6162</f>
        <v>17.9456594659869</v>
      </c>
      <c r="F6163" s="8" t="n">
        <f aca="false">Sens!F6161/Sens!F6162</f>
        <v>18.9712337429954</v>
      </c>
      <c r="G6163" s="8" t="n">
        <f aca="false">Sens!G6161/Sens!G6162</f>
        <v>21.2738420714132</v>
      </c>
      <c r="H6163" s="8" t="n">
        <f aca="false">Sens!H6161/Sens!H6162</f>
        <v>23.5509478657736</v>
      </c>
      <c r="I6163" s="8" t="n">
        <f aca="false">Sens!I6161/Sens!I6162</f>
        <v>25.7293781519761</v>
      </c>
      <c r="J6163" s="8" t="n">
        <f aca="false">Sens!J6161/Sens!J6162</f>
        <v>27.7103143482103</v>
      </c>
      <c r="K6163" s="8" t="n">
        <f aca="false">Sens!K6161/Sens!K6162</f>
        <v>29.6255220679603</v>
      </c>
      <c r="L6163" s="1" t="s">
        <v>928</v>
      </c>
    </row>
    <row r="6164" customFormat="false" ht="17.15" hidden="false" customHeight="false" outlineLevel="0" collapsed="false">
      <c r="A6164" s="1" t="s">
        <v>929</v>
      </c>
      <c r="B6164" s="0" t="s">
        <v>98</v>
      </c>
      <c r="D6164" s="6" t="n">
        <f aca="false">Sens!D6161</f>
        <v>101.832</v>
      </c>
      <c r="E6164" s="6" t="n">
        <f aca="false">Sens!E6161</f>
        <v>133.749</v>
      </c>
      <c r="F6164" s="6" t="n">
        <f aca="false">Sens!F6161+Sens!F6154*(1-tax_f)</f>
        <v>148.535502936387</v>
      </c>
      <c r="G6164" s="6" t="n">
        <f aca="false">Sens!G6161+Sens!G6154*(1-tax_f)</f>
        <v>176.997852476033</v>
      </c>
      <c r="H6164" s="6" t="n">
        <f aca="false">Sens!H6161+Sens!H6154*(1-tax_f)</f>
        <v>206.28656943553</v>
      </c>
      <c r="I6164" s="6" t="n">
        <f aca="false">Sens!I6161+Sens!I6154*(1-tax_f)</f>
        <v>233.85774405909</v>
      </c>
      <c r="J6164" s="6" t="n">
        <f aca="false">Sens!J6161+Sens!J6154*(1-tax_f)</f>
        <v>256.947049055417</v>
      </c>
      <c r="K6164" s="6" t="n">
        <f aca="false">Sens!K6161+Sens!K6154*(1-tax_f)</f>
        <v>276.081204038344</v>
      </c>
    </row>
    <row r="6165" customFormat="false" ht="17.15" hidden="false" customHeight="false" outlineLevel="0" collapsed="false">
      <c r="A6165" s="0" t="s">
        <v>930</v>
      </c>
      <c r="B6165" s="0" t="s">
        <v>75</v>
      </c>
      <c r="D6165" s="8" t="n">
        <f aca="false">Sens!D6164/Sens!D6162</f>
        <v>13.641259209645</v>
      </c>
      <c r="E6165" s="8" t="n">
        <f aca="false">Sens!E6164/Sens!E6162</f>
        <v>17.9456594659869</v>
      </c>
      <c r="F6165" s="8" t="n">
        <f aca="false">Sens!F6164/Sens!F6162</f>
        <v>19.8749585784956</v>
      </c>
      <c r="G6165" s="8" t="n">
        <f aca="false">Sens!G6164/Sens!G6162</f>
        <v>23.5477962405334</v>
      </c>
      <c r="H6165" s="8" t="n">
        <f aca="false">Sens!H6164/Sens!H6162</f>
        <v>27.3505346591606</v>
      </c>
      <c r="I6165" s="8" t="n">
        <f aca="false">Sens!I6164/Sens!I6162</f>
        <v>30.9577080319858</v>
      </c>
      <c r="J6165" s="8" t="n">
        <f aca="false">Sens!J6164/Sens!J6162</f>
        <v>33.9502274161533</v>
      </c>
      <c r="K6165" s="8" t="n">
        <f aca="false">Sens!K6164/Sens!K6162</f>
        <v>36.3989590850056</v>
      </c>
      <c r="L6165" s="1" t="s">
        <v>931</v>
      </c>
    </row>
    <row r="6166" customFormat="false" ht="17.15" hidden="false" customHeight="false" outlineLevel="0" collapsed="false">
      <c r="A6166" s="0" t="s">
        <v>932</v>
      </c>
      <c r="B6166" s="0" t="s">
        <v>129</v>
      </c>
      <c r="E6166" s="7" t="n">
        <f aca="false">Sens!E6165/Sens!D6165-1</f>
        <v>0.315542736208578</v>
      </c>
      <c r="F6166" s="7" t="n">
        <f aca="false">Sens!F6165/Sens!E6165-1</f>
        <v>0.107507841445749</v>
      </c>
      <c r="G6166" s="7" t="n">
        <f aca="false">Sens!G6165/Sens!F6165-1</f>
        <v>0.184797248634861</v>
      </c>
      <c r="H6166" s="7" t="n">
        <f aca="false">Sens!H6165/Sens!G6165-1</f>
        <v>0.161490203999704</v>
      </c>
      <c r="I6166" s="7" t="n">
        <f aca="false">Sens!I6165/Sens!H6165-1</f>
        <v>0.131886758989446</v>
      </c>
      <c r="J6166" s="7" t="n">
        <f aca="false">Sens!J6165/Sens!I6165-1</f>
        <v>0.0966647589374392</v>
      </c>
      <c r="K6166" s="7" t="n">
        <f aca="false">Sens!K6165/Sens!J6165-1</f>
        <v>0.0721271065090774</v>
      </c>
    </row>
    <row r="6167" customFormat="false" ht="17.15" hidden="false" customHeight="false" outlineLevel="0" collapsed="false">
      <c r="A6167" s="0" t="s">
        <v>856</v>
      </c>
      <c r="B6167" s="0" t="s">
        <v>98</v>
      </c>
      <c r="E6167" s="6" t="n">
        <f aca="false">Sens!E6108</f>
        <v>5.25</v>
      </c>
      <c r="F6167" s="6" t="n">
        <f aca="false">Sens!F6108</f>
        <v>13.5</v>
      </c>
      <c r="G6167" s="6" t="n">
        <f aca="false">Sens!G6108</f>
        <v>22.5</v>
      </c>
      <c r="H6167" s="6" t="n">
        <f aca="false">Sens!H6108</f>
        <v>31.5</v>
      </c>
      <c r="I6167" s="6" t="n">
        <f aca="false">Sens!I6108</f>
        <v>38.25</v>
      </c>
      <c r="J6167" s="6" t="n">
        <f aca="false">Sens!J6108</f>
        <v>42.75</v>
      </c>
      <c r="K6167" s="6" t="n">
        <f aca="false">Sens!K6108</f>
        <v>47.25</v>
      </c>
    </row>
    <row r="6168" customFormat="false" ht="17.15" hidden="false" customHeight="false" outlineLevel="0" collapsed="false">
      <c r="A6168" s="1" t="s">
        <v>857</v>
      </c>
      <c r="B6168" s="0" t="s">
        <v>98</v>
      </c>
      <c r="F6168" s="6" t="n">
        <f aca="false">MAX(0,((Sens!E6071+Sens!F6071)/2-(shadow_base*(Sens!$D$6071+Sens!$E$6071)/2+(1-shadow_base)*Sens!$E$6071))*Sens!F6079/1000-(Sens!F6167-Sens!$E$6167)*Sens!F6147)</f>
        <v>8.44248444763781</v>
      </c>
      <c r="G6168" s="6" t="n">
        <f aca="false">MAX(0,((Sens!F6071+Sens!G6071)/2-(shadow_base*(Sens!$D$6071+Sens!$E$6071)/2+(1-shadow_base)*Sens!$E$6071))*Sens!G6079/1000-(Sens!G6167-Sens!$E$6167)*Sens!G6147)</f>
        <v>21.3653222817508</v>
      </c>
      <c r="H6168" s="6" t="n">
        <f aca="false">MAX(0,((Sens!G6071+Sens!H6071)/2-(shadow_base*(Sens!$D$6071+Sens!$E$6071)/2+(1-shadow_base)*Sens!$E$6071))*Sens!H6079/1000-(Sens!H6167-Sens!$E$6167)*Sens!H6147)</f>
        <v>35.8221390663856</v>
      </c>
      <c r="I6168" s="6" t="n">
        <f aca="false">MAX(0,((Sens!H6071+Sens!I6071)/2-(shadow_base*(Sens!$D$6071+Sens!$E$6071)/2+(1-shadow_base)*Sens!$E$6071))*Sens!I6079/1000-(Sens!I6167-Sens!$E$6167)*Sens!I6147)</f>
        <v>49.3691841492478</v>
      </c>
      <c r="J6168" s="6" t="n">
        <f aca="false">MAX(0,((Sens!I6071+Sens!J6071)/2-(shadow_base*(Sens!$D$6071+Sens!$E$6071)/2+(1-shadow_base)*Sens!$E$6071))*Sens!J6079/1000-(Sens!J6167-Sens!$E$6167)*Sens!J6147)</f>
        <v>59.0322720639359</v>
      </c>
      <c r="K6168" s="6" t="n">
        <f aca="false">MAX(0,((Sens!J6071+Sens!K6071)/2-(shadow_base*(Sens!$D$6071+Sens!$E$6071)/2+(1-shadow_base)*Sens!$E$6071))*Sens!K6079/1000-(Sens!K6167-Sens!$E$6167)*Sens!K6147)</f>
        <v>64.2195097796802</v>
      </c>
      <c r="L6168" s="1" t="s">
        <v>858</v>
      </c>
    </row>
    <row r="6169" customFormat="false" ht="17.15" hidden="false" customHeight="false" outlineLevel="0" collapsed="false">
      <c r="A6169" s="1" t="s">
        <v>859</v>
      </c>
      <c r="B6169" s="0" t="s">
        <v>98</v>
      </c>
      <c r="F6169" s="6" t="n">
        <f aca="false">IF(internal_ai_reading=2,1,0)*Sens!F6168</f>
        <v>8.44248444763781</v>
      </c>
      <c r="G6169" s="6" t="n">
        <f aca="false">IF(internal_ai_reading=2,1,0)*Sens!G6168</f>
        <v>21.3653222817508</v>
      </c>
      <c r="H6169" s="6" t="n">
        <f aca="false">IF(internal_ai_reading=2,1,0)*Sens!H6168</f>
        <v>35.8221390663856</v>
      </c>
      <c r="I6169" s="6" t="n">
        <f aca="false">IF(internal_ai_reading=2,1,0)*Sens!I6168</f>
        <v>49.3691841492478</v>
      </c>
      <c r="J6169" s="6" t="n">
        <f aca="false">IF(internal_ai_reading=2,1,0)*Sens!J6168</f>
        <v>59.0322720639359</v>
      </c>
      <c r="K6169" s="6" t="n">
        <f aca="false">IF(internal_ai_reading=2,1,0)*Sens!K6168</f>
        <v>64.2195097796802</v>
      </c>
    </row>
    <row r="6170" customFormat="false" ht="17.15" hidden="false" customHeight="false" outlineLevel="0" collapsed="false">
      <c r="A6170" s="0" t="s">
        <v>860</v>
      </c>
      <c r="B6170" s="0" t="s">
        <v>98</v>
      </c>
      <c r="F6170" s="6" t="n">
        <f aca="false">Sens!F6088+Sens!F6167*Sens!F6147+Sens!F6169-Sens!F6089-Sens!F6099</f>
        <v>15.0270315022233</v>
      </c>
      <c r="G6170" s="6" t="n">
        <f aca="false">Sens!G6088+Sens!G6167*Sens!G6147+Sens!G6169-Sens!G6089-Sens!G6099</f>
        <v>30.8545489496424</v>
      </c>
      <c r="H6170" s="6" t="n">
        <f aca="false">Sens!H6088+Sens!H6167*Sens!H6147+Sens!H6169-Sens!H6089-Sens!H6099</f>
        <v>47.4024902575898</v>
      </c>
      <c r="I6170" s="6" t="n">
        <f aca="false">Sens!I6088+Sens!I6167*Sens!I6147+Sens!I6169-Sens!I6089-Sens!I6099</f>
        <v>62.1817971739404</v>
      </c>
      <c r="J6170" s="6" t="n">
        <f aca="false">Sens!J6088+Sens!J6167*Sens!J6147+Sens!J6169-Sens!J6089-Sens!J6099</f>
        <v>72.5050518947332</v>
      </c>
      <c r="K6170" s="6" t="n">
        <f aca="false">Sens!K6088+Sens!K6167*Sens!K6147+Sens!K6169-Sens!K6089-Sens!K6099</f>
        <v>79.8210980571165</v>
      </c>
    </row>
    <row r="6171" customFormat="false" ht="17.15" hidden="false" customHeight="false" outlineLevel="0" collapsed="false">
      <c r="A6171" s="0" t="s">
        <v>861</v>
      </c>
      <c r="B6171" s="0" t="s">
        <v>98</v>
      </c>
      <c r="E6171" s="6" t="n">
        <f aca="false">Sens!E6070*(cxit_open+self_build*tk_cxfac)/1000*ai_net_open</f>
        <v>126.6980382</v>
      </c>
      <c r="F6171" s="6" t="n">
        <f aca="false">Sens!E6171+Sens!F6096-Sens!F6099</f>
        <v>252.981026690511</v>
      </c>
      <c r="G6171" s="6" t="n">
        <f aca="false">Sens!F6171+Sens!G6096-Sens!G6099</f>
        <v>377.4297700632</v>
      </c>
      <c r="H6171" s="6" t="n">
        <f aca="false">Sens!G6171+Sens!H6096-Sens!H6099</f>
        <v>479.149036130289</v>
      </c>
      <c r="I6171" s="6" t="n">
        <f aca="false">Sens!H6171+Sens!I6096-Sens!I6099</f>
        <v>532.249961452141</v>
      </c>
      <c r="J6171" s="6" t="n">
        <f aca="false">Sens!I6171+Sens!J6096-Sens!J6099</f>
        <v>531.43307519354</v>
      </c>
      <c r="K6171" s="6" t="n">
        <f aca="false">Sens!J6171+Sens!K6096-Sens!K6099</f>
        <v>513.709026452823</v>
      </c>
      <c r="L6171" s="1" t="s">
        <v>862</v>
      </c>
    </row>
    <row r="6172" customFormat="false" ht="17.15" hidden="false" customHeight="false" outlineLevel="0" collapsed="false">
      <c r="A6172" s="0" t="s">
        <v>863</v>
      </c>
      <c r="B6172" s="0" t="s">
        <v>129</v>
      </c>
      <c r="F6172" s="7" t="n">
        <f aca="false">Sens!F6170*(1-tax_f)/((Sens!E6171+Sens!F6171)/2)</f>
        <v>0.0633251938989334</v>
      </c>
      <c r="G6172" s="7" t="n">
        <f aca="false">Sens!G6170*(1-tax_f)/((Sens!F6171+Sens!G6171)/2)</f>
        <v>0.0783096967463813</v>
      </c>
      <c r="H6172" s="7" t="n">
        <f aca="false">Sens!H6170*(1-tax_f)/((Sens!G6171+Sens!H6171)/2)</f>
        <v>0.0885429149819656</v>
      </c>
      <c r="I6172" s="7" t="n">
        <f aca="false">Sens!I6170*(1-tax_f)/((Sens!H6171+Sens!I6171)/2)</f>
        <v>0.0983695610892634</v>
      </c>
      <c r="J6172" s="7" t="n">
        <f aca="false">Sens!J6170*(1-tax_f)/((Sens!I6171+Sens!J6171)/2)</f>
        <v>0.109062642756252</v>
      </c>
      <c r="K6172" s="7" t="n">
        <f aca="false">Sens!K6170*(1-tax_f)/((Sens!J6171+Sens!K6171)/2)</f>
        <v>0.122197504712713</v>
      </c>
    </row>
    <row r="6173" customFormat="false" ht="17.15" hidden="false" customHeight="false" outlineLevel="0" collapsed="false">
      <c r="A6173" s="1" t="s">
        <v>864</v>
      </c>
      <c r="B6173" s="0" t="s">
        <v>129</v>
      </c>
      <c r="F6173" s="7" t="n">
        <f aca="false">(Sens!F6170-Sens!F6169)*(1-tax_f)/((Sens!E6171+Sens!F6171)/2)</f>
        <v>0.0277478435382655</v>
      </c>
      <c r="G6173" s="7" t="n">
        <f aca="false">(Sens!G6170-Sens!G6169)*(1-tax_f)/((Sens!F6171+Sens!G6171)/2)</f>
        <v>0.0240839191632025</v>
      </c>
      <c r="H6173" s="7" t="n">
        <f aca="false">(Sens!H6170-Sens!H6169)*(1-tax_f)/((Sens!G6171+Sens!H6171)/2)</f>
        <v>0.0216308899682738</v>
      </c>
      <c r="I6173" s="7" t="n">
        <f aca="false">(Sens!I6170-Sens!I6169)*(1-tax_f)/((Sens!H6171+Sens!I6171)/2)</f>
        <v>0.0202691330409761</v>
      </c>
      <c r="J6173" s="7" t="n">
        <f aca="false">(Sens!J6170-Sens!J6169)*(1-tax_f)/((Sens!I6171+Sens!J6171)/2)</f>
        <v>0.0202658564502953</v>
      </c>
      <c r="K6173" s="7" t="n">
        <f aca="false">(Sens!K6170-Sens!K6169)*(1-tax_f)/((Sens!J6171+Sens!K6171)/2)</f>
        <v>0.0238843514241515</v>
      </c>
    </row>
    <row r="6174" customFormat="false" ht="17.15" hidden="false" customHeight="false" outlineLevel="0" collapsed="false">
      <c r="A6174" s="1" t="s">
        <v>865</v>
      </c>
      <c r="B6174" s="0" t="s">
        <v>129</v>
      </c>
      <c r="F6174" s="7" t="n">
        <f aca="false">(Sens!F6170-Sens!F6169+Sens!F6168)*(1-tax_f)/((Sens!E6171+Sens!F6171)/2)</f>
        <v>0.0633251938989334</v>
      </c>
      <c r="G6174" s="7" t="n">
        <f aca="false">(Sens!G6170-Sens!G6169+Sens!G6168)*(1-tax_f)/((Sens!F6171+Sens!G6171)/2)</f>
        <v>0.0783096967463813</v>
      </c>
      <c r="H6174" s="7" t="n">
        <f aca="false">(Sens!H6170-Sens!H6169+Sens!H6168)*(1-tax_f)/((Sens!G6171+Sens!H6171)/2)</f>
        <v>0.0885429149819656</v>
      </c>
      <c r="I6174" s="7" t="n">
        <f aca="false">(Sens!I6170-Sens!I6169+Sens!I6168)*(1-tax_f)/((Sens!H6171+Sens!I6171)/2)</f>
        <v>0.0983695610892634</v>
      </c>
      <c r="J6174" s="7" t="n">
        <f aca="false">(Sens!J6170-Sens!J6169+Sens!J6168)*(1-tax_f)/((Sens!I6171+Sens!J6171)/2)</f>
        <v>0.109062642756252</v>
      </c>
      <c r="K6174" s="7" t="n">
        <f aca="false">(Sens!K6170-Sens!K6169+Sens!K6168)*(1-tax_f)/((Sens!J6171+Sens!K6171)/2)</f>
        <v>0.122197504712713</v>
      </c>
    </row>
    <row r="6175" customFormat="false" ht="17.15" hidden="false" customHeight="false" outlineLevel="0" collapsed="false">
      <c r="A6175" s="1" t="s">
        <v>866</v>
      </c>
      <c r="B6175" s="0" t="s">
        <v>129</v>
      </c>
      <c r="F6175" s="7" t="n">
        <f aca="false">Sens!F6100*(1-tax_f)/(Sens!F6087*(Sens!E6171+Sens!F6171)/2)</f>
        <v>0.133653288300971</v>
      </c>
      <c r="G6175" s="7" t="n">
        <f aca="false">Sens!G6100*(1-tax_f)/(Sens!G6087*(Sens!F6171+Sens!G6171)/2)</f>
        <v>0.131459221834535</v>
      </c>
      <c r="H6175" s="7" t="n">
        <f aca="false">Sens!H6100*(1-tax_f)/(Sens!H6087*(Sens!G6171+Sens!H6171)/2)</f>
        <v>0.135120575835084</v>
      </c>
      <c r="I6175" s="7" t="n">
        <f aca="false">Sens!I6100*(1-tax_f)/(Sens!I6087*(Sens!H6171+Sens!I6171)/2)</f>
        <v>0.143323969665222</v>
      </c>
      <c r="J6175" s="7" t="n">
        <f aca="false">Sens!J6100*(1-tax_f)/(Sens!J6087*(Sens!I6171+Sens!J6171)/2)</f>
        <v>0.155570128388075</v>
      </c>
      <c r="K6175" s="7" t="n">
        <f aca="false">Sens!K6100*(1-tax_f)/(Sens!K6087*(Sens!J6171+Sens!K6171)/2)</f>
        <v>0.172427697111622</v>
      </c>
    </row>
    <row r="6176" customFormat="false" ht="17.15" hidden="false" customHeight="false" outlineLevel="0" collapsed="false">
      <c r="A6176" s="0" t="s">
        <v>867</v>
      </c>
      <c r="B6176" s="0" t="s">
        <v>209</v>
      </c>
      <c r="F6176" s="7" t="n">
        <f aca="false">Sens!F6172-wacc</f>
        <v>-0.0396092261939423</v>
      </c>
      <c r="G6176" s="7" t="n">
        <f aca="false">Sens!G6172-wacc</f>
        <v>-0.0246247233464944</v>
      </c>
      <c r="H6176" s="7" t="n">
        <f aca="false">Sens!H6172-wacc</f>
        <v>-0.0143915051109101</v>
      </c>
      <c r="I6176" s="7" t="n">
        <f aca="false">Sens!I6172-wacc</f>
        <v>-0.00456485900361238</v>
      </c>
      <c r="J6176" s="7" t="n">
        <f aca="false">Sens!J6172-wacc</f>
        <v>0.00612822266337605</v>
      </c>
      <c r="K6176" s="7" t="n">
        <f aca="false">Sens!K6172-wacc</f>
        <v>0.0192630846198374</v>
      </c>
    </row>
    <row r="6177" customFormat="false" ht="17.15" hidden="false" customHeight="false" outlineLevel="0" collapsed="false">
      <c r="A6177" s="0" t="s">
        <v>868</v>
      </c>
      <c r="B6177" s="0" t="s">
        <v>98</v>
      </c>
      <c r="F6177" s="6" t="n">
        <f aca="false">Sens!F6170*(1-tax_f)-wacc*(Sens!E6171+Sens!F6171)/2</f>
        <v>-7.51939698117638</v>
      </c>
      <c r="G6177" s="6" t="n">
        <f aca="false">Sens!G6170*(1-tax_f)-wacc*(Sens!F6171+Sens!G6171)/2</f>
        <v>-7.76184573235162</v>
      </c>
      <c r="H6177" s="6" t="n">
        <f aca="false">Sens!H6170*(1-tax_f)-wacc*(Sens!G6171+Sens!H6171)/2</f>
        <v>-6.16372913361546</v>
      </c>
      <c r="I6177" s="6" t="n">
        <f aca="false">Sens!I6170*(1-tax_f)-wacc*(Sens!H6171+Sens!I6171)/2</f>
        <v>-2.30844691017934</v>
      </c>
      <c r="J6177" s="6" t="n">
        <f aca="false">Sens!J6170*(1-tax_f)-wacc*(Sens!I6171+Sens!J6171)/2</f>
        <v>3.25924324591036</v>
      </c>
      <c r="K6177" s="6" t="n">
        <f aca="false">Sens!K6170*(1-tax_f)-wacc*(Sens!J6171+Sens!K6171)/2</f>
        <v>10.0663303718843</v>
      </c>
    </row>
    <row r="6178" customFormat="false" ht="17.15" hidden="false" customHeight="false" outlineLevel="0" collapsed="false">
      <c r="A6178" s="3" t="s">
        <v>1420</v>
      </c>
    </row>
    <row r="6179" customFormat="false" ht="15" hidden="false" customHeight="false" outlineLevel="0" collapsed="false">
      <c r="A6179" s="4" t="s">
        <v>43</v>
      </c>
      <c r="B6179" s="4" t="s">
        <v>65</v>
      </c>
      <c r="C6179" s="20" t="s">
        <v>799</v>
      </c>
      <c r="D6179" s="20" t="s">
        <v>800</v>
      </c>
      <c r="E6179" s="20" t="s">
        <v>801</v>
      </c>
      <c r="F6179" s="20" t="s">
        <v>802</v>
      </c>
      <c r="G6179" s="20" t="s">
        <v>803</v>
      </c>
      <c r="H6179" s="20" t="s">
        <v>804</v>
      </c>
      <c r="I6179" s="20" t="s">
        <v>805</v>
      </c>
      <c r="J6179" s="20" t="s">
        <v>806</v>
      </c>
      <c r="K6179" s="20" t="s">
        <v>807</v>
      </c>
      <c r="L6179" s="4" t="s">
        <v>47</v>
      </c>
    </row>
    <row r="6180" customFormat="false" ht="15" hidden="false" customHeight="false" outlineLevel="0" collapsed="false">
      <c r="A6180" s="1" t="s">
        <v>925</v>
      </c>
      <c r="B6180" s="0" t="s">
        <v>98</v>
      </c>
      <c r="F6180" s="6" t="n">
        <f aca="false">Sens!F6161</f>
        <v>141.781515378276</v>
      </c>
      <c r="G6180" s="6" t="n">
        <f aca="false">Sens!G6161</f>
        <v>159.905594650632</v>
      </c>
      <c r="H6180" s="6" t="n">
        <f aca="false">Sens!H6161</f>
        <v>177.628858182422</v>
      </c>
      <c r="I6180" s="6" t="n">
        <f aca="false">Sens!I6161</f>
        <v>194.362396739692</v>
      </c>
      <c r="J6180" s="6" t="n">
        <f aca="false">Sens!J6161</f>
        <v>209.721231404268</v>
      </c>
      <c r="K6180" s="6" t="n">
        <f aca="false">Sens!K6161</f>
        <v>224.705596214599</v>
      </c>
    </row>
    <row r="6181" customFormat="false" ht="17.15" hidden="false" customHeight="false" outlineLevel="0" collapsed="false">
      <c r="A6181" s="1" t="s">
        <v>947</v>
      </c>
      <c r="B6181" s="0" t="s">
        <v>98</v>
      </c>
      <c r="E6181" s="6" t="n">
        <f aca="false">Q!M38-Sens!E6099</f>
        <v>22.2285940229167</v>
      </c>
      <c r="F6181" s="6" t="n">
        <f aca="false">Sens!E6181*(1-1/life_nonai)+(Sens!F6188+Sens!F6189)/life_nonai</f>
        <v>24.3924470334783</v>
      </c>
      <c r="G6181" s="6" t="n">
        <f aca="false">Sens!F6181*(1-1/life_nonai)+(Sens!G6188)/life_nonai</f>
        <v>26.1134916871694</v>
      </c>
      <c r="H6181" s="6" t="n">
        <f aca="false">Sens!G6181*(1-1/life_nonai)+(Sens!H6188)/life_nonai</f>
        <v>28.2582938828615</v>
      </c>
      <c r="I6181" s="6" t="n">
        <f aca="false">Sens!H6181*(1-1/life_nonai)+(Sens!I6188)/life_nonai</f>
        <v>30.7498045257397</v>
      </c>
      <c r="J6181" s="6" t="n">
        <f aca="false">Sens!I6181*(1-1/life_nonai)+(Sens!J6188)/life_nonai</f>
        <v>33.4954153982031</v>
      </c>
      <c r="K6181" s="6" t="n">
        <f aca="false">Sens!J6181*(1-1/life_nonai)+(Sens!K6188)/life_nonai</f>
        <v>36.4102441325822</v>
      </c>
      <c r="L6181" s="11" t="s">
        <v>948</v>
      </c>
    </row>
    <row r="6182" customFormat="false" ht="17.15" hidden="false" customHeight="false" outlineLevel="0" collapsed="false">
      <c r="A6182" s="1" t="s">
        <v>949</v>
      </c>
      <c r="B6182" s="0" t="s">
        <v>98</v>
      </c>
      <c r="F6182" s="6" t="n">
        <f aca="false">Sens!$F$6189/life_nonai*(1-1/life_nonai)^(Sens!F6065-2027)</f>
        <v>0.813777689897088</v>
      </c>
      <c r="G6182" s="6" t="n">
        <f aca="false">Sens!$F$6189/life_nonai*(1-1/life_nonai)^(Sens!G6065-2027)</f>
        <v>0.73239992090738</v>
      </c>
      <c r="H6182" s="6" t="n">
        <f aca="false">Sens!$F$6189/life_nonai*(1-1/life_nonai)^(Sens!H6065-2027)</f>
        <v>0.659159928816642</v>
      </c>
      <c r="I6182" s="6" t="n">
        <f aca="false">Sens!$F$6189/life_nonai*(1-1/life_nonai)^(Sens!I6065-2027)</f>
        <v>0.593243935934978</v>
      </c>
      <c r="J6182" s="6" t="n">
        <f aca="false">Sens!$F$6189/life_nonai*(1-1/life_nonai)^(Sens!J6065-2027)</f>
        <v>0.53391954234148</v>
      </c>
      <c r="K6182" s="6" t="n">
        <f aca="false">Sens!$F$6189/life_nonai*(1-1/life_nonai)^(Sens!K6065-2027)</f>
        <v>0.480527588107332</v>
      </c>
      <c r="L6182" s="1" t="s">
        <v>950</v>
      </c>
    </row>
    <row r="6183" customFormat="false" ht="17.15" hidden="false" customHeight="false" outlineLevel="0" collapsed="false">
      <c r="A6183" s="1" t="s">
        <v>951</v>
      </c>
      <c r="B6183" s="0" t="s">
        <v>98</v>
      </c>
      <c r="E6183" s="6" t="n">
        <f aca="false">Sens!E6099+Sens!E6181</f>
        <v>38.534</v>
      </c>
      <c r="F6183" s="6" t="n">
        <f aca="false">Sens!F6099+Sens!F6181</f>
        <v>58.4423344144339</v>
      </c>
      <c r="G6183" s="6" t="n">
        <f aca="false">Sens!G6099+Sens!G6181</f>
        <v>85.2389287976805</v>
      </c>
      <c r="H6183" s="6" t="n">
        <f aca="false">Sens!H6099+Sens!H6181</f>
        <v>114.619313726173</v>
      </c>
      <c r="I6183" s="6" t="n">
        <f aca="false">Sens!I6099+Sens!I6181</f>
        <v>141.355548358132</v>
      </c>
      <c r="J6183" s="6" t="n">
        <f aca="false">Sens!J6099+Sens!J6181</f>
        <v>161.493738251046</v>
      </c>
      <c r="K6183" s="6" t="n">
        <f aca="false">Sens!K6099+Sens!K6181</f>
        <v>175.54170817689</v>
      </c>
    </row>
    <row r="6184" customFormat="false" ht="17.15" hidden="false" customHeight="false" outlineLevel="0" collapsed="false">
      <c r="A6184" s="1" t="s">
        <v>952</v>
      </c>
      <c r="B6184" s="0" t="s">
        <v>98</v>
      </c>
      <c r="F6184" s="6" t="n">
        <f aca="false">Sens!F6126*sbc_r</f>
        <v>14.9869443733272</v>
      </c>
      <c r="G6184" s="6" t="n">
        <f aca="false">Sens!G6126*sbc_r</f>
        <v>17.9323325188727</v>
      </c>
      <c r="H6184" s="6" t="n">
        <f aca="false">Sens!H6126*sbc_r</f>
        <v>20.9444574571991</v>
      </c>
      <c r="I6184" s="6" t="n">
        <f aca="false">Sens!I6126*sbc_r</f>
        <v>23.7034319533996</v>
      </c>
      <c r="J6184" s="6" t="n">
        <f aca="false">Sens!J6126*sbc_r</f>
        <v>25.9649521713913</v>
      </c>
      <c r="K6184" s="6" t="n">
        <f aca="false">Sens!K6126*sbc_r</f>
        <v>27.8200897955486</v>
      </c>
    </row>
    <row r="6185" customFormat="false" ht="17.15" hidden="false" customHeight="false" outlineLevel="0" collapsed="false">
      <c r="A6185" s="1" t="s">
        <v>953</v>
      </c>
      <c r="B6185" s="0" t="s">
        <v>98</v>
      </c>
      <c r="F6185" s="6" t="n">
        <f aca="false">wc27</f>
        <v>-4.895</v>
      </c>
      <c r="G6185" s="6" t="n">
        <f aca="false">wc_f</f>
        <v>0</v>
      </c>
      <c r="H6185" s="6" t="n">
        <f aca="false">wc_f</f>
        <v>0</v>
      </c>
      <c r="I6185" s="6" t="n">
        <f aca="false">wc_f</f>
        <v>0</v>
      </c>
      <c r="J6185" s="6" t="n">
        <f aca="false">wc_f</f>
        <v>0</v>
      </c>
      <c r="K6185" s="6" t="n">
        <f aca="false">wc_f</f>
        <v>0</v>
      </c>
      <c r="L6185" s="11" t="s">
        <v>954</v>
      </c>
    </row>
    <row r="6186" customFormat="false" ht="15" hidden="false" customHeight="false" outlineLevel="0" collapsed="false">
      <c r="A6186" s="1" t="s">
        <v>767</v>
      </c>
      <c r="B6186" s="0" t="s">
        <v>98</v>
      </c>
      <c r="E6186" s="6" t="n">
        <f aca="false">Q!M35</f>
        <v>182.935</v>
      </c>
      <c r="F6186" s="6" t="n">
        <f aca="false">Sens!F6180+Sens!F6183+Sens!F6184+Sens!F6185</f>
        <v>210.315794166037</v>
      </c>
      <c r="G6186" s="6" t="n">
        <f aca="false">Sens!G6180+Sens!G6183+Sens!G6184+Sens!G6185</f>
        <v>263.076855967185</v>
      </c>
      <c r="H6186" s="6" t="n">
        <f aca="false">Sens!H6180+Sens!H6183+Sens!H6184+Sens!H6185</f>
        <v>313.192629365794</v>
      </c>
      <c r="I6186" s="6" t="n">
        <f aca="false">Sens!I6180+Sens!I6183+Sens!I6184+Sens!I6185</f>
        <v>359.421377051224</v>
      </c>
      <c r="J6186" s="6" t="n">
        <f aca="false">Sens!J6180+Sens!J6183+Sens!J6184+Sens!J6185</f>
        <v>397.179921826706</v>
      </c>
      <c r="K6186" s="6" t="n">
        <f aca="false">Sens!K6180+Sens!K6183+Sens!K6184+Sens!K6185</f>
        <v>428.067394187038</v>
      </c>
    </row>
    <row r="6187" customFormat="false" ht="17.15" hidden="false" customHeight="false" outlineLevel="0" collapsed="false">
      <c r="A6187" s="0" t="s">
        <v>955</v>
      </c>
      <c r="B6187" s="0" t="s">
        <v>98</v>
      </c>
      <c r="F6187" s="6" t="n">
        <f aca="false">Sens!F6096</f>
        <v>160.332875871467</v>
      </c>
      <c r="G6187" s="6" t="n">
        <f aca="false">Sens!G6096</f>
        <v>183.5741804832</v>
      </c>
      <c r="H6187" s="6" t="n">
        <f aca="false">Sens!H6096</f>
        <v>188.0802859104</v>
      </c>
      <c r="I6187" s="6" t="n">
        <f aca="false">Sens!I6096</f>
        <v>163.706669154245</v>
      </c>
      <c r="J6187" s="6" t="n">
        <f aca="false">Sens!J6096</f>
        <v>127.181436594242</v>
      </c>
      <c r="K6187" s="6" t="n">
        <f aca="false">Sens!K6096</f>
        <v>121.407415303591</v>
      </c>
    </row>
    <row r="6188" customFormat="false" ht="17.15" hidden="false" customHeight="false" outlineLevel="0" collapsed="false">
      <c r="A6188" s="1" t="s">
        <v>956</v>
      </c>
      <c r="B6188" s="0" t="s">
        <v>98</v>
      </c>
      <c r="E6188" s="6" t="n">
        <f aca="false">Sens!E6104*cx_azo+Sens!E6111*cx_m365+Sens!E6112*cx_lic+(Sens!E6114+Sens!E6116)*cx_ind+Sens!E6119*cx_srch+(Sens!E6121+Sens!E6123)*cx_dev</f>
        <v>30.1846587067718</v>
      </c>
      <c r="F6188" s="6" t="n">
        <f aca="false">Sens!F6104*cx_azo+Sens!F6111*cx_m365+Sens!F6112*cx_lic+(Sens!F6114+Sens!F6116)*cx_ind+Sens!F6119*cx_srch+(Sens!F6121+Sens!F6123)*cx_dev</f>
        <v>35.7293472295625</v>
      </c>
      <c r="G6188" s="6" t="n">
        <f aca="false">Sens!G6104*cx_azo+Sens!G6111*cx_m365+Sens!G6112*cx_lic+(Sens!G6114+Sens!G6116)*cx_ind+Sens!G6119*cx_srch+(Sens!G6121+Sens!G6123)*cx_dev</f>
        <v>41.6028935703892</v>
      </c>
      <c r="H6188" s="6" t="n">
        <f aca="false">Sens!H6104*cx_azo+Sens!H6111*cx_m365+Sens!H6112*cx_lic+(Sens!H6114+Sens!H6116)*cx_ind+Sens!H6119*cx_srch+(Sens!H6121+Sens!H6123)*cx_dev</f>
        <v>47.5615136440897</v>
      </c>
      <c r="I6188" s="6" t="n">
        <f aca="false">Sens!I6104*cx_azo+Sens!I6111*cx_m365+Sens!I6112*cx_lic+(Sens!I6114+Sens!I6116)*cx_ind+Sens!I6119*cx_srch+(Sens!I6121+Sens!I6123)*cx_dev</f>
        <v>53.1734003116439</v>
      </c>
      <c r="J6188" s="6" t="n">
        <f aca="false">Sens!J6104*cx_azo+Sens!J6111*cx_m365+Sens!J6112*cx_lic+(Sens!J6114+Sens!J6116)*cx_ind+Sens!J6119*cx_srch+(Sens!J6121+Sens!J6123)*cx_dev</f>
        <v>58.2059132503738</v>
      </c>
      <c r="K6188" s="6" t="n">
        <f aca="false">Sens!K6104*cx_azo+Sens!K6111*cx_m365+Sens!K6112*cx_lic+(Sens!K6114+Sens!K6116)*cx_ind+Sens!K6119*cx_srch+(Sens!K6121+Sens!K6123)*cx_dev</f>
        <v>62.643702741994</v>
      </c>
    </row>
    <row r="6189" customFormat="false" ht="17.15" hidden="false" customHeight="false" outlineLevel="0" collapsed="false">
      <c r="A6189" s="0" t="s">
        <v>957</v>
      </c>
      <c r="B6189" s="0" t="s">
        <v>98</v>
      </c>
      <c r="F6189" s="6" t="n">
        <f aca="false">Sens!F6094</f>
        <v>8.13777689897088</v>
      </c>
      <c r="L6189" s="1" t="s">
        <v>958</v>
      </c>
    </row>
    <row r="6190" customFormat="false" ht="17.15" hidden="false" customHeight="false" outlineLevel="0" collapsed="false">
      <c r="A6190" s="1" t="s">
        <v>959</v>
      </c>
      <c r="B6190" s="0" t="s">
        <v>98</v>
      </c>
      <c r="E6190" s="6" t="n">
        <f aca="false">Q!M42</f>
        <v>145.3</v>
      </c>
      <c r="F6190" s="6" t="n">
        <f aca="false">Sens!F6187+Sens!F6188+Sens!F6189</f>
        <v>204.2</v>
      </c>
      <c r="G6190" s="6" t="n">
        <f aca="false">Sens!G6187+Sens!G6188</f>
        <v>225.177074053589</v>
      </c>
      <c r="H6190" s="6" t="n">
        <f aca="false">Sens!H6187+Sens!H6188</f>
        <v>235.64179955449</v>
      </c>
      <c r="I6190" s="6" t="n">
        <f aca="false">Sens!I6187+Sens!I6188</f>
        <v>216.880069465889</v>
      </c>
      <c r="J6190" s="6" t="n">
        <f aca="false">Sens!J6187+Sens!J6188</f>
        <v>185.387349844616</v>
      </c>
      <c r="K6190" s="6" t="n">
        <f aca="false">Sens!K6187+Sens!K6188</f>
        <v>184.051118045585</v>
      </c>
      <c r="L6190" s="1" t="s">
        <v>960</v>
      </c>
    </row>
    <row r="6191" customFormat="false" ht="15" hidden="false" customHeight="false" outlineLevel="0" collapsed="false">
      <c r="A6191" s="1" t="s">
        <v>961</v>
      </c>
      <c r="B6191" s="0" t="s">
        <v>98</v>
      </c>
      <c r="E6191" s="6" t="n">
        <f aca="false">fl_liab</f>
        <v>66.594</v>
      </c>
      <c r="F6191" s="6" t="n">
        <f aca="false">Sens!E6191-Sens!F6192</f>
        <v>62.46973</v>
      </c>
      <c r="G6191" s="6" t="n">
        <f aca="false">Sens!F6191-Sens!G6192</f>
        <v>57.98686785</v>
      </c>
      <c r="H6191" s="6" t="n">
        <f aca="false">Sens!G6191-Sens!H6192</f>
        <v>53.92827690325</v>
      </c>
      <c r="I6191" s="6" t="n">
        <f aca="false">Sens!H6191-Sens!I6192</f>
        <v>49.7850493638962</v>
      </c>
      <c r="J6191" s="6" t="n">
        <f aca="false">Sens!I6191-Sens!J6192</f>
        <v>45.4823765852716</v>
      </c>
      <c r="K6191" s="6" t="n">
        <f aca="false">Sens!J6191-Sens!K6192</f>
        <v>40.9860835316088</v>
      </c>
    </row>
    <row r="6192" customFormat="false" ht="15" hidden="false" customHeight="false" outlineLevel="0" collapsed="false">
      <c r="A6192" s="1" t="s">
        <v>962</v>
      </c>
      <c r="B6192" s="0" t="s">
        <v>98</v>
      </c>
      <c r="F6192" s="6" t="n">
        <f aca="false">fl_pay_27-Sens!E6191*fl_rate</f>
        <v>4.12427</v>
      </c>
      <c r="G6192" s="6" t="n">
        <f aca="false">fl_pay_28-Sens!F6191*fl_rate</f>
        <v>4.48286215</v>
      </c>
      <c r="H6192" s="6" t="n">
        <f aca="false">fl_pay_29-Sens!G6191*fl_rate</f>
        <v>4.05859094675</v>
      </c>
      <c r="I6192" s="6" t="n">
        <f aca="false">fl_pay_30-Sens!H6191*fl_rate</f>
        <v>4.14322753935375</v>
      </c>
      <c r="J6192" s="6" t="n">
        <f aca="false">fl_pay_31-Sens!I6191*fl_rate</f>
        <v>4.30267277862467</v>
      </c>
      <c r="K6192" s="6" t="n">
        <f aca="false">fl_pay_32-Sens!J6191*fl_rate</f>
        <v>4.49629305366278</v>
      </c>
    </row>
    <row r="6193" customFormat="false" ht="17.15" hidden="false" customHeight="false" outlineLevel="0" collapsed="false">
      <c r="A6193" s="1" t="s">
        <v>963</v>
      </c>
      <c r="B6193" s="0" t="s">
        <v>98</v>
      </c>
      <c r="E6193" s="6" t="n">
        <f aca="false">Q!M35-Q!M36-Q!M43</f>
        <v>63.886</v>
      </c>
      <c r="F6193" s="6" t="n">
        <f aca="false">Sens!F6186-Sens!F6190-Sens!F6192</f>
        <v>1.99152416603746</v>
      </c>
      <c r="G6193" s="6" t="n">
        <f aca="false">Sens!G6186-Sens!G6190-Sens!G6192</f>
        <v>33.416919763596</v>
      </c>
      <c r="H6193" s="6" t="n">
        <f aca="false">Sens!H6186-Sens!H6190-Sens!H6192</f>
        <v>73.4922388645539</v>
      </c>
      <c r="I6193" s="6" t="n">
        <f aca="false">Sens!I6186-Sens!I6190-Sens!I6192</f>
        <v>138.398080045981</v>
      </c>
      <c r="J6193" s="6" t="n">
        <f aca="false">Sens!J6186-Sens!J6190-Sens!J6192</f>
        <v>207.489899203465</v>
      </c>
      <c r="K6193" s="6" t="n">
        <f aca="false">Sens!K6186-Sens!K6190-Sens!K6192</f>
        <v>239.519983087791</v>
      </c>
      <c r="L6193" s="11" t="s">
        <v>964</v>
      </c>
    </row>
    <row r="6194" customFormat="false" ht="15" hidden="false" customHeight="false" outlineLevel="0" collapsed="false">
      <c r="A6194" s="1" t="s">
        <v>965</v>
      </c>
      <c r="B6194" s="0" t="s">
        <v>75</v>
      </c>
      <c r="F6194" s="8" t="n">
        <f aca="false">dps_27</f>
        <v>3.85</v>
      </c>
      <c r="G6194" s="8" t="n">
        <f aca="false">Sens!F6194*(1+dps_g)</f>
        <v>4.158</v>
      </c>
      <c r="H6194" s="8" t="n">
        <f aca="false">Sens!G6194*(1+dps_g)</f>
        <v>4.49064</v>
      </c>
      <c r="I6194" s="8" t="n">
        <f aca="false">Sens!H6194*(1+dps_g)</f>
        <v>4.8498912</v>
      </c>
      <c r="J6194" s="8" t="n">
        <f aca="false">Sens!I6194*(1+dps_g)</f>
        <v>5.237882496</v>
      </c>
      <c r="K6194" s="8" t="n">
        <f aca="false">Sens!J6194*(1+dps_g)</f>
        <v>5.65691309568</v>
      </c>
    </row>
    <row r="6195" customFormat="false" ht="17.15" hidden="false" customHeight="false" outlineLevel="0" collapsed="false">
      <c r="A6195" s="1" t="s">
        <v>966</v>
      </c>
      <c r="B6195" s="0" t="s">
        <v>98</v>
      </c>
      <c r="E6195" s="6" t="n">
        <f aca="false">Q!M41</f>
        <v>26.445</v>
      </c>
      <c r="F6195" s="6" t="n">
        <f aca="false">Sens!F6194*Sens!E6204</f>
        <v>28.59395</v>
      </c>
      <c r="G6195" s="6" t="n">
        <f aca="false">Sens!G6194*Sens!F6204</f>
        <v>31.068576</v>
      </c>
      <c r="H6195" s="6" t="n">
        <f aca="false">Sens!H6194*Sens!G6204</f>
        <v>33.738499477174</v>
      </c>
      <c r="I6195" s="6" t="n">
        <f aca="false">Sens!I6194*Sens!H6204</f>
        <v>36.4885186753473</v>
      </c>
      <c r="J6195" s="6" t="n">
        <f aca="false">Sens!J6194*Sens!I6204</f>
        <v>39.4759990176946</v>
      </c>
      <c r="K6195" s="6" t="n">
        <f aca="false">Sens!K6194*Sens!J6204</f>
        <v>42.7213341644152</v>
      </c>
      <c r="L6195" s="1" t="s">
        <v>967</v>
      </c>
    </row>
    <row r="6196" customFormat="false" ht="15" hidden="false" customHeight="false" outlineLevel="0" collapsed="false">
      <c r="A6196" s="1" t="s">
        <v>968</v>
      </c>
      <c r="B6196" s="0" t="s">
        <v>98</v>
      </c>
      <c r="E6196" s="6" t="n">
        <f aca="false">Sens!E6193-Sens!E6195</f>
        <v>37.441</v>
      </c>
      <c r="F6196" s="6" t="n">
        <f aca="false">Sens!F6193-Sens!F6195</f>
        <v>-26.6024258339625</v>
      </c>
      <c r="G6196" s="6" t="n">
        <f aca="false">Sens!G6193-Sens!G6195</f>
        <v>2.34834376359603</v>
      </c>
      <c r="H6196" s="6" t="n">
        <f aca="false">Sens!H6193-Sens!H6195</f>
        <v>39.7537393873799</v>
      </c>
      <c r="I6196" s="6" t="n">
        <f aca="false">Sens!I6193-Sens!I6195</f>
        <v>101.909561370633</v>
      </c>
      <c r="J6196" s="6" t="n">
        <f aca="false">Sens!J6193-Sens!J6195</f>
        <v>168.013900185771</v>
      </c>
      <c r="K6196" s="6" t="n">
        <f aca="false">Sens!K6193-Sens!K6195</f>
        <v>196.798648923376</v>
      </c>
    </row>
    <row r="6197" customFormat="false" ht="15" hidden="false" customHeight="false" outlineLevel="0" collapsed="false">
      <c r="A6197" s="1" t="s">
        <v>969</v>
      </c>
      <c r="B6197" s="0" t="s">
        <v>98</v>
      </c>
      <c r="F6197" s="6" t="n">
        <f aca="false">debt_mat_27</f>
        <v>9.25</v>
      </c>
      <c r="G6197" s="6" t="n">
        <f aca="false">debt_mat_28</f>
        <v>0</v>
      </c>
      <c r="H6197" s="6" t="n">
        <f aca="false">debt_mat_29</f>
        <v>2.001</v>
      </c>
      <c r="I6197" s="6" t="n">
        <f aca="false">debt_mat_30</f>
        <v>0</v>
      </c>
      <c r="J6197" s="6" t="n">
        <f aca="false">debt_mat_31</f>
        <v>0.5</v>
      </c>
      <c r="K6197" s="6" t="n">
        <f aca="false">debt_mat_32</f>
        <v>0</v>
      </c>
    </row>
    <row r="6198" customFormat="false" ht="15" hidden="false" customHeight="false" outlineLevel="0" collapsed="false">
      <c r="A6198" s="1" t="s">
        <v>970</v>
      </c>
      <c r="B6198" s="0" t="s">
        <v>98</v>
      </c>
      <c r="E6198" s="6" t="n">
        <f aca="false">Q!M40</f>
        <v>22.271</v>
      </c>
      <c r="F6198" s="6" t="n">
        <f aca="false">MAX(0,MIN(bb_target,Sens!E6200+Sens!F6196-Sens!F6197-min_cash))</f>
        <v>0</v>
      </c>
      <c r="G6198" s="6" t="n">
        <f aca="false">MAX(0,MIN(bb_target,Sens!F6200+Sens!G6196-Sens!G6197-min_cash))</f>
        <v>2.34834376359603</v>
      </c>
      <c r="H6198" s="6" t="n">
        <f aca="false">MAX(0,MIN(bb_target,Sens!G6200+Sens!H6196-Sens!H6197-min_cash))</f>
        <v>22.271</v>
      </c>
      <c r="I6198" s="6" t="n">
        <f aca="false">MAX(0,MIN(bb_target,Sens!H6200+Sens!I6196-Sens!I6197-min_cash))</f>
        <v>22.271</v>
      </c>
      <c r="J6198" s="6" t="n">
        <f aca="false">MAX(0,MIN(bb_target,Sens!I6200+Sens!J6196-Sens!J6197-min_cash))</f>
        <v>22.271</v>
      </c>
      <c r="K6198" s="6" t="n">
        <f aca="false">MAX(0,MIN(bb_target,Sens!J6200+Sens!K6196-Sens!K6197-min_cash))</f>
        <v>22.271</v>
      </c>
    </row>
    <row r="6199" customFormat="false" ht="15" hidden="false" customHeight="false" outlineLevel="0" collapsed="false">
      <c r="A6199" s="1" t="s">
        <v>971</v>
      </c>
      <c r="B6199" s="0" t="s">
        <v>98</v>
      </c>
      <c r="F6199" s="6" t="n">
        <f aca="false">MAX(0,min_cash-(Sens!E6200+Sens!F6196-Sens!F6197-Sens!F6198))</f>
        <v>9.00942583396254</v>
      </c>
      <c r="G6199" s="6" t="n">
        <f aca="false">MAX(0,min_cash-(Sens!F6200+Sens!G6196-Sens!G6197-Sens!G6198))</f>
        <v>0</v>
      </c>
      <c r="H6199" s="6" t="n">
        <f aca="false">MAX(0,min_cash-(Sens!G6200+Sens!H6196-Sens!H6197-Sens!H6198))</f>
        <v>0</v>
      </c>
      <c r="I6199" s="6" t="n">
        <f aca="false">MAX(0,min_cash-(Sens!H6200+Sens!I6196-Sens!I6197-Sens!I6198))</f>
        <v>0</v>
      </c>
      <c r="J6199" s="6" t="n">
        <f aca="false">MAX(0,min_cash-(Sens!I6200+Sens!J6196-Sens!J6197-Sens!J6198))</f>
        <v>0</v>
      </c>
      <c r="K6199" s="6" t="n">
        <f aca="false">MAX(0,min_cash-(Sens!J6200+Sens!K6196-Sens!K6197-Sens!K6198))</f>
        <v>0</v>
      </c>
    </row>
    <row r="6200" customFormat="false" ht="15" hidden="false" customHeight="false" outlineLevel="0" collapsed="false">
      <c r="A6200" s="1" t="s">
        <v>972</v>
      </c>
      <c r="B6200" s="0" t="s">
        <v>98</v>
      </c>
      <c r="E6200" s="6" t="n">
        <f aca="false">cash_open</f>
        <v>76.843</v>
      </c>
      <c r="F6200" s="6" t="n">
        <f aca="false">Sens!E6200+Sens!F6196-Sens!F6197-Sens!F6198+Sens!F6199</f>
        <v>50</v>
      </c>
      <c r="G6200" s="6" t="n">
        <f aca="false">Sens!F6200+Sens!G6196-Sens!G6197-Sens!G6198+Sens!G6199</f>
        <v>50</v>
      </c>
      <c r="H6200" s="6" t="n">
        <f aca="false">Sens!G6200+Sens!H6196-Sens!H6197-Sens!H6198+Sens!H6199</f>
        <v>65.4817393873799</v>
      </c>
      <c r="I6200" s="6" t="n">
        <f aca="false">Sens!H6200+Sens!I6196-Sens!I6197-Sens!I6198+Sens!I6199</f>
        <v>145.120300758013</v>
      </c>
      <c r="J6200" s="6" t="n">
        <f aca="false">Sens!I6200+Sens!J6196-Sens!J6197-Sens!J6198+Sens!J6199</f>
        <v>290.363200943784</v>
      </c>
      <c r="K6200" s="6" t="n">
        <f aca="false">Sens!J6200+Sens!K6196-Sens!K6197-Sens!K6198+Sens!K6199</f>
        <v>464.89084986716</v>
      </c>
    </row>
    <row r="6201" customFormat="false" ht="15" hidden="false" customHeight="false" outlineLevel="0" collapsed="false">
      <c r="A6201" s="1" t="s">
        <v>973</v>
      </c>
      <c r="B6201" s="0" t="s">
        <v>98</v>
      </c>
      <c r="E6201" s="6" t="n">
        <f aca="false">debt_face</f>
        <v>46.136</v>
      </c>
      <c r="F6201" s="6" t="n">
        <f aca="false">Sens!E6201-Sens!F6197+Sens!F6199</f>
        <v>45.8954258339625</v>
      </c>
      <c r="G6201" s="6" t="n">
        <f aca="false">Sens!F6201-Sens!G6197+Sens!G6199</f>
        <v>45.8954258339625</v>
      </c>
      <c r="H6201" s="6" t="n">
        <f aca="false">Sens!G6201-Sens!H6197+Sens!H6199</f>
        <v>43.8944258339625</v>
      </c>
      <c r="I6201" s="6" t="n">
        <f aca="false">Sens!H6201-Sens!I6197+Sens!I6199</f>
        <v>43.8944258339625</v>
      </c>
      <c r="J6201" s="6" t="n">
        <f aca="false">Sens!I6201-Sens!J6197+Sens!J6199</f>
        <v>43.3944258339625</v>
      </c>
      <c r="K6201" s="6" t="n">
        <f aca="false">Sens!J6201-Sens!K6197+Sens!K6199</f>
        <v>43.3944258339625</v>
      </c>
    </row>
    <row r="6202" customFormat="false" ht="15" hidden="false" customHeight="false" outlineLevel="0" collapsed="false">
      <c r="A6202" s="1" t="s">
        <v>974</v>
      </c>
      <c r="B6202" s="0" t="s">
        <v>98</v>
      </c>
      <c r="E6202" s="6" t="n">
        <f aca="false">Sens!E6200-Sens!E6201</f>
        <v>30.707</v>
      </c>
      <c r="F6202" s="6" t="n">
        <f aca="false">Sens!F6200-Sens!F6201</f>
        <v>4.10457416603746</v>
      </c>
      <c r="G6202" s="6" t="n">
        <f aca="false">Sens!G6200-Sens!G6201</f>
        <v>4.10457416603746</v>
      </c>
      <c r="H6202" s="6" t="n">
        <f aca="false">Sens!H6200-Sens!H6201</f>
        <v>21.5873135534174</v>
      </c>
      <c r="I6202" s="6" t="n">
        <f aca="false">Sens!I6200-Sens!I6201</f>
        <v>101.225874924051</v>
      </c>
      <c r="J6202" s="6" t="n">
        <f aca="false">Sens!J6200-Sens!J6201</f>
        <v>246.968775109822</v>
      </c>
      <c r="K6202" s="6" t="n">
        <f aca="false">Sens!K6200-Sens!K6201</f>
        <v>421.496424033197</v>
      </c>
    </row>
    <row r="6203" customFormat="false" ht="15" hidden="false" customHeight="false" outlineLevel="0" collapsed="false">
      <c r="A6203" s="1" t="s">
        <v>975</v>
      </c>
      <c r="B6203" s="0" t="s">
        <v>75</v>
      </c>
      <c r="F6203" s="29" t="n">
        <f aca="false">px*(1+bb_g)^(Sens!F6065-base_fy-mid_yr)</f>
        <v>553.494156066711</v>
      </c>
      <c r="G6203" s="29" t="n">
        <f aca="false">px*(1+bb_g)^(Sens!G6065-base_fy-mid_yr)</f>
        <v>597.773688552047</v>
      </c>
      <c r="H6203" s="29" t="n">
        <f aca="false">px*(1+bb_g)^(Sens!H6065-base_fy-mid_yr)</f>
        <v>645.595583636211</v>
      </c>
      <c r="I6203" s="29" t="n">
        <f aca="false">px*(1+bb_g)^(Sens!I6065-base_fy-mid_yr)</f>
        <v>697.243230327108</v>
      </c>
      <c r="J6203" s="29" t="n">
        <f aca="false">px*(1+bb_g)^(Sens!J6065-base_fy-mid_yr)</f>
        <v>753.022688753277</v>
      </c>
      <c r="K6203" s="29" t="n">
        <f aca="false">px*(1+bb_g)^(Sens!K6065-base_fy-mid_yr)</f>
        <v>813.264503853539</v>
      </c>
    </row>
    <row r="6204" customFormat="false" ht="15" hidden="false" customHeight="false" outlineLevel="0" collapsed="false">
      <c r="A6204" s="1" t="s">
        <v>976</v>
      </c>
      <c r="B6204" s="1" t="s">
        <v>81</v>
      </c>
      <c r="E6204" s="14" t="n">
        <f aca="false">sh_out26</f>
        <v>7.427</v>
      </c>
      <c r="F6204" s="14" t="n">
        <f aca="false">Sens!E6204+sh_iss-Sens!F6198/Sens!F6203</f>
        <v>7.472</v>
      </c>
      <c r="G6204" s="14" t="n">
        <f aca="false">Sens!F6204+sh_iss-Sens!G6198/Sens!G6203</f>
        <v>7.51307151701627</v>
      </c>
      <c r="H6204" s="14" t="n">
        <f aca="false">Sens!G6204+sh_iss-Sens!H6198/Sens!H6203</f>
        <v>7.52357468871618</v>
      </c>
      <c r="I6204" s="14" t="n">
        <f aca="false">Sens!H6204+sh_iss-Sens!I6198/Sens!I6203</f>
        <v>7.5366331810309</v>
      </c>
      <c r="J6204" s="14" t="n">
        <f aca="false">Sens!I6204+sh_iss-Sens!J6198/Sens!J6203</f>
        <v>7.55205771095194</v>
      </c>
      <c r="K6204" s="14" t="n">
        <f aca="false">Sens!J6204+sh_iss-Sens!K6198/Sens!K6203</f>
        <v>7.56967301643439</v>
      </c>
    </row>
    <row r="6205" customFormat="false" ht="15" hidden="false" customHeight="false" outlineLevel="0" collapsed="false">
      <c r="A6205" s="1" t="s">
        <v>977</v>
      </c>
      <c r="B6205" s="1" t="s">
        <v>81</v>
      </c>
      <c r="E6205" s="14" t="n">
        <f aca="false">sh_dil26</f>
        <v>7.453</v>
      </c>
      <c r="F6205" s="14" t="n">
        <f aca="false">(Sens!E6204+Sens!F6204)/2+dil_gap</f>
        <v>7.4735</v>
      </c>
      <c r="G6205" s="14" t="n">
        <f aca="false">(Sens!F6204+Sens!G6204)/2+dil_gap</f>
        <v>7.51653575850814</v>
      </c>
      <c r="H6205" s="14" t="n">
        <f aca="false">(Sens!G6204+Sens!H6204)/2+dil_gap</f>
        <v>7.54232310286622</v>
      </c>
      <c r="I6205" s="14" t="n">
        <f aca="false">(Sens!H6204+Sens!I6204)/2+dil_gap</f>
        <v>7.55410393487354</v>
      </c>
      <c r="J6205" s="14" t="n">
        <f aca="false">(Sens!I6204+Sens!J6204)/2+dil_gap</f>
        <v>7.56834544599142</v>
      </c>
      <c r="K6205" s="14" t="n">
        <f aca="false">(Sens!J6204+Sens!K6204)/2+dil_gap</f>
        <v>7.58486536369316</v>
      </c>
    </row>
    <row r="6206" customFormat="false" ht="17.15" hidden="false" customHeight="false" outlineLevel="0" collapsed="false">
      <c r="A6206" s="1" t="s">
        <v>978</v>
      </c>
      <c r="B6206" s="0" t="s">
        <v>98</v>
      </c>
      <c r="C6206" s="6" t="n">
        <f aca="false">SUM(Sens!F6196:J6196)</f>
        <v>285.423118873418</v>
      </c>
    </row>
    <row r="6207" customFormat="false" ht="15" hidden="false" customHeight="false" outlineLevel="0" collapsed="false">
      <c r="A6207" s="23" t="s">
        <v>945</v>
      </c>
      <c r="B6207" s="30" t="s">
        <v>98</v>
      </c>
      <c r="C6207" s="24" t="n">
        <f aca="false">Sens!$C$6206-(Sens!F6196+Sens!G6196+Sens!H6196+Sens!I6196+Sens!J6196)</f>
        <v>0</v>
      </c>
      <c r="D6207" s="30"/>
      <c r="E6207" s="30"/>
      <c r="F6207" s="30"/>
      <c r="G6207" s="30"/>
      <c r="H6207" s="30"/>
      <c r="I6207" s="30"/>
      <c r="J6207" s="30"/>
      <c r="K6207" s="30"/>
    </row>
    <row r="6208" customFormat="false" ht="17.15" hidden="false" customHeight="false" outlineLevel="0" collapsed="false">
      <c r="A6208" s="1" t="s">
        <v>939</v>
      </c>
      <c r="B6208" s="1" t="s">
        <v>979</v>
      </c>
      <c r="C6208" s="32" t="str">
        <f aca="false">IF(SUM(Sens!F6199:J6199)&gt;0.05,"需要舉債 "&amp;TEXT(SUM(Sens!F6199:J6199),"0.0")&amp;" 十億美元","不需舉債")&amp;"；"&amp;IF(SUM(Sens!F6198:J6198)&lt;COUNT(Sens!F6198:J6198)*bb_target-0.05,"回購較每年 "&amp;TEXT(bb_target,"0.0")&amp;" 的目標少 "&amp;TEXT(COUNT(Sens!F6198:J6198)*bb_target-SUM(Sens!F6198:J6198),"0.0")&amp;" 十億美元（"&amp;TEXT(COUNTIF(Sens!F6198:J6198,"&lt;"&amp;(bb_target-0.05)),"0")&amp;" 年減少）","回購不減")</f>
        <v>需要舉債 9.0 十億美元；回購較每年 22.3 的目標少 42.2 十億美元（2 年減少）</v>
      </c>
    </row>
    <row r="6209" customFormat="false" ht="17.15" hidden="false" customHeight="false" outlineLevel="0" collapsed="false">
      <c r="A6209" s="3" t="s">
        <v>1421</v>
      </c>
    </row>
    <row r="6210" customFormat="false" ht="15" hidden="false" customHeight="false" outlineLevel="0" collapsed="false">
      <c r="A6210" s="4" t="s">
        <v>43</v>
      </c>
      <c r="B6210" s="4" t="s">
        <v>65</v>
      </c>
      <c r="C6210" s="20" t="s">
        <v>799</v>
      </c>
      <c r="D6210" s="20" t="s">
        <v>800</v>
      </c>
      <c r="E6210" s="20" t="s">
        <v>801</v>
      </c>
      <c r="F6210" s="20" t="s">
        <v>802</v>
      </c>
      <c r="G6210" s="20" t="s">
        <v>803</v>
      </c>
      <c r="H6210" s="20" t="s">
        <v>804</v>
      </c>
      <c r="I6210" s="20" t="s">
        <v>805</v>
      </c>
      <c r="J6210" s="20" t="s">
        <v>806</v>
      </c>
      <c r="K6210" s="20" t="s">
        <v>807</v>
      </c>
      <c r="L6210" s="4" t="s">
        <v>47</v>
      </c>
    </row>
    <row r="6211" customFormat="false" ht="15" hidden="false" customHeight="false" outlineLevel="0" collapsed="false">
      <c r="A6211" s="1" t="s">
        <v>1057</v>
      </c>
      <c r="B6211" s="1" t="s">
        <v>235</v>
      </c>
      <c r="F6211" s="36" t="n">
        <f aca="false">Sens!F6065-base_fy-mid_yr</f>
        <v>0.5</v>
      </c>
      <c r="G6211" s="36" t="n">
        <f aca="false">Sens!G6065-base_fy-mid_yr</f>
        <v>1.5</v>
      </c>
      <c r="H6211" s="36" t="n">
        <f aca="false">Sens!H6065-base_fy-mid_yr</f>
        <v>2.5</v>
      </c>
      <c r="I6211" s="36" t="n">
        <f aca="false">Sens!I6065-base_fy-mid_yr</f>
        <v>3.5</v>
      </c>
      <c r="J6211" s="36" t="n">
        <f aca="false">Sens!J6065-base_fy-mid_yr</f>
        <v>4.5</v>
      </c>
      <c r="K6211" s="36" t="n">
        <f aca="false">Sens!K6065-base_fy-mid_yr</f>
        <v>5.5</v>
      </c>
    </row>
    <row r="6212" customFormat="false" ht="15" hidden="false" customHeight="false" outlineLevel="0" collapsed="false">
      <c r="A6212" s="1" t="s">
        <v>1058</v>
      </c>
      <c r="B6212" s="0" t="s">
        <v>185</v>
      </c>
      <c r="F6212" s="14" t="n">
        <f aca="false">1/(1+wacc)^Sens!F6211</f>
        <v>0.952193373608246</v>
      </c>
      <c r="G6212" s="14" t="n">
        <f aca="false">1/(1+wacc)^Sens!G6211</f>
        <v>0.863327280626589</v>
      </c>
      <c r="H6212" s="14" t="n">
        <f aca="false">1/(1+wacc)^Sens!H6211</f>
        <v>0.782754862754115</v>
      </c>
      <c r="I6212" s="14" t="n">
        <f aca="false">1/(1+wacc)^Sens!I6211</f>
        <v>0.709702089711011</v>
      </c>
      <c r="J6212" s="14" t="n">
        <f aca="false">1/(1+wacc)^Sens!J6211</f>
        <v>0.643467169744551</v>
      </c>
      <c r="K6212" s="14" t="n">
        <f aca="false">1/(1+wacc)^Sens!K6211</f>
        <v>0.583413807767797</v>
      </c>
    </row>
    <row r="6213" customFormat="false" ht="17.15" hidden="false" customHeight="false" outlineLevel="0" collapsed="false">
      <c r="A6213" s="1" t="s">
        <v>1059</v>
      </c>
      <c r="B6213" s="0" t="s">
        <v>98</v>
      </c>
      <c r="F6213" s="6" t="n">
        <f aca="false">Sens!F6186-Sens!F6184-Sens!F6190+Sens!F6169*(1-tax_f)</f>
        <v>-2.11716264917945</v>
      </c>
      <c r="G6213" s="6" t="n">
        <f aca="false">Sens!G6186-Sens!G6184-Sens!G6190+Sens!G6169*(1-tax_f)</f>
        <v>37.059707220124</v>
      </c>
      <c r="H6213" s="6" t="n">
        <f aca="false">Sens!H6186-Sens!H6184-Sens!H6190+Sens!H6169*(1-tax_f)</f>
        <v>85.2640836072133</v>
      </c>
      <c r="I6213" s="6" t="n">
        <f aca="false">Sens!I6186-Sens!I6184-Sens!I6190+Sens!I6169*(1-tax_f)</f>
        <v>158.333222951333</v>
      </c>
      <c r="J6213" s="6" t="n">
        <f aca="false">Sens!J6186-Sens!J6184-Sens!J6190+Sens!J6169*(1-tax_f)</f>
        <v>233.053437461847</v>
      </c>
      <c r="K6213" s="6" t="n">
        <f aca="false">Sens!K6186-Sens!K6184-Sens!K6190+Sens!K6169*(1-tax_f)</f>
        <v>267.571794169649</v>
      </c>
      <c r="L6213" s="1" t="s">
        <v>1060</v>
      </c>
    </row>
    <row r="6214" customFormat="false" ht="15" hidden="false" customHeight="false" outlineLevel="0" collapsed="false">
      <c r="A6214" s="1" t="s">
        <v>1061</v>
      </c>
      <c r="B6214" s="0" t="s">
        <v>98</v>
      </c>
      <c r="F6214" s="6" t="n">
        <f aca="false">Sens!F6213*Sens!F6212</f>
        <v>-2.01594824539955</v>
      </c>
      <c r="G6214" s="6" t="n">
        <f aca="false">Sens!G6213*Sens!G6212</f>
        <v>31.9946562551672</v>
      </c>
      <c r="H6214" s="6" t="n">
        <f aca="false">Sens!H6213*Sens!H6212</f>
        <v>66.7408760618197</v>
      </c>
      <c r="I6214" s="6" t="n">
        <f aca="false">Sens!I6213*Sens!I6212</f>
        <v>112.36941919924</v>
      </c>
      <c r="J6214" s="6" t="n">
        <f aca="false">Sens!J6213*Sens!J6212</f>
        <v>149.962235802814</v>
      </c>
      <c r="K6214" s="6" t="n">
        <f aca="false">Sens!K6213*Sens!K6212</f>
        <v>156.105079287776</v>
      </c>
    </row>
    <row r="6215" customFormat="false" ht="17.15" hidden="false" customHeight="false" outlineLevel="0" collapsed="false">
      <c r="A6215" s="1" t="s">
        <v>1062</v>
      </c>
      <c r="B6215" s="0" t="s">
        <v>98</v>
      </c>
      <c r="C6215" s="6" t="n">
        <f aca="false">SUM(Sens!F6214:K6214)</f>
        <v>515.156318361418</v>
      </c>
    </row>
    <row r="6216" customFormat="false" ht="17.15" hidden="false" customHeight="false" outlineLevel="0" collapsed="false">
      <c r="A6216" s="1" t="s">
        <v>1063</v>
      </c>
      <c r="B6216" s="0" t="s">
        <v>98</v>
      </c>
      <c r="C6216" s="6" t="n">
        <f aca="false">Sens!K6155*(1+g_tv)*(1-tax_f)</f>
        <v>284.693240159494</v>
      </c>
    </row>
    <row r="6217" customFormat="false" ht="17.15" hidden="false" customHeight="false" outlineLevel="0" collapsed="false">
      <c r="A6217" s="1" t="s">
        <v>1064</v>
      </c>
      <c r="B6217" s="0" t="s">
        <v>98</v>
      </c>
      <c r="C6217" s="6" t="n">
        <f aca="false">Sens!$C$6216*(1-g_tv/(wacc+ronic_prem))</f>
        <v>201.720050073237</v>
      </c>
    </row>
    <row r="6218" customFormat="false" ht="17.15" hidden="false" customHeight="false" outlineLevel="0" collapsed="false">
      <c r="A6218" s="1" t="s">
        <v>1065</v>
      </c>
      <c r="B6218" s="0" t="s">
        <v>98</v>
      </c>
      <c r="C6218" s="6" t="n">
        <f aca="false">Sens!$C$6217/(wacc-g_tv)</f>
        <v>2765.77300287524</v>
      </c>
    </row>
    <row r="6219" customFormat="false" ht="15" hidden="false" customHeight="false" outlineLevel="0" collapsed="false">
      <c r="A6219" s="1" t="s">
        <v>1066</v>
      </c>
      <c r="B6219" s="0" t="s">
        <v>98</v>
      </c>
      <c r="C6219" s="6" t="n">
        <f aca="false">Sens!$C$6218/(1+wacc)^(Sens!K6211+mid_yr)</f>
        <v>1536.44985714671</v>
      </c>
    </row>
    <row r="6220" customFormat="false" ht="17.15" hidden="false" customHeight="false" outlineLevel="0" collapsed="false">
      <c r="A6220" s="0" t="s">
        <v>986</v>
      </c>
      <c r="B6220" s="0" t="s">
        <v>98</v>
      </c>
      <c r="C6220" s="6" t="n">
        <f aca="false">Sens!$C$6215+Sens!$C$6219</f>
        <v>2051.60617550813</v>
      </c>
    </row>
    <row r="6221" customFormat="false" ht="15" hidden="false" customHeight="false" outlineLevel="0" collapsed="false">
      <c r="A6221" s="1" t="s">
        <v>987</v>
      </c>
      <c r="B6221" s="0" t="s">
        <v>129</v>
      </c>
      <c r="C6221" s="7" t="n">
        <f aca="false">Sens!$C$6219/Sens!$C$6220</f>
        <v>0.748900971097035</v>
      </c>
    </row>
    <row r="6222" customFormat="false" ht="17.15" hidden="false" customHeight="false" outlineLevel="0" collapsed="false">
      <c r="A6222" s="1" t="s">
        <v>1067</v>
      </c>
      <c r="B6222" s="0" t="s">
        <v>98</v>
      </c>
      <c r="C6222" s="6" t="n">
        <f aca="false">Sens!$C$6220+Sens!E6202-Sens!E6191+oai_v</f>
        <v>2186.11917550813</v>
      </c>
    </row>
    <row r="6223" customFormat="false" ht="17.15" hidden="false" customHeight="false" outlineLevel="0" collapsed="false">
      <c r="A6223" s="0" t="s">
        <v>994</v>
      </c>
      <c r="B6223" s="0" t="s">
        <v>75</v>
      </c>
      <c r="C6223" s="5" t="n">
        <f aca="false">Sens!$C$6222/sh_dil26</f>
        <v>293.320699786412</v>
      </c>
    </row>
    <row r="6224" customFormat="false" ht="15" hidden="false" customHeight="false" outlineLevel="0" collapsed="false">
      <c r="A6224" s="1" t="s">
        <v>1068</v>
      </c>
      <c r="B6224" s="0" t="s">
        <v>75</v>
      </c>
      <c r="C6224" s="8" t="n">
        <f aca="false">dps_27+Sens!G6194*roll_div_q/q_per_yr</f>
        <v>4.8895</v>
      </c>
    </row>
    <row r="6225" customFormat="false" ht="17.15" hidden="false" customHeight="false" outlineLevel="0" collapsed="false">
      <c r="A6225" s="0" t="s">
        <v>1069</v>
      </c>
      <c r="B6225" s="0" t="s">
        <v>75</v>
      </c>
      <c r="C6225" s="5" t="n">
        <f aca="false">Sens!$C$6223*(1+wacc)^t_roll-Sens!$C$6224</f>
        <v>329.124574685844</v>
      </c>
    </row>
    <row r="6226" customFormat="false" ht="17.15" hidden="false" customHeight="false" outlineLevel="0" collapsed="false">
      <c r="A6226" s="1" t="s">
        <v>1070</v>
      </c>
      <c r="B6226" s="0" t="s">
        <v>129</v>
      </c>
      <c r="F6226" s="7" t="n">
        <f aca="false">Sens!F6181/(Sens!F6126-Sens!F6082)</f>
        <v>0.0705303854989974</v>
      </c>
      <c r="G6226" s="7" t="n">
        <f aca="false">Sens!G6181/(Sens!G6126-Sens!G6082)</f>
        <v>0.0669153011130541</v>
      </c>
      <c r="H6226" s="7" t="n">
        <f aca="false">Sens!H6181/(Sens!H6126-Sens!H6082)</f>
        <v>0.0648963302688646</v>
      </c>
      <c r="I6226" s="7" t="n">
        <f aca="false">Sens!I6181/(Sens!I6126-Sens!I6082)</f>
        <v>0.0643411219550834</v>
      </c>
      <c r="J6226" s="7" t="n">
        <f aca="false">Sens!J6181/(Sens!J6126-Sens!J6082)</f>
        <v>0.0648740961982593</v>
      </c>
      <c r="K6226" s="7" t="n">
        <f aca="false">Sens!K6181/(Sens!K6126-Sens!K6082)</f>
        <v>0.0660244723636577</v>
      </c>
    </row>
    <row r="6227" customFormat="false" ht="17.15" hidden="false" customHeight="false" outlineLevel="0" collapsed="false">
      <c r="A6227" s="0" t="s">
        <v>1071</v>
      </c>
      <c r="B6227" s="0" t="s">
        <v>98</v>
      </c>
      <c r="F6227" s="6" t="n">
        <f aca="false">Sens!F6111*(al_m365+Sens!F6226+sbc_r)</f>
        <v>85.2273329859862</v>
      </c>
      <c r="G6227" s="6" t="n">
        <f aca="false">Sens!G6111*(al_m365+Sens!G6226+sbc_r)</f>
        <v>99.6892587904979</v>
      </c>
      <c r="H6227" s="6" t="n">
        <f aca="false">Sens!H6111*(al_m365+Sens!H6226+sbc_r)</f>
        <v>114.315107566414</v>
      </c>
      <c r="I6227" s="6" t="n">
        <f aca="false">Sens!I6111*(al_m365+Sens!I6226+sbc_r)</f>
        <v>127.42181750834</v>
      </c>
      <c r="J6227" s="6" t="n">
        <f aca="false">Sens!J6111*(al_m365+Sens!J6226+sbc_r)</f>
        <v>138.823999012523</v>
      </c>
      <c r="K6227" s="6" t="n">
        <f aca="false">Sens!K6111*(al_m365+Sens!K6226+sbc_r)</f>
        <v>149.845393216552</v>
      </c>
      <c r="L6227" s="11" t="s">
        <v>1072</v>
      </c>
    </row>
    <row r="6228" customFormat="false" ht="17.15" hidden="false" customHeight="false" outlineLevel="0" collapsed="false">
      <c r="A6228" s="0" t="s">
        <v>1073</v>
      </c>
      <c r="B6228" s="0" t="s">
        <v>98</v>
      </c>
      <c r="F6228" s="6" t="n">
        <f aca="false">Sens!F6112*(al_lic+Sens!F6226+sbc_r)</f>
        <v>33.5204472060294</v>
      </c>
      <c r="G6228" s="6" t="n">
        <f aca="false">Sens!G6112*(al_lic+Sens!G6226+sbc_r)</f>
        <v>34.7926166862242</v>
      </c>
      <c r="H6228" s="6" t="n">
        <f aca="false">Sens!H6112*(al_lic+Sens!H6226+sbc_r)</f>
        <v>35.9862829687409</v>
      </c>
      <c r="I6228" s="6" t="n">
        <f aca="false">Sens!I6112*(al_lic+Sens!I6226+sbc_r)</f>
        <v>37.0838788899664</v>
      </c>
      <c r="J6228" s="6" t="n">
        <f aca="false">Sens!J6112*(al_lic+Sens!J6226+sbc_r)</f>
        <v>38.0565090086839</v>
      </c>
      <c r="K6228" s="6" t="n">
        <f aca="false">Sens!K6112*(al_lic+Sens!K6226+sbc_r)</f>
        <v>38.8700352425884</v>
      </c>
    </row>
    <row r="6229" customFormat="false" ht="17.15" hidden="false" customHeight="false" outlineLevel="0" collapsed="false">
      <c r="A6229" s="0" t="s">
        <v>1074</v>
      </c>
      <c r="B6229" s="0" t="s">
        <v>98</v>
      </c>
      <c r="F6229" s="6" t="n">
        <f aca="false">Sens!F6114*(al_ind+Sens!F6226+sbc_r)</f>
        <v>9.11980018094294</v>
      </c>
      <c r="G6229" s="6" t="n">
        <f aca="false">Sens!G6114*(al_ind+Sens!G6226+sbc_r)</f>
        <v>9.88072195697034</v>
      </c>
      <c r="H6229" s="6" t="n">
        <f aca="false">Sens!H6114*(al_ind+Sens!H6226+sbc_r)</f>
        <v>10.6900815637922</v>
      </c>
      <c r="I6229" s="6" t="n">
        <f aca="false">Sens!I6114*(al_ind+Sens!I6226+sbc_r)</f>
        <v>11.5460282347577</v>
      </c>
      <c r="J6229" s="6" t="n">
        <f aca="false">Sens!J6114*(al_ind+Sens!J6226+sbc_r)</f>
        <v>12.4374767512513</v>
      </c>
      <c r="K6229" s="6" t="n">
        <f aca="false">Sens!K6114*(al_ind+Sens!K6226+sbc_r)</f>
        <v>13.3461587114563</v>
      </c>
    </row>
    <row r="6230" customFormat="false" ht="17.15" hidden="false" customHeight="false" outlineLevel="0" collapsed="false">
      <c r="A6230" s="0" t="s">
        <v>1075</v>
      </c>
      <c r="B6230" s="0" t="s">
        <v>98</v>
      </c>
      <c r="F6230" s="6" t="n">
        <f aca="false">Sens!F6116*(al_fro+Sens!F6226+sbc_r)</f>
        <v>3.58958536902212</v>
      </c>
      <c r="G6230" s="6" t="n">
        <f aca="false">Sens!G6116*(al_fro+Sens!G6226+sbc_r)</f>
        <v>3.79361306665995</v>
      </c>
      <c r="H6230" s="6" t="n">
        <f aca="false">Sens!H6116*(al_fro+Sens!H6226+sbc_r)</f>
        <v>4.02838862857902</v>
      </c>
      <c r="I6230" s="6" t="n">
        <f aca="false">Sens!I6116*(al_fro+Sens!I6226+sbc_r)</f>
        <v>4.29696179134221</v>
      </c>
      <c r="J6230" s="6" t="n">
        <f aca="false">Sens!J6116*(al_fro+Sens!J6226+sbc_r)</f>
        <v>4.59985687395741</v>
      </c>
      <c r="K6230" s="6" t="n">
        <f aca="false">Sens!K6116*(al_fro+Sens!K6226+sbc_r)</f>
        <v>4.93592238342414</v>
      </c>
    </row>
    <row r="6231" customFormat="false" ht="17.15" hidden="false" customHeight="false" outlineLevel="0" collapsed="false">
      <c r="A6231" s="0" t="s">
        <v>1076</v>
      </c>
      <c r="B6231" s="0" t="s">
        <v>98</v>
      </c>
      <c r="F6231" s="6" t="n">
        <f aca="false">Sens!F6119*(al_srch+Sens!F6226+sbc_r)</f>
        <v>11.2630849868114</v>
      </c>
      <c r="G6231" s="6" t="n">
        <f aca="false">Sens!G6119*(al_srch+Sens!G6226+sbc_r)</f>
        <v>12.3179728600437</v>
      </c>
      <c r="H6231" s="6" t="n">
        <f aca="false">Sens!H6119*(al_srch+Sens!H6226+sbc_r)</f>
        <v>13.4217853035424</v>
      </c>
      <c r="I6231" s="6" t="n">
        <f aca="false">Sens!I6119*(al_srch+Sens!I6226+sbc_r)</f>
        <v>14.565578354966</v>
      </c>
      <c r="J6231" s="6" t="n">
        <f aca="false">Sens!J6119*(al_srch+Sens!J6226+sbc_r)</f>
        <v>15.7277683722803</v>
      </c>
      <c r="K6231" s="6" t="n">
        <f aca="false">Sens!K6119*(al_srch+Sens!K6226+sbc_r)</f>
        <v>16.87683901418</v>
      </c>
    </row>
    <row r="6232" customFormat="false" ht="17.15" hidden="false" customHeight="false" outlineLevel="0" collapsed="false">
      <c r="A6232" s="0" t="s">
        <v>1077</v>
      </c>
      <c r="B6232" s="0" t="s">
        <v>98</v>
      </c>
      <c r="F6232" s="6" t="n">
        <f aca="false">Sens!F6088-Sens!F6089+Sens!F6169</f>
        <v>41.3689946463219</v>
      </c>
      <c r="G6232" s="6" t="n">
        <f aca="false">Sens!G6088-Sens!G6089+Sens!G6169</f>
        <v>77.1334456653918</v>
      </c>
      <c r="H6232" s="6" t="n">
        <f aca="false">Sens!H6088-Sens!H6089+Sens!H6169</f>
        <v>115.778353548235</v>
      </c>
      <c r="I6232" s="6" t="n">
        <f aca="false">Sens!I6088-Sens!I6089+Sens!I6169</f>
        <v>150.948422335238</v>
      </c>
      <c r="J6232" s="6" t="n">
        <f aca="false">Sens!J6088-Sens!J6089+Sens!J6169</f>
        <v>176.094947997529</v>
      </c>
      <c r="K6232" s="6" t="n">
        <f aca="false">Sens!K6088-Sens!K6089+Sens!K6169</f>
        <v>191.974827272425</v>
      </c>
    </row>
    <row r="6233" customFormat="false" ht="17.15" hidden="false" customHeight="false" outlineLevel="0" collapsed="false">
      <c r="A6233" s="0" t="s">
        <v>1078</v>
      </c>
      <c r="B6233" s="0" t="s">
        <v>98</v>
      </c>
      <c r="F6233" s="6" t="n">
        <f aca="false">Sens!F6148+Sens!F6169+Sens!F6099+Sens!F6226*(Sens!F6118-Sens!F6082)+sbc_r*Sens!F6118</f>
        <v>233.173584474944</v>
      </c>
      <c r="G6233" s="6" t="n">
        <f aca="false">Sens!G6148+Sens!G6169+Sens!G6099+Sens!G6226*(Sens!G6118-Sens!G6082)+sbc_r*Sens!G6118</f>
        <v>297.93447893171</v>
      </c>
      <c r="H6233" s="6" t="n">
        <f aca="false">Sens!H6148+Sens!H6169+Sens!H6099+Sens!H6226*(Sens!H6118-Sens!H6082)+sbc_r*Sens!H6118</f>
        <v>366.096540967312</v>
      </c>
      <c r="I6233" s="6" t="n">
        <f aca="false">Sens!I6148+Sens!I6169+Sens!I6099+Sens!I6226*(Sens!I6118-Sens!I6082)+sbc_r*Sens!I6118</f>
        <v>428.961630082392</v>
      </c>
      <c r="J6233" s="6" t="n">
        <f aca="false">Sens!J6148+Sens!J6169+Sens!J6099+Sens!J6226*(Sens!J6118-Sens!J6082)+sbc_r*Sens!J6118</f>
        <v>478.916819521071</v>
      </c>
      <c r="K6233" s="6" t="n">
        <f aca="false">Sens!K6148+Sens!K6169+Sens!K6099+Sens!K6226*(Sens!K6118-Sens!K6082)+sbc_r*Sens!K6118</f>
        <v>517.265170102246</v>
      </c>
    </row>
    <row r="6234" customFormat="false" ht="17.15" hidden="false" customHeight="false" outlineLevel="0" collapsed="false">
      <c r="A6234" s="0" t="s">
        <v>1079</v>
      </c>
      <c r="B6234" s="0" t="s">
        <v>98</v>
      </c>
      <c r="F6234" s="6" t="n">
        <f aca="false">Sens!F6233-Sens!F6227-Sens!F6228-Sens!F6229-Sens!F6230-Sens!F6232</f>
        <v>60.3474240866417</v>
      </c>
      <c r="G6234" s="6" t="n">
        <f aca="false">Sens!G6233-Sens!G6227-Sens!G6228-Sens!G6229-Sens!G6230-Sens!G6232</f>
        <v>72.6448227659656</v>
      </c>
      <c r="H6234" s="6" t="n">
        <f aca="false">Sens!H6233-Sens!H6227-Sens!H6228-Sens!H6229-Sens!H6230-Sens!H6232</f>
        <v>85.2983266915516</v>
      </c>
      <c r="I6234" s="6" t="n">
        <f aca="false">Sens!I6233-Sens!I6227-Sens!I6228-Sens!I6229-Sens!I6230-Sens!I6232</f>
        <v>97.6645213227476</v>
      </c>
      <c r="J6234" s="6" t="n">
        <f aca="false">Sens!J6233-Sens!J6227-Sens!J6228-Sens!J6229-Sens!J6230-Sens!J6232</f>
        <v>108.904029877126</v>
      </c>
      <c r="K6234" s="6" t="n">
        <f aca="false">Sens!K6233-Sens!K6227-Sens!K6228-Sens!K6229-Sens!K6230-Sens!K6232</f>
        <v>118.2928332758</v>
      </c>
    </row>
    <row r="6235" customFormat="false" ht="17.15" hidden="false" customHeight="false" outlineLevel="0" collapsed="false">
      <c r="A6235" s="0" t="s">
        <v>1080</v>
      </c>
      <c r="B6235" s="0" t="s">
        <v>98</v>
      </c>
      <c r="F6235" s="6" t="n">
        <f aca="false">Sens!F6150+Sens!F6226*Sens!F6125+sbc_r*Sens!F6125</f>
        <v>26.3250729833002</v>
      </c>
      <c r="G6235" s="6" t="n">
        <f aca="false">Sens!G6150+Sens!G6226*Sens!G6125+sbc_r*Sens!G6125</f>
        <v>26.8840979798844</v>
      </c>
      <c r="H6235" s="6" t="n">
        <f aca="false">Sens!H6150+Sens!H6226*Sens!H6125+sbc_r*Sens!H6125</f>
        <v>27.7254420104725</v>
      </c>
      <c r="I6235" s="6" t="n">
        <f aca="false">Sens!I6150+Sens!I6226*Sens!I6125+sbc_r*Sens!I6125</f>
        <v>28.8195303030026</v>
      </c>
      <c r="J6235" s="6" t="n">
        <f aca="false">Sens!J6150+Sens!J6226*Sens!J6125+sbc_r*Sens!J6125</f>
        <v>30.1256822206383</v>
      </c>
      <c r="K6235" s="6" t="n">
        <f aca="false">Sens!K6150+Sens!K6226*Sens!K6125+sbc_r*Sens!K6125</f>
        <v>31.5981329181227</v>
      </c>
    </row>
    <row r="6236" customFormat="false" ht="17.15" hidden="false" customHeight="false" outlineLevel="0" collapsed="false">
      <c r="A6236" s="0" t="s">
        <v>1081</v>
      </c>
      <c r="B6236" s="0" t="s">
        <v>98</v>
      </c>
      <c r="F6236" s="6" t="n">
        <f aca="false">(Sens!F6235-Sens!F6231)*Sens!F6121/(Sens!F6121+Sens!F6123)</f>
        <v>8.25683511803782</v>
      </c>
      <c r="G6236" s="6" t="n">
        <f aca="false">(Sens!G6235-Sens!G6231)*Sens!G6121/(Sens!G6121+Sens!G6123)</f>
        <v>7.84263572934781</v>
      </c>
      <c r="H6236" s="6" t="n">
        <f aca="false">(Sens!H6235-Sens!H6231)*Sens!H6121/(Sens!H6121+Sens!H6123)</f>
        <v>7.59728657715786</v>
      </c>
      <c r="I6236" s="6" t="n">
        <f aca="false">(Sens!I6235-Sens!I6231)*Sens!I6121/(Sens!I6121+Sens!I6123)</f>
        <v>7.50238476920254</v>
      </c>
      <c r="J6236" s="6" t="n">
        <f aca="false">(Sens!J6235-Sens!J6231)*Sens!J6121/(Sens!J6121+Sens!J6123)</f>
        <v>7.54388912124533</v>
      </c>
      <c r="K6236" s="6" t="n">
        <f aca="false">(Sens!K6235-Sens!K6231)*Sens!K6121/(Sens!K6121+Sens!K6123)</f>
        <v>7.71332639591206</v>
      </c>
    </row>
    <row r="6237" customFormat="false" ht="17.15" hidden="false" customHeight="false" outlineLevel="0" collapsed="false">
      <c r="A6237" s="0" t="s">
        <v>1082</v>
      </c>
      <c r="B6237" s="0" t="s">
        <v>98</v>
      </c>
      <c r="F6237" s="6" t="n">
        <f aca="false">Sens!F6235-Sens!F6231-Sens!F6236</f>
        <v>6.80515287845105</v>
      </c>
      <c r="G6237" s="6" t="n">
        <f aca="false">Sens!G6235-Sens!G6231-Sens!G6236</f>
        <v>6.72348939049287</v>
      </c>
      <c r="H6237" s="6" t="n">
        <f aca="false">Sens!H6235-Sens!H6231-Sens!H6236</f>
        <v>6.70637012977225</v>
      </c>
      <c r="I6237" s="6" t="n">
        <f aca="false">Sens!I6235-Sens!I6231-Sens!I6236</f>
        <v>6.75156717883416</v>
      </c>
      <c r="J6237" s="6" t="n">
        <f aca="false">Sens!J6235-Sens!J6231-Sens!J6236</f>
        <v>6.85402472711273</v>
      </c>
      <c r="K6237" s="6" t="n">
        <f aca="false">Sens!K6235-Sens!K6231-Sens!K6236</f>
        <v>7.00796750803058</v>
      </c>
    </row>
    <row r="6238" customFormat="false" ht="17.15" hidden="false" customHeight="false" outlineLevel="0" collapsed="false">
      <c r="A6238" s="0" t="s">
        <v>1083</v>
      </c>
      <c r="B6238" s="0" t="s">
        <v>98</v>
      </c>
      <c r="F6238" s="6" t="n">
        <f aca="false">Sens!F6232-tax_f*(Sens!F6232-Sens!F6099)-Sens!F6096</f>
        <v>-120.427702678218</v>
      </c>
      <c r="G6238" s="6" t="n">
        <f aca="false">Sens!G6232-tax_f*(Sens!G6232-Sens!G6099)-Sens!G6096</f>
        <v>-110.042336528784</v>
      </c>
      <c r="H6238" s="6" t="n">
        <f aca="false">Sens!H6232-tax_f*(Sens!H6232-Sens!H6099)-Sens!H6096</f>
        <v>-78.18539910315</v>
      </c>
      <c r="I6238" s="6" t="n">
        <f aca="false">Sens!I6232-tax_f*(Sens!I6232-Sens!I6099)-Sens!I6096</f>
        <v>-20.8267825195763</v>
      </c>
      <c r="J6238" s="6" t="n">
        <f aca="false">Sens!J6232-tax_f*(Sens!J6232-Sens!J6099)-Sens!J6096</f>
        <v>39.2941863743499</v>
      </c>
      <c r="K6238" s="6" t="n">
        <f aca="false">Sens!K6232-tax_f*(Sens!K6232-Sens!K6099)-Sens!K6096</f>
        <v>59.9987393232111</v>
      </c>
    </row>
    <row r="6239" customFormat="false" ht="17.15" hidden="false" customHeight="false" outlineLevel="0" collapsed="false">
      <c r="A6239" s="0" t="s">
        <v>1084</v>
      </c>
      <c r="B6239" s="0" t="s">
        <v>98</v>
      </c>
      <c r="G6239" s="6" t="n">
        <f aca="false">Sens!G6238/(1+wacc)^(Sens!G6211-(Sens!F6211+mid_yr))</f>
        <v>-104.781583659077</v>
      </c>
      <c r="H6239" s="6" t="n">
        <f aca="false">Sens!H6238/(1+wacc)^(Sens!H6211-(Sens!F6211+mid_yr))</f>
        <v>-67.4995879924271</v>
      </c>
      <c r="I6239" s="6" t="n">
        <f aca="false">Sens!I6238/(1+wacc)^(Sens!I6211-(Sens!F6211+mid_yr))</f>
        <v>-16.3022652927208</v>
      </c>
      <c r="J6239" s="6" t="n">
        <f aca="false">Sens!J6238/(1+wacc)^(Sens!J6211-(Sens!F6211+mid_yr))</f>
        <v>27.8871661833701</v>
      </c>
      <c r="K6239" s="6" t="n">
        <f aca="false">Sens!K6238/(1+wacc)^(Sens!K6211-(Sens!F6211+mid_yr))</f>
        <v>38.6072189805477</v>
      </c>
      <c r="L6239" s="1" t="s">
        <v>1085</v>
      </c>
    </row>
    <row r="6240" customFormat="false" ht="17.15" hidden="false" customHeight="false" outlineLevel="0" collapsed="false">
      <c r="A6240" s="0" t="s">
        <v>1086</v>
      </c>
      <c r="B6240" s="0" t="s">
        <v>98</v>
      </c>
      <c r="C6240" s="6" t="n">
        <f aca="false">(Sens!K6232-Sens!K6099)*(1-tax_f)*(1+g_tv)*(1-g_tv/(wacc+ronic_prem))/(wacc-g_tv)/(1+wacc)^(Sens!K6211+mid_yr-(Sens!F6211+mid_yr))</f>
        <v>259.184239103714</v>
      </c>
    </row>
    <row r="6241" customFormat="false" ht="17.15" hidden="false" customHeight="false" outlineLevel="0" collapsed="false">
      <c r="A6241" s="1" t="s">
        <v>1087</v>
      </c>
      <c r="B6241" s="0" t="s">
        <v>98</v>
      </c>
      <c r="C6241" s="6" t="n">
        <f aca="false">(SUM(Sens!G6239:K6239)+Sens!$C$6240)*(1+wacc)^(t_roll-(Sens!F6211+mid_yr))</f>
        <v>141.545013469889</v>
      </c>
      <c r="L6241" s="11" t="s">
        <v>1088</v>
      </c>
    </row>
    <row r="6242" customFormat="false" ht="17.15" hidden="false" customHeight="false" outlineLevel="0" collapsed="false">
      <c r="A6242" s="1" t="s">
        <v>1089</v>
      </c>
      <c r="B6242" s="0" t="s">
        <v>98</v>
      </c>
      <c r="C6242" s="6" t="n">
        <f aca="false">(w_ntm28*Sens!G6088+(1-w_ntm28)*Sens!H6088)*m_ai</f>
        <v>454.922440830797</v>
      </c>
    </row>
    <row r="6243" customFormat="false" ht="17.15" hidden="false" customHeight="false" outlineLevel="0" collapsed="false">
      <c r="A6243" s="1" t="s">
        <v>1090</v>
      </c>
      <c r="B6243" s="0" t="s">
        <v>98</v>
      </c>
      <c r="C6243" s="6" t="n">
        <f aca="false">(w_ntm28*Sens!G6234+(1-w_ntm28)*Sens!H6234)*m_cloud</f>
        <v>1060.48522613712</v>
      </c>
    </row>
    <row r="6244" customFormat="false" ht="17.15" hidden="false" customHeight="false" outlineLevel="0" collapsed="false">
      <c r="A6244" s="1" t="s">
        <v>1091</v>
      </c>
      <c r="B6244" s="0" t="s">
        <v>98</v>
      </c>
      <c r="C6244" s="6" t="n">
        <f aca="false">(w_ntm28*Sens!G6227+(1-w_ntm28)*Sens!H6227)*m_sw</f>
        <v>1127.71024611553</v>
      </c>
    </row>
    <row r="6245" customFormat="false" ht="17.15" hidden="false" customHeight="false" outlineLevel="0" collapsed="false">
      <c r="A6245" s="1" t="s">
        <v>1092</v>
      </c>
      <c r="B6245" s="0" t="s">
        <v>98</v>
      </c>
      <c r="C6245" s="6" t="n">
        <f aca="false">(w_ntm28*Sens!G6228+(1-w_ntm28)*Sens!H6228)*m_sw</f>
        <v>379.927954212425</v>
      </c>
    </row>
    <row r="6246" customFormat="false" ht="17.15" hidden="false" customHeight="false" outlineLevel="0" collapsed="false">
      <c r="A6246" s="1" t="s">
        <v>1093</v>
      </c>
      <c r="B6246" s="0" t="s">
        <v>98</v>
      </c>
      <c r="C6246" s="6" t="n">
        <f aca="false">(w_ntm28*Sens!G6229+(1-w_ntm28)*Sens!H6229)*m_sw</f>
        <v>109.537681746057</v>
      </c>
    </row>
    <row r="6247" customFormat="false" ht="17.15" hidden="false" customHeight="false" outlineLevel="0" collapsed="false">
      <c r="A6247" s="1" t="s">
        <v>1094</v>
      </c>
      <c r="B6247" s="0" t="s">
        <v>98</v>
      </c>
      <c r="C6247" s="6" t="n">
        <f aca="false">(w_ntm28*Sens!G6230+(1-w_ntm28)*Sens!H6230)*m_sw</f>
        <v>41.7907416024197</v>
      </c>
    </row>
    <row r="6248" customFormat="false" ht="17.15" hidden="false" customHeight="false" outlineLevel="0" collapsed="false">
      <c r="A6248" s="1" t="s">
        <v>1095</v>
      </c>
      <c r="B6248" s="0" t="s">
        <v>98</v>
      </c>
      <c r="C6248" s="6" t="n">
        <f aca="false">(w_ntm28*Sens!G6231+(1-w_ntm28)*Sens!H6231)*m_ads</f>
        <v>115.467626729004</v>
      </c>
    </row>
    <row r="6249" customFormat="false" ht="17.15" hidden="false" customHeight="false" outlineLevel="0" collapsed="false">
      <c r="A6249" s="1" t="s">
        <v>1096</v>
      </c>
      <c r="B6249" s="0" t="s">
        <v>98</v>
      </c>
      <c r="C6249" s="6" t="n">
        <f aca="false">(w_ntm28*Sens!G6236+(1-w_ntm28)*Sens!H6236)*m_game</f>
        <v>98.0506984247457</v>
      </c>
    </row>
    <row r="6250" customFormat="false" ht="17.15" hidden="false" customHeight="false" outlineLevel="0" collapsed="false">
      <c r="A6250" s="1" t="s">
        <v>1097</v>
      </c>
      <c r="B6250" s="0" t="s">
        <v>98</v>
      </c>
      <c r="C6250" s="6" t="n">
        <f aca="false">(w_ntm28*Sens!G6237+(1-w_ntm28)*Sens!H6237)*m_pc</f>
        <v>97.2088080478016</v>
      </c>
    </row>
    <row r="6251" customFormat="false" ht="17.15" hidden="false" customHeight="false" outlineLevel="0" collapsed="false">
      <c r="A6251" s="1" t="s">
        <v>1098</v>
      </c>
      <c r="B6251" s="0" t="s">
        <v>98</v>
      </c>
      <c r="C6251" s="6" t="n">
        <f aca="false">Sens!$C$6241+Sens!$C$6243+Sens!$C$6244+Sens!$C$6245+Sens!$C$6246+Sens!$C$6247+Sens!$C$6248+Sens!$C$6249+Sens!$C$6250</f>
        <v>3171.723996485</v>
      </c>
    </row>
    <row r="6252" customFormat="false" ht="17.15" hidden="false" customHeight="false" outlineLevel="0" collapsed="false">
      <c r="A6252" s="1" t="s">
        <v>1099</v>
      </c>
      <c r="B6252" s="0" t="s">
        <v>98</v>
      </c>
      <c r="C6252" s="6" t="n">
        <f aca="false">(Sens!G6213-Sens!G6238)*t_stub</f>
        <v>47.9592964551235</v>
      </c>
      <c r="L6252" s="1" t="s">
        <v>1100</v>
      </c>
    </row>
    <row r="6253" customFormat="false" ht="17.15" hidden="false" customHeight="false" outlineLevel="0" collapsed="false">
      <c r="A6253" s="1" t="s">
        <v>1014</v>
      </c>
      <c r="B6253" s="0" t="s">
        <v>98</v>
      </c>
      <c r="C6253" s="6" t="n">
        <f aca="false">Sens!F6202+oai_v-Sens!F6191+Sens!$C$6252</f>
        <v>159.994140621161</v>
      </c>
      <c r="L6253" s="1" t="s">
        <v>1101</v>
      </c>
    </row>
    <row r="6254" customFormat="false" ht="17.15" hidden="false" customHeight="false" outlineLevel="0" collapsed="false">
      <c r="A6254" s="1" t="s">
        <v>1102</v>
      </c>
      <c r="B6254" s="0" t="s">
        <v>75</v>
      </c>
      <c r="C6254" s="5" t="n">
        <f aca="false">(Sens!$C$6251+Sens!$C$6253)/(Sens!F6204+dil_gap)-Sens!G6194*roll_div_q/q_per_yr</f>
        <v>443.426633552049</v>
      </c>
      <c r="L6254" s="1" t="s">
        <v>1103</v>
      </c>
    </row>
    <row r="6255" customFormat="false" ht="17.15" hidden="false" customHeight="false" outlineLevel="0" collapsed="false">
      <c r="A6255" s="1" t="s">
        <v>1104</v>
      </c>
      <c r="B6255" s="0" t="s">
        <v>75</v>
      </c>
      <c r="C6255" s="5" t="n">
        <f aca="false">w_dcf*Sens!$C$6225+(1-w_dcf)*Sens!$C$6254</f>
        <v>386.275604118946</v>
      </c>
    </row>
    <row r="6256" customFormat="false" ht="17.15" hidden="false" customHeight="false" outlineLevel="0" collapsed="false">
      <c r="A6256" s="3" t="s">
        <v>1422</v>
      </c>
    </row>
    <row r="6257" customFormat="false" ht="15" hidden="false" customHeight="false" outlineLevel="0" collapsed="false">
      <c r="A6257" s="4" t="s">
        <v>43</v>
      </c>
      <c r="B6257" s="4" t="s">
        <v>65</v>
      </c>
      <c r="C6257" s="20" t="s">
        <v>799</v>
      </c>
      <c r="D6257" s="20" t="s">
        <v>800</v>
      </c>
      <c r="E6257" s="20" t="s">
        <v>801</v>
      </c>
      <c r="F6257" s="20" t="s">
        <v>802</v>
      </c>
      <c r="G6257" s="20" t="s">
        <v>803</v>
      </c>
      <c r="H6257" s="20" t="s">
        <v>804</v>
      </c>
      <c r="I6257" s="20" t="s">
        <v>805</v>
      </c>
      <c r="J6257" s="20" t="s">
        <v>806</v>
      </c>
      <c r="K6257" s="20" t="s">
        <v>807</v>
      </c>
      <c r="L6257" s="4" t="s">
        <v>47</v>
      </c>
    </row>
    <row r="6258" customFormat="false" ht="17.15" hidden="false" customHeight="false" outlineLevel="0" collapsed="false">
      <c r="A6258" s="1" t="s">
        <v>808</v>
      </c>
      <c r="B6258" s="1" t="s">
        <v>235</v>
      </c>
      <c r="C6258" s="28" t="n">
        <v>2024</v>
      </c>
      <c r="D6258" s="28" t="n">
        <v>2025</v>
      </c>
      <c r="E6258" s="28" t="n">
        <v>2026</v>
      </c>
      <c r="F6258" s="28" t="n">
        <v>2027</v>
      </c>
      <c r="G6258" s="28" t="n">
        <v>2028</v>
      </c>
      <c r="H6258" s="28" t="n">
        <v>2029</v>
      </c>
      <c r="I6258" s="28" t="n">
        <v>2030</v>
      </c>
      <c r="J6258" s="28" t="n">
        <v>2031</v>
      </c>
      <c r="K6258" s="28" t="n">
        <v>2032</v>
      </c>
    </row>
    <row r="6259" customFormat="false" ht="17.15" hidden="false" customHeight="false" outlineLevel="0" collapsed="false">
      <c r="A6259" s="1" t="s">
        <v>809</v>
      </c>
      <c r="B6259" s="0" t="s">
        <v>399</v>
      </c>
      <c r="F6259" s="29" t="n">
        <f aca="false">pace</f>
        <v>2527.2</v>
      </c>
      <c r="G6259" s="29" t="n">
        <f aca="false">pace</f>
        <v>2527.2</v>
      </c>
      <c r="H6259" s="29" t="n">
        <f aca="false">pace</f>
        <v>2527.2</v>
      </c>
      <c r="I6259" s="29" t="n">
        <f aca="false">pace+(g_tv*Sens!H6260-pace)*MIN(1,(Sens!I6258-pace_y0)/(pace_y1-pace_y0))</f>
        <v>1793.116</v>
      </c>
      <c r="J6259" s="29" t="n">
        <f aca="false">pace+(g_tv*Sens!I6260-pace)*MIN(1,(Sens!J6258-pace_y0)/(pace_y1-pace_y0))</f>
        <v>1094.89432</v>
      </c>
      <c r="K6259" s="29" t="n">
        <f aca="false">pace+(g_tv*Sens!J6260-pace)*MIN(1,(Sens!K6258-pace_y0)/(pace_y1-pace_y0))</f>
        <v>411.5883096</v>
      </c>
      <c r="L6259" s="11" t="s">
        <v>810</v>
      </c>
    </row>
    <row r="6260" customFormat="false" ht="17.15" hidden="false" customHeight="false" outlineLevel="0" collapsed="false">
      <c r="A6260" s="1" t="s">
        <v>811</v>
      </c>
      <c r="B6260" s="0" t="s">
        <v>399</v>
      </c>
      <c r="C6260" s="29" t="n">
        <f aca="false">mw_ext_24</f>
        <v>640</v>
      </c>
      <c r="D6260" s="29" t="n">
        <f aca="false">mw_ext_25</f>
        <v>1630</v>
      </c>
      <c r="E6260" s="29" t="n">
        <f aca="false">mw_ext_26</f>
        <v>3250</v>
      </c>
      <c r="F6260" s="29" t="n">
        <f aca="false">Sens!E6260+Sens!F6259</f>
        <v>5777.2</v>
      </c>
      <c r="G6260" s="29" t="n">
        <f aca="false">Sens!F6260+Sens!G6259</f>
        <v>8304.4</v>
      </c>
      <c r="H6260" s="29" t="n">
        <f aca="false">Sens!G6260+Sens!H6259</f>
        <v>10831.6</v>
      </c>
      <c r="I6260" s="29" t="n">
        <f aca="false">Sens!H6260+Sens!I6259</f>
        <v>12624.716</v>
      </c>
      <c r="J6260" s="29" t="n">
        <f aca="false">Sens!I6260+Sens!J6259</f>
        <v>13719.61032</v>
      </c>
      <c r="K6260" s="29" t="n">
        <f aca="false">Sens!J6260+Sens!K6259</f>
        <v>14131.1986296</v>
      </c>
      <c r="L6260" s="1" t="s">
        <v>812</v>
      </c>
    </row>
    <row r="6261" customFormat="false" ht="17.15" hidden="false" customHeight="false" outlineLevel="0" collapsed="false">
      <c r="A6261" s="1" t="s">
        <v>813</v>
      </c>
      <c r="B6261" s="0" t="s">
        <v>399</v>
      </c>
      <c r="C6261" s="29" t="n">
        <f aca="false">rent_ext_24</f>
        <v>150</v>
      </c>
      <c r="D6261" s="29" t="n">
        <f aca="false">rent_ext_25</f>
        <v>400</v>
      </c>
      <c r="E6261" s="29" t="n">
        <f aca="false">rent_ext_26</f>
        <v>550</v>
      </c>
      <c r="F6261" s="29" t="n">
        <f aca="false">rent_ext_f</f>
        <v>756</v>
      </c>
      <c r="G6261" s="29" t="n">
        <f aca="false">rent_ext_f</f>
        <v>756</v>
      </c>
      <c r="H6261" s="29" t="n">
        <f aca="false">rent_ext_f</f>
        <v>756</v>
      </c>
      <c r="I6261" s="29" t="n">
        <f aca="false">rent_ext_f</f>
        <v>756</v>
      </c>
      <c r="J6261" s="29" t="n">
        <f aca="false">rent_ext_f</f>
        <v>756</v>
      </c>
      <c r="K6261" s="29" t="n">
        <f aca="false">rent_ext_f</f>
        <v>756</v>
      </c>
      <c r="L6261" s="1" t="s">
        <v>814</v>
      </c>
    </row>
    <row r="6262" customFormat="false" ht="17.15" hidden="false" customHeight="false" outlineLevel="0" collapsed="false">
      <c r="A6262" s="1" t="s">
        <v>815</v>
      </c>
      <c r="B6262" s="0" t="s">
        <v>399</v>
      </c>
      <c r="C6262" s="29" t="n">
        <f aca="false">Sens!C6260-Sens!C6261</f>
        <v>490</v>
      </c>
      <c r="D6262" s="29" t="n">
        <f aca="false">Sens!D6260-Sens!D6261</f>
        <v>1230</v>
      </c>
      <c r="E6262" s="29" t="n">
        <f aca="false">Sens!E6260-Sens!E6261</f>
        <v>2700</v>
      </c>
      <c r="F6262" s="29" t="n">
        <f aca="false">Sens!F6260-Sens!F6261</f>
        <v>5021.2</v>
      </c>
      <c r="G6262" s="29" t="n">
        <f aca="false">Sens!G6260-Sens!G6261</f>
        <v>7548.4</v>
      </c>
      <c r="H6262" s="29" t="n">
        <f aca="false">Sens!H6260-Sens!H6261</f>
        <v>10075.6</v>
      </c>
      <c r="I6262" s="29" t="n">
        <f aca="false">Sens!I6260-Sens!I6261</f>
        <v>11868.716</v>
      </c>
      <c r="J6262" s="29" t="n">
        <f aca="false">Sens!J6260-Sens!J6261</f>
        <v>12963.61032</v>
      </c>
      <c r="K6262" s="29" t="n">
        <f aca="false">Sens!K6260-Sens!K6261</f>
        <v>13375.1986296</v>
      </c>
    </row>
    <row r="6263" customFormat="false" ht="17.15" hidden="false" customHeight="false" outlineLevel="0" collapsed="false">
      <c r="A6263" s="1" t="s">
        <v>816</v>
      </c>
      <c r="B6263" s="0" t="s">
        <v>399</v>
      </c>
      <c r="C6263" s="29" t="n">
        <f aca="false">Sens!C6262/ext_sh</f>
        <v>816.666666666667</v>
      </c>
      <c r="D6263" s="29" t="n">
        <f aca="false">Sens!D6262/ext_sh</f>
        <v>2050</v>
      </c>
      <c r="E6263" s="29" t="n">
        <f aca="false">Sens!E6262/ext_sh</f>
        <v>4500</v>
      </c>
      <c r="F6263" s="29" t="n">
        <f aca="false">Sens!F6262/ext_sh</f>
        <v>8368.66666666667</v>
      </c>
      <c r="G6263" s="29" t="n">
        <f aca="false">Sens!G6262/ext_sh</f>
        <v>12580.6666666667</v>
      </c>
      <c r="H6263" s="29" t="n">
        <f aca="false">Sens!H6262/ext_sh</f>
        <v>16792.6666666667</v>
      </c>
      <c r="I6263" s="29" t="n">
        <f aca="false">Sens!I6262/ext_sh</f>
        <v>19781.1933333333</v>
      </c>
      <c r="J6263" s="29" t="n">
        <f aca="false">Sens!J6262/ext_sh</f>
        <v>21606.0172</v>
      </c>
      <c r="K6263" s="29" t="n">
        <f aca="false">Sens!K6262/ext_sh</f>
        <v>22291.997716</v>
      </c>
      <c r="L6263" s="1" t="s">
        <v>817</v>
      </c>
    </row>
    <row r="6264" customFormat="false" ht="17.15" hidden="false" customHeight="false" outlineLevel="0" collapsed="false">
      <c r="A6264" s="1" t="s">
        <v>818</v>
      </c>
      <c r="B6264" s="0" t="s">
        <v>399</v>
      </c>
      <c r="C6264" s="29" t="n">
        <f aca="false">Sens!C6263-Sens!C6262</f>
        <v>326.666666666667</v>
      </c>
      <c r="D6264" s="29" t="n">
        <f aca="false">Sens!D6263-Sens!D6262</f>
        <v>820</v>
      </c>
      <c r="E6264" s="29" t="n">
        <f aca="false">Sens!E6263-Sens!E6262</f>
        <v>1800</v>
      </c>
      <c r="F6264" s="29" t="n">
        <f aca="false">Sens!F6263-Sens!F6262</f>
        <v>3347.46666666667</v>
      </c>
      <c r="G6264" s="29" t="n">
        <f aca="false">Sens!G6263-Sens!G6262</f>
        <v>5032.26666666667</v>
      </c>
      <c r="H6264" s="29" t="n">
        <f aca="false">Sens!H6263-Sens!H6262</f>
        <v>6717.06666666667</v>
      </c>
      <c r="I6264" s="29" t="n">
        <f aca="false">Sens!I6263-Sens!I6262</f>
        <v>7912.47733333333</v>
      </c>
      <c r="J6264" s="29" t="n">
        <f aca="false">Sens!J6263-Sens!J6262</f>
        <v>8642.40688</v>
      </c>
      <c r="K6264" s="29" t="n">
        <f aca="false">Sens!K6263-Sens!K6262</f>
        <v>8916.7990864</v>
      </c>
    </row>
    <row r="6265" customFormat="false" ht="17.15" hidden="false" customHeight="false" outlineLevel="0" collapsed="false">
      <c r="A6265" s="1" t="s">
        <v>819</v>
      </c>
      <c r="B6265" s="0" t="s">
        <v>399</v>
      </c>
      <c r="C6265" s="29" t="n">
        <f aca="false">Sens!C6263</f>
        <v>816.666666666667</v>
      </c>
      <c r="D6265" s="29" t="n">
        <f aca="false">Sens!D6263-Sens!C6263</f>
        <v>1233.33333333333</v>
      </c>
      <c r="E6265" s="29" t="n">
        <f aca="false">Sens!E6263-Sens!D6263</f>
        <v>2450</v>
      </c>
      <c r="F6265" s="29" t="n">
        <f aca="false">Sens!F6263-Sens!E6263</f>
        <v>3868.66666666667</v>
      </c>
      <c r="G6265" s="29" t="n">
        <f aca="false">Sens!G6263-Sens!F6263</f>
        <v>4212</v>
      </c>
      <c r="H6265" s="29" t="n">
        <f aca="false">Sens!H6263-Sens!G6263</f>
        <v>4212</v>
      </c>
      <c r="I6265" s="29" t="n">
        <f aca="false">Sens!I6263-Sens!H6263</f>
        <v>2988.52666666667</v>
      </c>
      <c r="J6265" s="29" t="n">
        <f aca="false">Sens!J6263-Sens!I6263</f>
        <v>1824.82386666667</v>
      </c>
      <c r="K6265" s="29" t="n">
        <f aca="false">Sens!K6263-Sens!J6263</f>
        <v>685.980516</v>
      </c>
    </row>
    <row r="6266" customFormat="false" ht="17.15" hidden="false" customHeight="false" outlineLevel="0" collapsed="false">
      <c r="A6266" s="1" t="s">
        <v>820</v>
      </c>
      <c r="B6266" s="0" t="s">
        <v>399</v>
      </c>
      <c r="D6266" s="29" t="n">
        <f aca="false">Sens!D6260-Sens!C6260</f>
        <v>990</v>
      </c>
      <c r="E6266" s="29" t="n">
        <f aca="false">Sens!E6260-Sens!D6260</f>
        <v>1620</v>
      </c>
      <c r="F6266" s="29" t="n">
        <f aca="false">Sens!F6260-Sens!E6260</f>
        <v>2527.2</v>
      </c>
      <c r="G6266" s="29" t="n">
        <f aca="false">Sens!G6260-Sens!F6260</f>
        <v>2527.2</v>
      </c>
      <c r="H6266" s="29" t="n">
        <f aca="false">Sens!H6260-Sens!G6260</f>
        <v>2527.2</v>
      </c>
      <c r="I6266" s="29" t="n">
        <f aca="false">Sens!I6260-Sens!H6260</f>
        <v>1793.116</v>
      </c>
      <c r="J6266" s="29" t="n">
        <f aca="false">Sens!J6260-Sens!I6260</f>
        <v>1094.89432</v>
      </c>
      <c r="K6266" s="29" t="n">
        <f aca="false">Sens!K6260-Sens!J6260</f>
        <v>411.5883096</v>
      </c>
    </row>
    <row r="6267" customFormat="false" ht="17.15" hidden="false" customHeight="false" outlineLevel="0" collapsed="false">
      <c r="A6267" s="1" t="s">
        <v>821</v>
      </c>
      <c r="B6267" s="0" t="s">
        <v>399</v>
      </c>
      <c r="F6267" s="29" t="n">
        <f aca="false">Sens!F6284*ext_sh</f>
        <v>0</v>
      </c>
      <c r="G6267" s="29" t="n">
        <f aca="false">Sens!G6284*ext_sh</f>
        <v>0</v>
      </c>
      <c r="H6267" s="29" t="n">
        <f aca="false">Sens!H6284*ext_sh</f>
        <v>0</v>
      </c>
      <c r="I6267" s="29" t="n">
        <f aca="false">Sens!I6284*ext_sh</f>
        <v>490</v>
      </c>
      <c r="J6267" s="29" t="n">
        <f aca="false">Sens!J6284*ext_sh</f>
        <v>740</v>
      </c>
      <c r="K6267" s="29" t="n">
        <f aca="false">Sens!K6284*ext_sh</f>
        <v>1470</v>
      </c>
      <c r="L6267" s="1" t="s">
        <v>822</v>
      </c>
    </row>
    <row r="6268" customFormat="false" ht="17.15" hidden="false" customHeight="false" outlineLevel="0" collapsed="false">
      <c r="A6268" s="1" t="s">
        <v>823</v>
      </c>
      <c r="B6268" s="0" t="s">
        <v>399</v>
      </c>
      <c r="C6268" s="29" t="n">
        <f aca="false">mix_h*Sens!C6260</f>
        <v>128</v>
      </c>
      <c r="D6268" s="29" t="n">
        <f aca="false">mix_h*Sens!D6260</f>
        <v>326</v>
      </c>
      <c r="E6268" s="29" t="n">
        <f aca="false">mix_h*Sens!E6260</f>
        <v>650</v>
      </c>
      <c r="F6268" s="29" t="n">
        <f aca="false">Sens!E6268-Sens!F6267*mix_h</f>
        <v>650</v>
      </c>
      <c r="G6268" s="29" t="n">
        <f aca="false">Sens!F6268-Sens!G6267*mix_h</f>
        <v>650</v>
      </c>
      <c r="H6268" s="29" t="n">
        <f aca="false">Sens!G6268-Sens!H6267*mix_h</f>
        <v>650</v>
      </c>
      <c r="I6268" s="29" t="n">
        <f aca="false">Sens!H6268-Sens!I6267*mix_h</f>
        <v>552</v>
      </c>
      <c r="J6268" s="29" t="n">
        <f aca="false">Sens!I6268-Sens!J6267*mix_h</f>
        <v>404</v>
      </c>
      <c r="K6268" s="29" t="n">
        <f aca="false">Sens!J6268-Sens!K6267*mix_h</f>
        <v>110</v>
      </c>
    </row>
    <row r="6269" customFormat="false" ht="17.15" hidden="false" customHeight="false" outlineLevel="0" collapsed="false">
      <c r="A6269" s="1" t="s">
        <v>824</v>
      </c>
      <c r="B6269" s="0" t="s">
        <v>399</v>
      </c>
      <c r="C6269" s="29" t="n">
        <f aca="false">mix_g2*Sens!C6260</f>
        <v>288</v>
      </c>
      <c r="D6269" s="29" t="n">
        <f aca="false">mix_g2*Sens!D6260</f>
        <v>733.5</v>
      </c>
      <c r="E6269" s="29" t="n">
        <f aca="false">mix_g2*Sens!E6260</f>
        <v>1462.5</v>
      </c>
      <c r="F6269" s="29" t="n">
        <f aca="false">Sens!E6269-Sens!F6267*mix_g2</f>
        <v>1462.5</v>
      </c>
      <c r="G6269" s="29" t="n">
        <f aca="false">Sens!F6269-Sens!G6267*mix_g2</f>
        <v>1462.5</v>
      </c>
      <c r="H6269" s="29" t="n">
        <f aca="false">Sens!G6269-Sens!H6267*mix_g2</f>
        <v>1462.5</v>
      </c>
      <c r="I6269" s="29" t="n">
        <f aca="false">Sens!H6269-Sens!I6267*mix_g2</f>
        <v>1242</v>
      </c>
      <c r="J6269" s="29" t="n">
        <f aca="false">Sens!I6269-Sens!J6267*mix_g2</f>
        <v>909</v>
      </c>
      <c r="K6269" s="29" t="n">
        <f aca="false">Sens!J6269-Sens!K6267*mix_g2</f>
        <v>247.5</v>
      </c>
    </row>
    <row r="6270" customFormat="false" ht="17.15" hidden="false" customHeight="false" outlineLevel="0" collapsed="false">
      <c r="A6270" s="1" t="s">
        <v>825</v>
      </c>
      <c r="B6270" s="0" t="s">
        <v>399</v>
      </c>
      <c r="C6270" s="29" t="n">
        <f aca="false">mix_g3*Sens!C6260</f>
        <v>224</v>
      </c>
      <c r="D6270" s="29" t="n">
        <f aca="false">mix_g3*Sens!D6260</f>
        <v>570.5</v>
      </c>
      <c r="E6270" s="29" t="n">
        <f aca="false">mix_g3*Sens!E6260</f>
        <v>1137.5</v>
      </c>
      <c r="F6270" s="29" t="n">
        <f aca="false">Sens!E6270+(Sens!F6266+Sens!F6267)*a_g3_27-Sens!F6267*mix_g3</f>
        <v>2906.54</v>
      </c>
      <c r="G6270" s="29" t="n">
        <f aca="false">Sens!F6270+(Sens!G6266+Sens!G6267)*a_g3_28-Sens!G6267*mix_g3</f>
        <v>3664.7</v>
      </c>
      <c r="H6270" s="29" t="n">
        <f aca="false">Sens!G6270+(Sens!H6266+Sens!H6267)*a_g3_29-Sens!H6267*mix_g3</f>
        <v>3917.42</v>
      </c>
      <c r="I6270" s="29" t="n">
        <f aca="false">Sens!H6270+(Sens!I6266+Sens!I6267)*a_g3_29-Sens!I6267*mix_g3</f>
        <v>3974.2316</v>
      </c>
      <c r="J6270" s="29" t="n">
        <f aca="false">Sens!I6270+(Sens!J6266+Sens!J6267)*a_g3_29-Sens!J6267*mix_g3</f>
        <v>3898.721032</v>
      </c>
      <c r="K6270" s="29" t="n">
        <f aca="false">Sens!J6270+(Sens!K6266+Sens!K6267)*a_g3_29-Sens!K6267*mix_g3</f>
        <v>3572.37986296</v>
      </c>
    </row>
    <row r="6271" customFormat="false" ht="17.15" hidden="false" customHeight="false" outlineLevel="0" collapsed="false">
      <c r="A6271" s="1" t="s">
        <v>826</v>
      </c>
      <c r="B6271" s="0" t="s">
        <v>399</v>
      </c>
      <c r="C6271" s="29" t="n">
        <v>0</v>
      </c>
      <c r="D6271" s="29" t="n">
        <v>0</v>
      </c>
      <c r="E6271" s="29" t="n">
        <v>0</v>
      </c>
      <c r="F6271" s="29" t="n">
        <f aca="false">Sens!E6271+(Sens!F6266+Sens!F6267)*(1-a_g3_27)</f>
        <v>758.16</v>
      </c>
      <c r="G6271" s="29" t="n">
        <f aca="false">Sens!F6271+(Sens!G6266+Sens!G6267)*(1-a_g3_28)</f>
        <v>2527.2</v>
      </c>
      <c r="H6271" s="29" t="n">
        <f aca="false">Sens!G6271+(Sens!H6266+Sens!H6267)*(1-a_g3_29)</f>
        <v>4801.68</v>
      </c>
      <c r="I6271" s="29" t="n">
        <f aca="false">Sens!H6271+(Sens!I6266+Sens!I6267)*(1-a_g3_29)</f>
        <v>6856.4844</v>
      </c>
      <c r="J6271" s="29" t="n">
        <f aca="false">Sens!I6271+(Sens!J6266+Sens!J6267)*(1-a_g3_29)</f>
        <v>8507.889288</v>
      </c>
      <c r="K6271" s="29" t="n">
        <f aca="false">Sens!J6271+(Sens!K6266+Sens!K6267)*(1-a_g3_29)</f>
        <v>10201.31876664</v>
      </c>
    </row>
    <row r="6272" customFormat="false" ht="17.15" hidden="false" customHeight="false" outlineLevel="0" collapsed="false">
      <c r="A6272" s="1" t="s">
        <v>827</v>
      </c>
      <c r="B6272" s="0" t="s">
        <v>346</v>
      </c>
      <c r="C6272" s="14" t="n">
        <f aca="false">(Sens!C6268*tk_hold_h100+Sens!C6269*tk_hold_gb200+Sens!C6270*tk_hold_gb300+Sens!C6271*tk_hold_vr200)/Sens!C6260</f>
        <v>9.7235358126469</v>
      </c>
      <c r="D6272" s="14" t="n">
        <f aca="false">(Sens!D6268*tk_hold_h100+Sens!D6269*tk_hold_gb200+Sens!D6270*tk_hold_gb300+Sens!D6271*tk_hold_vr200)/Sens!D6260</f>
        <v>9.7235358126469</v>
      </c>
      <c r="E6272" s="14" t="n">
        <f aca="false">(Sens!E6268*tk_hold_h100+Sens!E6269*tk_hold_gb200+Sens!E6270*tk_hold_gb300+Sens!E6271*tk_hold_vr200)/Sens!E6260</f>
        <v>9.7235358126469</v>
      </c>
      <c r="F6272" s="14" t="n">
        <f aca="false">(Sens!F6268*tk_hold_h100+Sens!F6269*tk_hold_gb200+Sens!F6270*tk_hold_gb300+Sens!F6271*tk_hold_vr200)/Sens!F6260</f>
        <v>10.4079573161931</v>
      </c>
      <c r="G6272" s="14" t="n">
        <f aca="false">(Sens!G6268*tk_hold_h100+Sens!G6269*tk_hold_gb200+Sens!G6270*tk_hold_gb300+Sens!G6271*tk_hold_vr200)/Sens!G6260</f>
        <v>10.8388131109316</v>
      </c>
      <c r="H6272" s="14" t="n">
        <f aca="false">(Sens!H6268*tk_hold_h100+Sens!H6269*tk_hold_gb200+Sens!H6270*tk_hold_gb300+Sens!H6271*tk_hold_vr200)/Sens!H6260</f>
        <v>11.1311018388216</v>
      </c>
      <c r="I6272" s="14" t="n">
        <f aca="false">(Sens!I6268*tk_hold_h100+Sens!I6269*tk_hold_gb200+Sens!I6270*tk_hold_gb300+Sens!I6271*tk_hold_vr200)/Sens!I6260</f>
        <v>11.3594282560989</v>
      </c>
      <c r="J6272" s="14" t="n">
        <f aca="false">(Sens!J6268*tk_hold_h100+Sens!J6269*tk_hold_gb200+Sens!J6270*tk_hold_gb300+Sens!J6271*tk_hold_vr200)/Sens!J6260</f>
        <v>11.5455817917599</v>
      </c>
      <c r="K6272" s="14" t="n">
        <f aca="false">(Sens!K6268*tk_hold_h100+Sens!K6269*tk_hold_gb200+Sens!K6270*tk_hold_gb300+Sens!K6271*tk_hold_vr200)/Sens!K6260</f>
        <v>11.8078187977246</v>
      </c>
    </row>
    <row r="6273" customFormat="false" ht="17.15" hidden="false" customHeight="false" outlineLevel="0" collapsed="false">
      <c r="A6273" s="0" t="s">
        <v>828</v>
      </c>
      <c r="B6273" s="0" t="s">
        <v>185</v>
      </c>
      <c r="C6273" s="14" t="n">
        <f aca="false">k_B</f>
        <v>1.17213932619116</v>
      </c>
      <c r="D6273" s="14" t="n">
        <f aca="false">k_B</f>
        <v>1.17213932619116</v>
      </c>
      <c r="E6273" s="14" t="n">
        <f aca="false">k_B</f>
        <v>1.17213932619116</v>
      </c>
      <c r="F6273" s="14" t="n">
        <f aca="false">(k_B+((ls_C*k_long+(1-ls_C)*k_spot)-k_B)*MIN(1,(Sens!F6258-base_fy)/k_ramp))</f>
        <v>1.07843258004497</v>
      </c>
      <c r="G6273" s="14" t="n">
        <f aca="false">(k_B+((ls_C*k_long+(1-ls_C)*k_spot)-k_B)*MIN(1,(Sens!G6258-base_fy)/k_ramp))</f>
        <v>0.984725833898784</v>
      </c>
      <c r="H6273" s="14" t="n">
        <f aca="false">(k_B+((ls_C*k_long+(1-ls_C)*k_spot)-k_B)*MIN(1,(Sens!H6258-base_fy)/k_ramp))</f>
        <v>0.891019087752599</v>
      </c>
      <c r="I6273" s="14" t="n">
        <f aca="false">(k_B+((ls_C*k_long+(1-ls_C)*k_spot)-k_B)*MIN(1,(Sens!I6258-base_fy)/k_ramp))</f>
        <v>0.891019087752599</v>
      </c>
      <c r="J6273" s="14" t="n">
        <f aca="false">(k_B+((ls_C*k_long+(1-ls_C)*k_spot)-k_B)*MIN(1,(Sens!J6258-base_fy)/k_ramp))</f>
        <v>0.891019087752599</v>
      </c>
      <c r="K6273" s="14" t="n">
        <f aca="false">(k_B+((ls_C*k_long+(1-ls_C)*k_spot)-k_B)*MIN(1,(Sens!K6258-base_fy)/k_ramp))</f>
        <v>0.891019087752599</v>
      </c>
      <c r="L6273" s="1" t="s">
        <v>829</v>
      </c>
    </row>
    <row r="6274" customFormat="false" ht="17.15" hidden="false" customHeight="false" outlineLevel="0" collapsed="false">
      <c r="A6274" s="1" t="s">
        <v>830</v>
      </c>
      <c r="B6274" s="0" t="s">
        <v>346</v>
      </c>
      <c r="C6274" s="14" t="n">
        <f aca="false">Sens!C6272*Sens!C6273*chip_f</f>
        <v>11.3973387156315</v>
      </c>
      <c r="D6274" s="14" t="n">
        <f aca="false">Sens!D6272*Sens!D6273*chip_f</f>
        <v>11.3973387156315</v>
      </c>
      <c r="E6274" s="14" t="n">
        <f aca="false">Sens!E6272*Sens!E6273*chip_f</f>
        <v>11.3973387156315</v>
      </c>
      <c r="F6274" s="14" t="n">
        <f aca="false">Sens!F6272*Sens!F6273*chip_f</f>
        <v>11.2242802615</v>
      </c>
      <c r="G6274" s="14" t="n">
        <f aca="false">Sens!G6272*Sens!G6273*chip_f</f>
        <v>10.6732592791352</v>
      </c>
      <c r="H6274" s="14" t="n">
        <f aca="false">Sens!H6272*Sens!H6273*chip_f</f>
        <v>9.91802420610807</v>
      </c>
      <c r="I6274" s="14" t="n">
        <f aca="false">Sens!I6272*Sens!I6273*chip_f</f>
        <v>10.1214674021403</v>
      </c>
      <c r="J6274" s="14" t="n">
        <f aca="false">Sens!J6272*Sens!J6273*chip_f</f>
        <v>10.2873337556669</v>
      </c>
      <c r="K6274" s="14" t="n">
        <f aca="false">Sens!K6272*Sens!K6273*chip_f</f>
        <v>10.5209919334966</v>
      </c>
      <c r="L6274" s="1" t="s">
        <v>831</v>
      </c>
    </row>
    <row r="6275" customFormat="false" ht="17.15" hidden="false" customHeight="false" outlineLevel="0" collapsed="false">
      <c r="A6275" s="0" t="s">
        <v>832</v>
      </c>
      <c r="B6275" s="0" t="s">
        <v>98</v>
      </c>
      <c r="D6275" s="6" t="n">
        <f aca="false">(Sens!C6260+Sens!D6260)/2*Sens!D6274/1000</f>
        <v>12.9359794422418</v>
      </c>
      <c r="E6275" s="6" t="n">
        <f aca="false">(Sens!D6260+Sens!E6260)/2*Sens!E6274/1000</f>
        <v>27.8095064661409</v>
      </c>
      <c r="F6275" s="6" t="n">
        <f aca="false">(Sens!E6260+Sens!F6260)/2*Sens!F6274/1000</f>
        <v>50.6619113883066</v>
      </c>
      <c r="G6275" s="6" t="n">
        <f aca="false">(Sens!F6260+Sens!G6260)/2*Sens!G6274/1000</f>
        <v>75.1482839325348</v>
      </c>
      <c r="H6275" s="6" t="n">
        <f aca="false">(Sens!G6260+Sens!H6260)/2*Sens!H6274/1000</f>
        <v>94.895655604042</v>
      </c>
      <c r="I6275" s="6" t="n">
        <f aca="false">(Sens!H6260+Sens!I6260)/2*Sens!I6274/1000</f>
        <v>118.706168884151</v>
      </c>
      <c r="J6275" s="6" t="n">
        <f aca="false">(Sens!I6260+Sens!J6260)/2*Sens!J6274/1000</f>
        <v>135.50643871102</v>
      </c>
      <c r="K6275" s="6" t="n">
        <f aca="false">(Sens!J6260+Sens!K6260)/2*Sens!K6274/1000</f>
        <v>146.509068150048</v>
      </c>
      <c r="L6275" s="11" t="s">
        <v>833</v>
      </c>
    </row>
    <row r="6276" customFormat="false" ht="17.15" hidden="false" customHeight="false" outlineLevel="0" collapsed="false">
      <c r="A6276" s="1" t="s">
        <v>834</v>
      </c>
      <c r="B6276" s="0" t="s">
        <v>346</v>
      </c>
      <c r="C6276" s="14" t="n">
        <f aca="false">(Sens!C6268*tk_opex_h100+Sens!C6269*tk_opex_gb200+Sens!C6270*tk_opex_gb300+Sens!C6271*tk_opex_vr200)/Sens!C6260</f>
        <v>1.88636041306092</v>
      </c>
      <c r="D6276" s="14" t="n">
        <f aca="false">(Sens!D6268*tk_opex_h100+Sens!D6269*tk_opex_gb200+Sens!D6270*tk_opex_gb300+Sens!D6271*tk_opex_vr200)/Sens!D6260</f>
        <v>1.88636041306092</v>
      </c>
      <c r="E6276" s="14" t="n">
        <f aca="false">(Sens!E6268*tk_opex_h100+Sens!E6269*tk_opex_gb200+Sens!E6270*tk_opex_gb300+Sens!E6271*tk_opex_vr200)/Sens!E6260</f>
        <v>1.88636041306092</v>
      </c>
      <c r="F6276" s="14" t="n">
        <f aca="false">(Sens!F6268*tk_opex_h100+Sens!F6269*tk_opex_gb200+Sens!F6270*tk_opex_gb300+Sens!F6271*tk_opex_vr200)/Sens!F6260</f>
        <v>1.9430236476499</v>
      </c>
      <c r="G6276" s="14" t="n">
        <f aca="false">(Sens!G6268*tk_opex_h100+Sens!G6269*tk_opex_gb200+Sens!G6270*tk_opex_gb300+Sens!G6271*tk_opex_vr200)/Sens!G6260</f>
        <v>1.9786941852423</v>
      </c>
      <c r="H6276" s="14" t="n">
        <f aca="false">(Sens!H6268*tk_opex_h100+Sens!H6269*tk_opex_gb200+Sens!H6270*tk_opex_gb300+Sens!H6271*tk_opex_vr200)/Sens!H6260</f>
        <v>2.00289275976156</v>
      </c>
      <c r="I6276" s="14" t="n">
        <f aca="false">(Sens!I6268*tk_opex_h100+Sens!I6269*tk_opex_gb200+Sens!I6270*tk_opex_gb300+Sens!I6271*tk_opex_vr200)/Sens!I6260</f>
        <v>2.02179589661219</v>
      </c>
      <c r="J6276" s="14" t="n">
        <f aca="false">(Sens!J6268*tk_opex_h100+Sens!J6269*tk_opex_gb200+Sens!J6270*tk_opex_gb300+Sens!J6271*tk_opex_vr200)/Sens!J6260</f>
        <v>2.03720754193029</v>
      </c>
      <c r="K6276" s="14" t="n">
        <f aca="false">(Sens!K6268*tk_opex_h100+Sens!K6269*tk_opex_gb200+Sens!K6270*tk_opex_gb300+Sens!K6271*tk_opex_vr200)/Sens!K6260</f>
        <v>2.0589181353437</v>
      </c>
    </row>
    <row r="6277" customFormat="false" ht="17.15" hidden="false" customHeight="false" outlineLevel="0" collapsed="false">
      <c r="A6277" s="0" t="s">
        <v>835</v>
      </c>
      <c r="B6277" s="0" t="s">
        <v>98</v>
      </c>
      <c r="D6277" s="6" t="n">
        <f aca="false">(Sens!C6263+Sens!D6263)/2*Sens!D6276/1000</f>
        <v>2.70378325872065</v>
      </c>
      <c r="E6277" s="6" t="n">
        <f aca="false">(Sens!D6263+Sens!E6263)/2*Sens!E6276/1000</f>
        <v>6.17783035277451</v>
      </c>
      <c r="F6277" s="6" t="n">
        <f aca="false">(Sens!E6263+Sens!F6263)/2*Sens!F6276/1000</f>
        <v>12.5020618235287</v>
      </c>
      <c r="G6277" s="6" t="n">
        <f aca="false">(Sens!F6263+Sens!G6263)/2*Sens!G6276/1000</f>
        <v>20.7261620256847</v>
      </c>
      <c r="H6277" s="6" t="n">
        <f aca="false">(Sens!G6263+Sens!H6263)/2*Sens!H6276/1000</f>
        <v>29.4158183316982</v>
      </c>
      <c r="I6277" s="6" t="n">
        <f aca="false">(Sens!H6263+Sens!I6263)/2*Sens!I6276/1000</f>
        <v>36.9724400356344</v>
      </c>
      <c r="J6277" s="6" t="n">
        <f aca="false">(Sens!I6263+Sens!J6263)/2*Sens!J6276/1000</f>
        <v>42.1571687189816</v>
      </c>
      <c r="K6277" s="6" t="n">
        <f aca="false">(Sens!J6263+Sens!K6263)/2*Sens!K6276/1000</f>
        <v>45.1912095080704</v>
      </c>
    </row>
    <row r="6278" customFormat="false" ht="17.15" hidden="false" customHeight="false" outlineLevel="0" collapsed="false">
      <c r="A6278" s="0" t="s">
        <v>836</v>
      </c>
      <c r="B6278" s="0" t="s">
        <v>98</v>
      </c>
      <c r="D6278" s="6" t="n">
        <f aca="false">(Sens!C6261+Sens!D6261)/2*rent_mw/1000</f>
        <v>2.44475</v>
      </c>
      <c r="E6278" s="6" t="n">
        <f aca="false">(Sens!D6261+Sens!E6261)/2*rent_mw/1000</f>
        <v>4.22275</v>
      </c>
      <c r="F6278" s="6" t="n">
        <f aca="false">(Sens!E6261+Sens!F6261)/2*rent_mw/1000</f>
        <v>5.80517</v>
      </c>
      <c r="G6278" s="6" t="n">
        <f aca="false">(Sens!F6261+Sens!G6261)/2*rent_mw/1000</f>
        <v>6.72084</v>
      </c>
      <c r="H6278" s="6" t="n">
        <f aca="false">(Sens!G6261+Sens!H6261)/2*rent_mw/1000</f>
        <v>6.72084</v>
      </c>
      <c r="I6278" s="6" t="n">
        <f aca="false">(Sens!H6261+Sens!I6261)/2*rent_mw/1000</f>
        <v>6.72084</v>
      </c>
      <c r="J6278" s="6" t="n">
        <f aca="false">(Sens!I6261+Sens!J6261)/2*rent_mw/1000</f>
        <v>6.72084</v>
      </c>
      <c r="K6278" s="6" t="n">
        <f aca="false">(Sens!J6261+Sens!K6261)/2*rent_mw/1000</f>
        <v>6.72084</v>
      </c>
    </row>
    <row r="6279" customFormat="false" ht="17.15" hidden="false" customHeight="false" outlineLevel="0" collapsed="false">
      <c r="A6279" s="0" t="s">
        <v>837</v>
      </c>
      <c r="B6279" s="0" t="s">
        <v>98</v>
      </c>
      <c r="D6279" s="6" t="n">
        <f aca="false">(Sens!C6263+Sens!D6263)/2*(1-self_build)*fac_rent/1000</f>
        <v>0.853242375631075</v>
      </c>
      <c r="E6279" s="6" t="n">
        <f aca="false">(Sens!D6263+Sens!E6263)/2*(1-self_build)*fac_rent/1000</f>
        <v>1.94955961408728</v>
      </c>
      <c r="F6279" s="6" t="n">
        <f aca="false">(Sens!E6263+Sens!F6263)/2*(1-self_build)*fac_rent/1000</f>
        <v>3.83026455274573</v>
      </c>
      <c r="G6279" s="6" t="n">
        <f aca="false">(Sens!F6263+Sens!G6263)/2*(1-self_build)*fac_rent/1000</f>
        <v>6.23541590972812</v>
      </c>
      <c r="H6279" s="6" t="n">
        <f aca="false">(Sens!G6263+Sens!H6263)/2*(1-self_build)*fac_rent/1000</f>
        <v>8.74275792332679</v>
      </c>
      <c r="I6279" s="6" t="n">
        <f aca="false">(Sens!H6263+Sens!I6263)/2*(1-self_build)*fac_rent/1000</f>
        <v>10.8859420438599</v>
      </c>
      <c r="J6279" s="6" t="n">
        <f aca="false">(Sens!I6263+Sens!J6263)/2*(1-self_build)*fac_rent/1000</f>
        <v>12.3186006405366</v>
      </c>
      <c r="K6279" s="6" t="n">
        <f aca="false">(Sens!J6263+Sens!K6263)/2*(1-self_build)*fac_rent/1000</f>
        <v>13.0659232089824</v>
      </c>
      <c r="L6279" s="11" t="s">
        <v>838</v>
      </c>
    </row>
    <row r="6280" customFormat="false" ht="17.15" hidden="false" customHeight="false" outlineLevel="0" collapsed="false">
      <c r="A6280" s="1" t="s">
        <v>839</v>
      </c>
      <c r="B6280" s="0" t="s">
        <v>129</v>
      </c>
      <c r="D6280" s="7" t="n">
        <f aca="false">(Sens!C6262+Sens!D6262)/(Sens!C6263+Sens!D6263)</f>
        <v>0.6</v>
      </c>
      <c r="E6280" s="7" t="n">
        <f aca="false">(Sens!D6262+Sens!E6262)/(Sens!D6263+Sens!E6263)</f>
        <v>0.6</v>
      </c>
      <c r="F6280" s="7" t="n">
        <f aca="false">(Sens!E6262+Sens!F6262)/(Sens!E6263+Sens!F6263)</f>
        <v>0.6</v>
      </c>
      <c r="G6280" s="7" t="n">
        <f aca="false">(Sens!F6262+Sens!G6262)/(Sens!F6263+Sens!G6263)</f>
        <v>0.6</v>
      </c>
      <c r="H6280" s="7" t="n">
        <f aca="false">(Sens!G6262+Sens!H6262)/(Sens!G6263+Sens!H6263)</f>
        <v>0.6</v>
      </c>
      <c r="I6280" s="7" t="n">
        <f aca="false">(Sens!H6262+Sens!I6262)/(Sens!H6263+Sens!I6263)</f>
        <v>0.6</v>
      </c>
      <c r="J6280" s="7" t="n">
        <f aca="false">(Sens!I6262+Sens!J6262)/(Sens!I6263+Sens!J6263)</f>
        <v>0.6</v>
      </c>
      <c r="K6280" s="7" t="n">
        <f aca="false">(Sens!J6262+Sens!K6262)/(Sens!J6263+Sens!K6263)</f>
        <v>0.6</v>
      </c>
    </row>
    <row r="6281" customFormat="false" ht="17.15" hidden="false" customHeight="false" outlineLevel="0" collapsed="false">
      <c r="A6281" s="0" t="s">
        <v>840</v>
      </c>
      <c r="B6281" s="0" t="s">
        <v>98</v>
      </c>
      <c r="D6281" s="6" t="n">
        <f aca="false">Sens!D6275-Sens!D6280*(Sens!D6277+Sens!D6279)-Sens!D6278</f>
        <v>8.35701406163072</v>
      </c>
      <c r="E6281" s="6" t="n">
        <f aca="false">Sens!E6275-Sens!E6280*(Sens!E6277+Sens!E6279)-Sens!E6278</f>
        <v>18.7103224860238</v>
      </c>
      <c r="F6281" s="6" t="n">
        <f aca="false">Sens!F6275-Sens!F6280*(Sens!F6277+Sens!F6279)-Sens!F6278</f>
        <v>35.0573455625419</v>
      </c>
      <c r="G6281" s="6" t="n">
        <f aca="false">Sens!G6275-Sens!G6280*(Sens!G6277+Sens!G6279)-Sens!G6278</f>
        <v>52.2504971712871</v>
      </c>
      <c r="H6281" s="6" t="n">
        <f aca="false">Sens!H6275-Sens!H6280*(Sens!H6277+Sens!H6279)-Sens!H6278</f>
        <v>65.2796698510271</v>
      </c>
      <c r="I6281" s="6" t="n">
        <f aca="false">Sens!I6275-Sens!I6280*(Sens!I6277+Sens!I6279)-Sens!I6278</f>
        <v>83.2702996364549</v>
      </c>
      <c r="J6281" s="6" t="n">
        <f aca="false">Sens!J6275-Sens!J6280*(Sens!J6277+Sens!J6279)-Sens!J6278</f>
        <v>96.1001370953095</v>
      </c>
      <c r="K6281" s="6" t="n">
        <f aca="false">Sens!K6275-Sens!K6280*(Sens!K6277+Sens!K6279)-Sens!K6278</f>
        <v>104.833948519816</v>
      </c>
    </row>
    <row r="6282" customFormat="false" ht="17.15" hidden="false" customHeight="false" outlineLevel="0" collapsed="false">
      <c r="A6282" s="1" t="s">
        <v>841</v>
      </c>
      <c r="B6282" s="0" t="s">
        <v>98</v>
      </c>
      <c r="D6282" s="6" t="n">
        <f aca="false">(1-Sens!D6280)*(Sens!D6277+Sens!D6279)</f>
        <v>1.42281025374069</v>
      </c>
      <c r="E6282" s="6" t="n">
        <f aca="false">(1-Sens!E6280)*(Sens!E6277+Sens!E6279)</f>
        <v>3.25095598674472</v>
      </c>
      <c r="F6282" s="6" t="n">
        <f aca="false">(1-Sens!F6280)*(Sens!F6277+Sens!F6279)</f>
        <v>6.53293055050977</v>
      </c>
      <c r="G6282" s="6" t="n">
        <f aca="false">(1-Sens!G6280)*(Sens!G6277+Sens!G6279)</f>
        <v>10.7846311741651</v>
      </c>
      <c r="H6282" s="6" t="n">
        <f aca="false">(1-Sens!H6280)*(Sens!H6277+Sens!H6279)</f>
        <v>15.26343050201</v>
      </c>
      <c r="I6282" s="6" t="n">
        <f aca="false">(1-Sens!I6280)*(Sens!I6277+Sens!I6279)</f>
        <v>19.1433528317977</v>
      </c>
      <c r="J6282" s="6" t="n">
        <f aca="false">(1-Sens!J6280)*(Sens!J6277+Sens!J6279)</f>
        <v>21.7903077438073</v>
      </c>
      <c r="K6282" s="6" t="n">
        <f aca="false">(1-Sens!K6280)*(Sens!K6277+Sens!K6279)</f>
        <v>23.3028530868211</v>
      </c>
    </row>
    <row r="6283" customFormat="false" ht="17.15" hidden="false" customHeight="false" outlineLevel="0" collapsed="false">
      <c r="A6283" s="1" t="s">
        <v>842</v>
      </c>
      <c r="B6283" s="0" t="s">
        <v>357</v>
      </c>
      <c r="C6283" s="8" t="n">
        <f aca="false">cxit_open</f>
        <v>27.5918995</v>
      </c>
      <c r="D6283" s="8" t="n">
        <f aca="false">cxit_open</f>
        <v>27.5918995</v>
      </c>
      <c r="E6283" s="8" t="n">
        <f aca="false">cxit_open</f>
        <v>27.5918995</v>
      </c>
      <c r="F6283" s="8" t="n">
        <f aca="false">(a_g3_27*tk_cxit_gb300+(1-a_g3_27)*tk_cxit_vr200)</f>
        <v>33.8419624</v>
      </c>
      <c r="G6283" s="8" t="n">
        <f aca="false">(a_g3_28*tk_cxit_gb300+(1-a_g3_28)*tk_cxit_vr200)</f>
        <v>35.9816136</v>
      </c>
      <c r="H6283" s="8" t="n">
        <f aca="false">(a_g3_29*tk_cxit_gb300+(1-a_g3_29)*tk_cxit_vr200)</f>
        <v>37.0514392</v>
      </c>
      <c r="I6283" s="8" t="n">
        <f aca="false">(a_g3_29*tk_cxit_gb300+(1-a_g3_29)*tk_cxit_vr200)</f>
        <v>37.0514392</v>
      </c>
      <c r="J6283" s="8" t="n">
        <f aca="false">(a_g3_29*tk_cxit_gb300+(1-a_g3_29)*tk_cxit_vr200)</f>
        <v>37.0514392</v>
      </c>
      <c r="K6283" s="8" t="n">
        <f aca="false">(a_g3_29*tk_cxit_gb300+(1-a_g3_29)*tk_cxit_vr200)</f>
        <v>37.0514392</v>
      </c>
      <c r="L6283" s="11" t="s">
        <v>843</v>
      </c>
    </row>
    <row r="6284" customFormat="false" ht="17.15" hidden="false" customHeight="false" outlineLevel="0" collapsed="false">
      <c r="A6284" s="0" t="s">
        <v>844</v>
      </c>
      <c r="B6284" s="0" t="s">
        <v>399</v>
      </c>
      <c r="F6284" s="29" t="n">
        <f aca="false">Sens!C6265*IF(Sens!F6258-Sens!C6258=life_it,1,0)+Sens!D6265*IF(Sens!F6258-Sens!D6258=life_it,1,0)+Sens!E6265*IF(Sens!F6258-Sens!E6258=life_it,1,0)</f>
        <v>0</v>
      </c>
      <c r="G6284" s="29" t="n">
        <f aca="false">Sens!C6265*IF(Sens!G6258-Sens!C6258=life_it,1,0)+Sens!D6265*IF(Sens!G6258-Sens!D6258=life_it,1,0)+Sens!E6265*IF(Sens!G6258-Sens!E6258=life_it,1,0)+Sens!F6265*IF(Sens!G6258-Sens!F6258=life_it,1,0)</f>
        <v>0</v>
      </c>
      <c r="H6284" s="29" t="n">
        <f aca="false">Sens!C6265*IF(Sens!H6258-Sens!C6258=life_it,1,0)+Sens!D6265*IF(Sens!H6258-Sens!D6258=life_it,1,0)+Sens!E6265*IF(Sens!H6258-Sens!E6258=life_it,1,0)+Sens!F6265*IF(Sens!H6258-Sens!F6258=life_it,1,0)+Sens!G6265*IF(Sens!H6258-Sens!G6258=life_it,1,0)</f>
        <v>0</v>
      </c>
      <c r="I6284" s="29" t="n">
        <f aca="false">Sens!C6265*IF(Sens!I6258-Sens!C6258=life_it,1,0)+Sens!D6265*IF(Sens!I6258-Sens!D6258=life_it,1,0)+Sens!E6265*IF(Sens!I6258-Sens!E6258=life_it,1,0)+Sens!F6265*IF(Sens!I6258-Sens!F6258=life_it,1,0)+Sens!G6265*IF(Sens!I6258-Sens!G6258=life_it,1,0)+Sens!H6265*IF(Sens!I6258-Sens!H6258=life_it,1,0)</f>
        <v>816.666666666667</v>
      </c>
      <c r="J6284" s="29" t="n">
        <f aca="false">Sens!C6265*IF(Sens!J6258-Sens!C6258=life_it,1,0)+Sens!D6265*IF(Sens!J6258-Sens!D6258=life_it,1,0)+Sens!E6265*IF(Sens!J6258-Sens!E6258=life_it,1,0)+Sens!F6265*IF(Sens!J6258-Sens!F6258=life_it,1,0)+Sens!G6265*IF(Sens!J6258-Sens!G6258=life_it,1,0)+Sens!H6265*IF(Sens!J6258-Sens!H6258=life_it,1,0)+Sens!I6265*IF(Sens!J6258-Sens!I6258=life_it,1,0)</f>
        <v>1233.33333333333</v>
      </c>
      <c r="K6284" s="29" t="n">
        <f aca="false">Sens!C6265*IF(Sens!K6258-Sens!C6258=life_it,1,0)+Sens!D6265*IF(Sens!K6258-Sens!D6258=life_it,1,0)+Sens!E6265*IF(Sens!K6258-Sens!E6258=life_it,1,0)+Sens!F6265*IF(Sens!K6258-Sens!F6258=life_it,1,0)+Sens!G6265*IF(Sens!K6258-Sens!G6258=life_it,1,0)+Sens!H6265*IF(Sens!K6258-Sens!H6258=life_it,1,0)+Sens!I6265*IF(Sens!K6258-Sens!I6258=life_it,1,0)+Sens!J6265*IF(Sens!K6258-Sens!J6258=life_it,1,0)</f>
        <v>2450</v>
      </c>
      <c r="L6284" s="1" t="s">
        <v>845</v>
      </c>
    </row>
    <row r="6285" customFormat="false" ht="17.15" hidden="false" customHeight="false" outlineLevel="0" collapsed="false">
      <c r="A6285" s="0" t="s">
        <v>846</v>
      </c>
      <c r="B6285" s="0" t="s">
        <v>98</v>
      </c>
      <c r="C6285" s="6" t="n">
        <f aca="false">Sens!C6265*Sens!C6283/1000</f>
        <v>22.5333845916667</v>
      </c>
      <c r="D6285" s="6" t="n">
        <f aca="false">Sens!D6265*Sens!D6283/1000</f>
        <v>34.0300093833333</v>
      </c>
      <c r="E6285" s="6" t="n">
        <f aca="false">Sens!E6265*Sens!E6283/1000</f>
        <v>67.600153775</v>
      </c>
      <c r="F6285" s="6" t="n">
        <f aca="false">(Sens!F6265+Sens!F6284)*Sens!F6283/1000</f>
        <v>130.923271871467</v>
      </c>
      <c r="G6285" s="6" t="n">
        <f aca="false">(Sens!G6265+Sens!G6284)*Sens!G6283/1000</f>
        <v>151.5545564832</v>
      </c>
      <c r="H6285" s="6" t="n">
        <f aca="false">(Sens!H6265+Sens!H6284)*Sens!H6283/1000</f>
        <v>156.0606619104</v>
      </c>
      <c r="I6285" s="6" t="n">
        <f aca="false">(Sens!I6265+Sens!I6284)*Sens!I6283/1000</f>
        <v>140.987889434245</v>
      </c>
      <c r="J6285" s="6" t="n">
        <f aca="false">(Sens!J6265+Sens!J6284)*Sens!J6283/1000</f>
        <v>113.309125559842</v>
      </c>
      <c r="K6285" s="6" t="n">
        <f aca="false">(Sens!K6265+Sens!K6284)*Sens!K6283/1000</f>
        <v>116.192591420959</v>
      </c>
    </row>
    <row r="6286" customFormat="false" ht="17.15" hidden="false" customHeight="false" outlineLevel="0" collapsed="false">
      <c r="A6286" s="0" t="s">
        <v>847</v>
      </c>
      <c r="B6286" s="0" t="s">
        <v>98</v>
      </c>
      <c r="C6286" s="6" t="n">
        <f aca="false">Sens!C6265*self_build*tk_cxfac/1000</f>
        <v>6.2083</v>
      </c>
      <c r="D6286" s="6" t="n">
        <f aca="false">Sens!D6265*self_build*tk_cxfac/1000</f>
        <v>9.3758</v>
      </c>
      <c r="E6286" s="6" t="n">
        <f aca="false">Sens!E6265*self_build*tk_cxfac/1000</f>
        <v>18.6249</v>
      </c>
      <c r="F6286" s="6" t="n">
        <f aca="false">Sens!F6265*self_build*tk_cxfac/1000</f>
        <v>29.409604</v>
      </c>
      <c r="G6286" s="6" t="n">
        <f aca="false">Sens!G6265*self_build*tk_cxfac/1000</f>
        <v>32.019624</v>
      </c>
      <c r="H6286" s="6" t="n">
        <f aca="false">Sens!H6265*self_build*tk_cxfac/1000</f>
        <v>32.019624</v>
      </c>
      <c r="I6286" s="6" t="n">
        <f aca="false">Sens!I6265*self_build*tk_cxfac/1000</f>
        <v>22.71877972</v>
      </c>
      <c r="J6286" s="6" t="n">
        <f aca="false">Sens!J6265*self_build*tk_cxfac/1000</f>
        <v>13.8723110344</v>
      </c>
      <c r="K6286" s="6" t="n">
        <f aca="false">Sens!K6265*self_build*tk_cxfac/1000</f>
        <v>5.214823882632</v>
      </c>
    </row>
    <row r="6287" customFormat="false" ht="17.15" hidden="false" customHeight="false" outlineLevel="0" collapsed="false">
      <c r="A6287" s="0" t="s">
        <v>848</v>
      </c>
      <c r="B6287" s="0" t="s">
        <v>98</v>
      </c>
      <c r="F6287" s="6" t="n">
        <f aca="false">MAX(0,capex_floor27-Sens!F6285-Sens!F6286-Sens!F6381)</f>
        <v>8.36277689897089</v>
      </c>
    </row>
    <row r="6288" customFormat="false" ht="17.15" hidden="false" customHeight="false" outlineLevel="0" collapsed="false">
      <c r="A6288" s="0" t="s">
        <v>849</v>
      </c>
      <c r="B6288" s="0" t="s">
        <v>98</v>
      </c>
      <c r="C6288" s="6" t="n">
        <f aca="false">Sens!C6285</f>
        <v>22.5333845916667</v>
      </c>
      <c r="D6288" s="6" t="n">
        <f aca="false">Sens!D6285</f>
        <v>34.0300093833333</v>
      </c>
      <c r="E6288" s="6" t="n">
        <f aca="false">Sens!E6285</f>
        <v>67.600153775</v>
      </c>
      <c r="F6288" s="6" t="n">
        <f aca="false">Sens!F6285</f>
        <v>130.923271871467</v>
      </c>
      <c r="G6288" s="6" t="n">
        <f aca="false">Sens!G6285</f>
        <v>151.5545564832</v>
      </c>
      <c r="H6288" s="6" t="n">
        <f aca="false">Sens!H6285</f>
        <v>156.0606619104</v>
      </c>
      <c r="I6288" s="6" t="n">
        <f aca="false">Sens!I6285</f>
        <v>140.987889434245</v>
      </c>
      <c r="J6288" s="6" t="n">
        <f aca="false">Sens!J6285</f>
        <v>113.309125559842</v>
      </c>
      <c r="K6288" s="6" t="n">
        <f aca="false">Sens!K6285</f>
        <v>116.192591420959</v>
      </c>
    </row>
    <row r="6289" customFormat="false" ht="17.15" hidden="false" customHeight="false" outlineLevel="0" collapsed="false">
      <c r="A6289" s="0" t="s">
        <v>850</v>
      </c>
      <c r="B6289" s="0" t="s">
        <v>98</v>
      </c>
      <c r="C6289" s="6" t="n">
        <f aca="false">Sens!C6288+Sens!C6286</f>
        <v>28.7416845916667</v>
      </c>
      <c r="D6289" s="6" t="n">
        <f aca="false">Sens!D6288+Sens!D6286</f>
        <v>43.4058093833333</v>
      </c>
      <c r="E6289" s="6" t="n">
        <f aca="false">Sens!E6288+Sens!E6286</f>
        <v>86.225053775</v>
      </c>
      <c r="F6289" s="6" t="n">
        <f aca="false">Sens!F6288+Sens!F6286</f>
        <v>160.332875871467</v>
      </c>
      <c r="G6289" s="6" t="n">
        <f aca="false">Sens!G6288+Sens!G6286</f>
        <v>183.5741804832</v>
      </c>
      <c r="H6289" s="6" t="n">
        <f aca="false">Sens!H6288+Sens!H6286</f>
        <v>188.0802859104</v>
      </c>
      <c r="I6289" s="6" t="n">
        <f aca="false">Sens!I6288+Sens!I6286</f>
        <v>163.706669154245</v>
      </c>
      <c r="J6289" s="6" t="n">
        <f aca="false">Sens!J6288+Sens!J6286</f>
        <v>127.181436594242</v>
      </c>
      <c r="K6289" s="6" t="n">
        <f aca="false">Sens!K6288+Sens!K6286</f>
        <v>121.407415303591</v>
      </c>
      <c r="L6289" s="11" t="s">
        <v>851</v>
      </c>
    </row>
    <row r="6290" customFormat="false" ht="17.15" hidden="false" customHeight="false" outlineLevel="0" collapsed="false">
      <c r="A6290" s="0" t="s">
        <v>852</v>
      </c>
      <c r="B6290" s="0" t="s">
        <v>98</v>
      </c>
      <c r="E6290" s="6" t="n">
        <f aca="false">(Sens!C6288*IF(2&lt;life_it,1,IF(2=life_it,0.5,0))+Sens!D6288*IF(1&lt;life_it,1,IF(1=life_it,0.5,0))+Sens!E6288*0.5)/life_it</f>
        <v>15.0605784770833</v>
      </c>
      <c r="F6290" s="6" t="n">
        <f aca="false">(Sens!C6288*IF(3&lt;life_it,1,IF(3=life_it,0.5,0))+Sens!D6288*IF(2&lt;life_it,1,IF(2=life_it,0.5,0))+Sens!E6288*IF(1&lt;life_it,1,IF(1=life_it,0.5,0))+Sens!F6288*0.5)/life_it</f>
        <v>31.6041972809556</v>
      </c>
      <c r="G6290" s="6" t="n">
        <f aca="false">(Sens!C6288*IF(4&lt;life_it,1,IF(4=life_it,0.5,0))+Sens!D6288*IF(3&lt;life_it,1,IF(3=life_it,0.5,0))+Sens!E6288*IF(2&lt;life_it,1,IF(2=life_it,0.5,0))+Sens!F6288*IF(1&lt;life_it,1,IF(1=life_it,0.5,0))+Sens!G6288*0.5)/life_it</f>
        <v>55.1440163105111</v>
      </c>
      <c r="H6290" s="6" t="n">
        <f aca="false">(Sens!C6288*IF(5&lt;life_it,1,IF(5=life_it,0.5,0))+Sens!D6288*IF(4&lt;life_it,1,IF(4=life_it,0.5,0))+Sens!E6288*IF(3&lt;life_it,1,IF(3=life_it,0.5,0))+Sens!F6288*IF(2&lt;life_it,1,IF(2=life_it,0.5,0))+Sens!G6288*IF(1&lt;life_it,1,IF(1=life_it,0.5,0))+Sens!H6288*0.5)/life_it</f>
        <v>80.7786178433111</v>
      </c>
      <c r="I6290" s="6" t="n">
        <f aca="false">(Sens!C6288*IF(6&lt;life_it,1,IF(6=life_it,0.5,0))+Sens!D6288*IF(5&lt;life_it,1,IF(5=life_it,0.5,0))+Sens!E6288*IF(4&lt;life_it,1,IF(4=life_it,0.5,0))+Sens!F6288*IF(3&lt;life_it,1,IF(3=life_it,0.5,0))+Sens!G6288*IF(2&lt;life_it,1,IF(2=life_it,0.5,0))+Sens!H6288*IF(1&lt;life_it,1,IF(1=life_it,0.5,0))+Sens!I6288*0.5)/life_it</f>
        <v>103.654881739393</v>
      </c>
      <c r="J6290" s="6" t="n">
        <f aca="false">(Sens!C6288*IF(7&lt;life_it,1,IF(7=life_it,0.5,0))+Sens!D6288*IF(6&lt;life_it,1,IF(6=life_it,0.5,0))+Sens!E6288*IF(5&lt;life_it,1,IF(5=life_it,0.5,0))+Sens!F6288*IF(4&lt;life_it,1,IF(4=life_it,0.5,0))+Sens!G6288*IF(3&lt;life_it,1,IF(3=life_it,0.5,0))+Sens!H6288*IF(2&lt;life_it,1,IF(2=life_it,0.5,0))+Sens!I6288*IF(1&lt;life_it,1,IF(1=life_it,0.5,0))+Sens!J6288*0.5)/life_it</f>
        <v>120.132683490983</v>
      </c>
      <c r="K6290" s="6" t="n">
        <f aca="false">(Sens!C6288*IF(8&lt;life_it,1,IF(8=life_it,0.5,0))+Sens!D6288*IF(7&lt;life_it,1,IF(7=life_it,0.5,0))+Sens!E6288*IF(6&lt;life_it,1,IF(6=life_it,0.5,0))+Sens!F6288*IF(5&lt;life_it,1,IF(5=life_it,0.5,0))+Sens!G6288*IF(4&lt;life_it,1,IF(4=life_it,0.5,0))+Sens!H6288*IF(3&lt;life_it,1,IF(3=life_it,0.5,0))+Sens!I6288*IF(2&lt;life_it,1,IF(2=life_it,0.5,0))+Sens!J6288*IF(1&lt;life_it,1,IF(1=life_it,0.5,0))+Sens!K6288*0.5)/life_it</f>
        <v>130.788646309522</v>
      </c>
    </row>
    <row r="6291" customFormat="false" ht="17.15" hidden="false" customHeight="false" outlineLevel="0" collapsed="false">
      <c r="A6291" s="0" t="s">
        <v>853</v>
      </c>
      <c r="B6291" s="0" t="s">
        <v>98</v>
      </c>
      <c r="E6291" s="6" t="n">
        <f aca="false">(Sens!C6286*IF(2&lt;life_fac,1,IF(2=life_fac,0.5,0))+Sens!D6286*IF(1&lt;life_fac,1,IF(1=life_fac,0.5,0))+Sens!E6286*0.5)/life_fac</f>
        <v>1.2448275</v>
      </c>
      <c r="F6291" s="6" t="n">
        <f aca="false">(Sens!C6286*IF(3&lt;life_fac,1,IF(3=life_fac,0.5,0))+Sens!D6286*IF(2&lt;life_fac,1,IF(2=life_fac,0.5,0))+Sens!E6286*IF(1&lt;life_fac,1,IF(1=life_fac,0.5,0))+Sens!F6286*0.5)/life_fac</f>
        <v>2.4456901</v>
      </c>
      <c r="G6291" s="6" t="n">
        <f aca="false">(Sens!C6286*IF(4&lt;life_fac,1,IF(4=life_fac,0.5,0))+Sens!D6286*IF(3&lt;life_fac,1,IF(3=life_fac,0.5,0))+Sens!E6286*IF(2&lt;life_fac,1,IF(2=life_fac,0.5,0))+Sens!F6286*IF(1&lt;life_fac,1,IF(1=life_fac,0.5,0))+Sens!G6286*0.5)/life_fac</f>
        <v>3.9814208</v>
      </c>
      <c r="H6291" s="6" t="n">
        <f aca="false">(Sens!C6286*IF(5&lt;life_fac,1,IF(5=life_fac,0.5,0))+Sens!D6286*IF(4&lt;life_fac,1,IF(4=life_fac,0.5,0))+Sens!E6286*IF(3&lt;life_fac,1,IF(3=life_fac,0.5,0))+Sens!F6286*IF(2&lt;life_fac,1,IF(2=life_fac,0.5,0))+Sens!G6286*IF(1&lt;life_fac,1,IF(1=life_fac,0.5,0))+Sens!H6286*0.5)/life_fac</f>
        <v>5.582402</v>
      </c>
      <c r="I6291" s="6" t="n">
        <f aca="false">(Sens!C6286*IF(6&lt;life_fac,1,IF(6=life_fac,0.5,0))+Sens!D6286*IF(5&lt;life_fac,1,IF(5=life_fac,0.5,0))+Sens!E6286*IF(4&lt;life_fac,1,IF(4=life_fac,0.5,0))+Sens!F6286*IF(3&lt;life_fac,1,IF(3=life_fac,0.5,0))+Sens!G6286*IF(2&lt;life_fac,1,IF(2=life_fac,0.5,0))+Sens!H6286*IF(1&lt;life_fac,1,IF(1=life_fac,0.5,0))+Sens!I6286*0.5)/life_fac</f>
        <v>6.950862093</v>
      </c>
      <c r="J6291" s="6" t="n">
        <f aca="false">(Sens!C6286*IF(7&lt;life_fac,1,IF(7=life_fac,0.5,0))+Sens!D6286*IF(6&lt;life_fac,1,IF(6=life_fac,0.5,0))+Sens!E6286*IF(5&lt;life_fac,1,IF(5=life_fac,0.5,0))+Sens!F6286*IF(4&lt;life_fac,1,IF(4=life_fac,0.5,0))+Sens!G6286*IF(3&lt;life_fac,1,IF(3=life_fac,0.5,0))+Sens!H6286*IF(2&lt;life_fac,1,IF(2=life_fac,0.5,0))+Sens!I6286*IF(1&lt;life_fac,1,IF(1=life_fac,0.5,0))+Sens!J6286*0.5)/life_fac</f>
        <v>7.86563936186</v>
      </c>
      <c r="K6291" s="6" t="n">
        <f aca="false">(Sens!C6286*IF(8&lt;life_fac,1,IF(8=life_fac,0.5,0))+Sens!D6286*IF(7&lt;life_fac,1,IF(7=life_fac,0.5,0))+Sens!E6286*IF(6&lt;life_fac,1,IF(6=life_fac,0.5,0))+Sens!F6286*IF(5&lt;life_fac,1,IF(5=life_fac,0.5,0))+Sens!G6286*IF(4&lt;life_fac,1,IF(4=life_fac,0.5,0))+Sens!H6286*IF(3&lt;life_fac,1,IF(3=life_fac,0.5,0))+Sens!I6286*IF(2&lt;life_fac,1,IF(2=life_fac,0.5,0))+Sens!J6286*IF(1&lt;life_fac,1,IF(1=life_fac,0.5,0))+Sens!K6286*0.5)/life_fac</f>
        <v>8.3428177347858</v>
      </c>
    </row>
    <row r="6292" customFormat="false" ht="17.15" hidden="false" customHeight="false" outlineLevel="0" collapsed="false">
      <c r="A6292" s="0" t="s">
        <v>854</v>
      </c>
      <c r="B6292" s="0" t="s">
        <v>98</v>
      </c>
      <c r="E6292" s="6" t="n">
        <f aca="false">Sens!E6290+Sens!E6291</f>
        <v>16.3054059770833</v>
      </c>
      <c r="F6292" s="6" t="n">
        <f aca="false">Sens!F6290+Sens!F6291</f>
        <v>34.0498873809555</v>
      </c>
      <c r="G6292" s="6" t="n">
        <f aca="false">Sens!G6290+Sens!G6291</f>
        <v>59.1254371105111</v>
      </c>
      <c r="H6292" s="6" t="n">
        <f aca="false">Sens!H6290+Sens!H6291</f>
        <v>86.3610198433111</v>
      </c>
      <c r="I6292" s="6" t="n">
        <f aca="false">Sens!I6290+Sens!I6291</f>
        <v>110.605743832393</v>
      </c>
      <c r="J6292" s="6" t="n">
        <f aca="false">Sens!J6290+Sens!J6291</f>
        <v>127.998322852843</v>
      </c>
      <c r="K6292" s="6" t="n">
        <f aca="false">Sens!K6290+Sens!K6291</f>
        <v>139.131464044308</v>
      </c>
    </row>
    <row r="6293" customFormat="false" ht="17.15" hidden="false" customHeight="false" outlineLevel="0" collapsed="false">
      <c r="A6293" s="0" t="s">
        <v>855</v>
      </c>
      <c r="B6293" s="0" t="s">
        <v>98</v>
      </c>
      <c r="E6293" s="6" t="n">
        <f aca="false">Sens!E6281-Sens!E6280*Sens!E6292</f>
        <v>8.92707889977379</v>
      </c>
      <c r="F6293" s="6" t="n">
        <f aca="false">Sens!F6281-Sens!F6280*Sens!F6292</f>
        <v>14.6274131339686</v>
      </c>
      <c r="G6293" s="6" t="n">
        <f aca="false">Sens!G6281-Sens!G6280*Sens!G6292</f>
        <v>16.7752349049804</v>
      </c>
      <c r="H6293" s="6" t="n">
        <f aca="false">Sens!H6281-Sens!H6280*Sens!H6292</f>
        <v>13.4630579450404</v>
      </c>
      <c r="I6293" s="6" t="n">
        <f aca="false">Sens!I6281-Sens!I6280*Sens!I6292</f>
        <v>16.9068533370192</v>
      </c>
      <c r="J6293" s="6" t="n">
        <f aca="false">Sens!J6281-Sens!J6280*Sens!J6292</f>
        <v>19.3011433836036</v>
      </c>
      <c r="K6293" s="6" t="n">
        <f aca="false">Sens!K6281-Sens!K6280*Sens!K6292</f>
        <v>21.3550700932312</v>
      </c>
    </row>
    <row r="6294" customFormat="false" ht="17.15" hidden="false" customHeight="false" outlineLevel="0" collapsed="false">
      <c r="A6294" s="3" t="s">
        <v>1423</v>
      </c>
    </row>
    <row r="6295" customFormat="false" ht="15" hidden="false" customHeight="false" outlineLevel="0" collapsed="false">
      <c r="A6295" s="4" t="s">
        <v>43</v>
      </c>
      <c r="B6295" s="4" t="s">
        <v>65</v>
      </c>
      <c r="C6295" s="20" t="s">
        <v>799</v>
      </c>
      <c r="D6295" s="20" t="s">
        <v>800</v>
      </c>
      <c r="E6295" s="20" t="s">
        <v>801</v>
      </c>
      <c r="F6295" s="20" t="s">
        <v>802</v>
      </c>
      <c r="G6295" s="20" t="s">
        <v>803</v>
      </c>
      <c r="H6295" s="20" t="s">
        <v>804</v>
      </c>
      <c r="I6295" s="20" t="s">
        <v>805</v>
      </c>
      <c r="J6295" s="20" t="s">
        <v>806</v>
      </c>
      <c r="K6295" s="20" t="s">
        <v>807</v>
      </c>
      <c r="L6295" s="4" t="s">
        <v>47</v>
      </c>
    </row>
    <row r="6296" customFormat="false" ht="17.15" hidden="false" customHeight="false" outlineLevel="0" collapsed="false">
      <c r="A6296" s="0" t="s">
        <v>874</v>
      </c>
      <c r="B6296" s="0" t="s">
        <v>98</v>
      </c>
      <c r="D6296" s="6" t="n">
        <f aca="false">Sens!D6275</f>
        <v>12.9359794422418</v>
      </c>
      <c r="E6296" s="6" t="n">
        <f aca="false">Sens!E6275</f>
        <v>27.8095064661409</v>
      </c>
      <c r="F6296" s="6" t="n">
        <f aca="false">Sens!F6275</f>
        <v>50.6619113883066</v>
      </c>
      <c r="G6296" s="6" t="n">
        <f aca="false">Sens!G6275</f>
        <v>75.1482839325348</v>
      </c>
      <c r="H6296" s="6" t="n">
        <f aca="false">Sens!H6275</f>
        <v>94.895655604042</v>
      </c>
      <c r="I6296" s="6" t="n">
        <f aca="false">Sens!I6275</f>
        <v>118.706168884151</v>
      </c>
      <c r="J6296" s="6" t="n">
        <f aca="false">Sens!J6275</f>
        <v>135.50643871102</v>
      </c>
      <c r="K6296" s="6" t="n">
        <f aca="false">Sens!K6275</f>
        <v>146.509068150048</v>
      </c>
    </row>
    <row r="6297" customFormat="false" ht="17.15" hidden="false" customHeight="false" outlineLevel="0" collapsed="false">
      <c r="A6297" s="0" t="s">
        <v>875</v>
      </c>
      <c r="B6297" s="0" t="s">
        <v>98</v>
      </c>
      <c r="D6297" s="6" t="n">
        <f aca="false">Q!L6-Sens!D6296</f>
        <v>59.6740205577583</v>
      </c>
      <c r="E6297" s="6" t="n">
        <f aca="false">Q!M6-Sens!E6296</f>
        <v>74.1284935338591</v>
      </c>
      <c r="F6297" s="6" t="n">
        <f aca="false">Sens!E6297*(1+Sens!F6298)</f>
        <v>90.0799497373663</v>
      </c>
      <c r="G6297" s="6" t="n">
        <f aca="false">Sens!F6297*(1+Sens!G6298)</f>
        <v>107.02842520331</v>
      </c>
      <c r="H6297" s="6" t="n">
        <f aca="false">Sens!G6297*(1+Sens!H6298)</f>
        <v>124.271982585636</v>
      </c>
      <c r="I6297" s="6" t="n">
        <f aca="false">Sens!H6297*(1+Sens!I6298)</f>
        <v>140.933702381855</v>
      </c>
      <c r="J6297" s="6" t="n">
        <f aca="false">Sens!I6297*(1+Sens!J6298)</f>
        <v>156.018867314332</v>
      </c>
      <c r="K6297" s="6" t="n">
        <f aca="false">Sens!J6297*(1+Sens!K6298)</f>
        <v>168.500376699478</v>
      </c>
    </row>
    <row r="6298" customFormat="false" ht="15" hidden="false" customHeight="false" outlineLevel="0" collapsed="false">
      <c r="A6298" s="1" t="s">
        <v>876</v>
      </c>
      <c r="B6298" s="0" t="s">
        <v>129</v>
      </c>
      <c r="E6298" s="7" t="n">
        <f aca="false">Sens!E6297/Sens!D6297-1</f>
        <v>0.242223883039864</v>
      </c>
      <c r="F6298" s="7" t="n">
        <f aca="false">Sens!$E$6298+(glt_azo-Sens!$E$6298)*MIN(1,(Sens!F6258-base_fy)/n_conv)</f>
        <v>0.215186569199887</v>
      </c>
      <c r="G6298" s="7" t="n">
        <f aca="false">Sens!$E$6298+(glt_azo-Sens!$E$6298)*MIN(1,(Sens!G6258-base_fy)/n_conv)</f>
        <v>0.18814925535991</v>
      </c>
      <c r="H6298" s="7" t="n">
        <f aca="false">Sens!$E$6298+(glt_azo-Sens!$E$6298)*MIN(1,(Sens!H6258-base_fy)/n_conv)</f>
        <v>0.161111941519932</v>
      </c>
      <c r="I6298" s="7" t="n">
        <f aca="false">Sens!$E$6298+(glt_azo-Sens!$E$6298)*MIN(1,(Sens!I6258-base_fy)/n_conv)</f>
        <v>0.134074627679955</v>
      </c>
      <c r="J6298" s="7" t="n">
        <f aca="false">Sens!$E$6298+(glt_azo-Sens!$E$6298)*MIN(1,(Sens!J6258-base_fy)/n_conv)</f>
        <v>0.107037313839977</v>
      </c>
      <c r="K6298" s="7" t="n">
        <f aca="false">Sens!$E$6298+(glt_azo-Sens!$E$6298)*MIN(1,(Sens!K6258-base_fy)/n_conv)</f>
        <v>0.08</v>
      </c>
    </row>
    <row r="6299" customFormat="false" ht="15" hidden="false" customHeight="false" outlineLevel="0" collapsed="false">
      <c r="A6299" s="0" t="s">
        <v>877</v>
      </c>
      <c r="B6299" s="0" t="s">
        <v>98</v>
      </c>
      <c r="D6299" s="6" t="n">
        <f aca="false">Sens!D6296+Sens!D6297</f>
        <v>72.61</v>
      </c>
      <c r="E6299" s="6" t="n">
        <f aca="false">Sens!E6296+Sens!E6297</f>
        <v>101.938</v>
      </c>
      <c r="F6299" s="6" t="n">
        <f aca="false">Sens!F6296+Sens!F6297</f>
        <v>140.741861125673</v>
      </c>
      <c r="G6299" s="6" t="n">
        <f aca="false">Sens!G6296+Sens!G6297</f>
        <v>182.176709135845</v>
      </c>
      <c r="H6299" s="6" t="n">
        <f aca="false">Sens!H6296+Sens!H6297</f>
        <v>219.167638189678</v>
      </c>
      <c r="I6299" s="6" t="n">
        <f aca="false">Sens!I6296+Sens!I6297</f>
        <v>259.639871266006</v>
      </c>
      <c r="J6299" s="6" t="n">
        <f aca="false">Sens!J6296+Sens!J6297</f>
        <v>291.525306025352</v>
      </c>
      <c r="K6299" s="6" t="n">
        <f aca="false">Sens!K6296+Sens!K6297</f>
        <v>315.009444849526</v>
      </c>
    </row>
    <row r="6300" customFormat="false" ht="17.15" hidden="false" customHeight="false" outlineLevel="0" collapsed="false">
      <c r="A6300" s="0" t="s">
        <v>878</v>
      </c>
      <c r="B6300" s="1" t="s">
        <v>528</v>
      </c>
      <c r="C6300" s="29" t="n">
        <f aca="false">cop_s24</f>
        <v>1</v>
      </c>
      <c r="D6300" s="29" t="n">
        <f aca="false">cop_s25</f>
        <v>5</v>
      </c>
      <c r="E6300" s="29" t="n">
        <f aca="false">cop_s26</f>
        <v>30</v>
      </c>
      <c r="F6300" s="29" t="n">
        <f aca="false">Sens!E6300+cop_add_C*1.5</f>
        <v>45</v>
      </c>
      <c r="G6300" s="29" t="n">
        <f aca="false">Sens!F6300+cop_add_C*1.5</f>
        <v>60</v>
      </c>
      <c r="H6300" s="29" t="n">
        <f aca="false">Sens!G6300+cop_add_C*1.5</f>
        <v>75</v>
      </c>
      <c r="I6300" s="29" t="n">
        <f aca="false">Sens!H6300+cop_add_C*1.5*cop_tail</f>
        <v>82.5</v>
      </c>
      <c r="J6300" s="29" t="n">
        <f aca="false">Sens!I6300+cop_add_C*1.5*cop_tail</f>
        <v>90</v>
      </c>
      <c r="K6300" s="29" t="n">
        <f aca="false">Sens!J6300+cop_add_C*1.5*cop_tail</f>
        <v>97.5</v>
      </c>
      <c r="L6300" s="11" t="s">
        <v>879</v>
      </c>
    </row>
    <row r="6301" customFormat="false" ht="17.15" hidden="false" customHeight="false" outlineLevel="0" collapsed="false">
      <c r="A6301" s="0" t="s">
        <v>880</v>
      </c>
      <c r="B6301" s="0" t="s">
        <v>98</v>
      </c>
      <c r="D6301" s="6" t="n">
        <f aca="false">(Sens!C6300+Sens!D6300)/2*cop_px*12/1000</f>
        <v>0.9</v>
      </c>
      <c r="E6301" s="6" t="n">
        <f aca="false">(Sens!D6300+Sens!E6300)/2*cop_px*12/1000</f>
        <v>5.25</v>
      </c>
      <c r="F6301" s="6" t="n">
        <f aca="false">(Sens!E6300+Sens!F6300)/2*cop_px*12/1000</f>
        <v>11.25</v>
      </c>
      <c r="G6301" s="6" t="n">
        <f aca="false">(Sens!F6300+Sens!G6300)/2*cop_px*12/1000</f>
        <v>15.75</v>
      </c>
      <c r="H6301" s="6" t="n">
        <f aca="false">(Sens!G6300+Sens!H6300)/2*cop_px*12/1000</f>
        <v>20.25</v>
      </c>
      <c r="I6301" s="6" t="n">
        <f aca="false">(Sens!H6300+Sens!I6300)/2*cop_px*12/1000</f>
        <v>23.625</v>
      </c>
      <c r="J6301" s="6" t="n">
        <f aca="false">(Sens!I6300+Sens!J6300)/2*cop_px*12/1000</f>
        <v>25.875</v>
      </c>
      <c r="K6301" s="6" t="n">
        <f aca="false">(Sens!J6300+Sens!K6300)/2*cop_px*12/1000</f>
        <v>28.125</v>
      </c>
      <c r="L6301" s="1" t="s">
        <v>881</v>
      </c>
    </row>
    <row r="6302" customFormat="false" ht="17.15" hidden="false" customHeight="false" outlineLevel="0" collapsed="false">
      <c r="A6302" s="0" t="s">
        <v>882</v>
      </c>
      <c r="B6302" s="0" t="s">
        <v>98</v>
      </c>
      <c r="D6302" s="6" t="n">
        <f aca="false">Q!L7-Sens!D6301</f>
        <v>83.705</v>
      </c>
      <c r="E6302" s="6" t="n">
        <f aca="false">Q!M7-Sens!E6301</f>
        <v>95.049</v>
      </c>
      <c r="F6302" s="6" t="n">
        <f aca="false">Sens!E6302*(1+Sens!F6303)</f>
        <v>106.89238776686</v>
      </c>
      <c r="G6302" s="6" t="n">
        <f aca="false">Sens!F6302*(1+Sens!G6303)</f>
        <v>119.044168448684</v>
      </c>
      <c r="H6302" s="6" t="n">
        <f aca="false">Sens!G6302*(1+Sens!H6303)</f>
        <v>131.277359388781</v>
      </c>
      <c r="I6302" s="6" t="n">
        <f aca="false">Sens!H6302*(1+Sens!I6303)</f>
        <v>143.334028071957</v>
      </c>
      <c r="J6302" s="6" t="n">
        <f aca="false">Sens!I6302*(1+Sens!J6303)</f>
        <v>154.932702785465</v>
      </c>
      <c r="K6302" s="6" t="n">
        <f aca="false">Sens!J6302*(1+Sens!K6303)</f>
        <v>165.777991980448</v>
      </c>
    </row>
    <row r="6303" customFormat="false" ht="15" hidden="false" customHeight="false" outlineLevel="0" collapsed="false">
      <c r="A6303" s="1" t="s">
        <v>876</v>
      </c>
      <c r="B6303" s="0" t="s">
        <v>129</v>
      </c>
      <c r="E6303" s="7" t="n">
        <f aca="false">Sens!E6302/Sens!D6302-1</f>
        <v>0.135523564900544</v>
      </c>
      <c r="F6303" s="7" t="n">
        <f aca="false">Sens!$E$6303+(glt_m365b-Sens!$E$6303)*MIN(1,(Sens!F6258-base_fy)/n_conv)</f>
        <v>0.124602970750453</v>
      </c>
      <c r="G6303" s="7" t="n">
        <f aca="false">Sens!$E$6303+(glt_m365b-Sens!$E$6303)*MIN(1,(Sens!G6258-base_fy)/n_conv)</f>
        <v>0.113682376600363</v>
      </c>
      <c r="H6303" s="7" t="n">
        <f aca="false">Sens!$E$6303+(glt_m365b-Sens!$E$6303)*MIN(1,(Sens!H6258-base_fy)/n_conv)</f>
        <v>0.102761782450272</v>
      </c>
      <c r="I6303" s="7" t="n">
        <f aca="false">Sens!$E$6303+(glt_m365b-Sens!$E$6303)*MIN(1,(Sens!I6258-base_fy)/n_conv)</f>
        <v>0.0918411883001813</v>
      </c>
      <c r="J6303" s="7" t="n">
        <f aca="false">Sens!$E$6303+(glt_m365b-Sens!$E$6303)*MIN(1,(Sens!J6258-base_fy)/n_conv)</f>
        <v>0.0809205941500906</v>
      </c>
      <c r="K6303" s="7" t="n">
        <f aca="false">Sens!$E$6303+(glt_m365b-Sens!$E$6303)*MIN(1,(Sens!K6258-base_fy)/n_conv)</f>
        <v>0.07</v>
      </c>
    </row>
    <row r="6304" customFormat="false" ht="15" hidden="false" customHeight="false" outlineLevel="0" collapsed="false">
      <c r="A6304" s="0" t="s">
        <v>883</v>
      </c>
      <c r="B6304" s="0" t="s">
        <v>98</v>
      </c>
      <c r="D6304" s="6" t="n">
        <f aca="false">Sens!D6302+Sens!D6301</f>
        <v>84.605</v>
      </c>
      <c r="E6304" s="6" t="n">
        <f aca="false">Sens!E6302+Sens!E6301</f>
        <v>100.299</v>
      </c>
      <c r="F6304" s="6" t="n">
        <f aca="false">Sens!F6302+Sens!F6301</f>
        <v>118.14238776686</v>
      </c>
      <c r="G6304" s="6" t="n">
        <f aca="false">Sens!G6302+Sens!G6301</f>
        <v>134.794168448684</v>
      </c>
      <c r="H6304" s="6" t="n">
        <f aca="false">Sens!H6302+Sens!H6301</f>
        <v>151.527359388781</v>
      </c>
      <c r="I6304" s="6" t="n">
        <f aca="false">Sens!I6302+Sens!I6301</f>
        <v>166.959028071957</v>
      </c>
      <c r="J6304" s="6" t="n">
        <f aca="false">Sens!J6302+Sens!J6301</f>
        <v>180.807702785465</v>
      </c>
      <c r="K6304" s="6" t="n">
        <f aca="false">Sens!K6302+Sens!K6301</f>
        <v>193.902991980448</v>
      </c>
    </row>
    <row r="6305" customFormat="false" ht="15" hidden="false" customHeight="false" outlineLevel="0" collapsed="false">
      <c r="A6305" s="0" t="s">
        <v>884</v>
      </c>
      <c r="B6305" s="0" t="s">
        <v>98</v>
      </c>
      <c r="D6305" s="6" t="n">
        <f aca="false">Q!L8</f>
        <v>35.391</v>
      </c>
      <c r="E6305" s="6" t="n">
        <f aca="false">Q!M8</f>
        <v>37.285</v>
      </c>
      <c r="F6305" s="6" t="n">
        <f aca="false">Sens!E6305*(1+Sens!F6306)</f>
        <v>39.0720834331704</v>
      </c>
      <c r="G6305" s="6" t="n">
        <f aca="false">Sens!F6305*(1+Sens!G6306)</f>
        <v>40.726562953769</v>
      </c>
      <c r="H6305" s="6" t="n">
        <f aca="false">Sens!G6305*(1+Sens!H6306)</f>
        <v>42.2235987259198</v>
      </c>
      <c r="I6305" s="6" t="n">
        <f aca="false">Sens!H6305*(1+Sens!I6306)</f>
        <v>43.5397988077414</v>
      </c>
      <c r="J6305" s="6" t="n">
        <f aca="false">Sens!I6305*(1+Sens!J6306)</f>
        <v>44.653811225693</v>
      </c>
      <c r="K6305" s="6" t="n">
        <f aca="false">Sens!J6305*(1+Sens!K6306)</f>
        <v>45.5468874502068</v>
      </c>
    </row>
    <row r="6306" customFormat="false" ht="15" hidden="false" customHeight="false" outlineLevel="0" collapsed="false">
      <c r="A6306" s="1" t="s">
        <v>876</v>
      </c>
      <c r="B6306" s="0" t="s">
        <v>129</v>
      </c>
      <c r="E6306" s="7" t="n">
        <f aca="false">Sens!E6305/Sens!D6305-1</f>
        <v>0.0535164307309768</v>
      </c>
      <c r="F6306" s="7" t="n">
        <f aca="false">Sens!$E$6306+(glt_lic-Sens!$E$6306)*MIN(1,(Sens!F6258-base_fy)/n_conv)</f>
        <v>0.0479303589424807</v>
      </c>
      <c r="G6306" s="7" t="n">
        <f aca="false">Sens!$E$6306+(glt_lic-Sens!$E$6306)*MIN(1,(Sens!G6258-base_fy)/n_conv)</f>
        <v>0.0423442871539845</v>
      </c>
      <c r="H6306" s="7" t="n">
        <f aca="false">Sens!$E$6306+(glt_lic-Sens!$E$6306)*MIN(1,(Sens!H6258-base_fy)/n_conv)</f>
        <v>0.0367582153654884</v>
      </c>
      <c r="I6306" s="7" t="n">
        <f aca="false">Sens!$E$6306+(glt_lic-Sens!$E$6306)*MIN(1,(Sens!I6258-base_fy)/n_conv)</f>
        <v>0.0311721435769923</v>
      </c>
      <c r="J6306" s="7" t="n">
        <f aca="false">Sens!$E$6306+(glt_lic-Sens!$E$6306)*MIN(1,(Sens!J6258-base_fy)/n_conv)</f>
        <v>0.0255860717884961</v>
      </c>
      <c r="K6306" s="7" t="n">
        <f aca="false">Sens!$E$6306+(glt_lic-Sens!$E$6306)*MIN(1,(Sens!K6258-base_fy)/n_conv)</f>
        <v>0.02</v>
      </c>
    </row>
    <row r="6307" customFormat="false" ht="15" hidden="false" customHeight="false" outlineLevel="0" collapsed="false">
      <c r="A6307" s="0" t="s">
        <v>885</v>
      </c>
      <c r="B6307" s="0" t="s">
        <v>98</v>
      </c>
      <c r="D6307" s="6" t="n">
        <f aca="false">Q!L9</f>
        <v>18.417</v>
      </c>
      <c r="E6307" s="6" t="n">
        <f aca="false">Q!M9</f>
        <v>20.345</v>
      </c>
      <c r="F6307" s="6" t="n">
        <f aca="false">Sens!E6307*(1+Sens!F6308)</f>
        <v>22.3572203267814</v>
      </c>
      <c r="G6307" s="6" t="n">
        <f aca="false">Sens!F6307*(1+Sens!G6308)</f>
        <v>24.4392124437232</v>
      </c>
      <c r="H6307" s="6" t="n">
        <f aca="false">Sens!G6307*(1+Sens!H6308)</f>
        <v>26.5738052080665</v>
      </c>
      <c r="I6307" s="6" t="n">
        <f aca="false">Sens!H6307*(1+Sens!I6308)</f>
        <v>28.7412169166967</v>
      </c>
      <c r="J6307" s="6" t="n">
        <f aca="false">Sens!I6307*(1+Sens!J6308)</f>
        <v>30.9192545395413</v>
      </c>
      <c r="K6307" s="6" t="n">
        <f aca="false">Sens!J6307*(1+Sens!K6308)</f>
        <v>33.0836023573092</v>
      </c>
    </row>
    <row r="6308" customFormat="false" ht="15" hidden="false" customHeight="false" outlineLevel="0" collapsed="false">
      <c r="A6308" s="1" t="s">
        <v>876</v>
      </c>
      <c r="B6308" s="0" t="s">
        <v>129</v>
      </c>
      <c r="E6308" s="7" t="n">
        <f aca="false">Sens!E6307/Sens!D6307-1</f>
        <v>0.104685888038225</v>
      </c>
      <c r="F6308" s="7" t="n">
        <f aca="false">Sens!$E$6308+(glt_ind-Sens!$E$6308)*MIN(1,(Sens!F6258-base_fy)/n_conv)</f>
        <v>0.0989049066985211</v>
      </c>
      <c r="G6308" s="7" t="n">
        <f aca="false">Sens!$E$6308+(glt_ind-Sens!$E$6308)*MIN(1,(Sens!G6258-base_fy)/n_conv)</f>
        <v>0.0931239253588169</v>
      </c>
      <c r="H6308" s="7" t="n">
        <f aca="false">Sens!$E$6308+(glt_ind-Sens!$E$6308)*MIN(1,(Sens!H6258-base_fy)/n_conv)</f>
        <v>0.0873429440191127</v>
      </c>
      <c r="I6308" s="7" t="n">
        <f aca="false">Sens!$E$6308+(glt_ind-Sens!$E$6308)*MIN(1,(Sens!I6258-base_fy)/n_conv)</f>
        <v>0.0815619626794085</v>
      </c>
      <c r="J6308" s="7" t="n">
        <f aca="false">Sens!$E$6308+(glt_ind-Sens!$E$6308)*MIN(1,(Sens!J6258-base_fy)/n_conv)</f>
        <v>0.0757809813397042</v>
      </c>
      <c r="K6308" s="7" t="n">
        <f aca="false">Sens!$E$6308+(glt_ind-Sens!$E$6308)*MIN(1,(Sens!K6258-base_fy)/n_conv)</f>
        <v>0.07</v>
      </c>
    </row>
    <row r="6309" customFormat="false" ht="15" hidden="false" customHeight="false" outlineLevel="0" collapsed="false">
      <c r="A6309" s="0" t="s">
        <v>886</v>
      </c>
      <c r="B6309" s="0" t="s">
        <v>98</v>
      </c>
      <c r="D6309" s="6" t="n">
        <f aca="false">Q!L10</f>
        <v>7.76</v>
      </c>
      <c r="E6309" s="6" t="n">
        <f aca="false">Q!M10</f>
        <v>8.26</v>
      </c>
      <c r="F6309" s="6" t="n">
        <f aca="false">Sens!E6309*(1+Sens!F6310)</f>
        <v>8.79988041237113</v>
      </c>
      <c r="G6309" s="6" t="n">
        <f aca="false">Sens!F6309*(1+Sens!G6310)</f>
        <v>9.38321269125306</v>
      </c>
      <c r="H6309" s="6" t="n">
        <f aca="false">Sens!G6309*(1+Sens!H6310)</f>
        <v>10.0139193587476</v>
      </c>
      <c r="I6309" s="6" t="n">
        <f aca="false">Sens!H6309*(1+Sens!I6310)</f>
        <v>10.6963111830911</v>
      </c>
      <c r="J6309" s="6" t="n">
        <f aca="false">Sens!I6309*(1+Sens!J6310)</f>
        <v>11.4351285534696</v>
      </c>
      <c r="K6309" s="6" t="n">
        <f aca="false">Sens!J6309*(1+Sens!K6310)</f>
        <v>12.2355875522124</v>
      </c>
    </row>
    <row r="6310" customFormat="false" ht="15" hidden="false" customHeight="false" outlineLevel="0" collapsed="false">
      <c r="A6310" s="1" t="s">
        <v>876</v>
      </c>
      <c r="B6310" s="0" t="s">
        <v>129</v>
      </c>
      <c r="E6310" s="7" t="n">
        <f aca="false">Sens!E6309/Sens!D6309-1</f>
        <v>0.0644329896907216</v>
      </c>
      <c r="F6310" s="7" t="n">
        <f aca="false">Sens!$E$6310+(glt_fro-Sens!$E$6310)*MIN(1,(Sens!F6258-base_fy)/n_conv)</f>
        <v>0.065360824742268</v>
      </c>
      <c r="G6310" s="7" t="n">
        <f aca="false">Sens!$E$6310+(glt_fro-Sens!$E$6310)*MIN(1,(Sens!G6258-base_fy)/n_conv)</f>
        <v>0.0662886597938144</v>
      </c>
      <c r="H6310" s="7" t="n">
        <f aca="false">Sens!$E$6310+(glt_fro-Sens!$E$6310)*MIN(1,(Sens!H6258-base_fy)/n_conv)</f>
        <v>0.0672164948453608</v>
      </c>
      <c r="I6310" s="7" t="n">
        <f aca="false">Sens!$E$6310+(glt_fro-Sens!$E$6310)*MIN(1,(Sens!I6258-base_fy)/n_conv)</f>
        <v>0.0681443298969072</v>
      </c>
      <c r="J6310" s="7" t="n">
        <f aca="false">Sens!$E$6310+(glt_fro-Sens!$E$6310)*MIN(1,(Sens!J6258-base_fy)/n_conv)</f>
        <v>0.0690721649484536</v>
      </c>
      <c r="K6310" s="7" t="n">
        <f aca="false">Sens!$E$6310+(glt_fro-Sens!$E$6310)*MIN(1,(Sens!K6258-base_fy)/n_conv)</f>
        <v>0.07</v>
      </c>
    </row>
    <row r="6311" customFormat="false" ht="15" hidden="false" customHeight="false" outlineLevel="0" collapsed="false">
      <c r="A6311" s="0" t="s">
        <v>715</v>
      </c>
      <c r="B6311" s="0" t="s">
        <v>98</v>
      </c>
      <c r="D6311" s="6" t="n">
        <f aca="false">Sens!D6299+Sens!D6304+Sens!D6305+Sens!D6307+Sens!D6309</f>
        <v>218.783</v>
      </c>
      <c r="E6311" s="6" t="n">
        <f aca="false">Sens!E6299+Sens!E6304+Sens!E6305+Sens!E6307+Sens!E6309</f>
        <v>268.127</v>
      </c>
      <c r="F6311" s="6" t="n">
        <f aca="false">Sens!F6299+Sens!F6304+Sens!F6305+Sens!F6307+Sens!F6309</f>
        <v>329.113433064856</v>
      </c>
      <c r="G6311" s="6" t="n">
        <f aca="false">Sens!G6299+Sens!G6304+Sens!G6305+Sens!G6307+Sens!G6309</f>
        <v>391.519865673274</v>
      </c>
      <c r="H6311" s="6" t="n">
        <f aca="false">Sens!H6299+Sens!H6304+Sens!H6305+Sens!H6307+Sens!H6309</f>
        <v>449.506320871193</v>
      </c>
      <c r="I6311" s="6" t="n">
        <f aca="false">Sens!I6299+Sens!I6304+Sens!I6305+Sens!I6307+Sens!I6309</f>
        <v>509.576226245492</v>
      </c>
      <c r="J6311" s="6" t="n">
        <f aca="false">Sens!J6299+Sens!J6304+Sens!J6305+Sens!J6307+Sens!J6309</f>
        <v>559.341203129521</v>
      </c>
      <c r="K6311" s="6" t="n">
        <f aca="false">Sens!K6299+Sens!K6304+Sens!K6305+Sens!K6307+Sens!K6309</f>
        <v>599.778514189702</v>
      </c>
    </row>
    <row r="6312" customFormat="false" ht="15" hidden="false" customHeight="false" outlineLevel="0" collapsed="false">
      <c r="A6312" s="0" t="s">
        <v>887</v>
      </c>
      <c r="B6312" s="0" t="s">
        <v>98</v>
      </c>
      <c r="D6312" s="6" t="n">
        <f aca="false">Q!L13</f>
        <v>22.171</v>
      </c>
      <c r="E6312" s="6" t="n">
        <f aca="false">Q!M13</f>
        <v>24.835</v>
      </c>
      <c r="F6312" s="6" t="n">
        <f aca="false">Sens!E6312*(1+Sens!F6313)</f>
        <v>27.6114901218559</v>
      </c>
      <c r="G6312" s="6" t="n">
        <f aca="false">Sens!F6312*(1+Sens!G6313)</f>
        <v>30.4675667338515</v>
      </c>
      <c r="H6312" s="6" t="n">
        <f aca="false">Sens!G6312*(1+Sens!H6313)</f>
        <v>33.3643766955789</v>
      </c>
      <c r="I6312" s="6" t="n">
        <f aca="false">Sens!H6312*(1+Sens!I6313)</f>
        <v>36.2577016533691</v>
      </c>
      <c r="J6312" s="6" t="n">
        <f aca="false">Sens!I6312*(1+Sens!J6313)</f>
        <v>39.0988367952171</v>
      </c>
      <c r="K6312" s="6" t="n">
        <f aca="false">Sens!J6312*(1+Sens!K6313)</f>
        <v>41.8357553708823</v>
      </c>
    </row>
    <row r="6313" customFormat="false" ht="15" hidden="false" customHeight="false" outlineLevel="0" collapsed="false">
      <c r="A6313" s="1" t="s">
        <v>876</v>
      </c>
      <c r="B6313" s="0" t="s">
        <v>129</v>
      </c>
      <c r="E6313" s="7" t="n">
        <f aca="false">Sens!E6312/Sens!D6312-1</f>
        <v>0.120156961796942</v>
      </c>
      <c r="F6313" s="7" t="n">
        <f aca="false">Sens!$E$6313+(glt_srch-Sens!$E$6313)*MIN(1,(Sens!F6258-base_fy)/n_conv)</f>
        <v>0.111797468164118</v>
      </c>
      <c r="G6313" s="7" t="n">
        <f aca="false">Sens!$E$6313+(glt_srch-Sens!$E$6313)*MIN(1,(Sens!G6258-base_fy)/n_conv)</f>
        <v>0.103437974531295</v>
      </c>
      <c r="H6313" s="7" t="n">
        <f aca="false">Sens!$E$6313+(glt_srch-Sens!$E$6313)*MIN(1,(Sens!H6258-base_fy)/n_conv)</f>
        <v>0.095078480898471</v>
      </c>
      <c r="I6313" s="7" t="n">
        <f aca="false">Sens!$E$6313+(glt_srch-Sens!$E$6313)*MIN(1,(Sens!I6258-base_fy)/n_conv)</f>
        <v>0.0867189872656474</v>
      </c>
      <c r="J6313" s="7" t="n">
        <f aca="false">Sens!$E$6313+(glt_srch-Sens!$E$6313)*MIN(1,(Sens!J6258-base_fy)/n_conv)</f>
        <v>0.0783594936328237</v>
      </c>
      <c r="K6313" s="7" t="n">
        <f aca="false">Sens!$E$6313+(glt_srch-Sens!$E$6313)*MIN(1,(Sens!K6258-base_fy)/n_conv)</f>
        <v>0.07</v>
      </c>
    </row>
    <row r="6314" customFormat="false" ht="15" hidden="false" customHeight="false" outlineLevel="0" collapsed="false">
      <c r="A6314" s="0" t="s">
        <v>888</v>
      </c>
      <c r="B6314" s="0" t="s">
        <v>98</v>
      </c>
      <c r="D6314" s="6" t="n">
        <f aca="false">Q!L14</f>
        <v>23.455</v>
      </c>
      <c r="E6314" s="6" t="n">
        <f aca="false">Q!M14</f>
        <v>21.79</v>
      </c>
      <c r="F6314" s="6" t="n">
        <f aca="false">Sens!E6314*(1+Sens!F6315)</f>
        <v>20.5736277908051</v>
      </c>
      <c r="G6314" s="6" t="n">
        <f aca="false">Sens!F6314*(1+Sens!G6315)</f>
        <v>19.7371452817919</v>
      </c>
      <c r="H6314" s="6" t="n">
        <f aca="false">Sens!G6314*(1+Sens!H6315)</f>
        <v>19.2339764043138</v>
      </c>
      <c r="I6314" s="6" t="n">
        <f aca="false">Sens!H6314*(1+Sens!I6315)</f>
        <v>19.0353086852681</v>
      </c>
      <c r="J6314" s="6" t="n">
        <f aca="false">Sens!I6314*(1+Sens!J6315)</f>
        <v>19.1273539319129</v>
      </c>
      <c r="K6314" s="6" t="n">
        <f aca="false">Sens!J6314*(1+Sens!K6315)</f>
        <v>19.5099010105511</v>
      </c>
    </row>
    <row r="6315" customFormat="false" ht="15" hidden="false" customHeight="false" outlineLevel="0" collapsed="false">
      <c r="A6315" s="1" t="s">
        <v>876</v>
      </c>
      <c r="B6315" s="0" t="s">
        <v>129</v>
      </c>
      <c r="E6315" s="7" t="n">
        <f aca="false">Sens!E6314/Sens!D6314-1</f>
        <v>-0.0709869963760392</v>
      </c>
      <c r="F6315" s="7" t="n">
        <f aca="false">Sens!$E$6315+(glt_xbox-Sens!$E$6315)*MIN(1,(Sens!F6258-base_fy)/n_conv)</f>
        <v>-0.0558224969800327</v>
      </c>
      <c r="G6315" s="7" t="n">
        <f aca="false">Sens!$E$6315+(glt_xbox-Sens!$E$6315)*MIN(1,(Sens!G6258-base_fy)/n_conv)</f>
        <v>-0.0406579975840262</v>
      </c>
      <c r="H6315" s="7" t="n">
        <f aca="false">Sens!$E$6315+(glt_xbox-Sens!$E$6315)*MIN(1,(Sens!H6258-base_fy)/n_conv)</f>
        <v>-0.0254934981880196</v>
      </c>
      <c r="I6315" s="7" t="n">
        <f aca="false">Sens!$E$6315+(glt_xbox-Sens!$E$6315)*MIN(1,(Sens!I6258-base_fy)/n_conv)</f>
        <v>-0.0103289987920131</v>
      </c>
      <c r="J6315" s="7" t="n">
        <f aca="false">Sens!$E$6315+(glt_xbox-Sens!$E$6315)*MIN(1,(Sens!J6258-base_fy)/n_conv)</f>
        <v>0.00483550060399347</v>
      </c>
      <c r="K6315" s="7" t="n">
        <f aca="false">Sens!$E$6315+(glt_xbox-Sens!$E$6315)*MIN(1,(Sens!K6258-base_fy)/n_conv)</f>
        <v>0.02</v>
      </c>
    </row>
    <row r="6316" customFormat="false" ht="15" hidden="false" customHeight="false" outlineLevel="0" collapsed="false">
      <c r="A6316" s="0" t="s">
        <v>889</v>
      </c>
      <c r="B6316" s="0" t="s">
        <v>98</v>
      </c>
      <c r="D6316" s="6" t="n">
        <f aca="false">Q!L15</f>
        <v>17.315</v>
      </c>
      <c r="E6316" s="6" t="n">
        <f aca="false">Q!M15</f>
        <v>17.087</v>
      </c>
      <c r="F6316" s="6" t="n">
        <f aca="false">Sens!E6316*(1+Sens!F6317)</f>
        <v>16.9564585436519</v>
      </c>
      <c r="G6316" s="6" t="n">
        <f aca="false">Sens!F6316*(1+Sens!G6317)</f>
        <v>16.9206490624268</v>
      </c>
      <c r="H6316" s="6" t="n">
        <f aca="false">Sens!G6316*(1+Sens!H6317)</f>
        <v>16.9784519149849</v>
      </c>
      <c r="I6316" s="6" t="n">
        <f aca="false">Sens!H6316*(1+Sens!I6317)</f>
        <v>17.1303084701817</v>
      </c>
      <c r="J6316" s="6" t="n">
        <f aca="false">Sens!I6316*(1+Sens!J6317)</f>
        <v>17.3782189407267</v>
      </c>
      <c r="K6316" s="6" t="n">
        <f aca="false">Sens!J6316*(1+Sens!K6317)</f>
        <v>17.7257833195413</v>
      </c>
    </row>
    <row r="6317" customFormat="false" ht="15" hidden="false" customHeight="false" outlineLevel="0" collapsed="false">
      <c r="A6317" s="1" t="s">
        <v>876</v>
      </c>
      <c r="B6317" s="0" t="s">
        <v>129</v>
      </c>
      <c r="E6317" s="7" t="n">
        <f aca="false">Sens!E6316/Sens!D6316-1</f>
        <v>-0.0131677736066995</v>
      </c>
      <c r="F6317" s="7" t="n">
        <f aca="false">Sens!$E$6317+(glt_win-Sens!$E$6317)*MIN(1,(Sens!F6258-base_fy)/n_conv)</f>
        <v>-0.00763981133891627</v>
      </c>
      <c r="G6317" s="7" t="n">
        <f aca="false">Sens!$E$6317+(glt_win-Sens!$E$6317)*MIN(1,(Sens!G6258-base_fy)/n_conv)</f>
        <v>-0.00211184907113301</v>
      </c>
      <c r="H6317" s="7" t="n">
        <f aca="false">Sens!$E$6317+(glt_win-Sens!$E$6317)*MIN(1,(Sens!H6258-base_fy)/n_conv)</f>
        <v>0.00341611319665024</v>
      </c>
      <c r="I6317" s="7" t="n">
        <f aca="false">Sens!$E$6317+(glt_win-Sens!$E$6317)*MIN(1,(Sens!I6258-base_fy)/n_conv)</f>
        <v>0.00894407546443349</v>
      </c>
      <c r="J6317" s="7" t="n">
        <f aca="false">Sens!$E$6317+(glt_win-Sens!$E$6317)*MIN(1,(Sens!J6258-base_fy)/n_conv)</f>
        <v>0.0144720377322168</v>
      </c>
      <c r="K6317" s="7" t="n">
        <f aca="false">Sens!$E$6317+(glt_win-Sens!$E$6317)*MIN(1,(Sens!K6258-base_fy)/n_conv)</f>
        <v>0.02</v>
      </c>
    </row>
    <row r="6318" customFormat="false" ht="15" hidden="false" customHeight="false" outlineLevel="0" collapsed="false">
      <c r="A6318" s="0" t="s">
        <v>729</v>
      </c>
      <c r="B6318" s="0" t="s">
        <v>98</v>
      </c>
      <c r="D6318" s="6" t="n">
        <f aca="false">Sens!D6312+Sens!D6314+Sens!D6316</f>
        <v>62.941</v>
      </c>
      <c r="E6318" s="6" t="n">
        <f aca="false">Sens!E6312+Sens!E6314+Sens!E6316</f>
        <v>63.712</v>
      </c>
      <c r="F6318" s="6" t="n">
        <f aca="false">Sens!F6312+Sens!F6314+Sens!F6316</f>
        <v>65.1415764563129</v>
      </c>
      <c r="G6318" s="6" t="n">
        <f aca="false">Sens!G6312+Sens!G6314+Sens!G6316</f>
        <v>67.1253610780702</v>
      </c>
      <c r="H6318" s="6" t="n">
        <f aca="false">Sens!H6312+Sens!H6314+Sens!H6316</f>
        <v>69.5768050148776</v>
      </c>
      <c r="I6318" s="6" t="n">
        <f aca="false">Sens!I6312+Sens!I6314+Sens!I6316</f>
        <v>72.4233188088189</v>
      </c>
      <c r="J6318" s="6" t="n">
        <f aca="false">Sens!J6312+Sens!J6314+Sens!J6316</f>
        <v>75.6044096678567</v>
      </c>
      <c r="K6318" s="6" t="n">
        <f aca="false">Sens!K6312+Sens!K6314+Sens!K6316</f>
        <v>79.0714397009747</v>
      </c>
    </row>
    <row r="6319" customFormat="false" ht="15" hidden="false" customHeight="false" outlineLevel="0" collapsed="false">
      <c r="A6319" s="1" t="s">
        <v>890</v>
      </c>
      <c r="B6319" s="0" t="s">
        <v>98</v>
      </c>
      <c r="D6319" s="6" t="n">
        <f aca="false">Sens!D6311+Sens!D6318</f>
        <v>281.724</v>
      </c>
      <c r="E6319" s="6" t="n">
        <f aca="false">Sens!E6311+Sens!E6318</f>
        <v>331.839</v>
      </c>
      <c r="F6319" s="6" t="n">
        <f aca="false">Sens!F6311+Sens!F6318</f>
        <v>394.255009521169</v>
      </c>
      <c r="G6319" s="6" t="n">
        <f aca="false">Sens!G6311+Sens!G6318</f>
        <v>458.645226751344</v>
      </c>
      <c r="H6319" s="6" t="n">
        <f aca="false">Sens!H6311+Sens!H6318</f>
        <v>519.083125886071</v>
      </c>
      <c r="I6319" s="6" t="n">
        <f aca="false">Sens!I6311+Sens!I6318</f>
        <v>581.999545054311</v>
      </c>
      <c r="J6319" s="6" t="n">
        <f aca="false">Sens!J6311+Sens!J6318</f>
        <v>634.945612797378</v>
      </c>
      <c r="K6319" s="6" t="n">
        <f aca="false">Sens!K6311+Sens!K6318</f>
        <v>678.849953890677</v>
      </c>
    </row>
    <row r="6320" customFormat="false" ht="15" hidden="false" customHeight="false" outlineLevel="0" collapsed="false">
      <c r="A6320" s="23" t="s">
        <v>891</v>
      </c>
      <c r="B6320" s="30" t="s">
        <v>98</v>
      </c>
      <c r="C6320" s="30"/>
      <c r="D6320" s="24" t="n">
        <f aca="false">(Sens!D6299+Sens!D6304+Sens!D6305+Sens!D6307+Sens!D6309-Sens!D6311)+(Sens!D6312+Sens!D6314+Sens!D6316-Sens!D6318)+(Sens!D6311-Q!L5)+(Sens!D6318-Q!L12)+(Sens!D6299-Q!L6)+(Sens!D6304-Q!L7)</f>
        <v>0</v>
      </c>
      <c r="E6320" s="24" t="n">
        <f aca="false">(Sens!E6299+Sens!E6304+Sens!E6305+Sens!E6307+Sens!E6309-Sens!E6311)+(Sens!E6312+Sens!E6314+Sens!E6316-Sens!E6318)+(Sens!E6311-Q!M5)+(Sens!E6318-Q!M12)+(Sens!E6299-Q!M6)+(Sens!E6304-Q!M7)</f>
        <v>0</v>
      </c>
      <c r="F6320" s="24" t="n">
        <f aca="false">(Sens!F6299+Sens!F6304+Sens!F6305+Sens!F6307+Sens!F6309-Sens!F6311)+(Sens!F6312+Sens!F6314+Sens!F6316-Sens!F6318)</f>
        <v>0</v>
      </c>
      <c r="G6320" s="24" t="n">
        <f aca="false">(Sens!G6299+Sens!G6304+Sens!G6305+Sens!G6307+Sens!G6309-Sens!G6311)+(Sens!G6312+Sens!G6314+Sens!G6316-Sens!G6318)</f>
        <v>0</v>
      </c>
      <c r="H6320" s="24" t="n">
        <f aca="false">(Sens!H6299+Sens!H6304+Sens!H6305+Sens!H6307+Sens!H6309-Sens!H6311)+(Sens!H6312+Sens!H6314+Sens!H6316-Sens!H6318)</f>
        <v>0</v>
      </c>
      <c r="I6320" s="24" t="n">
        <f aca="false">(Sens!I6299+Sens!I6304+Sens!I6305+Sens!I6307+Sens!I6309-Sens!I6311)+(Sens!I6312+Sens!I6314+Sens!I6316-Sens!I6318)</f>
        <v>0</v>
      </c>
      <c r="J6320" s="24" t="n">
        <f aca="false">(Sens!J6299+Sens!J6304+Sens!J6305+Sens!J6307+Sens!J6309-Sens!J6311)+(Sens!J6312+Sens!J6314+Sens!J6316-Sens!J6318)</f>
        <v>0</v>
      </c>
      <c r="K6320" s="24" t="n">
        <f aca="false">(Sens!K6299+Sens!K6304+Sens!K6305+Sens!K6307+Sens!K6309-Sens!K6311)+(Sens!K6312+Sens!K6314+Sens!K6316-Sens!K6318)</f>
        <v>0</v>
      </c>
    </row>
    <row r="6321" customFormat="false" ht="17.15" hidden="false" customHeight="false" outlineLevel="0" collapsed="false">
      <c r="A6321" s="3" t="s">
        <v>1424</v>
      </c>
    </row>
    <row r="6322" customFormat="false" ht="15" hidden="false" customHeight="false" outlineLevel="0" collapsed="false">
      <c r="A6322" s="4" t="s">
        <v>43</v>
      </c>
      <c r="B6322" s="4" t="s">
        <v>65</v>
      </c>
      <c r="C6322" s="20" t="s">
        <v>799</v>
      </c>
      <c r="D6322" s="20" t="s">
        <v>800</v>
      </c>
      <c r="E6322" s="20" t="s">
        <v>801</v>
      </c>
      <c r="F6322" s="20" t="s">
        <v>802</v>
      </c>
      <c r="G6322" s="20" t="s">
        <v>803</v>
      </c>
      <c r="H6322" s="20" t="s">
        <v>804</v>
      </c>
      <c r="I6322" s="20" t="s">
        <v>805</v>
      </c>
      <c r="J6322" s="20" t="s">
        <v>806</v>
      </c>
      <c r="K6322" s="20" t="s">
        <v>807</v>
      </c>
      <c r="L6322" s="4" t="s">
        <v>47</v>
      </c>
    </row>
    <row r="6323" customFormat="false" ht="15" hidden="false" customHeight="false" outlineLevel="0" collapsed="false">
      <c r="A6323" s="0" t="s">
        <v>877</v>
      </c>
      <c r="B6323" s="0" t="s">
        <v>98</v>
      </c>
      <c r="D6323" s="6" t="n">
        <f aca="false">Sens!D6299</f>
        <v>72.61</v>
      </c>
      <c r="E6323" s="6" t="n">
        <f aca="false">Sens!E6299</f>
        <v>101.938</v>
      </c>
      <c r="F6323" s="6" t="n">
        <f aca="false">Sens!F6299</f>
        <v>140.741861125673</v>
      </c>
      <c r="G6323" s="6" t="n">
        <f aca="false">Sens!G6299</f>
        <v>182.176709135845</v>
      </c>
      <c r="H6323" s="6" t="n">
        <f aca="false">Sens!H6299</f>
        <v>219.167638189678</v>
      </c>
      <c r="I6323" s="6" t="n">
        <f aca="false">Sens!I6299</f>
        <v>259.639871266006</v>
      </c>
      <c r="J6323" s="6" t="n">
        <f aca="false">Sens!J6299</f>
        <v>291.525306025352</v>
      </c>
      <c r="K6323" s="6" t="n">
        <f aca="false">Sens!K6299</f>
        <v>315.009444849526</v>
      </c>
    </row>
    <row r="6324" customFormat="false" ht="17.15" hidden="false" customHeight="false" outlineLevel="0" collapsed="false">
      <c r="A6324" s="0" t="s">
        <v>874</v>
      </c>
      <c r="B6324" s="0" t="s">
        <v>98</v>
      </c>
      <c r="D6324" s="6" t="n">
        <f aca="false">Sens!D6296</f>
        <v>12.9359794422418</v>
      </c>
      <c r="E6324" s="6" t="n">
        <f aca="false">Sens!E6296</f>
        <v>27.8095064661409</v>
      </c>
      <c r="F6324" s="6" t="n">
        <f aca="false">Sens!F6296</f>
        <v>50.6619113883066</v>
      </c>
      <c r="G6324" s="6" t="n">
        <f aca="false">Sens!G6296</f>
        <v>75.1482839325348</v>
      </c>
      <c r="H6324" s="6" t="n">
        <f aca="false">Sens!H6296</f>
        <v>94.895655604042</v>
      </c>
      <c r="I6324" s="6" t="n">
        <f aca="false">Sens!I6296</f>
        <v>118.706168884151</v>
      </c>
      <c r="J6324" s="6" t="n">
        <f aca="false">Sens!J6296</f>
        <v>135.50643871102</v>
      </c>
      <c r="K6324" s="6" t="n">
        <f aca="false">Sens!K6296</f>
        <v>146.509068150048</v>
      </c>
    </row>
    <row r="6325" customFormat="false" ht="17.15" hidden="false" customHeight="false" outlineLevel="0" collapsed="false">
      <c r="A6325" s="0" t="s">
        <v>902</v>
      </c>
      <c r="B6325" s="0" t="s">
        <v>98</v>
      </c>
      <c r="D6325" s="6" t="n">
        <f aca="false">Sens!D6297</f>
        <v>59.6740205577583</v>
      </c>
      <c r="E6325" s="6" t="n">
        <f aca="false">Sens!E6297</f>
        <v>74.1284935338591</v>
      </c>
      <c r="F6325" s="6" t="n">
        <f aca="false">Sens!F6297</f>
        <v>90.0799497373663</v>
      </c>
      <c r="G6325" s="6" t="n">
        <f aca="false">Sens!G6297</f>
        <v>107.02842520331</v>
      </c>
      <c r="H6325" s="6" t="n">
        <f aca="false">Sens!H6297</f>
        <v>124.271982585636</v>
      </c>
      <c r="I6325" s="6" t="n">
        <f aca="false">Sens!I6297</f>
        <v>140.933702381855</v>
      </c>
      <c r="J6325" s="6" t="n">
        <f aca="false">Sens!J6297</f>
        <v>156.018867314332</v>
      </c>
      <c r="K6325" s="6" t="n">
        <f aca="false">Sens!K6297</f>
        <v>168.500376699478</v>
      </c>
    </row>
    <row r="6326" customFormat="false" ht="15" hidden="false" customHeight="false" outlineLevel="0" collapsed="false">
      <c r="A6326" s="0" t="s">
        <v>883</v>
      </c>
      <c r="B6326" s="0" t="s">
        <v>98</v>
      </c>
      <c r="D6326" s="6" t="n">
        <f aca="false">Sens!D6304</f>
        <v>84.605</v>
      </c>
      <c r="E6326" s="6" t="n">
        <f aca="false">Sens!E6304</f>
        <v>100.299</v>
      </c>
      <c r="F6326" s="6" t="n">
        <f aca="false">Sens!F6304</f>
        <v>118.14238776686</v>
      </c>
      <c r="G6326" s="6" t="n">
        <f aca="false">Sens!G6304</f>
        <v>134.794168448684</v>
      </c>
      <c r="H6326" s="6" t="n">
        <f aca="false">Sens!H6304</f>
        <v>151.527359388781</v>
      </c>
      <c r="I6326" s="6" t="n">
        <f aca="false">Sens!I6304</f>
        <v>166.959028071957</v>
      </c>
      <c r="J6326" s="6" t="n">
        <f aca="false">Sens!J6304</f>
        <v>180.807702785465</v>
      </c>
      <c r="K6326" s="6" t="n">
        <f aca="false">Sens!K6304</f>
        <v>193.902991980448</v>
      </c>
    </row>
    <row r="6327" customFormat="false" ht="17.15" hidden="false" customHeight="false" outlineLevel="0" collapsed="false">
      <c r="A6327" s="0" t="s">
        <v>903</v>
      </c>
      <c r="B6327" s="0" t="s">
        <v>98</v>
      </c>
      <c r="D6327" s="6" t="n">
        <f aca="false">Sens!D6302</f>
        <v>83.705</v>
      </c>
      <c r="E6327" s="6" t="n">
        <f aca="false">Sens!E6302</f>
        <v>95.049</v>
      </c>
      <c r="F6327" s="6" t="n">
        <f aca="false">Sens!F6302</f>
        <v>106.89238776686</v>
      </c>
      <c r="G6327" s="6" t="n">
        <f aca="false">Sens!G6302</f>
        <v>119.044168448684</v>
      </c>
      <c r="H6327" s="6" t="n">
        <f aca="false">Sens!H6302</f>
        <v>131.277359388781</v>
      </c>
      <c r="I6327" s="6" t="n">
        <f aca="false">Sens!I6302</f>
        <v>143.334028071957</v>
      </c>
      <c r="J6327" s="6" t="n">
        <f aca="false">Sens!J6302</f>
        <v>154.932702785465</v>
      </c>
      <c r="K6327" s="6" t="n">
        <f aca="false">Sens!K6302</f>
        <v>165.777991980448</v>
      </c>
    </row>
    <row r="6328" customFormat="false" ht="17.15" hidden="false" customHeight="false" outlineLevel="0" collapsed="false">
      <c r="A6328" s="0" t="s">
        <v>904</v>
      </c>
      <c r="B6328" s="0" t="s">
        <v>98</v>
      </c>
      <c r="D6328" s="6" t="n">
        <f aca="false">Sens!D6301</f>
        <v>0.9</v>
      </c>
      <c r="E6328" s="6" t="n">
        <f aca="false">Sens!E6301</f>
        <v>5.25</v>
      </c>
      <c r="F6328" s="6" t="n">
        <f aca="false">Sens!F6301</f>
        <v>11.25</v>
      </c>
      <c r="G6328" s="6" t="n">
        <f aca="false">Sens!G6301</f>
        <v>15.75</v>
      </c>
      <c r="H6328" s="6" t="n">
        <f aca="false">Sens!H6301</f>
        <v>20.25</v>
      </c>
      <c r="I6328" s="6" t="n">
        <f aca="false">Sens!I6301</f>
        <v>23.625</v>
      </c>
      <c r="J6328" s="6" t="n">
        <f aca="false">Sens!J6301</f>
        <v>25.875</v>
      </c>
      <c r="K6328" s="6" t="n">
        <f aca="false">Sens!K6301</f>
        <v>28.125</v>
      </c>
    </row>
    <row r="6329" customFormat="false" ht="15" hidden="false" customHeight="false" outlineLevel="0" collapsed="false">
      <c r="A6329" s="0" t="s">
        <v>884</v>
      </c>
      <c r="B6329" s="0" t="s">
        <v>98</v>
      </c>
      <c r="D6329" s="6" t="n">
        <f aca="false">Sens!D6305</f>
        <v>35.391</v>
      </c>
      <c r="E6329" s="6" t="n">
        <f aca="false">Sens!E6305</f>
        <v>37.285</v>
      </c>
      <c r="F6329" s="6" t="n">
        <f aca="false">Sens!F6305</f>
        <v>39.0720834331704</v>
      </c>
      <c r="G6329" s="6" t="n">
        <f aca="false">Sens!G6305</f>
        <v>40.726562953769</v>
      </c>
      <c r="H6329" s="6" t="n">
        <f aca="false">Sens!H6305</f>
        <v>42.2235987259198</v>
      </c>
      <c r="I6329" s="6" t="n">
        <f aca="false">Sens!I6305</f>
        <v>43.5397988077414</v>
      </c>
      <c r="J6329" s="6" t="n">
        <f aca="false">Sens!J6305</f>
        <v>44.653811225693</v>
      </c>
      <c r="K6329" s="6" t="n">
        <f aca="false">Sens!K6305</f>
        <v>45.5468874502068</v>
      </c>
    </row>
    <row r="6330" customFormat="false" ht="15" hidden="false" customHeight="false" outlineLevel="0" collapsed="false">
      <c r="A6330" s="0" t="s">
        <v>885</v>
      </c>
      <c r="B6330" s="0" t="s">
        <v>98</v>
      </c>
      <c r="D6330" s="6" t="n">
        <f aca="false">Sens!D6307</f>
        <v>18.417</v>
      </c>
      <c r="E6330" s="6" t="n">
        <f aca="false">Sens!E6307</f>
        <v>20.345</v>
      </c>
      <c r="F6330" s="6" t="n">
        <f aca="false">Sens!F6307</f>
        <v>22.3572203267814</v>
      </c>
      <c r="G6330" s="6" t="n">
        <f aca="false">Sens!G6307</f>
        <v>24.4392124437232</v>
      </c>
      <c r="H6330" s="6" t="n">
        <f aca="false">Sens!H6307</f>
        <v>26.5738052080665</v>
      </c>
      <c r="I6330" s="6" t="n">
        <f aca="false">Sens!I6307</f>
        <v>28.7412169166967</v>
      </c>
      <c r="J6330" s="6" t="n">
        <f aca="false">Sens!J6307</f>
        <v>30.9192545395413</v>
      </c>
      <c r="K6330" s="6" t="n">
        <f aca="false">Sens!K6307</f>
        <v>33.0836023573092</v>
      </c>
    </row>
    <row r="6331" customFormat="false" ht="15" hidden="false" customHeight="false" outlineLevel="0" collapsed="false">
      <c r="A6331" s="0" t="s">
        <v>886</v>
      </c>
      <c r="B6331" s="0" t="s">
        <v>98</v>
      </c>
      <c r="D6331" s="6" t="n">
        <f aca="false">Sens!D6309</f>
        <v>7.76</v>
      </c>
      <c r="E6331" s="6" t="n">
        <f aca="false">Sens!E6309</f>
        <v>8.26</v>
      </c>
      <c r="F6331" s="6" t="n">
        <f aca="false">Sens!F6309</f>
        <v>8.79988041237113</v>
      </c>
      <c r="G6331" s="6" t="n">
        <f aca="false">Sens!G6309</f>
        <v>9.38321269125306</v>
      </c>
      <c r="H6331" s="6" t="n">
        <f aca="false">Sens!H6309</f>
        <v>10.0139193587476</v>
      </c>
      <c r="I6331" s="6" t="n">
        <f aca="false">Sens!I6309</f>
        <v>10.6963111830911</v>
      </c>
      <c r="J6331" s="6" t="n">
        <f aca="false">Sens!J6309</f>
        <v>11.4351285534696</v>
      </c>
      <c r="K6331" s="6" t="n">
        <f aca="false">Sens!K6309</f>
        <v>12.2355875522124</v>
      </c>
    </row>
    <row r="6332" customFormat="false" ht="15" hidden="false" customHeight="false" outlineLevel="0" collapsed="false">
      <c r="A6332" s="0" t="s">
        <v>715</v>
      </c>
      <c r="B6332" s="0" t="s">
        <v>98</v>
      </c>
      <c r="D6332" s="6" t="n">
        <f aca="false">Sens!D6311</f>
        <v>218.783</v>
      </c>
      <c r="E6332" s="6" t="n">
        <f aca="false">Sens!E6311</f>
        <v>268.127</v>
      </c>
      <c r="F6332" s="6" t="n">
        <f aca="false">Sens!F6311</f>
        <v>329.113433064856</v>
      </c>
      <c r="G6332" s="6" t="n">
        <f aca="false">Sens!G6311</f>
        <v>391.519865673274</v>
      </c>
      <c r="H6332" s="6" t="n">
        <f aca="false">Sens!H6311</f>
        <v>449.506320871193</v>
      </c>
      <c r="I6332" s="6" t="n">
        <f aca="false">Sens!I6311</f>
        <v>509.576226245492</v>
      </c>
      <c r="J6332" s="6" t="n">
        <f aca="false">Sens!J6311</f>
        <v>559.341203129521</v>
      </c>
      <c r="K6332" s="6" t="n">
        <f aca="false">Sens!K6311</f>
        <v>599.778514189702</v>
      </c>
    </row>
    <row r="6333" customFormat="false" ht="15" hidden="false" customHeight="false" outlineLevel="0" collapsed="false">
      <c r="A6333" s="0" t="s">
        <v>887</v>
      </c>
      <c r="B6333" s="0" t="s">
        <v>98</v>
      </c>
      <c r="D6333" s="6" t="n">
        <f aca="false">Sens!D6312</f>
        <v>22.171</v>
      </c>
      <c r="E6333" s="6" t="n">
        <f aca="false">Sens!E6312</f>
        <v>24.835</v>
      </c>
      <c r="F6333" s="6" t="n">
        <f aca="false">Sens!F6312</f>
        <v>27.6114901218559</v>
      </c>
      <c r="G6333" s="6" t="n">
        <f aca="false">Sens!G6312</f>
        <v>30.4675667338515</v>
      </c>
      <c r="H6333" s="6" t="n">
        <f aca="false">Sens!H6312</f>
        <v>33.3643766955789</v>
      </c>
      <c r="I6333" s="6" t="n">
        <f aca="false">Sens!I6312</f>
        <v>36.2577016533691</v>
      </c>
      <c r="J6333" s="6" t="n">
        <f aca="false">Sens!J6312</f>
        <v>39.0988367952171</v>
      </c>
      <c r="K6333" s="6" t="n">
        <f aca="false">Sens!K6312</f>
        <v>41.8357553708823</v>
      </c>
    </row>
    <row r="6334" customFormat="false" ht="15" hidden="false" customHeight="false" outlineLevel="0" collapsed="false">
      <c r="A6334" s="0" t="s">
        <v>888</v>
      </c>
      <c r="B6334" s="0" t="s">
        <v>98</v>
      </c>
      <c r="D6334" s="6" t="n">
        <f aca="false">Sens!D6314</f>
        <v>23.455</v>
      </c>
      <c r="E6334" s="6" t="n">
        <f aca="false">Sens!E6314</f>
        <v>21.79</v>
      </c>
      <c r="F6334" s="6" t="n">
        <f aca="false">Sens!F6314</f>
        <v>20.5736277908051</v>
      </c>
      <c r="G6334" s="6" t="n">
        <f aca="false">Sens!G6314</f>
        <v>19.7371452817919</v>
      </c>
      <c r="H6334" s="6" t="n">
        <f aca="false">Sens!H6314</f>
        <v>19.2339764043138</v>
      </c>
      <c r="I6334" s="6" t="n">
        <f aca="false">Sens!I6314</f>
        <v>19.0353086852681</v>
      </c>
      <c r="J6334" s="6" t="n">
        <f aca="false">Sens!J6314</f>
        <v>19.1273539319129</v>
      </c>
      <c r="K6334" s="6" t="n">
        <f aca="false">Sens!K6314</f>
        <v>19.5099010105511</v>
      </c>
    </row>
    <row r="6335" customFormat="false" ht="15" hidden="false" customHeight="false" outlineLevel="0" collapsed="false">
      <c r="A6335" s="0" t="s">
        <v>889</v>
      </c>
      <c r="B6335" s="0" t="s">
        <v>98</v>
      </c>
      <c r="D6335" s="6" t="n">
        <f aca="false">Sens!D6316</f>
        <v>17.315</v>
      </c>
      <c r="E6335" s="6" t="n">
        <f aca="false">Sens!E6316</f>
        <v>17.087</v>
      </c>
      <c r="F6335" s="6" t="n">
        <f aca="false">Sens!F6316</f>
        <v>16.9564585436519</v>
      </c>
      <c r="G6335" s="6" t="n">
        <f aca="false">Sens!G6316</f>
        <v>16.9206490624268</v>
      </c>
      <c r="H6335" s="6" t="n">
        <f aca="false">Sens!H6316</f>
        <v>16.9784519149849</v>
      </c>
      <c r="I6335" s="6" t="n">
        <f aca="false">Sens!I6316</f>
        <v>17.1303084701817</v>
      </c>
      <c r="J6335" s="6" t="n">
        <f aca="false">Sens!J6316</f>
        <v>17.3782189407267</v>
      </c>
      <c r="K6335" s="6" t="n">
        <f aca="false">Sens!K6316</f>
        <v>17.7257833195413</v>
      </c>
    </row>
    <row r="6336" customFormat="false" ht="15" hidden="false" customHeight="false" outlineLevel="0" collapsed="false">
      <c r="A6336" s="0" t="s">
        <v>729</v>
      </c>
      <c r="B6336" s="0" t="s">
        <v>98</v>
      </c>
      <c r="D6336" s="6" t="n">
        <f aca="false">Sens!D6318</f>
        <v>62.941</v>
      </c>
      <c r="E6336" s="6" t="n">
        <f aca="false">Sens!E6318</f>
        <v>63.712</v>
      </c>
      <c r="F6336" s="6" t="n">
        <f aca="false">Sens!F6318</f>
        <v>65.1415764563129</v>
      </c>
      <c r="G6336" s="6" t="n">
        <f aca="false">Sens!G6318</f>
        <v>67.1253610780702</v>
      </c>
      <c r="H6336" s="6" t="n">
        <f aca="false">Sens!H6318</f>
        <v>69.5768050148776</v>
      </c>
      <c r="I6336" s="6" t="n">
        <f aca="false">Sens!I6318</f>
        <v>72.4233188088189</v>
      </c>
      <c r="J6336" s="6" t="n">
        <f aca="false">Sens!J6318</f>
        <v>75.6044096678567</v>
      </c>
      <c r="K6336" s="6" t="n">
        <f aca="false">Sens!K6318</f>
        <v>79.0714397009747</v>
      </c>
    </row>
    <row r="6337" customFormat="false" ht="15" hidden="false" customHeight="false" outlineLevel="0" collapsed="false">
      <c r="A6337" s="1" t="s">
        <v>905</v>
      </c>
      <c r="B6337" s="0" t="s">
        <v>98</v>
      </c>
      <c r="D6337" s="6" t="n">
        <f aca="false">Sens!D6319</f>
        <v>281.724</v>
      </c>
      <c r="E6337" s="6" t="n">
        <f aca="false">Sens!E6319</f>
        <v>331.839</v>
      </c>
      <c r="F6337" s="6" t="n">
        <f aca="false">Sens!F6319</f>
        <v>394.255009521169</v>
      </c>
      <c r="G6337" s="6" t="n">
        <f aca="false">Sens!G6319</f>
        <v>458.645226751344</v>
      </c>
      <c r="H6337" s="6" t="n">
        <f aca="false">Sens!H6319</f>
        <v>519.083125886071</v>
      </c>
      <c r="I6337" s="6" t="n">
        <f aca="false">Sens!I6319</f>
        <v>581.999545054311</v>
      </c>
      <c r="J6337" s="6" t="n">
        <f aca="false">Sens!J6319</f>
        <v>634.945612797378</v>
      </c>
      <c r="K6337" s="6" t="n">
        <f aca="false">Sens!K6319</f>
        <v>678.849953890677</v>
      </c>
    </row>
    <row r="6338" customFormat="false" ht="15" hidden="false" customHeight="false" outlineLevel="0" collapsed="false">
      <c r="A6338" s="1" t="s">
        <v>906</v>
      </c>
      <c r="B6338" s="0" t="s">
        <v>129</v>
      </c>
      <c r="E6338" s="7" t="n">
        <f aca="false">Sens!E6337/Sens!D6337-1</f>
        <v>0.177886867998467</v>
      </c>
      <c r="F6338" s="7" t="n">
        <f aca="false">Sens!F6337/Sens!E6337-1</f>
        <v>0.188091241599597</v>
      </c>
      <c r="G6338" s="7" t="n">
        <f aca="false">Sens!G6337/Sens!F6337-1</f>
        <v>0.163321240504664</v>
      </c>
      <c r="H6338" s="7" t="n">
        <f aca="false">Sens!H6337/Sens!G6337-1</f>
        <v>0.131774835122166</v>
      </c>
      <c r="I6338" s="7" t="n">
        <f aca="false">Sens!I6337/Sens!H6337-1</f>
        <v>0.121206828021702</v>
      </c>
      <c r="J6338" s="7" t="n">
        <f aca="false">Sens!J6337/Sens!I6337-1</f>
        <v>0.0909726961008632</v>
      </c>
      <c r="K6338" s="7" t="n">
        <f aca="false">Sens!K6337/Sens!J6337-1</f>
        <v>0.069146616983256</v>
      </c>
    </row>
    <row r="6339" customFormat="false" ht="17.15" hidden="false" customHeight="false" outlineLevel="0" collapsed="false">
      <c r="A6339" s="23" t="s">
        <v>907</v>
      </c>
      <c r="B6339" s="30" t="s">
        <v>98</v>
      </c>
      <c r="C6339" s="30"/>
      <c r="D6339" s="24" t="n">
        <f aca="false">(Sens!D6332+Sens!D6336-Sens!D6337)+(Sens!D6324+Sens!D6325-Sens!D6323)+(Sens!D6327+Sens!D6328-Sens!D6326)+(Sens!D6337-Q!L18)</f>
        <v>0</v>
      </c>
      <c r="E6339" s="24" t="n">
        <f aca="false">(Sens!E6332+Sens!E6336-Sens!E6337)+(Sens!E6324+Sens!E6325-Sens!E6323)+(Sens!E6327+Sens!E6328-Sens!E6326)+(Sens!E6337-Q!M18)</f>
        <v>0</v>
      </c>
      <c r="F6339" s="24" t="n">
        <f aca="false">(Sens!F6332+Sens!F6336-Sens!F6337)+(Sens!F6324+Sens!F6325-Sens!F6323)+(Sens!F6327+Sens!F6328-Sens!F6326)</f>
        <v>0</v>
      </c>
      <c r="G6339" s="24" t="n">
        <f aca="false">(Sens!G6332+Sens!G6336-Sens!G6337)+(Sens!G6324+Sens!G6325-Sens!G6323)+(Sens!G6327+Sens!G6328-Sens!G6326)</f>
        <v>0</v>
      </c>
      <c r="H6339" s="24" t="n">
        <f aca="false">(Sens!H6332+Sens!H6336-Sens!H6337)+(Sens!H6324+Sens!H6325-Sens!H6323)+(Sens!H6327+Sens!H6328-Sens!H6326)</f>
        <v>0</v>
      </c>
      <c r="I6339" s="24" t="n">
        <f aca="false">(Sens!I6332+Sens!I6336-Sens!I6337)+(Sens!I6324+Sens!I6325-Sens!I6323)+(Sens!I6327+Sens!I6328-Sens!I6326)</f>
        <v>0</v>
      </c>
      <c r="J6339" s="24" t="n">
        <f aca="false">(Sens!J6332+Sens!J6336-Sens!J6337)+(Sens!J6324+Sens!J6325-Sens!J6323)+(Sens!J6327+Sens!J6328-Sens!J6326)</f>
        <v>0</v>
      </c>
      <c r="K6339" s="24" t="n">
        <f aca="false">(Sens!K6332+Sens!K6336-Sens!K6337)+(Sens!K6324+Sens!K6325-Sens!K6323)+(Sens!K6327+Sens!K6328-Sens!K6326)</f>
        <v>0</v>
      </c>
    </row>
    <row r="6340" customFormat="false" ht="17.15" hidden="false" customHeight="false" outlineLevel="0" collapsed="false">
      <c r="A6340" s="0" t="s">
        <v>908</v>
      </c>
      <c r="B6340" s="0" t="s">
        <v>129</v>
      </c>
      <c r="E6340" s="7" t="n">
        <f aca="false">(Q!M21+Sens!E6277+Sens!E6278+Sens!E6279+Sens!E6292-Sens!E6275)/(Q!M5-Sens!E6275)</f>
        <v>0.570957350878296</v>
      </c>
      <c r="F6340" s="7" t="n">
        <f aca="false">Sens!$E$6340+dm_seg</f>
        <v>0.570957350878296</v>
      </c>
      <c r="G6340" s="7" t="n">
        <f aca="false">Sens!$E$6340+dm_seg</f>
        <v>0.570957350878296</v>
      </c>
      <c r="H6340" s="7" t="n">
        <f aca="false">Sens!$E$6340+dm_seg</f>
        <v>0.570957350878296</v>
      </c>
      <c r="I6340" s="7" t="n">
        <f aca="false">Sens!$E$6340+dm_seg</f>
        <v>0.570957350878296</v>
      </c>
      <c r="J6340" s="7" t="n">
        <f aca="false">Sens!$E$6340+dm_seg</f>
        <v>0.570957350878296</v>
      </c>
      <c r="K6340" s="7" t="n">
        <f aca="false">Sens!$E$6340+dm_seg</f>
        <v>0.570957350878296</v>
      </c>
      <c r="L6340" s="11" t="s">
        <v>909</v>
      </c>
    </row>
    <row r="6341" customFormat="false" ht="17.15" hidden="false" customHeight="false" outlineLevel="0" collapsed="false">
      <c r="A6341" s="0" t="s">
        <v>743</v>
      </c>
      <c r="B6341" s="0" t="s">
        <v>98</v>
      </c>
      <c r="D6341" s="6" t="n">
        <f aca="false">Q!L21</f>
        <v>110.814</v>
      </c>
      <c r="E6341" s="6" t="n">
        <f aca="false">Q!M21</f>
        <v>136.365</v>
      </c>
      <c r="F6341" s="6" t="n">
        <f aca="false">Sens!F6340*(Sens!F6311-Sens!F6275)+Sens!F6275-(Sens!F6277+Sens!F6278+Sens!F6279)-Sens!F6292-Sens!F6375</f>
        <v>152.622193105652</v>
      </c>
      <c r="G6341" s="6" t="n">
        <f aca="false">Sens!G6340*(Sens!G6311-Sens!G6275)+Sens!G6275-(Sens!G6277+Sens!G6278+Sens!G6279)-Sens!G6292-Sens!G6375</f>
        <v>162.222459169572</v>
      </c>
      <c r="H6341" s="6" t="n">
        <f aca="false">Sens!H6340*(Sens!H6311-Sens!H6275)+Sens!H6275-(Sens!H6277+Sens!H6278+Sens!H6279)-Sens!H6292-Sens!H6375</f>
        <v>165.445400611012</v>
      </c>
      <c r="I6341" s="6" t="n">
        <f aca="false">Sens!I6340*(Sens!I6311-Sens!I6275)+Sens!I6275-(Sens!I6277+Sens!I6278+Sens!I6279)-Sens!I6292-Sens!I6375</f>
        <v>176.081689025008</v>
      </c>
      <c r="J6341" s="6" t="n">
        <f aca="false">Sens!J6340*(Sens!J6311-Sens!J6275)+Sens!J6275-(Sens!J6277+Sens!J6278+Sens!J6279)-Sens!J6292-Sens!J6375</f>
        <v>187.754399008831</v>
      </c>
      <c r="K6341" s="6" t="n">
        <f aca="false">Sens!K6340*(Sens!K6311-Sens!K6275)+Sens!K6275-(Sens!K6277+Sens!K6278+Sens!K6279)-Sens!K6292-Sens!K6375</f>
        <v>200.703339920453</v>
      </c>
      <c r="L6341" s="1" t="s">
        <v>910</v>
      </c>
    </row>
    <row r="6342" customFormat="false" ht="17.15" hidden="false" customHeight="false" outlineLevel="0" collapsed="false">
      <c r="A6342" s="0" t="s">
        <v>911</v>
      </c>
      <c r="B6342" s="0" t="s">
        <v>129</v>
      </c>
      <c r="E6342" s="7" t="n">
        <f aca="false">Q!M22/Q!M12</f>
        <v>0.296207935710698</v>
      </c>
      <c r="F6342" s="7" t="n">
        <f aca="false">Sens!$E$6342+dm_seg</f>
        <v>0.296207935710698</v>
      </c>
      <c r="G6342" s="7" t="n">
        <f aca="false">Sens!$E$6342+dm_seg</f>
        <v>0.296207935710698</v>
      </c>
      <c r="H6342" s="7" t="n">
        <f aca="false">Sens!$E$6342+dm_seg</f>
        <v>0.296207935710698</v>
      </c>
      <c r="I6342" s="7" t="n">
        <f aca="false">Sens!$E$6342+dm_seg</f>
        <v>0.296207935710698</v>
      </c>
      <c r="J6342" s="7" t="n">
        <f aca="false">Sens!$E$6342+dm_seg</f>
        <v>0.296207935710698</v>
      </c>
      <c r="K6342" s="7" t="n">
        <f aca="false">Sens!$E$6342+dm_seg</f>
        <v>0.296207935710698</v>
      </c>
      <c r="L6342" s="11" t="s">
        <v>912</v>
      </c>
    </row>
    <row r="6343" customFormat="false" ht="17.15" hidden="false" customHeight="false" outlineLevel="0" collapsed="false">
      <c r="A6343" s="0" t="s">
        <v>745</v>
      </c>
      <c r="B6343" s="0" t="s">
        <v>98</v>
      </c>
      <c r="D6343" s="6" t="n">
        <f aca="false">Q!L22</f>
        <v>17.714</v>
      </c>
      <c r="E6343" s="6" t="n">
        <f aca="false">Q!M22</f>
        <v>18.872</v>
      </c>
      <c r="F6343" s="6" t="n">
        <f aca="false">Sens!F6318*Sens!F6342</f>
        <v>19.2954518910651</v>
      </c>
      <c r="G6343" s="6" t="n">
        <f aca="false">Sens!G6318*Sens!G6342</f>
        <v>19.8830646387704</v>
      </c>
      <c r="H6343" s="6" t="n">
        <f aca="false">Sens!H6318*Sens!H6342</f>
        <v>20.6092017868026</v>
      </c>
      <c r="I6343" s="6" t="n">
        <f aca="false">Sens!I6318*Sens!I6342</f>
        <v>21.452361761678</v>
      </c>
      <c r="J6343" s="6" t="n">
        <f aca="false">Sens!J6318*Sens!J6342</f>
        <v>22.3946261183418</v>
      </c>
      <c r="K6343" s="6" t="n">
        <f aca="false">Sens!K6318*Sens!K6342</f>
        <v>23.4215879274986</v>
      </c>
    </row>
    <row r="6344" customFormat="false" ht="15" hidden="false" customHeight="false" outlineLevel="0" collapsed="false">
      <c r="A6344" s="1" t="s">
        <v>913</v>
      </c>
      <c r="B6344" s="0" t="s">
        <v>98</v>
      </c>
      <c r="D6344" s="6" t="n">
        <f aca="false">Sens!D6341+Sens!D6343</f>
        <v>128.528</v>
      </c>
      <c r="E6344" s="6" t="n">
        <f aca="false">Sens!E6341+Sens!E6343</f>
        <v>155.237</v>
      </c>
      <c r="F6344" s="6" t="n">
        <f aca="false">Sens!F6341+Sens!F6343</f>
        <v>171.917644996717</v>
      </c>
      <c r="G6344" s="6" t="n">
        <f aca="false">Sens!G6341+Sens!G6343</f>
        <v>182.105523808343</v>
      </c>
      <c r="H6344" s="6" t="n">
        <f aca="false">Sens!H6341+Sens!H6343</f>
        <v>186.054602397815</v>
      </c>
      <c r="I6344" s="6" t="n">
        <f aca="false">Sens!I6341+Sens!I6343</f>
        <v>197.534050786686</v>
      </c>
      <c r="J6344" s="6" t="n">
        <f aca="false">Sens!J6341+Sens!J6343</f>
        <v>210.149025127173</v>
      </c>
      <c r="K6344" s="6" t="n">
        <f aca="false">Sens!K6341+Sens!K6343</f>
        <v>224.124927847952</v>
      </c>
    </row>
    <row r="6345" customFormat="false" ht="15" hidden="false" customHeight="false" outlineLevel="0" collapsed="false">
      <c r="A6345" s="23" t="s">
        <v>914</v>
      </c>
      <c r="B6345" s="30" t="s">
        <v>98</v>
      </c>
      <c r="C6345" s="30"/>
      <c r="D6345" s="24" t="n">
        <f aca="false">Sens!D6344-Q!L23</f>
        <v>0</v>
      </c>
      <c r="E6345" s="24" t="n">
        <f aca="false">Sens!E6344-Q!M23</f>
        <v>0</v>
      </c>
      <c r="F6345" s="30"/>
      <c r="G6345" s="30"/>
      <c r="H6345" s="30"/>
      <c r="I6345" s="30"/>
      <c r="J6345" s="30"/>
      <c r="K6345" s="30"/>
    </row>
    <row r="6346" customFormat="false" ht="15" hidden="false" customHeight="false" outlineLevel="0" collapsed="false">
      <c r="A6346" s="1" t="s">
        <v>915</v>
      </c>
      <c r="B6346" s="0" t="s">
        <v>129</v>
      </c>
      <c r="D6346" s="7" t="n">
        <f aca="false">Sens!D6344/Sens!D6337</f>
        <v>0.456219562408598</v>
      </c>
      <c r="E6346" s="7" t="n">
        <f aca="false">Sens!E6344/Sens!E6337</f>
        <v>0.467808184089272</v>
      </c>
      <c r="F6346" s="7" t="n">
        <f aca="false">Sens!F6344/Sens!F6337</f>
        <v>0.436056970349001</v>
      </c>
      <c r="G6346" s="7" t="n">
        <f aca="false">Sens!G6344/Sens!G6337</f>
        <v>0.39705095177426</v>
      </c>
      <c r="H6346" s="7" t="n">
        <f aca="false">Sens!H6344/Sens!H6337</f>
        <v>0.35842930181986</v>
      </c>
      <c r="I6346" s="7" t="n">
        <f aca="false">Sens!I6344/Sens!I6337</f>
        <v>0.339405850855524</v>
      </c>
      <c r="J6346" s="7" t="n">
        <f aca="false">Sens!J6344/Sens!J6337</f>
        <v>0.330971694097263</v>
      </c>
      <c r="K6346" s="7" t="n">
        <f aca="false">Sens!K6344/Sens!K6337</f>
        <v>0.33015385294413</v>
      </c>
    </row>
    <row r="6347" customFormat="false" ht="17.15" hidden="false" customHeight="false" outlineLevel="0" collapsed="false">
      <c r="A6347" s="1" t="s">
        <v>916</v>
      </c>
      <c r="B6347" s="0" t="s">
        <v>98</v>
      </c>
      <c r="F6347" s="6" t="n">
        <f aca="false">Sens!F6362</f>
        <v>9.72713848711398</v>
      </c>
      <c r="G6347" s="6" t="n">
        <f aca="false">Sens!G6362</f>
        <v>25.2192844001793</v>
      </c>
      <c r="H6347" s="6" t="n">
        <f aca="false">Sens!H6362</f>
        <v>42.2454092637664</v>
      </c>
      <c r="I6347" s="6" t="n">
        <f aca="false">Sens!I6362</f>
        <v>57.7194354058428</v>
      </c>
      <c r="J6347" s="6" t="n">
        <f aca="false">Sens!J6362</f>
        <v>68.6671773600072</v>
      </c>
      <c r="K6347" s="6" t="n">
        <f aca="false">Sens!K6362</f>
        <v>75.1390691152276</v>
      </c>
      <c r="L6347" s="1" t="s">
        <v>917</v>
      </c>
    </row>
    <row r="6348" customFormat="false" ht="17.15" hidden="false" customHeight="false" outlineLevel="0" collapsed="false">
      <c r="A6348" s="1" t="s">
        <v>918</v>
      </c>
      <c r="B6348" s="0" t="s">
        <v>98</v>
      </c>
      <c r="D6348" s="6" t="n">
        <f aca="false">Sens!D6344</f>
        <v>128.528</v>
      </c>
      <c r="E6348" s="6" t="n">
        <f aca="false">Sens!E6344</f>
        <v>155.237</v>
      </c>
      <c r="F6348" s="6" t="n">
        <f aca="false">Sens!F6344+Sens!F6347</f>
        <v>181.644783483831</v>
      </c>
      <c r="G6348" s="6" t="n">
        <f aca="false">Sens!G6344+Sens!G6347</f>
        <v>207.324808208522</v>
      </c>
      <c r="H6348" s="6" t="n">
        <f aca="false">Sens!H6344+Sens!H6347</f>
        <v>228.300011661581</v>
      </c>
      <c r="I6348" s="6" t="n">
        <f aca="false">Sens!I6344+Sens!I6347</f>
        <v>255.253486192529</v>
      </c>
      <c r="J6348" s="6" t="n">
        <f aca="false">Sens!J6344+Sens!J6347</f>
        <v>278.81620248718</v>
      </c>
      <c r="K6348" s="6" t="n">
        <f aca="false">Sens!K6344+Sens!K6347</f>
        <v>299.26399696318</v>
      </c>
    </row>
    <row r="6349" customFormat="false" ht="17.15" hidden="false" customHeight="false" outlineLevel="0" collapsed="false">
      <c r="A6349" s="1" t="s">
        <v>919</v>
      </c>
      <c r="B6349" s="0" t="s">
        <v>98</v>
      </c>
      <c r="E6349" s="6" t="n">
        <f aca="false">Sens!E6292</f>
        <v>16.3054059770833</v>
      </c>
      <c r="F6349" s="6" t="n">
        <f aca="false">Sens!F6292</f>
        <v>34.0498873809555</v>
      </c>
      <c r="G6349" s="6" t="n">
        <f aca="false">Sens!G6292</f>
        <v>59.1254371105111</v>
      </c>
      <c r="H6349" s="6" t="n">
        <f aca="false">Sens!H6292</f>
        <v>86.3610198433111</v>
      </c>
      <c r="I6349" s="6" t="n">
        <f aca="false">Sens!I6292</f>
        <v>110.605743832393</v>
      </c>
      <c r="J6349" s="6" t="n">
        <f aca="false">Sens!J6292</f>
        <v>127.998322852843</v>
      </c>
      <c r="K6349" s="6" t="n">
        <f aca="false">Sens!K6292</f>
        <v>139.131464044308</v>
      </c>
    </row>
    <row r="6350" customFormat="false" ht="17.15" hidden="false" customHeight="false" outlineLevel="0" collapsed="false">
      <c r="A6350" s="1" t="s">
        <v>920</v>
      </c>
      <c r="B6350" s="0" t="s">
        <v>98</v>
      </c>
      <c r="E6350" s="6" t="n">
        <f aca="false">Sens!E6374</f>
        <v>22.2285940229167</v>
      </c>
      <c r="F6350" s="6" t="n">
        <f aca="false">Sens!F6374</f>
        <v>24.3924470334783</v>
      </c>
      <c r="G6350" s="6" t="n">
        <f aca="false">Sens!G6374</f>
        <v>26.0459916871694</v>
      </c>
      <c r="H6350" s="6" t="n">
        <f aca="false">Sens!H6374</f>
        <v>28.0850438828615</v>
      </c>
      <c r="I6350" s="6" t="n">
        <f aca="false">Sens!I6374</f>
        <v>30.4476295257397</v>
      </c>
      <c r="J6350" s="6" t="n">
        <f aca="false">Sens!J6374</f>
        <v>33.0547078982031</v>
      </c>
      <c r="K6350" s="6" t="n">
        <f aca="false">Sens!K6374</f>
        <v>35.8223573825822</v>
      </c>
    </row>
    <row r="6351" customFormat="false" ht="17.15" hidden="false" customHeight="false" outlineLevel="0" collapsed="false">
      <c r="A6351" s="1" t="s">
        <v>921</v>
      </c>
      <c r="B6351" s="0" t="s">
        <v>98</v>
      </c>
      <c r="D6351" s="6" t="n">
        <f aca="false">Q!L27</f>
        <v>-4.901</v>
      </c>
      <c r="E6351" s="6" t="n">
        <f aca="false">Q!M27</f>
        <v>10.697</v>
      </c>
      <c r="F6351" s="6" t="n">
        <f aca="false">oie_f</f>
        <v>-0.4</v>
      </c>
      <c r="G6351" s="6" t="n">
        <f aca="false">oie_f</f>
        <v>-0.4</v>
      </c>
      <c r="H6351" s="6" t="n">
        <f aca="false">oie_f</f>
        <v>-0.4</v>
      </c>
      <c r="I6351" s="6" t="n">
        <f aca="false">oie_f</f>
        <v>-0.4</v>
      </c>
      <c r="J6351" s="6" t="n">
        <f aca="false">oie_f</f>
        <v>-0.4</v>
      </c>
      <c r="K6351" s="6" t="n">
        <f aca="false">oie_f</f>
        <v>-0.4</v>
      </c>
      <c r="L6351" s="11" t="s">
        <v>922</v>
      </c>
    </row>
    <row r="6352" customFormat="false" ht="15" hidden="false" customHeight="false" outlineLevel="0" collapsed="false">
      <c r="A6352" s="1" t="s">
        <v>923</v>
      </c>
      <c r="B6352" s="0" t="s">
        <v>98</v>
      </c>
      <c r="D6352" s="6" t="n">
        <f aca="false">Sens!D6344+Sens!D6351</f>
        <v>123.627</v>
      </c>
      <c r="E6352" s="6" t="n">
        <f aca="false">Sens!E6344+Sens!E6351</f>
        <v>165.934</v>
      </c>
      <c r="F6352" s="6" t="n">
        <f aca="false">Sens!F6344+Sens!F6351</f>
        <v>171.517644996717</v>
      </c>
      <c r="G6352" s="6" t="n">
        <f aca="false">Sens!G6344+Sens!G6351</f>
        <v>181.705523808343</v>
      </c>
      <c r="H6352" s="6" t="n">
        <f aca="false">Sens!H6344+Sens!H6351</f>
        <v>185.654602397815</v>
      </c>
      <c r="I6352" s="6" t="n">
        <f aca="false">Sens!I6344+Sens!I6351</f>
        <v>197.134050786686</v>
      </c>
      <c r="J6352" s="6" t="n">
        <f aca="false">Sens!J6344+Sens!J6351</f>
        <v>209.749025127173</v>
      </c>
      <c r="K6352" s="6" t="n">
        <f aca="false">Sens!K6344+Sens!K6351</f>
        <v>223.724927847952</v>
      </c>
    </row>
    <row r="6353" customFormat="false" ht="15" hidden="false" customHeight="false" outlineLevel="0" collapsed="false">
      <c r="A6353" s="1" t="s">
        <v>924</v>
      </c>
      <c r="B6353" s="0" t="s">
        <v>98</v>
      </c>
      <c r="D6353" s="6" t="n">
        <f aca="false">Q!L29</f>
        <v>21.795</v>
      </c>
      <c r="E6353" s="6" t="n">
        <f aca="false">Q!M29</f>
        <v>32.185</v>
      </c>
      <c r="F6353" s="6" t="n">
        <f aca="false">Sens!F6352*tax_f</f>
        <v>34.3035289993435</v>
      </c>
      <c r="G6353" s="6" t="n">
        <f aca="false">Sens!G6352*tax_f</f>
        <v>36.3411047616685</v>
      </c>
      <c r="H6353" s="6" t="n">
        <f aca="false">Sens!H6352*tax_f</f>
        <v>37.1309204795629</v>
      </c>
      <c r="I6353" s="6" t="n">
        <f aca="false">Sens!I6352*tax_f</f>
        <v>39.4268101573372</v>
      </c>
      <c r="J6353" s="6" t="n">
        <f aca="false">Sens!J6352*tax_f</f>
        <v>41.9498050254346</v>
      </c>
      <c r="K6353" s="6" t="n">
        <f aca="false">Sens!K6352*tax_f</f>
        <v>44.7449855695904</v>
      </c>
    </row>
    <row r="6354" customFormat="false" ht="15" hidden="false" customHeight="false" outlineLevel="0" collapsed="false">
      <c r="A6354" s="1" t="s">
        <v>925</v>
      </c>
      <c r="B6354" s="0" t="s">
        <v>98</v>
      </c>
      <c r="D6354" s="6" t="n">
        <f aca="false">Sens!D6352-Sens!D6353</f>
        <v>101.832</v>
      </c>
      <c r="E6354" s="6" t="n">
        <f aca="false">Sens!E6352-Sens!E6353</f>
        <v>133.749</v>
      </c>
      <c r="F6354" s="6" t="n">
        <f aca="false">Sens!F6352-Sens!F6353</f>
        <v>137.214115997374</v>
      </c>
      <c r="G6354" s="6" t="n">
        <f aca="false">Sens!G6352-Sens!G6353</f>
        <v>145.364419046674</v>
      </c>
      <c r="H6354" s="6" t="n">
        <f aca="false">Sens!H6352-Sens!H6353</f>
        <v>148.523681918252</v>
      </c>
      <c r="I6354" s="6" t="n">
        <f aca="false">Sens!I6352-Sens!I6353</f>
        <v>157.707240629349</v>
      </c>
      <c r="J6354" s="6" t="n">
        <f aca="false">Sens!J6352-Sens!J6353</f>
        <v>167.799220101738</v>
      </c>
      <c r="K6354" s="6" t="n">
        <f aca="false">Sens!K6352-Sens!K6353</f>
        <v>178.979942278362</v>
      </c>
    </row>
    <row r="6355" customFormat="false" ht="17.15" hidden="false" customHeight="false" outlineLevel="0" collapsed="false">
      <c r="A6355" s="1" t="s">
        <v>926</v>
      </c>
      <c r="B6355" s="1" t="s">
        <v>81</v>
      </c>
      <c r="D6355" s="14" t="n">
        <f aca="false">Q!L31</f>
        <v>7.465</v>
      </c>
      <c r="E6355" s="14" t="n">
        <f aca="false">Q!M31</f>
        <v>7.453</v>
      </c>
      <c r="F6355" s="14" t="n">
        <f aca="false">Sens!F6398</f>
        <v>7.4735</v>
      </c>
      <c r="G6355" s="14" t="n">
        <f aca="false">Sens!G6398</f>
        <v>7.5185</v>
      </c>
      <c r="H6355" s="14" t="n">
        <f aca="false">Sens!H6398</f>
        <v>7.55727173254358</v>
      </c>
      <c r="I6355" s="14" t="n">
        <f aca="false">Sens!I6398</f>
        <v>7.58007271124452</v>
      </c>
      <c r="J6355" s="14" t="n">
        <f aca="false">Sens!J6398</f>
        <v>7.59431422236241</v>
      </c>
      <c r="K6355" s="14" t="n">
        <f aca="false">Sens!K6398</f>
        <v>7.61083414006415</v>
      </c>
    </row>
    <row r="6356" customFormat="false" ht="17.15" hidden="false" customHeight="false" outlineLevel="0" collapsed="false">
      <c r="A6356" s="0" t="s">
        <v>927</v>
      </c>
      <c r="B6356" s="0" t="s">
        <v>75</v>
      </c>
      <c r="D6356" s="8" t="n">
        <f aca="false">Sens!D6354/Sens!D6355</f>
        <v>13.641259209645</v>
      </c>
      <c r="E6356" s="8" t="n">
        <f aca="false">Sens!E6354/Sens!E6355</f>
        <v>17.9456594659869</v>
      </c>
      <c r="F6356" s="8" t="n">
        <f aca="false">Sens!F6354/Sens!F6355</f>
        <v>18.36008777646</v>
      </c>
      <c r="G6356" s="8" t="n">
        <f aca="false">Sens!G6354/Sens!G6355</f>
        <v>19.3342314353494</v>
      </c>
      <c r="H6356" s="8" t="n">
        <f aca="false">Sens!H6354/Sens!H6355</f>
        <v>19.6530821141008</v>
      </c>
      <c r="I6356" s="8" t="n">
        <f aca="false">Sens!I6354/Sens!I6355</f>
        <v>20.8055049914496</v>
      </c>
      <c r="J6356" s="8" t="n">
        <f aca="false">Sens!J6354/Sens!J6355</f>
        <v>22.0953749329508</v>
      </c>
      <c r="K6356" s="8" t="n">
        <f aca="false">Sens!K6354/Sens!K6355</f>
        <v>23.5164686267691</v>
      </c>
      <c r="L6356" s="1" t="s">
        <v>928</v>
      </c>
    </row>
    <row r="6357" customFormat="false" ht="17.15" hidden="false" customHeight="false" outlineLevel="0" collapsed="false">
      <c r="A6357" s="1" t="s">
        <v>929</v>
      </c>
      <c r="B6357" s="0" t="s">
        <v>98</v>
      </c>
      <c r="D6357" s="6" t="n">
        <f aca="false">Sens!D6354</f>
        <v>101.832</v>
      </c>
      <c r="E6357" s="6" t="n">
        <f aca="false">Sens!E6354</f>
        <v>133.749</v>
      </c>
      <c r="F6357" s="6" t="n">
        <f aca="false">Sens!F6354+Sens!F6347*(1-tax_f)</f>
        <v>144.995826787065</v>
      </c>
      <c r="G6357" s="6" t="n">
        <f aca="false">Sens!G6354+Sens!G6347*(1-tax_f)</f>
        <v>165.539846566818</v>
      </c>
      <c r="H6357" s="6" t="n">
        <f aca="false">Sens!H6354+Sens!H6347*(1-tax_f)</f>
        <v>182.320009329265</v>
      </c>
      <c r="I6357" s="6" t="n">
        <f aca="false">Sens!I6354+Sens!I6347*(1-tax_f)</f>
        <v>203.882788954023</v>
      </c>
      <c r="J6357" s="6" t="n">
        <f aca="false">Sens!J6354+Sens!J6347*(1-tax_f)</f>
        <v>222.732961989744</v>
      </c>
      <c r="K6357" s="6" t="n">
        <f aca="false">Sens!K6354+Sens!K6347*(1-tax_f)</f>
        <v>239.091197570544</v>
      </c>
    </row>
    <row r="6358" customFormat="false" ht="17.15" hidden="false" customHeight="false" outlineLevel="0" collapsed="false">
      <c r="A6358" s="0" t="s">
        <v>930</v>
      </c>
      <c r="B6358" s="0" t="s">
        <v>75</v>
      </c>
      <c r="D6358" s="8" t="n">
        <f aca="false">Sens!D6357/Sens!D6355</f>
        <v>13.641259209645</v>
      </c>
      <c r="E6358" s="8" t="n">
        <f aca="false">Sens!E6357/Sens!E6355</f>
        <v>17.9456594659869</v>
      </c>
      <c r="F6358" s="8" t="n">
        <f aca="false">Sens!F6357/Sens!F6355</f>
        <v>19.401328264811</v>
      </c>
      <c r="G6358" s="8" t="n">
        <f aca="false">Sens!G6357/Sens!G6355</f>
        <v>22.0176692913237</v>
      </c>
      <c r="H6358" s="8" t="n">
        <f aca="false">Sens!H6357/Sens!H6355</f>
        <v>24.1251096667793</v>
      </c>
      <c r="I6358" s="8" t="n">
        <f aca="false">Sens!I6357/Sens!I6355</f>
        <v>26.897207549418</v>
      </c>
      <c r="J6358" s="8" t="n">
        <f aca="false">Sens!J6357/Sens!J6355</f>
        <v>29.3289104806697</v>
      </c>
      <c r="K6358" s="8" t="n">
        <f aca="false">Sens!K6357/Sens!K6355</f>
        <v>31.4145852045238</v>
      </c>
      <c r="L6358" s="1" t="s">
        <v>931</v>
      </c>
    </row>
    <row r="6359" customFormat="false" ht="17.15" hidden="false" customHeight="false" outlineLevel="0" collapsed="false">
      <c r="A6359" s="0" t="s">
        <v>932</v>
      </c>
      <c r="B6359" s="0" t="s">
        <v>129</v>
      </c>
      <c r="E6359" s="7" t="n">
        <f aca="false">Sens!E6358/Sens!D6358-1</f>
        <v>0.315542736208578</v>
      </c>
      <c r="F6359" s="7" t="n">
        <f aca="false">Sens!F6358/Sens!E6358-1</f>
        <v>0.0811153695178024</v>
      </c>
      <c r="G6359" s="7" t="n">
        <f aca="false">Sens!G6358/Sens!F6358-1</f>
        <v>0.134853706447412</v>
      </c>
      <c r="H6359" s="7" t="n">
        <f aca="false">Sens!H6358/Sens!G6358-1</f>
        <v>0.0957158701755048</v>
      </c>
      <c r="I6359" s="7" t="n">
        <f aca="false">Sens!I6358/Sens!H6358-1</f>
        <v>0.114905089383113</v>
      </c>
      <c r="J6359" s="7" t="n">
        <f aca="false">Sens!J6358/Sens!I6358-1</f>
        <v>0.0904072635341067</v>
      </c>
      <c r="K6359" s="7" t="n">
        <f aca="false">Sens!K6358/Sens!J6358-1</f>
        <v>0.0711132697966623</v>
      </c>
    </row>
    <row r="6360" customFormat="false" ht="17.15" hidden="false" customHeight="false" outlineLevel="0" collapsed="false">
      <c r="A6360" s="0" t="s">
        <v>856</v>
      </c>
      <c r="B6360" s="0" t="s">
        <v>98</v>
      </c>
      <c r="E6360" s="6" t="n">
        <f aca="false">Sens!E6301</f>
        <v>5.25</v>
      </c>
      <c r="F6360" s="6" t="n">
        <f aca="false">Sens!F6301</f>
        <v>11.25</v>
      </c>
      <c r="G6360" s="6" t="n">
        <f aca="false">Sens!G6301</f>
        <v>15.75</v>
      </c>
      <c r="H6360" s="6" t="n">
        <f aca="false">Sens!H6301</f>
        <v>20.25</v>
      </c>
      <c r="I6360" s="6" t="n">
        <f aca="false">Sens!I6301</f>
        <v>23.625</v>
      </c>
      <c r="J6360" s="6" t="n">
        <f aca="false">Sens!J6301</f>
        <v>25.875</v>
      </c>
      <c r="K6360" s="6" t="n">
        <f aca="false">Sens!K6301</f>
        <v>28.125</v>
      </c>
    </row>
    <row r="6361" customFormat="false" ht="17.15" hidden="false" customHeight="false" outlineLevel="0" collapsed="false">
      <c r="A6361" s="1" t="s">
        <v>857</v>
      </c>
      <c r="B6361" s="0" t="s">
        <v>98</v>
      </c>
      <c r="F6361" s="6" t="n">
        <f aca="false">MAX(0,((Sens!E6264+Sens!F6264)/2-(shadow_base*(Sens!$D$6264+Sens!$E$6264)/2+(1-shadow_base)*Sens!$E$6264))*Sens!F6272/1000-(Sens!F6360-Sens!$E$6360)*Sens!F6340)</f>
        <v>9.72713848711398</v>
      </c>
      <c r="G6361" s="6" t="n">
        <f aca="false">MAX(0,((Sens!F6264+Sens!G6264)/2-(shadow_base*(Sens!$D$6264+Sens!$E$6264)/2+(1-shadow_base)*Sens!$E$6264))*Sens!G6272/1000-(Sens!G6360-Sens!$E$6360)*Sens!G6340)</f>
        <v>25.2192844001793</v>
      </c>
      <c r="H6361" s="6" t="n">
        <f aca="false">MAX(0,((Sens!G6264+Sens!H6264)/2-(shadow_base*(Sens!$D$6264+Sens!$E$6264)/2+(1-shadow_base)*Sens!$E$6264))*Sens!H6272/1000-(Sens!H6360-Sens!$E$6360)*Sens!H6340)</f>
        <v>42.2454092637664</v>
      </c>
      <c r="I6361" s="6" t="n">
        <f aca="false">MAX(0,((Sens!H6264+Sens!I6264)/2-(shadow_base*(Sens!$D$6264+Sens!$E$6264)/2+(1-shadow_base)*Sens!$E$6264))*Sens!I6272/1000-(Sens!I6360-Sens!$E$6360)*Sens!I6340)</f>
        <v>57.7194354058428</v>
      </c>
      <c r="J6361" s="6" t="n">
        <f aca="false">MAX(0,((Sens!I6264+Sens!J6264)/2-(shadow_base*(Sens!$D$6264+Sens!$E$6264)/2+(1-shadow_base)*Sens!$E$6264))*Sens!J6272/1000-(Sens!J6360-Sens!$E$6360)*Sens!J6340)</f>
        <v>68.6671773600072</v>
      </c>
      <c r="K6361" s="6" t="n">
        <f aca="false">MAX(0,((Sens!J6264+Sens!K6264)/2-(shadow_base*(Sens!$D$6264+Sens!$E$6264)/2+(1-shadow_base)*Sens!$E$6264))*Sens!K6272/1000-(Sens!K6360-Sens!$E$6360)*Sens!K6340)</f>
        <v>75.1390691152276</v>
      </c>
      <c r="L6361" s="1" t="s">
        <v>858</v>
      </c>
    </row>
    <row r="6362" customFormat="false" ht="17.15" hidden="false" customHeight="false" outlineLevel="0" collapsed="false">
      <c r="A6362" s="1" t="s">
        <v>859</v>
      </c>
      <c r="B6362" s="0" t="s">
        <v>98</v>
      </c>
      <c r="F6362" s="6" t="n">
        <f aca="false">IF(internal_ai_reading=2,1,0)*Sens!F6361</f>
        <v>9.72713848711398</v>
      </c>
      <c r="G6362" s="6" t="n">
        <f aca="false">IF(internal_ai_reading=2,1,0)*Sens!G6361</f>
        <v>25.2192844001793</v>
      </c>
      <c r="H6362" s="6" t="n">
        <f aca="false">IF(internal_ai_reading=2,1,0)*Sens!H6361</f>
        <v>42.2454092637664</v>
      </c>
      <c r="I6362" s="6" t="n">
        <f aca="false">IF(internal_ai_reading=2,1,0)*Sens!I6361</f>
        <v>57.7194354058428</v>
      </c>
      <c r="J6362" s="6" t="n">
        <f aca="false">IF(internal_ai_reading=2,1,0)*Sens!J6361</f>
        <v>68.6671773600072</v>
      </c>
      <c r="K6362" s="6" t="n">
        <f aca="false">IF(internal_ai_reading=2,1,0)*Sens!K6361</f>
        <v>75.1390691152276</v>
      </c>
    </row>
    <row r="6363" customFormat="false" ht="17.15" hidden="false" customHeight="false" outlineLevel="0" collapsed="false">
      <c r="A6363" s="0" t="s">
        <v>860</v>
      </c>
      <c r="B6363" s="0" t="s">
        <v>98</v>
      </c>
      <c r="F6363" s="6" t="n">
        <f aca="false">Sens!F6281+Sens!F6360*Sens!F6340+Sens!F6362-Sens!F6282-Sens!F6292</f>
        <v>10.6249363155714</v>
      </c>
      <c r="G6363" s="6" t="n">
        <f aca="false">Sens!G6281+Sens!G6360*Sens!G6340+Sens!G6362-Sens!G6282-Sens!G6292</f>
        <v>16.5522915631233</v>
      </c>
      <c r="H6363" s="6" t="n">
        <f aca="false">Sens!H6281+Sens!H6360*Sens!H6340+Sens!H6362-Sens!H6282-Sens!H6292</f>
        <v>17.4625151247579</v>
      </c>
      <c r="I6363" s="6" t="n">
        <f aca="false">Sens!I6281+Sens!I6360*Sens!I6340+Sens!I6362-Sens!I6282-Sens!I6292</f>
        <v>24.729505792607</v>
      </c>
      <c r="J6363" s="6" t="n">
        <f aca="false">Sens!J6281+Sens!J6360*Sens!J6340+Sens!J6362-Sens!J6282-Sens!J6292</f>
        <v>29.752205312642</v>
      </c>
      <c r="K6363" s="6" t="n">
        <f aca="false">Sens!K6281+Sens!K6360*Sens!K6340+Sens!K6362-Sens!K6282-Sens!K6292</f>
        <v>33.5968759973665</v>
      </c>
    </row>
    <row r="6364" customFormat="false" ht="17.15" hidden="false" customHeight="false" outlineLevel="0" collapsed="false">
      <c r="A6364" s="0" t="s">
        <v>861</v>
      </c>
      <c r="B6364" s="0" t="s">
        <v>98</v>
      </c>
      <c r="E6364" s="6" t="n">
        <f aca="false">Sens!E6263*(cxit_open+self_build*tk_cxfac)/1000*ai_net_open</f>
        <v>126.6980382</v>
      </c>
      <c r="F6364" s="6" t="n">
        <f aca="false">Sens!E6364+Sens!F6289-Sens!F6292</f>
        <v>252.981026690511</v>
      </c>
      <c r="G6364" s="6" t="n">
        <f aca="false">Sens!F6364+Sens!G6289-Sens!G6292</f>
        <v>377.4297700632</v>
      </c>
      <c r="H6364" s="6" t="n">
        <f aca="false">Sens!G6364+Sens!H6289-Sens!H6292</f>
        <v>479.149036130289</v>
      </c>
      <c r="I6364" s="6" t="n">
        <f aca="false">Sens!H6364+Sens!I6289-Sens!I6292</f>
        <v>532.249961452141</v>
      </c>
      <c r="J6364" s="6" t="n">
        <f aca="false">Sens!I6364+Sens!J6289-Sens!J6292</f>
        <v>531.43307519354</v>
      </c>
      <c r="K6364" s="6" t="n">
        <f aca="false">Sens!J6364+Sens!K6289-Sens!K6292</f>
        <v>513.709026452823</v>
      </c>
      <c r="L6364" s="1" t="s">
        <v>862</v>
      </c>
    </row>
    <row r="6365" customFormat="false" ht="17.15" hidden="false" customHeight="false" outlineLevel="0" collapsed="false">
      <c r="A6365" s="0" t="s">
        <v>863</v>
      </c>
      <c r="B6365" s="0" t="s">
        <v>129</v>
      </c>
      <c r="F6365" s="7" t="n">
        <f aca="false">Sens!F6363*(1-tax_f)/((Sens!E6364+Sens!F6364)/2)</f>
        <v>0.0447743888903028</v>
      </c>
      <c r="G6365" s="7" t="n">
        <f aca="false">Sens!G6363*(1-tax_f)/((Sens!F6364+Sens!G6364)/2)</f>
        <v>0.0420101727910983</v>
      </c>
      <c r="H6365" s="7" t="n">
        <f aca="false">Sens!H6363*(1-tax_f)/((Sens!G6364+Sens!H6364)/2)</f>
        <v>0.0326181595874103</v>
      </c>
      <c r="I6365" s="7" t="n">
        <f aca="false">Sens!I6363*(1-tax_f)/((Sens!H6364+Sens!I6364)/2)</f>
        <v>0.0391212660510339</v>
      </c>
      <c r="J6365" s="7" t="n">
        <f aca="false">Sens!J6363*(1-tax_f)/((Sens!I6364+Sens!J6364)/2)</f>
        <v>0.0447534903351892</v>
      </c>
      <c r="K6365" s="7" t="n">
        <f aca="false">Sens!K6363*(1-tax_f)/((Sens!J6364+Sens!K6364)/2)</f>
        <v>0.0514331989029135</v>
      </c>
    </row>
    <row r="6366" customFormat="false" ht="17.15" hidden="false" customHeight="false" outlineLevel="0" collapsed="false">
      <c r="A6366" s="1" t="s">
        <v>864</v>
      </c>
      <c r="B6366" s="0" t="s">
        <v>129</v>
      </c>
      <c r="F6366" s="7" t="n">
        <f aca="false">(Sens!F6363-Sens!F6362)*(1-tax_f)/((Sens!E6364+Sens!F6364)/2)</f>
        <v>0.00378339671149933</v>
      </c>
      <c r="G6366" s="7" t="n">
        <f aca="false">(Sens!G6363-Sens!G6362)*(1-tax_f)/((Sens!F6364+Sens!G6364)/2)</f>
        <v>-0.0219970670088431</v>
      </c>
      <c r="H6366" s="7" t="n">
        <f aca="false">(Sens!H6363-Sens!H6362)*(1-tax_f)/((Sens!G6364+Sens!H6364)/2)</f>
        <v>-0.0462918651917436</v>
      </c>
      <c r="I6366" s="7" t="n">
        <f aca="false">(Sens!I6363-Sens!I6362)*(1-tax_f)/((Sens!H6364+Sens!I6364)/2)</f>
        <v>-0.0521889852643198</v>
      </c>
      <c r="J6366" s="7" t="n">
        <f aca="false">(Sens!J6363-Sens!J6362)*(1-tax_f)/((Sens!I6364+Sens!J6364)/2)</f>
        <v>-0.0585361927667224</v>
      </c>
      <c r="K6366" s="7" t="n">
        <f aca="false">(Sens!K6363-Sens!K6362)*(1-tax_f)/((Sens!J6364+Sens!K6364)/2)</f>
        <v>-0.0635966237355424</v>
      </c>
    </row>
    <row r="6367" customFormat="false" ht="17.15" hidden="false" customHeight="false" outlineLevel="0" collapsed="false">
      <c r="A6367" s="1" t="s">
        <v>865</v>
      </c>
      <c r="B6367" s="0" t="s">
        <v>129</v>
      </c>
      <c r="F6367" s="7" t="n">
        <f aca="false">(Sens!F6363-Sens!F6362+Sens!F6361)*(1-tax_f)/((Sens!E6364+Sens!F6364)/2)</f>
        <v>0.0447743888903028</v>
      </c>
      <c r="G6367" s="7" t="n">
        <f aca="false">(Sens!G6363-Sens!G6362+Sens!G6361)*(1-tax_f)/((Sens!F6364+Sens!G6364)/2)</f>
        <v>0.0420101727910983</v>
      </c>
      <c r="H6367" s="7" t="n">
        <f aca="false">(Sens!H6363-Sens!H6362+Sens!H6361)*(1-tax_f)/((Sens!G6364+Sens!H6364)/2)</f>
        <v>0.0326181595874103</v>
      </c>
      <c r="I6367" s="7" t="n">
        <f aca="false">(Sens!I6363-Sens!I6362+Sens!I6361)*(1-tax_f)/((Sens!H6364+Sens!I6364)/2)</f>
        <v>0.0391212660510339</v>
      </c>
      <c r="J6367" s="7" t="n">
        <f aca="false">(Sens!J6363-Sens!J6362+Sens!J6361)*(1-tax_f)/((Sens!I6364+Sens!J6364)/2)</f>
        <v>0.0447534903351892</v>
      </c>
      <c r="K6367" s="7" t="n">
        <f aca="false">(Sens!K6363-Sens!K6362+Sens!K6361)*(1-tax_f)/((Sens!J6364+Sens!K6364)/2)</f>
        <v>0.0514331989029135</v>
      </c>
    </row>
    <row r="6368" customFormat="false" ht="17.15" hidden="false" customHeight="false" outlineLevel="0" collapsed="false">
      <c r="A6368" s="1" t="s">
        <v>866</v>
      </c>
      <c r="B6368" s="0" t="s">
        <v>129</v>
      </c>
      <c r="F6368" s="7" t="n">
        <f aca="false">Sens!F6293*(1-tax_f)/(Sens!F6280*(Sens!E6364+Sens!F6364)/2)</f>
        <v>0.102735279953254</v>
      </c>
      <c r="G6368" s="7" t="n">
        <f aca="false">Sens!G6293*(1-tax_f)/(Sens!G6280*(Sens!F6364+Sens!G6364)/2)</f>
        <v>0.0709600152423962</v>
      </c>
      <c r="H6368" s="7" t="n">
        <f aca="false">Sens!H6293*(1-tax_f)/(Sens!H6280*(Sens!G6364+Sens!H6364)/2)</f>
        <v>0.0419126501774916</v>
      </c>
      <c r="I6368" s="7" t="n">
        <f aca="false">Sens!I6293*(1-tax_f)/(Sens!I6280*(Sens!H6364+Sens!I6364)/2)</f>
        <v>0.044576811268173</v>
      </c>
      <c r="J6368" s="7" t="n">
        <f aca="false">Sens!J6293*(1-tax_f)/(Sens!J6280*(Sens!I6364+Sens!J6364)/2)</f>
        <v>0.0483882076863038</v>
      </c>
      <c r="K6368" s="7" t="n">
        <f aca="false">Sens!K6293*(1-tax_f)/(Sens!K6280*(Sens!J6364+Sens!K6364)/2)</f>
        <v>0.0544871874286225</v>
      </c>
    </row>
    <row r="6369" customFormat="false" ht="17.15" hidden="false" customHeight="false" outlineLevel="0" collapsed="false">
      <c r="A6369" s="0" t="s">
        <v>867</v>
      </c>
      <c r="B6369" s="0" t="s">
        <v>209</v>
      </c>
      <c r="F6369" s="7" t="n">
        <f aca="false">Sens!F6365-wacc</f>
        <v>-0.0581600312025729</v>
      </c>
      <c r="G6369" s="7" t="n">
        <f aca="false">Sens!G6365-wacc</f>
        <v>-0.0609242473017775</v>
      </c>
      <c r="H6369" s="7" t="n">
        <f aca="false">Sens!H6365-wacc</f>
        <v>-0.0703162605054654</v>
      </c>
      <c r="I6369" s="7" t="n">
        <f aca="false">Sens!I6365-wacc</f>
        <v>-0.0638131540418418</v>
      </c>
      <c r="J6369" s="7" t="n">
        <f aca="false">Sens!J6365-wacc</f>
        <v>-0.0581809297576865</v>
      </c>
      <c r="K6369" s="7" t="n">
        <f aca="false">Sens!K6365-wacc</f>
        <v>-0.0515012211899622</v>
      </c>
    </row>
    <row r="6370" customFormat="false" ht="17.15" hidden="false" customHeight="false" outlineLevel="0" collapsed="false">
      <c r="A6370" s="0" t="s">
        <v>868</v>
      </c>
      <c r="B6370" s="0" t="s">
        <v>98</v>
      </c>
      <c r="F6370" s="6" t="n">
        <f aca="false">Sens!F6363*(1-tax_f)-wacc*(Sens!E6364+Sens!F6364)/2</f>
        <v>-11.0410731304979</v>
      </c>
      <c r="G6370" s="6" t="n">
        <f aca="false">Sens!G6363*(1-tax_f)-wacc*(Sens!F6364+Sens!G6364)/2</f>
        <v>-19.2036516415668</v>
      </c>
      <c r="H6370" s="6" t="n">
        <f aca="false">Sens!H6363*(1-tax_f)-wacc*(Sens!G6364+Sens!H6364)/2</f>
        <v>-30.115709239881</v>
      </c>
      <c r="I6370" s="6" t="n">
        <f aca="false">Sens!I6363*(1-tax_f)-wacc*(Sens!H6364+Sens!I6364)/2</f>
        <v>-32.270280015246</v>
      </c>
      <c r="J6370" s="6" t="n">
        <f aca="false">Sens!J6363*(1-tax_f)-wacc*(Sens!I6364+Sens!J6364)/2</f>
        <v>-30.9430340197625</v>
      </c>
      <c r="K6370" s="6" t="n">
        <f aca="false">Sens!K6363*(1-tax_f)-wacc*(Sens!J6364+Sens!K6364)/2</f>
        <v>-26.9130472759157</v>
      </c>
    </row>
    <row r="6371" customFormat="false" ht="17.15" hidden="false" customHeight="false" outlineLevel="0" collapsed="false">
      <c r="A6371" s="3" t="s">
        <v>1425</v>
      </c>
    </row>
    <row r="6372" customFormat="false" ht="15" hidden="false" customHeight="false" outlineLevel="0" collapsed="false">
      <c r="A6372" s="4" t="s">
        <v>43</v>
      </c>
      <c r="B6372" s="4" t="s">
        <v>65</v>
      </c>
      <c r="C6372" s="20" t="s">
        <v>799</v>
      </c>
      <c r="D6372" s="20" t="s">
        <v>800</v>
      </c>
      <c r="E6372" s="20" t="s">
        <v>801</v>
      </c>
      <c r="F6372" s="20" t="s">
        <v>802</v>
      </c>
      <c r="G6372" s="20" t="s">
        <v>803</v>
      </c>
      <c r="H6372" s="20" t="s">
        <v>804</v>
      </c>
      <c r="I6372" s="20" t="s">
        <v>805</v>
      </c>
      <c r="J6372" s="20" t="s">
        <v>806</v>
      </c>
      <c r="K6372" s="20" t="s">
        <v>807</v>
      </c>
      <c r="L6372" s="4" t="s">
        <v>47</v>
      </c>
    </row>
    <row r="6373" customFormat="false" ht="15" hidden="false" customHeight="false" outlineLevel="0" collapsed="false">
      <c r="A6373" s="1" t="s">
        <v>925</v>
      </c>
      <c r="B6373" s="0" t="s">
        <v>98</v>
      </c>
      <c r="F6373" s="6" t="n">
        <f aca="false">Sens!F6354</f>
        <v>137.214115997374</v>
      </c>
      <c r="G6373" s="6" t="n">
        <f aca="false">Sens!G6354</f>
        <v>145.364419046674</v>
      </c>
      <c r="H6373" s="6" t="n">
        <f aca="false">Sens!H6354</f>
        <v>148.523681918252</v>
      </c>
      <c r="I6373" s="6" t="n">
        <f aca="false">Sens!I6354</f>
        <v>157.707240629349</v>
      </c>
      <c r="J6373" s="6" t="n">
        <f aca="false">Sens!J6354</f>
        <v>167.799220101738</v>
      </c>
      <c r="K6373" s="6" t="n">
        <f aca="false">Sens!K6354</f>
        <v>178.979942278362</v>
      </c>
    </row>
    <row r="6374" customFormat="false" ht="17.15" hidden="false" customHeight="false" outlineLevel="0" collapsed="false">
      <c r="A6374" s="1" t="s">
        <v>947</v>
      </c>
      <c r="B6374" s="0" t="s">
        <v>98</v>
      </c>
      <c r="E6374" s="6" t="n">
        <f aca="false">Q!M38-Sens!E6292</f>
        <v>22.2285940229167</v>
      </c>
      <c r="F6374" s="6" t="n">
        <f aca="false">Sens!E6374*(1-1/life_nonai)+(Sens!F6381+Sens!F6382)/life_nonai</f>
        <v>24.3924470334783</v>
      </c>
      <c r="G6374" s="6" t="n">
        <f aca="false">Sens!F6374*(1-1/life_nonai)+(Sens!G6381)/life_nonai</f>
        <v>26.0459916871694</v>
      </c>
      <c r="H6374" s="6" t="n">
        <f aca="false">Sens!G6374*(1-1/life_nonai)+(Sens!H6381)/life_nonai</f>
        <v>28.0850438828615</v>
      </c>
      <c r="I6374" s="6" t="n">
        <f aca="false">Sens!H6374*(1-1/life_nonai)+(Sens!I6381)/life_nonai</f>
        <v>30.4476295257397</v>
      </c>
      <c r="J6374" s="6" t="n">
        <f aca="false">Sens!I6374*(1-1/life_nonai)+(Sens!J6381)/life_nonai</f>
        <v>33.0547078982031</v>
      </c>
      <c r="K6374" s="6" t="n">
        <f aca="false">Sens!J6374*(1-1/life_nonai)+(Sens!K6381)/life_nonai</f>
        <v>35.8223573825822</v>
      </c>
      <c r="L6374" s="11" t="s">
        <v>948</v>
      </c>
    </row>
    <row r="6375" customFormat="false" ht="17.15" hidden="false" customHeight="false" outlineLevel="0" collapsed="false">
      <c r="A6375" s="1" t="s">
        <v>949</v>
      </c>
      <c r="B6375" s="0" t="s">
        <v>98</v>
      </c>
      <c r="F6375" s="6" t="n">
        <f aca="false">Sens!$F$6382/life_nonai*(1-1/life_nonai)^(Sens!F6258-2027)</f>
        <v>0.836277689897089</v>
      </c>
      <c r="G6375" s="6" t="n">
        <f aca="false">Sens!$F$6382/life_nonai*(1-1/life_nonai)^(Sens!G6258-2027)</f>
        <v>0.75264992090738</v>
      </c>
      <c r="H6375" s="6" t="n">
        <f aca="false">Sens!$F$6382/life_nonai*(1-1/life_nonai)^(Sens!H6258-2027)</f>
        <v>0.677384928816642</v>
      </c>
      <c r="I6375" s="6" t="n">
        <f aca="false">Sens!$F$6382/life_nonai*(1-1/life_nonai)^(Sens!I6258-2027)</f>
        <v>0.609646435934978</v>
      </c>
      <c r="J6375" s="6" t="n">
        <f aca="false">Sens!$F$6382/life_nonai*(1-1/life_nonai)^(Sens!J6258-2027)</f>
        <v>0.54868179234148</v>
      </c>
      <c r="K6375" s="6" t="n">
        <f aca="false">Sens!$F$6382/life_nonai*(1-1/life_nonai)^(Sens!K6258-2027)</f>
        <v>0.493813613107332</v>
      </c>
      <c r="L6375" s="1" t="s">
        <v>950</v>
      </c>
    </row>
    <row r="6376" customFormat="false" ht="17.15" hidden="false" customHeight="false" outlineLevel="0" collapsed="false">
      <c r="A6376" s="1" t="s">
        <v>951</v>
      </c>
      <c r="B6376" s="0" t="s">
        <v>98</v>
      </c>
      <c r="E6376" s="6" t="n">
        <f aca="false">Sens!E6292+Sens!E6374</f>
        <v>38.534</v>
      </c>
      <c r="F6376" s="6" t="n">
        <f aca="false">Sens!F6292+Sens!F6374</f>
        <v>58.4423344144339</v>
      </c>
      <c r="G6376" s="6" t="n">
        <f aca="false">Sens!G6292+Sens!G6374</f>
        <v>85.1714287976806</v>
      </c>
      <c r="H6376" s="6" t="n">
        <f aca="false">Sens!H6292+Sens!H6374</f>
        <v>114.446063726173</v>
      </c>
      <c r="I6376" s="6" t="n">
        <f aca="false">Sens!I6292+Sens!I6374</f>
        <v>141.053373358132</v>
      </c>
      <c r="J6376" s="6" t="n">
        <f aca="false">Sens!J6292+Sens!J6374</f>
        <v>161.053030751046</v>
      </c>
      <c r="K6376" s="6" t="n">
        <f aca="false">Sens!K6292+Sens!K6374</f>
        <v>174.95382142689</v>
      </c>
    </row>
    <row r="6377" customFormat="false" ht="17.15" hidden="false" customHeight="false" outlineLevel="0" collapsed="false">
      <c r="A6377" s="1" t="s">
        <v>952</v>
      </c>
      <c r="B6377" s="0" t="s">
        <v>98</v>
      </c>
      <c r="F6377" s="6" t="n">
        <f aca="false">Sens!F6319*sbc_r</f>
        <v>14.738271852043</v>
      </c>
      <c r="G6377" s="6" t="n">
        <f aca="false">Sens!G6319*sbc_r</f>
        <v>17.1453446938136</v>
      </c>
      <c r="H6377" s="6" t="n">
        <f aca="false">Sens!H6319*sbc_r</f>
        <v>19.4046696639536</v>
      </c>
      <c r="I6377" s="6" t="n">
        <f aca="false">Sens!I6319*sbc_r</f>
        <v>21.7566481227304</v>
      </c>
      <c r="J6377" s="6" t="n">
        <f aca="false">Sens!J6319*sbc_r</f>
        <v>23.735909060573</v>
      </c>
      <c r="K6377" s="6" t="n">
        <f aca="false">Sens!K6319*sbc_r</f>
        <v>25.3771668731338</v>
      </c>
    </row>
    <row r="6378" customFormat="false" ht="17.15" hidden="false" customHeight="false" outlineLevel="0" collapsed="false">
      <c r="A6378" s="1" t="s">
        <v>953</v>
      </c>
      <c r="B6378" s="0" t="s">
        <v>98</v>
      </c>
      <c r="F6378" s="6" t="n">
        <f aca="false">wc27</f>
        <v>-4.895</v>
      </c>
      <c r="G6378" s="6" t="n">
        <f aca="false">wc_f</f>
        <v>0</v>
      </c>
      <c r="H6378" s="6" t="n">
        <f aca="false">wc_f</f>
        <v>0</v>
      </c>
      <c r="I6378" s="6" t="n">
        <f aca="false">wc_f</f>
        <v>0</v>
      </c>
      <c r="J6378" s="6" t="n">
        <f aca="false">wc_f</f>
        <v>0</v>
      </c>
      <c r="K6378" s="6" t="n">
        <f aca="false">wc_f</f>
        <v>0</v>
      </c>
      <c r="L6378" s="11" t="s">
        <v>954</v>
      </c>
    </row>
    <row r="6379" customFormat="false" ht="15" hidden="false" customHeight="false" outlineLevel="0" collapsed="false">
      <c r="A6379" s="1" t="s">
        <v>767</v>
      </c>
      <c r="B6379" s="0" t="s">
        <v>98</v>
      </c>
      <c r="E6379" s="6" t="n">
        <f aca="false">Q!M35</f>
        <v>182.935</v>
      </c>
      <c r="F6379" s="6" t="n">
        <f aca="false">Sens!F6373+Sens!F6376+Sens!F6377+Sens!F6378</f>
        <v>205.499722263851</v>
      </c>
      <c r="G6379" s="6" t="n">
        <f aca="false">Sens!G6373+Sens!G6376+Sens!G6377+Sens!G6378</f>
        <v>247.681192538168</v>
      </c>
      <c r="H6379" s="6" t="n">
        <f aca="false">Sens!H6373+Sens!H6376+Sens!H6377+Sens!H6378</f>
        <v>282.374415308378</v>
      </c>
      <c r="I6379" s="6" t="n">
        <f aca="false">Sens!I6373+Sens!I6376+Sens!I6377+Sens!I6378</f>
        <v>320.517262110212</v>
      </c>
      <c r="J6379" s="6" t="n">
        <f aca="false">Sens!J6373+Sens!J6376+Sens!J6377+Sens!J6378</f>
        <v>352.588159913358</v>
      </c>
      <c r="K6379" s="6" t="n">
        <f aca="false">Sens!K6373+Sens!K6376+Sens!K6377+Sens!K6378</f>
        <v>379.310930578386</v>
      </c>
    </row>
    <row r="6380" customFormat="false" ht="17.15" hidden="false" customHeight="false" outlineLevel="0" collapsed="false">
      <c r="A6380" s="0" t="s">
        <v>955</v>
      </c>
      <c r="B6380" s="0" t="s">
        <v>98</v>
      </c>
      <c r="F6380" s="6" t="n">
        <f aca="false">Sens!F6289</f>
        <v>160.332875871467</v>
      </c>
      <c r="G6380" s="6" t="n">
        <f aca="false">Sens!G6289</f>
        <v>183.5741804832</v>
      </c>
      <c r="H6380" s="6" t="n">
        <f aca="false">Sens!H6289</f>
        <v>188.0802859104</v>
      </c>
      <c r="I6380" s="6" t="n">
        <f aca="false">Sens!I6289</f>
        <v>163.706669154245</v>
      </c>
      <c r="J6380" s="6" t="n">
        <f aca="false">Sens!J6289</f>
        <v>127.181436594242</v>
      </c>
      <c r="K6380" s="6" t="n">
        <f aca="false">Sens!K6289</f>
        <v>121.407415303591</v>
      </c>
    </row>
    <row r="6381" customFormat="false" ht="17.15" hidden="false" customHeight="false" outlineLevel="0" collapsed="false">
      <c r="A6381" s="1" t="s">
        <v>956</v>
      </c>
      <c r="B6381" s="0" t="s">
        <v>98</v>
      </c>
      <c r="E6381" s="6" t="n">
        <f aca="false">Sens!E6297*cx_azo+Sens!E6304*cx_m365+Sens!E6305*cx_lic+(Sens!E6307+Sens!E6309)*cx_ind+Sens!E6312*cx_srch+(Sens!E6314+Sens!E6316)*cx_dev</f>
        <v>30.1846587067718</v>
      </c>
      <c r="F6381" s="6" t="n">
        <f aca="false">Sens!F6297*cx_azo+Sens!F6304*cx_m365+Sens!F6305*cx_lic+(Sens!F6307+Sens!F6309)*cx_ind+Sens!F6312*cx_srch+(Sens!F6314+Sens!F6316)*cx_dev</f>
        <v>35.5043472295625</v>
      </c>
      <c r="G6381" s="6" t="n">
        <f aca="false">Sens!G6297*cx_azo+Sens!G6304*cx_m365+Sens!G6305*cx_lic+(Sens!G6307+Sens!G6309)*cx_ind+Sens!G6312*cx_srch+(Sens!G6314+Sens!G6316)*cx_dev</f>
        <v>40.9278935703892</v>
      </c>
      <c r="H6381" s="6" t="n">
        <f aca="false">Sens!H6297*cx_azo+Sens!H6304*cx_m365+Sens!H6305*cx_lic+(Sens!H6307+Sens!H6309)*cx_ind+Sens!H6312*cx_srch+(Sens!H6314+Sens!H6316)*cx_dev</f>
        <v>46.4365136440897</v>
      </c>
      <c r="I6381" s="6" t="n">
        <f aca="false">Sens!I6297*cx_azo+Sens!I6304*cx_m365+Sens!I6305*cx_lic+(Sens!I6307+Sens!I6309)*cx_ind+Sens!I6312*cx_srch+(Sens!I6314+Sens!I6316)*cx_dev</f>
        <v>51.7109003116439</v>
      </c>
      <c r="J6381" s="6" t="n">
        <f aca="false">Sens!J6297*cx_azo+Sens!J6304*cx_m365+Sens!J6305*cx_lic+(Sens!J6307+Sens!J6309)*cx_ind+Sens!J6312*cx_srch+(Sens!J6314+Sens!J6316)*cx_dev</f>
        <v>56.5184132503738</v>
      </c>
      <c r="K6381" s="6" t="n">
        <f aca="false">Sens!K6297*cx_azo+Sens!K6304*cx_m365+Sens!K6305*cx_lic+(Sens!K6307+Sens!K6309)*cx_ind+Sens!K6312*cx_srch+(Sens!K6314+Sens!K6316)*cx_dev</f>
        <v>60.731202741994</v>
      </c>
    </row>
    <row r="6382" customFormat="false" ht="17.15" hidden="false" customHeight="false" outlineLevel="0" collapsed="false">
      <c r="A6382" s="0" t="s">
        <v>957</v>
      </c>
      <c r="B6382" s="0" t="s">
        <v>98</v>
      </c>
      <c r="F6382" s="6" t="n">
        <f aca="false">Sens!F6287</f>
        <v>8.36277689897089</v>
      </c>
      <c r="L6382" s="1" t="s">
        <v>958</v>
      </c>
    </row>
    <row r="6383" customFormat="false" ht="17.15" hidden="false" customHeight="false" outlineLevel="0" collapsed="false">
      <c r="A6383" s="1" t="s">
        <v>959</v>
      </c>
      <c r="B6383" s="0" t="s">
        <v>98</v>
      </c>
      <c r="E6383" s="6" t="n">
        <f aca="false">Q!M42</f>
        <v>145.3</v>
      </c>
      <c r="F6383" s="6" t="n">
        <f aca="false">Sens!F6380+Sens!F6381+Sens!F6382</f>
        <v>204.2</v>
      </c>
      <c r="G6383" s="6" t="n">
        <f aca="false">Sens!G6380+Sens!G6381</f>
        <v>224.502074053589</v>
      </c>
      <c r="H6383" s="6" t="n">
        <f aca="false">Sens!H6380+Sens!H6381</f>
        <v>234.51679955449</v>
      </c>
      <c r="I6383" s="6" t="n">
        <f aca="false">Sens!I6380+Sens!I6381</f>
        <v>215.417569465889</v>
      </c>
      <c r="J6383" s="6" t="n">
        <f aca="false">Sens!J6380+Sens!J6381</f>
        <v>183.699849844616</v>
      </c>
      <c r="K6383" s="6" t="n">
        <f aca="false">Sens!K6380+Sens!K6381</f>
        <v>182.138618045585</v>
      </c>
      <c r="L6383" s="1" t="s">
        <v>960</v>
      </c>
    </row>
    <row r="6384" customFormat="false" ht="15" hidden="false" customHeight="false" outlineLevel="0" collapsed="false">
      <c r="A6384" s="1" t="s">
        <v>961</v>
      </c>
      <c r="B6384" s="0" t="s">
        <v>98</v>
      </c>
      <c r="E6384" s="6" t="n">
        <f aca="false">fl_liab</f>
        <v>66.594</v>
      </c>
      <c r="F6384" s="6" t="n">
        <f aca="false">Sens!E6384-Sens!F6385</f>
        <v>62.46973</v>
      </c>
      <c r="G6384" s="6" t="n">
        <f aca="false">Sens!F6384-Sens!G6385</f>
        <v>57.98686785</v>
      </c>
      <c r="H6384" s="6" t="n">
        <f aca="false">Sens!G6384-Sens!H6385</f>
        <v>53.92827690325</v>
      </c>
      <c r="I6384" s="6" t="n">
        <f aca="false">Sens!H6384-Sens!I6385</f>
        <v>49.7850493638962</v>
      </c>
      <c r="J6384" s="6" t="n">
        <f aca="false">Sens!I6384-Sens!J6385</f>
        <v>45.4823765852716</v>
      </c>
      <c r="K6384" s="6" t="n">
        <f aca="false">Sens!J6384-Sens!K6385</f>
        <v>40.9860835316088</v>
      </c>
    </row>
    <row r="6385" customFormat="false" ht="15" hidden="false" customHeight="false" outlineLevel="0" collapsed="false">
      <c r="A6385" s="1" t="s">
        <v>962</v>
      </c>
      <c r="B6385" s="0" t="s">
        <v>98</v>
      </c>
      <c r="F6385" s="6" t="n">
        <f aca="false">fl_pay_27-Sens!E6384*fl_rate</f>
        <v>4.12427</v>
      </c>
      <c r="G6385" s="6" t="n">
        <f aca="false">fl_pay_28-Sens!F6384*fl_rate</f>
        <v>4.48286215</v>
      </c>
      <c r="H6385" s="6" t="n">
        <f aca="false">fl_pay_29-Sens!G6384*fl_rate</f>
        <v>4.05859094675</v>
      </c>
      <c r="I6385" s="6" t="n">
        <f aca="false">fl_pay_30-Sens!H6384*fl_rate</f>
        <v>4.14322753935375</v>
      </c>
      <c r="J6385" s="6" t="n">
        <f aca="false">fl_pay_31-Sens!I6384*fl_rate</f>
        <v>4.30267277862467</v>
      </c>
      <c r="K6385" s="6" t="n">
        <f aca="false">fl_pay_32-Sens!J6384*fl_rate</f>
        <v>4.49629305366278</v>
      </c>
    </row>
    <row r="6386" customFormat="false" ht="17.15" hidden="false" customHeight="false" outlineLevel="0" collapsed="false">
      <c r="A6386" s="1" t="s">
        <v>963</v>
      </c>
      <c r="B6386" s="0" t="s">
        <v>98</v>
      </c>
      <c r="E6386" s="6" t="n">
        <f aca="false">Q!M35-Q!M36-Q!M43</f>
        <v>63.886</v>
      </c>
      <c r="F6386" s="6" t="n">
        <f aca="false">Sens!F6379-Sens!F6383-Sens!F6385</f>
        <v>-2.82454773614911</v>
      </c>
      <c r="G6386" s="6" t="n">
        <f aca="false">Sens!G6379-Sens!G6383-Sens!G6385</f>
        <v>18.696256334579</v>
      </c>
      <c r="H6386" s="6" t="n">
        <f aca="false">Sens!H6379-Sens!H6383-Sens!H6385</f>
        <v>43.7990248071384</v>
      </c>
      <c r="I6386" s="6" t="n">
        <f aca="false">Sens!I6379-Sens!I6383-Sens!I6385</f>
        <v>100.956465104969</v>
      </c>
      <c r="J6386" s="6" t="n">
        <f aca="false">Sens!J6379-Sens!J6383-Sens!J6385</f>
        <v>164.585637290117</v>
      </c>
      <c r="K6386" s="6" t="n">
        <f aca="false">Sens!K6379-Sens!K6383-Sens!K6385</f>
        <v>192.676019479138</v>
      </c>
      <c r="L6386" s="11" t="s">
        <v>964</v>
      </c>
    </row>
    <row r="6387" customFormat="false" ht="15" hidden="false" customHeight="false" outlineLevel="0" collapsed="false">
      <c r="A6387" s="1" t="s">
        <v>965</v>
      </c>
      <c r="B6387" s="0" t="s">
        <v>75</v>
      </c>
      <c r="F6387" s="8" t="n">
        <f aca="false">dps_27</f>
        <v>3.85</v>
      </c>
      <c r="G6387" s="8" t="n">
        <f aca="false">Sens!F6387*(1+dps_g)</f>
        <v>4.158</v>
      </c>
      <c r="H6387" s="8" t="n">
        <f aca="false">Sens!G6387*(1+dps_g)</f>
        <v>4.49064</v>
      </c>
      <c r="I6387" s="8" t="n">
        <f aca="false">Sens!H6387*(1+dps_g)</f>
        <v>4.8498912</v>
      </c>
      <c r="J6387" s="8" t="n">
        <f aca="false">Sens!I6387*(1+dps_g)</f>
        <v>5.237882496</v>
      </c>
      <c r="K6387" s="8" t="n">
        <f aca="false">Sens!J6387*(1+dps_g)</f>
        <v>5.65691309568</v>
      </c>
    </row>
    <row r="6388" customFormat="false" ht="17.15" hidden="false" customHeight="false" outlineLevel="0" collapsed="false">
      <c r="A6388" s="1" t="s">
        <v>966</v>
      </c>
      <c r="B6388" s="0" t="s">
        <v>98</v>
      </c>
      <c r="E6388" s="6" t="n">
        <f aca="false">Q!M41</f>
        <v>26.445</v>
      </c>
      <c r="F6388" s="6" t="n">
        <f aca="false">Sens!F6387*Sens!E6397</f>
        <v>28.59395</v>
      </c>
      <c r="G6388" s="6" t="n">
        <f aca="false">Sens!G6387*Sens!F6397</f>
        <v>31.068576</v>
      </c>
      <c r="H6388" s="6" t="n">
        <f aca="false">Sens!H6387*Sens!G6397</f>
        <v>33.75614088</v>
      </c>
      <c r="I6388" s="6" t="n">
        <f aca="false">Sens!I6387*Sens!H6397</f>
        <v>36.6144644153437</v>
      </c>
      <c r="J6388" s="6" t="n">
        <f aca="false">Sens!J6387*Sens!I6397</f>
        <v>39.6120204168907</v>
      </c>
      <c r="K6388" s="6" t="n">
        <f aca="false">Sens!K6387*Sens!J6397</f>
        <v>42.868237275547</v>
      </c>
      <c r="L6388" s="1" t="s">
        <v>967</v>
      </c>
    </row>
    <row r="6389" customFormat="false" ht="15" hidden="false" customHeight="false" outlineLevel="0" collapsed="false">
      <c r="A6389" s="1" t="s">
        <v>968</v>
      </c>
      <c r="B6389" s="0" t="s">
        <v>98</v>
      </c>
      <c r="E6389" s="6" t="n">
        <f aca="false">Sens!E6386-Sens!E6388</f>
        <v>37.441</v>
      </c>
      <c r="F6389" s="6" t="n">
        <f aca="false">Sens!F6386-Sens!F6388</f>
        <v>-31.4184977361491</v>
      </c>
      <c r="G6389" s="6" t="n">
        <f aca="false">Sens!G6386-Sens!G6388</f>
        <v>-12.372319665421</v>
      </c>
      <c r="H6389" s="6" t="n">
        <f aca="false">Sens!H6386-Sens!H6388</f>
        <v>10.0428839271383</v>
      </c>
      <c r="I6389" s="6" t="n">
        <f aca="false">Sens!I6386-Sens!I6388</f>
        <v>64.3420006896249</v>
      </c>
      <c r="J6389" s="6" t="n">
        <f aca="false">Sens!J6386-Sens!J6388</f>
        <v>124.973616873226</v>
      </c>
      <c r="K6389" s="6" t="n">
        <f aca="false">Sens!K6386-Sens!K6388</f>
        <v>149.807782203591</v>
      </c>
    </row>
    <row r="6390" customFormat="false" ht="15" hidden="false" customHeight="false" outlineLevel="0" collapsed="false">
      <c r="A6390" s="1" t="s">
        <v>969</v>
      </c>
      <c r="B6390" s="0" t="s">
        <v>98</v>
      </c>
      <c r="F6390" s="6" t="n">
        <f aca="false">debt_mat_27</f>
        <v>9.25</v>
      </c>
      <c r="G6390" s="6" t="n">
        <f aca="false">debt_mat_28</f>
        <v>0</v>
      </c>
      <c r="H6390" s="6" t="n">
        <f aca="false">debt_mat_29</f>
        <v>2.001</v>
      </c>
      <c r="I6390" s="6" t="n">
        <f aca="false">debt_mat_30</f>
        <v>0</v>
      </c>
      <c r="J6390" s="6" t="n">
        <f aca="false">debt_mat_31</f>
        <v>0.5</v>
      </c>
      <c r="K6390" s="6" t="n">
        <f aca="false">debt_mat_32</f>
        <v>0</v>
      </c>
    </row>
    <row r="6391" customFormat="false" ht="15" hidden="false" customHeight="false" outlineLevel="0" collapsed="false">
      <c r="A6391" s="1" t="s">
        <v>970</v>
      </c>
      <c r="B6391" s="0" t="s">
        <v>98</v>
      </c>
      <c r="E6391" s="6" t="n">
        <f aca="false">Q!M40</f>
        <v>22.271</v>
      </c>
      <c r="F6391" s="6" t="n">
        <f aca="false">MAX(0,MIN(bb_target,Sens!E6393+Sens!F6389-Sens!F6390-min_cash))</f>
        <v>0</v>
      </c>
      <c r="G6391" s="6" t="n">
        <f aca="false">MAX(0,MIN(bb_target,Sens!F6393+Sens!G6389-Sens!G6390-min_cash))</f>
        <v>0</v>
      </c>
      <c r="H6391" s="6" t="n">
        <f aca="false">MAX(0,MIN(bb_target,Sens!G6393+Sens!H6389-Sens!H6390-min_cash))</f>
        <v>8.04188392713835</v>
      </c>
      <c r="I6391" s="6" t="n">
        <f aca="false">MAX(0,MIN(bb_target,Sens!H6393+Sens!I6389-Sens!I6390-min_cash))</f>
        <v>22.271</v>
      </c>
      <c r="J6391" s="6" t="n">
        <f aca="false">MAX(0,MIN(bb_target,Sens!I6393+Sens!J6389-Sens!J6390-min_cash))</f>
        <v>22.271</v>
      </c>
      <c r="K6391" s="6" t="n">
        <f aca="false">MAX(0,MIN(bb_target,Sens!J6393+Sens!K6389-Sens!K6390-min_cash))</f>
        <v>22.271</v>
      </c>
    </row>
    <row r="6392" customFormat="false" ht="15" hidden="false" customHeight="false" outlineLevel="0" collapsed="false">
      <c r="A6392" s="1" t="s">
        <v>971</v>
      </c>
      <c r="B6392" s="0" t="s">
        <v>98</v>
      </c>
      <c r="F6392" s="6" t="n">
        <f aca="false">MAX(0,min_cash-(Sens!E6393+Sens!F6389-Sens!F6390-Sens!F6391))</f>
        <v>13.8254977361491</v>
      </c>
      <c r="G6392" s="6" t="n">
        <f aca="false">MAX(0,min_cash-(Sens!F6393+Sens!G6389-Sens!G6390-Sens!G6391))</f>
        <v>12.372319665421</v>
      </c>
      <c r="H6392" s="6" t="n">
        <f aca="false">MAX(0,min_cash-(Sens!G6393+Sens!H6389-Sens!H6390-Sens!H6391))</f>
        <v>0</v>
      </c>
      <c r="I6392" s="6" t="n">
        <f aca="false">MAX(0,min_cash-(Sens!H6393+Sens!I6389-Sens!I6390-Sens!I6391))</f>
        <v>0</v>
      </c>
      <c r="J6392" s="6" t="n">
        <f aca="false">MAX(0,min_cash-(Sens!I6393+Sens!J6389-Sens!J6390-Sens!J6391))</f>
        <v>0</v>
      </c>
      <c r="K6392" s="6" t="n">
        <f aca="false">MAX(0,min_cash-(Sens!J6393+Sens!K6389-Sens!K6390-Sens!K6391))</f>
        <v>0</v>
      </c>
    </row>
    <row r="6393" customFormat="false" ht="15" hidden="false" customHeight="false" outlineLevel="0" collapsed="false">
      <c r="A6393" s="1" t="s">
        <v>972</v>
      </c>
      <c r="B6393" s="0" t="s">
        <v>98</v>
      </c>
      <c r="E6393" s="6" t="n">
        <f aca="false">cash_open</f>
        <v>76.843</v>
      </c>
      <c r="F6393" s="6" t="n">
        <f aca="false">Sens!E6393+Sens!F6389-Sens!F6390-Sens!F6391+Sens!F6392</f>
        <v>50</v>
      </c>
      <c r="G6393" s="6" t="n">
        <f aca="false">Sens!F6393+Sens!G6389-Sens!G6390-Sens!G6391+Sens!G6392</f>
        <v>50</v>
      </c>
      <c r="H6393" s="6" t="n">
        <f aca="false">Sens!G6393+Sens!H6389-Sens!H6390-Sens!H6391+Sens!H6392</f>
        <v>50</v>
      </c>
      <c r="I6393" s="6" t="n">
        <f aca="false">Sens!H6393+Sens!I6389-Sens!I6390-Sens!I6391+Sens!I6392</f>
        <v>92.0710006896249</v>
      </c>
      <c r="J6393" s="6" t="n">
        <f aca="false">Sens!I6393+Sens!J6389-Sens!J6390-Sens!J6391+Sens!J6392</f>
        <v>194.273617562851</v>
      </c>
      <c r="K6393" s="6" t="n">
        <f aca="false">Sens!J6393+Sens!K6389-Sens!K6390-Sens!K6391+Sens!K6392</f>
        <v>321.810399766442</v>
      </c>
    </row>
    <row r="6394" customFormat="false" ht="15" hidden="false" customHeight="false" outlineLevel="0" collapsed="false">
      <c r="A6394" s="1" t="s">
        <v>973</v>
      </c>
      <c r="B6394" s="0" t="s">
        <v>98</v>
      </c>
      <c r="E6394" s="6" t="n">
        <f aca="false">debt_face</f>
        <v>46.136</v>
      </c>
      <c r="F6394" s="6" t="n">
        <f aca="false">Sens!E6394-Sens!F6390+Sens!F6392</f>
        <v>50.7114977361491</v>
      </c>
      <c r="G6394" s="6" t="n">
        <f aca="false">Sens!F6394-Sens!G6390+Sens!G6392</f>
        <v>63.0838174015701</v>
      </c>
      <c r="H6394" s="6" t="n">
        <f aca="false">Sens!G6394-Sens!H6390+Sens!H6392</f>
        <v>61.0828174015701</v>
      </c>
      <c r="I6394" s="6" t="n">
        <f aca="false">Sens!H6394-Sens!I6390+Sens!I6392</f>
        <v>61.0828174015701</v>
      </c>
      <c r="J6394" s="6" t="n">
        <f aca="false">Sens!I6394-Sens!J6390+Sens!J6392</f>
        <v>60.5828174015701</v>
      </c>
      <c r="K6394" s="6" t="n">
        <f aca="false">Sens!J6394-Sens!K6390+Sens!K6392</f>
        <v>60.5828174015701</v>
      </c>
    </row>
    <row r="6395" customFormat="false" ht="15" hidden="false" customHeight="false" outlineLevel="0" collapsed="false">
      <c r="A6395" s="1" t="s">
        <v>974</v>
      </c>
      <c r="B6395" s="0" t="s">
        <v>98</v>
      </c>
      <c r="E6395" s="6" t="n">
        <f aca="false">Sens!E6393-Sens!E6394</f>
        <v>30.707</v>
      </c>
      <c r="F6395" s="6" t="n">
        <f aca="false">Sens!F6393-Sens!F6394</f>
        <v>-0.711497736149106</v>
      </c>
      <c r="G6395" s="6" t="n">
        <f aca="false">Sens!G6393-Sens!G6394</f>
        <v>-13.0838174015701</v>
      </c>
      <c r="H6395" s="6" t="n">
        <f aca="false">Sens!H6393-Sens!H6394</f>
        <v>-11.0828174015701</v>
      </c>
      <c r="I6395" s="6" t="n">
        <f aca="false">Sens!I6393-Sens!I6394</f>
        <v>30.9881832880548</v>
      </c>
      <c r="J6395" s="6" t="n">
        <f aca="false">Sens!J6393-Sens!J6394</f>
        <v>133.690800161281</v>
      </c>
      <c r="K6395" s="6" t="n">
        <f aca="false">Sens!K6393-Sens!K6394</f>
        <v>261.227582364872</v>
      </c>
    </row>
    <row r="6396" customFormat="false" ht="15" hidden="false" customHeight="false" outlineLevel="0" collapsed="false">
      <c r="A6396" s="1" t="s">
        <v>975</v>
      </c>
      <c r="B6396" s="0" t="s">
        <v>75</v>
      </c>
      <c r="F6396" s="29" t="n">
        <f aca="false">px*(1+bb_g)^(Sens!F6258-base_fy-mid_yr)</f>
        <v>553.494156066711</v>
      </c>
      <c r="G6396" s="29" t="n">
        <f aca="false">px*(1+bb_g)^(Sens!G6258-base_fy-mid_yr)</f>
        <v>597.773688552047</v>
      </c>
      <c r="H6396" s="29" t="n">
        <f aca="false">px*(1+bb_g)^(Sens!H6258-base_fy-mid_yr)</f>
        <v>645.595583636211</v>
      </c>
      <c r="I6396" s="29" t="n">
        <f aca="false">px*(1+bb_g)^(Sens!I6258-base_fy-mid_yr)</f>
        <v>697.243230327108</v>
      </c>
      <c r="J6396" s="29" t="n">
        <f aca="false">px*(1+bb_g)^(Sens!J6258-base_fy-mid_yr)</f>
        <v>753.022688753277</v>
      </c>
      <c r="K6396" s="29" t="n">
        <f aca="false">px*(1+bb_g)^(Sens!K6258-base_fy-mid_yr)</f>
        <v>813.264503853539</v>
      </c>
    </row>
    <row r="6397" customFormat="false" ht="15" hidden="false" customHeight="false" outlineLevel="0" collapsed="false">
      <c r="A6397" s="1" t="s">
        <v>976</v>
      </c>
      <c r="B6397" s="1" t="s">
        <v>81</v>
      </c>
      <c r="E6397" s="14" t="n">
        <f aca="false">sh_out26</f>
        <v>7.427</v>
      </c>
      <c r="F6397" s="14" t="n">
        <f aca="false">Sens!E6397+sh_iss-Sens!F6391/Sens!F6396</f>
        <v>7.472</v>
      </c>
      <c r="G6397" s="14" t="n">
        <f aca="false">Sens!F6397+sh_iss-Sens!G6391/Sens!G6396</f>
        <v>7.517</v>
      </c>
      <c r="H6397" s="14" t="n">
        <f aca="false">Sens!G6397+sh_iss-Sens!H6391/Sens!H6396</f>
        <v>7.54954346508716</v>
      </c>
      <c r="I6397" s="14" t="n">
        <f aca="false">Sens!H6397+sh_iss-Sens!I6391/Sens!I6396</f>
        <v>7.56260195740189</v>
      </c>
      <c r="J6397" s="14" t="n">
        <f aca="false">Sens!I6397+sh_iss-Sens!J6391/Sens!J6396</f>
        <v>7.57802648732293</v>
      </c>
      <c r="K6397" s="14" t="n">
        <f aca="false">Sens!J6397+sh_iss-Sens!K6391/Sens!K6396</f>
        <v>7.59564179280537</v>
      </c>
    </row>
    <row r="6398" customFormat="false" ht="15" hidden="false" customHeight="false" outlineLevel="0" collapsed="false">
      <c r="A6398" s="1" t="s">
        <v>977</v>
      </c>
      <c r="B6398" s="1" t="s">
        <v>81</v>
      </c>
      <c r="E6398" s="14" t="n">
        <f aca="false">sh_dil26</f>
        <v>7.453</v>
      </c>
      <c r="F6398" s="14" t="n">
        <f aca="false">(Sens!E6397+Sens!F6397)/2+dil_gap</f>
        <v>7.4735</v>
      </c>
      <c r="G6398" s="14" t="n">
        <f aca="false">(Sens!F6397+Sens!G6397)/2+dil_gap</f>
        <v>7.5185</v>
      </c>
      <c r="H6398" s="14" t="n">
        <f aca="false">(Sens!G6397+Sens!H6397)/2+dil_gap</f>
        <v>7.55727173254358</v>
      </c>
      <c r="I6398" s="14" t="n">
        <f aca="false">(Sens!H6397+Sens!I6397)/2+dil_gap</f>
        <v>7.58007271124452</v>
      </c>
      <c r="J6398" s="14" t="n">
        <f aca="false">(Sens!I6397+Sens!J6397)/2+dil_gap</f>
        <v>7.59431422236241</v>
      </c>
      <c r="K6398" s="14" t="n">
        <f aca="false">(Sens!J6397+Sens!K6397)/2+dil_gap</f>
        <v>7.61083414006415</v>
      </c>
    </row>
    <row r="6399" customFormat="false" ht="17.15" hidden="false" customHeight="false" outlineLevel="0" collapsed="false">
      <c r="A6399" s="1" t="s">
        <v>978</v>
      </c>
      <c r="B6399" s="0" t="s">
        <v>98</v>
      </c>
      <c r="C6399" s="6" t="n">
        <f aca="false">SUM(Sens!F6389:J6389)</f>
        <v>155.56768408842</v>
      </c>
    </row>
    <row r="6400" customFormat="false" ht="15" hidden="false" customHeight="false" outlineLevel="0" collapsed="false">
      <c r="A6400" s="23" t="s">
        <v>945</v>
      </c>
      <c r="B6400" s="30" t="s">
        <v>98</v>
      </c>
      <c r="C6400" s="24" t="n">
        <f aca="false">Sens!$C$6399-(Sens!F6389+Sens!G6389+Sens!H6389+Sens!I6389+Sens!J6389)</f>
        <v>0</v>
      </c>
      <c r="D6400" s="30"/>
      <c r="E6400" s="30"/>
      <c r="F6400" s="30"/>
      <c r="G6400" s="30"/>
      <c r="H6400" s="30"/>
      <c r="I6400" s="30"/>
      <c r="J6400" s="30"/>
      <c r="K6400" s="30"/>
    </row>
    <row r="6401" customFormat="false" ht="17.15" hidden="false" customHeight="false" outlineLevel="0" collapsed="false">
      <c r="A6401" s="1" t="s">
        <v>939</v>
      </c>
      <c r="B6401" s="1" t="s">
        <v>979</v>
      </c>
      <c r="C6401" s="32" t="str">
        <f aca="false">IF(SUM(Sens!F6392:J6392)&gt;0.05,"需要舉債 "&amp;TEXT(SUM(Sens!F6392:J6392),"0.0")&amp;" 十億美元","不需舉債")&amp;"；"&amp;IF(SUM(Sens!F6391:J6391)&lt;COUNT(Sens!F6391:J6391)*bb_target-0.05,"回購較每年 "&amp;TEXT(bb_target,"0.0")&amp;" 的目標少 "&amp;TEXT(COUNT(Sens!F6391:J6391)*bb_target-SUM(Sens!F6391:J6391),"0.0")&amp;" 十億美元（"&amp;TEXT(COUNTIF(Sens!F6391:J6391,"&lt;"&amp;(bb_target-0.05)),"0")&amp;" 年減少）","回購不減")</f>
        <v>需要舉債 26.2 十億美元；回購較每年 22.3 的目標少 58.8 十億美元（3 年減少）</v>
      </c>
    </row>
    <row r="6402" customFormat="false" ht="17.15" hidden="false" customHeight="false" outlineLevel="0" collapsed="false">
      <c r="A6402" s="3" t="s">
        <v>1426</v>
      </c>
    </row>
    <row r="6403" customFormat="false" ht="15" hidden="false" customHeight="false" outlineLevel="0" collapsed="false">
      <c r="A6403" s="4" t="s">
        <v>43</v>
      </c>
      <c r="B6403" s="4" t="s">
        <v>65</v>
      </c>
      <c r="C6403" s="20" t="s">
        <v>799</v>
      </c>
      <c r="D6403" s="20" t="s">
        <v>800</v>
      </c>
      <c r="E6403" s="20" t="s">
        <v>801</v>
      </c>
      <c r="F6403" s="20" t="s">
        <v>802</v>
      </c>
      <c r="G6403" s="20" t="s">
        <v>803</v>
      </c>
      <c r="H6403" s="20" t="s">
        <v>804</v>
      </c>
      <c r="I6403" s="20" t="s">
        <v>805</v>
      </c>
      <c r="J6403" s="20" t="s">
        <v>806</v>
      </c>
      <c r="K6403" s="20" t="s">
        <v>807</v>
      </c>
      <c r="L6403" s="4" t="s">
        <v>47</v>
      </c>
    </row>
    <row r="6404" customFormat="false" ht="15" hidden="false" customHeight="false" outlineLevel="0" collapsed="false">
      <c r="A6404" s="1" t="s">
        <v>1057</v>
      </c>
      <c r="B6404" s="1" t="s">
        <v>235</v>
      </c>
      <c r="F6404" s="36" t="n">
        <f aca="false">Sens!F6258-base_fy-mid_yr</f>
        <v>0.5</v>
      </c>
      <c r="G6404" s="36" t="n">
        <f aca="false">Sens!G6258-base_fy-mid_yr</f>
        <v>1.5</v>
      </c>
      <c r="H6404" s="36" t="n">
        <f aca="false">Sens!H6258-base_fy-mid_yr</f>
        <v>2.5</v>
      </c>
      <c r="I6404" s="36" t="n">
        <f aca="false">Sens!I6258-base_fy-mid_yr</f>
        <v>3.5</v>
      </c>
      <c r="J6404" s="36" t="n">
        <f aca="false">Sens!J6258-base_fy-mid_yr</f>
        <v>4.5</v>
      </c>
      <c r="K6404" s="36" t="n">
        <f aca="false">Sens!K6258-base_fy-mid_yr</f>
        <v>5.5</v>
      </c>
    </row>
    <row r="6405" customFormat="false" ht="15" hidden="false" customHeight="false" outlineLevel="0" collapsed="false">
      <c r="A6405" s="1" t="s">
        <v>1058</v>
      </c>
      <c r="B6405" s="0" t="s">
        <v>185</v>
      </c>
      <c r="F6405" s="14" t="n">
        <f aca="false">1/(1+wacc)^Sens!F6404</f>
        <v>0.952193373608246</v>
      </c>
      <c r="G6405" s="14" t="n">
        <f aca="false">1/(1+wacc)^Sens!G6404</f>
        <v>0.863327280626589</v>
      </c>
      <c r="H6405" s="14" t="n">
        <f aca="false">1/(1+wacc)^Sens!H6404</f>
        <v>0.782754862754115</v>
      </c>
      <c r="I6405" s="14" t="n">
        <f aca="false">1/(1+wacc)^Sens!I6404</f>
        <v>0.709702089711011</v>
      </c>
      <c r="J6405" s="14" t="n">
        <f aca="false">1/(1+wacc)^Sens!J6404</f>
        <v>0.643467169744551</v>
      </c>
      <c r="K6405" s="14" t="n">
        <f aca="false">1/(1+wacc)^Sens!K6404</f>
        <v>0.583413807767797</v>
      </c>
    </row>
    <row r="6406" customFormat="false" ht="17.15" hidden="false" customHeight="false" outlineLevel="0" collapsed="false">
      <c r="A6406" s="1" t="s">
        <v>1059</v>
      </c>
      <c r="B6406" s="0" t="s">
        <v>98</v>
      </c>
      <c r="F6406" s="6" t="n">
        <f aca="false">Sens!F6379-Sens!F6377-Sens!F6383+Sens!F6362*(1-tax_f)</f>
        <v>-5.65683879850092</v>
      </c>
      <c r="G6406" s="6" t="n">
        <f aca="false">Sens!G6379-Sens!G6377-Sens!G6383+Sens!G6362*(1-tax_f)</f>
        <v>26.2092013109088</v>
      </c>
      <c r="H6406" s="6" t="n">
        <f aca="false">Sens!H6379-Sens!H6377-Sens!H6383+Sens!H6362*(1-tax_f)</f>
        <v>62.2492735009479</v>
      </c>
      <c r="I6406" s="6" t="n">
        <f aca="false">Sens!I6379-Sens!I6377-Sens!I6383+Sens!I6362*(1-tax_f)</f>
        <v>129.518592846266</v>
      </c>
      <c r="J6406" s="6" t="n">
        <f aca="false">Sens!J6379-Sens!J6377-Sens!J6383+Sens!J6362*(1-tax_f)</f>
        <v>200.086142896175</v>
      </c>
      <c r="K6406" s="6" t="n">
        <f aca="false">Sens!K6379-Sens!K6377-Sens!K6383+Sens!K6362*(1-tax_f)</f>
        <v>231.906400951849</v>
      </c>
      <c r="L6406" s="1" t="s">
        <v>1060</v>
      </c>
    </row>
    <row r="6407" customFormat="false" ht="15" hidden="false" customHeight="false" outlineLevel="0" collapsed="false">
      <c r="A6407" s="1" t="s">
        <v>1061</v>
      </c>
      <c r="B6407" s="0" t="s">
        <v>98</v>
      </c>
      <c r="F6407" s="6" t="n">
        <f aca="false">Sens!F6406*Sens!F6405</f>
        <v>-5.38640441950261</v>
      </c>
      <c r="G6407" s="6" t="n">
        <f aca="false">Sens!G6406*Sens!G6405</f>
        <v>22.6271184951418</v>
      </c>
      <c r="H6407" s="6" t="n">
        <f aca="false">Sens!H6406*Sens!H6405</f>
        <v>48.7259215357778</v>
      </c>
      <c r="I6407" s="6" t="n">
        <f aca="false">Sens!I6406*Sens!I6405</f>
        <v>91.9196159994247</v>
      </c>
      <c r="J6407" s="6" t="n">
        <f aca="false">Sens!J6406*Sens!J6405</f>
        <v>128.748864074505</v>
      </c>
      <c r="K6407" s="6" t="n">
        <f aca="false">Sens!K6406*Sens!K6405</f>
        <v>135.297396425044</v>
      </c>
    </row>
    <row r="6408" customFormat="false" ht="17.15" hidden="false" customHeight="false" outlineLevel="0" collapsed="false">
      <c r="A6408" s="1" t="s">
        <v>1062</v>
      </c>
      <c r="B6408" s="0" t="s">
        <v>98</v>
      </c>
      <c r="C6408" s="6" t="n">
        <f aca="false">SUM(Sens!F6407:K6407)</f>
        <v>421.932512110391</v>
      </c>
    </row>
    <row r="6409" customFormat="false" ht="17.15" hidden="false" customHeight="false" outlineLevel="0" collapsed="false">
      <c r="A6409" s="1" t="s">
        <v>1063</v>
      </c>
      <c r="B6409" s="0" t="s">
        <v>98</v>
      </c>
      <c r="C6409" s="6" t="n">
        <f aca="false">Sens!K6348*(1+g_tv)*(1-tax_f)</f>
        <v>246.59353349766</v>
      </c>
    </row>
    <row r="6410" customFormat="false" ht="17.15" hidden="false" customHeight="false" outlineLevel="0" collapsed="false">
      <c r="A6410" s="1" t="s">
        <v>1064</v>
      </c>
      <c r="B6410" s="0" t="s">
        <v>98</v>
      </c>
      <c r="C6410" s="6" t="n">
        <f aca="false">Sens!$C$6409*(1-g_tv/(wacc+ronic_prem))</f>
        <v>174.724415293517</v>
      </c>
    </row>
    <row r="6411" customFormat="false" ht="17.15" hidden="false" customHeight="false" outlineLevel="0" collapsed="false">
      <c r="A6411" s="1" t="s">
        <v>1065</v>
      </c>
      <c r="B6411" s="0" t="s">
        <v>98</v>
      </c>
      <c r="C6411" s="6" t="n">
        <f aca="false">Sens!$C$6410/(wacc-g_tv)</f>
        <v>2395.63727347143</v>
      </c>
    </row>
    <row r="6412" customFormat="false" ht="15" hidden="false" customHeight="false" outlineLevel="0" collapsed="false">
      <c r="A6412" s="1" t="s">
        <v>1066</v>
      </c>
      <c r="B6412" s="0" t="s">
        <v>98</v>
      </c>
      <c r="C6412" s="6" t="n">
        <f aca="false">Sens!$C$6411/(1+wacc)^(Sens!K6404+mid_yr)</f>
        <v>1330.83103449707</v>
      </c>
    </row>
    <row r="6413" customFormat="false" ht="17.15" hidden="false" customHeight="false" outlineLevel="0" collapsed="false">
      <c r="A6413" s="0" t="s">
        <v>986</v>
      </c>
      <c r="B6413" s="0" t="s">
        <v>98</v>
      </c>
      <c r="C6413" s="6" t="n">
        <f aca="false">Sens!$C$6408+Sens!$C$6412</f>
        <v>1752.76354660746</v>
      </c>
    </row>
    <row r="6414" customFormat="false" ht="15" hidden="false" customHeight="false" outlineLevel="0" collapsed="false">
      <c r="A6414" s="1" t="s">
        <v>987</v>
      </c>
      <c r="B6414" s="0" t="s">
        <v>129</v>
      </c>
      <c r="C6414" s="7" t="n">
        <f aca="false">Sens!$C$6412/Sens!$C$6413</f>
        <v>0.759275851596152</v>
      </c>
    </row>
    <row r="6415" customFormat="false" ht="17.15" hidden="false" customHeight="false" outlineLevel="0" collapsed="false">
      <c r="A6415" s="1" t="s">
        <v>1067</v>
      </c>
      <c r="B6415" s="0" t="s">
        <v>98</v>
      </c>
      <c r="C6415" s="6" t="n">
        <f aca="false">Sens!$C$6413+Sens!E6395-Sens!E6384+oai_v</f>
        <v>1887.27654660746</v>
      </c>
    </row>
    <row r="6416" customFormat="false" ht="17.15" hidden="false" customHeight="false" outlineLevel="0" collapsed="false">
      <c r="A6416" s="0" t="s">
        <v>994</v>
      </c>
      <c r="B6416" s="0" t="s">
        <v>75</v>
      </c>
      <c r="C6416" s="5" t="n">
        <f aca="false">Sens!$C$6415/sh_dil26</f>
        <v>253.223741662077</v>
      </c>
    </row>
    <row r="6417" customFormat="false" ht="15" hidden="false" customHeight="false" outlineLevel="0" collapsed="false">
      <c r="A6417" s="1" t="s">
        <v>1068</v>
      </c>
      <c r="B6417" s="0" t="s">
        <v>75</v>
      </c>
      <c r="C6417" s="8" t="n">
        <f aca="false">dps_27+Sens!G6387*roll_div_q/q_per_yr</f>
        <v>4.8895</v>
      </c>
    </row>
    <row r="6418" customFormat="false" ht="17.15" hidden="false" customHeight="false" outlineLevel="0" collapsed="false">
      <c r="A6418" s="0" t="s">
        <v>1069</v>
      </c>
      <c r="B6418" s="0" t="s">
        <v>75</v>
      </c>
      <c r="C6418" s="5" t="n">
        <f aca="false">Sens!$C$6416*(1+wacc)^t_roll-Sens!$C$6417</f>
        <v>283.464829651249</v>
      </c>
    </row>
    <row r="6419" customFormat="false" ht="17.15" hidden="false" customHeight="false" outlineLevel="0" collapsed="false">
      <c r="A6419" s="1" t="s">
        <v>1070</v>
      </c>
      <c r="B6419" s="0" t="s">
        <v>129</v>
      </c>
      <c r="F6419" s="7" t="n">
        <f aca="false">Sens!F6374/(Sens!F6319-Sens!F6275)</f>
        <v>0.0709922497455003</v>
      </c>
      <c r="G6419" s="7" t="n">
        <f aca="false">Sens!G6374/(Sens!G6319-Sens!G6275)</f>
        <v>0.0679170777626652</v>
      </c>
      <c r="H6419" s="7" t="n">
        <f aca="false">Sens!H6374/(Sens!H6319-Sens!H6275)</f>
        <v>0.066209036924614</v>
      </c>
      <c r="I6419" s="7" t="n">
        <f aca="false">Sens!I6374/(Sens!I6319-Sens!I6275)</f>
        <v>0.0657199759198733</v>
      </c>
      <c r="J6419" s="7" t="n">
        <f aca="false">Sens!J6374/(Sens!J6319-Sens!J6275)</f>
        <v>0.0661836508092729</v>
      </c>
      <c r="K6419" s="7" t="n">
        <f aca="false">Sens!K6374/(Sens!K6319-Sens!K6275)</f>
        <v>0.0672921399466503</v>
      </c>
    </row>
    <row r="6420" customFormat="false" ht="17.15" hidden="false" customHeight="false" outlineLevel="0" collapsed="false">
      <c r="A6420" s="0" t="s">
        <v>1071</v>
      </c>
      <c r="B6420" s="0" t="s">
        <v>98</v>
      </c>
      <c r="F6420" s="6" t="n">
        <f aca="false">Sens!F6304*(al_m365+Sens!F6419+sbc_r)</f>
        <v>83.6890945447187</v>
      </c>
      <c r="G6420" s="6" t="n">
        <f aca="false">Sens!G6304*(al_m365+Sens!G6419+sbc_r)</f>
        <v>95.0702817020383</v>
      </c>
      <c r="H6420" s="6" t="n">
        <f aca="false">Sens!H6304*(al_m365+Sens!H6419+sbc_r)</f>
        <v>106.613380730083</v>
      </c>
      <c r="I6420" s="6" t="n">
        <f aca="false">Sens!I6304*(al_m365+Sens!I6419+sbc_r)</f>
        <v>117.389320395357</v>
      </c>
      <c r="J6420" s="6" t="n">
        <f aca="false">Sens!J6304*(al_m365+Sens!J6419+sbc_r)</f>
        <v>127.210195059062</v>
      </c>
      <c r="K6420" s="6" t="n">
        <f aca="false">Sens!K6304*(al_m365+Sens!K6419+sbc_r)</f>
        <v>136.63853775997</v>
      </c>
      <c r="L6420" s="11" t="s">
        <v>1072</v>
      </c>
    </row>
    <row r="6421" customFormat="false" ht="17.15" hidden="false" customHeight="false" outlineLevel="0" collapsed="false">
      <c r="A6421" s="0" t="s">
        <v>1073</v>
      </c>
      <c r="B6421" s="0" t="s">
        <v>98</v>
      </c>
      <c r="F6421" s="6" t="n">
        <f aca="false">Sens!F6305*(al_lic+Sens!F6419+sbc_r)</f>
        <v>33.5384932044036</v>
      </c>
      <c r="G6421" s="6" t="n">
        <f aca="false">Sens!G6305*(al_lic+Sens!G6419+sbc_r)</f>
        <v>34.8334156060102</v>
      </c>
      <c r="H6421" s="6" t="n">
        <f aca="false">Sens!H6305*(al_lic+Sens!H6419+sbc_r)</f>
        <v>36.0417101678181</v>
      </c>
      <c r="I6421" s="6" t="n">
        <f aca="false">Sens!I6305*(al_lic+Sens!I6419+sbc_r)</f>
        <v>37.1439139141786</v>
      </c>
      <c r="J6421" s="6" t="n">
        <f aca="false">Sens!J6305*(al_lic+Sens!J6419+sbc_r)</f>
        <v>38.1149856130738</v>
      </c>
      <c r="K6421" s="6" t="n">
        <f aca="false">Sens!K6305*(al_lic+Sens!K6419+sbc_r)</f>
        <v>38.9277735553152</v>
      </c>
    </row>
    <row r="6422" customFormat="false" ht="17.15" hidden="false" customHeight="false" outlineLevel="0" collapsed="false">
      <c r="A6422" s="0" t="s">
        <v>1074</v>
      </c>
      <c r="B6422" s="0" t="s">
        <v>98</v>
      </c>
      <c r="F6422" s="6" t="n">
        <f aca="false">Sens!F6307*(al_ind+Sens!F6419+sbc_r)</f>
        <v>9.13012618166307</v>
      </c>
      <c r="G6422" s="6" t="n">
        <f aca="false">Sens!G6307*(al_ind+Sens!G6419+sbc_r)</f>
        <v>9.90520458933135</v>
      </c>
      <c r="H6422" s="6" t="n">
        <f aca="false">Sens!H6307*(al_ind+Sens!H6419+sbc_r)</f>
        <v>10.7249651747574</v>
      </c>
      <c r="I6422" s="6" t="n">
        <f aca="false">Sens!I6307*(al_ind+Sens!I6419+sbc_r)</f>
        <v>11.5856581756562</v>
      </c>
      <c r="J6422" s="6" t="n">
        <f aca="false">Sens!J6307*(al_ind+Sens!J6419+sbc_r)</f>
        <v>12.4779672036027</v>
      </c>
      <c r="K6422" s="6" t="n">
        <f aca="false">Sens!K6307*(al_ind+Sens!K6419+sbc_r)</f>
        <v>13.3880977216933</v>
      </c>
    </row>
    <row r="6423" customFormat="false" ht="17.15" hidden="false" customHeight="false" outlineLevel="0" collapsed="false">
      <c r="A6423" s="0" t="s">
        <v>1075</v>
      </c>
      <c r="B6423" s="0" t="s">
        <v>98</v>
      </c>
      <c r="F6423" s="6" t="n">
        <f aca="false">Sens!F6309*(al_fro+Sens!F6419+sbc_r)</f>
        <v>3.5936497191581</v>
      </c>
      <c r="G6423" s="6" t="n">
        <f aca="false">Sens!G6309*(al_fro+Sens!G6419+sbc_r)</f>
        <v>3.80301295003238</v>
      </c>
      <c r="H6423" s="6" t="n">
        <f aca="false">Sens!H6309*(al_fro+Sens!H6419+sbc_r)</f>
        <v>4.04153396717138</v>
      </c>
      <c r="I6423" s="6" t="n">
        <f aca="false">Sens!I6309*(al_fro+Sens!I6419+sbc_r)</f>
        <v>4.31171044242564</v>
      </c>
      <c r="J6423" s="6" t="n">
        <f aca="false">Sens!J6309*(al_fro+Sens!J6419+sbc_r)</f>
        <v>4.61483179928214</v>
      </c>
      <c r="K6423" s="6" t="n">
        <f aca="false">Sens!K6309*(al_fro+Sens!K6419+sbc_r)</f>
        <v>4.95143304112295</v>
      </c>
    </row>
    <row r="6424" customFormat="false" ht="17.15" hidden="false" customHeight="false" outlineLevel="0" collapsed="false">
      <c r="A6424" s="0" t="s">
        <v>1076</v>
      </c>
      <c r="B6424" s="0" t="s">
        <v>98</v>
      </c>
      <c r="F6424" s="6" t="n">
        <f aca="false">Sens!F6312*(al_srch+Sens!F6419+sbc_r)</f>
        <v>11.2758377468913</v>
      </c>
      <c r="G6424" s="6" t="n">
        <f aca="false">Sens!G6312*(al_srch+Sens!G6419+sbc_r)</f>
        <v>12.3484945569682</v>
      </c>
      <c r="H6424" s="6" t="n">
        <f aca="false">Sens!H6312*(al_srch+Sens!H6419+sbc_r)</f>
        <v>13.4655829428956</v>
      </c>
      <c r="I6424" s="6" t="n">
        <f aca="false">Sens!I6312*(al_srch+Sens!I6419+sbc_r)</f>
        <v>14.6155724306449</v>
      </c>
      <c r="J6424" s="6" t="n">
        <f aca="false">Sens!J6312*(al_srch+Sens!J6419+sbc_r)</f>
        <v>15.7789704342907</v>
      </c>
      <c r="K6424" s="6" t="n">
        <f aca="false">Sens!K6312*(al_srch+Sens!K6419+sbc_r)</f>
        <v>16.9298728450737</v>
      </c>
    </row>
    <row r="6425" customFormat="false" ht="17.15" hidden="false" customHeight="false" outlineLevel="0" collapsed="false">
      <c r="A6425" s="0" t="s">
        <v>1077</v>
      </c>
      <c r="B6425" s="0" t="s">
        <v>98</v>
      </c>
      <c r="F6425" s="6" t="n">
        <f aca="false">Sens!F6281-Sens!F6282+Sens!F6362</f>
        <v>38.2515534991461</v>
      </c>
      <c r="G6425" s="6" t="n">
        <f aca="false">Sens!G6281-Sens!G6282+Sens!G6362</f>
        <v>66.6851503973013</v>
      </c>
      <c r="H6425" s="6" t="n">
        <f aca="false">Sens!H6281-Sens!H6282+Sens!H6362</f>
        <v>92.2616486127835</v>
      </c>
      <c r="I6425" s="6" t="n">
        <f aca="false">Sens!I6281-Sens!I6282+Sens!I6362</f>
        <v>121.8463822105</v>
      </c>
      <c r="J6425" s="6" t="n">
        <f aca="false">Sens!J6281-Sens!J6282+Sens!J6362</f>
        <v>142.977006711509</v>
      </c>
      <c r="K6425" s="6" t="n">
        <f aca="false">Sens!K6281-Sens!K6282+Sens!K6362</f>
        <v>156.670164548223</v>
      </c>
    </row>
    <row r="6426" customFormat="false" ht="17.15" hidden="false" customHeight="false" outlineLevel="0" collapsed="false">
      <c r="A6426" s="0" t="s">
        <v>1078</v>
      </c>
      <c r="B6426" s="0" t="s">
        <v>98</v>
      </c>
      <c r="F6426" s="6" t="n">
        <f aca="false">Sens!F6341+Sens!F6362+Sens!F6292+Sens!F6419*(Sens!F6311-Sens!F6275)+sbc_r*Sens!F6311</f>
        <v>228.470230201882</v>
      </c>
      <c r="G6426" s="6" t="n">
        <f aca="false">Sens!G6341+Sens!G6362+Sens!G6292+Sens!G6419*(Sens!G6311-Sens!G6275)+sbc_r*Sens!G6311</f>
        <v>282.690239100807</v>
      </c>
      <c r="H6426" s="6" t="n">
        <f aca="false">Sens!H6341+Sens!H6362+Sens!H6292+Sens!H6419*(Sens!H6311-Sens!H6275)+sbc_r*Sens!H6311</f>
        <v>334.333969106206</v>
      </c>
      <c r="I6426" s="6" t="n">
        <f aca="false">Sens!I6341+Sens!I6362+Sens!I6292+Sens!I6419*(Sens!I6311-Sens!I6275)+sbc_r*Sens!I6311</f>
        <v>389.144116190106</v>
      </c>
      <c r="J6426" s="6" t="n">
        <f aca="false">Sens!J6341+Sens!J6362+Sens!J6292+Sens!J6419*(Sens!J6311-Sens!J6275)+sbc_r*Sens!J6311</f>
        <v>433.380451974868</v>
      </c>
      <c r="K6426" s="6" t="n">
        <f aca="false">Sens!K6341+Sens!K6362+Sens!K6292+Sens!K6419*(Sens!K6311-Sens!K6275)+sbc_r*Sens!K6311</f>
        <v>467.896616044231</v>
      </c>
    </row>
    <row r="6427" customFormat="false" ht="17.15" hidden="false" customHeight="false" outlineLevel="0" collapsed="false">
      <c r="A6427" s="0" t="s">
        <v>1079</v>
      </c>
      <c r="B6427" s="0" t="s">
        <v>98</v>
      </c>
      <c r="F6427" s="6" t="n">
        <f aca="false">Sens!F6426-Sens!F6420-Sens!F6421-Sens!F6422-Sens!F6423-Sens!F6425</f>
        <v>60.2673130527925</v>
      </c>
      <c r="G6427" s="6" t="n">
        <f aca="false">Sens!G6426-Sens!G6420-Sens!G6421-Sens!G6422-Sens!G6423-Sens!G6425</f>
        <v>72.3931738560933</v>
      </c>
      <c r="H6427" s="6" t="n">
        <f aca="false">Sens!H6426-Sens!H6420-Sens!H6421-Sens!H6422-Sens!H6423-Sens!H6425</f>
        <v>84.6507304535922</v>
      </c>
      <c r="I6427" s="6" t="n">
        <f aca="false">Sens!I6426-Sens!I6420-Sens!I6421-Sens!I6422-Sens!I6423-Sens!I6425</f>
        <v>96.8671310519893</v>
      </c>
      <c r="J6427" s="6" t="n">
        <f aca="false">Sens!J6426-Sens!J6420-Sens!J6421-Sens!J6422-Sens!J6423-Sens!J6425</f>
        <v>107.985465588338</v>
      </c>
      <c r="K6427" s="6" t="n">
        <f aca="false">Sens!K6426-Sens!K6420-Sens!K6421-Sens!K6422-Sens!K6423-Sens!K6425</f>
        <v>117.320609417907</v>
      </c>
    </row>
    <row r="6428" customFormat="false" ht="17.15" hidden="false" customHeight="false" outlineLevel="0" collapsed="false">
      <c r="A6428" s="0" t="s">
        <v>1080</v>
      </c>
      <c r="B6428" s="0" t="s">
        <v>98</v>
      </c>
      <c r="F6428" s="6" t="n">
        <f aca="false">Sens!F6343+Sens!F6419*Sens!F6318+sbc_r*Sens!F6318</f>
        <v>26.3551595484263</v>
      </c>
      <c r="G6428" s="6" t="n">
        <f aca="false">Sens!G6343+Sens!G6419*Sens!G6318+sbc_r*Sens!G6318</f>
        <v>26.9513425992091</v>
      </c>
      <c r="H6428" s="6" t="n">
        <f aca="false">Sens!H6343+Sens!H6419*Sens!H6318+sbc_r*Sens!H6318</f>
        <v>27.8167759455013</v>
      </c>
      <c r="I6428" s="6" t="n">
        <f aca="false">Sens!I6343+Sens!I6419*Sens!I6318+sbc_r*Sens!I6318</f>
        <v>28.9193914832854</v>
      </c>
      <c r="J6428" s="6" t="n">
        <f aca="false">Sens!J6343+Sens!J6419*Sens!J6318+sbc_r*Sens!J6318</f>
        <v>30.2246903239319</v>
      </c>
      <c r="K6428" s="6" t="n">
        <f aca="false">Sens!K6343+Sens!K6419*Sens!K6318+sbc_r*Sens!K6318</f>
        <v>31.6983692189721</v>
      </c>
    </row>
    <row r="6429" customFormat="false" ht="17.15" hidden="false" customHeight="false" outlineLevel="0" collapsed="false">
      <c r="A6429" s="0" t="s">
        <v>1081</v>
      </c>
      <c r="B6429" s="0" t="s">
        <v>98</v>
      </c>
      <c r="F6429" s="6" t="n">
        <f aca="false">(Sens!F6428-Sens!F6424)*Sens!F6314/(Sens!F6314+Sens!F6316)</f>
        <v>8.26633734113526</v>
      </c>
      <c r="G6429" s="6" t="n">
        <f aca="false">(Sens!G6428-Sens!G6424)*Sens!G6314/(Sens!G6314+Sens!G6316)</f>
        <v>7.86240794062109</v>
      </c>
      <c r="H6429" s="6" t="n">
        <f aca="false">(Sens!H6428-Sens!H6424)*Sens!H6314/(Sens!H6314+Sens!H6316)</f>
        <v>7.62253514600033</v>
      </c>
      <c r="I6429" s="6" t="n">
        <f aca="false">(Sens!I6428-Sens!I6424)*Sens!I6314/(Sens!I6314+Sens!I6316)</f>
        <v>7.52863168005422</v>
      </c>
      <c r="J6429" s="6" t="n">
        <f aca="false">(Sens!J6428-Sens!J6424)*Sens!J6314/(Sens!J6314+Sens!J6316)</f>
        <v>7.56893743578336</v>
      </c>
      <c r="K6429" s="6" t="n">
        <f aca="false">(Sens!K6428-Sens!K6424)*Sens!K6314/(Sens!K6314+Sens!K6316)</f>
        <v>7.73805846497053</v>
      </c>
    </row>
    <row r="6430" customFormat="false" ht="17.15" hidden="false" customHeight="false" outlineLevel="0" collapsed="false">
      <c r="A6430" s="0" t="s">
        <v>1082</v>
      </c>
      <c r="B6430" s="0" t="s">
        <v>98</v>
      </c>
      <c r="F6430" s="6" t="n">
        <f aca="false">Sens!F6428-Sens!F6424-Sens!F6429</f>
        <v>6.81298446039967</v>
      </c>
      <c r="G6430" s="6" t="n">
        <f aca="false">Sens!G6428-Sens!G6424-Sens!G6429</f>
        <v>6.74044010161987</v>
      </c>
      <c r="H6430" s="6" t="n">
        <f aca="false">Sens!H6428-Sens!H6424-Sens!H6429</f>
        <v>6.72865785660537</v>
      </c>
      <c r="I6430" s="6" t="n">
        <f aca="false">Sens!I6428-Sens!I6424-Sens!I6429</f>
        <v>6.77518737258634</v>
      </c>
      <c r="J6430" s="6" t="n">
        <f aca="false">Sens!J6428-Sens!J6424-Sens!J6429</f>
        <v>6.87678245385776</v>
      </c>
      <c r="K6430" s="6" t="n">
        <f aca="false">Sens!K6428-Sens!K6424-Sens!K6429</f>
        <v>7.03043790892791</v>
      </c>
    </row>
    <row r="6431" customFormat="false" ht="17.15" hidden="false" customHeight="false" outlineLevel="0" collapsed="false">
      <c r="A6431" s="0" t="s">
        <v>1083</v>
      </c>
      <c r="B6431" s="0" t="s">
        <v>98</v>
      </c>
      <c r="F6431" s="6" t="n">
        <f aca="false">Sens!F6425-tax_f*(Sens!F6425-Sens!F6292)-Sens!F6289</f>
        <v>-122.921655595959</v>
      </c>
      <c r="G6431" s="6" t="n">
        <f aca="false">Sens!G6425-tax_f*(Sens!G6425-Sens!G6292)-Sens!G6289</f>
        <v>-118.400972743257</v>
      </c>
      <c r="H6431" s="6" t="n">
        <f aca="false">Sens!H6425-tax_f*(Sens!H6425-Sens!H6292)-Sens!H6289</f>
        <v>-96.9987630515109</v>
      </c>
      <c r="I6431" s="6" t="n">
        <f aca="false">Sens!I6425-tax_f*(Sens!I6425-Sens!I6292)-Sens!I6289</f>
        <v>-44.1084146193669</v>
      </c>
      <c r="J6431" s="6" t="n">
        <f aca="false">Sens!J6425-tax_f*(Sens!J6425-Sens!J6292)-Sens!J6289</f>
        <v>12.799833345534</v>
      </c>
      <c r="K6431" s="6" t="n">
        <f aca="false">Sens!K6425-tax_f*(Sens!K6425-Sens!K6292)-Sens!K6289</f>
        <v>31.755009143849</v>
      </c>
    </row>
    <row r="6432" customFormat="false" ht="17.15" hidden="false" customHeight="false" outlineLevel="0" collapsed="false">
      <c r="A6432" s="0" t="s">
        <v>1084</v>
      </c>
      <c r="B6432" s="0" t="s">
        <v>98</v>
      </c>
      <c r="G6432" s="6" t="n">
        <f aca="false">Sens!G6431/(1+wacc)^(Sens!G6404-(Sens!F6404+mid_yr))</f>
        <v>-112.7406216749</v>
      </c>
      <c r="H6432" s="6" t="n">
        <f aca="false">Sens!H6431/(1+wacc)^(Sens!H6404-(Sens!F6404+mid_yr))</f>
        <v>-83.7416783294037</v>
      </c>
      <c r="I6432" s="6" t="n">
        <f aca="false">Sens!I6431/(1+wacc)^(Sens!I6404-(Sens!F6404+mid_yr))</f>
        <v>-34.5260760316842</v>
      </c>
      <c r="J6432" s="6" t="n">
        <f aca="false">Sens!J6431/(1+wacc)^(Sens!J6404-(Sens!F6404+mid_yr))</f>
        <v>9.08406847327819</v>
      </c>
      <c r="K6432" s="6" t="n">
        <f aca="false">Sens!K6431/(1+wacc)^(Sens!K6404-(Sens!F6404+mid_yr))</f>
        <v>20.4333058590049</v>
      </c>
      <c r="L6432" s="1" t="s">
        <v>1085</v>
      </c>
    </row>
    <row r="6433" customFormat="false" ht="17.15" hidden="false" customHeight="false" outlineLevel="0" collapsed="false">
      <c r="A6433" s="0" t="s">
        <v>1086</v>
      </c>
      <c r="B6433" s="0" t="s">
        <v>98</v>
      </c>
      <c r="C6433" s="6" t="n">
        <f aca="false">(Sens!K6425-Sens!K6292)*(1-tax_f)*(1+g_tv)*(1-g_tv/(wacc+ronic_prem))/(wacc-g_tv)/(1+wacc)^(Sens!K6404+mid_yr-(Sens!F6404+mid_yr))</f>
        <v>86.0231913201973</v>
      </c>
    </row>
    <row r="6434" customFormat="false" ht="17.15" hidden="false" customHeight="false" outlineLevel="0" collapsed="false">
      <c r="A6434" s="1" t="s">
        <v>1087</v>
      </c>
      <c r="B6434" s="0" t="s">
        <v>98</v>
      </c>
      <c r="C6434" s="6" t="n">
        <f aca="false">(SUM(Sens!G6432:K6432)+Sens!$C$6433)*(1+wacc)^(t_roll-(Sens!F6404+mid_yr))</f>
        <v>-119.215656619053</v>
      </c>
      <c r="L6434" s="11" t="s">
        <v>1088</v>
      </c>
    </row>
    <row r="6435" customFormat="false" ht="17.15" hidden="false" customHeight="false" outlineLevel="0" collapsed="false">
      <c r="A6435" s="1" t="s">
        <v>1089</v>
      </c>
      <c r="B6435" s="0" t="s">
        <v>98</v>
      </c>
      <c r="C6435" s="6" t="n">
        <f aca="false">(w_ntm28*Sens!G6281+(1-w_ntm28)*Sens!H6281)*m_ai</f>
        <v>338.776008390068</v>
      </c>
    </row>
    <row r="6436" customFormat="false" ht="17.15" hidden="false" customHeight="false" outlineLevel="0" collapsed="false">
      <c r="A6436" s="1" t="s">
        <v>1090</v>
      </c>
      <c r="B6436" s="0" t="s">
        <v>98</v>
      </c>
      <c r="C6436" s="6" t="n">
        <f aca="false">(w_ntm28*Sens!G6427+(1-w_ntm28)*Sens!H6427)*m_cloud</f>
        <v>1055.23841062802</v>
      </c>
    </row>
    <row r="6437" customFormat="false" ht="17.15" hidden="false" customHeight="false" outlineLevel="0" collapsed="false">
      <c r="A6437" s="1" t="s">
        <v>1091</v>
      </c>
      <c r="B6437" s="0" t="s">
        <v>98</v>
      </c>
      <c r="C6437" s="6" t="n">
        <f aca="false">(w_ntm28*Sens!G6420+(1-w_ntm28)*Sens!H6420)*m_sw</f>
        <v>1067.06185170076</v>
      </c>
    </row>
    <row r="6438" customFormat="false" ht="17.15" hidden="false" customHeight="false" outlineLevel="0" collapsed="false">
      <c r="A6438" s="1" t="s">
        <v>1092</v>
      </c>
      <c r="B6438" s="0" t="s">
        <v>98</v>
      </c>
      <c r="C6438" s="6" t="n">
        <f aca="false">(w_ntm28*Sens!G6421+(1-w_ntm28)*Sens!H6421)*m_sw</f>
        <v>380.419657283453</v>
      </c>
    </row>
    <row r="6439" customFormat="false" ht="17.15" hidden="false" customHeight="false" outlineLevel="0" collapsed="false">
      <c r="A6439" s="1" t="s">
        <v>1093</v>
      </c>
      <c r="B6439" s="0" t="s">
        <v>98</v>
      </c>
      <c r="C6439" s="6" t="n">
        <f aca="false">(w_ntm28*Sens!G6422+(1-w_ntm28)*Sens!H6422)*m_sw</f>
        <v>109.838409263592</v>
      </c>
    </row>
    <row r="6440" customFormat="false" ht="17.15" hidden="false" customHeight="false" outlineLevel="0" collapsed="false">
      <c r="A6440" s="1" t="s">
        <v>1094</v>
      </c>
      <c r="B6440" s="0" t="s">
        <v>98</v>
      </c>
      <c r="C6440" s="6" t="n">
        <f aca="false">(w_ntm28*Sens!G6423+(1-w_ntm28)*Sens!H6423)*m_sw</f>
        <v>41.9053376253961</v>
      </c>
    </row>
    <row r="6441" customFormat="false" ht="17.15" hidden="false" customHeight="false" outlineLevel="0" collapsed="false">
      <c r="A6441" s="1" t="s">
        <v>1095</v>
      </c>
      <c r="B6441" s="0" t="s">
        <v>98</v>
      </c>
      <c r="C6441" s="6" t="n">
        <f aca="false">(w_ntm28*Sens!G6424+(1-w_ntm28)*Sens!H6424)*m_ads</f>
        <v>115.784779038923</v>
      </c>
    </row>
    <row r="6442" customFormat="false" ht="17.15" hidden="false" customHeight="false" outlineLevel="0" collapsed="false">
      <c r="A6442" s="1" t="s">
        <v>1096</v>
      </c>
      <c r="B6442" s="0" t="s">
        <v>98</v>
      </c>
      <c r="C6442" s="6" t="n">
        <f aca="false">(w_ntm28*Sens!G6429+(1-w_ntm28)*Sens!H6429)*m_game</f>
        <v>98.3227820962496</v>
      </c>
    </row>
    <row r="6443" customFormat="false" ht="17.15" hidden="false" customHeight="false" outlineLevel="0" collapsed="false">
      <c r="A6443" s="1" t="s">
        <v>1097</v>
      </c>
      <c r="B6443" s="0" t="s">
        <v>98</v>
      </c>
      <c r="C6443" s="6" t="n">
        <f aca="false">(w_ntm28*Sens!G6430+(1-w_ntm28)*Sens!H6430)*m_pc</f>
        <v>97.479051251063</v>
      </c>
    </row>
    <row r="6444" customFormat="false" ht="17.15" hidden="false" customHeight="false" outlineLevel="0" collapsed="false">
      <c r="A6444" s="1" t="s">
        <v>1098</v>
      </c>
      <c r="B6444" s="0" t="s">
        <v>98</v>
      </c>
      <c r="C6444" s="6" t="n">
        <f aca="false">Sens!$C$6434+Sens!$C$6436+Sens!$C$6437+Sens!$C$6438+Sens!$C$6439+Sens!$C$6440+Sens!$C$6441+Sens!$C$6442+Sens!$C$6443</f>
        <v>2846.8346222684</v>
      </c>
    </row>
    <row r="6445" customFormat="false" ht="17.15" hidden="false" customHeight="false" outlineLevel="0" collapsed="false">
      <c r="A6445" s="1" t="s">
        <v>1099</v>
      </c>
      <c r="B6445" s="0" t="s">
        <v>98</v>
      </c>
      <c r="C6445" s="6" t="n">
        <f aca="false">(Sens!G6406-Sens!G6431)*t_stub</f>
        <v>47.1468786642348</v>
      </c>
      <c r="L6445" s="1" t="s">
        <v>1100</v>
      </c>
    </row>
    <row r="6446" customFormat="false" ht="17.15" hidden="false" customHeight="false" outlineLevel="0" collapsed="false">
      <c r="A6446" s="1" t="s">
        <v>1014</v>
      </c>
      <c r="B6446" s="0" t="s">
        <v>98</v>
      </c>
      <c r="C6446" s="6" t="n">
        <f aca="false">Sens!F6395+oai_v-Sens!F6384+Sens!$C$6445</f>
        <v>154.365650928086</v>
      </c>
      <c r="L6446" s="1" t="s">
        <v>1101</v>
      </c>
    </row>
    <row r="6447" customFormat="false" ht="17.15" hidden="false" customHeight="false" outlineLevel="0" collapsed="false">
      <c r="A6447" s="1" t="s">
        <v>1102</v>
      </c>
      <c r="B6447" s="0" t="s">
        <v>75</v>
      </c>
      <c r="C6447" s="5" t="n">
        <f aca="false">(Sens!$C$6444+Sens!$C$6446)/(Sens!F6397+dil_gap)-Sens!G6387*roll_div_q/q_per_yr</f>
        <v>399.33406899633</v>
      </c>
      <c r="L6447" s="1" t="s">
        <v>1103</v>
      </c>
    </row>
    <row r="6448" customFormat="false" ht="17.15" hidden="false" customHeight="false" outlineLevel="0" collapsed="false">
      <c r="A6448" s="1" t="s">
        <v>1104</v>
      </c>
      <c r="B6448" s="0" t="s">
        <v>75</v>
      </c>
      <c r="C6448" s="5" t="n">
        <f aca="false">w_dcf*Sens!$C$6418+(1-w_dcf)*Sens!$C$6447</f>
        <v>341.399449323789</v>
      </c>
    </row>
    <row r="6449" customFormat="false" ht="17.15" hidden="false" customHeight="false" outlineLevel="0" collapsed="false">
      <c r="A6449" s="3" t="s">
        <v>1427</v>
      </c>
    </row>
    <row r="6450" customFormat="false" ht="15" hidden="false" customHeight="false" outlineLevel="0" collapsed="false">
      <c r="A6450" s="4" t="s">
        <v>43</v>
      </c>
      <c r="B6450" s="4" t="s">
        <v>65</v>
      </c>
      <c r="C6450" s="20" t="s">
        <v>799</v>
      </c>
      <c r="D6450" s="20" t="s">
        <v>800</v>
      </c>
      <c r="E6450" s="20" t="s">
        <v>801</v>
      </c>
      <c r="F6450" s="20" t="s">
        <v>802</v>
      </c>
      <c r="G6450" s="20" t="s">
        <v>803</v>
      </c>
      <c r="H6450" s="20" t="s">
        <v>804</v>
      </c>
      <c r="I6450" s="20" t="s">
        <v>805</v>
      </c>
      <c r="J6450" s="20" t="s">
        <v>806</v>
      </c>
      <c r="K6450" s="20" t="s">
        <v>807</v>
      </c>
      <c r="L6450" s="4" t="s">
        <v>47</v>
      </c>
    </row>
    <row r="6451" customFormat="false" ht="17.15" hidden="false" customHeight="false" outlineLevel="0" collapsed="false">
      <c r="A6451" s="1" t="s">
        <v>808</v>
      </c>
      <c r="B6451" s="1" t="s">
        <v>235</v>
      </c>
      <c r="C6451" s="28" t="n">
        <v>2024</v>
      </c>
      <c r="D6451" s="28" t="n">
        <v>2025</v>
      </c>
      <c r="E6451" s="28" t="n">
        <v>2026</v>
      </c>
      <c r="F6451" s="28" t="n">
        <v>2027</v>
      </c>
      <c r="G6451" s="28" t="n">
        <v>2028</v>
      </c>
      <c r="H6451" s="28" t="n">
        <v>2029</v>
      </c>
      <c r="I6451" s="28" t="n">
        <v>2030</v>
      </c>
      <c r="J6451" s="28" t="n">
        <v>2031</v>
      </c>
      <c r="K6451" s="28" t="n">
        <v>2032</v>
      </c>
    </row>
    <row r="6452" customFormat="false" ht="17.15" hidden="false" customHeight="false" outlineLevel="0" collapsed="false">
      <c r="A6452" s="1" t="s">
        <v>809</v>
      </c>
      <c r="B6452" s="0" t="s">
        <v>399</v>
      </c>
      <c r="F6452" s="29" t="n">
        <f aca="false">pace</f>
        <v>2527.2</v>
      </c>
      <c r="G6452" s="29" t="n">
        <f aca="false">pace</f>
        <v>2527.2</v>
      </c>
      <c r="H6452" s="29" t="n">
        <f aca="false">pace</f>
        <v>2527.2</v>
      </c>
      <c r="I6452" s="29" t="n">
        <f aca="false">pace+(g_tv*Sens!H6453-pace)*MIN(1,(Sens!I6451-pace_y0)/(pace_y1-pace_y0))</f>
        <v>1793.116</v>
      </c>
      <c r="J6452" s="29" t="n">
        <f aca="false">pace+(g_tv*Sens!I6453-pace)*MIN(1,(Sens!J6451-pace_y0)/(pace_y1-pace_y0))</f>
        <v>1094.89432</v>
      </c>
      <c r="K6452" s="29" t="n">
        <f aca="false">pace+(g_tv*Sens!J6453-pace)*MIN(1,(Sens!K6451-pace_y0)/(pace_y1-pace_y0))</f>
        <v>411.5883096</v>
      </c>
      <c r="L6452" s="11" t="s">
        <v>810</v>
      </c>
    </row>
    <row r="6453" customFormat="false" ht="17.15" hidden="false" customHeight="false" outlineLevel="0" collapsed="false">
      <c r="A6453" s="1" t="s">
        <v>811</v>
      </c>
      <c r="B6453" s="0" t="s">
        <v>399</v>
      </c>
      <c r="C6453" s="29" t="n">
        <f aca="false">mw_ext_24</f>
        <v>640</v>
      </c>
      <c r="D6453" s="29" t="n">
        <f aca="false">mw_ext_25</f>
        <v>1630</v>
      </c>
      <c r="E6453" s="29" t="n">
        <f aca="false">mw_ext_26</f>
        <v>3250</v>
      </c>
      <c r="F6453" s="29" t="n">
        <f aca="false">Sens!E6453+Sens!F6452</f>
        <v>5777.2</v>
      </c>
      <c r="G6453" s="29" t="n">
        <f aca="false">Sens!F6453+Sens!G6452</f>
        <v>8304.4</v>
      </c>
      <c r="H6453" s="29" t="n">
        <f aca="false">Sens!G6453+Sens!H6452</f>
        <v>10831.6</v>
      </c>
      <c r="I6453" s="29" t="n">
        <f aca="false">Sens!H6453+Sens!I6452</f>
        <v>12624.716</v>
      </c>
      <c r="J6453" s="29" t="n">
        <f aca="false">Sens!I6453+Sens!J6452</f>
        <v>13719.61032</v>
      </c>
      <c r="K6453" s="29" t="n">
        <f aca="false">Sens!J6453+Sens!K6452</f>
        <v>14131.1986296</v>
      </c>
      <c r="L6453" s="1" t="s">
        <v>812</v>
      </c>
    </row>
    <row r="6454" customFormat="false" ht="17.15" hidden="false" customHeight="false" outlineLevel="0" collapsed="false">
      <c r="A6454" s="1" t="s">
        <v>813</v>
      </c>
      <c r="B6454" s="0" t="s">
        <v>399</v>
      </c>
      <c r="C6454" s="29" t="n">
        <f aca="false">rent_ext_24</f>
        <v>150</v>
      </c>
      <c r="D6454" s="29" t="n">
        <f aca="false">rent_ext_25</f>
        <v>400</v>
      </c>
      <c r="E6454" s="29" t="n">
        <f aca="false">rent_ext_26</f>
        <v>550</v>
      </c>
      <c r="F6454" s="29" t="n">
        <f aca="false">rent_ext_f</f>
        <v>756</v>
      </c>
      <c r="G6454" s="29" t="n">
        <f aca="false">rent_ext_f</f>
        <v>756</v>
      </c>
      <c r="H6454" s="29" t="n">
        <f aca="false">rent_ext_f</f>
        <v>756</v>
      </c>
      <c r="I6454" s="29" t="n">
        <f aca="false">rent_ext_f</f>
        <v>756</v>
      </c>
      <c r="J6454" s="29" t="n">
        <f aca="false">rent_ext_f</f>
        <v>756</v>
      </c>
      <c r="K6454" s="29" t="n">
        <f aca="false">rent_ext_f</f>
        <v>756</v>
      </c>
      <c r="L6454" s="1" t="s">
        <v>814</v>
      </c>
    </row>
    <row r="6455" customFormat="false" ht="17.15" hidden="false" customHeight="false" outlineLevel="0" collapsed="false">
      <c r="A6455" s="1" t="s">
        <v>815</v>
      </c>
      <c r="B6455" s="0" t="s">
        <v>399</v>
      </c>
      <c r="C6455" s="29" t="n">
        <f aca="false">Sens!C6453-Sens!C6454</f>
        <v>490</v>
      </c>
      <c r="D6455" s="29" t="n">
        <f aca="false">Sens!D6453-Sens!D6454</f>
        <v>1230</v>
      </c>
      <c r="E6455" s="29" t="n">
        <f aca="false">Sens!E6453-Sens!E6454</f>
        <v>2700</v>
      </c>
      <c r="F6455" s="29" t="n">
        <f aca="false">Sens!F6453-Sens!F6454</f>
        <v>5021.2</v>
      </c>
      <c r="G6455" s="29" t="n">
        <f aca="false">Sens!G6453-Sens!G6454</f>
        <v>7548.4</v>
      </c>
      <c r="H6455" s="29" t="n">
        <f aca="false">Sens!H6453-Sens!H6454</f>
        <v>10075.6</v>
      </c>
      <c r="I6455" s="29" t="n">
        <f aca="false">Sens!I6453-Sens!I6454</f>
        <v>11868.716</v>
      </c>
      <c r="J6455" s="29" t="n">
        <f aca="false">Sens!J6453-Sens!J6454</f>
        <v>12963.61032</v>
      </c>
      <c r="K6455" s="29" t="n">
        <f aca="false">Sens!K6453-Sens!K6454</f>
        <v>13375.1986296</v>
      </c>
    </row>
    <row r="6456" customFormat="false" ht="17.15" hidden="false" customHeight="false" outlineLevel="0" collapsed="false">
      <c r="A6456" s="1" t="s">
        <v>816</v>
      </c>
      <c r="B6456" s="0" t="s">
        <v>399</v>
      </c>
      <c r="C6456" s="29" t="n">
        <f aca="false">Sens!C6455/ext_sh</f>
        <v>816.666666666667</v>
      </c>
      <c r="D6456" s="29" t="n">
        <f aca="false">Sens!D6455/ext_sh</f>
        <v>2050</v>
      </c>
      <c r="E6456" s="29" t="n">
        <f aca="false">Sens!E6455/ext_sh</f>
        <v>4500</v>
      </c>
      <c r="F6456" s="29" t="n">
        <f aca="false">Sens!F6455/ext_sh</f>
        <v>8368.66666666667</v>
      </c>
      <c r="G6456" s="29" t="n">
        <f aca="false">Sens!G6455/ext_sh</f>
        <v>12580.6666666667</v>
      </c>
      <c r="H6456" s="29" t="n">
        <f aca="false">Sens!H6455/ext_sh</f>
        <v>16792.6666666667</v>
      </c>
      <c r="I6456" s="29" t="n">
        <f aca="false">Sens!I6455/ext_sh</f>
        <v>19781.1933333333</v>
      </c>
      <c r="J6456" s="29" t="n">
        <f aca="false">Sens!J6455/ext_sh</f>
        <v>21606.0172</v>
      </c>
      <c r="K6456" s="29" t="n">
        <f aca="false">Sens!K6455/ext_sh</f>
        <v>22291.997716</v>
      </c>
      <c r="L6456" s="1" t="s">
        <v>817</v>
      </c>
    </row>
    <row r="6457" customFormat="false" ht="17.15" hidden="false" customHeight="false" outlineLevel="0" collapsed="false">
      <c r="A6457" s="1" t="s">
        <v>818</v>
      </c>
      <c r="B6457" s="0" t="s">
        <v>399</v>
      </c>
      <c r="C6457" s="29" t="n">
        <f aca="false">Sens!C6456-Sens!C6455</f>
        <v>326.666666666667</v>
      </c>
      <c r="D6457" s="29" t="n">
        <f aca="false">Sens!D6456-Sens!D6455</f>
        <v>820</v>
      </c>
      <c r="E6457" s="29" t="n">
        <f aca="false">Sens!E6456-Sens!E6455</f>
        <v>1800</v>
      </c>
      <c r="F6457" s="29" t="n">
        <f aca="false">Sens!F6456-Sens!F6455</f>
        <v>3347.46666666667</v>
      </c>
      <c r="G6457" s="29" t="n">
        <f aca="false">Sens!G6456-Sens!G6455</f>
        <v>5032.26666666667</v>
      </c>
      <c r="H6457" s="29" t="n">
        <f aca="false">Sens!H6456-Sens!H6455</f>
        <v>6717.06666666667</v>
      </c>
      <c r="I6457" s="29" t="n">
        <f aca="false">Sens!I6456-Sens!I6455</f>
        <v>7912.47733333333</v>
      </c>
      <c r="J6457" s="29" t="n">
        <f aca="false">Sens!J6456-Sens!J6455</f>
        <v>8642.40688</v>
      </c>
      <c r="K6457" s="29" t="n">
        <f aca="false">Sens!K6456-Sens!K6455</f>
        <v>8916.7990864</v>
      </c>
    </row>
    <row r="6458" customFormat="false" ht="17.15" hidden="false" customHeight="false" outlineLevel="0" collapsed="false">
      <c r="A6458" s="1" t="s">
        <v>819</v>
      </c>
      <c r="B6458" s="0" t="s">
        <v>399</v>
      </c>
      <c r="C6458" s="29" t="n">
        <f aca="false">Sens!C6456</f>
        <v>816.666666666667</v>
      </c>
      <c r="D6458" s="29" t="n">
        <f aca="false">Sens!D6456-Sens!C6456</f>
        <v>1233.33333333333</v>
      </c>
      <c r="E6458" s="29" t="n">
        <f aca="false">Sens!E6456-Sens!D6456</f>
        <v>2450</v>
      </c>
      <c r="F6458" s="29" t="n">
        <f aca="false">Sens!F6456-Sens!E6456</f>
        <v>3868.66666666667</v>
      </c>
      <c r="G6458" s="29" t="n">
        <f aca="false">Sens!G6456-Sens!F6456</f>
        <v>4212</v>
      </c>
      <c r="H6458" s="29" t="n">
        <f aca="false">Sens!H6456-Sens!G6456</f>
        <v>4212</v>
      </c>
      <c r="I6458" s="29" t="n">
        <f aca="false">Sens!I6456-Sens!H6456</f>
        <v>2988.52666666667</v>
      </c>
      <c r="J6458" s="29" t="n">
        <f aca="false">Sens!J6456-Sens!I6456</f>
        <v>1824.82386666667</v>
      </c>
      <c r="K6458" s="29" t="n">
        <f aca="false">Sens!K6456-Sens!J6456</f>
        <v>685.980516</v>
      </c>
    </row>
    <row r="6459" customFormat="false" ht="17.15" hidden="false" customHeight="false" outlineLevel="0" collapsed="false">
      <c r="A6459" s="1" t="s">
        <v>820</v>
      </c>
      <c r="B6459" s="0" t="s">
        <v>399</v>
      </c>
      <c r="D6459" s="29" t="n">
        <f aca="false">Sens!D6453-Sens!C6453</f>
        <v>990</v>
      </c>
      <c r="E6459" s="29" t="n">
        <f aca="false">Sens!E6453-Sens!D6453</f>
        <v>1620</v>
      </c>
      <c r="F6459" s="29" t="n">
        <f aca="false">Sens!F6453-Sens!E6453</f>
        <v>2527.2</v>
      </c>
      <c r="G6459" s="29" t="n">
        <f aca="false">Sens!G6453-Sens!F6453</f>
        <v>2527.2</v>
      </c>
      <c r="H6459" s="29" t="n">
        <f aca="false">Sens!H6453-Sens!G6453</f>
        <v>2527.2</v>
      </c>
      <c r="I6459" s="29" t="n">
        <f aca="false">Sens!I6453-Sens!H6453</f>
        <v>1793.116</v>
      </c>
      <c r="J6459" s="29" t="n">
        <f aca="false">Sens!J6453-Sens!I6453</f>
        <v>1094.89432</v>
      </c>
      <c r="K6459" s="29" t="n">
        <f aca="false">Sens!K6453-Sens!J6453</f>
        <v>411.5883096</v>
      </c>
    </row>
    <row r="6460" customFormat="false" ht="17.15" hidden="false" customHeight="false" outlineLevel="0" collapsed="false">
      <c r="A6460" s="1" t="s">
        <v>821</v>
      </c>
      <c r="B6460" s="0" t="s">
        <v>399</v>
      </c>
      <c r="F6460" s="29" t="n">
        <f aca="false">Sens!F6477*ext_sh</f>
        <v>0</v>
      </c>
      <c r="G6460" s="29" t="n">
        <f aca="false">Sens!G6477*ext_sh</f>
        <v>0</v>
      </c>
      <c r="H6460" s="29" t="n">
        <f aca="false">Sens!H6477*ext_sh</f>
        <v>0</v>
      </c>
      <c r="I6460" s="29" t="n">
        <f aca="false">Sens!I6477*ext_sh</f>
        <v>490</v>
      </c>
      <c r="J6460" s="29" t="n">
        <f aca="false">Sens!J6477*ext_sh</f>
        <v>740</v>
      </c>
      <c r="K6460" s="29" t="n">
        <f aca="false">Sens!K6477*ext_sh</f>
        <v>1470</v>
      </c>
      <c r="L6460" s="1" t="s">
        <v>822</v>
      </c>
    </row>
    <row r="6461" customFormat="false" ht="17.15" hidden="false" customHeight="false" outlineLevel="0" collapsed="false">
      <c r="A6461" s="1" t="s">
        <v>823</v>
      </c>
      <c r="B6461" s="0" t="s">
        <v>399</v>
      </c>
      <c r="C6461" s="29" t="n">
        <f aca="false">mix_h*Sens!C6453</f>
        <v>128</v>
      </c>
      <c r="D6461" s="29" t="n">
        <f aca="false">mix_h*Sens!D6453</f>
        <v>326</v>
      </c>
      <c r="E6461" s="29" t="n">
        <f aca="false">mix_h*Sens!E6453</f>
        <v>650</v>
      </c>
      <c r="F6461" s="29" t="n">
        <f aca="false">Sens!E6461-Sens!F6460*mix_h</f>
        <v>650</v>
      </c>
      <c r="G6461" s="29" t="n">
        <f aca="false">Sens!F6461-Sens!G6460*mix_h</f>
        <v>650</v>
      </c>
      <c r="H6461" s="29" t="n">
        <f aca="false">Sens!G6461-Sens!H6460*mix_h</f>
        <v>650</v>
      </c>
      <c r="I6461" s="29" t="n">
        <f aca="false">Sens!H6461-Sens!I6460*mix_h</f>
        <v>552</v>
      </c>
      <c r="J6461" s="29" t="n">
        <f aca="false">Sens!I6461-Sens!J6460*mix_h</f>
        <v>404</v>
      </c>
      <c r="K6461" s="29" t="n">
        <f aca="false">Sens!J6461-Sens!K6460*mix_h</f>
        <v>110</v>
      </c>
    </row>
    <row r="6462" customFormat="false" ht="17.15" hidden="false" customHeight="false" outlineLevel="0" collapsed="false">
      <c r="A6462" s="1" t="s">
        <v>824</v>
      </c>
      <c r="B6462" s="0" t="s">
        <v>399</v>
      </c>
      <c r="C6462" s="29" t="n">
        <f aca="false">mix_g2*Sens!C6453</f>
        <v>288</v>
      </c>
      <c r="D6462" s="29" t="n">
        <f aca="false">mix_g2*Sens!D6453</f>
        <v>733.5</v>
      </c>
      <c r="E6462" s="29" t="n">
        <f aca="false">mix_g2*Sens!E6453</f>
        <v>1462.5</v>
      </c>
      <c r="F6462" s="29" t="n">
        <f aca="false">Sens!E6462-Sens!F6460*mix_g2</f>
        <v>1462.5</v>
      </c>
      <c r="G6462" s="29" t="n">
        <f aca="false">Sens!F6462-Sens!G6460*mix_g2</f>
        <v>1462.5</v>
      </c>
      <c r="H6462" s="29" t="n">
        <f aca="false">Sens!G6462-Sens!H6460*mix_g2</f>
        <v>1462.5</v>
      </c>
      <c r="I6462" s="29" t="n">
        <f aca="false">Sens!H6462-Sens!I6460*mix_g2</f>
        <v>1242</v>
      </c>
      <c r="J6462" s="29" t="n">
        <f aca="false">Sens!I6462-Sens!J6460*mix_g2</f>
        <v>909</v>
      </c>
      <c r="K6462" s="29" t="n">
        <f aca="false">Sens!J6462-Sens!K6460*mix_g2</f>
        <v>247.5</v>
      </c>
    </row>
    <row r="6463" customFormat="false" ht="17.15" hidden="false" customHeight="false" outlineLevel="0" collapsed="false">
      <c r="A6463" s="1" t="s">
        <v>825</v>
      </c>
      <c r="B6463" s="0" t="s">
        <v>399</v>
      </c>
      <c r="C6463" s="29" t="n">
        <f aca="false">mix_g3*Sens!C6453</f>
        <v>224</v>
      </c>
      <c r="D6463" s="29" t="n">
        <f aca="false">mix_g3*Sens!D6453</f>
        <v>570.5</v>
      </c>
      <c r="E6463" s="29" t="n">
        <f aca="false">mix_g3*Sens!E6453</f>
        <v>1137.5</v>
      </c>
      <c r="F6463" s="29" t="n">
        <f aca="false">Sens!E6463+(Sens!F6459+Sens!F6460)*a_g3_27-Sens!F6460*mix_g3</f>
        <v>2906.54</v>
      </c>
      <c r="G6463" s="29" t="n">
        <f aca="false">Sens!F6463+(Sens!G6459+Sens!G6460)*a_g3_28-Sens!G6460*mix_g3</f>
        <v>3664.7</v>
      </c>
      <c r="H6463" s="29" t="n">
        <f aca="false">Sens!G6463+(Sens!H6459+Sens!H6460)*a_g3_29-Sens!H6460*mix_g3</f>
        <v>3917.42</v>
      </c>
      <c r="I6463" s="29" t="n">
        <f aca="false">Sens!H6463+(Sens!I6459+Sens!I6460)*a_g3_29-Sens!I6460*mix_g3</f>
        <v>3974.2316</v>
      </c>
      <c r="J6463" s="29" t="n">
        <f aca="false">Sens!I6463+(Sens!J6459+Sens!J6460)*a_g3_29-Sens!J6460*mix_g3</f>
        <v>3898.721032</v>
      </c>
      <c r="K6463" s="29" t="n">
        <f aca="false">Sens!J6463+(Sens!K6459+Sens!K6460)*a_g3_29-Sens!K6460*mix_g3</f>
        <v>3572.37986296</v>
      </c>
    </row>
    <row r="6464" customFormat="false" ht="17.15" hidden="false" customHeight="false" outlineLevel="0" collapsed="false">
      <c r="A6464" s="1" t="s">
        <v>826</v>
      </c>
      <c r="B6464" s="0" t="s">
        <v>399</v>
      </c>
      <c r="C6464" s="29" t="n">
        <v>0</v>
      </c>
      <c r="D6464" s="29" t="n">
        <v>0</v>
      </c>
      <c r="E6464" s="29" t="n">
        <v>0</v>
      </c>
      <c r="F6464" s="29" t="n">
        <f aca="false">Sens!E6464+(Sens!F6459+Sens!F6460)*(1-a_g3_27)</f>
        <v>758.16</v>
      </c>
      <c r="G6464" s="29" t="n">
        <f aca="false">Sens!F6464+(Sens!G6459+Sens!G6460)*(1-a_g3_28)</f>
        <v>2527.2</v>
      </c>
      <c r="H6464" s="29" t="n">
        <f aca="false">Sens!G6464+(Sens!H6459+Sens!H6460)*(1-a_g3_29)</f>
        <v>4801.68</v>
      </c>
      <c r="I6464" s="29" t="n">
        <f aca="false">Sens!H6464+(Sens!I6459+Sens!I6460)*(1-a_g3_29)</f>
        <v>6856.4844</v>
      </c>
      <c r="J6464" s="29" t="n">
        <f aca="false">Sens!I6464+(Sens!J6459+Sens!J6460)*(1-a_g3_29)</f>
        <v>8507.889288</v>
      </c>
      <c r="K6464" s="29" t="n">
        <f aca="false">Sens!J6464+(Sens!K6459+Sens!K6460)*(1-a_g3_29)</f>
        <v>10201.31876664</v>
      </c>
    </row>
    <row r="6465" customFormat="false" ht="17.15" hidden="false" customHeight="false" outlineLevel="0" collapsed="false">
      <c r="A6465" s="1" t="s">
        <v>827</v>
      </c>
      <c r="B6465" s="0" t="s">
        <v>346</v>
      </c>
      <c r="C6465" s="14" t="n">
        <f aca="false">(Sens!C6461*tk_hold_h100+Sens!C6462*tk_hold_gb200+Sens!C6463*tk_hold_gb300+Sens!C6464*tk_hold_vr200)/Sens!C6453</f>
        <v>9.7235358126469</v>
      </c>
      <c r="D6465" s="14" t="n">
        <f aca="false">(Sens!D6461*tk_hold_h100+Sens!D6462*tk_hold_gb200+Sens!D6463*tk_hold_gb300+Sens!D6464*tk_hold_vr200)/Sens!D6453</f>
        <v>9.7235358126469</v>
      </c>
      <c r="E6465" s="14" t="n">
        <f aca="false">(Sens!E6461*tk_hold_h100+Sens!E6462*tk_hold_gb200+Sens!E6463*tk_hold_gb300+Sens!E6464*tk_hold_vr200)/Sens!E6453</f>
        <v>9.7235358126469</v>
      </c>
      <c r="F6465" s="14" t="n">
        <f aca="false">(Sens!F6461*tk_hold_h100+Sens!F6462*tk_hold_gb200+Sens!F6463*tk_hold_gb300+Sens!F6464*tk_hold_vr200)/Sens!F6453</f>
        <v>10.4079573161931</v>
      </c>
      <c r="G6465" s="14" t="n">
        <f aca="false">(Sens!G6461*tk_hold_h100+Sens!G6462*tk_hold_gb200+Sens!G6463*tk_hold_gb300+Sens!G6464*tk_hold_vr200)/Sens!G6453</f>
        <v>10.8388131109316</v>
      </c>
      <c r="H6465" s="14" t="n">
        <f aca="false">(Sens!H6461*tk_hold_h100+Sens!H6462*tk_hold_gb200+Sens!H6463*tk_hold_gb300+Sens!H6464*tk_hold_vr200)/Sens!H6453</f>
        <v>11.1311018388216</v>
      </c>
      <c r="I6465" s="14" t="n">
        <f aca="false">(Sens!I6461*tk_hold_h100+Sens!I6462*tk_hold_gb200+Sens!I6463*tk_hold_gb300+Sens!I6464*tk_hold_vr200)/Sens!I6453</f>
        <v>11.3594282560989</v>
      </c>
      <c r="J6465" s="14" t="n">
        <f aca="false">(Sens!J6461*tk_hold_h100+Sens!J6462*tk_hold_gb200+Sens!J6463*tk_hold_gb300+Sens!J6464*tk_hold_vr200)/Sens!J6453</f>
        <v>11.5455817917599</v>
      </c>
      <c r="K6465" s="14" t="n">
        <f aca="false">(Sens!K6461*tk_hold_h100+Sens!K6462*tk_hold_gb200+Sens!K6463*tk_hold_gb300+Sens!K6464*tk_hold_vr200)/Sens!K6453</f>
        <v>11.8078187977246</v>
      </c>
    </row>
    <row r="6466" customFormat="false" ht="17.15" hidden="false" customHeight="false" outlineLevel="0" collapsed="false">
      <c r="A6466" s="0" t="s">
        <v>828</v>
      </c>
      <c r="B6466" s="0" t="s">
        <v>185</v>
      </c>
      <c r="C6466" s="14" t="n">
        <f aca="false">k_B</f>
        <v>1.17213932619116</v>
      </c>
      <c r="D6466" s="14" t="n">
        <f aca="false">k_B</f>
        <v>1.17213932619116</v>
      </c>
      <c r="E6466" s="14" t="n">
        <f aca="false">k_B</f>
        <v>1.17213932619116</v>
      </c>
      <c r="F6466" s="14" t="n">
        <f aca="false">(k_B+((ls_A*k_long+(1-ls_A)*k_spot)-k_B)*MIN(1,(Sens!F6451-base_fy)/k_ramp))</f>
        <v>1.25022828131298</v>
      </c>
      <c r="G6466" s="14" t="n">
        <f aca="false">(k_B+((ls_A*k_long+(1-ls_A)*k_spot)-k_B)*MIN(1,(Sens!G6451-base_fy)/k_ramp))</f>
        <v>1.3283172364348</v>
      </c>
      <c r="H6466" s="14" t="n">
        <f aca="false">(k_B+((ls_A*k_long+(1-ls_A)*k_spot)-k_B)*MIN(1,(Sens!H6451-base_fy)/k_ramp))</f>
        <v>1.40640619155662</v>
      </c>
      <c r="I6466" s="14" t="n">
        <f aca="false">(k_B+((ls_A*k_long+(1-ls_A)*k_spot)-k_B)*MIN(1,(Sens!I6451-base_fy)/k_ramp))</f>
        <v>1.40640619155662</v>
      </c>
      <c r="J6466" s="14" t="n">
        <f aca="false">(k_B+((ls_A*k_long+(1-ls_A)*k_spot)-k_B)*MIN(1,(Sens!J6451-base_fy)/k_ramp))</f>
        <v>1.40640619155662</v>
      </c>
      <c r="K6466" s="14" t="n">
        <f aca="false">(k_B+((ls_A*k_long+(1-ls_A)*k_spot)-k_B)*MIN(1,(Sens!K6451-base_fy)/k_ramp))</f>
        <v>1.40640619155662</v>
      </c>
      <c r="L6466" s="1" t="s">
        <v>829</v>
      </c>
    </row>
    <row r="6467" customFormat="false" ht="17.15" hidden="false" customHeight="false" outlineLevel="0" collapsed="false">
      <c r="A6467" s="1" t="s">
        <v>830</v>
      </c>
      <c r="B6467" s="0" t="s">
        <v>346</v>
      </c>
      <c r="C6467" s="14" t="n">
        <f aca="false">Sens!C6465*Sens!C6466*chip_f</f>
        <v>11.3973387156315</v>
      </c>
      <c r="D6467" s="14" t="n">
        <f aca="false">Sens!D6465*Sens!D6466*chip_f</f>
        <v>11.3973387156315</v>
      </c>
      <c r="E6467" s="14" t="n">
        <f aca="false">Sens!E6465*Sens!E6466*chip_f</f>
        <v>11.3973387156315</v>
      </c>
      <c r="F6467" s="14" t="n">
        <f aca="false">Sens!F6465*Sens!F6466*chip_f</f>
        <v>13.0123225874029</v>
      </c>
      <c r="G6467" s="14" t="n">
        <f aca="false">Sens!G6465*Sens!G6466*chip_f</f>
        <v>14.3973822777458</v>
      </c>
      <c r="H6467" s="14" t="n">
        <f aca="false">Sens!H6465*Sens!H6466*chip_f</f>
        <v>15.6548505449659</v>
      </c>
      <c r="I6467" s="14" t="n">
        <f aca="false">Sens!I6465*Sens!I6466*chip_f</f>
        <v>15.9759702319207</v>
      </c>
      <c r="J6467" s="14" t="n">
        <f aca="false">Sens!J6465*Sens!J6466*chip_f</f>
        <v>16.2377777170545</v>
      </c>
      <c r="K6467" s="14" t="n">
        <f aca="false">Sens!K6465*Sens!K6466*chip_f</f>
        <v>16.6065894658985</v>
      </c>
      <c r="L6467" s="1" t="s">
        <v>831</v>
      </c>
    </row>
    <row r="6468" customFormat="false" ht="17.15" hidden="false" customHeight="false" outlineLevel="0" collapsed="false">
      <c r="A6468" s="0" t="s">
        <v>832</v>
      </c>
      <c r="B6468" s="0" t="s">
        <v>98</v>
      </c>
      <c r="D6468" s="6" t="n">
        <f aca="false">(Sens!C6453+Sens!D6453)/2*Sens!D6467/1000</f>
        <v>12.9359794422418</v>
      </c>
      <c r="E6468" s="6" t="n">
        <f aca="false">(Sens!D6453+Sens!E6453)/2*Sens!E6467/1000</f>
        <v>27.8095064661409</v>
      </c>
      <c r="F6468" s="6" t="n">
        <f aca="false">(Sens!E6453+Sens!F6453)/2*Sens!F6467/1000</f>
        <v>58.7324192305018</v>
      </c>
      <c r="G6468" s="6" t="n">
        <f aca="false">(Sens!F6453+Sens!G6453)/2*Sens!G6467/1000</f>
        <v>101.369089141153</v>
      </c>
      <c r="H6468" s="6" t="n">
        <f aca="false">(Sens!G6453+Sens!H6453)/2*Sens!H6467/1000</f>
        <v>149.785610014234</v>
      </c>
      <c r="I6468" s="6" t="n">
        <f aca="false">(Sens!H6453+Sens!I6453)/2*Sens!I6467/1000</f>
        <v>187.368703083263</v>
      </c>
      <c r="J6468" s="6" t="n">
        <f aca="false">(Sens!I6453+Sens!J6453)/2*Sens!J6467/1000</f>
        <v>213.886657444854</v>
      </c>
      <c r="K6468" s="6" t="n">
        <f aca="false">(Sens!J6453+Sens!K6453)/2*Sens!K6467/1000</f>
        <v>231.253475259589</v>
      </c>
      <c r="L6468" s="11" t="s">
        <v>833</v>
      </c>
    </row>
    <row r="6469" customFormat="false" ht="17.15" hidden="false" customHeight="false" outlineLevel="0" collapsed="false">
      <c r="A6469" s="1" t="s">
        <v>834</v>
      </c>
      <c r="B6469" s="0" t="s">
        <v>346</v>
      </c>
      <c r="C6469" s="14" t="n">
        <f aca="false">(Sens!C6461*tk_opex_h100+Sens!C6462*tk_opex_gb200+Sens!C6463*tk_opex_gb300+Sens!C6464*tk_opex_vr200)/Sens!C6453</f>
        <v>1.88636041306092</v>
      </c>
      <c r="D6469" s="14" t="n">
        <f aca="false">(Sens!D6461*tk_opex_h100+Sens!D6462*tk_opex_gb200+Sens!D6463*tk_opex_gb300+Sens!D6464*tk_opex_vr200)/Sens!D6453</f>
        <v>1.88636041306092</v>
      </c>
      <c r="E6469" s="14" t="n">
        <f aca="false">(Sens!E6461*tk_opex_h100+Sens!E6462*tk_opex_gb200+Sens!E6463*tk_opex_gb300+Sens!E6464*tk_opex_vr200)/Sens!E6453</f>
        <v>1.88636041306092</v>
      </c>
      <c r="F6469" s="14" t="n">
        <f aca="false">(Sens!F6461*tk_opex_h100+Sens!F6462*tk_opex_gb200+Sens!F6463*tk_opex_gb300+Sens!F6464*tk_opex_vr200)/Sens!F6453</f>
        <v>1.9430236476499</v>
      </c>
      <c r="G6469" s="14" t="n">
        <f aca="false">(Sens!G6461*tk_opex_h100+Sens!G6462*tk_opex_gb200+Sens!G6463*tk_opex_gb300+Sens!G6464*tk_opex_vr200)/Sens!G6453</f>
        <v>1.9786941852423</v>
      </c>
      <c r="H6469" s="14" t="n">
        <f aca="false">(Sens!H6461*tk_opex_h100+Sens!H6462*tk_opex_gb200+Sens!H6463*tk_opex_gb300+Sens!H6464*tk_opex_vr200)/Sens!H6453</f>
        <v>2.00289275976156</v>
      </c>
      <c r="I6469" s="14" t="n">
        <f aca="false">(Sens!I6461*tk_opex_h100+Sens!I6462*tk_opex_gb200+Sens!I6463*tk_opex_gb300+Sens!I6464*tk_opex_vr200)/Sens!I6453</f>
        <v>2.02179589661219</v>
      </c>
      <c r="J6469" s="14" t="n">
        <f aca="false">(Sens!J6461*tk_opex_h100+Sens!J6462*tk_opex_gb200+Sens!J6463*tk_opex_gb300+Sens!J6464*tk_opex_vr200)/Sens!J6453</f>
        <v>2.03720754193029</v>
      </c>
      <c r="K6469" s="14" t="n">
        <f aca="false">(Sens!K6461*tk_opex_h100+Sens!K6462*tk_opex_gb200+Sens!K6463*tk_opex_gb300+Sens!K6464*tk_opex_vr200)/Sens!K6453</f>
        <v>2.0589181353437</v>
      </c>
    </row>
    <row r="6470" customFormat="false" ht="17.15" hidden="false" customHeight="false" outlineLevel="0" collapsed="false">
      <c r="A6470" s="0" t="s">
        <v>835</v>
      </c>
      <c r="B6470" s="0" t="s">
        <v>98</v>
      </c>
      <c r="D6470" s="6" t="n">
        <f aca="false">(Sens!C6456+Sens!D6456)/2*Sens!D6469/1000</f>
        <v>2.70378325872065</v>
      </c>
      <c r="E6470" s="6" t="n">
        <f aca="false">(Sens!D6456+Sens!E6456)/2*Sens!E6469/1000</f>
        <v>6.17783035277451</v>
      </c>
      <c r="F6470" s="6" t="n">
        <f aca="false">(Sens!E6456+Sens!F6456)/2*Sens!F6469/1000</f>
        <v>12.5020618235287</v>
      </c>
      <c r="G6470" s="6" t="n">
        <f aca="false">(Sens!F6456+Sens!G6456)/2*Sens!G6469/1000</f>
        <v>20.7261620256847</v>
      </c>
      <c r="H6470" s="6" t="n">
        <f aca="false">(Sens!G6456+Sens!H6456)/2*Sens!H6469/1000</f>
        <v>29.4158183316982</v>
      </c>
      <c r="I6470" s="6" t="n">
        <f aca="false">(Sens!H6456+Sens!I6456)/2*Sens!I6469/1000</f>
        <v>36.9724400356344</v>
      </c>
      <c r="J6470" s="6" t="n">
        <f aca="false">(Sens!I6456+Sens!J6456)/2*Sens!J6469/1000</f>
        <v>42.1571687189816</v>
      </c>
      <c r="K6470" s="6" t="n">
        <f aca="false">(Sens!J6456+Sens!K6456)/2*Sens!K6469/1000</f>
        <v>45.1912095080704</v>
      </c>
    </row>
    <row r="6471" customFormat="false" ht="17.15" hidden="false" customHeight="false" outlineLevel="0" collapsed="false">
      <c r="A6471" s="0" t="s">
        <v>836</v>
      </c>
      <c r="B6471" s="0" t="s">
        <v>98</v>
      </c>
      <c r="D6471" s="6" t="n">
        <f aca="false">(Sens!C6454+Sens!D6454)/2*rent_mw/1000</f>
        <v>2.44475</v>
      </c>
      <c r="E6471" s="6" t="n">
        <f aca="false">(Sens!D6454+Sens!E6454)/2*rent_mw/1000</f>
        <v>4.22275</v>
      </c>
      <c r="F6471" s="6" t="n">
        <f aca="false">(Sens!E6454+Sens!F6454)/2*rent_mw/1000</f>
        <v>5.80517</v>
      </c>
      <c r="G6471" s="6" t="n">
        <f aca="false">(Sens!F6454+Sens!G6454)/2*rent_mw/1000</f>
        <v>6.72084</v>
      </c>
      <c r="H6471" s="6" t="n">
        <f aca="false">(Sens!G6454+Sens!H6454)/2*rent_mw/1000</f>
        <v>6.72084</v>
      </c>
      <c r="I6471" s="6" t="n">
        <f aca="false">(Sens!H6454+Sens!I6454)/2*rent_mw/1000</f>
        <v>6.72084</v>
      </c>
      <c r="J6471" s="6" t="n">
        <f aca="false">(Sens!I6454+Sens!J6454)/2*rent_mw/1000</f>
        <v>6.72084</v>
      </c>
      <c r="K6471" s="6" t="n">
        <f aca="false">(Sens!J6454+Sens!K6454)/2*rent_mw/1000</f>
        <v>6.72084</v>
      </c>
    </row>
    <row r="6472" customFormat="false" ht="17.15" hidden="false" customHeight="false" outlineLevel="0" collapsed="false">
      <c r="A6472" s="0" t="s">
        <v>837</v>
      </c>
      <c r="B6472" s="0" t="s">
        <v>98</v>
      </c>
      <c r="D6472" s="6" t="n">
        <f aca="false">(Sens!C6456+Sens!D6456)/2*(1-self_build)*fac_rent/1000</f>
        <v>0.853242375631075</v>
      </c>
      <c r="E6472" s="6" t="n">
        <f aca="false">(Sens!D6456+Sens!E6456)/2*(1-self_build)*fac_rent/1000</f>
        <v>1.94955961408728</v>
      </c>
      <c r="F6472" s="6" t="n">
        <f aca="false">(Sens!E6456+Sens!F6456)/2*(1-self_build)*fac_rent/1000</f>
        <v>3.83026455274573</v>
      </c>
      <c r="G6472" s="6" t="n">
        <f aca="false">(Sens!F6456+Sens!G6456)/2*(1-self_build)*fac_rent/1000</f>
        <v>6.23541590972812</v>
      </c>
      <c r="H6472" s="6" t="n">
        <f aca="false">(Sens!G6456+Sens!H6456)/2*(1-self_build)*fac_rent/1000</f>
        <v>8.74275792332679</v>
      </c>
      <c r="I6472" s="6" t="n">
        <f aca="false">(Sens!H6456+Sens!I6456)/2*(1-self_build)*fac_rent/1000</f>
        <v>10.8859420438599</v>
      </c>
      <c r="J6472" s="6" t="n">
        <f aca="false">(Sens!I6456+Sens!J6456)/2*(1-self_build)*fac_rent/1000</f>
        <v>12.3186006405366</v>
      </c>
      <c r="K6472" s="6" t="n">
        <f aca="false">(Sens!J6456+Sens!K6456)/2*(1-self_build)*fac_rent/1000</f>
        <v>13.0659232089824</v>
      </c>
      <c r="L6472" s="11" t="s">
        <v>838</v>
      </c>
    </row>
    <row r="6473" customFormat="false" ht="17.15" hidden="false" customHeight="false" outlineLevel="0" collapsed="false">
      <c r="A6473" s="1" t="s">
        <v>839</v>
      </c>
      <c r="B6473" s="0" t="s">
        <v>129</v>
      </c>
      <c r="D6473" s="7" t="n">
        <f aca="false">(Sens!C6455+Sens!D6455)/(Sens!C6456+Sens!D6456)</f>
        <v>0.6</v>
      </c>
      <c r="E6473" s="7" t="n">
        <f aca="false">(Sens!D6455+Sens!E6455)/(Sens!D6456+Sens!E6456)</f>
        <v>0.6</v>
      </c>
      <c r="F6473" s="7" t="n">
        <f aca="false">(Sens!E6455+Sens!F6455)/(Sens!E6456+Sens!F6456)</f>
        <v>0.6</v>
      </c>
      <c r="G6473" s="7" t="n">
        <f aca="false">(Sens!F6455+Sens!G6455)/(Sens!F6456+Sens!G6456)</f>
        <v>0.6</v>
      </c>
      <c r="H6473" s="7" t="n">
        <f aca="false">(Sens!G6455+Sens!H6455)/(Sens!G6456+Sens!H6456)</f>
        <v>0.6</v>
      </c>
      <c r="I6473" s="7" t="n">
        <f aca="false">(Sens!H6455+Sens!I6455)/(Sens!H6456+Sens!I6456)</f>
        <v>0.6</v>
      </c>
      <c r="J6473" s="7" t="n">
        <f aca="false">(Sens!I6455+Sens!J6455)/(Sens!I6456+Sens!J6456)</f>
        <v>0.6</v>
      </c>
      <c r="K6473" s="7" t="n">
        <f aca="false">(Sens!J6455+Sens!K6455)/(Sens!J6456+Sens!K6456)</f>
        <v>0.6</v>
      </c>
    </row>
    <row r="6474" customFormat="false" ht="17.15" hidden="false" customHeight="false" outlineLevel="0" collapsed="false">
      <c r="A6474" s="0" t="s">
        <v>840</v>
      </c>
      <c r="B6474" s="0" t="s">
        <v>98</v>
      </c>
      <c r="D6474" s="6" t="n">
        <f aca="false">Sens!D6468-Sens!D6473*(Sens!D6470+Sens!D6472)-Sens!D6471</f>
        <v>8.35701406163072</v>
      </c>
      <c r="E6474" s="6" t="n">
        <f aca="false">Sens!E6468-Sens!E6473*(Sens!E6470+Sens!E6472)-Sens!E6471</f>
        <v>18.7103224860238</v>
      </c>
      <c r="F6474" s="6" t="n">
        <f aca="false">Sens!F6468-Sens!F6473*(Sens!F6470+Sens!F6472)-Sens!F6471</f>
        <v>43.1278534047371</v>
      </c>
      <c r="G6474" s="6" t="n">
        <f aca="false">Sens!G6468-Sens!G6473*(Sens!G6470+Sens!G6472)-Sens!G6471</f>
        <v>78.4713023799053</v>
      </c>
      <c r="H6474" s="6" t="n">
        <f aca="false">Sens!H6468-Sens!H6473*(Sens!H6470+Sens!H6472)-Sens!H6471</f>
        <v>120.169624261219</v>
      </c>
      <c r="I6474" s="6" t="n">
        <f aca="false">Sens!I6468-Sens!I6473*(Sens!I6470+Sens!I6472)-Sens!I6471</f>
        <v>151.932833835566</v>
      </c>
      <c r="J6474" s="6" t="n">
        <f aca="false">Sens!J6468-Sens!J6473*(Sens!J6470+Sens!J6472)-Sens!J6471</f>
        <v>174.480355829143</v>
      </c>
      <c r="K6474" s="6" t="n">
        <f aca="false">Sens!K6468-Sens!K6473*(Sens!K6470+Sens!K6472)-Sens!K6471</f>
        <v>189.578355629358</v>
      </c>
    </row>
    <row r="6475" customFormat="false" ht="17.15" hidden="false" customHeight="false" outlineLevel="0" collapsed="false">
      <c r="A6475" s="1" t="s">
        <v>841</v>
      </c>
      <c r="B6475" s="0" t="s">
        <v>98</v>
      </c>
      <c r="D6475" s="6" t="n">
        <f aca="false">(1-Sens!D6473)*(Sens!D6470+Sens!D6472)</f>
        <v>1.42281025374069</v>
      </c>
      <c r="E6475" s="6" t="n">
        <f aca="false">(1-Sens!E6473)*(Sens!E6470+Sens!E6472)</f>
        <v>3.25095598674472</v>
      </c>
      <c r="F6475" s="6" t="n">
        <f aca="false">(1-Sens!F6473)*(Sens!F6470+Sens!F6472)</f>
        <v>6.53293055050977</v>
      </c>
      <c r="G6475" s="6" t="n">
        <f aca="false">(1-Sens!G6473)*(Sens!G6470+Sens!G6472)</f>
        <v>10.7846311741651</v>
      </c>
      <c r="H6475" s="6" t="n">
        <f aca="false">(1-Sens!H6473)*(Sens!H6470+Sens!H6472)</f>
        <v>15.26343050201</v>
      </c>
      <c r="I6475" s="6" t="n">
        <f aca="false">(1-Sens!I6473)*(Sens!I6470+Sens!I6472)</f>
        <v>19.1433528317977</v>
      </c>
      <c r="J6475" s="6" t="n">
        <f aca="false">(1-Sens!J6473)*(Sens!J6470+Sens!J6472)</f>
        <v>21.7903077438073</v>
      </c>
      <c r="K6475" s="6" t="n">
        <f aca="false">(1-Sens!K6473)*(Sens!K6470+Sens!K6472)</f>
        <v>23.3028530868211</v>
      </c>
    </row>
    <row r="6476" customFormat="false" ht="17.15" hidden="false" customHeight="false" outlineLevel="0" collapsed="false">
      <c r="A6476" s="1" t="s">
        <v>842</v>
      </c>
      <c r="B6476" s="0" t="s">
        <v>357</v>
      </c>
      <c r="C6476" s="8" t="n">
        <f aca="false">cxit_open</f>
        <v>27.5918995</v>
      </c>
      <c r="D6476" s="8" t="n">
        <f aca="false">cxit_open</f>
        <v>27.5918995</v>
      </c>
      <c r="E6476" s="8" t="n">
        <f aca="false">cxit_open</f>
        <v>27.5918995</v>
      </c>
      <c r="F6476" s="8" t="n">
        <f aca="false">(a_g3_27*tk_cxit_gb300+(1-a_g3_27)*tk_cxit_vr200)</f>
        <v>33.8419624</v>
      </c>
      <c r="G6476" s="8" t="n">
        <f aca="false">(a_g3_28*tk_cxit_gb300+(1-a_g3_28)*tk_cxit_vr200)</f>
        <v>35.9816136</v>
      </c>
      <c r="H6476" s="8" t="n">
        <f aca="false">(a_g3_29*tk_cxit_gb300+(1-a_g3_29)*tk_cxit_vr200)</f>
        <v>37.0514392</v>
      </c>
      <c r="I6476" s="8" t="n">
        <f aca="false">(a_g3_29*tk_cxit_gb300+(1-a_g3_29)*tk_cxit_vr200)</f>
        <v>37.0514392</v>
      </c>
      <c r="J6476" s="8" t="n">
        <f aca="false">(a_g3_29*tk_cxit_gb300+(1-a_g3_29)*tk_cxit_vr200)</f>
        <v>37.0514392</v>
      </c>
      <c r="K6476" s="8" t="n">
        <f aca="false">(a_g3_29*tk_cxit_gb300+(1-a_g3_29)*tk_cxit_vr200)</f>
        <v>37.0514392</v>
      </c>
      <c r="L6476" s="11" t="s">
        <v>843</v>
      </c>
    </row>
    <row r="6477" customFormat="false" ht="17.15" hidden="false" customHeight="false" outlineLevel="0" collapsed="false">
      <c r="A6477" s="0" t="s">
        <v>844</v>
      </c>
      <c r="B6477" s="0" t="s">
        <v>399</v>
      </c>
      <c r="F6477" s="29" t="n">
        <f aca="false">Sens!C6458*IF(Sens!F6451-Sens!C6451=life_it,1,0)+Sens!D6458*IF(Sens!F6451-Sens!D6451=life_it,1,0)+Sens!E6458*IF(Sens!F6451-Sens!E6451=life_it,1,0)</f>
        <v>0</v>
      </c>
      <c r="G6477" s="29" t="n">
        <f aca="false">Sens!C6458*IF(Sens!G6451-Sens!C6451=life_it,1,0)+Sens!D6458*IF(Sens!G6451-Sens!D6451=life_it,1,0)+Sens!E6458*IF(Sens!G6451-Sens!E6451=life_it,1,0)+Sens!F6458*IF(Sens!G6451-Sens!F6451=life_it,1,0)</f>
        <v>0</v>
      </c>
      <c r="H6477" s="29" t="n">
        <f aca="false">Sens!C6458*IF(Sens!H6451-Sens!C6451=life_it,1,0)+Sens!D6458*IF(Sens!H6451-Sens!D6451=life_it,1,0)+Sens!E6458*IF(Sens!H6451-Sens!E6451=life_it,1,0)+Sens!F6458*IF(Sens!H6451-Sens!F6451=life_it,1,0)+Sens!G6458*IF(Sens!H6451-Sens!G6451=life_it,1,0)</f>
        <v>0</v>
      </c>
      <c r="I6477" s="29" t="n">
        <f aca="false">Sens!C6458*IF(Sens!I6451-Sens!C6451=life_it,1,0)+Sens!D6458*IF(Sens!I6451-Sens!D6451=life_it,1,0)+Sens!E6458*IF(Sens!I6451-Sens!E6451=life_it,1,0)+Sens!F6458*IF(Sens!I6451-Sens!F6451=life_it,1,0)+Sens!G6458*IF(Sens!I6451-Sens!G6451=life_it,1,0)+Sens!H6458*IF(Sens!I6451-Sens!H6451=life_it,1,0)</f>
        <v>816.666666666667</v>
      </c>
      <c r="J6477" s="29" t="n">
        <f aca="false">Sens!C6458*IF(Sens!J6451-Sens!C6451=life_it,1,0)+Sens!D6458*IF(Sens!J6451-Sens!D6451=life_it,1,0)+Sens!E6458*IF(Sens!J6451-Sens!E6451=life_it,1,0)+Sens!F6458*IF(Sens!J6451-Sens!F6451=life_it,1,0)+Sens!G6458*IF(Sens!J6451-Sens!G6451=life_it,1,0)+Sens!H6458*IF(Sens!J6451-Sens!H6451=life_it,1,0)+Sens!I6458*IF(Sens!J6451-Sens!I6451=life_it,1,0)</f>
        <v>1233.33333333333</v>
      </c>
      <c r="K6477" s="29" t="n">
        <f aca="false">Sens!C6458*IF(Sens!K6451-Sens!C6451=life_it,1,0)+Sens!D6458*IF(Sens!K6451-Sens!D6451=life_it,1,0)+Sens!E6458*IF(Sens!K6451-Sens!E6451=life_it,1,0)+Sens!F6458*IF(Sens!K6451-Sens!F6451=life_it,1,0)+Sens!G6458*IF(Sens!K6451-Sens!G6451=life_it,1,0)+Sens!H6458*IF(Sens!K6451-Sens!H6451=life_it,1,0)+Sens!I6458*IF(Sens!K6451-Sens!I6451=life_it,1,0)+Sens!J6458*IF(Sens!K6451-Sens!J6451=life_it,1,0)</f>
        <v>2450</v>
      </c>
      <c r="L6477" s="1" t="s">
        <v>845</v>
      </c>
    </row>
    <row r="6478" customFormat="false" ht="17.15" hidden="false" customHeight="false" outlineLevel="0" collapsed="false">
      <c r="A6478" s="0" t="s">
        <v>846</v>
      </c>
      <c r="B6478" s="0" t="s">
        <v>98</v>
      </c>
      <c r="C6478" s="6" t="n">
        <f aca="false">Sens!C6458*Sens!C6476/1000</f>
        <v>22.5333845916667</v>
      </c>
      <c r="D6478" s="6" t="n">
        <f aca="false">Sens!D6458*Sens!D6476/1000</f>
        <v>34.0300093833333</v>
      </c>
      <c r="E6478" s="6" t="n">
        <f aca="false">Sens!E6458*Sens!E6476/1000</f>
        <v>67.600153775</v>
      </c>
      <c r="F6478" s="6" t="n">
        <f aca="false">(Sens!F6458+Sens!F6477)*Sens!F6476/1000</f>
        <v>130.923271871467</v>
      </c>
      <c r="G6478" s="6" t="n">
        <f aca="false">(Sens!G6458+Sens!G6477)*Sens!G6476/1000</f>
        <v>151.5545564832</v>
      </c>
      <c r="H6478" s="6" t="n">
        <f aca="false">(Sens!H6458+Sens!H6477)*Sens!H6476/1000</f>
        <v>156.0606619104</v>
      </c>
      <c r="I6478" s="6" t="n">
        <f aca="false">(Sens!I6458+Sens!I6477)*Sens!I6476/1000</f>
        <v>140.987889434245</v>
      </c>
      <c r="J6478" s="6" t="n">
        <f aca="false">(Sens!J6458+Sens!J6477)*Sens!J6476/1000</f>
        <v>113.309125559842</v>
      </c>
      <c r="K6478" s="6" t="n">
        <f aca="false">(Sens!K6458+Sens!K6477)*Sens!K6476/1000</f>
        <v>116.192591420959</v>
      </c>
    </row>
    <row r="6479" customFormat="false" ht="17.15" hidden="false" customHeight="false" outlineLevel="0" collapsed="false">
      <c r="A6479" s="0" t="s">
        <v>847</v>
      </c>
      <c r="B6479" s="0" t="s">
        <v>98</v>
      </c>
      <c r="C6479" s="6" t="n">
        <f aca="false">Sens!C6458*self_build*tk_cxfac/1000</f>
        <v>6.2083</v>
      </c>
      <c r="D6479" s="6" t="n">
        <f aca="false">Sens!D6458*self_build*tk_cxfac/1000</f>
        <v>9.3758</v>
      </c>
      <c r="E6479" s="6" t="n">
        <f aca="false">Sens!E6458*self_build*tk_cxfac/1000</f>
        <v>18.6249</v>
      </c>
      <c r="F6479" s="6" t="n">
        <f aca="false">Sens!F6458*self_build*tk_cxfac/1000</f>
        <v>29.409604</v>
      </c>
      <c r="G6479" s="6" t="n">
        <f aca="false">Sens!G6458*self_build*tk_cxfac/1000</f>
        <v>32.019624</v>
      </c>
      <c r="H6479" s="6" t="n">
        <f aca="false">Sens!H6458*self_build*tk_cxfac/1000</f>
        <v>32.019624</v>
      </c>
      <c r="I6479" s="6" t="n">
        <f aca="false">Sens!I6458*self_build*tk_cxfac/1000</f>
        <v>22.71877972</v>
      </c>
      <c r="J6479" s="6" t="n">
        <f aca="false">Sens!J6458*self_build*tk_cxfac/1000</f>
        <v>13.8723110344</v>
      </c>
      <c r="K6479" s="6" t="n">
        <f aca="false">Sens!K6458*self_build*tk_cxfac/1000</f>
        <v>5.214823882632</v>
      </c>
    </row>
    <row r="6480" customFormat="false" ht="17.15" hidden="false" customHeight="false" outlineLevel="0" collapsed="false">
      <c r="A6480" s="0" t="s">
        <v>848</v>
      </c>
      <c r="B6480" s="0" t="s">
        <v>98</v>
      </c>
      <c r="F6480" s="6" t="n">
        <f aca="false">MAX(0,capex_floor27-Sens!F6478-Sens!F6479-Sens!F6574)</f>
        <v>8.51577689897088</v>
      </c>
    </row>
    <row r="6481" customFormat="false" ht="17.15" hidden="false" customHeight="false" outlineLevel="0" collapsed="false">
      <c r="A6481" s="0" t="s">
        <v>849</v>
      </c>
      <c r="B6481" s="0" t="s">
        <v>98</v>
      </c>
      <c r="C6481" s="6" t="n">
        <f aca="false">Sens!C6478</f>
        <v>22.5333845916667</v>
      </c>
      <c r="D6481" s="6" t="n">
        <f aca="false">Sens!D6478</f>
        <v>34.0300093833333</v>
      </c>
      <c r="E6481" s="6" t="n">
        <f aca="false">Sens!E6478</f>
        <v>67.600153775</v>
      </c>
      <c r="F6481" s="6" t="n">
        <f aca="false">Sens!F6478</f>
        <v>130.923271871467</v>
      </c>
      <c r="G6481" s="6" t="n">
        <f aca="false">Sens!G6478</f>
        <v>151.5545564832</v>
      </c>
      <c r="H6481" s="6" t="n">
        <f aca="false">Sens!H6478</f>
        <v>156.0606619104</v>
      </c>
      <c r="I6481" s="6" t="n">
        <f aca="false">Sens!I6478</f>
        <v>140.987889434245</v>
      </c>
      <c r="J6481" s="6" t="n">
        <f aca="false">Sens!J6478</f>
        <v>113.309125559842</v>
      </c>
      <c r="K6481" s="6" t="n">
        <f aca="false">Sens!K6478</f>
        <v>116.192591420959</v>
      </c>
    </row>
    <row r="6482" customFormat="false" ht="17.15" hidden="false" customHeight="false" outlineLevel="0" collapsed="false">
      <c r="A6482" s="0" t="s">
        <v>850</v>
      </c>
      <c r="B6482" s="0" t="s">
        <v>98</v>
      </c>
      <c r="C6482" s="6" t="n">
        <f aca="false">Sens!C6481+Sens!C6479</f>
        <v>28.7416845916667</v>
      </c>
      <c r="D6482" s="6" t="n">
        <f aca="false">Sens!D6481+Sens!D6479</f>
        <v>43.4058093833333</v>
      </c>
      <c r="E6482" s="6" t="n">
        <f aca="false">Sens!E6481+Sens!E6479</f>
        <v>86.225053775</v>
      </c>
      <c r="F6482" s="6" t="n">
        <f aca="false">Sens!F6481+Sens!F6479</f>
        <v>160.332875871467</v>
      </c>
      <c r="G6482" s="6" t="n">
        <f aca="false">Sens!G6481+Sens!G6479</f>
        <v>183.5741804832</v>
      </c>
      <c r="H6482" s="6" t="n">
        <f aca="false">Sens!H6481+Sens!H6479</f>
        <v>188.0802859104</v>
      </c>
      <c r="I6482" s="6" t="n">
        <f aca="false">Sens!I6481+Sens!I6479</f>
        <v>163.706669154245</v>
      </c>
      <c r="J6482" s="6" t="n">
        <f aca="false">Sens!J6481+Sens!J6479</f>
        <v>127.181436594242</v>
      </c>
      <c r="K6482" s="6" t="n">
        <f aca="false">Sens!K6481+Sens!K6479</f>
        <v>121.407415303591</v>
      </c>
      <c r="L6482" s="11" t="s">
        <v>851</v>
      </c>
    </row>
    <row r="6483" customFormat="false" ht="17.15" hidden="false" customHeight="false" outlineLevel="0" collapsed="false">
      <c r="A6483" s="0" t="s">
        <v>852</v>
      </c>
      <c r="B6483" s="0" t="s">
        <v>98</v>
      </c>
      <c r="E6483" s="6" t="n">
        <f aca="false">(Sens!C6481*IF(2&lt;life_it,1,IF(2=life_it,0.5,0))+Sens!D6481*IF(1&lt;life_it,1,IF(1=life_it,0.5,0))+Sens!E6481*0.5)/life_it</f>
        <v>15.0605784770833</v>
      </c>
      <c r="F6483" s="6" t="n">
        <f aca="false">(Sens!C6481*IF(3&lt;life_it,1,IF(3=life_it,0.5,0))+Sens!D6481*IF(2&lt;life_it,1,IF(2=life_it,0.5,0))+Sens!E6481*IF(1&lt;life_it,1,IF(1=life_it,0.5,0))+Sens!F6481*0.5)/life_it</f>
        <v>31.6041972809556</v>
      </c>
      <c r="G6483" s="6" t="n">
        <f aca="false">(Sens!C6481*IF(4&lt;life_it,1,IF(4=life_it,0.5,0))+Sens!D6481*IF(3&lt;life_it,1,IF(3=life_it,0.5,0))+Sens!E6481*IF(2&lt;life_it,1,IF(2=life_it,0.5,0))+Sens!F6481*IF(1&lt;life_it,1,IF(1=life_it,0.5,0))+Sens!G6481*0.5)/life_it</f>
        <v>55.1440163105111</v>
      </c>
      <c r="H6483" s="6" t="n">
        <f aca="false">(Sens!C6481*IF(5&lt;life_it,1,IF(5=life_it,0.5,0))+Sens!D6481*IF(4&lt;life_it,1,IF(4=life_it,0.5,0))+Sens!E6481*IF(3&lt;life_it,1,IF(3=life_it,0.5,0))+Sens!F6481*IF(2&lt;life_it,1,IF(2=life_it,0.5,0))+Sens!G6481*IF(1&lt;life_it,1,IF(1=life_it,0.5,0))+Sens!H6481*0.5)/life_it</f>
        <v>80.7786178433111</v>
      </c>
      <c r="I6483" s="6" t="n">
        <f aca="false">(Sens!C6481*IF(6&lt;life_it,1,IF(6=life_it,0.5,0))+Sens!D6481*IF(5&lt;life_it,1,IF(5=life_it,0.5,0))+Sens!E6481*IF(4&lt;life_it,1,IF(4=life_it,0.5,0))+Sens!F6481*IF(3&lt;life_it,1,IF(3=life_it,0.5,0))+Sens!G6481*IF(2&lt;life_it,1,IF(2=life_it,0.5,0))+Sens!H6481*IF(1&lt;life_it,1,IF(1=life_it,0.5,0))+Sens!I6481*0.5)/life_it</f>
        <v>103.654881739393</v>
      </c>
      <c r="J6483" s="6" t="n">
        <f aca="false">(Sens!C6481*IF(7&lt;life_it,1,IF(7=life_it,0.5,0))+Sens!D6481*IF(6&lt;life_it,1,IF(6=life_it,0.5,0))+Sens!E6481*IF(5&lt;life_it,1,IF(5=life_it,0.5,0))+Sens!F6481*IF(4&lt;life_it,1,IF(4=life_it,0.5,0))+Sens!G6481*IF(3&lt;life_it,1,IF(3=life_it,0.5,0))+Sens!H6481*IF(2&lt;life_it,1,IF(2=life_it,0.5,0))+Sens!I6481*IF(1&lt;life_it,1,IF(1=life_it,0.5,0))+Sens!J6481*0.5)/life_it</f>
        <v>120.132683490983</v>
      </c>
      <c r="K6483" s="6" t="n">
        <f aca="false">(Sens!C6481*IF(8&lt;life_it,1,IF(8=life_it,0.5,0))+Sens!D6481*IF(7&lt;life_it,1,IF(7=life_it,0.5,0))+Sens!E6481*IF(6&lt;life_it,1,IF(6=life_it,0.5,0))+Sens!F6481*IF(5&lt;life_it,1,IF(5=life_it,0.5,0))+Sens!G6481*IF(4&lt;life_it,1,IF(4=life_it,0.5,0))+Sens!H6481*IF(3&lt;life_it,1,IF(3=life_it,0.5,0))+Sens!I6481*IF(2&lt;life_it,1,IF(2=life_it,0.5,0))+Sens!J6481*IF(1&lt;life_it,1,IF(1=life_it,0.5,0))+Sens!K6481*0.5)/life_it</f>
        <v>130.788646309522</v>
      </c>
    </row>
    <row r="6484" customFormat="false" ht="17.15" hidden="false" customHeight="false" outlineLevel="0" collapsed="false">
      <c r="A6484" s="0" t="s">
        <v>853</v>
      </c>
      <c r="B6484" s="0" t="s">
        <v>98</v>
      </c>
      <c r="E6484" s="6" t="n">
        <f aca="false">(Sens!C6479*IF(2&lt;life_fac,1,IF(2=life_fac,0.5,0))+Sens!D6479*IF(1&lt;life_fac,1,IF(1=life_fac,0.5,0))+Sens!E6479*0.5)/life_fac</f>
        <v>1.2448275</v>
      </c>
      <c r="F6484" s="6" t="n">
        <f aca="false">(Sens!C6479*IF(3&lt;life_fac,1,IF(3=life_fac,0.5,0))+Sens!D6479*IF(2&lt;life_fac,1,IF(2=life_fac,0.5,0))+Sens!E6479*IF(1&lt;life_fac,1,IF(1=life_fac,0.5,0))+Sens!F6479*0.5)/life_fac</f>
        <v>2.4456901</v>
      </c>
      <c r="G6484" s="6" t="n">
        <f aca="false">(Sens!C6479*IF(4&lt;life_fac,1,IF(4=life_fac,0.5,0))+Sens!D6479*IF(3&lt;life_fac,1,IF(3=life_fac,0.5,0))+Sens!E6479*IF(2&lt;life_fac,1,IF(2=life_fac,0.5,0))+Sens!F6479*IF(1&lt;life_fac,1,IF(1=life_fac,0.5,0))+Sens!G6479*0.5)/life_fac</f>
        <v>3.9814208</v>
      </c>
      <c r="H6484" s="6" t="n">
        <f aca="false">(Sens!C6479*IF(5&lt;life_fac,1,IF(5=life_fac,0.5,0))+Sens!D6479*IF(4&lt;life_fac,1,IF(4=life_fac,0.5,0))+Sens!E6479*IF(3&lt;life_fac,1,IF(3=life_fac,0.5,0))+Sens!F6479*IF(2&lt;life_fac,1,IF(2=life_fac,0.5,0))+Sens!G6479*IF(1&lt;life_fac,1,IF(1=life_fac,0.5,0))+Sens!H6479*0.5)/life_fac</f>
        <v>5.582402</v>
      </c>
      <c r="I6484" s="6" t="n">
        <f aca="false">(Sens!C6479*IF(6&lt;life_fac,1,IF(6=life_fac,0.5,0))+Sens!D6479*IF(5&lt;life_fac,1,IF(5=life_fac,0.5,0))+Sens!E6479*IF(4&lt;life_fac,1,IF(4=life_fac,0.5,0))+Sens!F6479*IF(3&lt;life_fac,1,IF(3=life_fac,0.5,0))+Sens!G6479*IF(2&lt;life_fac,1,IF(2=life_fac,0.5,0))+Sens!H6479*IF(1&lt;life_fac,1,IF(1=life_fac,0.5,0))+Sens!I6479*0.5)/life_fac</f>
        <v>6.950862093</v>
      </c>
      <c r="J6484" s="6" t="n">
        <f aca="false">(Sens!C6479*IF(7&lt;life_fac,1,IF(7=life_fac,0.5,0))+Sens!D6479*IF(6&lt;life_fac,1,IF(6=life_fac,0.5,0))+Sens!E6479*IF(5&lt;life_fac,1,IF(5=life_fac,0.5,0))+Sens!F6479*IF(4&lt;life_fac,1,IF(4=life_fac,0.5,0))+Sens!G6479*IF(3&lt;life_fac,1,IF(3=life_fac,0.5,0))+Sens!H6479*IF(2&lt;life_fac,1,IF(2=life_fac,0.5,0))+Sens!I6479*IF(1&lt;life_fac,1,IF(1=life_fac,0.5,0))+Sens!J6479*0.5)/life_fac</f>
        <v>7.86563936186</v>
      </c>
      <c r="K6484" s="6" t="n">
        <f aca="false">(Sens!C6479*IF(8&lt;life_fac,1,IF(8=life_fac,0.5,0))+Sens!D6479*IF(7&lt;life_fac,1,IF(7=life_fac,0.5,0))+Sens!E6479*IF(6&lt;life_fac,1,IF(6=life_fac,0.5,0))+Sens!F6479*IF(5&lt;life_fac,1,IF(5=life_fac,0.5,0))+Sens!G6479*IF(4&lt;life_fac,1,IF(4=life_fac,0.5,0))+Sens!H6479*IF(3&lt;life_fac,1,IF(3=life_fac,0.5,0))+Sens!I6479*IF(2&lt;life_fac,1,IF(2=life_fac,0.5,0))+Sens!J6479*IF(1&lt;life_fac,1,IF(1=life_fac,0.5,0))+Sens!K6479*0.5)/life_fac</f>
        <v>8.3428177347858</v>
      </c>
    </row>
    <row r="6485" customFormat="false" ht="17.15" hidden="false" customHeight="false" outlineLevel="0" collapsed="false">
      <c r="A6485" s="0" t="s">
        <v>854</v>
      </c>
      <c r="B6485" s="0" t="s">
        <v>98</v>
      </c>
      <c r="E6485" s="6" t="n">
        <f aca="false">Sens!E6483+Sens!E6484</f>
        <v>16.3054059770833</v>
      </c>
      <c r="F6485" s="6" t="n">
        <f aca="false">Sens!F6483+Sens!F6484</f>
        <v>34.0498873809555</v>
      </c>
      <c r="G6485" s="6" t="n">
        <f aca="false">Sens!G6483+Sens!G6484</f>
        <v>59.1254371105111</v>
      </c>
      <c r="H6485" s="6" t="n">
        <f aca="false">Sens!H6483+Sens!H6484</f>
        <v>86.3610198433111</v>
      </c>
      <c r="I6485" s="6" t="n">
        <f aca="false">Sens!I6483+Sens!I6484</f>
        <v>110.605743832393</v>
      </c>
      <c r="J6485" s="6" t="n">
        <f aca="false">Sens!J6483+Sens!J6484</f>
        <v>127.998322852843</v>
      </c>
      <c r="K6485" s="6" t="n">
        <f aca="false">Sens!K6483+Sens!K6484</f>
        <v>139.131464044308</v>
      </c>
    </row>
    <row r="6486" customFormat="false" ht="17.15" hidden="false" customHeight="false" outlineLevel="0" collapsed="false">
      <c r="A6486" s="0" t="s">
        <v>855</v>
      </c>
      <c r="B6486" s="0" t="s">
        <v>98</v>
      </c>
      <c r="E6486" s="6" t="n">
        <f aca="false">Sens!E6474-Sens!E6473*Sens!E6485</f>
        <v>8.92707889977379</v>
      </c>
      <c r="F6486" s="6" t="n">
        <f aca="false">Sens!F6474-Sens!F6473*Sens!F6485</f>
        <v>22.6979209761638</v>
      </c>
      <c r="G6486" s="6" t="n">
        <f aca="false">Sens!G6474-Sens!G6473*Sens!G6485</f>
        <v>42.9960401135986</v>
      </c>
      <c r="H6486" s="6" t="n">
        <f aca="false">Sens!H6474-Sens!H6473*Sens!H6485</f>
        <v>68.3530123552322</v>
      </c>
      <c r="I6486" s="6" t="n">
        <f aca="false">Sens!I6474-Sens!I6473*Sens!I6485</f>
        <v>85.5693875361303</v>
      </c>
      <c r="J6486" s="6" t="n">
        <f aca="false">Sens!J6474-Sens!J6473*Sens!J6485</f>
        <v>97.6813621174372</v>
      </c>
      <c r="K6486" s="6" t="n">
        <f aca="false">Sens!K6474-Sens!K6473*Sens!K6485</f>
        <v>106.099477202773</v>
      </c>
    </row>
    <row r="6487" customFormat="false" ht="17.15" hidden="false" customHeight="false" outlineLevel="0" collapsed="false">
      <c r="A6487" s="3" t="s">
        <v>1428</v>
      </c>
    </row>
    <row r="6488" customFormat="false" ht="15" hidden="false" customHeight="false" outlineLevel="0" collapsed="false">
      <c r="A6488" s="4" t="s">
        <v>43</v>
      </c>
      <c r="B6488" s="4" t="s">
        <v>65</v>
      </c>
      <c r="C6488" s="20" t="s">
        <v>799</v>
      </c>
      <c r="D6488" s="20" t="s">
        <v>800</v>
      </c>
      <c r="E6488" s="20" t="s">
        <v>801</v>
      </c>
      <c r="F6488" s="20" t="s">
        <v>802</v>
      </c>
      <c r="G6488" s="20" t="s">
        <v>803</v>
      </c>
      <c r="H6488" s="20" t="s">
        <v>804</v>
      </c>
      <c r="I6488" s="20" t="s">
        <v>805</v>
      </c>
      <c r="J6488" s="20" t="s">
        <v>806</v>
      </c>
      <c r="K6488" s="20" t="s">
        <v>807</v>
      </c>
      <c r="L6488" s="4" t="s">
        <v>47</v>
      </c>
    </row>
    <row r="6489" customFormat="false" ht="17.15" hidden="false" customHeight="false" outlineLevel="0" collapsed="false">
      <c r="A6489" s="0" t="s">
        <v>874</v>
      </c>
      <c r="B6489" s="0" t="s">
        <v>98</v>
      </c>
      <c r="D6489" s="6" t="n">
        <f aca="false">Sens!D6468</f>
        <v>12.9359794422418</v>
      </c>
      <c r="E6489" s="6" t="n">
        <f aca="false">Sens!E6468</f>
        <v>27.8095064661409</v>
      </c>
      <c r="F6489" s="6" t="n">
        <f aca="false">Sens!F6468</f>
        <v>58.7324192305018</v>
      </c>
      <c r="G6489" s="6" t="n">
        <f aca="false">Sens!G6468</f>
        <v>101.369089141153</v>
      </c>
      <c r="H6489" s="6" t="n">
        <f aca="false">Sens!H6468</f>
        <v>149.785610014234</v>
      </c>
      <c r="I6489" s="6" t="n">
        <f aca="false">Sens!I6468</f>
        <v>187.368703083263</v>
      </c>
      <c r="J6489" s="6" t="n">
        <f aca="false">Sens!J6468</f>
        <v>213.886657444854</v>
      </c>
      <c r="K6489" s="6" t="n">
        <f aca="false">Sens!K6468</f>
        <v>231.253475259589</v>
      </c>
    </row>
    <row r="6490" customFormat="false" ht="17.15" hidden="false" customHeight="false" outlineLevel="0" collapsed="false">
      <c r="A6490" s="0" t="s">
        <v>875</v>
      </c>
      <c r="B6490" s="0" t="s">
        <v>98</v>
      </c>
      <c r="D6490" s="6" t="n">
        <f aca="false">Q!L6-Sens!D6489</f>
        <v>59.6740205577583</v>
      </c>
      <c r="E6490" s="6" t="n">
        <f aca="false">Q!M6-Sens!E6489</f>
        <v>74.1284935338591</v>
      </c>
      <c r="F6490" s="6" t="n">
        <f aca="false">Sens!E6490*(1+Sens!F6491)</f>
        <v>90.0799497373663</v>
      </c>
      <c r="G6490" s="6" t="n">
        <f aca="false">Sens!F6490*(1+Sens!G6491)</f>
        <v>107.02842520331</v>
      </c>
      <c r="H6490" s="6" t="n">
        <f aca="false">Sens!G6490*(1+Sens!H6491)</f>
        <v>124.271982585636</v>
      </c>
      <c r="I6490" s="6" t="n">
        <f aca="false">Sens!H6490*(1+Sens!I6491)</f>
        <v>140.933702381855</v>
      </c>
      <c r="J6490" s="6" t="n">
        <f aca="false">Sens!I6490*(1+Sens!J6491)</f>
        <v>156.018867314332</v>
      </c>
      <c r="K6490" s="6" t="n">
        <f aca="false">Sens!J6490*(1+Sens!K6491)</f>
        <v>168.500376699478</v>
      </c>
    </row>
    <row r="6491" customFormat="false" ht="15" hidden="false" customHeight="false" outlineLevel="0" collapsed="false">
      <c r="A6491" s="1" t="s">
        <v>876</v>
      </c>
      <c r="B6491" s="0" t="s">
        <v>129</v>
      </c>
      <c r="E6491" s="7" t="n">
        <f aca="false">Sens!E6490/Sens!D6490-1</f>
        <v>0.242223883039864</v>
      </c>
      <c r="F6491" s="7" t="n">
        <f aca="false">Sens!$E$6491+(glt_azo-Sens!$E$6491)*MIN(1,(Sens!F6451-base_fy)/n_conv)</f>
        <v>0.215186569199887</v>
      </c>
      <c r="G6491" s="7" t="n">
        <f aca="false">Sens!$E$6491+(glt_azo-Sens!$E$6491)*MIN(1,(Sens!G6451-base_fy)/n_conv)</f>
        <v>0.18814925535991</v>
      </c>
      <c r="H6491" s="7" t="n">
        <f aca="false">Sens!$E$6491+(glt_azo-Sens!$E$6491)*MIN(1,(Sens!H6451-base_fy)/n_conv)</f>
        <v>0.161111941519932</v>
      </c>
      <c r="I6491" s="7" t="n">
        <f aca="false">Sens!$E$6491+(glt_azo-Sens!$E$6491)*MIN(1,(Sens!I6451-base_fy)/n_conv)</f>
        <v>0.134074627679955</v>
      </c>
      <c r="J6491" s="7" t="n">
        <f aca="false">Sens!$E$6491+(glt_azo-Sens!$E$6491)*MIN(1,(Sens!J6451-base_fy)/n_conv)</f>
        <v>0.107037313839977</v>
      </c>
      <c r="K6491" s="7" t="n">
        <f aca="false">Sens!$E$6491+(glt_azo-Sens!$E$6491)*MIN(1,(Sens!K6451-base_fy)/n_conv)</f>
        <v>0.08</v>
      </c>
    </row>
    <row r="6492" customFormat="false" ht="15" hidden="false" customHeight="false" outlineLevel="0" collapsed="false">
      <c r="A6492" s="0" t="s">
        <v>877</v>
      </c>
      <c r="B6492" s="0" t="s">
        <v>98</v>
      </c>
      <c r="D6492" s="6" t="n">
        <f aca="false">Sens!D6489+Sens!D6490</f>
        <v>72.61</v>
      </c>
      <c r="E6492" s="6" t="n">
        <f aca="false">Sens!E6489+Sens!E6490</f>
        <v>101.938</v>
      </c>
      <c r="F6492" s="6" t="n">
        <f aca="false">Sens!F6489+Sens!F6490</f>
        <v>148.812368967868</v>
      </c>
      <c r="G6492" s="6" t="n">
        <f aca="false">Sens!G6489+Sens!G6490</f>
        <v>208.397514344463</v>
      </c>
      <c r="H6492" s="6" t="n">
        <f aca="false">Sens!H6489+Sens!H6490</f>
        <v>274.05759259987</v>
      </c>
      <c r="I6492" s="6" t="n">
        <f aca="false">Sens!I6489+Sens!I6490</f>
        <v>328.302405465117</v>
      </c>
      <c r="J6492" s="6" t="n">
        <f aca="false">Sens!J6489+Sens!J6490</f>
        <v>369.905524759186</v>
      </c>
      <c r="K6492" s="6" t="n">
        <f aca="false">Sens!K6489+Sens!K6490</f>
        <v>399.753851959067</v>
      </c>
    </row>
    <row r="6493" customFormat="false" ht="17.15" hidden="false" customHeight="false" outlineLevel="0" collapsed="false">
      <c r="A6493" s="0" t="s">
        <v>878</v>
      </c>
      <c r="B6493" s="1" t="s">
        <v>528</v>
      </c>
      <c r="C6493" s="29" t="n">
        <f aca="false">cop_s24</f>
        <v>1</v>
      </c>
      <c r="D6493" s="29" t="n">
        <f aca="false">cop_s25</f>
        <v>5</v>
      </c>
      <c r="E6493" s="29" t="n">
        <f aca="false">cop_s26</f>
        <v>30</v>
      </c>
      <c r="F6493" s="29" t="n">
        <f aca="false">Sens!E6493+cop_add_A</f>
        <v>60</v>
      </c>
      <c r="G6493" s="29" t="n">
        <f aca="false">Sens!F6493+cop_add_A</f>
        <v>90</v>
      </c>
      <c r="H6493" s="29" t="n">
        <f aca="false">Sens!G6493+cop_add_A</f>
        <v>120</v>
      </c>
      <c r="I6493" s="29" t="n">
        <f aca="false">Sens!H6493+cop_add_A*cop_tail</f>
        <v>135</v>
      </c>
      <c r="J6493" s="29" t="n">
        <f aca="false">Sens!I6493+cop_add_A*cop_tail</f>
        <v>150</v>
      </c>
      <c r="K6493" s="29" t="n">
        <f aca="false">Sens!J6493+cop_add_A*cop_tail</f>
        <v>165</v>
      </c>
      <c r="L6493" s="11" t="s">
        <v>879</v>
      </c>
    </row>
    <row r="6494" customFormat="false" ht="17.15" hidden="false" customHeight="false" outlineLevel="0" collapsed="false">
      <c r="A6494" s="0" t="s">
        <v>880</v>
      </c>
      <c r="B6494" s="0" t="s">
        <v>98</v>
      </c>
      <c r="D6494" s="6" t="n">
        <f aca="false">(Sens!C6493+Sens!D6493)/2*cop_px*12/1000</f>
        <v>0.9</v>
      </c>
      <c r="E6494" s="6" t="n">
        <f aca="false">(Sens!D6493+Sens!E6493)/2*cop_px*12/1000</f>
        <v>5.25</v>
      </c>
      <c r="F6494" s="6" t="n">
        <f aca="false">(Sens!E6493+Sens!F6493)/2*cop_px_lo*12/1000</f>
        <v>9.72</v>
      </c>
      <c r="G6494" s="6" t="n">
        <f aca="false">(Sens!F6493+Sens!G6493)/2*cop_px_lo*12/1000</f>
        <v>16.2</v>
      </c>
      <c r="H6494" s="6" t="n">
        <f aca="false">(Sens!G6493+Sens!H6493)/2*cop_px_lo*12/1000</f>
        <v>22.68</v>
      </c>
      <c r="I6494" s="6" t="n">
        <f aca="false">(Sens!H6493+Sens!I6493)/2*cop_px_lo*12/1000</f>
        <v>27.54</v>
      </c>
      <c r="J6494" s="6" t="n">
        <f aca="false">(Sens!I6493+Sens!J6493)/2*cop_px_lo*12/1000</f>
        <v>30.78</v>
      </c>
      <c r="K6494" s="6" t="n">
        <f aca="false">(Sens!J6493+Sens!K6493)/2*cop_px_lo*12/1000</f>
        <v>34.02</v>
      </c>
      <c r="L6494" s="1" t="s">
        <v>881</v>
      </c>
    </row>
    <row r="6495" customFormat="false" ht="17.15" hidden="false" customHeight="false" outlineLevel="0" collapsed="false">
      <c r="A6495" s="0" t="s">
        <v>882</v>
      </c>
      <c r="B6495" s="0" t="s">
        <v>98</v>
      </c>
      <c r="D6495" s="6" t="n">
        <f aca="false">Q!L7-Sens!D6494</f>
        <v>83.705</v>
      </c>
      <c r="E6495" s="6" t="n">
        <f aca="false">Q!M7-Sens!E6494</f>
        <v>95.049</v>
      </c>
      <c r="F6495" s="6" t="n">
        <f aca="false">Sens!E6495*(1+Sens!F6496)</f>
        <v>106.89238776686</v>
      </c>
      <c r="G6495" s="6" t="n">
        <f aca="false">Sens!F6495*(1+Sens!G6496)</f>
        <v>119.044168448684</v>
      </c>
      <c r="H6495" s="6" t="n">
        <f aca="false">Sens!G6495*(1+Sens!H6496)</f>
        <v>131.277359388781</v>
      </c>
      <c r="I6495" s="6" t="n">
        <f aca="false">Sens!H6495*(1+Sens!I6496)</f>
        <v>143.334028071957</v>
      </c>
      <c r="J6495" s="6" t="n">
        <f aca="false">Sens!I6495*(1+Sens!J6496)</f>
        <v>154.932702785465</v>
      </c>
      <c r="K6495" s="6" t="n">
        <f aca="false">Sens!J6495*(1+Sens!K6496)</f>
        <v>165.777991980448</v>
      </c>
    </row>
    <row r="6496" customFormat="false" ht="15" hidden="false" customHeight="false" outlineLevel="0" collapsed="false">
      <c r="A6496" s="1" t="s">
        <v>876</v>
      </c>
      <c r="B6496" s="0" t="s">
        <v>129</v>
      </c>
      <c r="E6496" s="7" t="n">
        <f aca="false">Sens!E6495/Sens!D6495-1</f>
        <v>0.135523564900544</v>
      </c>
      <c r="F6496" s="7" t="n">
        <f aca="false">Sens!$E$6496+(glt_m365b-Sens!$E$6496)*MIN(1,(Sens!F6451-base_fy)/n_conv)</f>
        <v>0.124602970750453</v>
      </c>
      <c r="G6496" s="7" t="n">
        <f aca="false">Sens!$E$6496+(glt_m365b-Sens!$E$6496)*MIN(1,(Sens!G6451-base_fy)/n_conv)</f>
        <v>0.113682376600363</v>
      </c>
      <c r="H6496" s="7" t="n">
        <f aca="false">Sens!$E$6496+(glt_m365b-Sens!$E$6496)*MIN(1,(Sens!H6451-base_fy)/n_conv)</f>
        <v>0.102761782450272</v>
      </c>
      <c r="I6496" s="7" t="n">
        <f aca="false">Sens!$E$6496+(glt_m365b-Sens!$E$6496)*MIN(1,(Sens!I6451-base_fy)/n_conv)</f>
        <v>0.0918411883001813</v>
      </c>
      <c r="J6496" s="7" t="n">
        <f aca="false">Sens!$E$6496+(glt_m365b-Sens!$E$6496)*MIN(1,(Sens!J6451-base_fy)/n_conv)</f>
        <v>0.0809205941500906</v>
      </c>
      <c r="K6496" s="7" t="n">
        <f aca="false">Sens!$E$6496+(glt_m365b-Sens!$E$6496)*MIN(1,(Sens!K6451-base_fy)/n_conv)</f>
        <v>0.07</v>
      </c>
    </row>
    <row r="6497" customFormat="false" ht="15" hidden="false" customHeight="false" outlineLevel="0" collapsed="false">
      <c r="A6497" s="0" t="s">
        <v>883</v>
      </c>
      <c r="B6497" s="0" t="s">
        <v>98</v>
      </c>
      <c r="D6497" s="6" t="n">
        <f aca="false">Sens!D6495+Sens!D6494</f>
        <v>84.605</v>
      </c>
      <c r="E6497" s="6" t="n">
        <f aca="false">Sens!E6495+Sens!E6494</f>
        <v>100.299</v>
      </c>
      <c r="F6497" s="6" t="n">
        <f aca="false">Sens!F6495+Sens!F6494</f>
        <v>116.61238776686</v>
      </c>
      <c r="G6497" s="6" t="n">
        <f aca="false">Sens!G6495+Sens!G6494</f>
        <v>135.244168448684</v>
      </c>
      <c r="H6497" s="6" t="n">
        <f aca="false">Sens!H6495+Sens!H6494</f>
        <v>153.957359388781</v>
      </c>
      <c r="I6497" s="6" t="n">
        <f aca="false">Sens!I6495+Sens!I6494</f>
        <v>170.874028071957</v>
      </c>
      <c r="J6497" s="6" t="n">
        <f aca="false">Sens!J6495+Sens!J6494</f>
        <v>185.712702785465</v>
      </c>
      <c r="K6497" s="6" t="n">
        <f aca="false">Sens!K6495+Sens!K6494</f>
        <v>199.797991980448</v>
      </c>
    </row>
    <row r="6498" customFormat="false" ht="15" hidden="false" customHeight="false" outlineLevel="0" collapsed="false">
      <c r="A6498" s="0" t="s">
        <v>884</v>
      </c>
      <c r="B6498" s="0" t="s">
        <v>98</v>
      </c>
      <c r="D6498" s="6" t="n">
        <f aca="false">Q!L8</f>
        <v>35.391</v>
      </c>
      <c r="E6498" s="6" t="n">
        <f aca="false">Q!M8</f>
        <v>37.285</v>
      </c>
      <c r="F6498" s="6" t="n">
        <f aca="false">Sens!E6498*(1+Sens!F6499)</f>
        <v>39.0720834331704</v>
      </c>
      <c r="G6498" s="6" t="n">
        <f aca="false">Sens!F6498*(1+Sens!G6499)</f>
        <v>40.726562953769</v>
      </c>
      <c r="H6498" s="6" t="n">
        <f aca="false">Sens!G6498*(1+Sens!H6499)</f>
        <v>42.2235987259198</v>
      </c>
      <c r="I6498" s="6" t="n">
        <f aca="false">Sens!H6498*(1+Sens!I6499)</f>
        <v>43.5397988077414</v>
      </c>
      <c r="J6498" s="6" t="n">
        <f aca="false">Sens!I6498*(1+Sens!J6499)</f>
        <v>44.653811225693</v>
      </c>
      <c r="K6498" s="6" t="n">
        <f aca="false">Sens!J6498*(1+Sens!K6499)</f>
        <v>45.5468874502068</v>
      </c>
    </row>
    <row r="6499" customFormat="false" ht="15" hidden="false" customHeight="false" outlineLevel="0" collapsed="false">
      <c r="A6499" s="1" t="s">
        <v>876</v>
      </c>
      <c r="B6499" s="0" t="s">
        <v>129</v>
      </c>
      <c r="E6499" s="7" t="n">
        <f aca="false">Sens!E6498/Sens!D6498-1</f>
        <v>0.0535164307309768</v>
      </c>
      <c r="F6499" s="7" t="n">
        <f aca="false">Sens!$E$6499+(glt_lic-Sens!$E$6499)*MIN(1,(Sens!F6451-base_fy)/n_conv)</f>
        <v>0.0479303589424807</v>
      </c>
      <c r="G6499" s="7" t="n">
        <f aca="false">Sens!$E$6499+(glt_lic-Sens!$E$6499)*MIN(1,(Sens!G6451-base_fy)/n_conv)</f>
        <v>0.0423442871539845</v>
      </c>
      <c r="H6499" s="7" t="n">
        <f aca="false">Sens!$E$6499+(glt_lic-Sens!$E$6499)*MIN(1,(Sens!H6451-base_fy)/n_conv)</f>
        <v>0.0367582153654884</v>
      </c>
      <c r="I6499" s="7" t="n">
        <f aca="false">Sens!$E$6499+(glt_lic-Sens!$E$6499)*MIN(1,(Sens!I6451-base_fy)/n_conv)</f>
        <v>0.0311721435769923</v>
      </c>
      <c r="J6499" s="7" t="n">
        <f aca="false">Sens!$E$6499+(glt_lic-Sens!$E$6499)*MIN(1,(Sens!J6451-base_fy)/n_conv)</f>
        <v>0.0255860717884961</v>
      </c>
      <c r="K6499" s="7" t="n">
        <f aca="false">Sens!$E$6499+(glt_lic-Sens!$E$6499)*MIN(1,(Sens!K6451-base_fy)/n_conv)</f>
        <v>0.02</v>
      </c>
    </row>
    <row r="6500" customFormat="false" ht="15" hidden="false" customHeight="false" outlineLevel="0" collapsed="false">
      <c r="A6500" s="0" t="s">
        <v>885</v>
      </c>
      <c r="B6500" s="0" t="s">
        <v>98</v>
      </c>
      <c r="D6500" s="6" t="n">
        <f aca="false">Q!L9</f>
        <v>18.417</v>
      </c>
      <c r="E6500" s="6" t="n">
        <f aca="false">Q!M9</f>
        <v>20.345</v>
      </c>
      <c r="F6500" s="6" t="n">
        <f aca="false">Sens!E6500*(1+Sens!F6501)</f>
        <v>22.3572203267814</v>
      </c>
      <c r="G6500" s="6" t="n">
        <f aca="false">Sens!F6500*(1+Sens!G6501)</f>
        <v>24.4392124437232</v>
      </c>
      <c r="H6500" s="6" t="n">
        <f aca="false">Sens!G6500*(1+Sens!H6501)</f>
        <v>26.5738052080665</v>
      </c>
      <c r="I6500" s="6" t="n">
        <f aca="false">Sens!H6500*(1+Sens!I6501)</f>
        <v>28.7412169166967</v>
      </c>
      <c r="J6500" s="6" t="n">
        <f aca="false">Sens!I6500*(1+Sens!J6501)</f>
        <v>30.9192545395413</v>
      </c>
      <c r="K6500" s="6" t="n">
        <f aca="false">Sens!J6500*(1+Sens!K6501)</f>
        <v>33.0836023573092</v>
      </c>
    </row>
    <row r="6501" customFormat="false" ht="15" hidden="false" customHeight="false" outlineLevel="0" collapsed="false">
      <c r="A6501" s="1" t="s">
        <v>876</v>
      </c>
      <c r="B6501" s="0" t="s">
        <v>129</v>
      </c>
      <c r="E6501" s="7" t="n">
        <f aca="false">Sens!E6500/Sens!D6500-1</f>
        <v>0.104685888038225</v>
      </c>
      <c r="F6501" s="7" t="n">
        <f aca="false">Sens!$E$6501+(glt_ind-Sens!$E$6501)*MIN(1,(Sens!F6451-base_fy)/n_conv)</f>
        <v>0.0989049066985211</v>
      </c>
      <c r="G6501" s="7" t="n">
        <f aca="false">Sens!$E$6501+(glt_ind-Sens!$E$6501)*MIN(1,(Sens!G6451-base_fy)/n_conv)</f>
        <v>0.0931239253588169</v>
      </c>
      <c r="H6501" s="7" t="n">
        <f aca="false">Sens!$E$6501+(glt_ind-Sens!$E$6501)*MIN(1,(Sens!H6451-base_fy)/n_conv)</f>
        <v>0.0873429440191127</v>
      </c>
      <c r="I6501" s="7" t="n">
        <f aca="false">Sens!$E$6501+(glt_ind-Sens!$E$6501)*MIN(1,(Sens!I6451-base_fy)/n_conv)</f>
        <v>0.0815619626794085</v>
      </c>
      <c r="J6501" s="7" t="n">
        <f aca="false">Sens!$E$6501+(glt_ind-Sens!$E$6501)*MIN(1,(Sens!J6451-base_fy)/n_conv)</f>
        <v>0.0757809813397042</v>
      </c>
      <c r="K6501" s="7" t="n">
        <f aca="false">Sens!$E$6501+(glt_ind-Sens!$E$6501)*MIN(1,(Sens!K6451-base_fy)/n_conv)</f>
        <v>0.07</v>
      </c>
    </row>
    <row r="6502" customFormat="false" ht="15" hidden="false" customHeight="false" outlineLevel="0" collapsed="false">
      <c r="A6502" s="0" t="s">
        <v>886</v>
      </c>
      <c r="B6502" s="0" t="s">
        <v>98</v>
      </c>
      <c r="D6502" s="6" t="n">
        <f aca="false">Q!L10</f>
        <v>7.76</v>
      </c>
      <c r="E6502" s="6" t="n">
        <f aca="false">Q!M10</f>
        <v>8.26</v>
      </c>
      <c r="F6502" s="6" t="n">
        <f aca="false">Sens!E6502*(1+Sens!F6503)</f>
        <v>8.79988041237113</v>
      </c>
      <c r="G6502" s="6" t="n">
        <f aca="false">Sens!F6502*(1+Sens!G6503)</f>
        <v>9.38321269125306</v>
      </c>
      <c r="H6502" s="6" t="n">
        <f aca="false">Sens!G6502*(1+Sens!H6503)</f>
        <v>10.0139193587476</v>
      </c>
      <c r="I6502" s="6" t="n">
        <f aca="false">Sens!H6502*(1+Sens!I6503)</f>
        <v>10.6963111830911</v>
      </c>
      <c r="J6502" s="6" t="n">
        <f aca="false">Sens!I6502*(1+Sens!J6503)</f>
        <v>11.4351285534696</v>
      </c>
      <c r="K6502" s="6" t="n">
        <f aca="false">Sens!J6502*(1+Sens!K6503)</f>
        <v>12.2355875522124</v>
      </c>
    </row>
    <row r="6503" customFormat="false" ht="15" hidden="false" customHeight="false" outlineLevel="0" collapsed="false">
      <c r="A6503" s="1" t="s">
        <v>876</v>
      </c>
      <c r="B6503" s="0" t="s">
        <v>129</v>
      </c>
      <c r="E6503" s="7" t="n">
        <f aca="false">Sens!E6502/Sens!D6502-1</f>
        <v>0.0644329896907216</v>
      </c>
      <c r="F6503" s="7" t="n">
        <f aca="false">Sens!$E$6503+(glt_fro-Sens!$E$6503)*MIN(1,(Sens!F6451-base_fy)/n_conv)</f>
        <v>0.065360824742268</v>
      </c>
      <c r="G6503" s="7" t="n">
        <f aca="false">Sens!$E$6503+(glt_fro-Sens!$E$6503)*MIN(1,(Sens!G6451-base_fy)/n_conv)</f>
        <v>0.0662886597938144</v>
      </c>
      <c r="H6503" s="7" t="n">
        <f aca="false">Sens!$E$6503+(glt_fro-Sens!$E$6503)*MIN(1,(Sens!H6451-base_fy)/n_conv)</f>
        <v>0.0672164948453608</v>
      </c>
      <c r="I6503" s="7" t="n">
        <f aca="false">Sens!$E$6503+(glt_fro-Sens!$E$6503)*MIN(1,(Sens!I6451-base_fy)/n_conv)</f>
        <v>0.0681443298969072</v>
      </c>
      <c r="J6503" s="7" t="n">
        <f aca="false">Sens!$E$6503+(glt_fro-Sens!$E$6503)*MIN(1,(Sens!J6451-base_fy)/n_conv)</f>
        <v>0.0690721649484536</v>
      </c>
      <c r="K6503" s="7" t="n">
        <f aca="false">Sens!$E$6503+(glt_fro-Sens!$E$6503)*MIN(1,(Sens!K6451-base_fy)/n_conv)</f>
        <v>0.07</v>
      </c>
    </row>
    <row r="6504" customFormat="false" ht="15" hidden="false" customHeight="false" outlineLevel="0" collapsed="false">
      <c r="A6504" s="0" t="s">
        <v>715</v>
      </c>
      <c r="B6504" s="0" t="s">
        <v>98</v>
      </c>
      <c r="D6504" s="6" t="n">
        <f aca="false">Sens!D6492+Sens!D6497+Sens!D6498+Sens!D6500+Sens!D6502</f>
        <v>218.783</v>
      </c>
      <c r="E6504" s="6" t="n">
        <f aca="false">Sens!E6492+Sens!E6497+Sens!E6498+Sens!E6500+Sens!E6502</f>
        <v>268.127</v>
      </c>
      <c r="F6504" s="6" t="n">
        <f aca="false">Sens!F6492+Sens!F6497+Sens!F6498+Sens!F6500+Sens!F6502</f>
        <v>335.653940907051</v>
      </c>
      <c r="G6504" s="6" t="n">
        <f aca="false">Sens!G6492+Sens!G6497+Sens!G6498+Sens!G6500+Sens!G6502</f>
        <v>418.190670881892</v>
      </c>
      <c r="H6504" s="6" t="n">
        <f aca="false">Sens!H6492+Sens!H6497+Sens!H6498+Sens!H6500+Sens!H6502</f>
        <v>506.826275281385</v>
      </c>
      <c r="I6504" s="6" t="n">
        <f aca="false">Sens!I6492+Sens!I6497+Sens!I6498+Sens!I6500+Sens!I6502</f>
        <v>582.153760444603</v>
      </c>
      <c r="J6504" s="6" t="n">
        <f aca="false">Sens!J6492+Sens!J6497+Sens!J6498+Sens!J6500+Sens!J6502</f>
        <v>642.626421863355</v>
      </c>
      <c r="K6504" s="6" t="n">
        <f aca="false">Sens!K6492+Sens!K6497+Sens!K6498+Sens!K6500+Sens!K6502</f>
        <v>690.417921299244</v>
      </c>
    </row>
    <row r="6505" customFormat="false" ht="15" hidden="false" customHeight="false" outlineLevel="0" collapsed="false">
      <c r="A6505" s="0" t="s">
        <v>887</v>
      </c>
      <c r="B6505" s="0" t="s">
        <v>98</v>
      </c>
      <c r="D6505" s="6" t="n">
        <f aca="false">Q!L13</f>
        <v>22.171</v>
      </c>
      <c r="E6505" s="6" t="n">
        <f aca="false">Q!M13</f>
        <v>24.835</v>
      </c>
      <c r="F6505" s="6" t="n">
        <f aca="false">Sens!E6505*(1+Sens!F6506)</f>
        <v>27.6114901218559</v>
      </c>
      <c r="G6505" s="6" t="n">
        <f aca="false">Sens!F6505*(1+Sens!G6506)</f>
        <v>30.4675667338515</v>
      </c>
      <c r="H6505" s="6" t="n">
        <f aca="false">Sens!G6505*(1+Sens!H6506)</f>
        <v>33.3643766955789</v>
      </c>
      <c r="I6505" s="6" t="n">
        <f aca="false">Sens!H6505*(1+Sens!I6506)</f>
        <v>36.2577016533691</v>
      </c>
      <c r="J6505" s="6" t="n">
        <f aca="false">Sens!I6505*(1+Sens!J6506)</f>
        <v>39.0988367952171</v>
      </c>
      <c r="K6505" s="6" t="n">
        <f aca="false">Sens!J6505*(1+Sens!K6506)</f>
        <v>41.8357553708823</v>
      </c>
    </row>
    <row r="6506" customFormat="false" ht="15" hidden="false" customHeight="false" outlineLevel="0" collapsed="false">
      <c r="A6506" s="1" t="s">
        <v>876</v>
      </c>
      <c r="B6506" s="0" t="s">
        <v>129</v>
      </c>
      <c r="E6506" s="7" t="n">
        <f aca="false">Sens!E6505/Sens!D6505-1</f>
        <v>0.120156961796942</v>
      </c>
      <c r="F6506" s="7" t="n">
        <f aca="false">Sens!$E$6506+(glt_srch-Sens!$E$6506)*MIN(1,(Sens!F6451-base_fy)/n_conv)</f>
        <v>0.111797468164118</v>
      </c>
      <c r="G6506" s="7" t="n">
        <f aca="false">Sens!$E$6506+(glt_srch-Sens!$E$6506)*MIN(1,(Sens!G6451-base_fy)/n_conv)</f>
        <v>0.103437974531295</v>
      </c>
      <c r="H6506" s="7" t="n">
        <f aca="false">Sens!$E$6506+(glt_srch-Sens!$E$6506)*MIN(1,(Sens!H6451-base_fy)/n_conv)</f>
        <v>0.095078480898471</v>
      </c>
      <c r="I6506" s="7" t="n">
        <f aca="false">Sens!$E$6506+(glt_srch-Sens!$E$6506)*MIN(1,(Sens!I6451-base_fy)/n_conv)</f>
        <v>0.0867189872656474</v>
      </c>
      <c r="J6506" s="7" t="n">
        <f aca="false">Sens!$E$6506+(glt_srch-Sens!$E$6506)*MIN(1,(Sens!J6451-base_fy)/n_conv)</f>
        <v>0.0783594936328237</v>
      </c>
      <c r="K6506" s="7" t="n">
        <f aca="false">Sens!$E$6506+(glt_srch-Sens!$E$6506)*MIN(1,(Sens!K6451-base_fy)/n_conv)</f>
        <v>0.07</v>
      </c>
    </row>
    <row r="6507" customFormat="false" ht="15" hidden="false" customHeight="false" outlineLevel="0" collapsed="false">
      <c r="A6507" s="0" t="s">
        <v>888</v>
      </c>
      <c r="B6507" s="0" t="s">
        <v>98</v>
      </c>
      <c r="D6507" s="6" t="n">
        <f aca="false">Q!L14</f>
        <v>23.455</v>
      </c>
      <c r="E6507" s="6" t="n">
        <f aca="false">Q!M14</f>
        <v>21.79</v>
      </c>
      <c r="F6507" s="6" t="n">
        <f aca="false">Sens!E6507*(1+Sens!F6508)</f>
        <v>20.5736277908051</v>
      </c>
      <c r="G6507" s="6" t="n">
        <f aca="false">Sens!F6507*(1+Sens!G6508)</f>
        <v>19.7371452817919</v>
      </c>
      <c r="H6507" s="6" t="n">
        <f aca="false">Sens!G6507*(1+Sens!H6508)</f>
        <v>19.2339764043138</v>
      </c>
      <c r="I6507" s="6" t="n">
        <f aca="false">Sens!H6507*(1+Sens!I6508)</f>
        <v>19.0353086852681</v>
      </c>
      <c r="J6507" s="6" t="n">
        <f aca="false">Sens!I6507*(1+Sens!J6508)</f>
        <v>19.1273539319129</v>
      </c>
      <c r="K6507" s="6" t="n">
        <f aca="false">Sens!J6507*(1+Sens!K6508)</f>
        <v>19.5099010105511</v>
      </c>
    </row>
    <row r="6508" customFormat="false" ht="15" hidden="false" customHeight="false" outlineLevel="0" collapsed="false">
      <c r="A6508" s="1" t="s">
        <v>876</v>
      </c>
      <c r="B6508" s="0" t="s">
        <v>129</v>
      </c>
      <c r="E6508" s="7" t="n">
        <f aca="false">Sens!E6507/Sens!D6507-1</f>
        <v>-0.0709869963760392</v>
      </c>
      <c r="F6508" s="7" t="n">
        <f aca="false">Sens!$E$6508+(glt_xbox-Sens!$E$6508)*MIN(1,(Sens!F6451-base_fy)/n_conv)</f>
        <v>-0.0558224969800327</v>
      </c>
      <c r="G6508" s="7" t="n">
        <f aca="false">Sens!$E$6508+(glt_xbox-Sens!$E$6508)*MIN(1,(Sens!G6451-base_fy)/n_conv)</f>
        <v>-0.0406579975840262</v>
      </c>
      <c r="H6508" s="7" t="n">
        <f aca="false">Sens!$E$6508+(glt_xbox-Sens!$E$6508)*MIN(1,(Sens!H6451-base_fy)/n_conv)</f>
        <v>-0.0254934981880196</v>
      </c>
      <c r="I6508" s="7" t="n">
        <f aca="false">Sens!$E$6508+(glt_xbox-Sens!$E$6508)*MIN(1,(Sens!I6451-base_fy)/n_conv)</f>
        <v>-0.0103289987920131</v>
      </c>
      <c r="J6508" s="7" t="n">
        <f aca="false">Sens!$E$6508+(glt_xbox-Sens!$E$6508)*MIN(1,(Sens!J6451-base_fy)/n_conv)</f>
        <v>0.00483550060399347</v>
      </c>
      <c r="K6508" s="7" t="n">
        <f aca="false">Sens!$E$6508+(glt_xbox-Sens!$E$6508)*MIN(1,(Sens!K6451-base_fy)/n_conv)</f>
        <v>0.02</v>
      </c>
    </row>
    <row r="6509" customFormat="false" ht="15" hidden="false" customHeight="false" outlineLevel="0" collapsed="false">
      <c r="A6509" s="0" t="s">
        <v>889</v>
      </c>
      <c r="B6509" s="0" t="s">
        <v>98</v>
      </c>
      <c r="D6509" s="6" t="n">
        <f aca="false">Q!L15</f>
        <v>17.315</v>
      </c>
      <c r="E6509" s="6" t="n">
        <f aca="false">Q!M15</f>
        <v>17.087</v>
      </c>
      <c r="F6509" s="6" t="n">
        <f aca="false">Sens!E6509*(1+Sens!F6510)</f>
        <v>16.9564585436519</v>
      </c>
      <c r="G6509" s="6" t="n">
        <f aca="false">Sens!F6509*(1+Sens!G6510)</f>
        <v>16.9206490624268</v>
      </c>
      <c r="H6509" s="6" t="n">
        <f aca="false">Sens!G6509*(1+Sens!H6510)</f>
        <v>16.9784519149849</v>
      </c>
      <c r="I6509" s="6" t="n">
        <f aca="false">Sens!H6509*(1+Sens!I6510)</f>
        <v>17.1303084701817</v>
      </c>
      <c r="J6509" s="6" t="n">
        <f aca="false">Sens!I6509*(1+Sens!J6510)</f>
        <v>17.3782189407267</v>
      </c>
      <c r="K6509" s="6" t="n">
        <f aca="false">Sens!J6509*(1+Sens!K6510)</f>
        <v>17.7257833195413</v>
      </c>
    </row>
    <row r="6510" customFormat="false" ht="15" hidden="false" customHeight="false" outlineLevel="0" collapsed="false">
      <c r="A6510" s="1" t="s">
        <v>876</v>
      </c>
      <c r="B6510" s="0" t="s">
        <v>129</v>
      </c>
      <c r="E6510" s="7" t="n">
        <f aca="false">Sens!E6509/Sens!D6509-1</f>
        <v>-0.0131677736066995</v>
      </c>
      <c r="F6510" s="7" t="n">
        <f aca="false">Sens!$E$6510+(glt_win-Sens!$E$6510)*MIN(1,(Sens!F6451-base_fy)/n_conv)</f>
        <v>-0.00763981133891627</v>
      </c>
      <c r="G6510" s="7" t="n">
        <f aca="false">Sens!$E$6510+(glt_win-Sens!$E$6510)*MIN(1,(Sens!G6451-base_fy)/n_conv)</f>
        <v>-0.00211184907113301</v>
      </c>
      <c r="H6510" s="7" t="n">
        <f aca="false">Sens!$E$6510+(glt_win-Sens!$E$6510)*MIN(1,(Sens!H6451-base_fy)/n_conv)</f>
        <v>0.00341611319665024</v>
      </c>
      <c r="I6510" s="7" t="n">
        <f aca="false">Sens!$E$6510+(glt_win-Sens!$E$6510)*MIN(1,(Sens!I6451-base_fy)/n_conv)</f>
        <v>0.00894407546443349</v>
      </c>
      <c r="J6510" s="7" t="n">
        <f aca="false">Sens!$E$6510+(glt_win-Sens!$E$6510)*MIN(1,(Sens!J6451-base_fy)/n_conv)</f>
        <v>0.0144720377322168</v>
      </c>
      <c r="K6510" s="7" t="n">
        <f aca="false">Sens!$E$6510+(glt_win-Sens!$E$6510)*MIN(1,(Sens!K6451-base_fy)/n_conv)</f>
        <v>0.02</v>
      </c>
    </row>
    <row r="6511" customFormat="false" ht="15" hidden="false" customHeight="false" outlineLevel="0" collapsed="false">
      <c r="A6511" s="0" t="s">
        <v>729</v>
      </c>
      <c r="B6511" s="0" t="s">
        <v>98</v>
      </c>
      <c r="D6511" s="6" t="n">
        <f aca="false">Sens!D6505+Sens!D6507+Sens!D6509</f>
        <v>62.941</v>
      </c>
      <c r="E6511" s="6" t="n">
        <f aca="false">Sens!E6505+Sens!E6507+Sens!E6509</f>
        <v>63.712</v>
      </c>
      <c r="F6511" s="6" t="n">
        <f aca="false">Sens!F6505+Sens!F6507+Sens!F6509</f>
        <v>65.1415764563129</v>
      </c>
      <c r="G6511" s="6" t="n">
        <f aca="false">Sens!G6505+Sens!G6507+Sens!G6509</f>
        <v>67.1253610780702</v>
      </c>
      <c r="H6511" s="6" t="n">
        <f aca="false">Sens!H6505+Sens!H6507+Sens!H6509</f>
        <v>69.5768050148776</v>
      </c>
      <c r="I6511" s="6" t="n">
        <f aca="false">Sens!I6505+Sens!I6507+Sens!I6509</f>
        <v>72.4233188088189</v>
      </c>
      <c r="J6511" s="6" t="n">
        <f aca="false">Sens!J6505+Sens!J6507+Sens!J6509</f>
        <v>75.6044096678567</v>
      </c>
      <c r="K6511" s="6" t="n">
        <f aca="false">Sens!K6505+Sens!K6507+Sens!K6509</f>
        <v>79.0714397009747</v>
      </c>
    </row>
    <row r="6512" customFormat="false" ht="15" hidden="false" customHeight="false" outlineLevel="0" collapsed="false">
      <c r="A6512" s="1" t="s">
        <v>890</v>
      </c>
      <c r="B6512" s="0" t="s">
        <v>98</v>
      </c>
      <c r="D6512" s="6" t="n">
        <f aca="false">Sens!D6504+Sens!D6511</f>
        <v>281.724</v>
      </c>
      <c r="E6512" s="6" t="n">
        <f aca="false">Sens!E6504+Sens!E6511</f>
        <v>331.839</v>
      </c>
      <c r="F6512" s="6" t="n">
        <f aca="false">Sens!F6504+Sens!F6511</f>
        <v>400.795517363364</v>
      </c>
      <c r="G6512" s="6" t="n">
        <f aca="false">Sens!G6504+Sens!G6511</f>
        <v>485.316031959962</v>
      </c>
      <c r="H6512" s="6" t="n">
        <f aca="false">Sens!H6504+Sens!H6511</f>
        <v>576.403080296263</v>
      </c>
      <c r="I6512" s="6" t="n">
        <f aca="false">Sens!I6504+Sens!I6511</f>
        <v>654.577079253422</v>
      </c>
      <c r="J6512" s="6" t="n">
        <f aca="false">Sens!J6504+Sens!J6511</f>
        <v>718.230831531211</v>
      </c>
      <c r="K6512" s="6" t="n">
        <f aca="false">Sens!K6504+Sens!K6511</f>
        <v>769.489361000218</v>
      </c>
    </row>
    <row r="6513" customFormat="false" ht="15" hidden="false" customHeight="false" outlineLevel="0" collapsed="false">
      <c r="A6513" s="23" t="s">
        <v>891</v>
      </c>
      <c r="B6513" s="30" t="s">
        <v>98</v>
      </c>
      <c r="C6513" s="30"/>
      <c r="D6513" s="24" t="n">
        <f aca="false">(Sens!D6492+Sens!D6497+Sens!D6498+Sens!D6500+Sens!D6502-Sens!D6504)+(Sens!D6505+Sens!D6507+Sens!D6509-Sens!D6511)+(Sens!D6504-Q!L5)+(Sens!D6511-Q!L12)+(Sens!D6492-Q!L6)+(Sens!D6497-Q!L7)</f>
        <v>0</v>
      </c>
      <c r="E6513" s="24" t="n">
        <f aca="false">(Sens!E6492+Sens!E6497+Sens!E6498+Sens!E6500+Sens!E6502-Sens!E6504)+(Sens!E6505+Sens!E6507+Sens!E6509-Sens!E6511)+(Sens!E6504-Q!M5)+(Sens!E6511-Q!M12)+(Sens!E6492-Q!M6)+(Sens!E6497-Q!M7)</f>
        <v>0</v>
      </c>
      <c r="F6513" s="24" t="n">
        <f aca="false">(Sens!F6492+Sens!F6497+Sens!F6498+Sens!F6500+Sens!F6502-Sens!F6504)+(Sens!F6505+Sens!F6507+Sens!F6509-Sens!F6511)</f>
        <v>0</v>
      </c>
      <c r="G6513" s="24" t="n">
        <f aca="false">(Sens!G6492+Sens!G6497+Sens!G6498+Sens!G6500+Sens!G6502-Sens!G6504)+(Sens!G6505+Sens!G6507+Sens!G6509-Sens!G6511)</f>
        <v>0</v>
      </c>
      <c r="H6513" s="24" t="n">
        <f aca="false">(Sens!H6492+Sens!H6497+Sens!H6498+Sens!H6500+Sens!H6502-Sens!H6504)+(Sens!H6505+Sens!H6507+Sens!H6509-Sens!H6511)</f>
        <v>0</v>
      </c>
      <c r="I6513" s="24" t="n">
        <f aca="false">(Sens!I6492+Sens!I6497+Sens!I6498+Sens!I6500+Sens!I6502-Sens!I6504)+(Sens!I6505+Sens!I6507+Sens!I6509-Sens!I6511)</f>
        <v>0</v>
      </c>
      <c r="J6513" s="24" t="n">
        <f aca="false">(Sens!J6492+Sens!J6497+Sens!J6498+Sens!J6500+Sens!J6502-Sens!J6504)+(Sens!J6505+Sens!J6507+Sens!J6509-Sens!J6511)</f>
        <v>0</v>
      </c>
      <c r="K6513" s="24" t="n">
        <f aca="false">(Sens!K6492+Sens!K6497+Sens!K6498+Sens!K6500+Sens!K6502-Sens!K6504)+(Sens!K6505+Sens!K6507+Sens!K6509-Sens!K6511)</f>
        <v>0</v>
      </c>
    </row>
    <row r="6514" customFormat="false" ht="17.15" hidden="false" customHeight="false" outlineLevel="0" collapsed="false">
      <c r="A6514" s="3" t="s">
        <v>1429</v>
      </c>
    </row>
    <row r="6515" customFormat="false" ht="15" hidden="false" customHeight="false" outlineLevel="0" collapsed="false">
      <c r="A6515" s="4" t="s">
        <v>43</v>
      </c>
      <c r="B6515" s="4" t="s">
        <v>65</v>
      </c>
      <c r="C6515" s="20" t="s">
        <v>799</v>
      </c>
      <c r="D6515" s="20" t="s">
        <v>800</v>
      </c>
      <c r="E6515" s="20" t="s">
        <v>801</v>
      </c>
      <c r="F6515" s="20" t="s">
        <v>802</v>
      </c>
      <c r="G6515" s="20" t="s">
        <v>803</v>
      </c>
      <c r="H6515" s="20" t="s">
        <v>804</v>
      </c>
      <c r="I6515" s="20" t="s">
        <v>805</v>
      </c>
      <c r="J6515" s="20" t="s">
        <v>806</v>
      </c>
      <c r="K6515" s="20" t="s">
        <v>807</v>
      </c>
      <c r="L6515" s="4" t="s">
        <v>47</v>
      </c>
    </row>
    <row r="6516" customFormat="false" ht="15" hidden="false" customHeight="false" outlineLevel="0" collapsed="false">
      <c r="A6516" s="0" t="s">
        <v>877</v>
      </c>
      <c r="B6516" s="0" t="s">
        <v>98</v>
      </c>
      <c r="D6516" s="6" t="n">
        <f aca="false">Sens!D6492</f>
        <v>72.61</v>
      </c>
      <c r="E6516" s="6" t="n">
        <f aca="false">Sens!E6492</f>
        <v>101.938</v>
      </c>
      <c r="F6516" s="6" t="n">
        <f aca="false">Sens!F6492</f>
        <v>148.812368967868</v>
      </c>
      <c r="G6516" s="6" t="n">
        <f aca="false">Sens!G6492</f>
        <v>208.397514344463</v>
      </c>
      <c r="H6516" s="6" t="n">
        <f aca="false">Sens!H6492</f>
        <v>274.05759259987</v>
      </c>
      <c r="I6516" s="6" t="n">
        <f aca="false">Sens!I6492</f>
        <v>328.302405465117</v>
      </c>
      <c r="J6516" s="6" t="n">
        <f aca="false">Sens!J6492</f>
        <v>369.905524759186</v>
      </c>
      <c r="K6516" s="6" t="n">
        <f aca="false">Sens!K6492</f>
        <v>399.753851959067</v>
      </c>
    </row>
    <row r="6517" customFormat="false" ht="17.15" hidden="false" customHeight="false" outlineLevel="0" collapsed="false">
      <c r="A6517" s="0" t="s">
        <v>874</v>
      </c>
      <c r="B6517" s="0" t="s">
        <v>98</v>
      </c>
      <c r="D6517" s="6" t="n">
        <f aca="false">Sens!D6489</f>
        <v>12.9359794422418</v>
      </c>
      <c r="E6517" s="6" t="n">
        <f aca="false">Sens!E6489</f>
        <v>27.8095064661409</v>
      </c>
      <c r="F6517" s="6" t="n">
        <f aca="false">Sens!F6489</f>
        <v>58.7324192305018</v>
      </c>
      <c r="G6517" s="6" t="n">
        <f aca="false">Sens!G6489</f>
        <v>101.369089141153</v>
      </c>
      <c r="H6517" s="6" t="n">
        <f aca="false">Sens!H6489</f>
        <v>149.785610014234</v>
      </c>
      <c r="I6517" s="6" t="n">
        <f aca="false">Sens!I6489</f>
        <v>187.368703083263</v>
      </c>
      <c r="J6517" s="6" t="n">
        <f aca="false">Sens!J6489</f>
        <v>213.886657444854</v>
      </c>
      <c r="K6517" s="6" t="n">
        <f aca="false">Sens!K6489</f>
        <v>231.253475259589</v>
      </c>
    </row>
    <row r="6518" customFormat="false" ht="17.15" hidden="false" customHeight="false" outlineLevel="0" collapsed="false">
      <c r="A6518" s="0" t="s">
        <v>902</v>
      </c>
      <c r="B6518" s="0" t="s">
        <v>98</v>
      </c>
      <c r="D6518" s="6" t="n">
        <f aca="false">Sens!D6490</f>
        <v>59.6740205577583</v>
      </c>
      <c r="E6518" s="6" t="n">
        <f aca="false">Sens!E6490</f>
        <v>74.1284935338591</v>
      </c>
      <c r="F6518" s="6" t="n">
        <f aca="false">Sens!F6490</f>
        <v>90.0799497373663</v>
      </c>
      <c r="G6518" s="6" t="n">
        <f aca="false">Sens!G6490</f>
        <v>107.02842520331</v>
      </c>
      <c r="H6518" s="6" t="n">
        <f aca="false">Sens!H6490</f>
        <v>124.271982585636</v>
      </c>
      <c r="I6518" s="6" t="n">
        <f aca="false">Sens!I6490</f>
        <v>140.933702381855</v>
      </c>
      <c r="J6518" s="6" t="n">
        <f aca="false">Sens!J6490</f>
        <v>156.018867314332</v>
      </c>
      <c r="K6518" s="6" t="n">
        <f aca="false">Sens!K6490</f>
        <v>168.500376699478</v>
      </c>
    </row>
    <row r="6519" customFormat="false" ht="15" hidden="false" customHeight="false" outlineLevel="0" collapsed="false">
      <c r="A6519" s="0" t="s">
        <v>883</v>
      </c>
      <c r="B6519" s="0" t="s">
        <v>98</v>
      </c>
      <c r="D6519" s="6" t="n">
        <f aca="false">Sens!D6497</f>
        <v>84.605</v>
      </c>
      <c r="E6519" s="6" t="n">
        <f aca="false">Sens!E6497</f>
        <v>100.299</v>
      </c>
      <c r="F6519" s="6" t="n">
        <f aca="false">Sens!F6497</f>
        <v>116.61238776686</v>
      </c>
      <c r="G6519" s="6" t="n">
        <f aca="false">Sens!G6497</f>
        <v>135.244168448684</v>
      </c>
      <c r="H6519" s="6" t="n">
        <f aca="false">Sens!H6497</f>
        <v>153.957359388781</v>
      </c>
      <c r="I6519" s="6" t="n">
        <f aca="false">Sens!I6497</f>
        <v>170.874028071957</v>
      </c>
      <c r="J6519" s="6" t="n">
        <f aca="false">Sens!J6497</f>
        <v>185.712702785465</v>
      </c>
      <c r="K6519" s="6" t="n">
        <f aca="false">Sens!K6497</f>
        <v>199.797991980448</v>
      </c>
    </row>
    <row r="6520" customFormat="false" ht="17.15" hidden="false" customHeight="false" outlineLevel="0" collapsed="false">
      <c r="A6520" s="0" t="s">
        <v>903</v>
      </c>
      <c r="B6520" s="0" t="s">
        <v>98</v>
      </c>
      <c r="D6520" s="6" t="n">
        <f aca="false">Sens!D6495</f>
        <v>83.705</v>
      </c>
      <c r="E6520" s="6" t="n">
        <f aca="false">Sens!E6495</f>
        <v>95.049</v>
      </c>
      <c r="F6520" s="6" t="n">
        <f aca="false">Sens!F6495</f>
        <v>106.89238776686</v>
      </c>
      <c r="G6520" s="6" t="n">
        <f aca="false">Sens!G6495</f>
        <v>119.044168448684</v>
      </c>
      <c r="H6520" s="6" t="n">
        <f aca="false">Sens!H6495</f>
        <v>131.277359388781</v>
      </c>
      <c r="I6520" s="6" t="n">
        <f aca="false">Sens!I6495</f>
        <v>143.334028071957</v>
      </c>
      <c r="J6520" s="6" t="n">
        <f aca="false">Sens!J6495</f>
        <v>154.932702785465</v>
      </c>
      <c r="K6520" s="6" t="n">
        <f aca="false">Sens!K6495</f>
        <v>165.777991980448</v>
      </c>
    </row>
    <row r="6521" customFormat="false" ht="17.15" hidden="false" customHeight="false" outlineLevel="0" collapsed="false">
      <c r="A6521" s="0" t="s">
        <v>904</v>
      </c>
      <c r="B6521" s="0" t="s">
        <v>98</v>
      </c>
      <c r="D6521" s="6" t="n">
        <f aca="false">Sens!D6494</f>
        <v>0.9</v>
      </c>
      <c r="E6521" s="6" t="n">
        <f aca="false">Sens!E6494</f>
        <v>5.25</v>
      </c>
      <c r="F6521" s="6" t="n">
        <f aca="false">Sens!F6494</f>
        <v>9.72</v>
      </c>
      <c r="G6521" s="6" t="n">
        <f aca="false">Sens!G6494</f>
        <v>16.2</v>
      </c>
      <c r="H6521" s="6" t="n">
        <f aca="false">Sens!H6494</f>
        <v>22.68</v>
      </c>
      <c r="I6521" s="6" t="n">
        <f aca="false">Sens!I6494</f>
        <v>27.54</v>
      </c>
      <c r="J6521" s="6" t="n">
        <f aca="false">Sens!J6494</f>
        <v>30.78</v>
      </c>
      <c r="K6521" s="6" t="n">
        <f aca="false">Sens!K6494</f>
        <v>34.02</v>
      </c>
    </row>
    <row r="6522" customFormat="false" ht="15" hidden="false" customHeight="false" outlineLevel="0" collapsed="false">
      <c r="A6522" s="0" t="s">
        <v>884</v>
      </c>
      <c r="B6522" s="0" t="s">
        <v>98</v>
      </c>
      <c r="D6522" s="6" t="n">
        <f aca="false">Sens!D6498</f>
        <v>35.391</v>
      </c>
      <c r="E6522" s="6" t="n">
        <f aca="false">Sens!E6498</f>
        <v>37.285</v>
      </c>
      <c r="F6522" s="6" t="n">
        <f aca="false">Sens!F6498</f>
        <v>39.0720834331704</v>
      </c>
      <c r="G6522" s="6" t="n">
        <f aca="false">Sens!G6498</f>
        <v>40.726562953769</v>
      </c>
      <c r="H6522" s="6" t="n">
        <f aca="false">Sens!H6498</f>
        <v>42.2235987259198</v>
      </c>
      <c r="I6522" s="6" t="n">
        <f aca="false">Sens!I6498</f>
        <v>43.5397988077414</v>
      </c>
      <c r="J6522" s="6" t="n">
        <f aca="false">Sens!J6498</f>
        <v>44.653811225693</v>
      </c>
      <c r="K6522" s="6" t="n">
        <f aca="false">Sens!K6498</f>
        <v>45.5468874502068</v>
      </c>
    </row>
    <row r="6523" customFormat="false" ht="15" hidden="false" customHeight="false" outlineLevel="0" collapsed="false">
      <c r="A6523" s="0" t="s">
        <v>885</v>
      </c>
      <c r="B6523" s="0" t="s">
        <v>98</v>
      </c>
      <c r="D6523" s="6" t="n">
        <f aca="false">Sens!D6500</f>
        <v>18.417</v>
      </c>
      <c r="E6523" s="6" t="n">
        <f aca="false">Sens!E6500</f>
        <v>20.345</v>
      </c>
      <c r="F6523" s="6" t="n">
        <f aca="false">Sens!F6500</f>
        <v>22.3572203267814</v>
      </c>
      <c r="G6523" s="6" t="n">
        <f aca="false">Sens!G6500</f>
        <v>24.4392124437232</v>
      </c>
      <c r="H6523" s="6" t="n">
        <f aca="false">Sens!H6500</f>
        <v>26.5738052080665</v>
      </c>
      <c r="I6523" s="6" t="n">
        <f aca="false">Sens!I6500</f>
        <v>28.7412169166967</v>
      </c>
      <c r="J6523" s="6" t="n">
        <f aca="false">Sens!J6500</f>
        <v>30.9192545395413</v>
      </c>
      <c r="K6523" s="6" t="n">
        <f aca="false">Sens!K6500</f>
        <v>33.0836023573092</v>
      </c>
    </row>
    <row r="6524" customFormat="false" ht="15" hidden="false" customHeight="false" outlineLevel="0" collapsed="false">
      <c r="A6524" s="0" t="s">
        <v>886</v>
      </c>
      <c r="B6524" s="0" t="s">
        <v>98</v>
      </c>
      <c r="D6524" s="6" t="n">
        <f aca="false">Sens!D6502</f>
        <v>7.76</v>
      </c>
      <c r="E6524" s="6" t="n">
        <f aca="false">Sens!E6502</f>
        <v>8.26</v>
      </c>
      <c r="F6524" s="6" t="n">
        <f aca="false">Sens!F6502</f>
        <v>8.79988041237113</v>
      </c>
      <c r="G6524" s="6" t="n">
        <f aca="false">Sens!G6502</f>
        <v>9.38321269125306</v>
      </c>
      <c r="H6524" s="6" t="n">
        <f aca="false">Sens!H6502</f>
        <v>10.0139193587476</v>
      </c>
      <c r="I6524" s="6" t="n">
        <f aca="false">Sens!I6502</f>
        <v>10.6963111830911</v>
      </c>
      <c r="J6524" s="6" t="n">
        <f aca="false">Sens!J6502</f>
        <v>11.4351285534696</v>
      </c>
      <c r="K6524" s="6" t="n">
        <f aca="false">Sens!K6502</f>
        <v>12.2355875522124</v>
      </c>
    </row>
    <row r="6525" customFormat="false" ht="15" hidden="false" customHeight="false" outlineLevel="0" collapsed="false">
      <c r="A6525" s="0" t="s">
        <v>715</v>
      </c>
      <c r="B6525" s="0" t="s">
        <v>98</v>
      </c>
      <c r="D6525" s="6" t="n">
        <f aca="false">Sens!D6504</f>
        <v>218.783</v>
      </c>
      <c r="E6525" s="6" t="n">
        <f aca="false">Sens!E6504</f>
        <v>268.127</v>
      </c>
      <c r="F6525" s="6" t="n">
        <f aca="false">Sens!F6504</f>
        <v>335.653940907051</v>
      </c>
      <c r="G6525" s="6" t="n">
        <f aca="false">Sens!G6504</f>
        <v>418.190670881892</v>
      </c>
      <c r="H6525" s="6" t="n">
        <f aca="false">Sens!H6504</f>
        <v>506.826275281385</v>
      </c>
      <c r="I6525" s="6" t="n">
        <f aca="false">Sens!I6504</f>
        <v>582.153760444603</v>
      </c>
      <c r="J6525" s="6" t="n">
        <f aca="false">Sens!J6504</f>
        <v>642.626421863355</v>
      </c>
      <c r="K6525" s="6" t="n">
        <f aca="false">Sens!K6504</f>
        <v>690.417921299244</v>
      </c>
    </row>
    <row r="6526" customFormat="false" ht="15" hidden="false" customHeight="false" outlineLevel="0" collapsed="false">
      <c r="A6526" s="0" t="s">
        <v>887</v>
      </c>
      <c r="B6526" s="0" t="s">
        <v>98</v>
      </c>
      <c r="D6526" s="6" t="n">
        <f aca="false">Sens!D6505</f>
        <v>22.171</v>
      </c>
      <c r="E6526" s="6" t="n">
        <f aca="false">Sens!E6505</f>
        <v>24.835</v>
      </c>
      <c r="F6526" s="6" t="n">
        <f aca="false">Sens!F6505</f>
        <v>27.6114901218559</v>
      </c>
      <c r="G6526" s="6" t="n">
        <f aca="false">Sens!G6505</f>
        <v>30.4675667338515</v>
      </c>
      <c r="H6526" s="6" t="n">
        <f aca="false">Sens!H6505</f>
        <v>33.3643766955789</v>
      </c>
      <c r="I6526" s="6" t="n">
        <f aca="false">Sens!I6505</f>
        <v>36.2577016533691</v>
      </c>
      <c r="J6526" s="6" t="n">
        <f aca="false">Sens!J6505</f>
        <v>39.0988367952171</v>
      </c>
      <c r="K6526" s="6" t="n">
        <f aca="false">Sens!K6505</f>
        <v>41.8357553708823</v>
      </c>
    </row>
    <row r="6527" customFormat="false" ht="15" hidden="false" customHeight="false" outlineLevel="0" collapsed="false">
      <c r="A6527" s="0" t="s">
        <v>888</v>
      </c>
      <c r="B6527" s="0" t="s">
        <v>98</v>
      </c>
      <c r="D6527" s="6" t="n">
        <f aca="false">Sens!D6507</f>
        <v>23.455</v>
      </c>
      <c r="E6527" s="6" t="n">
        <f aca="false">Sens!E6507</f>
        <v>21.79</v>
      </c>
      <c r="F6527" s="6" t="n">
        <f aca="false">Sens!F6507</f>
        <v>20.5736277908051</v>
      </c>
      <c r="G6527" s="6" t="n">
        <f aca="false">Sens!G6507</f>
        <v>19.7371452817919</v>
      </c>
      <c r="H6527" s="6" t="n">
        <f aca="false">Sens!H6507</f>
        <v>19.2339764043138</v>
      </c>
      <c r="I6527" s="6" t="n">
        <f aca="false">Sens!I6507</f>
        <v>19.0353086852681</v>
      </c>
      <c r="J6527" s="6" t="n">
        <f aca="false">Sens!J6507</f>
        <v>19.1273539319129</v>
      </c>
      <c r="K6527" s="6" t="n">
        <f aca="false">Sens!K6507</f>
        <v>19.5099010105511</v>
      </c>
    </row>
    <row r="6528" customFormat="false" ht="15" hidden="false" customHeight="false" outlineLevel="0" collapsed="false">
      <c r="A6528" s="0" t="s">
        <v>889</v>
      </c>
      <c r="B6528" s="0" t="s">
        <v>98</v>
      </c>
      <c r="D6528" s="6" t="n">
        <f aca="false">Sens!D6509</f>
        <v>17.315</v>
      </c>
      <c r="E6528" s="6" t="n">
        <f aca="false">Sens!E6509</f>
        <v>17.087</v>
      </c>
      <c r="F6528" s="6" t="n">
        <f aca="false">Sens!F6509</f>
        <v>16.9564585436519</v>
      </c>
      <c r="G6528" s="6" t="n">
        <f aca="false">Sens!G6509</f>
        <v>16.9206490624268</v>
      </c>
      <c r="H6528" s="6" t="n">
        <f aca="false">Sens!H6509</f>
        <v>16.9784519149849</v>
      </c>
      <c r="I6528" s="6" t="n">
        <f aca="false">Sens!I6509</f>
        <v>17.1303084701817</v>
      </c>
      <c r="J6528" s="6" t="n">
        <f aca="false">Sens!J6509</f>
        <v>17.3782189407267</v>
      </c>
      <c r="K6528" s="6" t="n">
        <f aca="false">Sens!K6509</f>
        <v>17.7257833195413</v>
      </c>
    </row>
    <row r="6529" customFormat="false" ht="15" hidden="false" customHeight="false" outlineLevel="0" collapsed="false">
      <c r="A6529" s="0" t="s">
        <v>729</v>
      </c>
      <c r="B6529" s="0" t="s">
        <v>98</v>
      </c>
      <c r="D6529" s="6" t="n">
        <f aca="false">Sens!D6511</f>
        <v>62.941</v>
      </c>
      <c r="E6529" s="6" t="n">
        <f aca="false">Sens!E6511</f>
        <v>63.712</v>
      </c>
      <c r="F6529" s="6" t="n">
        <f aca="false">Sens!F6511</f>
        <v>65.1415764563129</v>
      </c>
      <c r="G6529" s="6" t="n">
        <f aca="false">Sens!G6511</f>
        <v>67.1253610780702</v>
      </c>
      <c r="H6529" s="6" t="n">
        <f aca="false">Sens!H6511</f>
        <v>69.5768050148776</v>
      </c>
      <c r="I6529" s="6" t="n">
        <f aca="false">Sens!I6511</f>
        <v>72.4233188088189</v>
      </c>
      <c r="J6529" s="6" t="n">
        <f aca="false">Sens!J6511</f>
        <v>75.6044096678567</v>
      </c>
      <c r="K6529" s="6" t="n">
        <f aca="false">Sens!K6511</f>
        <v>79.0714397009747</v>
      </c>
    </row>
    <row r="6530" customFormat="false" ht="15" hidden="false" customHeight="false" outlineLevel="0" collapsed="false">
      <c r="A6530" s="1" t="s">
        <v>905</v>
      </c>
      <c r="B6530" s="0" t="s">
        <v>98</v>
      </c>
      <c r="D6530" s="6" t="n">
        <f aca="false">Sens!D6512</f>
        <v>281.724</v>
      </c>
      <c r="E6530" s="6" t="n">
        <f aca="false">Sens!E6512</f>
        <v>331.839</v>
      </c>
      <c r="F6530" s="6" t="n">
        <f aca="false">Sens!F6512</f>
        <v>400.795517363364</v>
      </c>
      <c r="G6530" s="6" t="n">
        <f aca="false">Sens!G6512</f>
        <v>485.316031959962</v>
      </c>
      <c r="H6530" s="6" t="n">
        <f aca="false">Sens!H6512</f>
        <v>576.403080296263</v>
      </c>
      <c r="I6530" s="6" t="n">
        <f aca="false">Sens!I6512</f>
        <v>654.577079253422</v>
      </c>
      <c r="J6530" s="6" t="n">
        <f aca="false">Sens!J6512</f>
        <v>718.230831531211</v>
      </c>
      <c r="K6530" s="6" t="n">
        <f aca="false">Sens!K6512</f>
        <v>769.489361000218</v>
      </c>
    </row>
    <row r="6531" customFormat="false" ht="15" hidden="false" customHeight="false" outlineLevel="0" collapsed="false">
      <c r="A6531" s="1" t="s">
        <v>906</v>
      </c>
      <c r="B6531" s="0" t="s">
        <v>129</v>
      </c>
      <c r="E6531" s="7" t="n">
        <f aca="false">Sens!E6530/Sens!D6530-1</f>
        <v>0.177886867998467</v>
      </c>
      <c r="F6531" s="7" t="n">
        <f aca="false">Sens!F6530/Sens!E6530-1</f>
        <v>0.207801124531366</v>
      </c>
      <c r="G6531" s="7" t="n">
        <f aca="false">Sens!G6530/Sens!F6530-1</f>
        <v>0.210881885986693</v>
      </c>
      <c r="H6531" s="7" t="n">
        <f aca="false">Sens!H6530/Sens!G6530-1</f>
        <v>0.187686048549525</v>
      </c>
      <c r="I6531" s="7" t="n">
        <f aca="false">Sens!I6530/Sens!H6530-1</f>
        <v>0.135623839686942</v>
      </c>
      <c r="J6531" s="7" t="n">
        <f aca="false">Sens!J6530/Sens!I6530-1</f>
        <v>0.0972440898028224</v>
      </c>
      <c r="K6531" s="7" t="n">
        <f aca="false">Sens!K6530/Sens!J6530-1</f>
        <v>0.0713677653738811</v>
      </c>
    </row>
    <row r="6532" customFormat="false" ht="17.15" hidden="false" customHeight="false" outlineLevel="0" collapsed="false">
      <c r="A6532" s="23" t="s">
        <v>907</v>
      </c>
      <c r="B6532" s="30" t="s">
        <v>98</v>
      </c>
      <c r="C6532" s="30"/>
      <c r="D6532" s="24" t="n">
        <f aca="false">(Sens!D6525+Sens!D6529-Sens!D6530)+(Sens!D6517+Sens!D6518-Sens!D6516)+(Sens!D6520+Sens!D6521-Sens!D6519)+(Sens!D6530-Q!L18)</f>
        <v>0</v>
      </c>
      <c r="E6532" s="24" t="n">
        <f aca="false">(Sens!E6525+Sens!E6529-Sens!E6530)+(Sens!E6517+Sens!E6518-Sens!E6516)+(Sens!E6520+Sens!E6521-Sens!E6519)+(Sens!E6530-Q!M18)</f>
        <v>0</v>
      </c>
      <c r="F6532" s="24" t="n">
        <f aca="false">(Sens!F6525+Sens!F6529-Sens!F6530)+(Sens!F6517+Sens!F6518-Sens!F6516)+(Sens!F6520+Sens!F6521-Sens!F6519)</f>
        <v>0</v>
      </c>
      <c r="G6532" s="24" t="n">
        <f aca="false">(Sens!G6525+Sens!G6529-Sens!G6530)+(Sens!G6517+Sens!G6518-Sens!G6516)+(Sens!G6520+Sens!G6521-Sens!G6519)</f>
        <v>0</v>
      </c>
      <c r="H6532" s="24" t="n">
        <f aca="false">(Sens!H6525+Sens!H6529-Sens!H6530)+(Sens!H6517+Sens!H6518-Sens!H6516)+(Sens!H6520+Sens!H6521-Sens!H6519)</f>
        <v>0</v>
      </c>
      <c r="I6532" s="24" t="n">
        <f aca="false">(Sens!I6525+Sens!I6529-Sens!I6530)+(Sens!I6517+Sens!I6518-Sens!I6516)+(Sens!I6520+Sens!I6521-Sens!I6519)</f>
        <v>0</v>
      </c>
      <c r="J6532" s="24" t="n">
        <f aca="false">(Sens!J6525+Sens!J6529-Sens!J6530)+(Sens!J6517+Sens!J6518-Sens!J6516)+(Sens!J6520+Sens!J6521-Sens!J6519)</f>
        <v>0</v>
      </c>
      <c r="K6532" s="24" t="n">
        <f aca="false">(Sens!K6525+Sens!K6529-Sens!K6530)+(Sens!K6517+Sens!K6518-Sens!K6516)+(Sens!K6520+Sens!K6521-Sens!K6519)</f>
        <v>0</v>
      </c>
    </row>
    <row r="6533" customFormat="false" ht="17.15" hidden="false" customHeight="false" outlineLevel="0" collapsed="false">
      <c r="A6533" s="0" t="s">
        <v>908</v>
      </c>
      <c r="B6533" s="0" t="s">
        <v>129</v>
      </c>
      <c r="E6533" s="7" t="n">
        <f aca="false">(Q!M21+Sens!E6470+Sens!E6471+Sens!E6472+Sens!E6485-Sens!E6468)/(Q!M5-Sens!E6468)</f>
        <v>0.570957350878296</v>
      </c>
      <c r="F6533" s="7" t="n">
        <f aca="false">Sens!$E$6533+dm_seg</f>
        <v>0.570957350878296</v>
      </c>
      <c r="G6533" s="7" t="n">
        <f aca="false">Sens!$E$6533+dm_seg</f>
        <v>0.570957350878296</v>
      </c>
      <c r="H6533" s="7" t="n">
        <f aca="false">Sens!$E$6533+dm_seg</f>
        <v>0.570957350878296</v>
      </c>
      <c r="I6533" s="7" t="n">
        <f aca="false">Sens!$E$6533+dm_seg</f>
        <v>0.570957350878296</v>
      </c>
      <c r="J6533" s="7" t="n">
        <f aca="false">Sens!$E$6533+dm_seg</f>
        <v>0.570957350878296</v>
      </c>
      <c r="K6533" s="7" t="n">
        <f aca="false">Sens!$E$6533+dm_seg</f>
        <v>0.570957350878296</v>
      </c>
      <c r="L6533" s="11" t="s">
        <v>909</v>
      </c>
    </row>
    <row r="6534" customFormat="false" ht="17.15" hidden="false" customHeight="false" outlineLevel="0" collapsed="false">
      <c r="A6534" s="0" t="s">
        <v>743</v>
      </c>
      <c r="B6534" s="0" t="s">
        <v>98</v>
      </c>
      <c r="D6534" s="6" t="n">
        <f aca="false">Q!L21</f>
        <v>110.814</v>
      </c>
      <c r="E6534" s="6" t="n">
        <f aca="false">Q!M21</f>
        <v>136.365</v>
      </c>
      <c r="F6534" s="6" t="n">
        <f aca="false">Sens!F6533*(Sens!F6504-Sens!F6468)+Sens!F6468-(Sens!F6470+Sens!F6471+Sens!F6472)-Sens!F6485-Sens!F6568</f>
        <v>159.803836201004</v>
      </c>
      <c r="G6534" s="6" t="n">
        <f aca="false">Sens!G6533*(Sens!G6504-Sens!G6468)+Sens!G6468-(Sens!G6470+Sens!G6471+Sens!G6472)-Sens!G6485-Sens!G6568</f>
        <v>188.686425186086</v>
      </c>
      <c r="H6534" s="6" t="n">
        <f aca="false">Sens!H6533*(Sens!H6504-Sens!H6468)+Sens!H6468-(Sens!H6470+Sens!H6471+Sens!H6472)-Sens!H6485-Sens!H6568</f>
        <v>221.710388383838</v>
      </c>
      <c r="I6534" s="6" t="n">
        <f aca="false">Sens!I6533*(Sens!I6504-Sens!I6468)+Sens!I6468-(Sens!I6470+Sens!I6471+Sens!I6472)-Sens!I6485-Sens!I6568</f>
        <v>246.968367552808</v>
      </c>
      <c r="J6534" s="6" t="n">
        <f aca="false">Sens!J6533*(Sens!J6504-Sens!J6468)+Sens!J6468-(Sens!J6470+Sens!J6471+Sens!J6472)-Sens!J6485-Sens!J6568</f>
        <v>268.925125218723</v>
      </c>
      <c r="K6534" s="6" t="n">
        <f aca="false">Sens!K6533*(Sens!K6504-Sens!K6468)+Sens!K6468-(Sens!K6470+Sens!K6471+Sens!K6472)-Sens!K6485-Sens!K6568</f>
        <v>288.804506116423</v>
      </c>
      <c r="L6534" s="1" t="s">
        <v>910</v>
      </c>
    </row>
    <row r="6535" customFormat="false" ht="17.15" hidden="false" customHeight="false" outlineLevel="0" collapsed="false">
      <c r="A6535" s="0" t="s">
        <v>911</v>
      </c>
      <c r="B6535" s="0" t="s">
        <v>129</v>
      </c>
      <c r="E6535" s="7" t="n">
        <f aca="false">Q!M22/Q!M12</f>
        <v>0.296207935710698</v>
      </c>
      <c r="F6535" s="7" t="n">
        <f aca="false">Sens!$E$6535+dm_seg</f>
        <v>0.296207935710698</v>
      </c>
      <c r="G6535" s="7" t="n">
        <f aca="false">Sens!$E$6535+dm_seg</f>
        <v>0.296207935710698</v>
      </c>
      <c r="H6535" s="7" t="n">
        <f aca="false">Sens!$E$6535+dm_seg</f>
        <v>0.296207935710698</v>
      </c>
      <c r="I6535" s="7" t="n">
        <f aca="false">Sens!$E$6535+dm_seg</f>
        <v>0.296207935710698</v>
      </c>
      <c r="J6535" s="7" t="n">
        <f aca="false">Sens!$E$6535+dm_seg</f>
        <v>0.296207935710698</v>
      </c>
      <c r="K6535" s="7" t="n">
        <f aca="false">Sens!$E$6535+dm_seg</f>
        <v>0.296207935710698</v>
      </c>
      <c r="L6535" s="11" t="s">
        <v>912</v>
      </c>
    </row>
    <row r="6536" customFormat="false" ht="17.15" hidden="false" customHeight="false" outlineLevel="0" collapsed="false">
      <c r="A6536" s="0" t="s">
        <v>745</v>
      </c>
      <c r="B6536" s="0" t="s">
        <v>98</v>
      </c>
      <c r="D6536" s="6" t="n">
        <f aca="false">Q!L22</f>
        <v>17.714</v>
      </c>
      <c r="E6536" s="6" t="n">
        <f aca="false">Q!M22</f>
        <v>18.872</v>
      </c>
      <c r="F6536" s="6" t="n">
        <f aca="false">Sens!F6511*Sens!F6535</f>
        <v>19.2954518910651</v>
      </c>
      <c r="G6536" s="6" t="n">
        <f aca="false">Sens!G6511*Sens!G6535</f>
        <v>19.8830646387704</v>
      </c>
      <c r="H6536" s="6" t="n">
        <f aca="false">Sens!H6511*Sens!H6535</f>
        <v>20.6092017868026</v>
      </c>
      <c r="I6536" s="6" t="n">
        <f aca="false">Sens!I6511*Sens!I6535</f>
        <v>21.452361761678</v>
      </c>
      <c r="J6536" s="6" t="n">
        <f aca="false">Sens!J6511*Sens!J6535</f>
        <v>22.3946261183418</v>
      </c>
      <c r="K6536" s="6" t="n">
        <f aca="false">Sens!K6511*Sens!K6535</f>
        <v>23.4215879274986</v>
      </c>
    </row>
    <row r="6537" customFormat="false" ht="15" hidden="false" customHeight="false" outlineLevel="0" collapsed="false">
      <c r="A6537" s="1" t="s">
        <v>913</v>
      </c>
      <c r="B6537" s="0" t="s">
        <v>98</v>
      </c>
      <c r="D6537" s="6" t="n">
        <f aca="false">Sens!D6534+Sens!D6536</f>
        <v>128.528</v>
      </c>
      <c r="E6537" s="6" t="n">
        <f aca="false">Sens!E6534+Sens!E6536</f>
        <v>155.237</v>
      </c>
      <c r="F6537" s="6" t="n">
        <f aca="false">Sens!F6534+Sens!F6536</f>
        <v>179.099288092069</v>
      </c>
      <c r="G6537" s="6" t="n">
        <f aca="false">Sens!G6534+Sens!G6536</f>
        <v>208.569489824856</v>
      </c>
      <c r="H6537" s="6" t="n">
        <f aca="false">Sens!H6534+Sens!H6536</f>
        <v>242.319590170641</v>
      </c>
      <c r="I6537" s="6" t="n">
        <f aca="false">Sens!I6534+Sens!I6536</f>
        <v>268.420729314486</v>
      </c>
      <c r="J6537" s="6" t="n">
        <f aca="false">Sens!J6534+Sens!J6536</f>
        <v>291.319751337065</v>
      </c>
      <c r="K6537" s="6" t="n">
        <f aca="false">Sens!K6534+Sens!K6536</f>
        <v>312.226094043921</v>
      </c>
    </row>
    <row r="6538" customFormat="false" ht="15" hidden="false" customHeight="false" outlineLevel="0" collapsed="false">
      <c r="A6538" s="23" t="s">
        <v>914</v>
      </c>
      <c r="B6538" s="30" t="s">
        <v>98</v>
      </c>
      <c r="C6538" s="30"/>
      <c r="D6538" s="24" t="n">
        <f aca="false">Sens!D6537-Q!L23</f>
        <v>0</v>
      </c>
      <c r="E6538" s="24" t="n">
        <f aca="false">Sens!E6537-Q!M23</f>
        <v>0</v>
      </c>
      <c r="F6538" s="30"/>
      <c r="G6538" s="30"/>
      <c r="H6538" s="30"/>
      <c r="I6538" s="30"/>
      <c r="J6538" s="30"/>
      <c r="K6538" s="30"/>
    </row>
    <row r="6539" customFormat="false" ht="15" hidden="false" customHeight="false" outlineLevel="0" collapsed="false">
      <c r="A6539" s="1" t="s">
        <v>915</v>
      </c>
      <c r="B6539" s="0" t="s">
        <v>129</v>
      </c>
      <c r="D6539" s="7" t="n">
        <f aca="false">Sens!D6537/Sens!D6530</f>
        <v>0.456219562408598</v>
      </c>
      <c r="E6539" s="7" t="n">
        <f aca="false">Sens!E6537/Sens!E6530</f>
        <v>0.467808184089272</v>
      </c>
      <c r="F6539" s="7" t="n">
        <f aca="false">Sens!F6537/Sens!F6530</f>
        <v>0.446859508984219</v>
      </c>
      <c r="G6539" s="7" t="n">
        <f aca="false">Sens!G6537/Sens!G6530</f>
        <v>0.429760148212171</v>
      </c>
      <c r="H6539" s="7" t="n">
        <f aca="false">Sens!H6537/Sens!H6530</f>
        <v>0.420399540623711</v>
      </c>
      <c r="I6539" s="7" t="n">
        <f aca="false">Sens!I6537/Sens!I6530</f>
        <v>0.410067412718809</v>
      </c>
      <c r="J6539" s="7" t="n">
        <f aca="false">Sens!J6537/Sens!J6530</f>
        <v>0.405607415537974</v>
      </c>
      <c r="K6539" s="7" t="n">
        <f aca="false">Sens!K6537/Sens!K6530</f>
        <v>0.405757519035838</v>
      </c>
    </row>
    <row r="6540" customFormat="false" ht="17.15" hidden="false" customHeight="false" outlineLevel="0" collapsed="false">
      <c r="A6540" s="1" t="s">
        <v>916</v>
      </c>
      <c r="B6540" s="0" t="s">
        <v>98</v>
      </c>
      <c r="F6540" s="6" t="n">
        <f aca="false">Sens!F6555</f>
        <v>10.6007032339578</v>
      </c>
      <c r="G6540" s="6" t="n">
        <f aca="false">Sens!G6555</f>
        <v>24.9623535922841</v>
      </c>
      <c r="H6540" s="6" t="n">
        <f aca="false">Sens!H6555</f>
        <v>40.8579829011321</v>
      </c>
      <c r="I6540" s="6" t="n">
        <f aca="false">Sens!I6555</f>
        <v>55.4841373771543</v>
      </c>
      <c r="J6540" s="6" t="n">
        <f aca="false">Sens!J6555</f>
        <v>65.8666315539491</v>
      </c>
      <c r="K6540" s="6" t="n">
        <f aca="false">Sens!K6555</f>
        <v>71.7732755318001</v>
      </c>
      <c r="L6540" s="1" t="s">
        <v>917</v>
      </c>
    </row>
    <row r="6541" customFormat="false" ht="17.15" hidden="false" customHeight="false" outlineLevel="0" collapsed="false">
      <c r="A6541" s="1" t="s">
        <v>918</v>
      </c>
      <c r="B6541" s="0" t="s">
        <v>98</v>
      </c>
      <c r="D6541" s="6" t="n">
        <f aca="false">Sens!D6537</f>
        <v>128.528</v>
      </c>
      <c r="E6541" s="6" t="n">
        <f aca="false">Sens!E6537</f>
        <v>155.237</v>
      </c>
      <c r="F6541" s="6" t="n">
        <f aca="false">Sens!F6537+Sens!F6540</f>
        <v>189.699991326027</v>
      </c>
      <c r="G6541" s="6" t="n">
        <f aca="false">Sens!G6537+Sens!G6540</f>
        <v>233.53184341714</v>
      </c>
      <c r="H6541" s="6" t="n">
        <f aca="false">Sens!H6537+Sens!H6540</f>
        <v>283.177573071773</v>
      </c>
      <c r="I6541" s="6" t="n">
        <f aca="false">Sens!I6537+Sens!I6540</f>
        <v>323.90486669164</v>
      </c>
      <c r="J6541" s="6" t="n">
        <f aca="false">Sens!J6537+Sens!J6540</f>
        <v>357.186382891014</v>
      </c>
      <c r="K6541" s="6" t="n">
        <f aca="false">Sens!K6537+Sens!K6540</f>
        <v>383.999369575721</v>
      </c>
    </row>
    <row r="6542" customFormat="false" ht="17.15" hidden="false" customHeight="false" outlineLevel="0" collapsed="false">
      <c r="A6542" s="1" t="s">
        <v>919</v>
      </c>
      <c r="B6542" s="0" t="s">
        <v>98</v>
      </c>
      <c r="E6542" s="6" t="n">
        <f aca="false">Sens!E6485</f>
        <v>16.3054059770833</v>
      </c>
      <c r="F6542" s="6" t="n">
        <f aca="false">Sens!F6485</f>
        <v>34.0498873809555</v>
      </c>
      <c r="G6542" s="6" t="n">
        <f aca="false">Sens!G6485</f>
        <v>59.1254371105111</v>
      </c>
      <c r="H6542" s="6" t="n">
        <f aca="false">Sens!H6485</f>
        <v>86.3610198433111</v>
      </c>
      <c r="I6542" s="6" t="n">
        <f aca="false">Sens!I6485</f>
        <v>110.605743832393</v>
      </c>
      <c r="J6542" s="6" t="n">
        <f aca="false">Sens!J6485</f>
        <v>127.998322852843</v>
      </c>
      <c r="K6542" s="6" t="n">
        <f aca="false">Sens!K6485</f>
        <v>139.131464044308</v>
      </c>
    </row>
    <row r="6543" customFormat="false" ht="17.15" hidden="false" customHeight="false" outlineLevel="0" collapsed="false">
      <c r="A6543" s="1" t="s">
        <v>920</v>
      </c>
      <c r="B6543" s="0" t="s">
        <v>98</v>
      </c>
      <c r="E6543" s="6" t="n">
        <f aca="false">Sens!E6567</f>
        <v>22.2285940229167</v>
      </c>
      <c r="F6543" s="6" t="n">
        <f aca="false">Sens!F6567</f>
        <v>24.3924470334783</v>
      </c>
      <c r="G6543" s="6" t="n">
        <f aca="false">Sens!G6567</f>
        <v>26.0504916871694</v>
      </c>
      <c r="H6543" s="6" t="n">
        <f aca="false">Sens!H6567</f>
        <v>28.1133938828615</v>
      </c>
      <c r="I6543" s="6" t="n">
        <f aca="false">Sens!I6567</f>
        <v>30.5122945257397</v>
      </c>
      <c r="J6543" s="6" t="n">
        <f aca="false">Sens!J6567</f>
        <v>33.1619563982031</v>
      </c>
      <c r="K6543" s="6" t="n">
        <f aca="false">Sens!K6567</f>
        <v>35.9778310325822</v>
      </c>
    </row>
    <row r="6544" customFormat="false" ht="17.15" hidden="false" customHeight="false" outlineLevel="0" collapsed="false">
      <c r="A6544" s="1" t="s">
        <v>921</v>
      </c>
      <c r="B6544" s="0" t="s">
        <v>98</v>
      </c>
      <c r="D6544" s="6" t="n">
        <f aca="false">Q!L27</f>
        <v>-4.901</v>
      </c>
      <c r="E6544" s="6" t="n">
        <f aca="false">Q!M27</f>
        <v>10.697</v>
      </c>
      <c r="F6544" s="6" t="n">
        <f aca="false">oie_f</f>
        <v>-0.4</v>
      </c>
      <c r="G6544" s="6" t="n">
        <f aca="false">oie_f</f>
        <v>-0.4</v>
      </c>
      <c r="H6544" s="6" t="n">
        <f aca="false">oie_f</f>
        <v>-0.4</v>
      </c>
      <c r="I6544" s="6" t="n">
        <f aca="false">oie_f</f>
        <v>-0.4</v>
      </c>
      <c r="J6544" s="6" t="n">
        <f aca="false">oie_f</f>
        <v>-0.4</v>
      </c>
      <c r="K6544" s="6" t="n">
        <f aca="false">oie_f</f>
        <v>-0.4</v>
      </c>
      <c r="L6544" s="11" t="s">
        <v>922</v>
      </c>
    </row>
    <row r="6545" customFormat="false" ht="15" hidden="false" customHeight="false" outlineLevel="0" collapsed="false">
      <c r="A6545" s="1" t="s">
        <v>923</v>
      </c>
      <c r="B6545" s="0" t="s">
        <v>98</v>
      </c>
      <c r="D6545" s="6" t="n">
        <f aca="false">Sens!D6537+Sens!D6544</f>
        <v>123.627</v>
      </c>
      <c r="E6545" s="6" t="n">
        <f aca="false">Sens!E6537+Sens!E6544</f>
        <v>165.934</v>
      </c>
      <c r="F6545" s="6" t="n">
        <f aca="false">Sens!F6537+Sens!F6544</f>
        <v>178.699288092069</v>
      </c>
      <c r="G6545" s="6" t="n">
        <f aca="false">Sens!G6537+Sens!G6544</f>
        <v>208.169489824856</v>
      </c>
      <c r="H6545" s="6" t="n">
        <f aca="false">Sens!H6537+Sens!H6544</f>
        <v>241.919590170641</v>
      </c>
      <c r="I6545" s="6" t="n">
        <f aca="false">Sens!I6537+Sens!I6544</f>
        <v>268.020729314486</v>
      </c>
      <c r="J6545" s="6" t="n">
        <f aca="false">Sens!J6537+Sens!J6544</f>
        <v>290.919751337065</v>
      </c>
      <c r="K6545" s="6" t="n">
        <f aca="false">Sens!K6537+Sens!K6544</f>
        <v>311.826094043921</v>
      </c>
    </row>
    <row r="6546" customFormat="false" ht="15" hidden="false" customHeight="false" outlineLevel="0" collapsed="false">
      <c r="A6546" s="1" t="s">
        <v>924</v>
      </c>
      <c r="B6546" s="0" t="s">
        <v>98</v>
      </c>
      <c r="D6546" s="6" t="n">
        <f aca="false">Q!L29</f>
        <v>21.795</v>
      </c>
      <c r="E6546" s="6" t="n">
        <f aca="false">Q!M29</f>
        <v>32.185</v>
      </c>
      <c r="F6546" s="6" t="n">
        <f aca="false">Sens!F6545*tax_f</f>
        <v>35.7398576184138</v>
      </c>
      <c r="G6546" s="6" t="n">
        <f aca="false">Sens!G6545*tax_f</f>
        <v>41.6338979649712</v>
      </c>
      <c r="H6546" s="6" t="n">
        <f aca="false">Sens!H6545*tax_f</f>
        <v>48.3839180341282</v>
      </c>
      <c r="I6546" s="6" t="n">
        <f aca="false">Sens!I6545*tax_f</f>
        <v>53.6041458628972</v>
      </c>
      <c r="J6546" s="6" t="n">
        <f aca="false">Sens!J6545*tax_f</f>
        <v>58.1839502674129</v>
      </c>
      <c r="K6546" s="6" t="n">
        <f aca="false">Sens!K6545*tax_f</f>
        <v>62.3652188087842</v>
      </c>
    </row>
    <row r="6547" customFormat="false" ht="15" hidden="false" customHeight="false" outlineLevel="0" collapsed="false">
      <c r="A6547" s="1" t="s">
        <v>925</v>
      </c>
      <c r="B6547" s="0" t="s">
        <v>98</v>
      </c>
      <c r="D6547" s="6" t="n">
        <f aca="false">Sens!D6545-Sens!D6546</f>
        <v>101.832</v>
      </c>
      <c r="E6547" s="6" t="n">
        <f aca="false">Sens!E6545-Sens!E6546</f>
        <v>133.749</v>
      </c>
      <c r="F6547" s="6" t="n">
        <f aca="false">Sens!F6545-Sens!F6546</f>
        <v>142.959430473655</v>
      </c>
      <c r="G6547" s="6" t="n">
        <f aca="false">Sens!G6545-Sens!G6546</f>
        <v>166.535591859885</v>
      </c>
      <c r="H6547" s="6" t="n">
        <f aca="false">Sens!H6545-Sens!H6546</f>
        <v>193.535672136513</v>
      </c>
      <c r="I6547" s="6" t="n">
        <f aca="false">Sens!I6545-Sens!I6546</f>
        <v>214.416583451589</v>
      </c>
      <c r="J6547" s="6" t="n">
        <f aca="false">Sens!J6545-Sens!J6546</f>
        <v>232.735801069652</v>
      </c>
      <c r="K6547" s="6" t="n">
        <f aca="false">Sens!K6545-Sens!K6546</f>
        <v>249.460875235137</v>
      </c>
    </row>
    <row r="6548" customFormat="false" ht="17.15" hidden="false" customHeight="false" outlineLevel="0" collapsed="false">
      <c r="A6548" s="1" t="s">
        <v>926</v>
      </c>
      <c r="B6548" s="1" t="s">
        <v>81</v>
      </c>
      <c r="D6548" s="14" t="n">
        <f aca="false">Q!L31</f>
        <v>7.465</v>
      </c>
      <c r="E6548" s="14" t="n">
        <f aca="false">Q!M31</f>
        <v>7.453</v>
      </c>
      <c r="F6548" s="14" t="n">
        <f aca="false">Sens!F6591</f>
        <v>7.4735</v>
      </c>
      <c r="G6548" s="14" t="n">
        <f aca="false">Sens!G6591</f>
        <v>7.5103402423797</v>
      </c>
      <c r="H6548" s="14" t="n">
        <f aca="false">Sens!H6591</f>
        <v>7.52993207060935</v>
      </c>
      <c r="I6548" s="14" t="n">
        <f aca="false">Sens!I6591</f>
        <v>7.54171290261667</v>
      </c>
      <c r="J6548" s="14" t="n">
        <f aca="false">Sens!J6591</f>
        <v>7.55595441373455</v>
      </c>
      <c r="K6548" s="14" t="n">
        <f aca="false">Sens!K6591</f>
        <v>7.57247433143629</v>
      </c>
    </row>
    <row r="6549" customFormat="false" ht="17.15" hidden="false" customHeight="false" outlineLevel="0" collapsed="false">
      <c r="A6549" s="0" t="s">
        <v>927</v>
      </c>
      <c r="B6549" s="0" t="s">
        <v>75</v>
      </c>
      <c r="D6549" s="8" t="n">
        <f aca="false">Sens!D6547/Sens!D6548</f>
        <v>13.641259209645</v>
      </c>
      <c r="E6549" s="8" t="n">
        <f aca="false">Sens!E6547/Sens!E6548</f>
        <v>17.9456594659869</v>
      </c>
      <c r="F6549" s="8" t="n">
        <f aca="false">Sens!F6547/Sens!F6548</f>
        <v>19.1288459856366</v>
      </c>
      <c r="G6549" s="8" t="n">
        <f aca="false">Sens!G6547/Sens!G6548</f>
        <v>22.1741740700574</v>
      </c>
      <c r="H6549" s="8" t="n">
        <f aca="false">Sens!H6547/Sens!H6548</f>
        <v>25.7021803545767</v>
      </c>
      <c r="I6549" s="8" t="n">
        <f aca="false">Sens!I6547/Sens!I6548</f>
        <v>28.4307538910948</v>
      </c>
      <c r="J6549" s="8" t="n">
        <f aca="false">Sens!J6547/Sens!J6548</f>
        <v>30.8016417683258</v>
      </c>
      <c r="K6549" s="8" t="n">
        <f aca="false">Sens!K6547/Sens!K6548</f>
        <v>32.9431126890094</v>
      </c>
      <c r="L6549" s="1" t="s">
        <v>928</v>
      </c>
    </row>
    <row r="6550" customFormat="false" ht="17.15" hidden="false" customHeight="false" outlineLevel="0" collapsed="false">
      <c r="A6550" s="1" t="s">
        <v>929</v>
      </c>
      <c r="B6550" s="0" t="s">
        <v>98</v>
      </c>
      <c r="D6550" s="6" t="n">
        <f aca="false">Sens!D6547</f>
        <v>101.832</v>
      </c>
      <c r="E6550" s="6" t="n">
        <f aca="false">Sens!E6547</f>
        <v>133.749</v>
      </c>
      <c r="F6550" s="6" t="n">
        <f aca="false">Sens!F6547+Sens!F6540*(1-tax_f)</f>
        <v>151.439993060821</v>
      </c>
      <c r="G6550" s="6" t="n">
        <f aca="false">Sens!G6547+Sens!G6540*(1-tax_f)</f>
        <v>186.505474733712</v>
      </c>
      <c r="H6550" s="6" t="n">
        <f aca="false">Sens!H6547+Sens!H6540*(1-tax_f)</f>
        <v>226.222058457418</v>
      </c>
      <c r="I6550" s="6" t="n">
        <f aca="false">Sens!I6547+Sens!I6540*(1-tax_f)</f>
        <v>258.803893353312</v>
      </c>
      <c r="J6550" s="6" t="n">
        <f aca="false">Sens!J6547+Sens!J6540*(1-tax_f)</f>
        <v>285.429106312811</v>
      </c>
      <c r="K6550" s="6" t="n">
        <f aca="false">Sens!K6547+Sens!K6540*(1-tax_f)</f>
        <v>306.879495660577</v>
      </c>
    </row>
    <row r="6551" customFormat="false" ht="17.15" hidden="false" customHeight="false" outlineLevel="0" collapsed="false">
      <c r="A6551" s="0" t="s">
        <v>930</v>
      </c>
      <c r="B6551" s="0" t="s">
        <v>75</v>
      </c>
      <c r="D6551" s="8" t="n">
        <f aca="false">Sens!D6550/Sens!D6548</f>
        <v>13.641259209645</v>
      </c>
      <c r="E6551" s="8" t="n">
        <f aca="false">Sens!E6550/Sens!E6548</f>
        <v>17.9456594659869</v>
      </c>
      <c r="F6551" s="8" t="n">
        <f aca="false">Sens!F6550/Sens!F6548</f>
        <v>20.2635971179262</v>
      </c>
      <c r="G6551" s="8" t="n">
        <f aca="false">Sens!G6550/Sens!G6548</f>
        <v>24.8331591798319</v>
      </c>
      <c r="H6551" s="8" t="n">
        <f aca="false">Sens!H6550/Sens!H6548</f>
        <v>30.0430410707691</v>
      </c>
      <c r="I6551" s="8" t="n">
        <f aca="false">Sens!I6550/Sens!I6548</f>
        <v>34.3163279609222</v>
      </c>
      <c r="J6551" s="8" t="n">
        <f aca="false">Sens!J6550/Sens!J6548</f>
        <v>37.7753875531572</v>
      </c>
      <c r="K6551" s="8" t="n">
        <f aca="false">Sens!K6550/Sens!K6548</f>
        <v>40.5256567706807</v>
      </c>
      <c r="L6551" s="1" t="s">
        <v>931</v>
      </c>
    </row>
    <row r="6552" customFormat="false" ht="17.15" hidden="false" customHeight="false" outlineLevel="0" collapsed="false">
      <c r="A6552" s="0" t="s">
        <v>932</v>
      </c>
      <c r="B6552" s="0" t="s">
        <v>129</v>
      </c>
      <c r="E6552" s="7" t="n">
        <f aca="false">Sens!E6551/Sens!D6551-1</f>
        <v>0.315542736208578</v>
      </c>
      <c r="F6552" s="7" t="n">
        <f aca="false">Sens!F6551/Sens!E6551-1</f>
        <v>0.129164250348816</v>
      </c>
      <c r="G6552" s="7" t="n">
        <f aca="false">Sens!G6551/Sens!F6551-1</f>
        <v>0.225505966947162</v>
      </c>
      <c r="H6552" s="7" t="n">
        <f aca="false">Sens!H6551/Sens!G6551-1</f>
        <v>0.209795372920915</v>
      </c>
      <c r="I6552" s="7" t="n">
        <f aca="false">Sens!I6551/Sens!H6551-1</f>
        <v>0.142238825959296</v>
      </c>
      <c r="J6552" s="7" t="n">
        <f aca="false">Sens!J6551/Sens!I6551-1</f>
        <v>0.100799234585179</v>
      </c>
      <c r="K6552" s="7" t="n">
        <f aca="false">Sens!K6551/Sens!J6551-1</f>
        <v>0.0728058504668783</v>
      </c>
    </row>
    <row r="6553" customFormat="false" ht="17.15" hidden="false" customHeight="false" outlineLevel="0" collapsed="false">
      <c r="A6553" s="0" t="s">
        <v>856</v>
      </c>
      <c r="B6553" s="0" t="s">
        <v>98</v>
      </c>
      <c r="E6553" s="6" t="n">
        <f aca="false">Sens!E6494</f>
        <v>5.25</v>
      </c>
      <c r="F6553" s="6" t="n">
        <f aca="false">Sens!F6494</f>
        <v>9.72</v>
      </c>
      <c r="G6553" s="6" t="n">
        <f aca="false">Sens!G6494</f>
        <v>16.2</v>
      </c>
      <c r="H6553" s="6" t="n">
        <f aca="false">Sens!H6494</f>
        <v>22.68</v>
      </c>
      <c r="I6553" s="6" t="n">
        <f aca="false">Sens!I6494</f>
        <v>27.54</v>
      </c>
      <c r="J6553" s="6" t="n">
        <f aca="false">Sens!J6494</f>
        <v>30.78</v>
      </c>
      <c r="K6553" s="6" t="n">
        <f aca="false">Sens!K6494</f>
        <v>34.02</v>
      </c>
    </row>
    <row r="6554" customFormat="false" ht="17.15" hidden="false" customHeight="false" outlineLevel="0" collapsed="false">
      <c r="A6554" s="1" t="s">
        <v>857</v>
      </c>
      <c r="B6554" s="0" t="s">
        <v>98</v>
      </c>
      <c r="F6554" s="6" t="n">
        <f aca="false">MAX(0,((Sens!E6457+Sens!F6457)/2-(shadow_base*(Sens!$D$6457+Sens!$E$6457)/2+(1-shadow_base)*Sens!$E$6457))*Sens!F6465/1000-(Sens!F6553-Sens!$E$6553)*Sens!F6533)</f>
        <v>10.6007032339578</v>
      </c>
      <c r="G6554" s="6" t="n">
        <f aca="false">MAX(0,((Sens!F6457+Sens!G6457)/2-(shadow_base*(Sens!$D$6457+Sens!$E$6457)/2+(1-shadow_base)*Sens!$E$6457))*Sens!G6465/1000-(Sens!G6553-Sens!$E$6553)*Sens!G6533)</f>
        <v>24.9623535922841</v>
      </c>
      <c r="H6554" s="6" t="n">
        <f aca="false">MAX(0,((Sens!G6457+Sens!H6457)/2-(shadow_base*(Sens!$D$6457+Sens!$E$6457)/2+(1-shadow_base)*Sens!$E$6457))*Sens!H6465/1000-(Sens!H6553-Sens!$E$6553)*Sens!H6533)</f>
        <v>40.8579829011321</v>
      </c>
      <c r="I6554" s="6" t="n">
        <f aca="false">MAX(0,((Sens!H6457+Sens!I6457)/2-(shadow_base*(Sens!$D$6457+Sens!$E$6457)/2+(1-shadow_base)*Sens!$E$6457))*Sens!I6465/1000-(Sens!I6553-Sens!$E$6553)*Sens!I6533)</f>
        <v>55.4841373771543</v>
      </c>
      <c r="J6554" s="6" t="n">
        <f aca="false">MAX(0,((Sens!I6457+Sens!J6457)/2-(shadow_base*(Sens!$D$6457+Sens!$E$6457)/2+(1-shadow_base)*Sens!$E$6457))*Sens!J6465/1000-(Sens!J6553-Sens!$E$6553)*Sens!J6533)</f>
        <v>65.8666315539491</v>
      </c>
      <c r="K6554" s="6" t="n">
        <f aca="false">MAX(0,((Sens!J6457+Sens!K6457)/2-(shadow_base*(Sens!$D$6457+Sens!$E$6457)/2+(1-shadow_base)*Sens!$E$6457))*Sens!K6465/1000-(Sens!K6553-Sens!$E$6553)*Sens!K6533)</f>
        <v>71.7732755318001</v>
      </c>
      <c r="L6554" s="1" t="s">
        <v>858</v>
      </c>
    </row>
    <row r="6555" customFormat="false" ht="17.15" hidden="false" customHeight="false" outlineLevel="0" collapsed="false">
      <c r="A6555" s="1" t="s">
        <v>859</v>
      </c>
      <c r="B6555" s="0" t="s">
        <v>98</v>
      </c>
      <c r="F6555" s="6" t="n">
        <f aca="false">IF(internal_ai_reading=2,1,0)*Sens!F6554</f>
        <v>10.6007032339578</v>
      </c>
      <c r="G6555" s="6" t="n">
        <f aca="false">IF(internal_ai_reading=2,1,0)*Sens!G6554</f>
        <v>24.9623535922841</v>
      </c>
      <c r="H6555" s="6" t="n">
        <f aca="false">IF(internal_ai_reading=2,1,0)*Sens!H6554</f>
        <v>40.8579829011321</v>
      </c>
      <c r="I6555" s="6" t="n">
        <f aca="false">IF(internal_ai_reading=2,1,0)*Sens!I6554</f>
        <v>55.4841373771543</v>
      </c>
      <c r="J6555" s="6" t="n">
        <f aca="false">IF(internal_ai_reading=2,1,0)*Sens!J6554</f>
        <v>65.8666315539491</v>
      </c>
      <c r="K6555" s="6" t="n">
        <f aca="false">IF(internal_ai_reading=2,1,0)*Sens!K6554</f>
        <v>71.7732755318001</v>
      </c>
    </row>
    <row r="6556" customFormat="false" ht="17.15" hidden="false" customHeight="false" outlineLevel="0" collapsed="false">
      <c r="A6556" s="0" t="s">
        <v>860</v>
      </c>
      <c r="B6556" s="0" t="s">
        <v>98</v>
      </c>
      <c r="F6556" s="6" t="n">
        <f aca="false">Sens!F6474+Sens!F6553*Sens!F6533+Sens!F6555-Sens!F6475-Sens!F6485</f>
        <v>18.6954441577666</v>
      </c>
      <c r="G6556" s="6" t="n">
        <f aca="false">Sens!G6474+Sens!G6553*Sens!G6533+Sens!G6555-Sens!G6475-Sens!G6485</f>
        <v>42.7730967717415</v>
      </c>
      <c r="H6556" s="6" t="n">
        <f aca="false">Sens!H6474+Sens!H6553*Sens!H6533+Sens!H6555-Sens!H6475-Sens!H6485</f>
        <v>72.3524695349497</v>
      </c>
      <c r="I6556" s="6" t="n">
        <f aca="false">Sens!I6474+Sens!I6553*Sens!I6533+Sens!I6555-Sens!I6475-Sens!I6485</f>
        <v>93.3920399917181</v>
      </c>
      <c r="J6556" s="6" t="n">
        <f aca="false">Sens!J6474+Sens!J6553*Sens!J6533+Sens!J6555-Sens!J6475-Sens!J6485</f>
        <v>108.132424046476</v>
      </c>
      <c r="K6556" s="6" t="n">
        <f aca="false">Sens!K6474+Sens!K6553*Sens!K6533+Sens!K6555-Sens!K6475-Sens!K6485</f>
        <v>118.341283106908</v>
      </c>
    </row>
    <row r="6557" customFormat="false" ht="17.15" hidden="false" customHeight="false" outlineLevel="0" collapsed="false">
      <c r="A6557" s="0" t="s">
        <v>861</v>
      </c>
      <c r="B6557" s="0" t="s">
        <v>98</v>
      </c>
      <c r="E6557" s="6" t="n">
        <f aca="false">Sens!E6456*(cxit_open+self_build*tk_cxfac)/1000*ai_net_open</f>
        <v>126.6980382</v>
      </c>
      <c r="F6557" s="6" t="n">
        <f aca="false">Sens!E6557+Sens!F6482-Sens!F6485</f>
        <v>252.981026690511</v>
      </c>
      <c r="G6557" s="6" t="n">
        <f aca="false">Sens!F6557+Sens!G6482-Sens!G6485</f>
        <v>377.4297700632</v>
      </c>
      <c r="H6557" s="6" t="n">
        <f aca="false">Sens!G6557+Sens!H6482-Sens!H6485</f>
        <v>479.149036130289</v>
      </c>
      <c r="I6557" s="6" t="n">
        <f aca="false">Sens!H6557+Sens!I6482-Sens!I6485</f>
        <v>532.249961452141</v>
      </c>
      <c r="J6557" s="6" t="n">
        <f aca="false">Sens!I6557+Sens!J6482-Sens!J6485</f>
        <v>531.43307519354</v>
      </c>
      <c r="K6557" s="6" t="n">
        <f aca="false">Sens!J6557+Sens!K6482-Sens!K6485</f>
        <v>513.709026452823</v>
      </c>
      <c r="L6557" s="1" t="s">
        <v>862</v>
      </c>
    </row>
    <row r="6558" customFormat="false" ht="17.15" hidden="false" customHeight="false" outlineLevel="0" collapsed="false">
      <c r="A6558" s="0" t="s">
        <v>863</v>
      </c>
      <c r="B6558" s="0" t="s">
        <v>129</v>
      </c>
      <c r="F6558" s="7" t="n">
        <f aca="false">Sens!F6556*(1-tax_f)/((Sens!E6557+Sens!F6557)/2)</f>
        <v>0.0787841980727922</v>
      </c>
      <c r="G6558" s="7" t="n">
        <f aca="false">Sens!G6556*(1-tax_f)/((Sens!F6557+Sens!G6557)/2)</f>
        <v>0.108559300042451</v>
      </c>
      <c r="H6558" s="7" t="n">
        <f aca="false">Sens!H6556*(1-tax_f)/((Sens!G6557+Sens!H6557)/2)</f>
        <v>0.135146877810762</v>
      </c>
      <c r="I6558" s="7" t="n">
        <f aca="false">Sens!I6556*(1-tax_f)/((Sens!H6557+Sens!I6557)/2)</f>
        <v>0.147743140287788</v>
      </c>
      <c r="J6558" s="7" t="n">
        <f aca="false">Sens!J6556*(1-tax_f)/((Sens!I6557+Sens!J6557)/2)</f>
        <v>0.162653603107137</v>
      </c>
      <c r="K6558" s="7" t="n">
        <f aca="false">Sens!K6556*(1-tax_f)/((Sens!J6557+Sens!K6557)/2)</f>
        <v>0.181167759554213</v>
      </c>
    </row>
    <row r="6559" customFormat="false" ht="17.15" hidden="false" customHeight="false" outlineLevel="0" collapsed="false">
      <c r="A6559" s="1" t="s">
        <v>864</v>
      </c>
      <c r="B6559" s="0" t="s">
        <v>129</v>
      </c>
      <c r="F6559" s="7" t="n">
        <f aca="false">(Sens!F6556-Sens!F6555)*(1-tax_f)/((Sens!E6557+Sens!F6557)/2)</f>
        <v>0.0341119294576566</v>
      </c>
      <c r="G6559" s="7" t="n">
        <f aca="false">(Sens!G6556-Sens!G6555)*(1-tax_f)/((Sens!F6557+Sens!G6557)/2)</f>
        <v>0.0452041577236266</v>
      </c>
      <c r="H6559" s="7" t="n">
        <f aca="false">(Sens!H6556-Sens!H6555)*(1-tax_f)/((Sens!G6557+Sens!H6557)/2)</f>
        <v>0.0588284209809476</v>
      </c>
      <c r="I6559" s="7" t="n">
        <f aca="false">(Sens!I6556-Sens!I6555)*(1-tax_f)/((Sens!H6557+Sens!I6557)/2)</f>
        <v>0.0599690570470026</v>
      </c>
      <c r="J6559" s="7" t="n">
        <f aca="false">(Sens!J6556-Sens!J6555)*(1-tax_f)/((Sens!I6557+Sens!J6557)/2)</f>
        <v>0.0635765220072498</v>
      </c>
      <c r="K6559" s="7" t="n">
        <f aca="false">(Sens!K6556-Sens!K6555)*(1-tax_f)/((Sens!J6557+Sens!K6557)/2)</f>
        <v>0.0712906044094891</v>
      </c>
    </row>
    <row r="6560" customFormat="false" ht="17.15" hidden="false" customHeight="false" outlineLevel="0" collapsed="false">
      <c r="A6560" s="1" t="s">
        <v>865</v>
      </c>
      <c r="B6560" s="0" t="s">
        <v>129</v>
      </c>
      <c r="F6560" s="7" t="n">
        <f aca="false">(Sens!F6556-Sens!F6555+Sens!F6554)*(1-tax_f)/((Sens!E6557+Sens!F6557)/2)</f>
        <v>0.0787841980727922</v>
      </c>
      <c r="G6560" s="7" t="n">
        <f aca="false">(Sens!G6556-Sens!G6555+Sens!G6554)*(1-tax_f)/((Sens!F6557+Sens!G6557)/2)</f>
        <v>0.108559300042451</v>
      </c>
      <c r="H6560" s="7" t="n">
        <f aca="false">(Sens!H6556-Sens!H6555+Sens!H6554)*(1-tax_f)/((Sens!G6557+Sens!H6557)/2)</f>
        <v>0.135146877810762</v>
      </c>
      <c r="I6560" s="7" t="n">
        <f aca="false">(Sens!I6556-Sens!I6555+Sens!I6554)*(1-tax_f)/((Sens!H6557+Sens!I6557)/2)</f>
        <v>0.147743140287788</v>
      </c>
      <c r="J6560" s="7" t="n">
        <f aca="false">(Sens!J6556-Sens!J6555+Sens!J6554)*(1-tax_f)/((Sens!I6557+Sens!J6557)/2)</f>
        <v>0.162653603107137</v>
      </c>
      <c r="K6560" s="7" t="n">
        <f aca="false">(Sens!K6556-Sens!K6555+Sens!K6554)*(1-tax_f)/((Sens!J6557+Sens!K6557)/2)</f>
        <v>0.181167759554213</v>
      </c>
    </row>
    <row r="6561" customFormat="false" ht="17.15" hidden="false" customHeight="false" outlineLevel="0" collapsed="false">
      <c r="A6561" s="1" t="s">
        <v>866</v>
      </c>
      <c r="B6561" s="0" t="s">
        <v>129</v>
      </c>
      <c r="F6561" s="7" t="n">
        <f aca="false">Sens!F6486*(1-tax_f)/(Sens!F6473*(Sens!E6557+Sens!F6557)/2)</f>
        <v>0.159418295257403</v>
      </c>
      <c r="G6561" s="7" t="n">
        <f aca="false">Sens!G6486*(1-tax_f)/(Sens!G6473*(Sens!F6557+Sens!G6557)/2)</f>
        <v>0.181875227327983</v>
      </c>
      <c r="H6561" s="7" t="n">
        <f aca="false">Sens!H6486*(1-tax_f)/(Sens!H6473*(Sens!G6557+Sens!H6557)/2)</f>
        <v>0.212793847216411</v>
      </c>
      <c r="I6561" s="7" t="n">
        <f aca="false">Sens!I6486*(1-tax_f)/(Sens!I6473*(Sens!H6557+Sens!I6557)/2)</f>
        <v>0.225613268329429</v>
      </c>
      <c r="J6561" s="7" t="n">
        <f aca="false">Sens!J6486*(1-tax_f)/(Sens!J6473*(Sens!I6557+Sens!J6557)/2)</f>
        <v>0.24488839563955</v>
      </c>
      <c r="K6561" s="7" t="n">
        <f aca="false">Sens!K6486*(1-tax_f)/(Sens!K6473*(Sens!J6557+Sens!K6557)/2)</f>
        <v>0.270711455180788</v>
      </c>
    </row>
    <row r="6562" customFormat="false" ht="17.15" hidden="false" customHeight="false" outlineLevel="0" collapsed="false">
      <c r="A6562" s="0" t="s">
        <v>867</v>
      </c>
      <c r="B6562" s="0" t="s">
        <v>209</v>
      </c>
      <c r="F6562" s="7" t="n">
        <f aca="false">Sens!F6558-wacc</f>
        <v>-0.0241502220200835</v>
      </c>
      <c r="G6562" s="7" t="n">
        <f aca="false">Sens!G6558-wacc</f>
        <v>0.00562487994957479</v>
      </c>
      <c r="H6562" s="7" t="n">
        <f aca="false">Sens!H6558-wacc</f>
        <v>0.0322124577178859</v>
      </c>
      <c r="I6562" s="7" t="n">
        <f aca="false">Sens!I6558-wacc</f>
        <v>0.044808720194912</v>
      </c>
      <c r="J6562" s="7" t="n">
        <f aca="false">Sens!J6558-wacc</f>
        <v>0.0597191830142614</v>
      </c>
      <c r="K6562" s="7" t="n">
        <f aca="false">Sens!K6558-wacc</f>
        <v>0.0782333394613372</v>
      </c>
    </row>
    <row r="6563" customFormat="false" ht="17.15" hidden="false" customHeight="false" outlineLevel="0" collapsed="false">
      <c r="A6563" s="0" t="s">
        <v>868</v>
      </c>
      <c r="B6563" s="0" t="s">
        <v>98</v>
      </c>
      <c r="F6563" s="6" t="n">
        <f aca="false">Sens!F6556*(1-tax_f)-wacc*(Sens!E6557+Sens!F6557)/2</f>
        <v>-4.58466685674177</v>
      </c>
      <c r="G6563" s="6" t="n">
        <f aca="false">Sens!G6556*(1-tax_f)-wacc*(Sens!F6557+Sens!G6557)/2</f>
        <v>1.77299252532771</v>
      </c>
      <c r="H6563" s="6" t="n">
        <f aca="false">Sens!H6556*(1-tax_f)-wacc*(Sens!G6557+Sens!H6557)/2</f>
        <v>13.7962542882725</v>
      </c>
      <c r="I6563" s="6" t="n">
        <f aca="false">Sens!I6556*(1-tax_f)-wacc*(Sens!H6557+Sens!I6557)/2</f>
        <v>22.6597473440428</v>
      </c>
      <c r="J6563" s="6" t="n">
        <f aca="false">Sens!J6556*(1-tax_f)-wacc*(Sens!I6557+Sens!J6557)/2</f>
        <v>31.7611409673044</v>
      </c>
      <c r="K6563" s="6" t="n">
        <f aca="false">Sens!K6556*(1-tax_f)-wacc*(Sens!J6557+Sens!K6557)/2</f>
        <v>40.8824784117176</v>
      </c>
    </row>
    <row r="6564" customFormat="false" ht="17.15" hidden="false" customHeight="false" outlineLevel="0" collapsed="false">
      <c r="A6564" s="3" t="s">
        <v>1430</v>
      </c>
    </row>
    <row r="6565" customFormat="false" ht="15" hidden="false" customHeight="false" outlineLevel="0" collapsed="false">
      <c r="A6565" s="4" t="s">
        <v>43</v>
      </c>
      <c r="B6565" s="4" t="s">
        <v>65</v>
      </c>
      <c r="C6565" s="20" t="s">
        <v>799</v>
      </c>
      <c r="D6565" s="20" t="s">
        <v>800</v>
      </c>
      <c r="E6565" s="20" t="s">
        <v>801</v>
      </c>
      <c r="F6565" s="20" t="s">
        <v>802</v>
      </c>
      <c r="G6565" s="20" t="s">
        <v>803</v>
      </c>
      <c r="H6565" s="20" t="s">
        <v>804</v>
      </c>
      <c r="I6565" s="20" t="s">
        <v>805</v>
      </c>
      <c r="J6565" s="20" t="s">
        <v>806</v>
      </c>
      <c r="K6565" s="20" t="s">
        <v>807</v>
      </c>
      <c r="L6565" s="4" t="s">
        <v>47</v>
      </c>
    </row>
    <row r="6566" customFormat="false" ht="15" hidden="false" customHeight="false" outlineLevel="0" collapsed="false">
      <c r="A6566" s="1" t="s">
        <v>925</v>
      </c>
      <c r="B6566" s="0" t="s">
        <v>98</v>
      </c>
      <c r="F6566" s="6" t="n">
        <f aca="false">Sens!F6547</f>
        <v>142.959430473655</v>
      </c>
      <c r="G6566" s="6" t="n">
        <f aca="false">Sens!G6547</f>
        <v>166.535591859885</v>
      </c>
      <c r="H6566" s="6" t="n">
        <f aca="false">Sens!H6547</f>
        <v>193.535672136513</v>
      </c>
      <c r="I6566" s="6" t="n">
        <f aca="false">Sens!I6547</f>
        <v>214.416583451589</v>
      </c>
      <c r="J6566" s="6" t="n">
        <f aca="false">Sens!J6547</f>
        <v>232.735801069652</v>
      </c>
      <c r="K6566" s="6" t="n">
        <f aca="false">Sens!K6547</f>
        <v>249.460875235137</v>
      </c>
    </row>
    <row r="6567" customFormat="false" ht="17.15" hidden="false" customHeight="false" outlineLevel="0" collapsed="false">
      <c r="A6567" s="1" t="s">
        <v>947</v>
      </c>
      <c r="B6567" s="0" t="s">
        <v>98</v>
      </c>
      <c r="E6567" s="6" t="n">
        <f aca="false">Q!M38-Sens!E6485</f>
        <v>22.2285940229167</v>
      </c>
      <c r="F6567" s="6" t="n">
        <f aca="false">Sens!E6567*(1-1/life_nonai)+(Sens!F6574+Sens!F6575)/life_nonai</f>
        <v>24.3924470334783</v>
      </c>
      <c r="G6567" s="6" t="n">
        <f aca="false">Sens!F6567*(1-1/life_nonai)+(Sens!G6574)/life_nonai</f>
        <v>26.0504916871694</v>
      </c>
      <c r="H6567" s="6" t="n">
        <f aca="false">Sens!G6567*(1-1/life_nonai)+(Sens!H6574)/life_nonai</f>
        <v>28.1133938828615</v>
      </c>
      <c r="I6567" s="6" t="n">
        <f aca="false">Sens!H6567*(1-1/life_nonai)+(Sens!I6574)/life_nonai</f>
        <v>30.5122945257397</v>
      </c>
      <c r="J6567" s="6" t="n">
        <f aca="false">Sens!I6567*(1-1/life_nonai)+(Sens!J6574)/life_nonai</f>
        <v>33.1619563982031</v>
      </c>
      <c r="K6567" s="6" t="n">
        <f aca="false">Sens!J6567*(1-1/life_nonai)+(Sens!K6574)/life_nonai</f>
        <v>35.9778310325822</v>
      </c>
      <c r="L6567" s="11" t="s">
        <v>948</v>
      </c>
    </row>
    <row r="6568" customFormat="false" ht="17.15" hidden="false" customHeight="false" outlineLevel="0" collapsed="false">
      <c r="A6568" s="1" t="s">
        <v>949</v>
      </c>
      <c r="B6568" s="0" t="s">
        <v>98</v>
      </c>
      <c r="F6568" s="6" t="n">
        <f aca="false">Sens!$F$6575/life_nonai*(1-1/life_nonai)^(Sens!F6451-2027)</f>
        <v>0.851577689897088</v>
      </c>
      <c r="G6568" s="6" t="n">
        <f aca="false">Sens!$F$6575/life_nonai*(1-1/life_nonai)^(Sens!G6451-2027)</f>
        <v>0.76641992090738</v>
      </c>
      <c r="H6568" s="6" t="n">
        <f aca="false">Sens!$F$6575/life_nonai*(1-1/life_nonai)^(Sens!H6451-2027)</f>
        <v>0.689777928816642</v>
      </c>
      <c r="I6568" s="6" t="n">
        <f aca="false">Sens!$F$6575/life_nonai*(1-1/life_nonai)^(Sens!I6451-2027)</f>
        <v>0.620800135934978</v>
      </c>
      <c r="J6568" s="6" t="n">
        <f aca="false">Sens!$F$6575/life_nonai*(1-1/life_nonai)^(Sens!J6451-2027)</f>
        <v>0.55872012234148</v>
      </c>
      <c r="K6568" s="6" t="n">
        <f aca="false">Sens!$F$6575/life_nonai*(1-1/life_nonai)^(Sens!K6451-2027)</f>
        <v>0.502848110107332</v>
      </c>
      <c r="L6568" s="1" t="s">
        <v>950</v>
      </c>
    </row>
    <row r="6569" customFormat="false" ht="17.15" hidden="false" customHeight="false" outlineLevel="0" collapsed="false">
      <c r="A6569" s="1" t="s">
        <v>951</v>
      </c>
      <c r="B6569" s="0" t="s">
        <v>98</v>
      </c>
      <c r="E6569" s="6" t="n">
        <f aca="false">Sens!E6485+Sens!E6567</f>
        <v>38.534</v>
      </c>
      <c r="F6569" s="6" t="n">
        <f aca="false">Sens!F6485+Sens!F6567</f>
        <v>58.4423344144339</v>
      </c>
      <c r="G6569" s="6" t="n">
        <f aca="false">Sens!G6485+Sens!G6567</f>
        <v>85.1759287976805</v>
      </c>
      <c r="H6569" s="6" t="n">
        <f aca="false">Sens!H6485+Sens!H6567</f>
        <v>114.474413726173</v>
      </c>
      <c r="I6569" s="6" t="n">
        <f aca="false">Sens!I6485+Sens!I6567</f>
        <v>141.118038358132</v>
      </c>
      <c r="J6569" s="6" t="n">
        <f aca="false">Sens!J6485+Sens!J6567</f>
        <v>161.160279251046</v>
      </c>
      <c r="K6569" s="6" t="n">
        <f aca="false">Sens!K6485+Sens!K6567</f>
        <v>175.10929507689</v>
      </c>
    </row>
    <row r="6570" customFormat="false" ht="17.15" hidden="false" customHeight="false" outlineLevel="0" collapsed="false">
      <c r="A6570" s="1" t="s">
        <v>952</v>
      </c>
      <c r="B6570" s="0" t="s">
        <v>98</v>
      </c>
      <c r="F6570" s="6" t="n">
        <f aca="false">Sens!F6512*sbc_r</f>
        <v>14.9827729498116</v>
      </c>
      <c r="G6570" s="6" t="n">
        <f aca="false">Sens!G6512*sbc_r</f>
        <v>18.1423683667783</v>
      </c>
      <c r="H6570" s="6" t="n">
        <f aca="false">Sens!H6512*sbc_r</f>
        <v>21.5474377968688</v>
      </c>
      <c r="I6570" s="6" t="n">
        <f aca="false">Sens!I6512*sbc_r</f>
        <v>24.4697840462957</v>
      </c>
      <c r="J6570" s="6" t="n">
        <f aca="false">Sens!J6512*sbc_r</f>
        <v>26.8493259235493</v>
      </c>
      <c r="K6570" s="6" t="n">
        <f aca="false">Sens!K6512*sbc_r</f>
        <v>28.765502316508</v>
      </c>
    </row>
    <row r="6571" customFormat="false" ht="17.15" hidden="false" customHeight="false" outlineLevel="0" collapsed="false">
      <c r="A6571" s="1" t="s">
        <v>953</v>
      </c>
      <c r="B6571" s="0" t="s">
        <v>98</v>
      </c>
      <c r="F6571" s="6" t="n">
        <f aca="false">wc27</f>
        <v>-4.895</v>
      </c>
      <c r="G6571" s="6" t="n">
        <f aca="false">wc_f</f>
        <v>0</v>
      </c>
      <c r="H6571" s="6" t="n">
        <f aca="false">wc_f</f>
        <v>0</v>
      </c>
      <c r="I6571" s="6" t="n">
        <f aca="false">wc_f</f>
        <v>0</v>
      </c>
      <c r="J6571" s="6" t="n">
        <f aca="false">wc_f</f>
        <v>0</v>
      </c>
      <c r="K6571" s="6" t="n">
        <f aca="false">wc_f</f>
        <v>0</v>
      </c>
      <c r="L6571" s="11" t="s">
        <v>954</v>
      </c>
    </row>
    <row r="6572" customFormat="false" ht="15" hidden="false" customHeight="false" outlineLevel="0" collapsed="false">
      <c r="A6572" s="1" t="s">
        <v>767</v>
      </c>
      <c r="B6572" s="0" t="s">
        <v>98</v>
      </c>
      <c r="E6572" s="6" t="n">
        <f aca="false">Q!M35</f>
        <v>182.935</v>
      </c>
      <c r="F6572" s="6" t="n">
        <f aca="false">Sens!F6566+Sens!F6569+Sens!F6570+Sens!F6571</f>
        <v>211.489537837901</v>
      </c>
      <c r="G6572" s="6" t="n">
        <f aca="false">Sens!G6566+Sens!G6569+Sens!G6570+Sens!G6571</f>
        <v>269.853889024344</v>
      </c>
      <c r="H6572" s="6" t="n">
        <f aca="false">Sens!H6566+Sens!H6569+Sens!H6570+Sens!H6571</f>
        <v>329.557523659554</v>
      </c>
      <c r="I6572" s="6" t="n">
        <f aca="false">Sens!I6566+Sens!I6569+Sens!I6570+Sens!I6571</f>
        <v>380.004405856017</v>
      </c>
      <c r="J6572" s="6" t="n">
        <f aca="false">Sens!J6566+Sens!J6569+Sens!J6570+Sens!J6571</f>
        <v>420.745406244248</v>
      </c>
      <c r="K6572" s="6" t="n">
        <f aca="false">Sens!K6566+Sens!K6569+Sens!K6570+Sens!K6571</f>
        <v>453.335672628535</v>
      </c>
    </row>
    <row r="6573" customFormat="false" ht="17.15" hidden="false" customHeight="false" outlineLevel="0" collapsed="false">
      <c r="A6573" s="0" t="s">
        <v>955</v>
      </c>
      <c r="B6573" s="0" t="s">
        <v>98</v>
      </c>
      <c r="F6573" s="6" t="n">
        <f aca="false">Sens!F6482</f>
        <v>160.332875871467</v>
      </c>
      <c r="G6573" s="6" t="n">
        <f aca="false">Sens!G6482</f>
        <v>183.5741804832</v>
      </c>
      <c r="H6573" s="6" t="n">
        <f aca="false">Sens!H6482</f>
        <v>188.0802859104</v>
      </c>
      <c r="I6573" s="6" t="n">
        <f aca="false">Sens!I6482</f>
        <v>163.706669154245</v>
      </c>
      <c r="J6573" s="6" t="n">
        <f aca="false">Sens!J6482</f>
        <v>127.181436594242</v>
      </c>
      <c r="K6573" s="6" t="n">
        <f aca="false">Sens!K6482</f>
        <v>121.407415303591</v>
      </c>
    </row>
    <row r="6574" customFormat="false" ht="17.15" hidden="false" customHeight="false" outlineLevel="0" collapsed="false">
      <c r="A6574" s="1" t="s">
        <v>956</v>
      </c>
      <c r="B6574" s="0" t="s">
        <v>98</v>
      </c>
      <c r="E6574" s="6" t="n">
        <f aca="false">Sens!E6490*cx_azo+Sens!E6497*cx_m365+Sens!E6498*cx_lic+(Sens!E6500+Sens!E6502)*cx_ind+Sens!E6505*cx_srch+(Sens!E6507+Sens!E6509)*cx_dev</f>
        <v>30.1846587067718</v>
      </c>
      <c r="F6574" s="6" t="n">
        <f aca="false">Sens!F6490*cx_azo+Sens!F6497*cx_m365+Sens!F6498*cx_lic+(Sens!F6500+Sens!F6502)*cx_ind+Sens!F6505*cx_srch+(Sens!F6507+Sens!F6509)*cx_dev</f>
        <v>35.3513472295625</v>
      </c>
      <c r="G6574" s="6" t="n">
        <f aca="false">Sens!G6490*cx_azo+Sens!G6497*cx_m365+Sens!G6498*cx_lic+(Sens!G6500+Sens!G6502)*cx_ind+Sens!G6505*cx_srch+(Sens!G6507+Sens!G6509)*cx_dev</f>
        <v>40.9728935703892</v>
      </c>
      <c r="H6574" s="6" t="n">
        <f aca="false">Sens!H6490*cx_azo+Sens!H6497*cx_m365+Sens!H6498*cx_lic+(Sens!H6500+Sens!H6502)*cx_ind+Sens!H6505*cx_srch+(Sens!H6507+Sens!H6509)*cx_dev</f>
        <v>46.6795136440897</v>
      </c>
      <c r="I6574" s="6" t="n">
        <f aca="false">Sens!I6490*cx_azo+Sens!I6497*cx_m365+Sens!I6498*cx_lic+(Sens!I6500+Sens!I6502)*cx_ind+Sens!I6505*cx_srch+(Sens!I6507+Sens!I6509)*cx_dev</f>
        <v>52.1024003116439</v>
      </c>
      <c r="J6574" s="6" t="n">
        <f aca="false">Sens!J6490*cx_azo+Sens!J6497*cx_m365+Sens!J6498*cx_lic+(Sens!J6500+Sens!J6502)*cx_ind+Sens!J6505*cx_srch+(Sens!J6507+Sens!J6509)*cx_dev</f>
        <v>57.0089132503738</v>
      </c>
      <c r="K6574" s="6" t="n">
        <f aca="false">Sens!K6490*cx_azo+Sens!K6497*cx_m365+Sens!K6498*cx_lic+(Sens!K6500+Sens!K6502)*cx_ind+Sens!K6505*cx_srch+(Sens!K6507+Sens!K6509)*cx_dev</f>
        <v>61.320702741994</v>
      </c>
    </row>
    <row r="6575" customFormat="false" ht="17.15" hidden="false" customHeight="false" outlineLevel="0" collapsed="false">
      <c r="A6575" s="0" t="s">
        <v>957</v>
      </c>
      <c r="B6575" s="0" t="s">
        <v>98</v>
      </c>
      <c r="F6575" s="6" t="n">
        <f aca="false">Sens!F6480</f>
        <v>8.51577689897088</v>
      </c>
      <c r="L6575" s="1" t="s">
        <v>958</v>
      </c>
    </row>
    <row r="6576" customFormat="false" ht="17.15" hidden="false" customHeight="false" outlineLevel="0" collapsed="false">
      <c r="A6576" s="1" t="s">
        <v>959</v>
      </c>
      <c r="B6576" s="0" t="s">
        <v>98</v>
      </c>
      <c r="E6576" s="6" t="n">
        <f aca="false">Q!M42</f>
        <v>145.3</v>
      </c>
      <c r="F6576" s="6" t="n">
        <f aca="false">Sens!F6573+Sens!F6574+Sens!F6575</f>
        <v>204.2</v>
      </c>
      <c r="G6576" s="6" t="n">
        <f aca="false">Sens!G6573+Sens!G6574</f>
        <v>224.547074053589</v>
      </c>
      <c r="H6576" s="6" t="n">
        <f aca="false">Sens!H6573+Sens!H6574</f>
        <v>234.75979955449</v>
      </c>
      <c r="I6576" s="6" t="n">
        <f aca="false">Sens!I6573+Sens!I6574</f>
        <v>215.809069465889</v>
      </c>
      <c r="J6576" s="6" t="n">
        <f aca="false">Sens!J6573+Sens!J6574</f>
        <v>184.190349844616</v>
      </c>
      <c r="K6576" s="6" t="n">
        <f aca="false">Sens!K6573+Sens!K6574</f>
        <v>182.728118045585</v>
      </c>
      <c r="L6576" s="1" t="s">
        <v>960</v>
      </c>
    </row>
    <row r="6577" customFormat="false" ht="15" hidden="false" customHeight="false" outlineLevel="0" collapsed="false">
      <c r="A6577" s="1" t="s">
        <v>961</v>
      </c>
      <c r="B6577" s="0" t="s">
        <v>98</v>
      </c>
      <c r="E6577" s="6" t="n">
        <f aca="false">fl_liab</f>
        <v>66.594</v>
      </c>
      <c r="F6577" s="6" t="n">
        <f aca="false">Sens!E6577-Sens!F6578</f>
        <v>62.46973</v>
      </c>
      <c r="G6577" s="6" t="n">
        <f aca="false">Sens!F6577-Sens!G6578</f>
        <v>57.98686785</v>
      </c>
      <c r="H6577" s="6" t="n">
        <f aca="false">Sens!G6577-Sens!H6578</f>
        <v>53.92827690325</v>
      </c>
      <c r="I6577" s="6" t="n">
        <f aca="false">Sens!H6577-Sens!I6578</f>
        <v>49.7850493638962</v>
      </c>
      <c r="J6577" s="6" t="n">
        <f aca="false">Sens!I6577-Sens!J6578</f>
        <v>45.4823765852716</v>
      </c>
      <c r="K6577" s="6" t="n">
        <f aca="false">Sens!J6577-Sens!K6578</f>
        <v>40.9860835316088</v>
      </c>
    </row>
    <row r="6578" customFormat="false" ht="15" hidden="false" customHeight="false" outlineLevel="0" collapsed="false">
      <c r="A6578" s="1" t="s">
        <v>962</v>
      </c>
      <c r="B6578" s="0" t="s">
        <v>98</v>
      </c>
      <c r="F6578" s="6" t="n">
        <f aca="false">fl_pay_27-Sens!E6577*fl_rate</f>
        <v>4.12427</v>
      </c>
      <c r="G6578" s="6" t="n">
        <f aca="false">fl_pay_28-Sens!F6577*fl_rate</f>
        <v>4.48286215</v>
      </c>
      <c r="H6578" s="6" t="n">
        <f aca="false">fl_pay_29-Sens!G6577*fl_rate</f>
        <v>4.05859094675</v>
      </c>
      <c r="I6578" s="6" t="n">
        <f aca="false">fl_pay_30-Sens!H6577*fl_rate</f>
        <v>4.14322753935375</v>
      </c>
      <c r="J6578" s="6" t="n">
        <f aca="false">fl_pay_31-Sens!I6577*fl_rate</f>
        <v>4.30267277862467</v>
      </c>
      <c r="K6578" s="6" t="n">
        <f aca="false">fl_pay_32-Sens!J6577*fl_rate</f>
        <v>4.49629305366278</v>
      </c>
    </row>
    <row r="6579" customFormat="false" ht="17.15" hidden="false" customHeight="false" outlineLevel="0" collapsed="false">
      <c r="A6579" s="1" t="s">
        <v>963</v>
      </c>
      <c r="B6579" s="0" t="s">
        <v>98</v>
      </c>
      <c r="E6579" s="6" t="n">
        <f aca="false">Q!M35-Q!M36-Q!M43</f>
        <v>63.886</v>
      </c>
      <c r="F6579" s="6" t="n">
        <f aca="false">Sens!F6572-Sens!F6576-Sens!F6578</f>
        <v>3.16526783790061</v>
      </c>
      <c r="G6579" s="6" t="n">
        <f aca="false">Sens!G6572-Sens!G6576-Sens!G6578</f>
        <v>40.8239528207543</v>
      </c>
      <c r="H6579" s="6" t="n">
        <f aca="false">Sens!H6572-Sens!H6576-Sens!H6578</f>
        <v>90.7391331583144</v>
      </c>
      <c r="I6579" s="6" t="n">
        <f aca="false">Sens!I6572-Sens!I6576-Sens!I6578</f>
        <v>160.052108850774</v>
      </c>
      <c r="J6579" s="6" t="n">
        <f aca="false">Sens!J6572-Sens!J6576-Sens!J6578</f>
        <v>232.252383621007</v>
      </c>
      <c r="K6579" s="6" t="n">
        <f aca="false">Sens!K6572-Sens!K6576-Sens!K6578</f>
        <v>266.111261529288</v>
      </c>
      <c r="L6579" s="11" t="s">
        <v>964</v>
      </c>
    </row>
    <row r="6580" customFormat="false" ht="15" hidden="false" customHeight="false" outlineLevel="0" collapsed="false">
      <c r="A6580" s="1" t="s">
        <v>965</v>
      </c>
      <c r="B6580" s="0" t="s">
        <v>75</v>
      </c>
      <c r="F6580" s="8" t="n">
        <f aca="false">dps_27</f>
        <v>3.85</v>
      </c>
      <c r="G6580" s="8" t="n">
        <f aca="false">Sens!F6580*(1+dps_g)</f>
        <v>4.158</v>
      </c>
      <c r="H6580" s="8" t="n">
        <f aca="false">Sens!G6580*(1+dps_g)</f>
        <v>4.49064</v>
      </c>
      <c r="I6580" s="8" t="n">
        <f aca="false">Sens!H6580*(1+dps_g)</f>
        <v>4.8498912</v>
      </c>
      <c r="J6580" s="8" t="n">
        <f aca="false">Sens!I6580*(1+dps_g)</f>
        <v>5.237882496</v>
      </c>
      <c r="K6580" s="8" t="n">
        <f aca="false">Sens!J6580*(1+dps_g)</f>
        <v>5.65691309568</v>
      </c>
    </row>
    <row r="6581" customFormat="false" ht="17.15" hidden="false" customHeight="false" outlineLevel="0" collapsed="false">
      <c r="A6581" s="1" t="s">
        <v>966</v>
      </c>
      <c r="B6581" s="0" t="s">
        <v>98</v>
      </c>
      <c r="E6581" s="6" t="n">
        <f aca="false">Q!M41</f>
        <v>26.445</v>
      </c>
      <c r="F6581" s="6" t="n">
        <f aca="false">Sens!F6580*Sens!E6590</f>
        <v>28.59395</v>
      </c>
      <c r="G6581" s="6" t="n">
        <f aca="false">Sens!G6580*Sens!F6590</f>
        <v>31.068576</v>
      </c>
      <c r="H6581" s="6" t="n">
        <f aca="false">Sens!H6580*Sens!G6590</f>
        <v>33.68285581208</v>
      </c>
      <c r="I6581" s="6" t="n">
        <f aca="false">Sens!I6580*Sens!H6590</f>
        <v>36.4284235170458</v>
      </c>
      <c r="J6581" s="6" t="n">
        <f aca="false">Sens!J6580*Sens!I6590</f>
        <v>39.4110962467289</v>
      </c>
      <c r="K6581" s="6" t="n">
        <f aca="false">Sens!K6580*Sens!J6590</f>
        <v>42.6512391717723</v>
      </c>
      <c r="L6581" s="1" t="s">
        <v>967</v>
      </c>
    </row>
    <row r="6582" customFormat="false" ht="15" hidden="false" customHeight="false" outlineLevel="0" collapsed="false">
      <c r="A6582" s="1" t="s">
        <v>968</v>
      </c>
      <c r="B6582" s="0" t="s">
        <v>98</v>
      </c>
      <c r="E6582" s="6" t="n">
        <f aca="false">Sens!E6579-Sens!E6581</f>
        <v>37.441</v>
      </c>
      <c r="F6582" s="6" t="n">
        <f aca="false">Sens!F6579-Sens!F6581</f>
        <v>-25.4286821620994</v>
      </c>
      <c r="G6582" s="6" t="n">
        <f aca="false">Sens!G6579-Sens!G6581</f>
        <v>9.75537682075431</v>
      </c>
      <c r="H6582" s="6" t="n">
        <f aca="false">Sens!H6579-Sens!H6581</f>
        <v>57.0562773462344</v>
      </c>
      <c r="I6582" s="6" t="n">
        <f aca="false">Sens!I6579-Sens!I6581</f>
        <v>123.623685333728</v>
      </c>
      <c r="J6582" s="6" t="n">
        <f aca="false">Sens!J6579-Sens!J6581</f>
        <v>192.841287374278</v>
      </c>
      <c r="K6582" s="6" t="n">
        <f aca="false">Sens!K6579-Sens!K6581</f>
        <v>223.460022357516</v>
      </c>
    </row>
    <row r="6583" customFormat="false" ht="15" hidden="false" customHeight="false" outlineLevel="0" collapsed="false">
      <c r="A6583" s="1" t="s">
        <v>969</v>
      </c>
      <c r="B6583" s="0" t="s">
        <v>98</v>
      </c>
      <c r="F6583" s="6" t="n">
        <f aca="false">debt_mat_27</f>
        <v>9.25</v>
      </c>
      <c r="G6583" s="6" t="n">
        <f aca="false">debt_mat_28</f>
        <v>0</v>
      </c>
      <c r="H6583" s="6" t="n">
        <f aca="false">debt_mat_29</f>
        <v>2.001</v>
      </c>
      <c r="I6583" s="6" t="n">
        <f aca="false">debt_mat_30</f>
        <v>0</v>
      </c>
      <c r="J6583" s="6" t="n">
        <f aca="false">debt_mat_31</f>
        <v>0.5</v>
      </c>
      <c r="K6583" s="6" t="n">
        <f aca="false">debt_mat_32</f>
        <v>0</v>
      </c>
    </row>
    <row r="6584" customFormat="false" ht="15" hidden="false" customHeight="false" outlineLevel="0" collapsed="false">
      <c r="A6584" s="1" t="s">
        <v>970</v>
      </c>
      <c r="B6584" s="0" t="s">
        <v>98</v>
      </c>
      <c r="E6584" s="6" t="n">
        <f aca="false">Q!M40</f>
        <v>22.271</v>
      </c>
      <c r="F6584" s="6" t="n">
        <f aca="false">MAX(0,MIN(bb_target,Sens!E6586+Sens!F6582-Sens!F6583-min_cash))</f>
        <v>0</v>
      </c>
      <c r="G6584" s="6" t="n">
        <f aca="false">MAX(0,MIN(bb_target,Sens!F6586+Sens!G6582-Sens!G6583-min_cash))</f>
        <v>9.75537682075431</v>
      </c>
      <c r="H6584" s="6" t="n">
        <f aca="false">MAX(0,MIN(bb_target,Sens!G6586+Sens!H6582-Sens!H6583-min_cash))</f>
        <v>22.271</v>
      </c>
      <c r="I6584" s="6" t="n">
        <f aca="false">MAX(0,MIN(bb_target,Sens!H6586+Sens!I6582-Sens!I6583-min_cash))</f>
        <v>22.271</v>
      </c>
      <c r="J6584" s="6" t="n">
        <f aca="false">MAX(0,MIN(bb_target,Sens!I6586+Sens!J6582-Sens!J6583-min_cash))</f>
        <v>22.271</v>
      </c>
      <c r="K6584" s="6" t="n">
        <f aca="false">MAX(0,MIN(bb_target,Sens!J6586+Sens!K6582-Sens!K6583-min_cash))</f>
        <v>22.271</v>
      </c>
    </row>
    <row r="6585" customFormat="false" ht="15" hidden="false" customHeight="false" outlineLevel="0" collapsed="false">
      <c r="A6585" s="1" t="s">
        <v>971</v>
      </c>
      <c r="B6585" s="0" t="s">
        <v>98</v>
      </c>
      <c r="F6585" s="6" t="n">
        <f aca="false">MAX(0,min_cash-(Sens!E6586+Sens!F6582-Sens!F6583-Sens!F6584))</f>
        <v>7.83568216209939</v>
      </c>
      <c r="G6585" s="6" t="n">
        <f aca="false">MAX(0,min_cash-(Sens!F6586+Sens!G6582-Sens!G6583-Sens!G6584))</f>
        <v>0</v>
      </c>
      <c r="H6585" s="6" t="n">
        <f aca="false">MAX(0,min_cash-(Sens!G6586+Sens!H6582-Sens!H6583-Sens!H6584))</f>
        <v>0</v>
      </c>
      <c r="I6585" s="6" t="n">
        <f aca="false">MAX(0,min_cash-(Sens!H6586+Sens!I6582-Sens!I6583-Sens!I6584))</f>
        <v>0</v>
      </c>
      <c r="J6585" s="6" t="n">
        <f aca="false">MAX(0,min_cash-(Sens!I6586+Sens!J6582-Sens!J6583-Sens!J6584))</f>
        <v>0</v>
      </c>
      <c r="K6585" s="6" t="n">
        <f aca="false">MAX(0,min_cash-(Sens!J6586+Sens!K6582-Sens!K6583-Sens!K6584))</f>
        <v>0</v>
      </c>
    </row>
    <row r="6586" customFormat="false" ht="15" hidden="false" customHeight="false" outlineLevel="0" collapsed="false">
      <c r="A6586" s="1" t="s">
        <v>972</v>
      </c>
      <c r="B6586" s="0" t="s">
        <v>98</v>
      </c>
      <c r="E6586" s="6" t="n">
        <f aca="false">cash_open</f>
        <v>76.843</v>
      </c>
      <c r="F6586" s="6" t="n">
        <f aca="false">Sens!E6586+Sens!F6582-Sens!F6583-Sens!F6584+Sens!F6585</f>
        <v>50</v>
      </c>
      <c r="G6586" s="6" t="n">
        <f aca="false">Sens!F6586+Sens!G6582-Sens!G6583-Sens!G6584+Sens!G6585</f>
        <v>50</v>
      </c>
      <c r="H6586" s="6" t="n">
        <f aca="false">Sens!G6586+Sens!H6582-Sens!H6583-Sens!H6584+Sens!H6585</f>
        <v>82.7842773462344</v>
      </c>
      <c r="I6586" s="6" t="n">
        <f aca="false">Sens!H6586+Sens!I6582-Sens!I6583-Sens!I6584+Sens!I6585</f>
        <v>184.136962679962</v>
      </c>
      <c r="J6586" s="6" t="n">
        <f aca="false">Sens!I6586+Sens!J6582-Sens!J6583-Sens!J6584+Sens!J6585</f>
        <v>354.20725005424</v>
      </c>
      <c r="K6586" s="6" t="n">
        <f aca="false">Sens!J6586+Sens!K6582-Sens!K6583-Sens!K6584+Sens!K6585</f>
        <v>555.396272411756</v>
      </c>
    </row>
    <row r="6587" customFormat="false" ht="15" hidden="false" customHeight="false" outlineLevel="0" collapsed="false">
      <c r="A6587" s="1" t="s">
        <v>973</v>
      </c>
      <c r="B6587" s="0" t="s">
        <v>98</v>
      </c>
      <c r="E6587" s="6" t="n">
        <f aca="false">debt_face</f>
        <v>46.136</v>
      </c>
      <c r="F6587" s="6" t="n">
        <f aca="false">Sens!E6587-Sens!F6583+Sens!F6585</f>
        <v>44.7216821620994</v>
      </c>
      <c r="G6587" s="6" t="n">
        <f aca="false">Sens!F6587-Sens!G6583+Sens!G6585</f>
        <v>44.7216821620994</v>
      </c>
      <c r="H6587" s="6" t="n">
        <f aca="false">Sens!G6587-Sens!H6583+Sens!H6585</f>
        <v>42.7206821620994</v>
      </c>
      <c r="I6587" s="6" t="n">
        <f aca="false">Sens!H6587-Sens!I6583+Sens!I6585</f>
        <v>42.7206821620994</v>
      </c>
      <c r="J6587" s="6" t="n">
        <f aca="false">Sens!I6587-Sens!J6583+Sens!J6585</f>
        <v>42.2206821620994</v>
      </c>
      <c r="K6587" s="6" t="n">
        <f aca="false">Sens!J6587-Sens!K6583+Sens!K6585</f>
        <v>42.2206821620994</v>
      </c>
    </row>
    <row r="6588" customFormat="false" ht="15" hidden="false" customHeight="false" outlineLevel="0" collapsed="false">
      <c r="A6588" s="1" t="s">
        <v>974</v>
      </c>
      <c r="B6588" s="0" t="s">
        <v>98</v>
      </c>
      <c r="E6588" s="6" t="n">
        <f aca="false">Sens!E6586-Sens!E6587</f>
        <v>30.707</v>
      </c>
      <c r="F6588" s="6" t="n">
        <f aca="false">Sens!F6586-Sens!F6587</f>
        <v>5.27831783790061</v>
      </c>
      <c r="G6588" s="6" t="n">
        <f aca="false">Sens!G6586-Sens!G6587</f>
        <v>5.27831783790061</v>
      </c>
      <c r="H6588" s="6" t="n">
        <f aca="false">Sens!H6586-Sens!H6587</f>
        <v>40.063595184135</v>
      </c>
      <c r="I6588" s="6" t="n">
        <f aca="false">Sens!I6586-Sens!I6587</f>
        <v>141.416280517863</v>
      </c>
      <c r="J6588" s="6" t="n">
        <f aca="false">Sens!J6586-Sens!J6587</f>
        <v>311.986567892141</v>
      </c>
      <c r="K6588" s="6" t="n">
        <f aca="false">Sens!K6586-Sens!K6587</f>
        <v>513.175590249657</v>
      </c>
    </row>
    <row r="6589" customFormat="false" ht="15" hidden="false" customHeight="false" outlineLevel="0" collapsed="false">
      <c r="A6589" s="1" t="s">
        <v>975</v>
      </c>
      <c r="B6589" s="0" t="s">
        <v>75</v>
      </c>
      <c r="F6589" s="29" t="n">
        <f aca="false">px*(1+bb_g)^(Sens!F6451-base_fy-mid_yr)</f>
        <v>553.494156066711</v>
      </c>
      <c r="G6589" s="29" t="n">
        <f aca="false">px*(1+bb_g)^(Sens!G6451-base_fy-mid_yr)</f>
        <v>597.773688552047</v>
      </c>
      <c r="H6589" s="29" t="n">
        <f aca="false">px*(1+bb_g)^(Sens!H6451-base_fy-mid_yr)</f>
        <v>645.595583636211</v>
      </c>
      <c r="I6589" s="29" t="n">
        <f aca="false">px*(1+bb_g)^(Sens!I6451-base_fy-mid_yr)</f>
        <v>697.243230327108</v>
      </c>
      <c r="J6589" s="29" t="n">
        <f aca="false">px*(1+bb_g)^(Sens!J6451-base_fy-mid_yr)</f>
        <v>753.022688753277</v>
      </c>
      <c r="K6589" s="29" t="n">
        <f aca="false">px*(1+bb_g)^(Sens!K6451-base_fy-mid_yr)</f>
        <v>813.264503853539</v>
      </c>
    </row>
    <row r="6590" customFormat="false" ht="15" hidden="false" customHeight="false" outlineLevel="0" collapsed="false">
      <c r="A6590" s="1" t="s">
        <v>976</v>
      </c>
      <c r="B6590" s="1" t="s">
        <v>81</v>
      </c>
      <c r="E6590" s="14" t="n">
        <f aca="false">sh_out26</f>
        <v>7.427</v>
      </c>
      <c r="F6590" s="14" t="n">
        <f aca="false">Sens!E6590+sh_iss-Sens!F6584/Sens!F6589</f>
        <v>7.472</v>
      </c>
      <c r="G6590" s="14" t="n">
        <f aca="false">Sens!F6590+sh_iss-Sens!G6584/Sens!G6589</f>
        <v>7.5006804847594</v>
      </c>
      <c r="H6590" s="14" t="n">
        <f aca="false">Sens!G6590+sh_iss-Sens!H6584/Sens!H6589</f>
        <v>7.5111836564593</v>
      </c>
      <c r="I6590" s="14" t="n">
        <f aca="false">Sens!H6590+sh_iss-Sens!I6584/Sens!I6589</f>
        <v>7.52424214877403</v>
      </c>
      <c r="J6590" s="14" t="n">
        <f aca="false">Sens!I6590+sh_iss-Sens!J6584/Sens!J6589</f>
        <v>7.53966667869507</v>
      </c>
      <c r="K6590" s="14" t="n">
        <f aca="false">Sens!J6590+sh_iss-Sens!K6584/Sens!K6589</f>
        <v>7.55728198417751</v>
      </c>
    </row>
    <row r="6591" customFormat="false" ht="15" hidden="false" customHeight="false" outlineLevel="0" collapsed="false">
      <c r="A6591" s="1" t="s">
        <v>977</v>
      </c>
      <c r="B6591" s="1" t="s">
        <v>81</v>
      </c>
      <c r="E6591" s="14" t="n">
        <f aca="false">sh_dil26</f>
        <v>7.453</v>
      </c>
      <c r="F6591" s="14" t="n">
        <f aca="false">(Sens!E6590+Sens!F6590)/2+dil_gap</f>
        <v>7.4735</v>
      </c>
      <c r="G6591" s="14" t="n">
        <f aca="false">(Sens!F6590+Sens!G6590)/2+dil_gap</f>
        <v>7.5103402423797</v>
      </c>
      <c r="H6591" s="14" t="n">
        <f aca="false">(Sens!G6590+Sens!H6590)/2+dil_gap</f>
        <v>7.52993207060935</v>
      </c>
      <c r="I6591" s="14" t="n">
        <f aca="false">(Sens!H6590+Sens!I6590)/2+dil_gap</f>
        <v>7.54171290261667</v>
      </c>
      <c r="J6591" s="14" t="n">
        <f aca="false">(Sens!I6590+Sens!J6590)/2+dil_gap</f>
        <v>7.55595441373455</v>
      </c>
      <c r="K6591" s="14" t="n">
        <f aca="false">(Sens!J6590+Sens!K6590)/2+dil_gap</f>
        <v>7.57247433143629</v>
      </c>
    </row>
    <row r="6592" customFormat="false" ht="17.15" hidden="false" customHeight="false" outlineLevel="0" collapsed="false">
      <c r="A6592" s="1" t="s">
        <v>978</v>
      </c>
      <c r="B6592" s="0" t="s">
        <v>98</v>
      </c>
      <c r="C6592" s="6" t="n">
        <f aca="false">SUM(Sens!F6582:J6582)</f>
        <v>357.847944712895</v>
      </c>
    </row>
    <row r="6593" customFormat="false" ht="15" hidden="false" customHeight="false" outlineLevel="0" collapsed="false">
      <c r="A6593" s="23" t="s">
        <v>945</v>
      </c>
      <c r="B6593" s="30" t="s">
        <v>98</v>
      </c>
      <c r="C6593" s="24" t="n">
        <f aca="false">Sens!$C$6592-(Sens!F6582+Sens!G6582+Sens!H6582+Sens!I6582+Sens!J6582)</f>
        <v>0</v>
      </c>
      <c r="D6593" s="30"/>
      <c r="E6593" s="30"/>
      <c r="F6593" s="30"/>
      <c r="G6593" s="30"/>
      <c r="H6593" s="30"/>
      <c r="I6593" s="30"/>
      <c r="J6593" s="30"/>
      <c r="K6593" s="30"/>
    </row>
    <row r="6594" customFormat="false" ht="17.15" hidden="false" customHeight="false" outlineLevel="0" collapsed="false">
      <c r="A6594" s="1" t="s">
        <v>939</v>
      </c>
      <c r="B6594" s="1" t="s">
        <v>979</v>
      </c>
      <c r="C6594" s="32" t="str">
        <f aca="false">IF(SUM(Sens!F6585:J6585)&gt;0.05,"需要舉債 "&amp;TEXT(SUM(Sens!F6585:J6585),"0.0")&amp;" 十億美元","不需舉債")&amp;"；"&amp;IF(SUM(Sens!F6584:J6584)&lt;COUNT(Sens!F6584:J6584)*bb_target-0.05,"回購較每年 "&amp;TEXT(bb_target,"0.0")&amp;" 的目標少 "&amp;TEXT(COUNT(Sens!F6584:J6584)*bb_target-SUM(Sens!F6584:J6584),"0.0")&amp;" 十億美元（"&amp;TEXT(COUNTIF(Sens!F6584:J6584,"&lt;"&amp;(bb_target-0.05)),"0")&amp;" 年減少）","回購不減")</f>
        <v>需要舉債 7.8 十億美元；回購較每年 22.3 的目標少 34.8 十億美元（2 年減少）</v>
      </c>
    </row>
    <row r="6595" customFormat="false" ht="17.15" hidden="false" customHeight="false" outlineLevel="0" collapsed="false">
      <c r="A6595" s="3" t="s">
        <v>1431</v>
      </c>
    </row>
    <row r="6596" customFormat="false" ht="15" hidden="false" customHeight="false" outlineLevel="0" collapsed="false">
      <c r="A6596" s="4" t="s">
        <v>43</v>
      </c>
      <c r="B6596" s="4" t="s">
        <v>65</v>
      </c>
      <c r="C6596" s="20" t="s">
        <v>799</v>
      </c>
      <c r="D6596" s="20" t="s">
        <v>800</v>
      </c>
      <c r="E6596" s="20" t="s">
        <v>801</v>
      </c>
      <c r="F6596" s="20" t="s">
        <v>802</v>
      </c>
      <c r="G6596" s="20" t="s">
        <v>803</v>
      </c>
      <c r="H6596" s="20" t="s">
        <v>804</v>
      </c>
      <c r="I6596" s="20" t="s">
        <v>805</v>
      </c>
      <c r="J6596" s="20" t="s">
        <v>806</v>
      </c>
      <c r="K6596" s="20" t="s">
        <v>807</v>
      </c>
      <c r="L6596" s="4" t="s">
        <v>47</v>
      </c>
    </row>
    <row r="6597" customFormat="false" ht="15" hidden="false" customHeight="false" outlineLevel="0" collapsed="false">
      <c r="A6597" s="1" t="s">
        <v>1057</v>
      </c>
      <c r="B6597" s="1" t="s">
        <v>235</v>
      </c>
      <c r="F6597" s="36" t="n">
        <f aca="false">Sens!F6451-base_fy-mid_yr</f>
        <v>0.5</v>
      </c>
      <c r="G6597" s="36" t="n">
        <f aca="false">Sens!G6451-base_fy-mid_yr</f>
        <v>1.5</v>
      </c>
      <c r="H6597" s="36" t="n">
        <f aca="false">Sens!H6451-base_fy-mid_yr</f>
        <v>2.5</v>
      </c>
      <c r="I6597" s="36" t="n">
        <f aca="false">Sens!I6451-base_fy-mid_yr</f>
        <v>3.5</v>
      </c>
      <c r="J6597" s="36" t="n">
        <f aca="false">Sens!J6451-base_fy-mid_yr</f>
        <v>4.5</v>
      </c>
      <c r="K6597" s="36" t="n">
        <f aca="false">Sens!K6451-base_fy-mid_yr</f>
        <v>5.5</v>
      </c>
    </row>
    <row r="6598" customFormat="false" ht="15" hidden="false" customHeight="false" outlineLevel="0" collapsed="false">
      <c r="A6598" s="1" t="s">
        <v>1058</v>
      </c>
      <c r="B6598" s="0" t="s">
        <v>185</v>
      </c>
      <c r="F6598" s="14" t="n">
        <f aca="false">1/(1+wacc)^Sens!F6597</f>
        <v>0.952193373608246</v>
      </c>
      <c r="G6598" s="14" t="n">
        <f aca="false">1/(1+wacc)^Sens!G6597</f>
        <v>0.863327280626589</v>
      </c>
      <c r="H6598" s="14" t="n">
        <f aca="false">1/(1+wacc)^Sens!H6597</f>
        <v>0.782754862754115</v>
      </c>
      <c r="I6598" s="14" t="n">
        <f aca="false">1/(1+wacc)^Sens!I6597</f>
        <v>0.709702089711011</v>
      </c>
      <c r="J6598" s="14" t="n">
        <f aca="false">1/(1+wacc)^Sens!J6597</f>
        <v>0.643467169744551</v>
      </c>
      <c r="K6598" s="14" t="n">
        <f aca="false">1/(1+wacc)^Sens!K6597</f>
        <v>0.583413807767797</v>
      </c>
    </row>
    <row r="6599" customFormat="false" ht="17.15" hidden="false" customHeight="false" outlineLevel="0" collapsed="false">
      <c r="A6599" s="1" t="s">
        <v>1059</v>
      </c>
      <c r="B6599" s="0" t="s">
        <v>98</v>
      </c>
      <c r="F6599" s="6" t="n">
        <f aca="false">Sens!F6572-Sens!F6570-Sens!F6576+Sens!F6555*(1-tax_f)</f>
        <v>0.787327475255237</v>
      </c>
      <c r="G6599" s="6" t="n">
        <f aca="false">Sens!G6572-Sens!G6570-Sens!G6576+Sens!G6555*(1-tax_f)</f>
        <v>47.1343294778033</v>
      </c>
      <c r="H6599" s="6" t="n">
        <f aca="false">Sens!H6572-Sens!H6570-Sens!H6576+Sens!H6555*(1-tax_f)</f>
        <v>105.936672629101</v>
      </c>
      <c r="I6599" s="6" t="n">
        <f aca="false">Sens!I6572-Sens!I6570-Sens!I6576+Sens!I6555*(1-tax_f)</f>
        <v>184.112862245555</v>
      </c>
      <c r="J6599" s="6" t="n">
        <f aca="false">Sens!J6572-Sens!J6570-Sens!J6576+Sens!J6555*(1-tax_f)</f>
        <v>262.399035719242</v>
      </c>
      <c r="K6599" s="6" t="n">
        <f aca="false">Sens!K6572-Sens!K6570-Sens!K6576+Sens!K6555*(1-tax_f)</f>
        <v>299.260672691883</v>
      </c>
      <c r="L6599" s="1" t="s">
        <v>1060</v>
      </c>
    </row>
    <row r="6600" customFormat="false" ht="15" hidden="false" customHeight="false" outlineLevel="0" collapsed="false">
      <c r="A6600" s="1" t="s">
        <v>1061</v>
      </c>
      <c r="B6600" s="0" t="s">
        <v>98</v>
      </c>
      <c r="F6600" s="6" t="n">
        <f aca="false">Sens!F6599*Sens!F6598</f>
        <v>0.749688004797747</v>
      </c>
      <c r="G6600" s="6" t="n">
        <f aca="false">Sens!G6599*Sens!G6598</f>
        <v>40.6923524922296</v>
      </c>
      <c r="H6600" s="6" t="n">
        <f aca="false">Sens!H6599*Sens!H6598</f>
        <v>82.9224456444199</v>
      </c>
      <c r="I6600" s="6" t="n">
        <f aca="false">Sens!I6599*Sens!I6598</f>
        <v>130.665283078346</v>
      </c>
      <c r="J6600" s="6" t="n">
        <f aca="false">Sens!J6599*Sens!J6598</f>
        <v>168.84516485796</v>
      </c>
      <c r="K6600" s="6" t="n">
        <f aca="false">Sens!K6599*Sens!K6598</f>
        <v>174.592808570324</v>
      </c>
    </row>
    <row r="6601" customFormat="false" ht="17.15" hidden="false" customHeight="false" outlineLevel="0" collapsed="false">
      <c r="A6601" s="1" t="s">
        <v>1062</v>
      </c>
      <c r="B6601" s="0" t="s">
        <v>98</v>
      </c>
      <c r="C6601" s="6" t="n">
        <f aca="false">SUM(Sens!F6600:K6600)</f>
        <v>598.467742648076</v>
      </c>
    </row>
    <row r="6602" customFormat="false" ht="17.15" hidden="false" customHeight="false" outlineLevel="0" collapsed="false">
      <c r="A6602" s="1" t="s">
        <v>1063</v>
      </c>
      <c r="B6602" s="0" t="s">
        <v>98</v>
      </c>
      <c r="C6602" s="6" t="n">
        <f aca="false">Sens!K6541*(1+g_tv)*(1-tax_f)</f>
        <v>316.415480530394</v>
      </c>
    </row>
    <row r="6603" customFormat="false" ht="17.15" hidden="false" customHeight="false" outlineLevel="0" collapsed="false">
      <c r="A6603" s="1" t="s">
        <v>1064</v>
      </c>
      <c r="B6603" s="0" t="s">
        <v>98</v>
      </c>
      <c r="C6603" s="6" t="n">
        <f aca="false">Sens!$C$6602*(1-g_tv/(wacc+ronic_prem))</f>
        <v>224.196916445155</v>
      </c>
    </row>
    <row r="6604" customFormat="false" ht="17.15" hidden="false" customHeight="false" outlineLevel="0" collapsed="false">
      <c r="A6604" s="1" t="s">
        <v>1065</v>
      </c>
      <c r="B6604" s="0" t="s">
        <v>98</v>
      </c>
      <c r="C6604" s="6" t="n">
        <f aca="false">Sens!$C$6603/(wacc-g_tv)</f>
        <v>3073.95213617465</v>
      </c>
    </row>
    <row r="6605" customFormat="false" ht="15" hidden="false" customHeight="false" outlineLevel="0" collapsed="false">
      <c r="A6605" s="1" t="s">
        <v>1066</v>
      </c>
      <c r="B6605" s="0" t="s">
        <v>98</v>
      </c>
      <c r="C6605" s="6" t="n">
        <f aca="false">Sens!$C$6604/(1+wacc)^(Sens!K6597+mid_yr)</f>
        <v>1707.65038041498</v>
      </c>
    </row>
    <row r="6606" customFormat="false" ht="17.15" hidden="false" customHeight="false" outlineLevel="0" collapsed="false">
      <c r="A6606" s="0" t="s">
        <v>986</v>
      </c>
      <c r="B6606" s="0" t="s">
        <v>98</v>
      </c>
      <c r="C6606" s="6" t="n">
        <f aca="false">Sens!$C$6601+Sens!$C$6605</f>
        <v>2306.11812306306</v>
      </c>
    </row>
    <row r="6607" customFormat="false" ht="15" hidden="false" customHeight="false" outlineLevel="0" collapsed="false">
      <c r="A6607" s="1" t="s">
        <v>987</v>
      </c>
      <c r="B6607" s="0" t="s">
        <v>129</v>
      </c>
      <c r="C6607" s="7" t="n">
        <f aca="false">Sens!$C$6605/Sens!$C$6606</f>
        <v>0.740486952223777</v>
      </c>
    </row>
    <row r="6608" customFormat="false" ht="17.15" hidden="false" customHeight="false" outlineLevel="0" collapsed="false">
      <c r="A6608" s="1" t="s">
        <v>1067</v>
      </c>
      <c r="B6608" s="0" t="s">
        <v>98</v>
      </c>
      <c r="C6608" s="6" t="n">
        <f aca="false">Sens!$C$6606+Sens!E6588-Sens!E6577+oai_v</f>
        <v>2440.63112306306</v>
      </c>
    </row>
    <row r="6609" customFormat="false" ht="17.15" hidden="false" customHeight="false" outlineLevel="0" collapsed="false">
      <c r="A6609" s="0" t="s">
        <v>994</v>
      </c>
      <c r="B6609" s="0" t="s">
        <v>75</v>
      </c>
      <c r="C6609" s="5" t="n">
        <f aca="false">Sens!$C$6608/sh_dil26</f>
        <v>327.469626065082</v>
      </c>
    </row>
    <row r="6610" customFormat="false" ht="15" hidden="false" customHeight="false" outlineLevel="0" collapsed="false">
      <c r="A6610" s="1" t="s">
        <v>1068</v>
      </c>
      <c r="B6610" s="0" t="s">
        <v>75</v>
      </c>
      <c r="C6610" s="8" t="n">
        <f aca="false">dps_27+Sens!G6580*roll_div_q/q_per_yr</f>
        <v>4.8895</v>
      </c>
    </row>
    <row r="6611" customFormat="false" ht="17.15" hidden="false" customHeight="false" outlineLevel="0" collapsed="false">
      <c r="A6611" s="0" t="s">
        <v>1069</v>
      </c>
      <c r="B6611" s="0" t="s">
        <v>75</v>
      </c>
      <c r="C6611" s="5" t="n">
        <f aca="false">Sens!$C$6609*(1+wacc)^t_roll-Sens!$C$6610</f>
        <v>368.011097255818</v>
      </c>
    </row>
    <row r="6612" customFormat="false" ht="17.15" hidden="false" customHeight="false" outlineLevel="0" collapsed="false">
      <c r="A6612" s="1" t="s">
        <v>1070</v>
      </c>
      <c r="B6612" s="0" t="s">
        <v>129</v>
      </c>
      <c r="F6612" s="7" t="n">
        <f aca="false">Sens!F6567/(Sens!F6512-Sens!F6468)</f>
        <v>0.0713097880672413</v>
      </c>
      <c r="G6612" s="7" t="n">
        <f aca="false">Sens!G6567/(Sens!G6512-Sens!G6468)</f>
        <v>0.067849196808068</v>
      </c>
      <c r="H6612" s="7" t="n">
        <f aca="false">Sens!H6567/(Sens!H6512-Sens!H6468)</f>
        <v>0.0658983652598105</v>
      </c>
      <c r="I6612" s="7" t="n">
        <f aca="false">Sens!I6567/(Sens!I6512-Sens!I6468)</f>
        <v>0.0653076787189855</v>
      </c>
      <c r="J6612" s="7" t="n">
        <f aca="false">Sens!J6567/(Sens!J6512-Sens!J6468)</f>
        <v>0.0657526310446185</v>
      </c>
      <c r="K6612" s="7" t="n">
        <f aca="false">Sens!K6567/(Sens!K6512-Sens!K6468)</f>
        <v>0.0668439841819086</v>
      </c>
    </row>
    <row r="6613" customFormat="false" ht="17.15" hidden="false" customHeight="false" outlineLevel="0" collapsed="false">
      <c r="A6613" s="0" t="s">
        <v>1071</v>
      </c>
      <c r="B6613" s="0" t="s">
        <v>98</v>
      </c>
      <c r="F6613" s="6" t="n">
        <f aca="false">Sens!F6497*(al_m365+Sens!F6612+sbc_r)</f>
        <v>82.6423099477293</v>
      </c>
      <c r="G6613" s="6" t="n">
        <f aca="false">Sens!G6497*(al_m365+Sens!G6612+sbc_r)</f>
        <v>95.3784860475337</v>
      </c>
      <c r="H6613" s="6" t="n">
        <f aca="false">Sens!H6497*(al_m365+Sens!H6612+sbc_r)</f>
        <v>108.275278184965</v>
      </c>
      <c r="I6613" s="6" t="n">
        <f aca="false">Sens!I6497*(al_m365+Sens!I6612+sbc_r)</f>
        <v>120.071516042318</v>
      </c>
      <c r="J6613" s="6" t="n">
        <f aca="false">Sens!J6497*(al_m365+Sens!J6612+sbc_r)</f>
        <v>130.581141605819</v>
      </c>
      <c r="K6613" s="6" t="n">
        <f aca="false">Sens!K6497*(al_m365+Sens!K6612+sbc_r)</f>
        <v>140.703054648324</v>
      </c>
      <c r="L6613" s="11" t="s">
        <v>1072</v>
      </c>
    </row>
    <row r="6614" customFormat="false" ht="17.15" hidden="false" customHeight="false" outlineLevel="0" collapsed="false">
      <c r="A6614" s="0" t="s">
        <v>1073</v>
      </c>
      <c r="B6614" s="0" t="s">
        <v>98</v>
      </c>
      <c r="F6614" s="6" t="n">
        <f aca="false">Sens!F6498*(al_lic+Sens!F6612+sbc_r)</f>
        <v>33.5509000882039</v>
      </c>
      <c r="G6614" s="6" t="n">
        <f aca="false">Sens!G6498*(al_lic+Sens!G6612+sbc_r)</f>
        <v>34.8306510480395</v>
      </c>
      <c r="H6614" s="6" t="n">
        <f aca="false">Sens!H6498*(al_lic+Sens!H6612+sbc_r)</f>
        <v>36.028592492108</v>
      </c>
      <c r="I6614" s="6" t="n">
        <f aca="false">Sens!I6498*(al_lic+Sens!I6612+sbc_r)</f>
        <v>37.1259625770029</v>
      </c>
      <c r="J6614" s="6" t="n">
        <f aca="false">Sens!J6498*(al_lic+Sens!J6612+sbc_r)</f>
        <v>38.0957389378684</v>
      </c>
      <c r="K6614" s="6" t="n">
        <f aca="false">Sens!K6498*(al_lic+Sens!K6612+sbc_r)</f>
        <v>38.9073614551384</v>
      </c>
    </row>
    <row r="6615" customFormat="false" ht="17.15" hidden="false" customHeight="false" outlineLevel="0" collapsed="false">
      <c r="A6615" s="0" t="s">
        <v>1074</v>
      </c>
      <c r="B6615" s="0" t="s">
        <v>98</v>
      </c>
      <c r="F6615" s="6" t="n">
        <f aca="false">Sens!F6500*(al_ind+Sens!F6612+sbc_r)</f>
        <v>9.13722545588443</v>
      </c>
      <c r="G6615" s="6" t="n">
        <f aca="false">Sens!G6500*(al_ind+Sens!G6612+sbc_r)</f>
        <v>9.90354563226107</v>
      </c>
      <c r="H6615" s="6" t="n">
        <f aca="false">Sens!H6500*(al_ind+Sens!H6612+sbc_r)</f>
        <v>10.7167094464532</v>
      </c>
      <c r="I6615" s="6" t="n">
        <f aca="false">Sens!I6500*(al_ind+Sens!I6612+sbc_r)</f>
        <v>11.5738082523713</v>
      </c>
      <c r="J6615" s="6" t="n">
        <f aca="false">Sens!J6500*(al_ind+Sens!J6612+sbc_r)</f>
        <v>12.4646403937878</v>
      </c>
      <c r="K6615" s="6" t="n">
        <f aca="false">Sens!K6500*(al_ind+Sens!K6612+sbc_r)</f>
        <v>13.3732711145784</v>
      </c>
    </row>
    <row r="6616" customFormat="false" ht="17.15" hidden="false" customHeight="false" outlineLevel="0" collapsed="false">
      <c r="A6616" s="0" t="s">
        <v>1075</v>
      </c>
      <c r="B6616" s="0" t="s">
        <v>98</v>
      </c>
      <c r="F6616" s="6" t="n">
        <f aca="false">Sens!F6502*(al_fro+Sens!F6612+sbc_r)</f>
        <v>3.59644401841576</v>
      </c>
      <c r="G6616" s="6" t="n">
        <f aca="false">Sens!G6502*(al_fro+Sens!G6612+sbc_r)</f>
        <v>3.80237600859771</v>
      </c>
      <c r="H6616" s="6" t="n">
        <f aca="false">Sens!H6502*(al_fro+Sens!H6612+sbc_r)</f>
        <v>4.03842292617299</v>
      </c>
      <c r="I6616" s="6" t="n">
        <f aca="false">Sens!I6502*(al_fro+Sens!I6612+sbc_r)</f>
        <v>4.30730038326503</v>
      </c>
      <c r="J6616" s="6" t="n">
        <f aca="false">Sens!J6502*(al_fro+Sens!J6612+sbc_r)</f>
        <v>4.60990303286423</v>
      </c>
      <c r="K6616" s="6" t="n">
        <f aca="false">Sens!K6502*(al_fro+Sens!K6612+sbc_r)</f>
        <v>4.94594959202642</v>
      </c>
    </row>
    <row r="6617" customFormat="false" ht="17.15" hidden="false" customHeight="false" outlineLevel="0" collapsed="false">
      <c r="A6617" s="0" t="s">
        <v>1076</v>
      </c>
      <c r="B6617" s="0" t="s">
        <v>98</v>
      </c>
      <c r="F6617" s="6" t="n">
        <f aca="false">Sens!F6505*(al_srch+Sens!F6612+sbc_r)</f>
        <v>11.2846054531254</v>
      </c>
      <c r="G6617" s="6" t="n">
        <f aca="false">Sens!G6505*(al_srch+Sens!G6612+sbc_r)</f>
        <v>12.346426389454</v>
      </c>
      <c r="H6617" s="6" t="n">
        <f aca="false">Sens!H6505*(al_srch+Sens!H6612+sbc_r)</f>
        <v>13.4552175764424</v>
      </c>
      <c r="I6617" s="6" t="n">
        <f aca="false">Sens!I6505*(al_srch+Sens!I6612+sbc_r)</f>
        <v>14.6006234817426</v>
      </c>
      <c r="J6617" s="6" t="n">
        <f aca="false">Sens!J6505*(al_srch+Sens!J6612+sbc_r)</f>
        <v>15.762118062857</v>
      </c>
      <c r="K6617" s="6" t="n">
        <f aca="false">Sens!K6505*(al_srch+Sens!K6612+sbc_r)</f>
        <v>16.9111239101319</v>
      </c>
    </row>
    <row r="6618" customFormat="false" ht="17.15" hidden="false" customHeight="false" outlineLevel="0" collapsed="false">
      <c r="A6618" s="0" t="s">
        <v>1077</v>
      </c>
      <c r="B6618" s="0" t="s">
        <v>98</v>
      </c>
      <c r="F6618" s="6" t="n">
        <f aca="false">Sens!F6474-Sens!F6475+Sens!F6555</f>
        <v>47.1956260881851</v>
      </c>
      <c r="G6618" s="6" t="n">
        <f aca="false">Sens!G6474-Sens!G6475+Sens!G6555</f>
        <v>92.6490247980242</v>
      </c>
      <c r="H6618" s="6" t="n">
        <f aca="false">Sens!H6474-Sens!H6475+Sens!H6555</f>
        <v>145.764176660341</v>
      </c>
      <c r="I6618" s="6" t="n">
        <f aca="false">Sens!I6474-Sens!I6475+Sens!I6555</f>
        <v>188.273618380922</v>
      </c>
      <c r="J6618" s="6" t="n">
        <f aca="false">Sens!J6474-Sens!J6475+Sens!J6555</f>
        <v>218.556679639285</v>
      </c>
      <c r="K6618" s="6" t="n">
        <f aca="false">Sens!K6474-Sens!K6475+Sens!K6555</f>
        <v>238.048778074337</v>
      </c>
    </row>
    <row r="6619" customFormat="false" ht="17.15" hidden="false" customHeight="false" outlineLevel="0" collapsed="false">
      <c r="A6619" s="0" t="s">
        <v>1078</v>
      </c>
      <c r="B6619" s="0" t="s">
        <v>98</v>
      </c>
      <c r="F6619" s="6" t="n">
        <f aca="false">Sens!F6534+Sens!F6555+Sens!F6485+Sens!F6612*(Sens!F6504-Sens!F6468)+sbc_r*Sens!F6504</f>
        <v>236.749254194982</v>
      </c>
      <c r="G6619" s="6" t="n">
        <f aca="false">Sens!G6534+Sens!G6555+Sens!G6485+Sens!G6612*(Sens!G6504-Sens!G6468)+sbc_r*Sens!G6504</f>
        <v>309.903354515977</v>
      </c>
      <c r="H6619" s="6" t="n">
        <f aca="false">Sens!H6534+Sens!H6555+Sens!H6485+Sens!H6612*(Sens!H6504-Sens!H6468)+sbc_r*Sens!H6504</f>
        <v>391.404264191159</v>
      </c>
      <c r="I6619" s="6" t="n">
        <f aca="false">Sens!I6534+Sens!I6555+Sens!I6485+Sens!I6612*(Sens!I6504-Sens!I6468)+sbc_r*Sens!I6504</f>
        <v>460.603157544407</v>
      </c>
      <c r="J6619" s="6" t="n">
        <f aca="false">Sens!J6534+Sens!J6555+Sens!J6485+Sens!J6612*(Sens!J6504-Sens!J6468)+sbc_r*Sens!J6504</f>
        <v>515.00388473654</v>
      </c>
      <c r="K6619" s="6" t="n">
        <f aca="false">Sens!K6534+Sens!K6555+Sens!K6485+Sens!K6612*(Sens!K6504-Sens!K6468)+sbc_r*Sens!K6504</f>
        <v>556.211234071676</v>
      </c>
    </row>
    <row r="6620" customFormat="false" ht="17.15" hidden="false" customHeight="false" outlineLevel="0" collapsed="false">
      <c r="A6620" s="0" t="s">
        <v>1079</v>
      </c>
      <c r="B6620" s="0" t="s">
        <v>98</v>
      </c>
      <c r="F6620" s="6" t="n">
        <f aca="false">Sens!F6619-Sens!F6613-Sens!F6614-Sens!F6615-Sens!F6616-Sens!F6618</f>
        <v>60.6267485965639</v>
      </c>
      <c r="G6620" s="6" t="n">
        <f aca="false">Sens!G6619-Sens!G6613-Sens!G6614-Sens!G6615-Sens!G6616-Sens!G6618</f>
        <v>73.3392709815214</v>
      </c>
      <c r="H6620" s="6" t="n">
        <f aca="false">Sens!H6619-Sens!H6613-Sens!H6614-Sens!H6615-Sens!H6616-Sens!H6618</f>
        <v>86.5810844811186</v>
      </c>
      <c r="I6620" s="6" t="n">
        <f aca="false">Sens!I6619-Sens!I6613-Sens!I6614-Sens!I6615-Sens!I6616-Sens!I6618</f>
        <v>99.2509519085272</v>
      </c>
      <c r="J6620" s="6" t="n">
        <f aca="false">Sens!J6619-Sens!J6613-Sens!J6614-Sens!J6615-Sens!J6616-Sens!J6618</f>
        <v>110.695781126915</v>
      </c>
      <c r="K6620" s="6" t="n">
        <f aca="false">Sens!K6619-Sens!K6613-Sens!K6614-Sens!K6615-Sens!K6616-Sens!K6618</f>
        <v>120.232819187272</v>
      </c>
    </row>
    <row r="6621" customFormat="false" ht="17.15" hidden="false" customHeight="false" outlineLevel="0" collapsed="false">
      <c r="A6621" s="0" t="s">
        <v>1080</v>
      </c>
      <c r="B6621" s="0" t="s">
        <v>98</v>
      </c>
      <c r="F6621" s="6" t="n">
        <f aca="false">Sens!F6536+Sens!F6612*Sens!F6511+sbc_r*Sens!F6511</f>
        <v>26.3758444952897</v>
      </c>
      <c r="G6621" s="6" t="n">
        <f aca="false">Sens!G6536+Sens!G6612*Sens!G6511+sbc_r*Sens!G6511</f>
        <v>26.9467860656215</v>
      </c>
      <c r="H6621" s="6" t="n">
        <f aca="false">Sens!H6536+Sens!H6612*Sens!H6511+sbc_r*Sens!H6511</f>
        <v>27.7951604036556</v>
      </c>
      <c r="I6621" s="6" t="n">
        <f aca="false">Sens!I6536+Sens!I6612*Sens!I6511+sbc_r*Sens!I6511</f>
        <v>28.8895315516615</v>
      </c>
      <c r="J6621" s="6" t="n">
        <f aca="false">Sens!J6536+Sens!J6612*Sens!J6511+sbc_r*Sens!J6511</f>
        <v>30.19210332907</v>
      </c>
      <c r="K6621" s="6" t="n">
        <f aca="false">Sens!K6536+Sens!K6612*Sens!K6511+sbc_r*Sens!K6511</f>
        <v>31.6629328974437</v>
      </c>
    </row>
    <row r="6622" customFormat="false" ht="17.15" hidden="false" customHeight="false" outlineLevel="0" collapsed="false">
      <c r="A6622" s="0" t="s">
        <v>1081</v>
      </c>
      <c r="B6622" s="0" t="s">
        <v>98</v>
      </c>
      <c r="F6622" s="6" t="n">
        <f aca="false">(Sens!F6621-Sens!F6617)*Sens!F6507/(Sens!F6507+Sens!F6509)</f>
        <v>8.27287025637607</v>
      </c>
      <c r="G6622" s="6" t="n">
        <f aca="false">(Sens!G6621-Sens!G6617)*Sens!G6507/(Sens!G6507+Sens!G6509)</f>
        <v>7.86106816435834</v>
      </c>
      <c r="H6622" s="6" t="n">
        <f aca="false">(Sens!H6621-Sens!H6617)*Sens!H6507/(Sens!H6507+Sens!H6509)</f>
        <v>7.61655969453001</v>
      </c>
      <c r="I6622" s="6" t="n">
        <f aca="false">(Sens!I6621-Sens!I6617)*Sens!I6507/(Sens!I6507+Sens!I6509)</f>
        <v>7.52078347556525</v>
      </c>
      <c r="J6622" s="6" t="n">
        <f aca="false">(Sens!J6621-Sens!J6617)*Sens!J6507/(Sens!J6507+Sens!J6509)</f>
        <v>7.56069316819316</v>
      </c>
      <c r="K6622" s="6" t="n">
        <f aca="false">(Sens!K6621-Sens!K6617)*Sens!K6507/(Sens!K6507+Sens!K6509)</f>
        <v>7.72931499036312</v>
      </c>
    </row>
    <row r="6623" customFormat="false" ht="17.15" hidden="false" customHeight="false" outlineLevel="0" collapsed="false">
      <c r="A6623" s="0" t="s">
        <v>1082</v>
      </c>
      <c r="B6623" s="0" t="s">
        <v>98</v>
      </c>
      <c r="F6623" s="6" t="n">
        <f aca="false">Sens!F6621-Sens!F6617-Sens!F6622</f>
        <v>6.8183687857883</v>
      </c>
      <c r="G6623" s="6" t="n">
        <f aca="false">Sens!G6621-Sens!G6617-Sens!G6622</f>
        <v>6.73929151180911</v>
      </c>
      <c r="H6623" s="6" t="n">
        <f aca="false">Sens!H6621-Sens!H6617-Sens!H6622</f>
        <v>6.72338313268316</v>
      </c>
      <c r="I6623" s="6" t="n">
        <f aca="false">Sens!I6621-Sens!I6617-Sens!I6622</f>
        <v>6.76812459435374</v>
      </c>
      <c r="J6623" s="6" t="n">
        <f aca="false">Sens!J6621-Sens!J6617-Sens!J6622</f>
        <v>6.86929209801982</v>
      </c>
      <c r="K6623" s="6" t="n">
        <f aca="false">Sens!K6621-Sens!K6617-Sens!K6622</f>
        <v>7.0224939969487</v>
      </c>
    </row>
    <row r="6624" customFormat="false" ht="17.15" hidden="false" customHeight="false" outlineLevel="0" collapsed="false">
      <c r="A6624" s="0" t="s">
        <v>1083</v>
      </c>
      <c r="B6624" s="0" t="s">
        <v>98</v>
      </c>
      <c r="F6624" s="6" t="n">
        <f aca="false">Sens!F6618-tax_f*(Sens!F6618-Sens!F6485)-Sens!F6482</f>
        <v>-115.766397524727</v>
      </c>
      <c r="G6624" s="6" t="n">
        <f aca="false">Sens!G6618-tax_f*(Sens!G6618-Sens!G6485)-Sens!G6482</f>
        <v>-97.6298732226784</v>
      </c>
      <c r="H6624" s="6" t="n">
        <f aca="false">Sens!H6618-tax_f*(Sens!H6618-Sens!H6485)-Sens!H6482</f>
        <v>-54.1967406134649</v>
      </c>
      <c r="I6624" s="6" t="n">
        <f aca="false">Sens!I6618-tax_f*(Sens!I6618-Sens!I6485)-Sens!I6482</f>
        <v>9.03337431697111</v>
      </c>
      <c r="J6624" s="6" t="n">
        <f aca="false">Sens!J6618-tax_f*(Sens!J6618-Sens!J6485)-Sens!J6482</f>
        <v>73.2635716877545</v>
      </c>
      <c r="K6624" s="6" t="n">
        <f aca="false">Sens!K6618-tax_f*(Sens!K6618-Sens!K6485)-Sens!K6482</f>
        <v>96.8578999647402</v>
      </c>
    </row>
    <row r="6625" customFormat="false" ht="17.15" hidden="false" customHeight="false" outlineLevel="0" collapsed="false">
      <c r="A6625" s="0" t="s">
        <v>1084</v>
      </c>
      <c r="B6625" s="0" t="s">
        <v>98</v>
      </c>
      <c r="G6625" s="6" t="n">
        <f aca="false">Sens!G6624/(1+wacc)^(Sens!G6597-(Sens!F6597+mid_yr))</f>
        <v>-92.9625183488475</v>
      </c>
      <c r="H6625" s="6" t="n">
        <f aca="false">Sens!H6624/(1+wacc)^(Sens!H6597-(Sens!F6597+mid_yr))</f>
        <v>-46.7895246926472</v>
      </c>
      <c r="I6625" s="6" t="n">
        <f aca="false">Sens!I6624/(1+wacc)^(Sens!I6597-(Sens!F6597+mid_yr))</f>
        <v>7.07091767368727</v>
      </c>
      <c r="J6625" s="6" t="n">
        <f aca="false">Sens!J6624/(1+wacc)^(Sens!J6597-(Sens!F6597+mid_yr))</f>
        <v>51.9953099264918</v>
      </c>
      <c r="K6625" s="6" t="n">
        <f aca="false">Sens!K6624/(1+wacc)^(Sens!K6597-(Sens!F6597+mid_yr))</f>
        <v>62.3248787577123</v>
      </c>
      <c r="L6625" s="1" t="s">
        <v>1085</v>
      </c>
    </row>
    <row r="6626" customFormat="false" ht="17.15" hidden="false" customHeight="false" outlineLevel="0" collapsed="false">
      <c r="A6626" s="0" t="s">
        <v>1086</v>
      </c>
      <c r="B6626" s="0" t="s">
        <v>98</v>
      </c>
      <c r="C6626" s="6" t="n">
        <f aca="false">(Sens!K6618-Sens!K6485)*(1-tax_f)*(1+g_tv)*(1-g_tv/(wacc+ronic_prem))/(wacc-g_tv)/(1+wacc)^(Sens!K6597+mid_yr-(Sens!F6597+mid_yr))</f>
        <v>485.166106108376</v>
      </c>
    </row>
    <row r="6627" customFormat="false" ht="17.15" hidden="false" customHeight="false" outlineLevel="0" collapsed="false">
      <c r="A6627" s="1" t="s">
        <v>1087</v>
      </c>
      <c r="B6627" s="0" t="s">
        <v>98</v>
      </c>
      <c r="C6627" s="6" t="n">
        <f aca="false">(SUM(Sens!G6625:K6625)+Sens!$C$6626)*(1+wacc)^(t_roll-(Sens!F6597+mid_yr))</f>
        <v>481.956699458566</v>
      </c>
      <c r="L6627" s="11" t="s">
        <v>1088</v>
      </c>
    </row>
    <row r="6628" customFormat="false" ht="17.15" hidden="false" customHeight="false" outlineLevel="0" collapsed="false">
      <c r="A6628" s="1" t="s">
        <v>1089</v>
      </c>
      <c r="B6628" s="0" t="s">
        <v>98</v>
      </c>
      <c r="C6628" s="6" t="n">
        <f aca="false">(w_ntm28*Sens!G6474+(1-w_ntm28)*Sens!H6474)*m_ai</f>
        <v>551.711134531404</v>
      </c>
    </row>
    <row r="6629" customFormat="false" ht="17.15" hidden="false" customHeight="false" outlineLevel="0" collapsed="false">
      <c r="A6629" s="1" t="s">
        <v>1090</v>
      </c>
      <c r="B6629" s="0" t="s">
        <v>98</v>
      </c>
      <c r="C6629" s="6" t="n">
        <f aca="false">(w_ntm28*Sens!G6620+(1-w_ntm28)*Sens!H6620)*m_cloud</f>
        <v>1072.71097094436</v>
      </c>
    </row>
    <row r="6630" customFormat="false" ht="17.15" hidden="false" customHeight="false" outlineLevel="0" collapsed="false">
      <c r="A6630" s="1" t="s">
        <v>1091</v>
      </c>
      <c r="B6630" s="0" t="s">
        <v>98</v>
      </c>
      <c r="C6630" s="6" t="n">
        <f aca="false">(w_ntm28*Sens!G6613+(1-w_ntm28)*Sens!H6613)*m_sw</f>
        <v>1075.1168873954</v>
      </c>
    </row>
    <row r="6631" customFormat="false" ht="17.15" hidden="false" customHeight="false" outlineLevel="0" collapsed="false">
      <c r="A6631" s="1" t="s">
        <v>1092</v>
      </c>
      <c r="B6631" s="0" t="s">
        <v>98</v>
      </c>
      <c r="C6631" s="6" t="n">
        <f aca="false">(w_ntm28*Sens!G6614+(1-w_ntm28)*Sens!H6614)*m_sw</f>
        <v>380.35365207587</v>
      </c>
    </row>
    <row r="6632" customFormat="false" ht="17.15" hidden="false" customHeight="false" outlineLevel="0" collapsed="false">
      <c r="A6632" s="1" t="s">
        <v>1093</v>
      </c>
      <c r="B6632" s="0" t="s">
        <v>98</v>
      </c>
      <c r="C6632" s="6" t="n">
        <f aca="false">(w_ntm28*Sens!G6615+(1-w_ntm28)*Sens!H6615)*m_sw</f>
        <v>109.797459855287</v>
      </c>
    </row>
    <row r="6633" customFormat="false" ht="17.15" hidden="false" customHeight="false" outlineLevel="0" collapsed="false">
      <c r="A6633" s="1" t="s">
        <v>1094</v>
      </c>
      <c r="B6633" s="0" t="s">
        <v>98</v>
      </c>
      <c r="C6633" s="6" t="n">
        <f aca="false">(w_ntm28*Sens!G6616+(1-w_ntm28)*Sens!H6616)*m_sw</f>
        <v>41.8898203223291</v>
      </c>
    </row>
    <row r="6634" customFormat="false" ht="17.15" hidden="false" customHeight="false" outlineLevel="0" collapsed="false">
      <c r="A6634" s="1" t="s">
        <v>1095</v>
      </c>
      <c r="B6634" s="0" t="s">
        <v>98</v>
      </c>
      <c r="C6634" s="6" t="n">
        <f aca="false">(w_ntm28*Sens!G6617+(1-w_ntm28)*Sens!H6617)*m_ads</f>
        <v>115.741501531731</v>
      </c>
    </row>
    <row r="6635" customFormat="false" ht="17.15" hidden="false" customHeight="false" outlineLevel="0" collapsed="false">
      <c r="A6635" s="1" t="s">
        <v>1096</v>
      </c>
      <c r="B6635" s="0" t="s">
        <v>98</v>
      </c>
      <c r="C6635" s="6" t="n">
        <f aca="false">(w_ntm28*Sens!G6622+(1-w_ntm28)*Sens!H6622)*m_game</f>
        <v>98.286932688657</v>
      </c>
    </row>
    <row r="6636" customFormat="false" ht="17.15" hidden="false" customHeight="false" outlineLevel="0" collapsed="false">
      <c r="A6636" s="1" t="s">
        <v>1097</v>
      </c>
      <c r="B6636" s="0" t="s">
        <v>98</v>
      </c>
      <c r="C6636" s="6" t="n">
        <f aca="false">(w_ntm28*Sens!G6623+(1-w_ntm28)*Sens!H6623)*m_pc</f>
        <v>97.4431292141726</v>
      </c>
    </row>
    <row r="6637" customFormat="false" ht="17.15" hidden="false" customHeight="false" outlineLevel="0" collapsed="false">
      <c r="A6637" s="1" t="s">
        <v>1098</v>
      </c>
      <c r="B6637" s="0" t="s">
        <v>98</v>
      </c>
      <c r="C6637" s="6" t="n">
        <f aca="false">Sens!$C$6627+Sens!$C$6629+Sens!$C$6630+Sens!$C$6631+Sens!$C$6632+Sens!$C$6633+Sens!$C$6634+Sens!$C$6635+Sens!$C$6636</f>
        <v>3473.29705348637</v>
      </c>
    </row>
    <row r="6638" customFormat="false" ht="17.15" hidden="false" customHeight="false" outlineLevel="0" collapsed="false">
      <c r="A6638" s="1" t="s">
        <v>1099</v>
      </c>
      <c r="B6638" s="0" t="s">
        <v>98</v>
      </c>
      <c r="C6638" s="6" t="n">
        <f aca="false">(Sens!G6599-Sens!G6624)*t_stub</f>
        <v>47.1970962228968</v>
      </c>
      <c r="L6638" s="1" t="s">
        <v>1100</v>
      </c>
    </row>
    <row r="6639" customFormat="false" ht="17.15" hidden="false" customHeight="false" outlineLevel="0" collapsed="false">
      <c r="A6639" s="1" t="s">
        <v>1014</v>
      </c>
      <c r="B6639" s="0" t="s">
        <v>98</v>
      </c>
      <c r="C6639" s="6" t="n">
        <f aca="false">Sens!F6588+oai_v-Sens!F6577+Sens!$C$6638</f>
        <v>160.405684060797</v>
      </c>
      <c r="L6639" s="1" t="s">
        <v>1101</v>
      </c>
    </row>
    <row r="6640" customFormat="false" ht="17.15" hidden="false" customHeight="false" outlineLevel="0" collapsed="false">
      <c r="A6640" s="1" t="s">
        <v>1102</v>
      </c>
      <c r="B6640" s="0" t="s">
        <v>75</v>
      </c>
      <c r="C6640" s="5" t="n">
        <f aca="false">(Sens!$C$6637+Sens!$C$6639)/(Sens!F6590+dil_gap)-Sens!G6580*roll_div_q/q_per_yr</f>
        <v>483.712732863816</v>
      </c>
      <c r="L6640" s="1" t="s">
        <v>1103</v>
      </c>
    </row>
    <row r="6641" customFormat="false" ht="17.15" hidden="false" customHeight="false" outlineLevel="0" collapsed="false">
      <c r="A6641" s="1" t="s">
        <v>1104</v>
      </c>
      <c r="B6641" s="0" t="s">
        <v>75</v>
      </c>
      <c r="C6641" s="5" t="n">
        <f aca="false">w_dcf*Sens!$C$6611+(1-w_dcf)*Sens!$C$6640</f>
        <v>425.861915059817</v>
      </c>
    </row>
    <row r="6642" customFormat="false" ht="17.15" hidden="false" customHeight="false" outlineLevel="0" collapsed="false">
      <c r="A6642" s="3" t="s">
        <v>1432</v>
      </c>
    </row>
    <row r="6643" customFormat="false" ht="15" hidden="false" customHeight="false" outlineLevel="0" collapsed="false">
      <c r="A6643" s="4" t="s">
        <v>43</v>
      </c>
      <c r="B6643" s="4" t="s">
        <v>65</v>
      </c>
      <c r="C6643" s="20" t="s">
        <v>799</v>
      </c>
      <c r="D6643" s="20" t="s">
        <v>800</v>
      </c>
      <c r="E6643" s="20" t="s">
        <v>801</v>
      </c>
      <c r="F6643" s="20" t="s">
        <v>802</v>
      </c>
      <c r="G6643" s="20" t="s">
        <v>803</v>
      </c>
      <c r="H6643" s="20" t="s">
        <v>804</v>
      </c>
      <c r="I6643" s="20" t="s">
        <v>805</v>
      </c>
      <c r="J6643" s="20" t="s">
        <v>806</v>
      </c>
      <c r="K6643" s="20" t="s">
        <v>807</v>
      </c>
      <c r="L6643" s="4" t="s">
        <v>47</v>
      </c>
    </row>
    <row r="6644" customFormat="false" ht="17.15" hidden="false" customHeight="false" outlineLevel="0" collapsed="false">
      <c r="A6644" s="1" t="s">
        <v>808</v>
      </c>
      <c r="B6644" s="1" t="s">
        <v>235</v>
      </c>
      <c r="C6644" s="28" t="n">
        <v>2024</v>
      </c>
      <c r="D6644" s="28" t="n">
        <v>2025</v>
      </c>
      <c r="E6644" s="28" t="n">
        <v>2026</v>
      </c>
      <c r="F6644" s="28" t="n">
        <v>2027</v>
      </c>
      <c r="G6644" s="28" t="n">
        <v>2028</v>
      </c>
      <c r="H6644" s="28" t="n">
        <v>2029</v>
      </c>
      <c r="I6644" s="28" t="n">
        <v>2030</v>
      </c>
      <c r="J6644" s="28" t="n">
        <v>2031</v>
      </c>
      <c r="K6644" s="28" t="n">
        <v>2032</v>
      </c>
    </row>
    <row r="6645" customFormat="false" ht="17.15" hidden="false" customHeight="false" outlineLevel="0" collapsed="false">
      <c r="A6645" s="1" t="s">
        <v>809</v>
      </c>
      <c r="B6645" s="0" t="s">
        <v>399</v>
      </c>
      <c r="F6645" s="29" t="n">
        <f aca="false">pace</f>
        <v>2527.2</v>
      </c>
      <c r="G6645" s="29" t="n">
        <f aca="false">pace</f>
        <v>2527.2</v>
      </c>
      <c r="H6645" s="29" t="n">
        <f aca="false">pace</f>
        <v>2527.2</v>
      </c>
      <c r="I6645" s="29" t="n">
        <f aca="false">pace+(g_tv*Sens!H6646-pace)*MIN(1,(Sens!I6644-pace_y0)/(pace_y1-pace_y0))</f>
        <v>1793.116</v>
      </c>
      <c r="J6645" s="29" t="n">
        <f aca="false">pace+(g_tv*Sens!I6646-pace)*MIN(1,(Sens!J6644-pace_y0)/(pace_y1-pace_y0))</f>
        <v>1094.89432</v>
      </c>
      <c r="K6645" s="29" t="n">
        <f aca="false">pace+(g_tv*Sens!J6646-pace)*MIN(1,(Sens!K6644-pace_y0)/(pace_y1-pace_y0))</f>
        <v>411.5883096</v>
      </c>
      <c r="L6645" s="11" t="s">
        <v>810</v>
      </c>
    </row>
    <row r="6646" customFormat="false" ht="17.15" hidden="false" customHeight="false" outlineLevel="0" collapsed="false">
      <c r="A6646" s="1" t="s">
        <v>811</v>
      </c>
      <c r="B6646" s="0" t="s">
        <v>399</v>
      </c>
      <c r="C6646" s="29" t="n">
        <f aca="false">mw_ext_24</f>
        <v>640</v>
      </c>
      <c r="D6646" s="29" t="n">
        <f aca="false">mw_ext_25</f>
        <v>1630</v>
      </c>
      <c r="E6646" s="29" t="n">
        <f aca="false">mw_ext_26</f>
        <v>3250</v>
      </c>
      <c r="F6646" s="29" t="n">
        <f aca="false">Sens!E6646+Sens!F6645</f>
        <v>5777.2</v>
      </c>
      <c r="G6646" s="29" t="n">
        <f aca="false">Sens!F6646+Sens!G6645</f>
        <v>8304.4</v>
      </c>
      <c r="H6646" s="29" t="n">
        <f aca="false">Sens!G6646+Sens!H6645</f>
        <v>10831.6</v>
      </c>
      <c r="I6646" s="29" t="n">
        <f aca="false">Sens!H6646+Sens!I6645</f>
        <v>12624.716</v>
      </c>
      <c r="J6646" s="29" t="n">
        <f aca="false">Sens!I6646+Sens!J6645</f>
        <v>13719.61032</v>
      </c>
      <c r="K6646" s="29" t="n">
        <f aca="false">Sens!J6646+Sens!K6645</f>
        <v>14131.1986296</v>
      </c>
      <c r="L6646" s="1" t="s">
        <v>812</v>
      </c>
    </row>
    <row r="6647" customFormat="false" ht="17.15" hidden="false" customHeight="false" outlineLevel="0" collapsed="false">
      <c r="A6647" s="1" t="s">
        <v>813</v>
      </c>
      <c r="B6647" s="0" t="s">
        <v>399</v>
      </c>
      <c r="C6647" s="29" t="n">
        <f aca="false">rent_ext_24</f>
        <v>150</v>
      </c>
      <c r="D6647" s="29" t="n">
        <f aca="false">rent_ext_25</f>
        <v>400</v>
      </c>
      <c r="E6647" s="29" t="n">
        <f aca="false">rent_ext_26</f>
        <v>550</v>
      </c>
      <c r="F6647" s="29" t="n">
        <f aca="false">rent_ext_f</f>
        <v>756</v>
      </c>
      <c r="G6647" s="29" t="n">
        <f aca="false">rent_ext_f</f>
        <v>756</v>
      </c>
      <c r="H6647" s="29" t="n">
        <f aca="false">rent_ext_f</f>
        <v>756</v>
      </c>
      <c r="I6647" s="29" t="n">
        <f aca="false">rent_ext_f</f>
        <v>756</v>
      </c>
      <c r="J6647" s="29" t="n">
        <f aca="false">rent_ext_f</f>
        <v>756</v>
      </c>
      <c r="K6647" s="29" t="n">
        <f aca="false">rent_ext_f</f>
        <v>756</v>
      </c>
      <c r="L6647" s="1" t="s">
        <v>814</v>
      </c>
    </row>
    <row r="6648" customFormat="false" ht="17.15" hidden="false" customHeight="false" outlineLevel="0" collapsed="false">
      <c r="A6648" s="1" t="s">
        <v>815</v>
      </c>
      <c r="B6648" s="0" t="s">
        <v>399</v>
      </c>
      <c r="C6648" s="29" t="n">
        <f aca="false">Sens!C6646-Sens!C6647</f>
        <v>490</v>
      </c>
      <c r="D6648" s="29" t="n">
        <f aca="false">Sens!D6646-Sens!D6647</f>
        <v>1230</v>
      </c>
      <c r="E6648" s="29" t="n">
        <f aca="false">Sens!E6646-Sens!E6647</f>
        <v>2700</v>
      </c>
      <c r="F6648" s="29" t="n">
        <f aca="false">Sens!F6646-Sens!F6647</f>
        <v>5021.2</v>
      </c>
      <c r="G6648" s="29" t="n">
        <f aca="false">Sens!G6646-Sens!G6647</f>
        <v>7548.4</v>
      </c>
      <c r="H6648" s="29" t="n">
        <f aca="false">Sens!H6646-Sens!H6647</f>
        <v>10075.6</v>
      </c>
      <c r="I6648" s="29" t="n">
        <f aca="false">Sens!I6646-Sens!I6647</f>
        <v>11868.716</v>
      </c>
      <c r="J6648" s="29" t="n">
        <f aca="false">Sens!J6646-Sens!J6647</f>
        <v>12963.61032</v>
      </c>
      <c r="K6648" s="29" t="n">
        <f aca="false">Sens!K6646-Sens!K6647</f>
        <v>13375.1986296</v>
      </c>
    </row>
    <row r="6649" customFormat="false" ht="17.15" hidden="false" customHeight="false" outlineLevel="0" collapsed="false">
      <c r="A6649" s="1" t="s">
        <v>816</v>
      </c>
      <c r="B6649" s="0" t="s">
        <v>399</v>
      </c>
      <c r="C6649" s="29" t="n">
        <f aca="false">Sens!C6648/ext_sh</f>
        <v>816.666666666667</v>
      </c>
      <c r="D6649" s="29" t="n">
        <f aca="false">Sens!D6648/ext_sh</f>
        <v>2050</v>
      </c>
      <c r="E6649" s="29" t="n">
        <f aca="false">Sens!E6648/ext_sh</f>
        <v>4500</v>
      </c>
      <c r="F6649" s="29" t="n">
        <f aca="false">Sens!F6648/ext_sh</f>
        <v>8368.66666666667</v>
      </c>
      <c r="G6649" s="29" t="n">
        <f aca="false">Sens!G6648/ext_sh</f>
        <v>12580.6666666667</v>
      </c>
      <c r="H6649" s="29" t="n">
        <f aca="false">Sens!H6648/ext_sh</f>
        <v>16792.6666666667</v>
      </c>
      <c r="I6649" s="29" t="n">
        <f aca="false">Sens!I6648/ext_sh</f>
        <v>19781.1933333333</v>
      </c>
      <c r="J6649" s="29" t="n">
        <f aca="false">Sens!J6648/ext_sh</f>
        <v>21606.0172</v>
      </c>
      <c r="K6649" s="29" t="n">
        <f aca="false">Sens!K6648/ext_sh</f>
        <v>22291.997716</v>
      </c>
      <c r="L6649" s="1" t="s">
        <v>817</v>
      </c>
    </row>
    <row r="6650" customFormat="false" ht="17.15" hidden="false" customHeight="false" outlineLevel="0" collapsed="false">
      <c r="A6650" s="1" t="s">
        <v>818</v>
      </c>
      <c r="B6650" s="0" t="s">
        <v>399</v>
      </c>
      <c r="C6650" s="29" t="n">
        <f aca="false">Sens!C6649-Sens!C6648</f>
        <v>326.666666666667</v>
      </c>
      <c r="D6650" s="29" t="n">
        <f aca="false">Sens!D6649-Sens!D6648</f>
        <v>820</v>
      </c>
      <c r="E6650" s="29" t="n">
        <f aca="false">Sens!E6649-Sens!E6648</f>
        <v>1800</v>
      </c>
      <c r="F6650" s="29" t="n">
        <f aca="false">Sens!F6649-Sens!F6648</f>
        <v>3347.46666666667</v>
      </c>
      <c r="G6650" s="29" t="n">
        <f aca="false">Sens!G6649-Sens!G6648</f>
        <v>5032.26666666667</v>
      </c>
      <c r="H6650" s="29" t="n">
        <f aca="false">Sens!H6649-Sens!H6648</f>
        <v>6717.06666666667</v>
      </c>
      <c r="I6650" s="29" t="n">
        <f aca="false">Sens!I6649-Sens!I6648</f>
        <v>7912.47733333333</v>
      </c>
      <c r="J6650" s="29" t="n">
        <f aca="false">Sens!J6649-Sens!J6648</f>
        <v>8642.40688</v>
      </c>
      <c r="K6650" s="29" t="n">
        <f aca="false">Sens!K6649-Sens!K6648</f>
        <v>8916.7990864</v>
      </c>
    </row>
    <row r="6651" customFormat="false" ht="17.15" hidden="false" customHeight="false" outlineLevel="0" collapsed="false">
      <c r="A6651" s="1" t="s">
        <v>819</v>
      </c>
      <c r="B6651" s="0" t="s">
        <v>399</v>
      </c>
      <c r="C6651" s="29" t="n">
        <f aca="false">Sens!C6649</f>
        <v>816.666666666667</v>
      </c>
      <c r="D6651" s="29" t="n">
        <f aca="false">Sens!D6649-Sens!C6649</f>
        <v>1233.33333333333</v>
      </c>
      <c r="E6651" s="29" t="n">
        <f aca="false">Sens!E6649-Sens!D6649</f>
        <v>2450</v>
      </c>
      <c r="F6651" s="29" t="n">
        <f aca="false">Sens!F6649-Sens!E6649</f>
        <v>3868.66666666667</v>
      </c>
      <c r="G6651" s="29" t="n">
        <f aca="false">Sens!G6649-Sens!F6649</f>
        <v>4212</v>
      </c>
      <c r="H6651" s="29" t="n">
        <f aca="false">Sens!H6649-Sens!G6649</f>
        <v>4212</v>
      </c>
      <c r="I6651" s="29" t="n">
        <f aca="false">Sens!I6649-Sens!H6649</f>
        <v>2988.52666666667</v>
      </c>
      <c r="J6651" s="29" t="n">
        <f aca="false">Sens!J6649-Sens!I6649</f>
        <v>1824.82386666667</v>
      </c>
      <c r="K6651" s="29" t="n">
        <f aca="false">Sens!K6649-Sens!J6649</f>
        <v>685.980516</v>
      </c>
    </row>
    <row r="6652" customFormat="false" ht="17.15" hidden="false" customHeight="false" outlineLevel="0" collapsed="false">
      <c r="A6652" s="1" t="s">
        <v>820</v>
      </c>
      <c r="B6652" s="0" t="s">
        <v>399</v>
      </c>
      <c r="D6652" s="29" t="n">
        <f aca="false">Sens!D6646-Sens!C6646</f>
        <v>990</v>
      </c>
      <c r="E6652" s="29" t="n">
        <f aca="false">Sens!E6646-Sens!D6646</f>
        <v>1620</v>
      </c>
      <c r="F6652" s="29" t="n">
        <f aca="false">Sens!F6646-Sens!E6646</f>
        <v>2527.2</v>
      </c>
      <c r="G6652" s="29" t="n">
        <f aca="false">Sens!G6646-Sens!F6646</f>
        <v>2527.2</v>
      </c>
      <c r="H6652" s="29" t="n">
        <f aca="false">Sens!H6646-Sens!G6646</f>
        <v>2527.2</v>
      </c>
      <c r="I6652" s="29" t="n">
        <f aca="false">Sens!I6646-Sens!H6646</f>
        <v>1793.116</v>
      </c>
      <c r="J6652" s="29" t="n">
        <f aca="false">Sens!J6646-Sens!I6646</f>
        <v>1094.89432</v>
      </c>
      <c r="K6652" s="29" t="n">
        <f aca="false">Sens!K6646-Sens!J6646</f>
        <v>411.5883096</v>
      </c>
    </row>
    <row r="6653" customFormat="false" ht="17.15" hidden="false" customHeight="false" outlineLevel="0" collapsed="false">
      <c r="A6653" s="1" t="s">
        <v>821</v>
      </c>
      <c r="B6653" s="0" t="s">
        <v>399</v>
      </c>
      <c r="F6653" s="29" t="n">
        <f aca="false">Sens!F6670*ext_sh</f>
        <v>0</v>
      </c>
      <c r="G6653" s="29" t="n">
        <f aca="false">Sens!G6670*ext_sh</f>
        <v>0</v>
      </c>
      <c r="H6653" s="29" t="n">
        <f aca="false">Sens!H6670*ext_sh</f>
        <v>0</v>
      </c>
      <c r="I6653" s="29" t="n">
        <f aca="false">Sens!I6670*ext_sh</f>
        <v>490</v>
      </c>
      <c r="J6653" s="29" t="n">
        <f aca="false">Sens!J6670*ext_sh</f>
        <v>740</v>
      </c>
      <c r="K6653" s="29" t="n">
        <f aca="false">Sens!K6670*ext_sh</f>
        <v>1470</v>
      </c>
      <c r="L6653" s="1" t="s">
        <v>822</v>
      </c>
    </row>
    <row r="6654" customFormat="false" ht="17.15" hidden="false" customHeight="false" outlineLevel="0" collapsed="false">
      <c r="A6654" s="1" t="s">
        <v>823</v>
      </c>
      <c r="B6654" s="0" t="s">
        <v>399</v>
      </c>
      <c r="C6654" s="29" t="n">
        <f aca="false">mix_h*Sens!C6646</f>
        <v>128</v>
      </c>
      <c r="D6654" s="29" t="n">
        <f aca="false">mix_h*Sens!D6646</f>
        <v>326</v>
      </c>
      <c r="E6654" s="29" t="n">
        <f aca="false">mix_h*Sens!E6646</f>
        <v>650</v>
      </c>
      <c r="F6654" s="29" t="n">
        <f aca="false">Sens!E6654-Sens!F6653*mix_h</f>
        <v>650</v>
      </c>
      <c r="G6654" s="29" t="n">
        <f aca="false">Sens!F6654-Sens!G6653*mix_h</f>
        <v>650</v>
      </c>
      <c r="H6654" s="29" t="n">
        <f aca="false">Sens!G6654-Sens!H6653*mix_h</f>
        <v>650</v>
      </c>
      <c r="I6654" s="29" t="n">
        <f aca="false">Sens!H6654-Sens!I6653*mix_h</f>
        <v>552</v>
      </c>
      <c r="J6654" s="29" t="n">
        <f aca="false">Sens!I6654-Sens!J6653*mix_h</f>
        <v>404</v>
      </c>
      <c r="K6654" s="29" t="n">
        <f aca="false">Sens!J6654-Sens!K6653*mix_h</f>
        <v>110</v>
      </c>
    </row>
    <row r="6655" customFormat="false" ht="17.15" hidden="false" customHeight="false" outlineLevel="0" collapsed="false">
      <c r="A6655" s="1" t="s">
        <v>824</v>
      </c>
      <c r="B6655" s="0" t="s">
        <v>399</v>
      </c>
      <c r="C6655" s="29" t="n">
        <f aca="false">mix_g2*Sens!C6646</f>
        <v>288</v>
      </c>
      <c r="D6655" s="29" t="n">
        <f aca="false">mix_g2*Sens!D6646</f>
        <v>733.5</v>
      </c>
      <c r="E6655" s="29" t="n">
        <f aca="false">mix_g2*Sens!E6646</f>
        <v>1462.5</v>
      </c>
      <c r="F6655" s="29" t="n">
        <f aca="false">Sens!E6655-Sens!F6653*mix_g2</f>
        <v>1462.5</v>
      </c>
      <c r="G6655" s="29" t="n">
        <f aca="false">Sens!F6655-Sens!G6653*mix_g2</f>
        <v>1462.5</v>
      </c>
      <c r="H6655" s="29" t="n">
        <f aca="false">Sens!G6655-Sens!H6653*mix_g2</f>
        <v>1462.5</v>
      </c>
      <c r="I6655" s="29" t="n">
        <f aca="false">Sens!H6655-Sens!I6653*mix_g2</f>
        <v>1242</v>
      </c>
      <c r="J6655" s="29" t="n">
        <f aca="false">Sens!I6655-Sens!J6653*mix_g2</f>
        <v>909</v>
      </c>
      <c r="K6655" s="29" t="n">
        <f aca="false">Sens!J6655-Sens!K6653*mix_g2</f>
        <v>247.5</v>
      </c>
    </row>
    <row r="6656" customFormat="false" ht="17.15" hidden="false" customHeight="false" outlineLevel="0" collapsed="false">
      <c r="A6656" s="1" t="s">
        <v>825</v>
      </c>
      <c r="B6656" s="0" t="s">
        <v>399</v>
      </c>
      <c r="C6656" s="29" t="n">
        <f aca="false">mix_g3*Sens!C6646</f>
        <v>224</v>
      </c>
      <c r="D6656" s="29" t="n">
        <f aca="false">mix_g3*Sens!D6646</f>
        <v>570.5</v>
      </c>
      <c r="E6656" s="29" t="n">
        <f aca="false">mix_g3*Sens!E6646</f>
        <v>1137.5</v>
      </c>
      <c r="F6656" s="29" t="n">
        <f aca="false">Sens!E6656+(Sens!F6652+Sens!F6653)*a_g3_27-Sens!F6653*mix_g3</f>
        <v>2906.54</v>
      </c>
      <c r="G6656" s="29" t="n">
        <f aca="false">Sens!F6656+(Sens!G6652+Sens!G6653)*a_g3_28-Sens!G6653*mix_g3</f>
        <v>3664.7</v>
      </c>
      <c r="H6656" s="29" t="n">
        <f aca="false">Sens!G6656+(Sens!H6652+Sens!H6653)*a_g3_29-Sens!H6653*mix_g3</f>
        <v>3917.42</v>
      </c>
      <c r="I6656" s="29" t="n">
        <f aca="false">Sens!H6656+(Sens!I6652+Sens!I6653)*a_g3_29-Sens!I6653*mix_g3</f>
        <v>3974.2316</v>
      </c>
      <c r="J6656" s="29" t="n">
        <f aca="false">Sens!I6656+(Sens!J6652+Sens!J6653)*a_g3_29-Sens!J6653*mix_g3</f>
        <v>3898.721032</v>
      </c>
      <c r="K6656" s="29" t="n">
        <f aca="false">Sens!J6656+(Sens!K6652+Sens!K6653)*a_g3_29-Sens!K6653*mix_g3</f>
        <v>3572.37986296</v>
      </c>
    </row>
    <row r="6657" customFormat="false" ht="17.15" hidden="false" customHeight="false" outlineLevel="0" collapsed="false">
      <c r="A6657" s="1" t="s">
        <v>826</v>
      </c>
      <c r="B6657" s="0" t="s">
        <v>399</v>
      </c>
      <c r="C6657" s="29" t="n">
        <v>0</v>
      </c>
      <c r="D6657" s="29" t="n">
        <v>0</v>
      </c>
      <c r="E6657" s="29" t="n">
        <v>0</v>
      </c>
      <c r="F6657" s="29" t="n">
        <f aca="false">Sens!E6657+(Sens!F6652+Sens!F6653)*(1-a_g3_27)</f>
        <v>758.16</v>
      </c>
      <c r="G6657" s="29" t="n">
        <f aca="false">Sens!F6657+(Sens!G6652+Sens!G6653)*(1-a_g3_28)</f>
        <v>2527.2</v>
      </c>
      <c r="H6657" s="29" t="n">
        <f aca="false">Sens!G6657+(Sens!H6652+Sens!H6653)*(1-a_g3_29)</f>
        <v>4801.68</v>
      </c>
      <c r="I6657" s="29" t="n">
        <f aca="false">Sens!H6657+(Sens!I6652+Sens!I6653)*(1-a_g3_29)</f>
        <v>6856.4844</v>
      </c>
      <c r="J6657" s="29" t="n">
        <f aca="false">Sens!I6657+(Sens!J6652+Sens!J6653)*(1-a_g3_29)</f>
        <v>8507.889288</v>
      </c>
      <c r="K6657" s="29" t="n">
        <f aca="false">Sens!J6657+(Sens!K6652+Sens!K6653)*(1-a_g3_29)</f>
        <v>10201.31876664</v>
      </c>
    </row>
    <row r="6658" customFormat="false" ht="17.15" hidden="false" customHeight="false" outlineLevel="0" collapsed="false">
      <c r="A6658" s="1" t="s">
        <v>827</v>
      </c>
      <c r="B6658" s="0" t="s">
        <v>346</v>
      </c>
      <c r="C6658" s="14" t="n">
        <f aca="false">(Sens!C6654*tk_hold_h100+Sens!C6655*tk_hold_gb200+Sens!C6656*tk_hold_gb300+Sens!C6657*tk_hold_vr200)/Sens!C6646</f>
        <v>9.7235358126469</v>
      </c>
      <c r="D6658" s="14" t="n">
        <f aca="false">(Sens!D6654*tk_hold_h100+Sens!D6655*tk_hold_gb200+Sens!D6656*tk_hold_gb300+Sens!D6657*tk_hold_vr200)/Sens!D6646</f>
        <v>9.7235358126469</v>
      </c>
      <c r="E6658" s="14" t="n">
        <f aca="false">(Sens!E6654*tk_hold_h100+Sens!E6655*tk_hold_gb200+Sens!E6656*tk_hold_gb300+Sens!E6657*tk_hold_vr200)/Sens!E6646</f>
        <v>9.7235358126469</v>
      </c>
      <c r="F6658" s="14" t="n">
        <f aca="false">(Sens!F6654*tk_hold_h100+Sens!F6655*tk_hold_gb200+Sens!F6656*tk_hold_gb300+Sens!F6657*tk_hold_vr200)/Sens!F6646</f>
        <v>10.4079573161931</v>
      </c>
      <c r="G6658" s="14" t="n">
        <f aca="false">(Sens!G6654*tk_hold_h100+Sens!G6655*tk_hold_gb200+Sens!G6656*tk_hold_gb300+Sens!G6657*tk_hold_vr200)/Sens!G6646</f>
        <v>10.8388131109316</v>
      </c>
      <c r="H6658" s="14" t="n">
        <f aca="false">(Sens!H6654*tk_hold_h100+Sens!H6655*tk_hold_gb200+Sens!H6656*tk_hold_gb300+Sens!H6657*tk_hold_vr200)/Sens!H6646</f>
        <v>11.1311018388216</v>
      </c>
      <c r="I6658" s="14" t="n">
        <f aca="false">(Sens!I6654*tk_hold_h100+Sens!I6655*tk_hold_gb200+Sens!I6656*tk_hold_gb300+Sens!I6657*tk_hold_vr200)/Sens!I6646</f>
        <v>11.3594282560989</v>
      </c>
      <c r="J6658" s="14" t="n">
        <f aca="false">(Sens!J6654*tk_hold_h100+Sens!J6655*tk_hold_gb200+Sens!J6656*tk_hold_gb300+Sens!J6657*tk_hold_vr200)/Sens!J6646</f>
        <v>11.5455817917599</v>
      </c>
      <c r="K6658" s="14" t="n">
        <f aca="false">(Sens!K6654*tk_hold_h100+Sens!K6655*tk_hold_gb200+Sens!K6656*tk_hold_gb300+Sens!K6657*tk_hold_vr200)/Sens!K6646</f>
        <v>11.8078187977246</v>
      </c>
    </row>
    <row r="6659" customFormat="false" ht="17.15" hidden="false" customHeight="false" outlineLevel="0" collapsed="false">
      <c r="A6659" s="0" t="s">
        <v>828</v>
      </c>
      <c r="B6659" s="0" t="s">
        <v>185</v>
      </c>
      <c r="C6659" s="14" t="n">
        <f aca="false">k_B</f>
        <v>1.17213932619116</v>
      </c>
      <c r="D6659" s="14" t="n">
        <f aca="false">k_B</f>
        <v>1.17213932619116</v>
      </c>
      <c r="E6659" s="14" t="n">
        <f aca="false">k_B</f>
        <v>1.17213932619116</v>
      </c>
      <c r="F6659" s="14" t="n">
        <f aca="false">(k_B+((ls_B*k_long+(1-ls_B)*k_spot)-k_B)*MIN(1,(Sens!F6644-base_fy)/k_ramp))</f>
        <v>1.17213932619116</v>
      </c>
      <c r="G6659" s="14" t="n">
        <f aca="false">(k_B+((ls_B*k_long+(1-ls_B)*k_spot)-k_B)*MIN(1,(Sens!G6644-base_fy)/k_ramp))</f>
        <v>1.17213932619116</v>
      </c>
      <c r="H6659" s="14" t="n">
        <f aca="false">(k_B+((ls_B*k_long+(1-ls_B)*k_spot)-k_B)*MIN(1,(Sens!H6644-base_fy)/k_ramp))</f>
        <v>1.17213932619116</v>
      </c>
      <c r="I6659" s="14" t="n">
        <f aca="false">(k_B+((ls_B*k_long+(1-ls_B)*k_spot)-k_B)*MIN(1,(Sens!I6644-base_fy)/k_ramp))</f>
        <v>1.17213932619116</v>
      </c>
      <c r="J6659" s="14" t="n">
        <f aca="false">(k_B+((ls_B*k_long+(1-ls_B)*k_spot)-k_B)*MIN(1,(Sens!J6644-base_fy)/k_ramp))</f>
        <v>1.17213932619116</v>
      </c>
      <c r="K6659" s="14" t="n">
        <f aca="false">(k_B+((ls_B*k_long+(1-ls_B)*k_spot)-k_B)*MIN(1,(Sens!K6644-base_fy)/k_ramp))</f>
        <v>1.17213932619116</v>
      </c>
      <c r="L6659" s="1" t="s">
        <v>829</v>
      </c>
    </row>
    <row r="6660" customFormat="false" ht="17.15" hidden="false" customHeight="false" outlineLevel="0" collapsed="false">
      <c r="A6660" s="1" t="s">
        <v>830</v>
      </c>
      <c r="B6660" s="0" t="s">
        <v>346</v>
      </c>
      <c r="C6660" s="14" t="n">
        <f aca="false">Sens!C6658*Sens!C6659*chip_f</f>
        <v>11.3973387156315</v>
      </c>
      <c r="D6660" s="14" t="n">
        <f aca="false">Sens!D6658*Sens!D6659*chip_f</f>
        <v>11.3973387156315</v>
      </c>
      <c r="E6660" s="14" t="n">
        <f aca="false">Sens!E6658*Sens!E6659*chip_f</f>
        <v>11.3973387156315</v>
      </c>
      <c r="F6660" s="14" t="n">
        <f aca="false">Sens!F6658*Sens!F6659*chip_f</f>
        <v>12.1995760756289</v>
      </c>
      <c r="G6660" s="14" t="n">
        <f aca="false">Sens!G6658*Sens!G6659*chip_f</f>
        <v>12.7045990965592</v>
      </c>
      <c r="H6660" s="14" t="n">
        <f aca="false">Sens!H6658*Sens!H6659*chip_f</f>
        <v>13.0472022091214</v>
      </c>
      <c r="I6660" s="14" t="n">
        <f aca="false">Sens!I6658*Sens!I6659*chip_f</f>
        <v>13.3148325820205</v>
      </c>
      <c r="J6660" s="14" t="n">
        <f aca="false">Sens!J6658*Sens!J6659*chip_f</f>
        <v>13.5330304618783</v>
      </c>
      <c r="K6660" s="14" t="n">
        <f aca="false">Sens!K6658*Sens!K6659*chip_f</f>
        <v>13.8404087693522</v>
      </c>
      <c r="L6660" s="1" t="s">
        <v>831</v>
      </c>
    </row>
    <row r="6661" customFormat="false" ht="17.15" hidden="false" customHeight="false" outlineLevel="0" collapsed="false">
      <c r="A6661" s="0" t="s">
        <v>832</v>
      </c>
      <c r="B6661" s="0" t="s">
        <v>98</v>
      </c>
      <c r="D6661" s="6" t="n">
        <f aca="false">(Sens!C6646+Sens!D6646)/2*Sens!D6660/1000</f>
        <v>12.9359794422418</v>
      </c>
      <c r="E6661" s="6" t="n">
        <f aca="false">(Sens!D6646+Sens!E6646)/2*Sens!E6660/1000</f>
        <v>27.8095064661409</v>
      </c>
      <c r="F6661" s="6" t="n">
        <f aca="false">(Sens!E6646+Sens!F6646)/2*Sens!F6660/1000</f>
        <v>55.0640065749585</v>
      </c>
      <c r="G6661" s="6" t="n">
        <f aca="false">(Sens!F6646+Sens!G6646)/2*Sens!G6660/1000</f>
        <v>89.4505413190538</v>
      </c>
      <c r="H6661" s="6" t="n">
        <f aca="false">(Sens!G6646+Sens!H6646)/2*Sens!H6660/1000</f>
        <v>124.835630736874</v>
      </c>
      <c r="I6661" s="6" t="n">
        <f aca="false">(Sens!H6646+Sens!I6646)/2*Sens!I6660/1000</f>
        <v>156.158460265485</v>
      </c>
      <c r="J6661" s="6" t="n">
        <f aca="false">(Sens!I6646+Sens!J6646)/2*Sens!J6660/1000</f>
        <v>178.259285293112</v>
      </c>
      <c r="K6661" s="6" t="n">
        <f aca="false">(Sens!J6646+Sens!K6646)/2*Sens!K6660/1000</f>
        <v>192.733290209798</v>
      </c>
      <c r="L6661" s="11" t="s">
        <v>833</v>
      </c>
    </row>
    <row r="6662" customFormat="false" ht="17.15" hidden="false" customHeight="false" outlineLevel="0" collapsed="false">
      <c r="A6662" s="1" t="s">
        <v>834</v>
      </c>
      <c r="B6662" s="0" t="s">
        <v>346</v>
      </c>
      <c r="C6662" s="14" t="n">
        <f aca="false">(Sens!C6654*tk_opex_h100+Sens!C6655*tk_opex_gb200+Sens!C6656*tk_opex_gb300+Sens!C6657*tk_opex_vr200)/Sens!C6646</f>
        <v>1.88636041306092</v>
      </c>
      <c r="D6662" s="14" t="n">
        <f aca="false">(Sens!D6654*tk_opex_h100+Sens!D6655*tk_opex_gb200+Sens!D6656*tk_opex_gb300+Sens!D6657*tk_opex_vr200)/Sens!D6646</f>
        <v>1.88636041306092</v>
      </c>
      <c r="E6662" s="14" t="n">
        <f aca="false">(Sens!E6654*tk_opex_h100+Sens!E6655*tk_opex_gb200+Sens!E6656*tk_opex_gb300+Sens!E6657*tk_opex_vr200)/Sens!E6646</f>
        <v>1.88636041306092</v>
      </c>
      <c r="F6662" s="14" t="n">
        <f aca="false">(Sens!F6654*tk_opex_h100+Sens!F6655*tk_opex_gb200+Sens!F6656*tk_opex_gb300+Sens!F6657*tk_opex_vr200)/Sens!F6646</f>
        <v>1.9430236476499</v>
      </c>
      <c r="G6662" s="14" t="n">
        <f aca="false">(Sens!G6654*tk_opex_h100+Sens!G6655*tk_opex_gb200+Sens!G6656*tk_opex_gb300+Sens!G6657*tk_opex_vr200)/Sens!G6646</f>
        <v>1.9786941852423</v>
      </c>
      <c r="H6662" s="14" t="n">
        <f aca="false">(Sens!H6654*tk_opex_h100+Sens!H6655*tk_opex_gb200+Sens!H6656*tk_opex_gb300+Sens!H6657*tk_opex_vr200)/Sens!H6646</f>
        <v>2.00289275976156</v>
      </c>
      <c r="I6662" s="14" t="n">
        <f aca="false">(Sens!I6654*tk_opex_h100+Sens!I6655*tk_opex_gb200+Sens!I6656*tk_opex_gb300+Sens!I6657*tk_opex_vr200)/Sens!I6646</f>
        <v>2.02179589661219</v>
      </c>
      <c r="J6662" s="14" t="n">
        <f aca="false">(Sens!J6654*tk_opex_h100+Sens!J6655*tk_opex_gb200+Sens!J6656*tk_opex_gb300+Sens!J6657*tk_opex_vr200)/Sens!J6646</f>
        <v>2.03720754193029</v>
      </c>
      <c r="K6662" s="14" t="n">
        <f aca="false">(Sens!K6654*tk_opex_h100+Sens!K6655*tk_opex_gb200+Sens!K6656*tk_opex_gb300+Sens!K6657*tk_opex_vr200)/Sens!K6646</f>
        <v>2.0589181353437</v>
      </c>
    </row>
    <row r="6663" customFormat="false" ht="17.15" hidden="false" customHeight="false" outlineLevel="0" collapsed="false">
      <c r="A6663" s="0" t="s">
        <v>835</v>
      </c>
      <c r="B6663" s="0" t="s">
        <v>98</v>
      </c>
      <c r="D6663" s="6" t="n">
        <f aca="false">(Sens!C6649+Sens!D6649)/2*Sens!D6662/1000</f>
        <v>2.70378325872065</v>
      </c>
      <c r="E6663" s="6" t="n">
        <f aca="false">(Sens!D6649+Sens!E6649)/2*Sens!E6662/1000</f>
        <v>6.17783035277451</v>
      </c>
      <c r="F6663" s="6" t="n">
        <f aca="false">(Sens!E6649+Sens!F6649)/2*Sens!F6662/1000</f>
        <v>12.5020618235287</v>
      </c>
      <c r="G6663" s="6" t="n">
        <f aca="false">(Sens!F6649+Sens!G6649)/2*Sens!G6662/1000</f>
        <v>20.7261620256847</v>
      </c>
      <c r="H6663" s="6" t="n">
        <f aca="false">(Sens!G6649+Sens!H6649)/2*Sens!H6662/1000</f>
        <v>29.4158183316982</v>
      </c>
      <c r="I6663" s="6" t="n">
        <f aca="false">(Sens!H6649+Sens!I6649)/2*Sens!I6662/1000</f>
        <v>36.9724400356344</v>
      </c>
      <c r="J6663" s="6" t="n">
        <f aca="false">(Sens!I6649+Sens!J6649)/2*Sens!J6662/1000</f>
        <v>42.1571687189816</v>
      </c>
      <c r="K6663" s="6" t="n">
        <f aca="false">(Sens!J6649+Sens!K6649)/2*Sens!K6662/1000</f>
        <v>45.1912095080704</v>
      </c>
    </row>
    <row r="6664" customFormat="false" ht="17.15" hidden="false" customHeight="false" outlineLevel="0" collapsed="false">
      <c r="A6664" s="0" t="s">
        <v>836</v>
      </c>
      <c r="B6664" s="0" t="s">
        <v>98</v>
      </c>
      <c r="D6664" s="6" t="n">
        <f aca="false">(Sens!C6647+Sens!D6647)/2*rent_mw/1000</f>
        <v>2.44475</v>
      </c>
      <c r="E6664" s="6" t="n">
        <f aca="false">(Sens!D6647+Sens!E6647)/2*rent_mw/1000</f>
        <v>4.22275</v>
      </c>
      <c r="F6664" s="6" t="n">
        <f aca="false">(Sens!E6647+Sens!F6647)/2*rent_mw/1000</f>
        <v>5.80517</v>
      </c>
      <c r="G6664" s="6" t="n">
        <f aca="false">(Sens!F6647+Sens!G6647)/2*rent_mw/1000</f>
        <v>6.72084</v>
      </c>
      <c r="H6664" s="6" t="n">
        <f aca="false">(Sens!G6647+Sens!H6647)/2*rent_mw/1000</f>
        <v>6.72084</v>
      </c>
      <c r="I6664" s="6" t="n">
        <f aca="false">(Sens!H6647+Sens!I6647)/2*rent_mw/1000</f>
        <v>6.72084</v>
      </c>
      <c r="J6664" s="6" t="n">
        <f aca="false">(Sens!I6647+Sens!J6647)/2*rent_mw/1000</f>
        <v>6.72084</v>
      </c>
      <c r="K6664" s="6" t="n">
        <f aca="false">(Sens!J6647+Sens!K6647)/2*rent_mw/1000</f>
        <v>6.72084</v>
      </c>
    </row>
    <row r="6665" customFormat="false" ht="17.15" hidden="false" customHeight="false" outlineLevel="0" collapsed="false">
      <c r="A6665" s="0" t="s">
        <v>837</v>
      </c>
      <c r="B6665" s="0" t="s">
        <v>98</v>
      </c>
      <c r="D6665" s="6" t="n">
        <f aca="false">(Sens!C6649+Sens!D6649)/2*(1-self_build)*fac_rent/1000</f>
        <v>0.853242375631075</v>
      </c>
      <c r="E6665" s="6" t="n">
        <f aca="false">(Sens!D6649+Sens!E6649)/2*(1-self_build)*fac_rent/1000</f>
        <v>1.94955961408728</v>
      </c>
      <c r="F6665" s="6" t="n">
        <f aca="false">(Sens!E6649+Sens!F6649)/2*(1-self_build)*fac_rent/1000</f>
        <v>3.83026455274573</v>
      </c>
      <c r="G6665" s="6" t="n">
        <f aca="false">(Sens!F6649+Sens!G6649)/2*(1-self_build)*fac_rent/1000</f>
        <v>6.23541590972812</v>
      </c>
      <c r="H6665" s="6" t="n">
        <f aca="false">(Sens!G6649+Sens!H6649)/2*(1-self_build)*fac_rent/1000</f>
        <v>8.74275792332679</v>
      </c>
      <c r="I6665" s="6" t="n">
        <f aca="false">(Sens!H6649+Sens!I6649)/2*(1-self_build)*fac_rent/1000</f>
        <v>10.8859420438599</v>
      </c>
      <c r="J6665" s="6" t="n">
        <f aca="false">(Sens!I6649+Sens!J6649)/2*(1-self_build)*fac_rent/1000</f>
        <v>12.3186006405366</v>
      </c>
      <c r="K6665" s="6" t="n">
        <f aca="false">(Sens!J6649+Sens!K6649)/2*(1-self_build)*fac_rent/1000</f>
        <v>13.0659232089824</v>
      </c>
      <c r="L6665" s="11" t="s">
        <v>838</v>
      </c>
    </row>
    <row r="6666" customFormat="false" ht="17.15" hidden="false" customHeight="false" outlineLevel="0" collapsed="false">
      <c r="A6666" s="1" t="s">
        <v>839</v>
      </c>
      <c r="B6666" s="0" t="s">
        <v>129</v>
      </c>
      <c r="D6666" s="7" t="n">
        <f aca="false">(Sens!C6648+Sens!D6648)/(Sens!C6649+Sens!D6649)</f>
        <v>0.6</v>
      </c>
      <c r="E6666" s="7" t="n">
        <f aca="false">(Sens!D6648+Sens!E6648)/(Sens!D6649+Sens!E6649)</f>
        <v>0.6</v>
      </c>
      <c r="F6666" s="7" t="n">
        <f aca="false">(Sens!E6648+Sens!F6648)/(Sens!E6649+Sens!F6649)</f>
        <v>0.6</v>
      </c>
      <c r="G6666" s="7" t="n">
        <f aca="false">(Sens!F6648+Sens!G6648)/(Sens!F6649+Sens!G6649)</f>
        <v>0.6</v>
      </c>
      <c r="H6666" s="7" t="n">
        <f aca="false">(Sens!G6648+Sens!H6648)/(Sens!G6649+Sens!H6649)</f>
        <v>0.6</v>
      </c>
      <c r="I6666" s="7" t="n">
        <f aca="false">(Sens!H6648+Sens!I6648)/(Sens!H6649+Sens!I6649)</f>
        <v>0.6</v>
      </c>
      <c r="J6666" s="7" t="n">
        <f aca="false">(Sens!I6648+Sens!J6648)/(Sens!I6649+Sens!J6649)</f>
        <v>0.6</v>
      </c>
      <c r="K6666" s="7" t="n">
        <f aca="false">(Sens!J6648+Sens!K6648)/(Sens!J6649+Sens!K6649)</f>
        <v>0.6</v>
      </c>
    </row>
    <row r="6667" customFormat="false" ht="17.15" hidden="false" customHeight="false" outlineLevel="0" collapsed="false">
      <c r="A6667" s="0" t="s">
        <v>840</v>
      </c>
      <c r="B6667" s="0" t="s">
        <v>98</v>
      </c>
      <c r="D6667" s="6" t="n">
        <f aca="false">Sens!D6661-Sens!D6666*(Sens!D6663+Sens!D6665)-Sens!D6664</f>
        <v>8.35701406163072</v>
      </c>
      <c r="E6667" s="6" t="n">
        <f aca="false">Sens!E6661-Sens!E6666*(Sens!E6663+Sens!E6665)-Sens!E6664</f>
        <v>18.7103224860238</v>
      </c>
      <c r="F6667" s="6" t="n">
        <f aca="false">Sens!F6661-Sens!F6666*(Sens!F6663+Sens!F6665)-Sens!F6664</f>
        <v>39.4594407491938</v>
      </c>
      <c r="G6667" s="6" t="n">
        <f aca="false">Sens!G6661-Sens!G6666*(Sens!G6663+Sens!G6665)-Sens!G6664</f>
        <v>66.5527545578061</v>
      </c>
      <c r="H6667" s="6" t="n">
        <f aca="false">Sens!H6661-Sens!H6666*(Sens!H6663+Sens!H6665)-Sens!H6664</f>
        <v>95.219644983859</v>
      </c>
      <c r="I6667" s="6" t="n">
        <f aca="false">Sens!I6661-Sens!I6666*(Sens!I6663+Sens!I6665)-Sens!I6664</f>
        <v>120.722591017788</v>
      </c>
      <c r="J6667" s="6" t="n">
        <f aca="false">Sens!J6661-Sens!J6666*(Sens!J6663+Sens!J6665)-Sens!J6664</f>
        <v>138.852983677401</v>
      </c>
      <c r="K6667" s="6" t="n">
        <f aca="false">Sens!K6661-Sens!K6666*(Sens!K6663+Sens!K6665)-Sens!K6664</f>
        <v>151.058170579566</v>
      </c>
    </row>
    <row r="6668" customFormat="false" ht="17.15" hidden="false" customHeight="false" outlineLevel="0" collapsed="false">
      <c r="A6668" s="1" t="s">
        <v>841</v>
      </c>
      <c r="B6668" s="0" t="s">
        <v>98</v>
      </c>
      <c r="D6668" s="6" t="n">
        <f aca="false">(1-Sens!D6666)*(Sens!D6663+Sens!D6665)</f>
        <v>1.42281025374069</v>
      </c>
      <c r="E6668" s="6" t="n">
        <f aca="false">(1-Sens!E6666)*(Sens!E6663+Sens!E6665)</f>
        <v>3.25095598674472</v>
      </c>
      <c r="F6668" s="6" t="n">
        <f aca="false">(1-Sens!F6666)*(Sens!F6663+Sens!F6665)</f>
        <v>6.53293055050977</v>
      </c>
      <c r="G6668" s="6" t="n">
        <f aca="false">(1-Sens!G6666)*(Sens!G6663+Sens!G6665)</f>
        <v>10.7846311741651</v>
      </c>
      <c r="H6668" s="6" t="n">
        <f aca="false">(1-Sens!H6666)*(Sens!H6663+Sens!H6665)</f>
        <v>15.26343050201</v>
      </c>
      <c r="I6668" s="6" t="n">
        <f aca="false">(1-Sens!I6666)*(Sens!I6663+Sens!I6665)</f>
        <v>19.1433528317977</v>
      </c>
      <c r="J6668" s="6" t="n">
        <f aca="false">(1-Sens!J6666)*(Sens!J6663+Sens!J6665)</f>
        <v>21.7903077438073</v>
      </c>
      <c r="K6668" s="6" t="n">
        <f aca="false">(1-Sens!K6666)*(Sens!K6663+Sens!K6665)</f>
        <v>23.3028530868211</v>
      </c>
    </row>
    <row r="6669" customFormat="false" ht="17.15" hidden="false" customHeight="false" outlineLevel="0" collapsed="false">
      <c r="A6669" s="1" t="s">
        <v>842</v>
      </c>
      <c r="B6669" s="0" t="s">
        <v>357</v>
      </c>
      <c r="C6669" s="8" t="n">
        <f aca="false">cxit_open</f>
        <v>27.5918995</v>
      </c>
      <c r="D6669" s="8" t="n">
        <f aca="false">cxit_open</f>
        <v>27.5918995</v>
      </c>
      <c r="E6669" s="8" t="n">
        <f aca="false">cxit_open</f>
        <v>27.5918995</v>
      </c>
      <c r="F6669" s="8" t="n">
        <f aca="false">(a_g3_27*tk_cxit_gb300+(1-a_g3_27)*tk_cxit_vr200)</f>
        <v>33.8419624</v>
      </c>
      <c r="G6669" s="8" t="n">
        <f aca="false">(a_g3_28*tk_cxit_gb300+(1-a_g3_28)*tk_cxit_vr200)</f>
        <v>35.9816136</v>
      </c>
      <c r="H6669" s="8" t="n">
        <f aca="false">(a_g3_29*tk_cxit_gb300+(1-a_g3_29)*tk_cxit_vr200)</f>
        <v>37.0514392</v>
      </c>
      <c r="I6669" s="8" t="n">
        <f aca="false">(a_g3_29*tk_cxit_gb300+(1-a_g3_29)*tk_cxit_vr200)</f>
        <v>37.0514392</v>
      </c>
      <c r="J6669" s="8" t="n">
        <f aca="false">(a_g3_29*tk_cxit_gb300+(1-a_g3_29)*tk_cxit_vr200)</f>
        <v>37.0514392</v>
      </c>
      <c r="K6669" s="8" t="n">
        <f aca="false">(a_g3_29*tk_cxit_gb300+(1-a_g3_29)*tk_cxit_vr200)</f>
        <v>37.0514392</v>
      </c>
      <c r="L6669" s="11" t="s">
        <v>843</v>
      </c>
    </row>
    <row r="6670" customFormat="false" ht="17.15" hidden="false" customHeight="false" outlineLevel="0" collapsed="false">
      <c r="A6670" s="0" t="s">
        <v>844</v>
      </c>
      <c r="B6670" s="0" t="s">
        <v>399</v>
      </c>
      <c r="F6670" s="29" t="n">
        <f aca="false">Sens!C6651*IF(Sens!F6644-Sens!C6644=life_it,1,0)+Sens!D6651*IF(Sens!F6644-Sens!D6644=life_it,1,0)+Sens!E6651*IF(Sens!F6644-Sens!E6644=life_it,1,0)</f>
        <v>0</v>
      </c>
      <c r="G6670" s="29" t="n">
        <f aca="false">Sens!C6651*IF(Sens!G6644-Sens!C6644=life_it,1,0)+Sens!D6651*IF(Sens!G6644-Sens!D6644=life_it,1,0)+Sens!E6651*IF(Sens!G6644-Sens!E6644=life_it,1,0)+Sens!F6651*IF(Sens!G6644-Sens!F6644=life_it,1,0)</f>
        <v>0</v>
      </c>
      <c r="H6670" s="29" t="n">
        <f aca="false">Sens!C6651*IF(Sens!H6644-Sens!C6644=life_it,1,0)+Sens!D6651*IF(Sens!H6644-Sens!D6644=life_it,1,0)+Sens!E6651*IF(Sens!H6644-Sens!E6644=life_it,1,0)+Sens!F6651*IF(Sens!H6644-Sens!F6644=life_it,1,0)+Sens!G6651*IF(Sens!H6644-Sens!G6644=life_it,1,0)</f>
        <v>0</v>
      </c>
      <c r="I6670" s="29" t="n">
        <f aca="false">Sens!C6651*IF(Sens!I6644-Sens!C6644=life_it,1,0)+Sens!D6651*IF(Sens!I6644-Sens!D6644=life_it,1,0)+Sens!E6651*IF(Sens!I6644-Sens!E6644=life_it,1,0)+Sens!F6651*IF(Sens!I6644-Sens!F6644=life_it,1,0)+Sens!G6651*IF(Sens!I6644-Sens!G6644=life_it,1,0)+Sens!H6651*IF(Sens!I6644-Sens!H6644=life_it,1,0)</f>
        <v>816.666666666667</v>
      </c>
      <c r="J6670" s="29" t="n">
        <f aca="false">Sens!C6651*IF(Sens!J6644-Sens!C6644=life_it,1,0)+Sens!D6651*IF(Sens!J6644-Sens!D6644=life_it,1,0)+Sens!E6651*IF(Sens!J6644-Sens!E6644=life_it,1,0)+Sens!F6651*IF(Sens!J6644-Sens!F6644=life_it,1,0)+Sens!G6651*IF(Sens!J6644-Sens!G6644=life_it,1,0)+Sens!H6651*IF(Sens!J6644-Sens!H6644=life_it,1,0)+Sens!I6651*IF(Sens!J6644-Sens!I6644=life_it,1,0)</f>
        <v>1233.33333333333</v>
      </c>
      <c r="K6670" s="29" t="n">
        <f aca="false">Sens!C6651*IF(Sens!K6644-Sens!C6644=life_it,1,0)+Sens!D6651*IF(Sens!K6644-Sens!D6644=life_it,1,0)+Sens!E6651*IF(Sens!K6644-Sens!E6644=life_it,1,0)+Sens!F6651*IF(Sens!K6644-Sens!F6644=life_it,1,0)+Sens!G6651*IF(Sens!K6644-Sens!G6644=life_it,1,0)+Sens!H6651*IF(Sens!K6644-Sens!H6644=life_it,1,0)+Sens!I6651*IF(Sens!K6644-Sens!I6644=life_it,1,0)+Sens!J6651*IF(Sens!K6644-Sens!J6644=life_it,1,0)</f>
        <v>2450</v>
      </c>
      <c r="L6670" s="1" t="s">
        <v>845</v>
      </c>
    </row>
    <row r="6671" customFormat="false" ht="17.15" hidden="false" customHeight="false" outlineLevel="0" collapsed="false">
      <c r="A6671" s="0" t="s">
        <v>846</v>
      </c>
      <c r="B6671" s="0" t="s">
        <v>98</v>
      </c>
      <c r="C6671" s="6" t="n">
        <f aca="false">Sens!C6651*Sens!C6669/1000</f>
        <v>22.5333845916667</v>
      </c>
      <c r="D6671" s="6" t="n">
        <f aca="false">Sens!D6651*Sens!D6669/1000</f>
        <v>34.0300093833333</v>
      </c>
      <c r="E6671" s="6" t="n">
        <f aca="false">Sens!E6651*Sens!E6669/1000</f>
        <v>67.600153775</v>
      </c>
      <c r="F6671" s="6" t="n">
        <f aca="false">(Sens!F6651+Sens!F6670)*Sens!F6669/1000</f>
        <v>130.923271871467</v>
      </c>
      <c r="G6671" s="6" t="n">
        <f aca="false">(Sens!G6651+Sens!G6670)*Sens!G6669/1000</f>
        <v>151.5545564832</v>
      </c>
      <c r="H6671" s="6" t="n">
        <f aca="false">(Sens!H6651+Sens!H6670)*Sens!H6669/1000</f>
        <v>156.0606619104</v>
      </c>
      <c r="I6671" s="6" t="n">
        <f aca="false">(Sens!I6651+Sens!I6670)*Sens!I6669/1000</f>
        <v>140.987889434245</v>
      </c>
      <c r="J6671" s="6" t="n">
        <f aca="false">(Sens!J6651+Sens!J6670)*Sens!J6669/1000</f>
        <v>113.309125559842</v>
      </c>
      <c r="K6671" s="6" t="n">
        <f aca="false">(Sens!K6651+Sens!K6670)*Sens!K6669/1000</f>
        <v>116.192591420959</v>
      </c>
    </row>
    <row r="6672" customFormat="false" ht="17.15" hidden="false" customHeight="false" outlineLevel="0" collapsed="false">
      <c r="A6672" s="0" t="s">
        <v>847</v>
      </c>
      <c r="B6672" s="0" t="s">
        <v>98</v>
      </c>
      <c r="C6672" s="6" t="n">
        <f aca="false">Sens!C6651*self_build*tk_cxfac/1000</f>
        <v>6.2083</v>
      </c>
      <c r="D6672" s="6" t="n">
        <f aca="false">Sens!D6651*self_build*tk_cxfac/1000</f>
        <v>9.3758</v>
      </c>
      <c r="E6672" s="6" t="n">
        <f aca="false">Sens!E6651*self_build*tk_cxfac/1000</f>
        <v>18.6249</v>
      </c>
      <c r="F6672" s="6" t="n">
        <f aca="false">Sens!F6651*self_build*tk_cxfac/1000</f>
        <v>29.409604</v>
      </c>
      <c r="G6672" s="6" t="n">
        <f aca="false">Sens!G6651*self_build*tk_cxfac/1000</f>
        <v>32.019624</v>
      </c>
      <c r="H6672" s="6" t="n">
        <f aca="false">Sens!H6651*self_build*tk_cxfac/1000</f>
        <v>32.019624</v>
      </c>
      <c r="I6672" s="6" t="n">
        <f aca="false">Sens!I6651*self_build*tk_cxfac/1000</f>
        <v>22.71877972</v>
      </c>
      <c r="J6672" s="6" t="n">
        <f aca="false">Sens!J6651*self_build*tk_cxfac/1000</f>
        <v>13.8723110344</v>
      </c>
      <c r="K6672" s="6" t="n">
        <f aca="false">Sens!K6651*self_build*tk_cxfac/1000</f>
        <v>5.214823882632</v>
      </c>
    </row>
    <row r="6673" customFormat="false" ht="17.15" hidden="false" customHeight="false" outlineLevel="0" collapsed="false">
      <c r="A6673" s="0" t="s">
        <v>848</v>
      </c>
      <c r="B6673" s="0" t="s">
        <v>98</v>
      </c>
      <c r="F6673" s="6" t="n">
        <f aca="false">MAX(0,capex_floor27-Sens!F6671-Sens!F6672-Sens!F6767)</f>
        <v>8.62377689897089</v>
      </c>
    </row>
    <row r="6674" customFormat="false" ht="17.15" hidden="false" customHeight="false" outlineLevel="0" collapsed="false">
      <c r="A6674" s="0" t="s">
        <v>849</v>
      </c>
      <c r="B6674" s="0" t="s">
        <v>98</v>
      </c>
      <c r="C6674" s="6" t="n">
        <f aca="false">Sens!C6671</f>
        <v>22.5333845916667</v>
      </c>
      <c r="D6674" s="6" t="n">
        <f aca="false">Sens!D6671</f>
        <v>34.0300093833333</v>
      </c>
      <c r="E6674" s="6" t="n">
        <f aca="false">Sens!E6671</f>
        <v>67.600153775</v>
      </c>
      <c r="F6674" s="6" t="n">
        <f aca="false">Sens!F6671</f>
        <v>130.923271871467</v>
      </c>
      <c r="G6674" s="6" t="n">
        <f aca="false">Sens!G6671</f>
        <v>151.5545564832</v>
      </c>
      <c r="H6674" s="6" t="n">
        <f aca="false">Sens!H6671</f>
        <v>156.0606619104</v>
      </c>
      <c r="I6674" s="6" t="n">
        <f aca="false">Sens!I6671</f>
        <v>140.987889434245</v>
      </c>
      <c r="J6674" s="6" t="n">
        <f aca="false">Sens!J6671</f>
        <v>113.309125559842</v>
      </c>
      <c r="K6674" s="6" t="n">
        <f aca="false">Sens!K6671</f>
        <v>116.192591420959</v>
      </c>
    </row>
    <row r="6675" customFormat="false" ht="17.15" hidden="false" customHeight="false" outlineLevel="0" collapsed="false">
      <c r="A6675" s="0" t="s">
        <v>850</v>
      </c>
      <c r="B6675" s="0" t="s">
        <v>98</v>
      </c>
      <c r="C6675" s="6" t="n">
        <f aca="false">Sens!C6674+Sens!C6672</f>
        <v>28.7416845916667</v>
      </c>
      <c r="D6675" s="6" t="n">
        <f aca="false">Sens!D6674+Sens!D6672</f>
        <v>43.4058093833333</v>
      </c>
      <c r="E6675" s="6" t="n">
        <f aca="false">Sens!E6674+Sens!E6672</f>
        <v>86.225053775</v>
      </c>
      <c r="F6675" s="6" t="n">
        <f aca="false">Sens!F6674+Sens!F6672</f>
        <v>160.332875871467</v>
      </c>
      <c r="G6675" s="6" t="n">
        <f aca="false">Sens!G6674+Sens!G6672</f>
        <v>183.5741804832</v>
      </c>
      <c r="H6675" s="6" t="n">
        <f aca="false">Sens!H6674+Sens!H6672</f>
        <v>188.0802859104</v>
      </c>
      <c r="I6675" s="6" t="n">
        <f aca="false">Sens!I6674+Sens!I6672</f>
        <v>163.706669154245</v>
      </c>
      <c r="J6675" s="6" t="n">
        <f aca="false">Sens!J6674+Sens!J6672</f>
        <v>127.181436594242</v>
      </c>
      <c r="K6675" s="6" t="n">
        <f aca="false">Sens!K6674+Sens!K6672</f>
        <v>121.407415303591</v>
      </c>
      <c r="L6675" s="11" t="s">
        <v>851</v>
      </c>
    </row>
    <row r="6676" customFormat="false" ht="17.15" hidden="false" customHeight="false" outlineLevel="0" collapsed="false">
      <c r="A6676" s="0" t="s">
        <v>852</v>
      </c>
      <c r="B6676" s="0" t="s">
        <v>98</v>
      </c>
      <c r="E6676" s="6" t="n">
        <f aca="false">(Sens!C6674*IF(2&lt;life_it,1,IF(2=life_it,0.5,0))+Sens!D6674*IF(1&lt;life_it,1,IF(1=life_it,0.5,0))+Sens!E6674*0.5)/life_it</f>
        <v>15.0605784770833</v>
      </c>
      <c r="F6676" s="6" t="n">
        <f aca="false">(Sens!C6674*IF(3&lt;life_it,1,IF(3=life_it,0.5,0))+Sens!D6674*IF(2&lt;life_it,1,IF(2=life_it,0.5,0))+Sens!E6674*IF(1&lt;life_it,1,IF(1=life_it,0.5,0))+Sens!F6674*0.5)/life_it</f>
        <v>31.6041972809556</v>
      </c>
      <c r="G6676" s="6" t="n">
        <f aca="false">(Sens!C6674*IF(4&lt;life_it,1,IF(4=life_it,0.5,0))+Sens!D6674*IF(3&lt;life_it,1,IF(3=life_it,0.5,0))+Sens!E6674*IF(2&lt;life_it,1,IF(2=life_it,0.5,0))+Sens!F6674*IF(1&lt;life_it,1,IF(1=life_it,0.5,0))+Sens!G6674*0.5)/life_it</f>
        <v>55.1440163105111</v>
      </c>
      <c r="H6676" s="6" t="n">
        <f aca="false">(Sens!C6674*IF(5&lt;life_it,1,IF(5=life_it,0.5,0))+Sens!D6674*IF(4&lt;life_it,1,IF(4=life_it,0.5,0))+Sens!E6674*IF(3&lt;life_it,1,IF(3=life_it,0.5,0))+Sens!F6674*IF(2&lt;life_it,1,IF(2=life_it,0.5,0))+Sens!G6674*IF(1&lt;life_it,1,IF(1=life_it,0.5,0))+Sens!H6674*0.5)/life_it</f>
        <v>80.7786178433111</v>
      </c>
      <c r="I6676" s="6" t="n">
        <f aca="false">(Sens!C6674*IF(6&lt;life_it,1,IF(6=life_it,0.5,0))+Sens!D6674*IF(5&lt;life_it,1,IF(5=life_it,0.5,0))+Sens!E6674*IF(4&lt;life_it,1,IF(4=life_it,0.5,0))+Sens!F6674*IF(3&lt;life_it,1,IF(3=life_it,0.5,0))+Sens!G6674*IF(2&lt;life_it,1,IF(2=life_it,0.5,0))+Sens!H6674*IF(1&lt;life_it,1,IF(1=life_it,0.5,0))+Sens!I6674*0.5)/life_it</f>
        <v>103.654881739393</v>
      </c>
      <c r="J6676" s="6" t="n">
        <f aca="false">(Sens!C6674*IF(7&lt;life_it,1,IF(7=life_it,0.5,0))+Sens!D6674*IF(6&lt;life_it,1,IF(6=life_it,0.5,0))+Sens!E6674*IF(5&lt;life_it,1,IF(5=life_it,0.5,0))+Sens!F6674*IF(4&lt;life_it,1,IF(4=life_it,0.5,0))+Sens!G6674*IF(3&lt;life_it,1,IF(3=life_it,0.5,0))+Sens!H6674*IF(2&lt;life_it,1,IF(2=life_it,0.5,0))+Sens!I6674*IF(1&lt;life_it,1,IF(1=life_it,0.5,0))+Sens!J6674*0.5)/life_it</f>
        <v>120.132683490983</v>
      </c>
      <c r="K6676" s="6" t="n">
        <f aca="false">(Sens!C6674*IF(8&lt;life_it,1,IF(8=life_it,0.5,0))+Sens!D6674*IF(7&lt;life_it,1,IF(7=life_it,0.5,0))+Sens!E6674*IF(6&lt;life_it,1,IF(6=life_it,0.5,0))+Sens!F6674*IF(5&lt;life_it,1,IF(5=life_it,0.5,0))+Sens!G6674*IF(4&lt;life_it,1,IF(4=life_it,0.5,0))+Sens!H6674*IF(3&lt;life_it,1,IF(3=life_it,0.5,0))+Sens!I6674*IF(2&lt;life_it,1,IF(2=life_it,0.5,0))+Sens!J6674*IF(1&lt;life_it,1,IF(1=life_it,0.5,0))+Sens!K6674*0.5)/life_it</f>
        <v>130.788646309522</v>
      </c>
    </row>
    <row r="6677" customFormat="false" ht="17.15" hidden="false" customHeight="false" outlineLevel="0" collapsed="false">
      <c r="A6677" s="0" t="s">
        <v>853</v>
      </c>
      <c r="B6677" s="0" t="s">
        <v>98</v>
      </c>
      <c r="E6677" s="6" t="n">
        <f aca="false">(Sens!C6672*IF(2&lt;life_fac,1,IF(2=life_fac,0.5,0))+Sens!D6672*IF(1&lt;life_fac,1,IF(1=life_fac,0.5,0))+Sens!E6672*0.5)/life_fac</f>
        <v>1.2448275</v>
      </c>
      <c r="F6677" s="6" t="n">
        <f aca="false">(Sens!C6672*IF(3&lt;life_fac,1,IF(3=life_fac,0.5,0))+Sens!D6672*IF(2&lt;life_fac,1,IF(2=life_fac,0.5,0))+Sens!E6672*IF(1&lt;life_fac,1,IF(1=life_fac,0.5,0))+Sens!F6672*0.5)/life_fac</f>
        <v>2.4456901</v>
      </c>
      <c r="G6677" s="6" t="n">
        <f aca="false">(Sens!C6672*IF(4&lt;life_fac,1,IF(4=life_fac,0.5,0))+Sens!D6672*IF(3&lt;life_fac,1,IF(3=life_fac,0.5,0))+Sens!E6672*IF(2&lt;life_fac,1,IF(2=life_fac,0.5,0))+Sens!F6672*IF(1&lt;life_fac,1,IF(1=life_fac,0.5,0))+Sens!G6672*0.5)/life_fac</f>
        <v>3.9814208</v>
      </c>
      <c r="H6677" s="6" t="n">
        <f aca="false">(Sens!C6672*IF(5&lt;life_fac,1,IF(5=life_fac,0.5,0))+Sens!D6672*IF(4&lt;life_fac,1,IF(4=life_fac,0.5,0))+Sens!E6672*IF(3&lt;life_fac,1,IF(3=life_fac,0.5,0))+Sens!F6672*IF(2&lt;life_fac,1,IF(2=life_fac,0.5,0))+Sens!G6672*IF(1&lt;life_fac,1,IF(1=life_fac,0.5,0))+Sens!H6672*0.5)/life_fac</f>
        <v>5.582402</v>
      </c>
      <c r="I6677" s="6" t="n">
        <f aca="false">(Sens!C6672*IF(6&lt;life_fac,1,IF(6=life_fac,0.5,0))+Sens!D6672*IF(5&lt;life_fac,1,IF(5=life_fac,0.5,0))+Sens!E6672*IF(4&lt;life_fac,1,IF(4=life_fac,0.5,0))+Sens!F6672*IF(3&lt;life_fac,1,IF(3=life_fac,0.5,0))+Sens!G6672*IF(2&lt;life_fac,1,IF(2=life_fac,0.5,0))+Sens!H6672*IF(1&lt;life_fac,1,IF(1=life_fac,0.5,0))+Sens!I6672*0.5)/life_fac</f>
        <v>6.950862093</v>
      </c>
      <c r="J6677" s="6" t="n">
        <f aca="false">(Sens!C6672*IF(7&lt;life_fac,1,IF(7=life_fac,0.5,0))+Sens!D6672*IF(6&lt;life_fac,1,IF(6=life_fac,0.5,0))+Sens!E6672*IF(5&lt;life_fac,1,IF(5=life_fac,0.5,0))+Sens!F6672*IF(4&lt;life_fac,1,IF(4=life_fac,0.5,0))+Sens!G6672*IF(3&lt;life_fac,1,IF(3=life_fac,0.5,0))+Sens!H6672*IF(2&lt;life_fac,1,IF(2=life_fac,0.5,0))+Sens!I6672*IF(1&lt;life_fac,1,IF(1=life_fac,0.5,0))+Sens!J6672*0.5)/life_fac</f>
        <v>7.86563936186</v>
      </c>
      <c r="K6677" s="6" t="n">
        <f aca="false">(Sens!C6672*IF(8&lt;life_fac,1,IF(8=life_fac,0.5,0))+Sens!D6672*IF(7&lt;life_fac,1,IF(7=life_fac,0.5,0))+Sens!E6672*IF(6&lt;life_fac,1,IF(6=life_fac,0.5,0))+Sens!F6672*IF(5&lt;life_fac,1,IF(5=life_fac,0.5,0))+Sens!G6672*IF(4&lt;life_fac,1,IF(4=life_fac,0.5,0))+Sens!H6672*IF(3&lt;life_fac,1,IF(3=life_fac,0.5,0))+Sens!I6672*IF(2&lt;life_fac,1,IF(2=life_fac,0.5,0))+Sens!J6672*IF(1&lt;life_fac,1,IF(1=life_fac,0.5,0))+Sens!K6672*0.5)/life_fac</f>
        <v>8.3428177347858</v>
      </c>
    </row>
    <row r="6678" customFormat="false" ht="17.15" hidden="false" customHeight="false" outlineLevel="0" collapsed="false">
      <c r="A6678" s="0" t="s">
        <v>854</v>
      </c>
      <c r="B6678" s="0" t="s">
        <v>98</v>
      </c>
      <c r="E6678" s="6" t="n">
        <f aca="false">Sens!E6676+Sens!E6677</f>
        <v>16.3054059770833</v>
      </c>
      <c r="F6678" s="6" t="n">
        <f aca="false">Sens!F6676+Sens!F6677</f>
        <v>34.0498873809555</v>
      </c>
      <c r="G6678" s="6" t="n">
        <f aca="false">Sens!G6676+Sens!G6677</f>
        <v>59.1254371105111</v>
      </c>
      <c r="H6678" s="6" t="n">
        <f aca="false">Sens!H6676+Sens!H6677</f>
        <v>86.3610198433111</v>
      </c>
      <c r="I6678" s="6" t="n">
        <f aca="false">Sens!I6676+Sens!I6677</f>
        <v>110.605743832393</v>
      </c>
      <c r="J6678" s="6" t="n">
        <f aca="false">Sens!J6676+Sens!J6677</f>
        <v>127.998322852843</v>
      </c>
      <c r="K6678" s="6" t="n">
        <f aca="false">Sens!K6676+Sens!K6677</f>
        <v>139.131464044308</v>
      </c>
    </row>
    <row r="6679" customFormat="false" ht="17.15" hidden="false" customHeight="false" outlineLevel="0" collapsed="false">
      <c r="A6679" s="0" t="s">
        <v>855</v>
      </c>
      <c r="B6679" s="0" t="s">
        <v>98</v>
      </c>
      <c r="E6679" s="6" t="n">
        <f aca="false">Sens!E6667-Sens!E6666*Sens!E6678</f>
        <v>8.92707889977379</v>
      </c>
      <c r="F6679" s="6" t="n">
        <f aca="false">Sens!F6667-Sens!F6666*Sens!F6678</f>
        <v>19.0295083206205</v>
      </c>
      <c r="G6679" s="6" t="n">
        <f aca="false">Sens!G6667-Sens!G6666*Sens!G6678</f>
        <v>31.0774922914994</v>
      </c>
      <c r="H6679" s="6" t="n">
        <f aca="false">Sens!H6667-Sens!H6666*Sens!H6678</f>
        <v>43.4030330778723</v>
      </c>
      <c r="I6679" s="6" t="n">
        <f aca="false">Sens!I6667-Sens!I6666*Sens!I6678</f>
        <v>54.3591447183526</v>
      </c>
      <c r="J6679" s="6" t="n">
        <f aca="false">Sens!J6667-Sens!J6666*Sens!J6678</f>
        <v>62.0539899656947</v>
      </c>
      <c r="K6679" s="6" t="n">
        <f aca="false">Sens!K6667-Sens!K6666*Sens!K6678</f>
        <v>67.5792921529812</v>
      </c>
    </row>
    <row r="6680" customFormat="false" ht="17.15" hidden="false" customHeight="false" outlineLevel="0" collapsed="false">
      <c r="A6680" s="3" t="s">
        <v>1433</v>
      </c>
    </row>
    <row r="6681" customFormat="false" ht="15" hidden="false" customHeight="false" outlineLevel="0" collapsed="false">
      <c r="A6681" s="4" t="s">
        <v>43</v>
      </c>
      <c r="B6681" s="4" t="s">
        <v>65</v>
      </c>
      <c r="C6681" s="20" t="s">
        <v>799</v>
      </c>
      <c r="D6681" s="20" t="s">
        <v>800</v>
      </c>
      <c r="E6681" s="20" t="s">
        <v>801</v>
      </c>
      <c r="F6681" s="20" t="s">
        <v>802</v>
      </c>
      <c r="G6681" s="20" t="s">
        <v>803</v>
      </c>
      <c r="H6681" s="20" t="s">
        <v>804</v>
      </c>
      <c r="I6681" s="20" t="s">
        <v>805</v>
      </c>
      <c r="J6681" s="20" t="s">
        <v>806</v>
      </c>
      <c r="K6681" s="20" t="s">
        <v>807</v>
      </c>
      <c r="L6681" s="4" t="s">
        <v>47</v>
      </c>
    </row>
    <row r="6682" customFormat="false" ht="17.15" hidden="false" customHeight="false" outlineLevel="0" collapsed="false">
      <c r="A6682" s="0" t="s">
        <v>874</v>
      </c>
      <c r="B6682" s="0" t="s">
        <v>98</v>
      </c>
      <c r="D6682" s="6" t="n">
        <f aca="false">Sens!D6661</f>
        <v>12.9359794422418</v>
      </c>
      <c r="E6682" s="6" t="n">
        <f aca="false">Sens!E6661</f>
        <v>27.8095064661409</v>
      </c>
      <c r="F6682" s="6" t="n">
        <f aca="false">Sens!F6661</f>
        <v>55.0640065749585</v>
      </c>
      <c r="G6682" s="6" t="n">
        <f aca="false">Sens!G6661</f>
        <v>89.4505413190538</v>
      </c>
      <c r="H6682" s="6" t="n">
        <f aca="false">Sens!H6661</f>
        <v>124.835630736874</v>
      </c>
      <c r="I6682" s="6" t="n">
        <f aca="false">Sens!I6661</f>
        <v>156.158460265485</v>
      </c>
      <c r="J6682" s="6" t="n">
        <f aca="false">Sens!J6661</f>
        <v>178.259285293112</v>
      </c>
      <c r="K6682" s="6" t="n">
        <f aca="false">Sens!K6661</f>
        <v>192.733290209798</v>
      </c>
    </row>
    <row r="6683" customFormat="false" ht="17.15" hidden="false" customHeight="false" outlineLevel="0" collapsed="false">
      <c r="A6683" s="0" t="s">
        <v>875</v>
      </c>
      <c r="B6683" s="0" t="s">
        <v>98</v>
      </c>
      <c r="D6683" s="6" t="n">
        <f aca="false">Q!L6-Sens!D6682</f>
        <v>59.6740205577583</v>
      </c>
      <c r="E6683" s="6" t="n">
        <f aca="false">Q!M6-Sens!E6682</f>
        <v>74.1284935338591</v>
      </c>
      <c r="F6683" s="6" t="n">
        <f aca="false">Sens!E6683*(1+Sens!F6684)</f>
        <v>90.0799497373663</v>
      </c>
      <c r="G6683" s="6" t="n">
        <f aca="false">Sens!F6683*(1+Sens!G6684)</f>
        <v>107.02842520331</v>
      </c>
      <c r="H6683" s="6" t="n">
        <f aca="false">Sens!G6683*(1+Sens!H6684)</f>
        <v>124.271982585636</v>
      </c>
      <c r="I6683" s="6" t="n">
        <f aca="false">Sens!H6683*(1+Sens!I6684)</f>
        <v>140.933702381855</v>
      </c>
      <c r="J6683" s="6" t="n">
        <f aca="false">Sens!I6683*(1+Sens!J6684)</f>
        <v>156.018867314332</v>
      </c>
      <c r="K6683" s="6" t="n">
        <f aca="false">Sens!J6683*(1+Sens!K6684)</f>
        <v>168.500376699478</v>
      </c>
    </row>
    <row r="6684" customFormat="false" ht="15" hidden="false" customHeight="false" outlineLevel="0" collapsed="false">
      <c r="A6684" s="1" t="s">
        <v>876</v>
      </c>
      <c r="B6684" s="0" t="s">
        <v>129</v>
      </c>
      <c r="E6684" s="7" t="n">
        <f aca="false">Sens!E6683/Sens!D6683-1</f>
        <v>0.242223883039864</v>
      </c>
      <c r="F6684" s="7" t="n">
        <f aca="false">Sens!$E$6684+(glt_azo-Sens!$E$6684)*MIN(1,(Sens!F6644-base_fy)/n_conv)</f>
        <v>0.215186569199887</v>
      </c>
      <c r="G6684" s="7" t="n">
        <f aca="false">Sens!$E$6684+(glt_azo-Sens!$E$6684)*MIN(1,(Sens!G6644-base_fy)/n_conv)</f>
        <v>0.18814925535991</v>
      </c>
      <c r="H6684" s="7" t="n">
        <f aca="false">Sens!$E$6684+(glt_azo-Sens!$E$6684)*MIN(1,(Sens!H6644-base_fy)/n_conv)</f>
        <v>0.161111941519932</v>
      </c>
      <c r="I6684" s="7" t="n">
        <f aca="false">Sens!$E$6684+(glt_azo-Sens!$E$6684)*MIN(1,(Sens!I6644-base_fy)/n_conv)</f>
        <v>0.134074627679955</v>
      </c>
      <c r="J6684" s="7" t="n">
        <f aca="false">Sens!$E$6684+(glt_azo-Sens!$E$6684)*MIN(1,(Sens!J6644-base_fy)/n_conv)</f>
        <v>0.107037313839977</v>
      </c>
      <c r="K6684" s="7" t="n">
        <f aca="false">Sens!$E$6684+(glt_azo-Sens!$E$6684)*MIN(1,(Sens!K6644-base_fy)/n_conv)</f>
        <v>0.08</v>
      </c>
    </row>
    <row r="6685" customFormat="false" ht="15" hidden="false" customHeight="false" outlineLevel="0" collapsed="false">
      <c r="A6685" s="0" t="s">
        <v>877</v>
      </c>
      <c r="B6685" s="0" t="s">
        <v>98</v>
      </c>
      <c r="D6685" s="6" t="n">
        <f aca="false">Sens!D6682+Sens!D6683</f>
        <v>72.61</v>
      </c>
      <c r="E6685" s="6" t="n">
        <f aca="false">Sens!E6682+Sens!E6683</f>
        <v>101.938</v>
      </c>
      <c r="F6685" s="6" t="n">
        <f aca="false">Sens!F6682+Sens!F6683</f>
        <v>145.143956312325</v>
      </c>
      <c r="G6685" s="6" t="n">
        <f aca="false">Sens!G6682+Sens!G6683</f>
        <v>196.478966522364</v>
      </c>
      <c r="H6685" s="6" t="n">
        <f aca="false">Sens!H6682+Sens!H6683</f>
        <v>249.10761332251</v>
      </c>
      <c r="I6685" s="6" t="n">
        <f aca="false">Sens!I6682+Sens!I6683</f>
        <v>297.09216264734</v>
      </c>
      <c r="J6685" s="6" t="n">
        <f aca="false">Sens!J6682+Sens!J6683</f>
        <v>334.278152607443</v>
      </c>
      <c r="K6685" s="6" t="n">
        <f aca="false">Sens!K6682+Sens!K6683</f>
        <v>361.233666909276</v>
      </c>
    </row>
    <row r="6686" customFormat="false" ht="17.15" hidden="false" customHeight="false" outlineLevel="0" collapsed="false">
      <c r="A6686" s="0" t="s">
        <v>878</v>
      </c>
      <c r="B6686" s="1" t="s">
        <v>528</v>
      </c>
      <c r="C6686" s="29" t="n">
        <f aca="false">cop_s24</f>
        <v>1</v>
      </c>
      <c r="D6686" s="29" t="n">
        <f aca="false">cop_s25</f>
        <v>5</v>
      </c>
      <c r="E6686" s="29" t="n">
        <f aca="false">cop_s26</f>
        <v>30</v>
      </c>
      <c r="F6686" s="29" t="n">
        <f aca="false">Sens!E6686+cop_add_B</f>
        <v>50</v>
      </c>
      <c r="G6686" s="29" t="n">
        <f aca="false">Sens!F6686+cop_add_B</f>
        <v>70</v>
      </c>
      <c r="H6686" s="29" t="n">
        <f aca="false">Sens!G6686+cop_add_B</f>
        <v>90</v>
      </c>
      <c r="I6686" s="29" t="n">
        <f aca="false">Sens!H6686+cop_add_B*cop_tail</f>
        <v>100</v>
      </c>
      <c r="J6686" s="29" t="n">
        <f aca="false">Sens!I6686+cop_add_B*cop_tail</f>
        <v>110</v>
      </c>
      <c r="K6686" s="29" t="n">
        <f aca="false">Sens!J6686+cop_add_B*cop_tail</f>
        <v>120</v>
      </c>
      <c r="L6686" s="11" t="s">
        <v>879</v>
      </c>
    </row>
    <row r="6687" customFormat="false" ht="17.15" hidden="false" customHeight="false" outlineLevel="0" collapsed="false">
      <c r="A6687" s="0" t="s">
        <v>880</v>
      </c>
      <c r="B6687" s="0" t="s">
        <v>98</v>
      </c>
      <c r="D6687" s="6" t="n">
        <f aca="false">(Sens!C6686+Sens!D6686)/2*cop_px*12/1000</f>
        <v>0.9</v>
      </c>
      <c r="E6687" s="6" t="n">
        <f aca="false">(Sens!D6686+Sens!E6686)/2*cop_px*12/1000</f>
        <v>5.25</v>
      </c>
      <c r="F6687" s="6" t="n">
        <f aca="false">(Sens!E6686+Sens!F6686)/2*cop_px_lo*12/1000</f>
        <v>8.64</v>
      </c>
      <c r="G6687" s="6" t="n">
        <f aca="false">(Sens!F6686+Sens!G6686)/2*cop_px_lo*12/1000</f>
        <v>12.96</v>
      </c>
      <c r="H6687" s="6" t="n">
        <f aca="false">(Sens!G6686+Sens!H6686)/2*cop_px_lo*12/1000</f>
        <v>17.28</v>
      </c>
      <c r="I6687" s="6" t="n">
        <f aca="false">(Sens!H6686+Sens!I6686)/2*cop_px_lo*12/1000</f>
        <v>20.52</v>
      </c>
      <c r="J6687" s="6" t="n">
        <f aca="false">(Sens!I6686+Sens!J6686)/2*cop_px_lo*12/1000</f>
        <v>22.68</v>
      </c>
      <c r="K6687" s="6" t="n">
        <f aca="false">(Sens!J6686+Sens!K6686)/2*cop_px_lo*12/1000</f>
        <v>24.84</v>
      </c>
      <c r="L6687" s="1" t="s">
        <v>881</v>
      </c>
    </row>
    <row r="6688" customFormat="false" ht="17.15" hidden="false" customHeight="false" outlineLevel="0" collapsed="false">
      <c r="A6688" s="0" t="s">
        <v>882</v>
      </c>
      <c r="B6688" s="0" t="s">
        <v>98</v>
      </c>
      <c r="D6688" s="6" t="n">
        <f aca="false">Q!L7-Sens!D6687</f>
        <v>83.705</v>
      </c>
      <c r="E6688" s="6" t="n">
        <f aca="false">Q!M7-Sens!E6687</f>
        <v>95.049</v>
      </c>
      <c r="F6688" s="6" t="n">
        <f aca="false">Sens!E6688*(1+Sens!F6689)</f>
        <v>106.89238776686</v>
      </c>
      <c r="G6688" s="6" t="n">
        <f aca="false">Sens!F6688*(1+Sens!G6689)</f>
        <v>119.044168448684</v>
      </c>
      <c r="H6688" s="6" t="n">
        <f aca="false">Sens!G6688*(1+Sens!H6689)</f>
        <v>131.277359388781</v>
      </c>
      <c r="I6688" s="6" t="n">
        <f aca="false">Sens!H6688*(1+Sens!I6689)</f>
        <v>143.334028071957</v>
      </c>
      <c r="J6688" s="6" t="n">
        <f aca="false">Sens!I6688*(1+Sens!J6689)</f>
        <v>154.932702785465</v>
      </c>
      <c r="K6688" s="6" t="n">
        <f aca="false">Sens!J6688*(1+Sens!K6689)</f>
        <v>165.777991980448</v>
      </c>
    </row>
    <row r="6689" customFormat="false" ht="15" hidden="false" customHeight="false" outlineLevel="0" collapsed="false">
      <c r="A6689" s="1" t="s">
        <v>876</v>
      </c>
      <c r="B6689" s="0" t="s">
        <v>129</v>
      </c>
      <c r="E6689" s="7" t="n">
        <f aca="false">Sens!E6688/Sens!D6688-1</f>
        <v>0.135523564900544</v>
      </c>
      <c r="F6689" s="7" t="n">
        <f aca="false">Sens!$E$6689+(glt_m365b-Sens!$E$6689)*MIN(1,(Sens!F6644-base_fy)/n_conv)</f>
        <v>0.124602970750453</v>
      </c>
      <c r="G6689" s="7" t="n">
        <f aca="false">Sens!$E$6689+(glt_m365b-Sens!$E$6689)*MIN(1,(Sens!G6644-base_fy)/n_conv)</f>
        <v>0.113682376600363</v>
      </c>
      <c r="H6689" s="7" t="n">
        <f aca="false">Sens!$E$6689+(glt_m365b-Sens!$E$6689)*MIN(1,(Sens!H6644-base_fy)/n_conv)</f>
        <v>0.102761782450272</v>
      </c>
      <c r="I6689" s="7" t="n">
        <f aca="false">Sens!$E$6689+(glt_m365b-Sens!$E$6689)*MIN(1,(Sens!I6644-base_fy)/n_conv)</f>
        <v>0.0918411883001813</v>
      </c>
      <c r="J6689" s="7" t="n">
        <f aca="false">Sens!$E$6689+(glt_m365b-Sens!$E$6689)*MIN(1,(Sens!J6644-base_fy)/n_conv)</f>
        <v>0.0809205941500906</v>
      </c>
      <c r="K6689" s="7" t="n">
        <f aca="false">Sens!$E$6689+(glt_m365b-Sens!$E$6689)*MIN(1,(Sens!K6644-base_fy)/n_conv)</f>
        <v>0.07</v>
      </c>
    </row>
    <row r="6690" customFormat="false" ht="15" hidden="false" customHeight="false" outlineLevel="0" collapsed="false">
      <c r="A6690" s="0" t="s">
        <v>883</v>
      </c>
      <c r="B6690" s="0" t="s">
        <v>98</v>
      </c>
      <c r="D6690" s="6" t="n">
        <f aca="false">Sens!D6688+Sens!D6687</f>
        <v>84.605</v>
      </c>
      <c r="E6690" s="6" t="n">
        <f aca="false">Sens!E6688+Sens!E6687</f>
        <v>100.299</v>
      </c>
      <c r="F6690" s="6" t="n">
        <f aca="false">Sens!F6688+Sens!F6687</f>
        <v>115.53238776686</v>
      </c>
      <c r="G6690" s="6" t="n">
        <f aca="false">Sens!G6688+Sens!G6687</f>
        <v>132.004168448684</v>
      </c>
      <c r="H6690" s="6" t="n">
        <f aca="false">Sens!H6688+Sens!H6687</f>
        <v>148.557359388781</v>
      </c>
      <c r="I6690" s="6" t="n">
        <f aca="false">Sens!I6688+Sens!I6687</f>
        <v>163.854028071957</v>
      </c>
      <c r="J6690" s="6" t="n">
        <f aca="false">Sens!J6688+Sens!J6687</f>
        <v>177.612702785465</v>
      </c>
      <c r="K6690" s="6" t="n">
        <f aca="false">Sens!K6688+Sens!K6687</f>
        <v>190.617991980448</v>
      </c>
    </row>
    <row r="6691" customFormat="false" ht="15" hidden="false" customHeight="false" outlineLevel="0" collapsed="false">
      <c r="A6691" s="0" t="s">
        <v>884</v>
      </c>
      <c r="B6691" s="0" t="s">
        <v>98</v>
      </c>
      <c r="D6691" s="6" t="n">
        <f aca="false">Q!L8</f>
        <v>35.391</v>
      </c>
      <c r="E6691" s="6" t="n">
        <f aca="false">Q!M8</f>
        <v>37.285</v>
      </c>
      <c r="F6691" s="6" t="n">
        <f aca="false">Sens!E6691*(1+Sens!F6692)</f>
        <v>39.0720834331704</v>
      </c>
      <c r="G6691" s="6" t="n">
        <f aca="false">Sens!F6691*(1+Sens!G6692)</f>
        <v>40.726562953769</v>
      </c>
      <c r="H6691" s="6" t="n">
        <f aca="false">Sens!G6691*(1+Sens!H6692)</f>
        <v>42.2235987259198</v>
      </c>
      <c r="I6691" s="6" t="n">
        <f aca="false">Sens!H6691*(1+Sens!I6692)</f>
        <v>43.5397988077414</v>
      </c>
      <c r="J6691" s="6" t="n">
        <f aca="false">Sens!I6691*(1+Sens!J6692)</f>
        <v>44.653811225693</v>
      </c>
      <c r="K6691" s="6" t="n">
        <f aca="false">Sens!J6691*(1+Sens!K6692)</f>
        <v>45.5468874502068</v>
      </c>
    </row>
    <row r="6692" customFormat="false" ht="15" hidden="false" customHeight="false" outlineLevel="0" collapsed="false">
      <c r="A6692" s="1" t="s">
        <v>876</v>
      </c>
      <c r="B6692" s="0" t="s">
        <v>129</v>
      </c>
      <c r="E6692" s="7" t="n">
        <f aca="false">Sens!E6691/Sens!D6691-1</f>
        <v>0.0535164307309768</v>
      </c>
      <c r="F6692" s="7" t="n">
        <f aca="false">Sens!$E$6692+(glt_lic-Sens!$E$6692)*MIN(1,(Sens!F6644-base_fy)/n_conv)</f>
        <v>0.0479303589424807</v>
      </c>
      <c r="G6692" s="7" t="n">
        <f aca="false">Sens!$E$6692+(glt_lic-Sens!$E$6692)*MIN(1,(Sens!G6644-base_fy)/n_conv)</f>
        <v>0.0423442871539845</v>
      </c>
      <c r="H6692" s="7" t="n">
        <f aca="false">Sens!$E$6692+(glt_lic-Sens!$E$6692)*MIN(1,(Sens!H6644-base_fy)/n_conv)</f>
        <v>0.0367582153654884</v>
      </c>
      <c r="I6692" s="7" t="n">
        <f aca="false">Sens!$E$6692+(glt_lic-Sens!$E$6692)*MIN(1,(Sens!I6644-base_fy)/n_conv)</f>
        <v>0.0311721435769923</v>
      </c>
      <c r="J6692" s="7" t="n">
        <f aca="false">Sens!$E$6692+(glt_lic-Sens!$E$6692)*MIN(1,(Sens!J6644-base_fy)/n_conv)</f>
        <v>0.0255860717884961</v>
      </c>
      <c r="K6692" s="7" t="n">
        <f aca="false">Sens!$E$6692+(glt_lic-Sens!$E$6692)*MIN(1,(Sens!K6644-base_fy)/n_conv)</f>
        <v>0.02</v>
      </c>
    </row>
    <row r="6693" customFormat="false" ht="15" hidden="false" customHeight="false" outlineLevel="0" collapsed="false">
      <c r="A6693" s="0" t="s">
        <v>885</v>
      </c>
      <c r="B6693" s="0" t="s">
        <v>98</v>
      </c>
      <c r="D6693" s="6" t="n">
        <f aca="false">Q!L9</f>
        <v>18.417</v>
      </c>
      <c r="E6693" s="6" t="n">
        <f aca="false">Q!M9</f>
        <v>20.345</v>
      </c>
      <c r="F6693" s="6" t="n">
        <f aca="false">Sens!E6693*(1+Sens!F6694)</f>
        <v>22.3572203267814</v>
      </c>
      <c r="G6693" s="6" t="n">
        <f aca="false">Sens!F6693*(1+Sens!G6694)</f>
        <v>24.4392124437232</v>
      </c>
      <c r="H6693" s="6" t="n">
        <f aca="false">Sens!G6693*(1+Sens!H6694)</f>
        <v>26.5738052080665</v>
      </c>
      <c r="I6693" s="6" t="n">
        <f aca="false">Sens!H6693*(1+Sens!I6694)</f>
        <v>28.7412169166967</v>
      </c>
      <c r="J6693" s="6" t="n">
        <f aca="false">Sens!I6693*(1+Sens!J6694)</f>
        <v>30.9192545395413</v>
      </c>
      <c r="K6693" s="6" t="n">
        <f aca="false">Sens!J6693*(1+Sens!K6694)</f>
        <v>33.0836023573092</v>
      </c>
    </row>
    <row r="6694" customFormat="false" ht="15" hidden="false" customHeight="false" outlineLevel="0" collapsed="false">
      <c r="A6694" s="1" t="s">
        <v>876</v>
      </c>
      <c r="B6694" s="0" t="s">
        <v>129</v>
      </c>
      <c r="E6694" s="7" t="n">
        <f aca="false">Sens!E6693/Sens!D6693-1</f>
        <v>0.104685888038225</v>
      </c>
      <c r="F6694" s="7" t="n">
        <f aca="false">Sens!$E$6694+(glt_ind-Sens!$E$6694)*MIN(1,(Sens!F6644-base_fy)/n_conv)</f>
        <v>0.0989049066985211</v>
      </c>
      <c r="G6694" s="7" t="n">
        <f aca="false">Sens!$E$6694+(glt_ind-Sens!$E$6694)*MIN(1,(Sens!G6644-base_fy)/n_conv)</f>
        <v>0.0931239253588169</v>
      </c>
      <c r="H6694" s="7" t="n">
        <f aca="false">Sens!$E$6694+(glt_ind-Sens!$E$6694)*MIN(1,(Sens!H6644-base_fy)/n_conv)</f>
        <v>0.0873429440191127</v>
      </c>
      <c r="I6694" s="7" t="n">
        <f aca="false">Sens!$E$6694+(glt_ind-Sens!$E$6694)*MIN(1,(Sens!I6644-base_fy)/n_conv)</f>
        <v>0.0815619626794085</v>
      </c>
      <c r="J6694" s="7" t="n">
        <f aca="false">Sens!$E$6694+(glt_ind-Sens!$E$6694)*MIN(1,(Sens!J6644-base_fy)/n_conv)</f>
        <v>0.0757809813397042</v>
      </c>
      <c r="K6694" s="7" t="n">
        <f aca="false">Sens!$E$6694+(glt_ind-Sens!$E$6694)*MIN(1,(Sens!K6644-base_fy)/n_conv)</f>
        <v>0.07</v>
      </c>
    </row>
    <row r="6695" customFormat="false" ht="15" hidden="false" customHeight="false" outlineLevel="0" collapsed="false">
      <c r="A6695" s="0" t="s">
        <v>886</v>
      </c>
      <c r="B6695" s="0" t="s">
        <v>98</v>
      </c>
      <c r="D6695" s="6" t="n">
        <f aca="false">Q!L10</f>
        <v>7.76</v>
      </c>
      <c r="E6695" s="6" t="n">
        <f aca="false">Q!M10</f>
        <v>8.26</v>
      </c>
      <c r="F6695" s="6" t="n">
        <f aca="false">Sens!E6695*(1+Sens!F6696)</f>
        <v>8.79988041237113</v>
      </c>
      <c r="G6695" s="6" t="n">
        <f aca="false">Sens!F6695*(1+Sens!G6696)</f>
        <v>9.38321269125306</v>
      </c>
      <c r="H6695" s="6" t="n">
        <f aca="false">Sens!G6695*(1+Sens!H6696)</f>
        <v>10.0139193587476</v>
      </c>
      <c r="I6695" s="6" t="n">
        <f aca="false">Sens!H6695*(1+Sens!I6696)</f>
        <v>10.6963111830911</v>
      </c>
      <c r="J6695" s="6" t="n">
        <f aca="false">Sens!I6695*(1+Sens!J6696)</f>
        <v>11.4351285534696</v>
      </c>
      <c r="K6695" s="6" t="n">
        <f aca="false">Sens!J6695*(1+Sens!K6696)</f>
        <v>12.2355875522124</v>
      </c>
    </row>
    <row r="6696" customFormat="false" ht="15" hidden="false" customHeight="false" outlineLevel="0" collapsed="false">
      <c r="A6696" s="1" t="s">
        <v>876</v>
      </c>
      <c r="B6696" s="0" t="s">
        <v>129</v>
      </c>
      <c r="E6696" s="7" t="n">
        <f aca="false">Sens!E6695/Sens!D6695-1</f>
        <v>0.0644329896907216</v>
      </c>
      <c r="F6696" s="7" t="n">
        <f aca="false">Sens!$E$6696+(glt_fro-Sens!$E$6696)*MIN(1,(Sens!F6644-base_fy)/n_conv)</f>
        <v>0.065360824742268</v>
      </c>
      <c r="G6696" s="7" t="n">
        <f aca="false">Sens!$E$6696+(glt_fro-Sens!$E$6696)*MIN(1,(Sens!G6644-base_fy)/n_conv)</f>
        <v>0.0662886597938144</v>
      </c>
      <c r="H6696" s="7" t="n">
        <f aca="false">Sens!$E$6696+(glt_fro-Sens!$E$6696)*MIN(1,(Sens!H6644-base_fy)/n_conv)</f>
        <v>0.0672164948453608</v>
      </c>
      <c r="I6696" s="7" t="n">
        <f aca="false">Sens!$E$6696+(glt_fro-Sens!$E$6696)*MIN(1,(Sens!I6644-base_fy)/n_conv)</f>
        <v>0.0681443298969072</v>
      </c>
      <c r="J6696" s="7" t="n">
        <f aca="false">Sens!$E$6696+(glt_fro-Sens!$E$6696)*MIN(1,(Sens!J6644-base_fy)/n_conv)</f>
        <v>0.0690721649484536</v>
      </c>
      <c r="K6696" s="7" t="n">
        <f aca="false">Sens!$E$6696+(glt_fro-Sens!$E$6696)*MIN(1,(Sens!K6644-base_fy)/n_conv)</f>
        <v>0.07</v>
      </c>
    </row>
    <row r="6697" customFormat="false" ht="15" hidden="false" customHeight="false" outlineLevel="0" collapsed="false">
      <c r="A6697" s="0" t="s">
        <v>715</v>
      </c>
      <c r="B6697" s="0" t="s">
        <v>98</v>
      </c>
      <c r="D6697" s="6" t="n">
        <f aca="false">Sens!D6685+Sens!D6690+Sens!D6691+Sens!D6693+Sens!D6695</f>
        <v>218.783</v>
      </c>
      <c r="E6697" s="6" t="n">
        <f aca="false">Sens!E6685+Sens!E6690+Sens!E6691+Sens!E6693+Sens!E6695</f>
        <v>268.127</v>
      </c>
      <c r="F6697" s="6" t="n">
        <f aca="false">Sens!F6685+Sens!F6690+Sens!F6691+Sens!F6693+Sens!F6695</f>
        <v>330.905528251508</v>
      </c>
      <c r="G6697" s="6" t="n">
        <f aca="false">Sens!G6685+Sens!G6690+Sens!G6691+Sens!G6693+Sens!G6695</f>
        <v>403.032123059793</v>
      </c>
      <c r="H6697" s="6" t="n">
        <f aca="false">Sens!H6685+Sens!H6690+Sens!H6691+Sens!H6693+Sens!H6695</f>
        <v>476.476296004025</v>
      </c>
      <c r="I6697" s="6" t="n">
        <f aca="false">Sens!I6685+Sens!I6690+Sens!I6691+Sens!I6693+Sens!I6695</f>
        <v>543.923517626826</v>
      </c>
      <c r="J6697" s="6" t="n">
        <f aca="false">Sens!J6685+Sens!J6690+Sens!J6691+Sens!J6693+Sens!J6695</f>
        <v>598.899049711612</v>
      </c>
      <c r="K6697" s="6" t="n">
        <f aca="false">Sens!K6685+Sens!K6690+Sens!K6691+Sens!K6693+Sens!K6695</f>
        <v>642.717736249452</v>
      </c>
    </row>
    <row r="6698" customFormat="false" ht="15" hidden="false" customHeight="false" outlineLevel="0" collapsed="false">
      <c r="A6698" s="0" t="s">
        <v>887</v>
      </c>
      <c r="B6698" s="0" t="s">
        <v>98</v>
      </c>
      <c r="D6698" s="6" t="n">
        <f aca="false">Q!L13</f>
        <v>22.171</v>
      </c>
      <c r="E6698" s="6" t="n">
        <f aca="false">Q!M13</f>
        <v>24.835</v>
      </c>
      <c r="F6698" s="6" t="n">
        <f aca="false">Sens!E6698*(1+Sens!F6699)</f>
        <v>27.6114901218559</v>
      </c>
      <c r="G6698" s="6" t="n">
        <f aca="false">Sens!F6698*(1+Sens!G6699)</f>
        <v>30.4675667338515</v>
      </c>
      <c r="H6698" s="6" t="n">
        <f aca="false">Sens!G6698*(1+Sens!H6699)</f>
        <v>33.3643766955789</v>
      </c>
      <c r="I6698" s="6" t="n">
        <f aca="false">Sens!H6698*(1+Sens!I6699)</f>
        <v>36.2577016533691</v>
      </c>
      <c r="J6698" s="6" t="n">
        <f aca="false">Sens!I6698*(1+Sens!J6699)</f>
        <v>39.0988367952171</v>
      </c>
      <c r="K6698" s="6" t="n">
        <f aca="false">Sens!J6698*(1+Sens!K6699)</f>
        <v>41.8357553708823</v>
      </c>
    </row>
    <row r="6699" customFormat="false" ht="15" hidden="false" customHeight="false" outlineLevel="0" collapsed="false">
      <c r="A6699" s="1" t="s">
        <v>876</v>
      </c>
      <c r="B6699" s="0" t="s">
        <v>129</v>
      </c>
      <c r="E6699" s="7" t="n">
        <f aca="false">Sens!E6698/Sens!D6698-1</f>
        <v>0.120156961796942</v>
      </c>
      <c r="F6699" s="7" t="n">
        <f aca="false">Sens!$E$6699+(glt_srch-Sens!$E$6699)*MIN(1,(Sens!F6644-base_fy)/n_conv)</f>
        <v>0.111797468164118</v>
      </c>
      <c r="G6699" s="7" t="n">
        <f aca="false">Sens!$E$6699+(glt_srch-Sens!$E$6699)*MIN(1,(Sens!G6644-base_fy)/n_conv)</f>
        <v>0.103437974531295</v>
      </c>
      <c r="H6699" s="7" t="n">
        <f aca="false">Sens!$E$6699+(glt_srch-Sens!$E$6699)*MIN(1,(Sens!H6644-base_fy)/n_conv)</f>
        <v>0.095078480898471</v>
      </c>
      <c r="I6699" s="7" t="n">
        <f aca="false">Sens!$E$6699+(glt_srch-Sens!$E$6699)*MIN(1,(Sens!I6644-base_fy)/n_conv)</f>
        <v>0.0867189872656474</v>
      </c>
      <c r="J6699" s="7" t="n">
        <f aca="false">Sens!$E$6699+(glt_srch-Sens!$E$6699)*MIN(1,(Sens!J6644-base_fy)/n_conv)</f>
        <v>0.0783594936328237</v>
      </c>
      <c r="K6699" s="7" t="n">
        <f aca="false">Sens!$E$6699+(glt_srch-Sens!$E$6699)*MIN(1,(Sens!K6644-base_fy)/n_conv)</f>
        <v>0.07</v>
      </c>
    </row>
    <row r="6700" customFormat="false" ht="15" hidden="false" customHeight="false" outlineLevel="0" collapsed="false">
      <c r="A6700" s="0" t="s">
        <v>888</v>
      </c>
      <c r="B6700" s="0" t="s">
        <v>98</v>
      </c>
      <c r="D6700" s="6" t="n">
        <f aca="false">Q!L14</f>
        <v>23.455</v>
      </c>
      <c r="E6700" s="6" t="n">
        <f aca="false">Q!M14</f>
        <v>21.79</v>
      </c>
      <c r="F6700" s="6" t="n">
        <f aca="false">Sens!E6700*(1+Sens!F6701)</f>
        <v>20.5736277908051</v>
      </c>
      <c r="G6700" s="6" t="n">
        <f aca="false">Sens!F6700*(1+Sens!G6701)</f>
        <v>19.7371452817919</v>
      </c>
      <c r="H6700" s="6" t="n">
        <f aca="false">Sens!G6700*(1+Sens!H6701)</f>
        <v>19.2339764043138</v>
      </c>
      <c r="I6700" s="6" t="n">
        <f aca="false">Sens!H6700*(1+Sens!I6701)</f>
        <v>19.0353086852681</v>
      </c>
      <c r="J6700" s="6" t="n">
        <f aca="false">Sens!I6700*(1+Sens!J6701)</f>
        <v>19.1273539319129</v>
      </c>
      <c r="K6700" s="6" t="n">
        <f aca="false">Sens!J6700*(1+Sens!K6701)</f>
        <v>19.5099010105511</v>
      </c>
    </row>
    <row r="6701" customFormat="false" ht="15" hidden="false" customHeight="false" outlineLevel="0" collapsed="false">
      <c r="A6701" s="1" t="s">
        <v>876</v>
      </c>
      <c r="B6701" s="0" t="s">
        <v>129</v>
      </c>
      <c r="E6701" s="7" t="n">
        <f aca="false">Sens!E6700/Sens!D6700-1</f>
        <v>-0.0709869963760392</v>
      </c>
      <c r="F6701" s="7" t="n">
        <f aca="false">Sens!$E$6701+(glt_xbox-Sens!$E$6701)*MIN(1,(Sens!F6644-base_fy)/n_conv)</f>
        <v>-0.0558224969800327</v>
      </c>
      <c r="G6701" s="7" t="n">
        <f aca="false">Sens!$E$6701+(glt_xbox-Sens!$E$6701)*MIN(1,(Sens!G6644-base_fy)/n_conv)</f>
        <v>-0.0406579975840262</v>
      </c>
      <c r="H6701" s="7" t="n">
        <f aca="false">Sens!$E$6701+(glt_xbox-Sens!$E$6701)*MIN(1,(Sens!H6644-base_fy)/n_conv)</f>
        <v>-0.0254934981880196</v>
      </c>
      <c r="I6701" s="7" t="n">
        <f aca="false">Sens!$E$6701+(glt_xbox-Sens!$E$6701)*MIN(1,(Sens!I6644-base_fy)/n_conv)</f>
        <v>-0.0103289987920131</v>
      </c>
      <c r="J6701" s="7" t="n">
        <f aca="false">Sens!$E$6701+(glt_xbox-Sens!$E$6701)*MIN(1,(Sens!J6644-base_fy)/n_conv)</f>
        <v>0.00483550060399347</v>
      </c>
      <c r="K6701" s="7" t="n">
        <f aca="false">Sens!$E$6701+(glt_xbox-Sens!$E$6701)*MIN(1,(Sens!K6644-base_fy)/n_conv)</f>
        <v>0.02</v>
      </c>
    </row>
    <row r="6702" customFormat="false" ht="15" hidden="false" customHeight="false" outlineLevel="0" collapsed="false">
      <c r="A6702" s="0" t="s">
        <v>889</v>
      </c>
      <c r="B6702" s="0" t="s">
        <v>98</v>
      </c>
      <c r="D6702" s="6" t="n">
        <f aca="false">Q!L15</f>
        <v>17.315</v>
      </c>
      <c r="E6702" s="6" t="n">
        <f aca="false">Q!M15</f>
        <v>17.087</v>
      </c>
      <c r="F6702" s="6" t="n">
        <f aca="false">Sens!E6702*(1+Sens!F6703)</f>
        <v>16.9564585436519</v>
      </c>
      <c r="G6702" s="6" t="n">
        <f aca="false">Sens!F6702*(1+Sens!G6703)</f>
        <v>16.9206490624268</v>
      </c>
      <c r="H6702" s="6" t="n">
        <f aca="false">Sens!G6702*(1+Sens!H6703)</f>
        <v>16.9784519149849</v>
      </c>
      <c r="I6702" s="6" t="n">
        <f aca="false">Sens!H6702*(1+Sens!I6703)</f>
        <v>17.1303084701817</v>
      </c>
      <c r="J6702" s="6" t="n">
        <f aca="false">Sens!I6702*(1+Sens!J6703)</f>
        <v>17.3782189407267</v>
      </c>
      <c r="K6702" s="6" t="n">
        <f aca="false">Sens!J6702*(1+Sens!K6703)</f>
        <v>17.7257833195413</v>
      </c>
    </row>
    <row r="6703" customFormat="false" ht="15" hidden="false" customHeight="false" outlineLevel="0" collapsed="false">
      <c r="A6703" s="1" t="s">
        <v>876</v>
      </c>
      <c r="B6703" s="0" t="s">
        <v>129</v>
      </c>
      <c r="E6703" s="7" t="n">
        <f aca="false">Sens!E6702/Sens!D6702-1</f>
        <v>-0.0131677736066995</v>
      </c>
      <c r="F6703" s="7" t="n">
        <f aca="false">Sens!$E$6703+(glt_win-Sens!$E$6703)*MIN(1,(Sens!F6644-base_fy)/n_conv)</f>
        <v>-0.00763981133891627</v>
      </c>
      <c r="G6703" s="7" t="n">
        <f aca="false">Sens!$E$6703+(glt_win-Sens!$E$6703)*MIN(1,(Sens!G6644-base_fy)/n_conv)</f>
        <v>-0.00211184907113301</v>
      </c>
      <c r="H6703" s="7" t="n">
        <f aca="false">Sens!$E$6703+(glt_win-Sens!$E$6703)*MIN(1,(Sens!H6644-base_fy)/n_conv)</f>
        <v>0.00341611319665024</v>
      </c>
      <c r="I6703" s="7" t="n">
        <f aca="false">Sens!$E$6703+(glt_win-Sens!$E$6703)*MIN(1,(Sens!I6644-base_fy)/n_conv)</f>
        <v>0.00894407546443349</v>
      </c>
      <c r="J6703" s="7" t="n">
        <f aca="false">Sens!$E$6703+(glt_win-Sens!$E$6703)*MIN(1,(Sens!J6644-base_fy)/n_conv)</f>
        <v>0.0144720377322168</v>
      </c>
      <c r="K6703" s="7" t="n">
        <f aca="false">Sens!$E$6703+(glt_win-Sens!$E$6703)*MIN(1,(Sens!K6644-base_fy)/n_conv)</f>
        <v>0.02</v>
      </c>
    </row>
    <row r="6704" customFormat="false" ht="15" hidden="false" customHeight="false" outlineLevel="0" collapsed="false">
      <c r="A6704" s="0" t="s">
        <v>729</v>
      </c>
      <c r="B6704" s="0" t="s">
        <v>98</v>
      </c>
      <c r="D6704" s="6" t="n">
        <f aca="false">Sens!D6698+Sens!D6700+Sens!D6702</f>
        <v>62.941</v>
      </c>
      <c r="E6704" s="6" t="n">
        <f aca="false">Sens!E6698+Sens!E6700+Sens!E6702</f>
        <v>63.712</v>
      </c>
      <c r="F6704" s="6" t="n">
        <f aca="false">Sens!F6698+Sens!F6700+Sens!F6702</f>
        <v>65.1415764563129</v>
      </c>
      <c r="G6704" s="6" t="n">
        <f aca="false">Sens!G6698+Sens!G6700+Sens!G6702</f>
        <v>67.1253610780702</v>
      </c>
      <c r="H6704" s="6" t="n">
        <f aca="false">Sens!H6698+Sens!H6700+Sens!H6702</f>
        <v>69.5768050148776</v>
      </c>
      <c r="I6704" s="6" t="n">
        <f aca="false">Sens!I6698+Sens!I6700+Sens!I6702</f>
        <v>72.4233188088189</v>
      </c>
      <c r="J6704" s="6" t="n">
        <f aca="false">Sens!J6698+Sens!J6700+Sens!J6702</f>
        <v>75.6044096678567</v>
      </c>
      <c r="K6704" s="6" t="n">
        <f aca="false">Sens!K6698+Sens!K6700+Sens!K6702</f>
        <v>79.0714397009747</v>
      </c>
    </row>
    <row r="6705" customFormat="false" ht="15" hidden="false" customHeight="false" outlineLevel="0" collapsed="false">
      <c r="A6705" s="1" t="s">
        <v>890</v>
      </c>
      <c r="B6705" s="0" t="s">
        <v>98</v>
      </c>
      <c r="D6705" s="6" t="n">
        <f aca="false">Sens!D6697+Sens!D6704</f>
        <v>281.724</v>
      </c>
      <c r="E6705" s="6" t="n">
        <f aca="false">Sens!E6697+Sens!E6704</f>
        <v>331.839</v>
      </c>
      <c r="F6705" s="6" t="n">
        <f aca="false">Sens!F6697+Sens!F6704</f>
        <v>396.047104707821</v>
      </c>
      <c r="G6705" s="6" t="n">
        <f aca="false">Sens!G6697+Sens!G6704</f>
        <v>470.157484137863</v>
      </c>
      <c r="H6705" s="6" t="n">
        <f aca="false">Sens!H6697+Sens!H6704</f>
        <v>546.053101018903</v>
      </c>
      <c r="I6705" s="6" t="n">
        <f aca="false">Sens!I6697+Sens!I6704</f>
        <v>616.346836435645</v>
      </c>
      <c r="J6705" s="6" t="n">
        <f aca="false">Sens!J6697+Sens!J6704</f>
        <v>674.503459379469</v>
      </c>
      <c r="K6705" s="6" t="n">
        <f aca="false">Sens!K6697+Sens!K6704</f>
        <v>721.789175950427</v>
      </c>
    </row>
    <row r="6706" customFormat="false" ht="15" hidden="false" customHeight="false" outlineLevel="0" collapsed="false">
      <c r="A6706" s="23" t="s">
        <v>891</v>
      </c>
      <c r="B6706" s="30" t="s">
        <v>98</v>
      </c>
      <c r="C6706" s="30"/>
      <c r="D6706" s="24" t="n">
        <f aca="false">(Sens!D6685+Sens!D6690+Sens!D6691+Sens!D6693+Sens!D6695-Sens!D6697)+(Sens!D6698+Sens!D6700+Sens!D6702-Sens!D6704)+(Sens!D6697-Q!L5)+(Sens!D6704-Q!L12)+(Sens!D6685-Q!L6)+(Sens!D6690-Q!L7)</f>
        <v>0</v>
      </c>
      <c r="E6706" s="24" t="n">
        <f aca="false">(Sens!E6685+Sens!E6690+Sens!E6691+Sens!E6693+Sens!E6695-Sens!E6697)+(Sens!E6698+Sens!E6700+Sens!E6702-Sens!E6704)+(Sens!E6697-Q!M5)+(Sens!E6704-Q!M12)+(Sens!E6685-Q!M6)+(Sens!E6690-Q!M7)</f>
        <v>0</v>
      </c>
      <c r="F6706" s="24" t="n">
        <f aca="false">(Sens!F6685+Sens!F6690+Sens!F6691+Sens!F6693+Sens!F6695-Sens!F6697)+(Sens!F6698+Sens!F6700+Sens!F6702-Sens!F6704)</f>
        <v>0</v>
      </c>
      <c r="G6706" s="24" t="n">
        <f aca="false">(Sens!G6685+Sens!G6690+Sens!G6691+Sens!G6693+Sens!G6695-Sens!G6697)+(Sens!G6698+Sens!G6700+Sens!G6702-Sens!G6704)</f>
        <v>0</v>
      </c>
      <c r="H6706" s="24" t="n">
        <f aca="false">(Sens!H6685+Sens!H6690+Sens!H6691+Sens!H6693+Sens!H6695-Sens!H6697)+(Sens!H6698+Sens!H6700+Sens!H6702-Sens!H6704)</f>
        <v>0</v>
      </c>
      <c r="I6706" s="24" t="n">
        <f aca="false">(Sens!I6685+Sens!I6690+Sens!I6691+Sens!I6693+Sens!I6695-Sens!I6697)+(Sens!I6698+Sens!I6700+Sens!I6702-Sens!I6704)</f>
        <v>0</v>
      </c>
      <c r="J6706" s="24" t="n">
        <f aca="false">(Sens!J6685+Sens!J6690+Sens!J6691+Sens!J6693+Sens!J6695-Sens!J6697)+(Sens!J6698+Sens!J6700+Sens!J6702-Sens!J6704)</f>
        <v>0</v>
      </c>
      <c r="K6706" s="24" t="n">
        <f aca="false">(Sens!K6685+Sens!K6690+Sens!K6691+Sens!K6693+Sens!K6695-Sens!K6697)+(Sens!K6698+Sens!K6700+Sens!K6702-Sens!K6704)</f>
        <v>0</v>
      </c>
    </row>
    <row r="6707" customFormat="false" ht="17.15" hidden="false" customHeight="false" outlineLevel="0" collapsed="false">
      <c r="A6707" s="3" t="s">
        <v>1434</v>
      </c>
    </row>
    <row r="6708" customFormat="false" ht="15" hidden="false" customHeight="false" outlineLevel="0" collapsed="false">
      <c r="A6708" s="4" t="s">
        <v>43</v>
      </c>
      <c r="B6708" s="4" t="s">
        <v>65</v>
      </c>
      <c r="C6708" s="20" t="s">
        <v>799</v>
      </c>
      <c r="D6708" s="20" t="s">
        <v>800</v>
      </c>
      <c r="E6708" s="20" t="s">
        <v>801</v>
      </c>
      <c r="F6708" s="20" t="s">
        <v>802</v>
      </c>
      <c r="G6708" s="20" t="s">
        <v>803</v>
      </c>
      <c r="H6708" s="20" t="s">
        <v>804</v>
      </c>
      <c r="I6708" s="20" t="s">
        <v>805</v>
      </c>
      <c r="J6708" s="20" t="s">
        <v>806</v>
      </c>
      <c r="K6708" s="20" t="s">
        <v>807</v>
      </c>
      <c r="L6708" s="4" t="s">
        <v>47</v>
      </c>
    </row>
    <row r="6709" customFormat="false" ht="15" hidden="false" customHeight="false" outlineLevel="0" collapsed="false">
      <c r="A6709" s="0" t="s">
        <v>877</v>
      </c>
      <c r="B6709" s="0" t="s">
        <v>98</v>
      </c>
      <c r="D6709" s="6" t="n">
        <f aca="false">Sens!D6685</f>
        <v>72.61</v>
      </c>
      <c r="E6709" s="6" t="n">
        <f aca="false">Sens!E6685</f>
        <v>101.938</v>
      </c>
      <c r="F6709" s="6" t="n">
        <f aca="false">Sens!F6685</f>
        <v>145.143956312325</v>
      </c>
      <c r="G6709" s="6" t="n">
        <f aca="false">Sens!G6685</f>
        <v>196.478966522364</v>
      </c>
      <c r="H6709" s="6" t="n">
        <f aca="false">Sens!H6685</f>
        <v>249.10761332251</v>
      </c>
      <c r="I6709" s="6" t="n">
        <f aca="false">Sens!I6685</f>
        <v>297.09216264734</v>
      </c>
      <c r="J6709" s="6" t="n">
        <f aca="false">Sens!J6685</f>
        <v>334.278152607443</v>
      </c>
      <c r="K6709" s="6" t="n">
        <f aca="false">Sens!K6685</f>
        <v>361.233666909276</v>
      </c>
    </row>
    <row r="6710" customFormat="false" ht="17.15" hidden="false" customHeight="false" outlineLevel="0" collapsed="false">
      <c r="A6710" s="0" t="s">
        <v>874</v>
      </c>
      <c r="B6710" s="0" t="s">
        <v>98</v>
      </c>
      <c r="D6710" s="6" t="n">
        <f aca="false">Sens!D6682</f>
        <v>12.9359794422418</v>
      </c>
      <c r="E6710" s="6" t="n">
        <f aca="false">Sens!E6682</f>
        <v>27.8095064661409</v>
      </c>
      <c r="F6710" s="6" t="n">
        <f aca="false">Sens!F6682</f>
        <v>55.0640065749585</v>
      </c>
      <c r="G6710" s="6" t="n">
        <f aca="false">Sens!G6682</f>
        <v>89.4505413190538</v>
      </c>
      <c r="H6710" s="6" t="n">
        <f aca="false">Sens!H6682</f>
        <v>124.835630736874</v>
      </c>
      <c r="I6710" s="6" t="n">
        <f aca="false">Sens!I6682</f>
        <v>156.158460265485</v>
      </c>
      <c r="J6710" s="6" t="n">
        <f aca="false">Sens!J6682</f>
        <v>178.259285293112</v>
      </c>
      <c r="K6710" s="6" t="n">
        <f aca="false">Sens!K6682</f>
        <v>192.733290209798</v>
      </c>
    </row>
    <row r="6711" customFormat="false" ht="17.15" hidden="false" customHeight="false" outlineLevel="0" collapsed="false">
      <c r="A6711" s="0" t="s">
        <v>902</v>
      </c>
      <c r="B6711" s="0" t="s">
        <v>98</v>
      </c>
      <c r="D6711" s="6" t="n">
        <f aca="false">Sens!D6683</f>
        <v>59.6740205577583</v>
      </c>
      <c r="E6711" s="6" t="n">
        <f aca="false">Sens!E6683</f>
        <v>74.1284935338591</v>
      </c>
      <c r="F6711" s="6" t="n">
        <f aca="false">Sens!F6683</f>
        <v>90.0799497373663</v>
      </c>
      <c r="G6711" s="6" t="n">
        <f aca="false">Sens!G6683</f>
        <v>107.02842520331</v>
      </c>
      <c r="H6711" s="6" t="n">
        <f aca="false">Sens!H6683</f>
        <v>124.271982585636</v>
      </c>
      <c r="I6711" s="6" t="n">
        <f aca="false">Sens!I6683</f>
        <v>140.933702381855</v>
      </c>
      <c r="J6711" s="6" t="n">
        <f aca="false">Sens!J6683</f>
        <v>156.018867314332</v>
      </c>
      <c r="K6711" s="6" t="n">
        <f aca="false">Sens!K6683</f>
        <v>168.500376699478</v>
      </c>
    </row>
    <row r="6712" customFormat="false" ht="15" hidden="false" customHeight="false" outlineLevel="0" collapsed="false">
      <c r="A6712" s="0" t="s">
        <v>883</v>
      </c>
      <c r="B6712" s="0" t="s">
        <v>98</v>
      </c>
      <c r="D6712" s="6" t="n">
        <f aca="false">Sens!D6690</f>
        <v>84.605</v>
      </c>
      <c r="E6712" s="6" t="n">
        <f aca="false">Sens!E6690</f>
        <v>100.299</v>
      </c>
      <c r="F6712" s="6" t="n">
        <f aca="false">Sens!F6690</f>
        <v>115.53238776686</v>
      </c>
      <c r="G6712" s="6" t="n">
        <f aca="false">Sens!G6690</f>
        <v>132.004168448684</v>
      </c>
      <c r="H6712" s="6" t="n">
        <f aca="false">Sens!H6690</f>
        <v>148.557359388781</v>
      </c>
      <c r="I6712" s="6" t="n">
        <f aca="false">Sens!I6690</f>
        <v>163.854028071957</v>
      </c>
      <c r="J6712" s="6" t="n">
        <f aca="false">Sens!J6690</f>
        <v>177.612702785465</v>
      </c>
      <c r="K6712" s="6" t="n">
        <f aca="false">Sens!K6690</f>
        <v>190.617991980448</v>
      </c>
    </row>
    <row r="6713" customFormat="false" ht="17.15" hidden="false" customHeight="false" outlineLevel="0" collapsed="false">
      <c r="A6713" s="0" t="s">
        <v>903</v>
      </c>
      <c r="B6713" s="0" t="s">
        <v>98</v>
      </c>
      <c r="D6713" s="6" t="n">
        <f aca="false">Sens!D6688</f>
        <v>83.705</v>
      </c>
      <c r="E6713" s="6" t="n">
        <f aca="false">Sens!E6688</f>
        <v>95.049</v>
      </c>
      <c r="F6713" s="6" t="n">
        <f aca="false">Sens!F6688</f>
        <v>106.89238776686</v>
      </c>
      <c r="G6713" s="6" t="n">
        <f aca="false">Sens!G6688</f>
        <v>119.044168448684</v>
      </c>
      <c r="H6713" s="6" t="n">
        <f aca="false">Sens!H6688</f>
        <v>131.277359388781</v>
      </c>
      <c r="I6713" s="6" t="n">
        <f aca="false">Sens!I6688</f>
        <v>143.334028071957</v>
      </c>
      <c r="J6713" s="6" t="n">
        <f aca="false">Sens!J6688</f>
        <v>154.932702785465</v>
      </c>
      <c r="K6713" s="6" t="n">
        <f aca="false">Sens!K6688</f>
        <v>165.777991980448</v>
      </c>
    </row>
    <row r="6714" customFormat="false" ht="17.15" hidden="false" customHeight="false" outlineLevel="0" collapsed="false">
      <c r="A6714" s="0" t="s">
        <v>904</v>
      </c>
      <c r="B6714" s="0" t="s">
        <v>98</v>
      </c>
      <c r="D6714" s="6" t="n">
        <f aca="false">Sens!D6687</f>
        <v>0.9</v>
      </c>
      <c r="E6714" s="6" t="n">
        <f aca="false">Sens!E6687</f>
        <v>5.25</v>
      </c>
      <c r="F6714" s="6" t="n">
        <f aca="false">Sens!F6687</f>
        <v>8.64</v>
      </c>
      <c r="G6714" s="6" t="n">
        <f aca="false">Sens!G6687</f>
        <v>12.96</v>
      </c>
      <c r="H6714" s="6" t="n">
        <f aca="false">Sens!H6687</f>
        <v>17.28</v>
      </c>
      <c r="I6714" s="6" t="n">
        <f aca="false">Sens!I6687</f>
        <v>20.52</v>
      </c>
      <c r="J6714" s="6" t="n">
        <f aca="false">Sens!J6687</f>
        <v>22.68</v>
      </c>
      <c r="K6714" s="6" t="n">
        <f aca="false">Sens!K6687</f>
        <v>24.84</v>
      </c>
    </row>
    <row r="6715" customFormat="false" ht="15" hidden="false" customHeight="false" outlineLevel="0" collapsed="false">
      <c r="A6715" s="0" t="s">
        <v>884</v>
      </c>
      <c r="B6715" s="0" t="s">
        <v>98</v>
      </c>
      <c r="D6715" s="6" t="n">
        <f aca="false">Sens!D6691</f>
        <v>35.391</v>
      </c>
      <c r="E6715" s="6" t="n">
        <f aca="false">Sens!E6691</f>
        <v>37.285</v>
      </c>
      <c r="F6715" s="6" t="n">
        <f aca="false">Sens!F6691</f>
        <v>39.0720834331704</v>
      </c>
      <c r="G6715" s="6" t="n">
        <f aca="false">Sens!G6691</f>
        <v>40.726562953769</v>
      </c>
      <c r="H6715" s="6" t="n">
        <f aca="false">Sens!H6691</f>
        <v>42.2235987259198</v>
      </c>
      <c r="I6715" s="6" t="n">
        <f aca="false">Sens!I6691</f>
        <v>43.5397988077414</v>
      </c>
      <c r="J6715" s="6" t="n">
        <f aca="false">Sens!J6691</f>
        <v>44.653811225693</v>
      </c>
      <c r="K6715" s="6" t="n">
        <f aca="false">Sens!K6691</f>
        <v>45.5468874502068</v>
      </c>
    </row>
    <row r="6716" customFormat="false" ht="15" hidden="false" customHeight="false" outlineLevel="0" collapsed="false">
      <c r="A6716" s="0" t="s">
        <v>885</v>
      </c>
      <c r="B6716" s="0" t="s">
        <v>98</v>
      </c>
      <c r="D6716" s="6" t="n">
        <f aca="false">Sens!D6693</f>
        <v>18.417</v>
      </c>
      <c r="E6716" s="6" t="n">
        <f aca="false">Sens!E6693</f>
        <v>20.345</v>
      </c>
      <c r="F6716" s="6" t="n">
        <f aca="false">Sens!F6693</f>
        <v>22.3572203267814</v>
      </c>
      <c r="G6716" s="6" t="n">
        <f aca="false">Sens!G6693</f>
        <v>24.4392124437232</v>
      </c>
      <c r="H6716" s="6" t="n">
        <f aca="false">Sens!H6693</f>
        <v>26.5738052080665</v>
      </c>
      <c r="I6716" s="6" t="n">
        <f aca="false">Sens!I6693</f>
        <v>28.7412169166967</v>
      </c>
      <c r="J6716" s="6" t="n">
        <f aca="false">Sens!J6693</f>
        <v>30.9192545395413</v>
      </c>
      <c r="K6716" s="6" t="n">
        <f aca="false">Sens!K6693</f>
        <v>33.0836023573092</v>
      </c>
    </row>
    <row r="6717" customFormat="false" ht="15" hidden="false" customHeight="false" outlineLevel="0" collapsed="false">
      <c r="A6717" s="0" t="s">
        <v>886</v>
      </c>
      <c r="B6717" s="0" t="s">
        <v>98</v>
      </c>
      <c r="D6717" s="6" t="n">
        <f aca="false">Sens!D6695</f>
        <v>7.76</v>
      </c>
      <c r="E6717" s="6" t="n">
        <f aca="false">Sens!E6695</f>
        <v>8.26</v>
      </c>
      <c r="F6717" s="6" t="n">
        <f aca="false">Sens!F6695</f>
        <v>8.79988041237113</v>
      </c>
      <c r="G6717" s="6" t="n">
        <f aca="false">Sens!G6695</f>
        <v>9.38321269125306</v>
      </c>
      <c r="H6717" s="6" t="n">
        <f aca="false">Sens!H6695</f>
        <v>10.0139193587476</v>
      </c>
      <c r="I6717" s="6" t="n">
        <f aca="false">Sens!I6695</f>
        <v>10.6963111830911</v>
      </c>
      <c r="J6717" s="6" t="n">
        <f aca="false">Sens!J6695</f>
        <v>11.4351285534696</v>
      </c>
      <c r="K6717" s="6" t="n">
        <f aca="false">Sens!K6695</f>
        <v>12.2355875522124</v>
      </c>
    </row>
    <row r="6718" customFormat="false" ht="15" hidden="false" customHeight="false" outlineLevel="0" collapsed="false">
      <c r="A6718" s="0" t="s">
        <v>715</v>
      </c>
      <c r="B6718" s="0" t="s">
        <v>98</v>
      </c>
      <c r="D6718" s="6" t="n">
        <f aca="false">Sens!D6697</f>
        <v>218.783</v>
      </c>
      <c r="E6718" s="6" t="n">
        <f aca="false">Sens!E6697</f>
        <v>268.127</v>
      </c>
      <c r="F6718" s="6" t="n">
        <f aca="false">Sens!F6697</f>
        <v>330.905528251508</v>
      </c>
      <c r="G6718" s="6" t="n">
        <f aca="false">Sens!G6697</f>
        <v>403.032123059793</v>
      </c>
      <c r="H6718" s="6" t="n">
        <f aca="false">Sens!H6697</f>
        <v>476.476296004025</v>
      </c>
      <c r="I6718" s="6" t="n">
        <f aca="false">Sens!I6697</f>
        <v>543.923517626826</v>
      </c>
      <c r="J6718" s="6" t="n">
        <f aca="false">Sens!J6697</f>
        <v>598.899049711612</v>
      </c>
      <c r="K6718" s="6" t="n">
        <f aca="false">Sens!K6697</f>
        <v>642.717736249452</v>
      </c>
    </row>
    <row r="6719" customFormat="false" ht="15" hidden="false" customHeight="false" outlineLevel="0" collapsed="false">
      <c r="A6719" s="0" t="s">
        <v>887</v>
      </c>
      <c r="B6719" s="0" t="s">
        <v>98</v>
      </c>
      <c r="D6719" s="6" t="n">
        <f aca="false">Sens!D6698</f>
        <v>22.171</v>
      </c>
      <c r="E6719" s="6" t="n">
        <f aca="false">Sens!E6698</f>
        <v>24.835</v>
      </c>
      <c r="F6719" s="6" t="n">
        <f aca="false">Sens!F6698</f>
        <v>27.6114901218559</v>
      </c>
      <c r="G6719" s="6" t="n">
        <f aca="false">Sens!G6698</f>
        <v>30.4675667338515</v>
      </c>
      <c r="H6719" s="6" t="n">
        <f aca="false">Sens!H6698</f>
        <v>33.3643766955789</v>
      </c>
      <c r="I6719" s="6" t="n">
        <f aca="false">Sens!I6698</f>
        <v>36.2577016533691</v>
      </c>
      <c r="J6719" s="6" t="n">
        <f aca="false">Sens!J6698</f>
        <v>39.0988367952171</v>
      </c>
      <c r="K6719" s="6" t="n">
        <f aca="false">Sens!K6698</f>
        <v>41.8357553708823</v>
      </c>
    </row>
    <row r="6720" customFormat="false" ht="15" hidden="false" customHeight="false" outlineLevel="0" collapsed="false">
      <c r="A6720" s="0" t="s">
        <v>888</v>
      </c>
      <c r="B6720" s="0" t="s">
        <v>98</v>
      </c>
      <c r="D6720" s="6" t="n">
        <f aca="false">Sens!D6700</f>
        <v>23.455</v>
      </c>
      <c r="E6720" s="6" t="n">
        <f aca="false">Sens!E6700</f>
        <v>21.79</v>
      </c>
      <c r="F6720" s="6" t="n">
        <f aca="false">Sens!F6700</f>
        <v>20.5736277908051</v>
      </c>
      <c r="G6720" s="6" t="n">
        <f aca="false">Sens!G6700</f>
        <v>19.7371452817919</v>
      </c>
      <c r="H6720" s="6" t="n">
        <f aca="false">Sens!H6700</f>
        <v>19.2339764043138</v>
      </c>
      <c r="I6720" s="6" t="n">
        <f aca="false">Sens!I6700</f>
        <v>19.0353086852681</v>
      </c>
      <c r="J6720" s="6" t="n">
        <f aca="false">Sens!J6700</f>
        <v>19.1273539319129</v>
      </c>
      <c r="K6720" s="6" t="n">
        <f aca="false">Sens!K6700</f>
        <v>19.5099010105511</v>
      </c>
    </row>
    <row r="6721" customFormat="false" ht="15" hidden="false" customHeight="false" outlineLevel="0" collapsed="false">
      <c r="A6721" s="0" t="s">
        <v>889</v>
      </c>
      <c r="B6721" s="0" t="s">
        <v>98</v>
      </c>
      <c r="D6721" s="6" t="n">
        <f aca="false">Sens!D6702</f>
        <v>17.315</v>
      </c>
      <c r="E6721" s="6" t="n">
        <f aca="false">Sens!E6702</f>
        <v>17.087</v>
      </c>
      <c r="F6721" s="6" t="n">
        <f aca="false">Sens!F6702</f>
        <v>16.9564585436519</v>
      </c>
      <c r="G6721" s="6" t="n">
        <f aca="false">Sens!G6702</f>
        <v>16.9206490624268</v>
      </c>
      <c r="H6721" s="6" t="n">
        <f aca="false">Sens!H6702</f>
        <v>16.9784519149849</v>
      </c>
      <c r="I6721" s="6" t="n">
        <f aca="false">Sens!I6702</f>
        <v>17.1303084701817</v>
      </c>
      <c r="J6721" s="6" t="n">
        <f aca="false">Sens!J6702</f>
        <v>17.3782189407267</v>
      </c>
      <c r="K6721" s="6" t="n">
        <f aca="false">Sens!K6702</f>
        <v>17.7257833195413</v>
      </c>
    </row>
    <row r="6722" customFormat="false" ht="15" hidden="false" customHeight="false" outlineLevel="0" collapsed="false">
      <c r="A6722" s="0" t="s">
        <v>729</v>
      </c>
      <c r="B6722" s="0" t="s">
        <v>98</v>
      </c>
      <c r="D6722" s="6" t="n">
        <f aca="false">Sens!D6704</f>
        <v>62.941</v>
      </c>
      <c r="E6722" s="6" t="n">
        <f aca="false">Sens!E6704</f>
        <v>63.712</v>
      </c>
      <c r="F6722" s="6" t="n">
        <f aca="false">Sens!F6704</f>
        <v>65.1415764563129</v>
      </c>
      <c r="G6722" s="6" t="n">
        <f aca="false">Sens!G6704</f>
        <v>67.1253610780702</v>
      </c>
      <c r="H6722" s="6" t="n">
        <f aca="false">Sens!H6704</f>
        <v>69.5768050148776</v>
      </c>
      <c r="I6722" s="6" t="n">
        <f aca="false">Sens!I6704</f>
        <v>72.4233188088189</v>
      </c>
      <c r="J6722" s="6" t="n">
        <f aca="false">Sens!J6704</f>
        <v>75.6044096678567</v>
      </c>
      <c r="K6722" s="6" t="n">
        <f aca="false">Sens!K6704</f>
        <v>79.0714397009747</v>
      </c>
    </row>
    <row r="6723" customFormat="false" ht="15" hidden="false" customHeight="false" outlineLevel="0" collapsed="false">
      <c r="A6723" s="1" t="s">
        <v>905</v>
      </c>
      <c r="B6723" s="0" t="s">
        <v>98</v>
      </c>
      <c r="D6723" s="6" t="n">
        <f aca="false">Sens!D6705</f>
        <v>281.724</v>
      </c>
      <c r="E6723" s="6" t="n">
        <f aca="false">Sens!E6705</f>
        <v>331.839</v>
      </c>
      <c r="F6723" s="6" t="n">
        <f aca="false">Sens!F6705</f>
        <v>396.047104707821</v>
      </c>
      <c r="G6723" s="6" t="n">
        <f aca="false">Sens!G6705</f>
        <v>470.157484137863</v>
      </c>
      <c r="H6723" s="6" t="n">
        <f aca="false">Sens!H6705</f>
        <v>546.053101018903</v>
      </c>
      <c r="I6723" s="6" t="n">
        <f aca="false">Sens!I6705</f>
        <v>616.346836435645</v>
      </c>
      <c r="J6723" s="6" t="n">
        <f aca="false">Sens!J6705</f>
        <v>674.503459379469</v>
      </c>
      <c r="K6723" s="6" t="n">
        <f aca="false">Sens!K6705</f>
        <v>721.789175950427</v>
      </c>
    </row>
    <row r="6724" customFormat="false" ht="15" hidden="false" customHeight="false" outlineLevel="0" collapsed="false">
      <c r="A6724" s="1" t="s">
        <v>906</v>
      </c>
      <c r="B6724" s="0" t="s">
        <v>129</v>
      </c>
      <c r="E6724" s="7" t="n">
        <f aca="false">Sens!E6723/Sens!D6723-1</f>
        <v>0.177886867998467</v>
      </c>
      <c r="F6724" s="7" t="n">
        <f aca="false">Sens!F6723/Sens!E6723-1</f>
        <v>0.193491737583046</v>
      </c>
      <c r="G6724" s="7" t="n">
        <f aca="false">Sens!G6723/Sens!F6723-1</f>
        <v>0.187125164024912</v>
      </c>
      <c r="H6724" s="7" t="n">
        <f aca="false">Sens!H6723/Sens!G6723-1</f>
        <v>0.161425946500056</v>
      </c>
      <c r="I6724" s="7" t="n">
        <f aca="false">Sens!I6723/Sens!H6723-1</f>
        <v>0.128730585515544</v>
      </c>
      <c r="J6724" s="7" t="n">
        <f aca="false">Sens!J6723/Sens!I6723-1</f>
        <v>0.0943569748490085</v>
      </c>
      <c r="K6724" s="7" t="n">
        <f aca="false">Sens!K6723/Sens!J6723-1</f>
        <v>0.0701044833994773</v>
      </c>
    </row>
    <row r="6725" customFormat="false" ht="17.15" hidden="false" customHeight="false" outlineLevel="0" collapsed="false">
      <c r="A6725" s="23" t="s">
        <v>907</v>
      </c>
      <c r="B6725" s="30" t="s">
        <v>98</v>
      </c>
      <c r="C6725" s="30"/>
      <c r="D6725" s="24" t="n">
        <f aca="false">(Sens!D6718+Sens!D6722-Sens!D6723)+(Sens!D6710+Sens!D6711-Sens!D6709)+(Sens!D6713+Sens!D6714-Sens!D6712)+(Sens!D6723-Q!L18)</f>
        <v>0</v>
      </c>
      <c r="E6725" s="24" t="n">
        <f aca="false">(Sens!E6718+Sens!E6722-Sens!E6723)+(Sens!E6710+Sens!E6711-Sens!E6709)+(Sens!E6713+Sens!E6714-Sens!E6712)+(Sens!E6723-Q!M18)</f>
        <v>0</v>
      </c>
      <c r="F6725" s="24" t="n">
        <f aca="false">(Sens!F6718+Sens!F6722-Sens!F6723)+(Sens!F6710+Sens!F6711-Sens!F6709)+(Sens!F6713+Sens!F6714-Sens!F6712)</f>
        <v>0</v>
      </c>
      <c r="G6725" s="24" t="n">
        <f aca="false">(Sens!G6718+Sens!G6722-Sens!G6723)+(Sens!G6710+Sens!G6711-Sens!G6709)+(Sens!G6713+Sens!G6714-Sens!G6712)</f>
        <v>0</v>
      </c>
      <c r="H6725" s="24" t="n">
        <f aca="false">(Sens!H6718+Sens!H6722-Sens!H6723)+(Sens!H6710+Sens!H6711-Sens!H6709)+(Sens!H6713+Sens!H6714-Sens!H6712)</f>
        <v>0</v>
      </c>
      <c r="I6725" s="24" t="n">
        <f aca="false">(Sens!I6718+Sens!I6722-Sens!I6723)+(Sens!I6710+Sens!I6711-Sens!I6709)+(Sens!I6713+Sens!I6714-Sens!I6712)</f>
        <v>0</v>
      </c>
      <c r="J6725" s="24" t="n">
        <f aca="false">(Sens!J6718+Sens!J6722-Sens!J6723)+(Sens!J6710+Sens!J6711-Sens!J6709)+(Sens!J6713+Sens!J6714-Sens!J6712)</f>
        <v>0</v>
      </c>
      <c r="K6725" s="24" t="n">
        <f aca="false">(Sens!K6718+Sens!K6722-Sens!K6723)+(Sens!K6710+Sens!K6711-Sens!K6709)+(Sens!K6713+Sens!K6714-Sens!K6712)</f>
        <v>0</v>
      </c>
    </row>
    <row r="6726" customFormat="false" ht="17.15" hidden="false" customHeight="false" outlineLevel="0" collapsed="false">
      <c r="A6726" s="0" t="s">
        <v>908</v>
      </c>
      <c r="B6726" s="0" t="s">
        <v>129</v>
      </c>
      <c r="E6726" s="7" t="n">
        <f aca="false">(Q!M21+Sens!E6663+Sens!E6664+Sens!E6665+Sens!E6678-Sens!E6661)/(Q!M5-Sens!E6661)</f>
        <v>0.570957350878296</v>
      </c>
      <c r="F6726" s="7" t="n">
        <f aca="false">Sens!$E$6726+dm_seg</f>
        <v>0.570957350878296</v>
      </c>
      <c r="G6726" s="7" t="n">
        <f aca="false">Sens!$E$6726+dm_seg</f>
        <v>0.570957350878296</v>
      </c>
      <c r="H6726" s="7" t="n">
        <f aca="false">Sens!$E$6726+dm_seg</f>
        <v>0.570957350878296</v>
      </c>
      <c r="I6726" s="7" t="n">
        <f aca="false">Sens!$E$6726+dm_seg</f>
        <v>0.570957350878296</v>
      </c>
      <c r="J6726" s="7" t="n">
        <f aca="false">Sens!$E$6726+dm_seg</f>
        <v>0.570957350878296</v>
      </c>
      <c r="K6726" s="7" t="n">
        <f aca="false">Sens!$E$6726+dm_seg</f>
        <v>0.570957350878296</v>
      </c>
      <c r="L6726" s="11" t="s">
        <v>909</v>
      </c>
    </row>
    <row r="6727" customFormat="false" ht="17.15" hidden="false" customHeight="false" outlineLevel="0" collapsed="false">
      <c r="A6727" s="0" t="s">
        <v>743</v>
      </c>
      <c r="B6727" s="0" t="s">
        <v>98</v>
      </c>
      <c r="D6727" s="6" t="n">
        <f aca="false">Q!L21</f>
        <v>110.814</v>
      </c>
      <c r="E6727" s="6" t="n">
        <f aca="false">Q!M21</f>
        <v>136.365</v>
      </c>
      <c r="F6727" s="6" t="n">
        <f aca="false">Sens!F6726*(Sens!F6697-Sens!F6661)+Sens!F6661-(Sens!F6663+Sens!F6664+Sens!F6665)-Sens!F6678-Sens!F6761</f>
        <v>155.507989606512</v>
      </c>
      <c r="G6727" s="6" t="n">
        <f aca="false">Sens!G6726*(Sens!G6697-Sens!G6661)+Sens!G6661-(Sens!G6663+Sens!G6664+Sens!G6665)-Sens!G6678-Sens!G6761</f>
        <v>174.908255547141</v>
      </c>
      <c r="H6727" s="6" t="n">
        <f aca="false">Sens!H6726*(Sens!H6697-Sens!H6661)+Sens!H6661-(Sens!H6663+Sens!H6664+Sens!H6665)-Sens!H6678-Sens!H6761</f>
        <v>193.668491411735</v>
      </c>
      <c r="I6727" s="6" t="n">
        <f aca="false">Sens!I6726*(Sens!I6697-Sens!I6661)+Sens!I6661-(Sens!I6663+Sens!I6664+Sens!I6665)-Sens!I6678-Sens!I6761</f>
        <v>211.742130931865</v>
      </c>
      <c r="J6727" s="6" t="n">
        <f aca="false">Sens!J6726*(Sens!J6697-Sens!J6661)+Sens!J6661-(Sens!J6663+Sens!J6664+Sens!J6665)-Sens!J6678-Sens!J6761</f>
        <v>228.665912644866</v>
      </c>
      <c r="K6727" s="6" t="n">
        <f aca="false">Sens!K6726*(Sens!K6697-Sens!K6661)+Sens!K6661-(Sens!K6663+Sens!K6664+Sens!K6665)-Sens!K6678-Sens!K6761</f>
        <v>245.036555293568</v>
      </c>
      <c r="L6727" s="1" t="s">
        <v>910</v>
      </c>
    </row>
    <row r="6728" customFormat="false" ht="17.15" hidden="false" customHeight="false" outlineLevel="0" collapsed="false">
      <c r="A6728" s="0" t="s">
        <v>911</v>
      </c>
      <c r="B6728" s="0" t="s">
        <v>129</v>
      </c>
      <c r="E6728" s="7" t="n">
        <f aca="false">Q!M22/Q!M12</f>
        <v>0.296207935710698</v>
      </c>
      <c r="F6728" s="7" t="n">
        <f aca="false">Sens!$E$6728+dm_seg</f>
        <v>0.296207935710698</v>
      </c>
      <c r="G6728" s="7" t="n">
        <f aca="false">Sens!$E$6728+dm_seg</f>
        <v>0.296207935710698</v>
      </c>
      <c r="H6728" s="7" t="n">
        <f aca="false">Sens!$E$6728+dm_seg</f>
        <v>0.296207935710698</v>
      </c>
      <c r="I6728" s="7" t="n">
        <f aca="false">Sens!$E$6728+dm_seg</f>
        <v>0.296207935710698</v>
      </c>
      <c r="J6728" s="7" t="n">
        <f aca="false">Sens!$E$6728+dm_seg</f>
        <v>0.296207935710698</v>
      </c>
      <c r="K6728" s="7" t="n">
        <f aca="false">Sens!$E$6728+dm_seg</f>
        <v>0.296207935710698</v>
      </c>
      <c r="L6728" s="11" t="s">
        <v>912</v>
      </c>
    </row>
    <row r="6729" customFormat="false" ht="17.15" hidden="false" customHeight="false" outlineLevel="0" collapsed="false">
      <c r="A6729" s="0" t="s">
        <v>745</v>
      </c>
      <c r="B6729" s="0" t="s">
        <v>98</v>
      </c>
      <c r="D6729" s="6" t="n">
        <f aca="false">Q!L22</f>
        <v>17.714</v>
      </c>
      <c r="E6729" s="6" t="n">
        <f aca="false">Q!M22</f>
        <v>18.872</v>
      </c>
      <c r="F6729" s="6" t="n">
        <f aca="false">Sens!F6704*Sens!F6728</f>
        <v>19.2954518910651</v>
      </c>
      <c r="G6729" s="6" t="n">
        <f aca="false">Sens!G6704*Sens!G6728</f>
        <v>19.8830646387704</v>
      </c>
      <c r="H6729" s="6" t="n">
        <f aca="false">Sens!H6704*Sens!H6728</f>
        <v>20.6092017868026</v>
      </c>
      <c r="I6729" s="6" t="n">
        <f aca="false">Sens!I6704*Sens!I6728</f>
        <v>21.452361761678</v>
      </c>
      <c r="J6729" s="6" t="n">
        <f aca="false">Sens!J6704*Sens!J6728</f>
        <v>22.3946261183418</v>
      </c>
      <c r="K6729" s="6" t="n">
        <f aca="false">Sens!K6704*Sens!K6728</f>
        <v>23.4215879274986</v>
      </c>
    </row>
    <row r="6730" customFormat="false" ht="15" hidden="false" customHeight="false" outlineLevel="0" collapsed="false">
      <c r="A6730" s="1" t="s">
        <v>913</v>
      </c>
      <c r="B6730" s="0" t="s">
        <v>98</v>
      </c>
      <c r="D6730" s="6" t="n">
        <f aca="false">Sens!D6727+Sens!D6729</f>
        <v>128.528</v>
      </c>
      <c r="E6730" s="6" t="n">
        <f aca="false">Sens!E6727+Sens!E6729</f>
        <v>155.237</v>
      </c>
      <c r="F6730" s="6" t="n">
        <f aca="false">Sens!F6727+Sens!F6729</f>
        <v>174.803441497577</v>
      </c>
      <c r="G6730" s="6" t="n">
        <f aca="false">Sens!G6727+Sens!G6729</f>
        <v>194.791320185911</v>
      </c>
      <c r="H6730" s="6" t="n">
        <f aca="false">Sens!H6727+Sens!H6729</f>
        <v>214.277693198538</v>
      </c>
      <c r="I6730" s="6" t="n">
        <f aca="false">Sens!I6727+Sens!I6729</f>
        <v>233.194492693543</v>
      </c>
      <c r="J6730" s="6" t="n">
        <f aca="false">Sens!J6727+Sens!J6729</f>
        <v>251.060538763208</v>
      </c>
      <c r="K6730" s="6" t="n">
        <f aca="false">Sens!K6727+Sens!K6729</f>
        <v>268.458143221067</v>
      </c>
    </row>
    <row r="6731" customFormat="false" ht="15" hidden="false" customHeight="false" outlineLevel="0" collapsed="false">
      <c r="A6731" s="23" t="s">
        <v>914</v>
      </c>
      <c r="B6731" s="30" t="s">
        <v>98</v>
      </c>
      <c r="C6731" s="30"/>
      <c r="D6731" s="24" t="n">
        <f aca="false">Sens!D6730-Q!L23</f>
        <v>0</v>
      </c>
      <c r="E6731" s="24" t="n">
        <f aca="false">Sens!E6730-Q!M23</f>
        <v>0</v>
      </c>
      <c r="F6731" s="30"/>
      <c r="G6731" s="30"/>
      <c r="H6731" s="30"/>
      <c r="I6731" s="30"/>
      <c r="J6731" s="30"/>
      <c r="K6731" s="30"/>
    </row>
    <row r="6732" customFormat="false" ht="15" hidden="false" customHeight="false" outlineLevel="0" collapsed="false">
      <c r="A6732" s="1" t="s">
        <v>915</v>
      </c>
      <c r="B6732" s="0" t="s">
        <v>129</v>
      </c>
      <c r="D6732" s="7" t="n">
        <f aca="false">Sens!D6730/Sens!D6723</f>
        <v>0.456219562408598</v>
      </c>
      <c r="E6732" s="7" t="n">
        <f aca="false">Sens!E6730/Sens!E6723</f>
        <v>0.467808184089272</v>
      </c>
      <c r="F6732" s="7" t="n">
        <f aca="false">Sens!F6730/Sens!F6723</f>
        <v>0.441370330497774</v>
      </c>
      <c r="G6732" s="7" t="n">
        <f aca="false">Sens!G6730/Sens!G6723</f>
        <v>0.41431079320816</v>
      </c>
      <c r="H6732" s="7" t="n">
        <f aca="false">Sens!H6730/Sens!H6723</f>
        <v>0.392411823682914</v>
      </c>
      <c r="I6732" s="7" t="n">
        <f aca="false">Sens!I6730/Sens!I6723</f>
        <v>0.378349459927651</v>
      </c>
      <c r="J6732" s="7" t="n">
        <f aca="false">Sens!J6730/Sens!J6723</f>
        <v>0.37221534637373</v>
      </c>
      <c r="K6732" s="7" t="n">
        <f aca="false">Sens!K6730/Sens!K6723</f>
        <v>0.371934287969296</v>
      </c>
    </row>
    <row r="6733" customFormat="false" ht="17.15" hidden="false" customHeight="false" outlineLevel="0" collapsed="false">
      <c r="A6733" s="1" t="s">
        <v>916</v>
      </c>
      <c r="B6733" s="0" t="s">
        <v>98</v>
      </c>
      <c r="F6733" s="6" t="n">
        <f aca="false">Sens!F6748</f>
        <v>11.2173371729063</v>
      </c>
      <c r="G6733" s="6" t="n">
        <f aca="false">Sens!G6748</f>
        <v>26.8122554091298</v>
      </c>
      <c r="H6733" s="6" t="n">
        <f aca="false">Sens!H6748</f>
        <v>43.9411525958749</v>
      </c>
      <c r="I6733" s="6" t="n">
        <f aca="false">Sens!I6748</f>
        <v>59.4922579803199</v>
      </c>
      <c r="J6733" s="6" t="n">
        <f aca="false">Sens!J6748</f>
        <v>70.4913860960633</v>
      </c>
      <c r="K6733" s="6" t="n">
        <f aca="false">Sens!K6748</f>
        <v>77.0146640128628</v>
      </c>
      <c r="L6733" s="1" t="s">
        <v>917</v>
      </c>
    </row>
    <row r="6734" customFormat="false" ht="17.15" hidden="false" customHeight="false" outlineLevel="0" collapsed="false">
      <c r="A6734" s="1" t="s">
        <v>918</v>
      </c>
      <c r="B6734" s="0" t="s">
        <v>98</v>
      </c>
      <c r="D6734" s="6" t="n">
        <f aca="false">Sens!D6730</f>
        <v>128.528</v>
      </c>
      <c r="E6734" s="6" t="n">
        <f aca="false">Sens!E6730</f>
        <v>155.237</v>
      </c>
      <c r="F6734" s="6" t="n">
        <f aca="false">Sens!F6730+Sens!F6733</f>
        <v>186.020778670483</v>
      </c>
      <c r="G6734" s="6" t="n">
        <f aca="false">Sens!G6730+Sens!G6733</f>
        <v>221.603575595041</v>
      </c>
      <c r="H6734" s="6" t="n">
        <f aca="false">Sens!H6730+Sens!H6733</f>
        <v>258.218845794413</v>
      </c>
      <c r="I6734" s="6" t="n">
        <f aca="false">Sens!I6730+Sens!I6733</f>
        <v>292.686750673863</v>
      </c>
      <c r="J6734" s="6" t="n">
        <f aca="false">Sens!J6730+Sens!J6733</f>
        <v>321.551924859271</v>
      </c>
      <c r="K6734" s="6" t="n">
        <f aca="false">Sens!K6730+Sens!K6733</f>
        <v>345.47280723393</v>
      </c>
    </row>
    <row r="6735" customFormat="false" ht="17.15" hidden="false" customHeight="false" outlineLevel="0" collapsed="false">
      <c r="A6735" s="1" t="s">
        <v>919</v>
      </c>
      <c r="B6735" s="0" t="s">
        <v>98</v>
      </c>
      <c r="E6735" s="6" t="n">
        <f aca="false">Sens!E6678</f>
        <v>16.3054059770833</v>
      </c>
      <c r="F6735" s="6" t="n">
        <f aca="false">Sens!F6678</f>
        <v>34.0498873809555</v>
      </c>
      <c r="G6735" s="6" t="n">
        <f aca="false">Sens!G6678</f>
        <v>59.1254371105111</v>
      </c>
      <c r="H6735" s="6" t="n">
        <f aca="false">Sens!H6678</f>
        <v>86.3610198433111</v>
      </c>
      <c r="I6735" s="6" t="n">
        <f aca="false">Sens!I6678</f>
        <v>110.605743832393</v>
      </c>
      <c r="J6735" s="6" t="n">
        <f aca="false">Sens!J6678</f>
        <v>127.998322852843</v>
      </c>
      <c r="K6735" s="6" t="n">
        <f aca="false">Sens!K6678</f>
        <v>139.131464044308</v>
      </c>
    </row>
    <row r="6736" customFormat="false" ht="17.15" hidden="false" customHeight="false" outlineLevel="0" collapsed="false">
      <c r="A6736" s="1" t="s">
        <v>920</v>
      </c>
      <c r="B6736" s="0" t="s">
        <v>98</v>
      </c>
      <c r="E6736" s="6" t="n">
        <f aca="false">Sens!E6760</f>
        <v>22.2285940229167</v>
      </c>
      <c r="F6736" s="6" t="n">
        <f aca="false">Sens!F6760</f>
        <v>24.3924470334783</v>
      </c>
      <c r="G6736" s="6" t="n">
        <f aca="false">Sens!G6760</f>
        <v>26.0180916871694</v>
      </c>
      <c r="H6736" s="6" t="n">
        <f aca="false">Sens!H6760</f>
        <v>28.0302338828615</v>
      </c>
      <c r="I6736" s="6" t="n">
        <f aca="false">Sens!I6760</f>
        <v>30.3672505257397</v>
      </c>
      <c r="J6736" s="6" t="n">
        <f aca="false">Sens!J6760</f>
        <v>32.9504167982031</v>
      </c>
      <c r="K6736" s="6" t="n">
        <f aca="false">Sens!K6760</f>
        <v>35.6956453925822</v>
      </c>
    </row>
    <row r="6737" customFormat="false" ht="17.15" hidden="false" customHeight="false" outlineLevel="0" collapsed="false">
      <c r="A6737" s="1" t="s">
        <v>921</v>
      </c>
      <c r="B6737" s="0" t="s">
        <v>98</v>
      </c>
      <c r="D6737" s="6" t="n">
        <f aca="false">Q!L27</f>
        <v>-4.901</v>
      </c>
      <c r="E6737" s="6" t="n">
        <f aca="false">Q!M27</f>
        <v>10.697</v>
      </c>
      <c r="F6737" s="6" t="n">
        <f aca="false">oie_f</f>
        <v>-0.4</v>
      </c>
      <c r="G6737" s="6" t="n">
        <f aca="false">oie_f</f>
        <v>-0.4</v>
      </c>
      <c r="H6737" s="6" t="n">
        <f aca="false">oie_f</f>
        <v>-0.4</v>
      </c>
      <c r="I6737" s="6" t="n">
        <f aca="false">oie_f</f>
        <v>-0.4</v>
      </c>
      <c r="J6737" s="6" t="n">
        <f aca="false">oie_f</f>
        <v>-0.4</v>
      </c>
      <c r="K6737" s="6" t="n">
        <f aca="false">oie_f</f>
        <v>-0.4</v>
      </c>
      <c r="L6737" s="11" t="s">
        <v>922</v>
      </c>
    </row>
    <row r="6738" customFormat="false" ht="15" hidden="false" customHeight="false" outlineLevel="0" collapsed="false">
      <c r="A6738" s="1" t="s">
        <v>923</v>
      </c>
      <c r="B6738" s="0" t="s">
        <v>98</v>
      </c>
      <c r="D6738" s="6" t="n">
        <f aca="false">Sens!D6730+Sens!D6737</f>
        <v>123.627</v>
      </c>
      <c r="E6738" s="6" t="n">
        <f aca="false">Sens!E6730+Sens!E6737</f>
        <v>165.934</v>
      </c>
      <c r="F6738" s="6" t="n">
        <f aca="false">Sens!F6730+Sens!F6737</f>
        <v>174.403441497577</v>
      </c>
      <c r="G6738" s="6" t="n">
        <f aca="false">Sens!G6730+Sens!G6737</f>
        <v>194.391320185911</v>
      </c>
      <c r="H6738" s="6" t="n">
        <f aca="false">Sens!H6730+Sens!H6737</f>
        <v>213.877693198538</v>
      </c>
      <c r="I6738" s="6" t="n">
        <f aca="false">Sens!I6730+Sens!I6737</f>
        <v>232.794492693543</v>
      </c>
      <c r="J6738" s="6" t="n">
        <f aca="false">Sens!J6730+Sens!J6737</f>
        <v>250.660538763208</v>
      </c>
      <c r="K6738" s="6" t="n">
        <f aca="false">Sens!K6730+Sens!K6737</f>
        <v>268.058143221067</v>
      </c>
    </row>
    <row r="6739" customFormat="false" ht="15" hidden="false" customHeight="false" outlineLevel="0" collapsed="false">
      <c r="A6739" s="1" t="s">
        <v>924</v>
      </c>
      <c r="B6739" s="0" t="s">
        <v>98</v>
      </c>
      <c r="D6739" s="6" t="n">
        <f aca="false">Q!L29</f>
        <v>21.795</v>
      </c>
      <c r="E6739" s="6" t="n">
        <f aca="false">Q!M29</f>
        <v>32.185</v>
      </c>
      <c r="F6739" s="6" t="n">
        <f aca="false">Sens!F6738*tax_f</f>
        <v>34.8806882995154</v>
      </c>
      <c r="G6739" s="6" t="n">
        <f aca="false">Sens!G6738*tax_f</f>
        <v>38.8782640371822</v>
      </c>
      <c r="H6739" s="6" t="n">
        <f aca="false">Sens!H6738*tax_f</f>
        <v>42.7755386397076</v>
      </c>
      <c r="I6739" s="6" t="n">
        <f aca="false">Sens!I6738*tax_f</f>
        <v>46.5588985387085</v>
      </c>
      <c r="J6739" s="6" t="n">
        <f aca="false">Sens!J6738*tax_f</f>
        <v>50.1321077526416</v>
      </c>
      <c r="K6739" s="6" t="n">
        <f aca="false">Sens!K6738*tax_f</f>
        <v>53.6116286442134</v>
      </c>
    </row>
    <row r="6740" customFormat="false" ht="15" hidden="false" customHeight="false" outlineLevel="0" collapsed="false">
      <c r="A6740" s="1" t="s">
        <v>925</v>
      </c>
      <c r="B6740" s="0" t="s">
        <v>98</v>
      </c>
      <c r="D6740" s="6" t="n">
        <f aca="false">Sens!D6738-Sens!D6739</f>
        <v>101.832</v>
      </c>
      <c r="E6740" s="6" t="n">
        <f aca="false">Sens!E6738-Sens!E6739</f>
        <v>133.749</v>
      </c>
      <c r="F6740" s="6" t="n">
        <f aca="false">Sens!F6738-Sens!F6739</f>
        <v>139.522753198062</v>
      </c>
      <c r="G6740" s="6" t="n">
        <f aca="false">Sens!G6738-Sens!G6739</f>
        <v>155.513056148729</v>
      </c>
      <c r="H6740" s="6" t="n">
        <f aca="false">Sens!H6738-Sens!H6739</f>
        <v>171.10215455883</v>
      </c>
      <c r="I6740" s="6" t="n">
        <f aca="false">Sens!I6738-Sens!I6739</f>
        <v>186.235594154834</v>
      </c>
      <c r="J6740" s="6" t="n">
        <f aca="false">Sens!J6738-Sens!J6739</f>
        <v>200.528431010566</v>
      </c>
      <c r="K6740" s="6" t="n">
        <f aca="false">Sens!K6738-Sens!K6739</f>
        <v>214.446514576853</v>
      </c>
    </row>
    <row r="6741" customFormat="false" ht="17.15" hidden="false" customHeight="false" outlineLevel="0" collapsed="false">
      <c r="A6741" s="1" t="s">
        <v>926</v>
      </c>
      <c r="B6741" s="1" t="s">
        <v>81</v>
      </c>
      <c r="D6741" s="14" t="n">
        <f aca="false">Q!L31</f>
        <v>7.465</v>
      </c>
      <c r="E6741" s="14" t="n">
        <f aca="false">Q!M31</f>
        <v>7.453</v>
      </c>
      <c r="F6741" s="14" t="n">
        <f aca="false">Sens!F6784</f>
        <v>7.4735</v>
      </c>
      <c r="G6741" s="14" t="n">
        <f aca="false">Sens!G6784</f>
        <v>7.5185</v>
      </c>
      <c r="H6741" s="14" t="n">
        <f aca="false">Sens!H6784</f>
        <v>7.54625158584995</v>
      </c>
      <c r="I6741" s="14" t="n">
        <f aca="false">Sens!I6784</f>
        <v>7.55803241785726</v>
      </c>
      <c r="J6741" s="14" t="n">
        <f aca="false">Sens!J6784</f>
        <v>7.57227392897515</v>
      </c>
      <c r="K6741" s="14" t="n">
        <f aca="false">Sens!K6784</f>
        <v>7.58879384667689</v>
      </c>
    </row>
    <row r="6742" customFormat="false" ht="17.15" hidden="false" customHeight="false" outlineLevel="0" collapsed="false">
      <c r="A6742" s="0" t="s">
        <v>927</v>
      </c>
      <c r="B6742" s="0" t="s">
        <v>75</v>
      </c>
      <c r="D6742" s="8" t="n">
        <f aca="false">Sens!D6740/Sens!D6741</f>
        <v>13.641259209645</v>
      </c>
      <c r="E6742" s="8" t="n">
        <f aca="false">Sens!E6740/Sens!E6741</f>
        <v>17.9456594659869</v>
      </c>
      <c r="F6742" s="8" t="n">
        <f aca="false">Sens!F6740/Sens!F6741</f>
        <v>18.6689975510887</v>
      </c>
      <c r="G6742" s="8" t="n">
        <f aca="false">Sens!G6740/Sens!G6741</f>
        <v>20.6840534878937</v>
      </c>
      <c r="H6742" s="8" t="n">
        <f aca="false">Sens!H6740/Sens!H6741</f>
        <v>22.6737940833653</v>
      </c>
      <c r="I6742" s="8" t="n">
        <f aca="false">Sens!I6740/Sens!I6741</f>
        <v>24.6407509069183</v>
      </c>
      <c r="J6742" s="8" t="n">
        <f aca="false">Sens!J6740/Sens!J6741</f>
        <v>26.4819303806811</v>
      </c>
      <c r="K6742" s="8" t="n">
        <f aca="false">Sens!K6740/Sens!K6741</f>
        <v>28.2583133643509</v>
      </c>
      <c r="L6742" s="1" t="s">
        <v>928</v>
      </c>
    </row>
    <row r="6743" customFormat="false" ht="17.15" hidden="false" customHeight="false" outlineLevel="0" collapsed="false">
      <c r="A6743" s="1" t="s">
        <v>929</v>
      </c>
      <c r="B6743" s="0" t="s">
        <v>98</v>
      </c>
      <c r="D6743" s="6" t="n">
        <f aca="false">Sens!D6740</f>
        <v>101.832</v>
      </c>
      <c r="E6743" s="6" t="n">
        <f aca="false">Sens!E6740</f>
        <v>133.749</v>
      </c>
      <c r="F6743" s="6" t="n">
        <f aca="false">Sens!F6740+Sens!F6733*(1-tax_f)</f>
        <v>148.496622936387</v>
      </c>
      <c r="G6743" s="6" t="n">
        <f aca="false">Sens!G6740+Sens!G6733*(1-tax_f)</f>
        <v>176.962860476033</v>
      </c>
      <c r="H6743" s="6" t="n">
        <f aca="false">Sens!H6740+Sens!H6733*(1-tax_f)</f>
        <v>206.25507663553</v>
      </c>
      <c r="I6743" s="6" t="n">
        <f aca="false">Sens!I6740+Sens!I6733*(1-tax_f)</f>
        <v>233.82940053909</v>
      </c>
      <c r="J6743" s="6" t="n">
        <f aca="false">Sens!J6740+Sens!J6733*(1-tax_f)</f>
        <v>256.921539887417</v>
      </c>
      <c r="K6743" s="6" t="n">
        <f aca="false">Sens!K6740+Sens!K6733*(1-tax_f)</f>
        <v>276.058245787144</v>
      </c>
    </row>
    <row r="6744" customFormat="false" ht="17.15" hidden="false" customHeight="false" outlineLevel="0" collapsed="false">
      <c r="A6744" s="0" t="s">
        <v>930</v>
      </c>
      <c r="B6744" s="0" t="s">
        <v>75</v>
      </c>
      <c r="D6744" s="8" t="n">
        <f aca="false">Sens!D6743/Sens!D6741</f>
        <v>13.641259209645</v>
      </c>
      <c r="E6744" s="8" t="n">
        <f aca="false">Sens!E6743/Sens!E6741</f>
        <v>17.9456594659869</v>
      </c>
      <c r="F6744" s="8" t="n">
        <f aca="false">Sens!F6743/Sens!F6741</f>
        <v>19.8697561967467</v>
      </c>
      <c r="G6744" s="8" t="n">
        <f aca="false">Sens!G6743/Sens!G6741</f>
        <v>23.5369901544234</v>
      </c>
      <c r="H6744" s="8" t="n">
        <f aca="false">Sens!H6743/Sens!H6741</f>
        <v>27.3321230135345</v>
      </c>
      <c r="I6744" s="8" t="n">
        <f aca="false">Sens!I6743/Sens!I6741</f>
        <v>30.9378668430456</v>
      </c>
      <c r="J6744" s="8" t="n">
        <f aca="false">Sens!J6743/Sens!J6741</f>
        <v>33.9292453359766</v>
      </c>
      <c r="K6744" s="8" t="n">
        <f aca="false">Sens!K6743/Sens!K6741</f>
        <v>36.3770911905887</v>
      </c>
      <c r="L6744" s="1" t="s">
        <v>931</v>
      </c>
    </row>
    <row r="6745" customFormat="false" ht="17.15" hidden="false" customHeight="false" outlineLevel="0" collapsed="false">
      <c r="A6745" s="0" t="s">
        <v>932</v>
      </c>
      <c r="B6745" s="0" t="s">
        <v>129</v>
      </c>
      <c r="E6745" s="7" t="n">
        <f aca="false">Sens!E6744/Sens!D6744-1</f>
        <v>0.315542736208578</v>
      </c>
      <c r="F6745" s="7" t="n">
        <f aca="false">Sens!F6744/Sens!E6744-1</f>
        <v>0.107217945063913</v>
      </c>
      <c r="G6745" s="7" t="n">
        <f aca="false">Sens!G6744/Sens!F6744-1</f>
        <v>0.18456361121719</v>
      </c>
      <c r="H6745" s="7" t="n">
        <f aca="false">Sens!H6744/Sens!G6744-1</f>
        <v>0.161241213690094</v>
      </c>
      <c r="I6745" s="7" t="n">
        <f aca="false">Sens!I6744/Sens!H6744-1</f>
        <v>0.131923298739934</v>
      </c>
      <c r="J6745" s="7" t="n">
        <f aca="false">Sens!J6744/Sens!I6744-1</f>
        <v>0.096689875488406</v>
      </c>
      <c r="K6745" s="7" t="n">
        <f aca="false">Sens!K6744/Sens!J6744-1</f>
        <v>0.0721456027203942</v>
      </c>
    </row>
    <row r="6746" customFormat="false" ht="17.15" hidden="false" customHeight="false" outlineLevel="0" collapsed="false">
      <c r="A6746" s="0" t="s">
        <v>856</v>
      </c>
      <c r="B6746" s="0" t="s">
        <v>98</v>
      </c>
      <c r="E6746" s="6" t="n">
        <f aca="false">Sens!E6687</f>
        <v>5.25</v>
      </c>
      <c r="F6746" s="6" t="n">
        <f aca="false">Sens!F6687</f>
        <v>8.64</v>
      </c>
      <c r="G6746" s="6" t="n">
        <f aca="false">Sens!G6687</f>
        <v>12.96</v>
      </c>
      <c r="H6746" s="6" t="n">
        <f aca="false">Sens!H6687</f>
        <v>17.28</v>
      </c>
      <c r="I6746" s="6" t="n">
        <f aca="false">Sens!I6687</f>
        <v>20.52</v>
      </c>
      <c r="J6746" s="6" t="n">
        <f aca="false">Sens!J6687</f>
        <v>22.68</v>
      </c>
      <c r="K6746" s="6" t="n">
        <f aca="false">Sens!K6687</f>
        <v>24.84</v>
      </c>
    </row>
    <row r="6747" customFormat="false" ht="17.15" hidden="false" customHeight="false" outlineLevel="0" collapsed="false">
      <c r="A6747" s="1" t="s">
        <v>857</v>
      </c>
      <c r="B6747" s="0" t="s">
        <v>98</v>
      </c>
      <c r="F6747" s="6" t="n">
        <f aca="false">MAX(0,((Sens!E6650+Sens!F6650)/2-(shadow_base*(Sens!$D$6650+Sens!$E$6650)/2+(1-shadow_base)*Sens!$E$6650))*Sens!F6658/1000-(Sens!F6746-Sens!$E$6746)*Sens!F6726)</f>
        <v>11.2173371729063</v>
      </c>
      <c r="G6747" s="6" t="n">
        <f aca="false">MAX(0,((Sens!F6650+Sens!G6650)/2-(shadow_base*(Sens!$D$6650+Sens!$E$6650)/2+(1-shadow_base)*Sens!$E$6650))*Sens!G6658/1000-(Sens!G6746-Sens!$E$6746)*Sens!G6726)</f>
        <v>26.8122554091298</v>
      </c>
      <c r="H6747" s="6" t="n">
        <f aca="false">MAX(0,((Sens!G6650+Sens!H6650)/2-(shadow_base*(Sens!$D$6650+Sens!$E$6650)/2+(1-shadow_base)*Sens!$E$6650))*Sens!H6658/1000-(Sens!H6746-Sens!$E$6746)*Sens!H6726)</f>
        <v>43.9411525958749</v>
      </c>
      <c r="I6747" s="6" t="n">
        <f aca="false">MAX(0,((Sens!H6650+Sens!I6650)/2-(shadow_base*(Sens!$D$6650+Sens!$E$6650)/2+(1-shadow_base)*Sens!$E$6650))*Sens!I6658/1000-(Sens!I6746-Sens!$E$6746)*Sens!I6726)</f>
        <v>59.4922579803199</v>
      </c>
      <c r="J6747" s="6" t="n">
        <f aca="false">MAX(0,((Sens!I6650+Sens!J6650)/2-(shadow_base*(Sens!$D$6650+Sens!$E$6650)/2+(1-shadow_base)*Sens!$E$6650))*Sens!J6658/1000-(Sens!J6746-Sens!$E$6746)*Sens!J6726)</f>
        <v>70.4913860960633</v>
      </c>
      <c r="K6747" s="6" t="n">
        <f aca="false">MAX(0,((Sens!J6650+Sens!K6650)/2-(shadow_base*(Sens!$D$6650+Sens!$E$6650)/2+(1-shadow_base)*Sens!$E$6650))*Sens!K6658/1000-(Sens!K6746-Sens!$E$6746)*Sens!K6726)</f>
        <v>77.0146640128628</v>
      </c>
      <c r="L6747" s="1" t="s">
        <v>858</v>
      </c>
    </row>
    <row r="6748" customFormat="false" ht="17.15" hidden="false" customHeight="false" outlineLevel="0" collapsed="false">
      <c r="A6748" s="1" t="s">
        <v>859</v>
      </c>
      <c r="B6748" s="0" t="s">
        <v>98</v>
      </c>
      <c r="F6748" s="6" t="n">
        <f aca="false">IF(internal_ai_reading=2,1,0)*Sens!F6747</f>
        <v>11.2173371729063</v>
      </c>
      <c r="G6748" s="6" t="n">
        <f aca="false">IF(internal_ai_reading=2,1,0)*Sens!G6747</f>
        <v>26.8122554091298</v>
      </c>
      <c r="H6748" s="6" t="n">
        <f aca="false">IF(internal_ai_reading=2,1,0)*Sens!H6747</f>
        <v>43.9411525958749</v>
      </c>
      <c r="I6748" s="6" t="n">
        <f aca="false">IF(internal_ai_reading=2,1,0)*Sens!I6747</f>
        <v>59.4922579803199</v>
      </c>
      <c r="J6748" s="6" t="n">
        <f aca="false">IF(internal_ai_reading=2,1,0)*Sens!J6747</f>
        <v>70.4913860960633</v>
      </c>
      <c r="K6748" s="6" t="n">
        <f aca="false">IF(internal_ai_reading=2,1,0)*Sens!K6747</f>
        <v>77.0146640128628</v>
      </c>
    </row>
    <row r="6749" customFormat="false" ht="17.15" hidden="false" customHeight="false" outlineLevel="0" collapsed="false">
      <c r="A6749" s="0" t="s">
        <v>860</v>
      </c>
      <c r="B6749" s="0" t="s">
        <v>98</v>
      </c>
      <c r="F6749" s="6" t="n">
        <f aca="false">Sens!F6667+Sens!F6746*Sens!F6726+Sens!F6748-Sens!F6668-Sens!F6678</f>
        <v>15.0270315022233</v>
      </c>
      <c r="G6749" s="6" t="n">
        <f aca="false">Sens!G6667+Sens!G6746*Sens!G6726+Sens!G6748-Sens!G6668-Sens!G6678</f>
        <v>30.8545489496424</v>
      </c>
      <c r="H6749" s="6" t="n">
        <f aca="false">Sens!H6667+Sens!H6746*Sens!H6726+Sens!H6748-Sens!H6668-Sens!H6678</f>
        <v>47.4024902575898</v>
      </c>
      <c r="I6749" s="6" t="n">
        <f aca="false">Sens!I6667+Sens!I6746*Sens!I6726+Sens!I6748-Sens!I6668-Sens!I6678</f>
        <v>62.1817971739404</v>
      </c>
      <c r="J6749" s="6" t="n">
        <f aca="false">Sens!J6667+Sens!J6746*Sens!J6726+Sens!J6748-Sens!J6668-Sens!J6678</f>
        <v>72.5050518947332</v>
      </c>
      <c r="K6749" s="6" t="n">
        <f aca="false">Sens!K6667+Sens!K6746*Sens!K6726+Sens!K6748-Sens!K6668-Sens!K6678</f>
        <v>79.8210980571165</v>
      </c>
    </row>
    <row r="6750" customFormat="false" ht="17.15" hidden="false" customHeight="false" outlineLevel="0" collapsed="false">
      <c r="A6750" s="0" t="s">
        <v>861</v>
      </c>
      <c r="B6750" s="0" t="s">
        <v>98</v>
      </c>
      <c r="E6750" s="6" t="n">
        <f aca="false">Sens!E6649*(cxit_open+self_build*tk_cxfac)/1000*ai_net_open</f>
        <v>126.6980382</v>
      </c>
      <c r="F6750" s="6" t="n">
        <f aca="false">Sens!E6750+Sens!F6675-Sens!F6678</f>
        <v>252.981026690511</v>
      </c>
      <c r="G6750" s="6" t="n">
        <f aca="false">Sens!F6750+Sens!G6675-Sens!G6678</f>
        <v>377.4297700632</v>
      </c>
      <c r="H6750" s="6" t="n">
        <f aca="false">Sens!G6750+Sens!H6675-Sens!H6678</f>
        <v>479.149036130289</v>
      </c>
      <c r="I6750" s="6" t="n">
        <f aca="false">Sens!H6750+Sens!I6675-Sens!I6678</f>
        <v>532.249961452141</v>
      </c>
      <c r="J6750" s="6" t="n">
        <f aca="false">Sens!I6750+Sens!J6675-Sens!J6678</f>
        <v>531.43307519354</v>
      </c>
      <c r="K6750" s="6" t="n">
        <f aca="false">Sens!J6750+Sens!K6675-Sens!K6678</f>
        <v>513.709026452823</v>
      </c>
      <c r="L6750" s="1" t="s">
        <v>862</v>
      </c>
    </row>
    <row r="6751" customFormat="false" ht="17.15" hidden="false" customHeight="false" outlineLevel="0" collapsed="false">
      <c r="A6751" s="0" t="s">
        <v>863</v>
      </c>
      <c r="B6751" s="0" t="s">
        <v>129</v>
      </c>
      <c r="F6751" s="7" t="n">
        <f aca="false">Sens!F6749*(1-tax_f)/((Sens!E6750+Sens!F6750)/2)</f>
        <v>0.0633251938989334</v>
      </c>
      <c r="G6751" s="7" t="n">
        <f aca="false">Sens!G6749*(1-tax_f)/((Sens!F6750+Sens!G6750)/2)</f>
        <v>0.0783096967463813</v>
      </c>
      <c r="H6751" s="7" t="n">
        <f aca="false">Sens!H6749*(1-tax_f)/((Sens!G6750+Sens!H6750)/2)</f>
        <v>0.0885429149819656</v>
      </c>
      <c r="I6751" s="7" t="n">
        <f aca="false">Sens!I6749*(1-tax_f)/((Sens!H6750+Sens!I6750)/2)</f>
        <v>0.0983695610892634</v>
      </c>
      <c r="J6751" s="7" t="n">
        <f aca="false">Sens!J6749*(1-tax_f)/((Sens!I6750+Sens!J6750)/2)</f>
        <v>0.109062642756252</v>
      </c>
      <c r="K6751" s="7" t="n">
        <f aca="false">Sens!K6749*(1-tax_f)/((Sens!J6750+Sens!K6750)/2)</f>
        <v>0.122197504712713</v>
      </c>
    </row>
    <row r="6752" customFormat="false" ht="17.15" hidden="false" customHeight="false" outlineLevel="0" collapsed="false">
      <c r="A6752" s="1" t="s">
        <v>864</v>
      </c>
      <c r="B6752" s="0" t="s">
        <v>129</v>
      </c>
      <c r="F6752" s="7" t="n">
        <f aca="false">(Sens!F6749-Sens!F6748)*(1-tax_f)/((Sens!E6750+Sens!F6750)/2)</f>
        <v>0.0160543772110927</v>
      </c>
      <c r="G6752" s="7" t="n">
        <f aca="false">(Sens!G6749-Sens!G6748)*(1-tax_f)/((Sens!F6750+Sens!G6750)/2)</f>
        <v>0.0102594525635114</v>
      </c>
      <c r="H6752" s="7" t="n">
        <f aca="false">(Sens!H6749-Sens!H6748)*(1-tax_f)/((Sens!G6750+Sens!H6750)/2)</f>
        <v>0.00646541826472969</v>
      </c>
      <c r="I6752" s="7" t="n">
        <f aca="false">(Sens!I6749-Sens!I6748)*(1-tax_f)/((Sens!H6750+Sens!I6750)/2)</f>
        <v>0.00425476268028629</v>
      </c>
      <c r="J6752" s="7" t="n">
        <f aca="false">(Sens!J6749-Sens!J6748)*(1-tax_f)/((Sens!I6750+Sens!J6750)/2)</f>
        <v>0.00302897119430603</v>
      </c>
      <c r="K6752" s="7" t="n">
        <f aca="false">(Sens!K6749-Sens!K6748)*(1-tax_f)/((Sens!J6750+Sens!K6750)/2)</f>
        <v>0.00429634828004016</v>
      </c>
    </row>
    <row r="6753" customFormat="false" ht="17.15" hidden="false" customHeight="false" outlineLevel="0" collapsed="false">
      <c r="A6753" s="1" t="s">
        <v>865</v>
      </c>
      <c r="B6753" s="0" t="s">
        <v>129</v>
      </c>
      <c r="F6753" s="7" t="n">
        <f aca="false">(Sens!F6749-Sens!F6748+Sens!F6747)*(1-tax_f)/((Sens!E6750+Sens!F6750)/2)</f>
        <v>0.0633251938989334</v>
      </c>
      <c r="G6753" s="7" t="n">
        <f aca="false">(Sens!G6749-Sens!G6748+Sens!G6747)*(1-tax_f)/((Sens!F6750+Sens!G6750)/2)</f>
        <v>0.0783096967463813</v>
      </c>
      <c r="H6753" s="7" t="n">
        <f aca="false">(Sens!H6749-Sens!H6748+Sens!H6747)*(1-tax_f)/((Sens!G6750+Sens!H6750)/2)</f>
        <v>0.0885429149819656</v>
      </c>
      <c r="I6753" s="7" t="n">
        <f aca="false">(Sens!I6749-Sens!I6748+Sens!I6747)*(1-tax_f)/((Sens!H6750+Sens!I6750)/2)</f>
        <v>0.0983695610892634</v>
      </c>
      <c r="J6753" s="7" t="n">
        <f aca="false">(Sens!J6749-Sens!J6748+Sens!J6747)*(1-tax_f)/((Sens!I6750+Sens!J6750)/2)</f>
        <v>0.109062642756252</v>
      </c>
      <c r="K6753" s="7" t="n">
        <f aca="false">(Sens!K6749-Sens!K6748+Sens!K6747)*(1-tax_f)/((Sens!J6750+Sens!K6750)/2)</f>
        <v>0.122197504712713</v>
      </c>
    </row>
    <row r="6754" customFormat="false" ht="17.15" hidden="false" customHeight="false" outlineLevel="0" collapsed="false">
      <c r="A6754" s="1" t="s">
        <v>866</v>
      </c>
      <c r="B6754" s="0" t="s">
        <v>129</v>
      </c>
      <c r="F6754" s="7" t="n">
        <f aca="false">Sens!F6679*(1-tax_f)/(Sens!F6666*(Sens!E6750+Sens!F6750)/2)</f>
        <v>0.133653288300971</v>
      </c>
      <c r="G6754" s="7" t="n">
        <f aca="false">Sens!G6679*(1-tax_f)/(Sens!G6666*(Sens!F6750+Sens!G6750)/2)</f>
        <v>0.131459221834535</v>
      </c>
      <c r="H6754" s="7" t="n">
        <f aca="false">Sens!H6679*(1-tax_f)/(Sens!H6666*(Sens!G6750+Sens!H6750)/2)</f>
        <v>0.135120575835084</v>
      </c>
      <c r="I6754" s="7" t="n">
        <f aca="false">Sens!I6679*(1-tax_f)/(Sens!I6666*(Sens!H6750+Sens!I6750)/2)</f>
        <v>0.143323969665222</v>
      </c>
      <c r="J6754" s="7" t="n">
        <f aca="false">Sens!J6679*(1-tax_f)/(Sens!J6666*(Sens!I6750+Sens!J6750)/2)</f>
        <v>0.155570128388075</v>
      </c>
      <c r="K6754" s="7" t="n">
        <f aca="false">Sens!K6679*(1-tax_f)/(Sens!K6666*(Sens!J6750+Sens!K6750)/2)</f>
        <v>0.172427697111622</v>
      </c>
    </row>
    <row r="6755" customFormat="false" ht="17.15" hidden="false" customHeight="false" outlineLevel="0" collapsed="false">
      <c r="A6755" s="0" t="s">
        <v>867</v>
      </c>
      <c r="B6755" s="0" t="s">
        <v>209</v>
      </c>
      <c r="F6755" s="7" t="n">
        <f aca="false">Sens!F6751-wacc</f>
        <v>-0.0396092261939423</v>
      </c>
      <c r="G6755" s="7" t="n">
        <f aca="false">Sens!G6751-wacc</f>
        <v>-0.0246247233464944</v>
      </c>
      <c r="H6755" s="7" t="n">
        <f aca="false">Sens!H6751-wacc</f>
        <v>-0.0143915051109101</v>
      </c>
      <c r="I6755" s="7" t="n">
        <f aca="false">Sens!I6751-wacc</f>
        <v>-0.00456485900361238</v>
      </c>
      <c r="J6755" s="7" t="n">
        <f aca="false">Sens!J6751-wacc</f>
        <v>0.00612822266337605</v>
      </c>
      <c r="K6755" s="7" t="n">
        <f aca="false">Sens!K6751-wacc</f>
        <v>0.0192630846198375</v>
      </c>
    </row>
    <row r="6756" customFormat="false" ht="17.15" hidden="false" customHeight="false" outlineLevel="0" collapsed="false">
      <c r="A6756" s="0" t="s">
        <v>868</v>
      </c>
      <c r="B6756" s="0" t="s">
        <v>98</v>
      </c>
      <c r="F6756" s="6" t="n">
        <f aca="false">Sens!F6749*(1-tax_f)-wacc*(Sens!E6750+Sens!F6750)/2</f>
        <v>-7.51939698117638</v>
      </c>
      <c r="G6756" s="6" t="n">
        <f aca="false">Sens!G6749*(1-tax_f)-wacc*(Sens!F6750+Sens!G6750)/2</f>
        <v>-7.76184573235162</v>
      </c>
      <c r="H6756" s="6" t="n">
        <f aca="false">Sens!H6749*(1-tax_f)-wacc*(Sens!G6750+Sens!H6750)/2</f>
        <v>-6.16372913361546</v>
      </c>
      <c r="I6756" s="6" t="n">
        <f aca="false">Sens!I6749*(1-tax_f)-wacc*(Sens!H6750+Sens!I6750)/2</f>
        <v>-2.30844691017934</v>
      </c>
      <c r="J6756" s="6" t="n">
        <f aca="false">Sens!J6749*(1-tax_f)-wacc*(Sens!I6750+Sens!J6750)/2</f>
        <v>3.25924324591036</v>
      </c>
      <c r="K6756" s="6" t="n">
        <f aca="false">Sens!K6749*(1-tax_f)-wacc*(Sens!J6750+Sens!K6750)/2</f>
        <v>10.0663303718843</v>
      </c>
    </row>
    <row r="6757" customFormat="false" ht="17.15" hidden="false" customHeight="false" outlineLevel="0" collapsed="false">
      <c r="A6757" s="3" t="s">
        <v>1435</v>
      </c>
    </row>
    <row r="6758" customFormat="false" ht="15" hidden="false" customHeight="false" outlineLevel="0" collapsed="false">
      <c r="A6758" s="4" t="s">
        <v>43</v>
      </c>
      <c r="B6758" s="4" t="s">
        <v>65</v>
      </c>
      <c r="C6758" s="20" t="s">
        <v>799</v>
      </c>
      <c r="D6758" s="20" t="s">
        <v>800</v>
      </c>
      <c r="E6758" s="20" t="s">
        <v>801</v>
      </c>
      <c r="F6758" s="20" t="s">
        <v>802</v>
      </c>
      <c r="G6758" s="20" t="s">
        <v>803</v>
      </c>
      <c r="H6758" s="20" t="s">
        <v>804</v>
      </c>
      <c r="I6758" s="20" t="s">
        <v>805</v>
      </c>
      <c r="J6758" s="20" t="s">
        <v>806</v>
      </c>
      <c r="K6758" s="20" t="s">
        <v>807</v>
      </c>
      <c r="L6758" s="4" t="s">
        <v>47</v>
      </c>
    </row>
    <row r="6759" customFormat="false" ht="15" hidden="false" customHeight="false" outlineLevel="0" collapsed="false">
      <c r="A6759" s="1" t="s">
        <v>925</v>
      </c>
      <c r="B6759" s="0" t="s">
        <v>98</v>
      </c>
      <c r="F6759" s="6" t="n">
        <f aca="false">Sens!F6740</f>
        <v>139.522753198062</v>
      </c>
      <c r="G6759" s="6" t="n">
        <f aca="false">Sens!G6740</f>
        <v>155.513056148729</v>
      </c>
      <c r="H6759" s="6" t="n">
        <f aca="false">Sens!H6740</f>
        <v>171.10215455883</v>
      </c>
      <c r="I6759" s="6" t="n">
        <f aca="false">Sens!I6740</f>
        <v>186.235594154834</v>
      </c>
      <c r="J6759" s="6" t="n">
        <f aca="false">Sens!J6740</f>
        <v>200.528431010566</v>
      </c>
      <c r="K6759" s="6" t="n">
        <f aca="false">Sens!K6740</f>
        <v>214.446514576853</v>
      </c>
    </row>
    <row r="6760" customFormat="false" ht="17.15" hidden="false" customHeight="false" outlineLevel="0" collapsed="false">
      <c r="A6760" s="1" t="s">
        <v>947</v>
      </c>
      <c r="B6760" s="0" t="s">
        <v>98</v>
      </c>
      <c r="E6760" s="6" t="n">
        <f aca="false">Q!M38-Sens!E6678</f>
        <v>22.2285940229167</v>
      </c>
      <c r="F6760" s="6" t="n">
        <f aca="false">Sens!E6760*(1-1/life_nonai)+(Sens!F6767+Sens!F6768)/life_nonai</f>
        <v>24.3924470334783</v>
      </c>
      <c r="G6760" s="6" t="n">
        <f aca="false">Sens!F6760*(1-1/life_nonai)+(Sens!G6767)/life_nonai</f>
        <v>26.0180916871694</v>
      </c>
      <c r="H6760" s="6" t="n">
        <f aca="false">Sens!G6760*(1-1/life_nonai)+(Sens!H6767)/life_nonai</f>
        <v>28.0302338828615</v>
      </c>
      <c r="I6760" s="6" t="n">
        <f aca="false">Sens!H6760*(1-1/life_nonai)+(Sens!I6767)/life_nonai</f>
        <v>30.3672505257397</v>
      </c>
      <c r="J6760" s="6" t="n">
        <f aca="false">Sens!I6760*(1-1/life_nonai)+(Sens!J6767)/life_nonai</f>
        <v>32.9504167982031</v>
      </c>
      <c r="K6760" s="6" t="n">
        <f aca="false">Sens!J6760*(1-1/life_nonai)+(Sens!K6767)/life_nonai</f>
        <v>35.6956453925822</v>
      </c>
      <c r="L6760" s="11" t="s">
        <v>948</v>
      </c>
    </row>
    <row r="6761" customFormat="false" ht="17.15" hidden="false" customHeight="false" outlineLevel="0" collapsed="false">
      <c r="A6761" s="1" t="s">
        <v>949</v>
      </c>
      <c r="B6761" s="0" t="s">
        <v>98</v>
      </c>
      <c r="F6761" s="6" t="n">
        <f aca="false">Sens!$F$6768/life_nonai*(1-1/life_nonai)^(Sens!F6644-2027)</f>
        <v>0.862377689897089</v>
      </c>
      <c r="G6761" s="6" t="n">
        <f aca="false">Sens!$F$6768/life_nonai*(1-1/life_nonai)^(Sens!G6644-2027)</f>
        <v>0.77613992090738</v>
      </c>
      <c r="H6761" s="6" t="n">
        <f aca="false">Sens!$F$6768/life_nonai*(1-1/life_nonai)^(Sens!H6644-2027)</f>
        <v>0.698525928816642</v>
      </c>
      <c r="I6761" s="6" t="n">
        <f aca="false">Sens!$F$6768/life_nonai*(1-1/life_nonai)^(Sens!I6644-2027)</f>
        <v>0.628673335934978</v>
      </c>
      <c r="J6761" s="6" t="n">
        <f aca="false">Sens!$F$6768/life_nonai*(1-1/life_nonai)^(Sens!J6644-2027)</f>
        <v>0.56580600234148</v>
      </c>
      <c r="K6761" s="6" t="n">
        <f aca="false">Sens!$F$6768/life_nonai*(1-1/life_nonai)^(Sens!K6644-2027)</f>
        <v>0.509225402107332</v>
      </c>
      <c r="L6761" s="1" t="s">
        <v>950</v>
      </c>
    </row>
    <row r="6762" customFormat="false" ht="17.15" hidden="false" customHeight="false" outlineLevel="0" collapsed="false">
      <c r="A6762" s="1" t="s">
        <v>951</v>
      </c>
      <c r="B6762" s="0" t="s">
        <v>98</v>
      </c>
      <c r="E6762" s="6" t="n">
        <f aca="false">Sens!E6678+Sens!E6760</f>
        <v>38.534</v>
      </c>
      <c r="F6762" s="6" t="n">
        <f aca="false">Sens!F6678+Sens!F6760</f>
        <v>58.4423344144339</v>
      </c>
      <c r="G6762" s="6" t="n">
        <f aca="false">Sens!G6678+Sens!G6760</f>
        <v>85.1435287976806</v>
      </c>
      <c r="H6762" s="6" t="n">
        <f aca="false">Sens!H6678+Sens!H6760</f>
        <v>114.391253726173</v>
      </c>
      <c r="I6762" s="6" t="n">
        <f aca="false">Sens!I6678+Sens!I6760</f>
        <v>140.972994358132</v>
      </c>
      <c r="J6762" s="6" t="n">
        <f aca="false">Sens!J6678+Sens!J6760</f>
        <v>160.948739651046</v>
      </c>
      <c r="K6762" s="6" t="n">
        <f aca="false">Sens!K6678+Sens!K6760</f>
        <v>174.82710943689</v>
      </c>
    </row>
    <row r="6763" customFormat="false" ht="17.15" hidden="false" customHeight="false" outlineLevel="0" collapsed="false">
      <c r="A6763" s="1" t="s">
        <v>952</v>
      </c>
      <c r="B6763" s="0" t="s">
        <v>98</v>
      </c>
      <c r="F6763" s="6" t="n">
        <f aca="false">Sens!F6705*sbc_r</f>
        <v>14.8052650047177</v>
      </c>
      <c r="G6763" s="6" t="n">
        <f aca="false">Sens!G6705*sbc_r</f>
        <v>17.5757026471578</v>
      </c>
      <c r="H6763" s="6" t="n">
        <f aca="false">Sens!H6705*sbc_r</f>
        <v>20.4128770823788</v>
      </c>
      <c r="I6763" s="6" t="n">
        <f aca="false">Sens!I6705*sbc_r</f>
        <v>23.0406387012502</v>
      </c>
      <c r="J6763" s="6" t="n">
        <f aca="false">Sens!J6705*sbc_r</f>
        <v>25.2146836676892</v>
      </c>
      <c r="K6763" s="6" t="n">
        <f aca="false">Sens!K6705*sbc_r</f>
        <v>26.9823460402938</v>
      </c>
    </row>
    <row r="6764" customFormat="false" ht="17.15" hidden="false" customHeight="false" outlineLevel="0" collapsed="false">
      <c r="A6764" s="1" t="s">
        <v>953</v>
      </c>
      <c r="B6764" s="0" t="s">
        <v>98</v>
      </c>
      <c r="F6764" s="6" t="n">
        <f aca="false">wc27</f>
        <v>-4.895</v>
      </c>
      <c r="G6764" s="6" t="n">
        <f aca="false">wc_f</f>
        <v>0</v>
      </c>
      <c r="H6764" s="6" t="n">
        <f aca="false">wc_f</f>
        <v>0</v>
      </c>
      <c r="I6764" s="6" t="n">
        <f aca="false">wc_f</f>
        <v>0</v>
      </c>
      <c r="J6764" s="6" t="n">
        <f aca="false">wc_f</f>
        <v>0</v>
      </c>
      <c r="K6764" s="6" t="n">
        <f aca="false">wc_f</f>
        <v>0</v>
      </c>
      <c r="L6764" s="11" t="s">
        <v>954</v>
      </c>
    </row>
    <row r="6765" customFormat="false" ht="15" hidden="false" customHeight="false" outlineLevel="0" collapsed="false">
      <c r="A6765" s="1" t="s">
        <v>767</v>
      </c>
      <c r="B6765" s="0" t="s">
        <v>98</v>
      </c>
      <c r="E6765" s="6" t="n">
        <f aca="false">Q!M35</f>
        <v>182.935</v>
      </c>
      <c r="F6765" s="6" t="n">
        <f aca="false">Sens!F6759+Sens!F6762+Sens!F6763+Sens!F6764</f>
        <v>207.875352617213</v>
      </c>
      <c r="G6765" s="6" t="n">
        <f aca="false">Sens!G6759+Sens!G6762+Sens!G6763+Sens!G6764</f>
        <v>258.232287593567</v>
      </c>
      <c r="H6765" s="6" t="n">
        <f aca="false">Sens!H6759+Sens!H6762+Sens!H6763+Sens!H6764</f>
        <v>305.906285367382</v>
      </c>
      <c r="I6765" s="6" t="n">
        <f aca="false">Sens!I6759+Sens!I6762+Sens!I6763+Sens!I6764</f>
        <v>350.249227214217</v>
      </c>
      <c r="J6765" s="6" t="n">
        <f aca="false">Sens!J6759+Sens!J6762+Sens!J6763+Sens!J6764</f>
        <v>386.691854329302</v>
      </c>
      <c r="K6765" s="6" t="n">
        <f aca="false">Sens!K6759+Sens!K6762+Sens!K6763+Sens!K6764</f>
        <v>416.255970054037</v>
      </c>
    </row>
    <row r="6766" customFormat="false" ht="17.15" hidden="false" customHeight="false" outlineLevel="0" collapsed="false">
      <c r="A6766" s="0" t="s">
        <v>955</v>
      </c>
      <c r="B6766" s="0" t="s">
        <v>98</v>
      </c>
      <c r="F6766" s="6" t="n">
        <f aca="false">Sens!F6675</f>
        <v>160.332875871467</v>
      </c>
      <c r="G6766" s="6" t="n">
        <f aca="false">Sens!G6675</f>
        <v>183.5741804832</v>
      </c>
      <c r="H6766" s="6" t="n">
        <f aca="false">Sens!H6675</f>
        <v>188.0802859104</v>
      </c>
      <c r="I6766" s="6" t="n">
        <f aca="false">Sens!I6675</f>
        <v>163.706669154245</v>
      </c>
      <c r="J6766" s="6" t="n">
        <f aca="false">Sens!J6675</f>
        <v>127.181436594242</v>
      </c>
      <c r="K6766" s="6" t="n">
        <f aca="false">Sens!K6675</f>
        <v>121.407415303591</v>
      </c>
    </row>
    <row r="6767" customFormat="false" ht="17.15" hidden="false" customHeight="false" outlineLevel="0" collapsed="false">
      <c r="A6767" s="1" t="s">
        <v>956</v>
      </c>
      <c r="B6767" s="0" t="s">
        <v>98</v>
      </c>
      <c r="E6767" s="6" t="n">
        <f aca="false">Sens!E6683*cx_azo+Sens!E6690*cx_m365+Sens!E6691*cx_lic+(Sens!E6693+Sens!E6695)*cx_ind+Sens!E6698*cx_srch+(Sens!E6700+Sens!E6702)*cx_dev</f>
        <v>30.1846587067718</v>
      </c>
      <c r="F6767" s="6" t="n">
        <f aca="false">Sens!F6683*cx_azo+Sens!F6690*cx_m365+Sens!F6691*cx_lic+(Sens!F6693+Sens!F6695)*cx_ind+Sens!F6698*cx_srch+(Sens!F6700+Sens!F6702)*cx_dev</f>
        <v>35.2433472295625</v>
      </c>
      <c r="G6767" s="6" t="n">
        <f aca="false">Sens!G6683*cx_azo+Sens!G6690*cx_m365+Sens!G6691*cx_lic+(Sens!G6693+Sens!G6695)*cx_ind+Sens!G6698*cx_srch+(Sens!G6700+Sens!G6702)*cx_dev</f>
        <v>40.6488935703892</v>
      </c>
      <c r="H6767" s="6" t="n">
        <f aca="false">Sens!H6683*cx_azo+Sens!H6690*cx_m365+Sens!H6691*cx_lic+(Sens!H6693+Sens!H6695)*cx_ind+Sens!H6698*cx_srch+(Sens!H6700+Sens!H6702)*cx_dev</f>
        <v>46.1395136440897</v>
      </c>
      <c r="I6767" s="6" t="n">
        <f aca="false">Sens!I6683*cx_azo+Sens!I6690*cx_m365+Sens!I6691*cx_lic+(Sens!I6693+Sens!I6695)*cx_ind+Sens!I6698*cx_srch+(Sens!I6700+Sens!I6702)*cx_dev</f>
        <v>51.4004003116439</v>
      </c>
      <c r="J6767" s="6" t="n">
        <f aca="false">Sens!J6683*cx_azo+Sens!J6690*cx_m365+Sens!J6691*cx_lic+(Sens!J6693+Sens!J6695)*cx_ind+Sens!J6698*cx_srch+(Sens!J6700+Sens!J6702)*cx_dev</f>
        <v>56.1989132503738</v>
      </c>
      <c r="K6767" s="6" t="n">
        <f aca="false">Sens!K6683*cx_azo+Sens!K6690*cx_m365+Sens!K6691*cx_lic+(Sens!K6693+Sens!K6695)*cx_ind+Sens!K6698*cx_srch+(Sens!K6700+Sens!K6702)*cx_dev</f>
        <v>60.402702741994</v>
      </c>
    </row>
    <row r="6768" customFormat="false" ht="17.15" hidden="false" customHeight="false" outlineLevel="0" collapsed="false">
      <c r="A6768" s="0" t="s">
        <v>957</v>
      </c>
      <c r="B6768" s="0" t="s">
        <v>98</v>
      </c>
      <c r="F6768" s="6" t="n">
        <f aca="false">Sens!F6673</f>
        <v>8.62377689897089</v>
      </c>
      <c r="L6768" s="1" t="s">
        <v>958</v>
      </c>
    </row>
    <row r="6769" customFormat="false" ht="17.15" hidden="false" customHeight="false" outlineLevel="0" collapsed="false">
      <c r="A6769" s="1" t="s">
        <v>959</v>
      </c>
      <c r="B6769" s="0" t="s">
        <v>98</v>
      </c>
      <c r="E6769" s="6" t="n">
        <f aca="false">Q!M42</f>
        <v>145.3</v>
      </c>
      <c r="F6769" s="6" t="n">
        <f aca="false">Sens!F6766+Sens!F6767+Sens!F6768</f>
        <v>204.2</v>
      </c>
      <c r="G6769" s="6" t="n">
        <f aca="false">Sens!G6766+Sens!G6767</f>
        <v>224.223074053589</v>
      </c>
      <c r="H6769" s="6" t="n">
        <f aca="false">Sens!H6766+Sens!H6767</f>
        <v>234.21979955449</v>
      </c>
      <c r="I6769" s="6" t="n">
        <f aca="false">Sens!I6766+Sens!I6767</f>
        <v>215.107069465889</v>
      </c>
      <c r="J6769" s="6" t="n">
        <f aca="false">Sens!J6766+Sens!J6767</f>
        <v>183.380349844616</v>
      </c>
      <c r="K6769" s="6" t="n">
        <f aca="false">Sens!K6766+Sens!K6767</f>
        <v>181.810118045585</v>
      </c>
      <c r="L6769" s="1" t="s">
        <v>960</v>
      </c>
    </row>
    <row r="6770" customFormat="false" ht="15" hidden="false" customHeight="false" outlineLevel="0" collapsed="false">
      <c r="A6770" s="1" t="s">
        <v>961</v>
      </c>
      <c r="B6770" s="0" t="s">
        <v>98</v>
      </c>
      <c r="E6770" s="6" t="n">
        <f aca="false">fl_liab</f>
        <v>66.594</v>
      </c>
      <c r="F6770" s="6" t="n">
        <f aca="false">Sens!E6770-Sens!F6771</f>
        <v>62.46973</v>
      </c>
      <c r="G6770" s="6" t="n">
        <f aca="false">Sens!F6770-Sens!G6771</f>
        <v>57.98686785</v>
      </c>
      <c r="H6770" s="6" t="n">
        <f aca="false">Sens!G6770-Sens!H6771</f>
        <v>53.92827690325</v>
      </c>
      <c r="I6770" s="6" t="n">
        <f aca="false">Sens!H6770-Sens!I6771</f>
        <v>49.7850493638962</v>
      </c>
      <c r="J6770" s="6" t="n">
        <f aca="false">Sens!I6770-Sens!J6771</f>
        <v>45.4823765852716</v>
      </c>
      <c r="K6770" s="6" t="n">
        <f aca="false">Sens!J6770-Sens!K6771</f>
        <v>40.9860835316088</v>
      </c>
    </row>
    <row r="6771" customFormat="false" ht="15" hidden="false" customHeight="false" outlineLevel="0" collapsed="false">
      <c r="A6771" s="1" t="s">
        <v>962</v>
      </c>
      <c r="B6771" s="0" t="s">
        <v>98</v>
      </c>
      <c r="F6771" s="6" t="n">
        <f aca="false">fl_pay_27-Sens!E6770*fl_rate</f>
        <v>4.12427</v>
      </c>
      <c r="G6771" s="6" t="n">
        <f aca="false">fl_pay_28-Sens!F6770*fl_rate</f>
        <v>4.48286215</v>
      </c>
      <c r="H6771" s="6" t="n">
        <f aca="false">fl_pay_29-Sens!G6770*fl_rate</f>
        <v>4.05859094675</v>
      </c>
      <c r="I6771" s="6" t="n">
        <f aca="false">fl_pay_30-Sens!H6770*fl_rate</f>
        <v>4.14322753935375</v>
      </c>
      <c r="J6771" s="6" t="n">
        <f aca="false">fl_pay_31-Sens!I6770*fl_rate</f>
        <v>4.30267277862467</v>
      </c>
      <c r="K6771" s="6" t="n">
        <f aca="false">fl_pay_32-Sens!J6770*fl_rate</f>
        <v>4.49629305366278</v>
      </c>
    </row>
    <row r="6772" customFormat="false" ht="17.15" hidden="false" customHeight="false" outlineLevel="0" collapsed="false">
      <c r="A6772" s="1" t="s">
        <v>963</v>
      </c>
      <c r="B6772" s="0" t="s">
        <v>98</v>
      </c>
      <c r="E6772" s="6" t="n">
        <f aca="false">Q!M35-Q!M36-Q!M43</f>
        <v>63.886</v>
      </c>
      <c r="F6772" s="6" t="n">
        <f aca="false">Sens!F6765-Sens!F6769-Sens!F6771</f>
        <v>-0.448917382786822</v>
      </c>
      <c r="G6772" s="6" t="n">
        <f aca="false">Sens!G6765-Sens!G6769-Sens!G6771</f>
        <v>29.5263513899779</v>
      </c>
      <c r="H6772" s="6" t="n">
        <f aca="false">Sens!H6765-Sens!H6769-Sens!H6771</f>
        <v>67.6278948661422</v>
      </c>
      <c r="I6772" s="6" t="n">
        <f aca="false">Sens!I6765-Sens!I6769-Sens!I6771</f>
        <v>130.998930208974</v>
      </c>
      <c r="J6772" s="6" t="n">
        <f aca="false">Sens!J6765-Sens!J6769-Sens!J6771</f>
        <v>199.008831706061</v>
      </c>
      <c r="K6772" s="6" t="n">
        <f aca="false">Sens!K6765-Sens!K6769-Sens!K6771</f>
        <v>229.94955895479</v>
      </c>
      <c r="L6772" s="11" t="s">
        <v>964</v>
      </c>
    </row>
    <row r="6773" customFormat="false" ht="15" hidden="false" customHeight="false" outlineLevel="0" collapsed="false">
      <c r="A6773" s="1" t="s">
        <v>965</v>
      </c>
      <c r="B6773" s="0" t="s">
        <v>75</v>
      </c>
      <c r="F6773" s="8" t="n">
        <f aca="false">dps_27</f>
        <v>3.85</v>
      </c>
      <c r="G6773" s="8" t="n">
        <f aca="false">Sens!F6773*(1+dps_g)</f>
        <v>4.158</v>
      </c>
      <c r="H6773" s="8" t="n">
        <f aca="false">Sens!G6773*(1+dps_g)</f>
        <v>4.49064</v>
      </c>
      <c r="I6773" s="8" t="n">
        <f aca="false">Sens!H6773*(1+dps_g)</f>
        <v>4.8498912</v>
      </c>
      <c r="J6773" s="8" t="n">
        <f aca="false">Sens!I6773*(1+dps_g)</f>
        <v>5.237882496</v>
      </c>
      <c r="K6773" s="8" t="n">
        <f aca="false">Sens!J6773*(1+dps_g)</f>
        <v>5.65691309568</v>
      </c>
    </row>
    <row r="6774" customFormat="false" ht="17.15" hidden="false" customHeight="false" outlineLevel="0" collapsed="false">
      <c r="A6774" s="1" t="s">
        <v>966</v>
      </c>
      <c r="B6774" s="0" t="s">
        <v>98</v>
      </c>
      <c r="E6774" s="6" t="n">
        <f aca="false">Q!M41</f>
        <v>26.445</v>
      </c>
      <c r="F6774" s="6" t="n">
        <f aca="false">Sens!F6773*Sens!E6783</f>
        <v>28.59395</v>
      </c>
      <c r="G6774" s="6" t="n">
        <f aca="false">Sens!G6773*Sens!F6783</f>
        <v>31.068576</v>
      </c>
      <c r="H6774" s="6" t="n">
        <f aca="false">Sens!H6773*Sens!G6783</f>
        <v>33.75614088</v>
      </c>
      <c r="I6774" s="6" t="n">
        <f aca="false">Sens!I6773*Sens!H6783</f>
        <v>36.5075713903995</v>
      </c>
      <c r="J6774" s="6" t="n">
        <f aca="false">Sens!J6773*Sens!I6783</f>
        <v>39.4965759499509</v>
      </c>
      <c r="K6774" s="6" t="n">
        <f aca="false">Sens!K6773*Sens!J6783</f>
        <v>42.743557251252</v>
      </c>
      <c r="L6774" s="1" t="s">
        <v>967</v>
      </c>
    </row>
    <row r="6775" customFormat="false" ht="15" hidden="false" customHeight="false" outlineLevel="0" collapsed="false">
      <c r="A6775" s="1" t="s">
        <v>968</v>
      </c>
      <c r="B6775" s="0" t="s">
        <v>98</v>
      </c>
      <c r="E6775" s="6" t="n">
        <f aca="false">Sens!E6772-Sens!E6774</f>
        <v>37.441</v>
      </c>
      <c r="F6775" s="6" t="n">
        <f aca="false">Sens!F6772-Sens!F6774</f>
        <v>-29.0428673827868</v>
      </c>
      <c r="G6775" s="6" t="n">
        <f aca="false">Sens!G6772-Sens!G6774</f>
        <v>-1.54222461002209</v>
      </c>
      <c r="H6775" s="6" t="n">
        <f aca="false">Sens!H6772-Sens!H6774</f>
        <v>33.8717539861422</v>
      </c>
      <c r="I6775" s="6" t="n">
        <f aca="false">Sens!I6772-Sens!I6774</f>
        <v>94.4913588185741</v>
      </c>
      <c r="J6775" s="6" t="n">
        <f aca="false">Sens!J6772-Sens!J6774</f>
        <v>159.51225575611</v>
      </c>
      <c r="K6775" s="6" t="n">
        <f aca="false">Sens!K6772-Sens!K6774</f>
        <v>187.206001703538</v>
      </c>
    </row>
    <row r="6776" customFormat="false" ht="15" hidden="false" customHeight="false" outlineLevel="0" collapsed="false">
      <c r="A6776" s="1" t="s">
        <v>969</v>
      </c>
      <c r="B6776" s="0" t="s">
        <v>98</v>
      </c>
      <c r="F6776" s="6" t="n">
        <f aca="false">debt_mat_27</f>
        <v>9.25</v>
      </c>
      <c r="G6776" s="6" t="n">
        <f aca="false">debt_mat_28</f>
        <v>0</v>
      </c>
      <c r="H6776" s="6" t="n">
        <f aca="false">debt_mat_29</f>
        <v>2.001</v>
      </c>
      <c r="I6776" s="6" t="n">
        <f aca="false">debt_mat_30</f>
        <v>0</v>
      </c>
      <c r="J6776" s="6" t="n">
        <f aca="false">debt_mat_31</f>
        <v>0.5</v>
      </c>
      <c r="K6776" s="6" t="n">
        <f aca="false">debt_mat_32</f>
        <v>0</v>
      </c>
    </row>
    <row r="6777" customFormat="false" ht="15" hidden="false" customHeight="false" outlineLevel="0" collapsed="false">
      <c r="A6777" s="1" t="s">
        <v>970</v>
      </c>
      <c r="B6777" s="0" t="s">
        <v>98</v>
      </c>
      <c r="E6777" s="6" t="n">
        <f aca="false">Q!M40</f>
        <v>22.271</v>
      </c>
      <c r="F6777" s="6" t="n">
        <f aca="false">MAX(0,MIN(bb_target,Sens!E6779+Sens!F6775-Sens!F6776-min_cash))</f>
        <v>0</v>
      </c>
      <c r="G6777" s="6" t="n">
        <f aca="false">MAX(0,MIN(bb_target,Sens!F6779+Sens!G6775-Sens!G6776-min_cash))</f>
        <v>0</v>
      </c>
      <c r="H6777" s="6" t="n">
        <f aca="false">MAX(0,MIN(bb_target,Sens!G6779+Sens!H6775-Sens!H6776-min_cash))</f>
        <v>22.271</v>
      </c>
      <c r="I6777" s="6" t="n">
        <f aca="false">MAX(0,MIN(bb_target,Sens!H6779+Sens!I6775-Sens!I6776-min_cash))</f>
        <v>22.271</v>
      </c>
      <c r="J6777" s="6" t="n">
        <f aca="false">MAX(0,MIN(bb_target,Sens!I6779+Sens!J6775-Sens!J6776-min_cash))</f>
        <v>22.271</v>
      </c>
      <c r="K6777" s="6" t="n">
        <f aca="false">MAX(0,MIN(bb_target,Sens!J6779+Sens!K6775-Sens!K6776-min_cash))</f>
        <v>22.271</v>
      </c>
    </row>
    <row r="6778" customFormat="false" ht="15" hidden="false" customHeight="false" outlineLevel="0" collapsed="false">
      <c r="A6778" s="1" t="s">
        <v>971</v>
      </c>
      <c r="B6778" s="0" t="s">
        <v>98</v>
      </c>
      <c r="F6778" s="6" t="n">
        <f aca="false">MAX(0,min_cash-(Sens!E6779+Sens!F6775-Sens!F6776-Sens!F6777))</f>
        <v>11.4498673827868</v>
      </c>
      <c r="G6778" s="6" t="n">
        <f aca="false">MAX(0,min_cash-(Sens!F6779+Sens!G6775-Sens!G6776-Sens!G6777))</f>
        <v>1.54222461002209</v>
      </c>
      <c r="H6778" s="6" t="n">
        <f aca="false">MAX(0,min_cash-(Sens!G6779+Sens!H6775-Sens!H6776-Sens!H6777))</f>
        <v>0</v>
      </c>
      <c r="I6778" s="6" t="n">
        <f aca="false">MAX(0,min_cash-(Sens!H6779+Sens!I6775-Sens!I6776-Sens!I6777))</f>
        <v>0</v>
      </c>
      <c r="J6778" s="6" t="n">
        <f aca="false">MAX(0,min_cash-(Sens!I6779+Sens!J6775-Sens!J6776-Sens!J6777))</f>
        <v>0</v>
      </c>
      <c r="K6778" s="6" t="n">
        <f aca="false">MAX(0,min_cash-(Sens!J6779+Sens!K6775-Sens!K6776-Sens!K6777))</f>
        <v>0</v>
      </c>
    </row>
    <row r="6779" customFormat="false" ht="15" hidden="false" customHeight="false" outlineLevel="0" collapsed="false">
      <c r="A6779" s="1" t="s">
        <v>972</v>
      </c>
      <c r="B6779" s="0" t="s">
        <v>98</v>
      </c>
      <c r="E6779" s="6" t="n">
        <f aca="false">cash_open</f>
        <v>76.843</v>
      </c>
      <c r="F6779" s="6" t="n">
        <f aca="false">Sens!E6779+Sens!F6775-Sens!F6776-Sens!F6777+Sens!F6778</f>
        <v>50</v>
      </c>
      <c r="G6779" s="6" t="n">
        <f aca="false">Sens!F6779+Sens!G6775-Sens!G6776-Sens!G6777+Sens!G6778</f>
        <v>50</v>
      </c>
      <c r="H6779" s="6" t="n">
        <f aca="false">Sens!G6779+Sens!H6775-Sens!H6776-Sens!H6777+Sens!H6778</f>
        <v>59.5997539861422</v>
      </c>
      <c r="I6779" s="6" t="n">
        <f aca="false">Sens!H6779+Sens!I6775-Sens!I6776-Sens!I6777+Sens!I6778</f>
        <v>131.820112804716</v>
      </c>
      <c r="J6779" s="6" t="n">
        <f aca="false">Sens!I6779+Sens!J6775-Sens!J6776-Sens!J6777+Sens!J6778</f>
        <v>268.561368560827</v>
      </c>
      <c r="K6779" s="6" t="n">
        <f aca="false">Sens!J6779+Sens!K6775-Sens!K6776-Sens!K6777+Sens!K6778</f>
        <v>433.496370264365</v>
      </c>
    </row>
    <row r="6780" customFormat="false" ht="15" hidden="false" customHeight="false" outlineLevel="0" collapsed="false">
      <c r="A6780" s="1" t="s">
        <v>973</v>
      </c>
      <c r="B6780" s="0" t="s">
        <v>98</v>
      </c>
      <c r="E6780" s="6" t="n">
        <f aca="false">debt_face</f>
        <v>46.136</v>
      </c>
      <c r="F6780" s="6" t="n">
        <f aca="false">Sens!E6780-Sens!F6776+Sens!F6778</f>
        <v>48.3358673827868</v>
      </c>
      <c r="G6780" s="6" t="n">
        <f aca="false">Sens!F6780-Sens!G6776+Sens!G6778</f>
        <v>49.8780919928089</v>
      </c>
      <c r="H6780" s="6" t="n">
        <f aca="false">Sens!G6780-Sens!H6776+Sens!H6778</f>
        <v>47.8770919928089</v>
      </c>
      <c r="I6780" s="6" t="n">
        <f aca="false">Sens!H6780-Sens!I6776+Sens!I6778</f>
        <v>47.8770919928089</v>
      </c>
      <c r="J6780" s="6" t="n">
        <f aca="false">Sens!I6780-Sens!J6776+Sens!J6778</f>
        <v>47.3770919928089</v>
      </c>
      <c r="K6780" s="6" t="n">
        <f aca="false">Sens!J6780-Sens!K6776+Sens!K6778</f>
        <v>47.3770919928089</v>
      </c>
    </row>
    <row r="6781" customFormat="false" ht="15" hidden="false" customHeight="false" outlineLevel="0" collapsed="false">
      <c r="A6781" s="1" t="s">
        <v>974</v>
      </c>
      <c r="B6781" s="0" t="s">
        <v>98</v>
      </c>
      <c r="E6781" s="6" t="n">
        <f aca="false">Sens!E6779-Sens!E6780</f>
        <v>30.707</v>
      </c>
      <c r="F6781" s="6" t="n">
        <f aca="false">Sens!F6779-Sens!F6780</f>
        <v>1.66413261721318</v>
      </c>
      <c r="G6781" s="6" t="n">
        <f aca="false">Sens!G6779-Sens!G6780</f>
        <v>0.121908007191088</v>
      </c>
      <c r="H6781" s="6" t="n">
        <f aca="false">Sens!H6779-Sens!H6780</f>
        <v>11.7226619933333</v>
      </c>
      <c r="I6781" s="6" t="n">
        <f aca="false">Sens!I6779-Sens!I6780</f>
        <v>83.9430208119074</v>
      </c>
      <c r="J6781" s="6" t="n">
        <f aca="false">Sens!J6779-Sens!J6780</f>
        <v>221.184276568018</v>
      </c>
      <c r="K6781" s="6" t="n">
        <f aca="false">Sens!K6779-Sens!K6780</f>
        <v>386.119278271556</v>
      </c>
    </row>
    <row r="6782" customFormat="false" ht="15" hidden="false" customHeight="false" outlineLevel="0" collapsed="false">
      <c r="A6782" s="1" t="s">
        <v>975</v>
      </c>
      <c r="B6782" s="0" t="s">
        <v>75</v>
      </c>
      <c r="F6782" s="29" t="n">
        <f aca="false">px*(1+bb_g)^(Sens!F6644-base_fy-mid_yr)</f>
        <v>553.494156066711</v>
      </c>
      <c r="G6782" s="29" t="n">
        <f aca="false">px*(1+bb_g)^(Sens!G6644-base_fy-mid_yr)</f>
        <v>597.773688552047</v>
      </c>
      <c r="H6782" s="29" t="n">
        <f aca="false">px*(1+bb_g)^(Sens!H6644-base_fy-mid_yr)</f>
        <v>645.595583636211</v>
      </c>
      <c r="I6782" s="29" t="n">
        <f aca="false">px*(1+bb_g)^(Sens!I6644-base_fy-mid_yr)</f>
        <v>697.243230327108</v>
      </c>
      <c r="J6782" s="29" t="n">
        <f aca="false">px*(1+bb_g)^(Sens!J6644-base_fy-mid_yr)</f>
        <v>753.022688753277</v>
      </c>
      <c r="K6782" s="29" t="n">
        <f aca="false">px*(1+bb_g)^(Sens!K6644-base_fy-mid_yr)</f>
        <v>813.264503853539</v>
      </c>
    </row>
    <row r="6783" customFormat="false" ht="15" hidden="false" customHeight="false" outlineLevel="0" collapsed="false">
      <c r="A6783" s="1" t="s">
        <v>976</v>
      </c>
      <c r="B6783" s="1" t="s">
        <v>81</v>
      </c>
      <c r="E6783" s="14" t="n">
        <f aca="false">sh_out26</f>
        <v>7.427</v>
      </c>
      <c r="F6783" s="14" t="n">
        <f aca="false">Sens!E6783+sh_iss-Sens!F6777/Sens!F6782</f>
        <v>7.472</v>
      </c>
      <c r="G6783" s="14" t="n">
        <f aca="false">Sens!F6783+sh_iss-Sens!G6777/Sens!G6782</f>
        <v>7.517</v>
      </c>
      <c r="H6783" s="14" t="n">
        <f aca="false">Sens!G6783+sh_iss-Sens!H6777/Sens!H6782</f>
        <v>7.5275031716999</v>
      </c>
      <c r="I6783" s="14" t="n">
        <f aca="false">Sens!H6783+sh_iss-Sens!I6777/Sens!I6782</f>
        <v>7.54056166401463</v>
      </c>
      <c r="J6783" s="14" t="n">
        <f aca="false">Sens!I6783+sh_iss-Sens!J6777/Sens!J6782</f>
        <v>7.55598619393567</v>
      </c>
      <c r="K6783" s="14" t="n">
        <f aca="false">Sens!J6783+sh_iss-Sens!K6777/Sens!K6782</f>
        <v>7.57360149941811</v>
      </c>
    </row>
    <row r="6784" customFormat="false" ht="15" hidden="false" customHeight="false" outlineLevel="0" collapsed="false">
      <c r="A6784" s="1" t="s">
        <v>977</v>
      </c>
      <c r="B6784" s="1" t="s">
        <v>81</v>
      </c>
      <c r="E6784" s="14" t="n">
        <f aca="false">sh_dil26</f>
        <v>7.453</v>
      </c>
      <c r="F6784" s="14" t="n">
        <f aca="false">(Sens!E6783+Sens!F6783)/2+dil_gap</f>
        <v>7.4735</v>
      </c>
      <c r="G6784" s="14" t="n">
        <f aca="false">(Sens!F6783+Sens!G6783)/2+dil_gap</f>
        <v>7.5185</v>
      </c>
      <c r="H6784" s="14" t="n">
        <f aca="false">(Sens!G6783+Sens!H6783)/2+dil_gap</f>
        <v>7.54625158584995</v>
      </c>
      <c r="I6784" s="14" t="n">
        <f aca="false">(Sens!H6783+Sens!I6783)/2+dil_gap</f>
        <v>7.55803241785726</v>
      </c>
      <c r="J6784" s="14" t="n">
        <f aca="false">(Sens!I6783+Sens!J6783)/2+dil_gap</f>
        <v>7.57227392897515</v>
      </c>
      <c r="K6784" s="14" t="n">
        <f aca="false">(Sens!J6783+Sens!K6783)/2+dil_gap</f>
        <v>7.58879384667689</v>
      </c>
    </row>
    <row r="6785" customFormat="false" ht="17.15" hidden="false" customHeight="false" outlineLevel="0" collapsed="false">
      <c r="A6785" s="1" t="s">
        <v>978</v>
      </c>
      <c r="B6785" s="0" t="s">
        <v>98</v>
      </c>
      <c r="C6785" s="6" t="n">
        <f aca="false">SUM(Sens!F6775:J6775)</f>
        <v>257.290276568018</v>
      </c>
    </row>
    <row r="6786" customFormat="false" ht="15" hidden="false" customHeight="false" outlineLevel="0" collapsed="false">
      <c r="A6786" s="23" t="s">
        <v>945</v>
      </c>
      <c r="B6786" s="30" t="s">
        <v>98</v>
      </c>
      <c r="C6786" s="24" t="n">
        <f aca="false">Sens!$C$6785-(Sens!F6775+Sens!G6775+Sens!H6775+Sens!I6775+Sens!J6775)</f>
        <v>0</v>
      </c>
      <c r="D6786" s="30"/>
      <c r="E6786" s="30"/>
      <c r="F6786" s="30"/>
      <c r="G6786" s="30"/>
      <c r="H6786" s="30"/>
      <c r="I6786" s="30"/>
      <c r="J6786" s="30"/>
      <c r="K6786" s="30"/>
    </row>
    <row r="6787" customFormat="false" ht="17.15" hidden="false" customHeight="false" outlineLevel="0" collapsed="false">
      <c r="A6787" s="1" t="s">
        <v>939</v>
      </c>
      <c r="B6787" s="1" t="s">
        <v>979</v>
      </c>
      <c r="C6787" s="32" t="str">
        <f aca="false">IF(SUM(Sens!F6778:J6778)&gt;0.05,"需要舉債 "&amp;TEXT(SUM(Sens!F6778:J6778),"0.0")&amp;" 十億美元","不需舉債")&amp;"；"&amp;IF(SUM(Sens!F6777:J6777)&lt;COUNT(Sens!F6777:J6777)*bb_target-0.05,"回購較每年 "&amp;TEXT(bb_target,"0.0")&amp;" 的目標少 "&amp;TEXT(COUNT(Sens!F6777:J6777)*bb_target-SUM(Sens!F6777:J6777),"0.0")&amp;" 十億美元（"&amp;TEXT(COUNTIF(Sens!F6777:J6777,"&lt;"&amp;(bb_target-0.05)),"0")&amp;" 年減少）","回購不減")</f>
        <v>需要舉債 13.0 十億美元；回購較每年 22.3 的目標少 44.5 十億美元（2 年減少）</v>
      </c>
    </row>
    <row r="6788" customFormat="false" ht="17.15" hidden="false" customHeight="false" outlineLevel="0" collapsed="false">
      <c r="A6788" s="3" t="s">
        <v>1436</v>
      </c>
    </row>
    <row r="6789" customFormat="false" ht="15" hidden="false" customHeight="false" outlineLevel="0" collapsed="false">
      <c r="A6789" s="4" t="s">
        <v>43</v>
      </c>
      <c r="B6789" s="4" t="s">
        <v>65</v>
      </c>
      <c r="C6789" s="20" t="s">
        <v>799</v>
      </c>
      <c r="D6789" s="20" t="s">
        <v>800</v>
      </c>
      <c r="E6789" s="20" t="s">
        <v>801</v>
      </c>
      <c r="F6789" s="20" t="s">
        <v>802</v>
      </c>
      <c r="G6789" s="20" t="s">
        <v>803</v>
      </c>
      <c r="H6789" s="20" t="s">
        <v>804</v>
      </c>
      <c r="I6789" s="20" t="s">
        <v>805</v>
      </c>
      <c r="J6789" s="20" t="s">
        <v>806</v>
      </c>
      <c r="K6789" s="20" t="s">
        <v>807</v>
      </c>
      <c r="L6789" s="4" t="s">
        <v>47</v>
      </c>
    </row>
    <row r="6790" customFormat="false" ht="15" hidden="false" customHeight="false" outlineLevel="0" collapsed="false">
      <c r="A6790" s="1" t="s">
        <v>1057</v>
      </c>
      <c r="B6790" s="1" t="s">
        <v>235</v>
      </c>
      <c r="F6790" s="36" t="n">
        <f aca="false">Sens!F6644-base_fy-mid_yr</f>
        <v>0.5</v>
      </c>
      <c r="G6790" s="36" t="n">
        <f aca="false">Sens!G6644-base_fy-mid_yr</f>
        <v>1.5</v>
      </c>
      <c r="H6790" s="36" t="n">
        <f aca="false">Sens!H6644-base_fy-mid_yr</f>
        <v>2.5</v>
      </c>
      <c r="I6790" s="36" t="n">
        <f aca="false">Sens!I6644-base_fy-mid_yr</f>
        <v>3.5</v>
      </c>
      <c r="J6790" s="36" t="n">
        <f aca="false">Sens!J6644-base_fy-mid_yr</f>
        <v>4.5</v>
      </c>
      <c r="K6790" s="36" t="n">
        <f aca="false">Sens!K6644-base_fy-mid_yr</f>
        <v>5.5</v>
      </c>
    </row>
    <row r="6791" customFormat="false" ht="15" hidden="false" customHeight="false" outlineLevel="0" collapsed="false">
      <c r="A6791" s="1" t="s">
        <v>1058</v>
      </c>
      <c r="B6791" s="0" t="s">
        <v>185</v>
      </c>
      <c r="F6791" s="14" t="n">
        <f aca="false">1/(1+wacc)^Sens!F6790</f>
        <v>0.952193373608246</v>
      </c>
      <c r="G6791" s="14" t="n">
        <f aca="false">1/(1+wacc)^Sens!G6790</f>
        <v>0.863327280626589</v>
      </c>
      <c r="H6791" s="14" t="n">
        <f aca="false">1/(1+wacc)^Sens!H6790</f>
        <v>0.782754862754115</v>
      </c>
      <c r="I6791" s="14" t="n">
        <f aca="false">1/(1+wacc)^Sens!I6790</f>
        <v>0.709702089711011</v>
      </c>
      <c r="J6791" s="14" t="n">
        <f aca="false">1/(1+wacc)^Sens!J6790</f>
        <v>0.643467169744551</v>
      </c>
      <c r="K6791" s="14" t="n">
        <f aca="false">1/(1+wacc)^Sens!K6790</f>
        <v>0.583413807767797</v>
      </c>
    </row>
    <row r="6792" customFormat="false" ht="17.15" hidden="false" customHeight="false" outlineLevel="0" collapsed="false">
      <c r="A6792" s="1" t="s">
        <v>1059</v>
      </c>
      <c r="B6792" s="0" t="s">
        <v>98</v>
      </c>
      <c r="F6792" s="6" t="n">
        <f aca="false">Sens!F6765-Sens!F6763-Sens!F6769+Sens!F6748*(1-tax_f)</f>
        <v>-2.15604264917944</v>
      </c>
      <c r="G6792" s="6" t="n">
        <f aca="false">Sens!G6765-Sens!G6763-Sens!G6769+Sens!G6748*(1-tax_f)</f>
        <v>37.8833152201239</v>
      </c>
      <c r="H6792" s="6" t="n">
        <f aca="false">Sens!H6765-Sens!H6763-Sens!H6769+Sens!H6748*(1-tax_f)</f>
        <v>86.4265308072134</v>
      </c>
      <c r="I6792" s="6" t="n">
        <f aca="false">Sens!I6765-Sens!I6763-Sens!I6769+Sens!I6748*(1-tax_f)</f>
        <v>159.695325431333</v>
      </c>
      <c r="J6792" s="6" t="n">
        <f aca="false">Sens!J6765-Sens!J6763-Sens!J6769+Sens!J6748*(1-tax_f)</f>
        <v>234.489929693847</v>
      </c>
      <c r="K6792" s="6" t="n">
        <f aca="false">Sens!K6765-Sens!K6763-Sens!K6769+Sens!K6748*(1-tax_f)</f>
        <v>269.075237178449</v>
      </c>
      <c r="L6792" s="1" t="s">
        <v>1060</v>
      </c>
    </row>
    <row r="6793" customFormat="false" ht="15" hidden="false" customHeight="false" outlineLevel="0" collapsed="false">
      <c r="A6793" s="1" t="s">
        <v>1061</v>
      </c>
      <c r="B6793" s="0" t="s">
        <v>98</v>
      </c>
      <c r="F6793" s="6" t="n">
        <f aca="false">Sens!F6792*Sens!F6791</f>
        <v>-2.05296952376543</v>
      </c>
      <c r="G6793" s="6" t="n">
        <f aca="false">Sens!G6792*Sens!G6791</f>
        <v>32.7056995101095</v>
      </c>
      <c r="H6793" s="6" t="n">
        <f aca="false">Sens!H6792*Sens!H6791</f>
        <v>67.6507872603147</v>
      </c>
      <c r="I6793" s="6" t="n">
        <f aca="false">Sens!I6792*Sens!I6791</f>
        <v>113.336106175697</v>
      </c>
      <c r="J6793" s="6" t="n">
        <f aca="false">Sens!J6792*Sens!J6791</f>
        <v>150.886571393699</v>
      </c>
      <c r="K6793" s="6" t="n">
        <f aca="false">Sens!K6792*Sens!K6791</f>
        <v>156.982208698302</v>
      </c>
    </row>
    <row r="6794" customFormat="false" ht="17.15" hidden="false" customHeight="false" outlineLevel="0" collapsed="false">
      <c r="A6794" s="1" t="s">
        <v>1062</v>
      </c>
      <c r="B6794" s="0" t="s">
        <v>98</v>
      </c>
      <c r="C6794" s="6" t="n">
        <f aca="false">SUM(Sens!F6793:K6793)</f>
        <v>519.508403514357</v>
      </c>
    </row>
    <row r="6795" customFormat="false" ht="17.15" hidden="false" customHeight="false" outlineLevel="0" collapsed="false">
      <c r="A6795" s="1" t="s">
        <v>1063</v>
      </c>
      <c r="B6795" s="0" t="s">
        <v>98</v>
      </c>
      <c r="C6795" s="6" t="n">
        <f aca="false">Sens!K6734*(1+g_tv)*(1-tax_f)</f>
        <v>284.669593160758</v>
      </c>
    </row>
    <row r="6796" customFormat="false" ht="17.15" hidden="false" customHeight="false" outlineLevel="0" collapsed="false">
      <c r="A6796" s="1" t="s">
        <v>1064</v>
      </c>
      <c r="B6796" s="0" t="s">
        <v>98</v>
      </c>
      <c r="C6796" s="6" t="n">
        <f aca="false">Sens!$C$6795*(1-g_tv/(wacc+ronic_prem))</f>
        <v>201.703294937897</v>
      </c>
    </row>
    <row r="6797" customFormat="false" ht="17.15" hidden="false" customHeight="false" outlineLevel="0" collapsed="false">
      <c r="A6797" s="1" t="s">
        <v>1065</v>
      </c>
      <c r="B6797" s="0" t="s">
        <v>98</v>
      </c>
      <c r="C6797" s="6" t="n">
        <f aca="false">Sens!$C$6796/(wacc-g_tv)</f>
        <v>2765.54327409535</v>
      </c>
    </row>
    <row r="6798" customFormat="false" ht="15" hidden="false" customHeight="false" outlineLevel="0" collapsed="false">
      <c r="A6798" s="1" t="s">
        <v>1066</v>
      </c>
      <c r="B6798" s="0" t="s">
        <v>98</v>
      </c>
      <c r="C6798" s="6" t="n">
        <f aca="false">Sens!$C$6797/(1+wacc)^(Sens!K6790+mid_yr)</f>
        <v>1536.32223758044</v>
      </c>
    </row>
    <row r="6799" customFormat="false" ht="17.15" hidden="false" customHeight="false" outlineLevel="0" collapsed="false">
      <c r="A6799" s="0" t="s">
        <v>986</v>
      </c>
      <c r="B6799" s="0" t="s">
        <v>98</v>
      </c>
      <c r="C6799" s="6" t="n">
        <f aca="false">Sens!$C$6794+Sens!$C$6798</f>
        <v>2055.8306410948</v>
      </c>
    </row>
    <row r="6800" customFormat="false" ht="15" hidden="false" customHeight="false" outlineLevel="0" collapsed="false">
      <c r="A6800" s="1" t="s">
        <v>987</v>
      </c>
      <c r="B6800" s="0" t="s">
        <v>129</v>
      </c>
      <c r="C6800" s="7" t="n">
        <f aca="false">Sens!$C$6798/Sens!$C$6799</f>
        <v>0.74729999975207</v>
      </c>
    </row>
    <row r="6801" customFormat="false" ht="17.15" hidden="false" customHeight="false" outlineLevel="0" collapsed="false">
      <c r="A6801" s="1" t="s">
        <v>1067</v>
      </c>
      <c r="B6801" s="0" t="s">
        <v>98</v>
      </c>
      <c r="C6801" s="6" t="n">
        <f aca="false">Sens!$C$6799+Sens!E6781-Sens!E6770+oai_v</f>
        <v>2190.3436410948</v>
      </c>
    </row>
    <row r="6802" customFormat="false" ht="17.15" hidden="false" customHeight="false" outlineLevel="0" collapsed="false">
      <c r="A6802" s="0" t="s">
        <v>994</v>
      </c>
      <c r="B6802" s="0" t="s">
        <v>75</v>
      </c>
      <c r="C6802" s="5" t="n">
        <f aca="false">Sens!$C$6801/sh_dil26</f>
        <v>293.887513899745</v>
      </c>
    </row>
    <row r="6803" customFormat="false" ht="15" hidden="false" customHeight="false" outlineLevel="0" collapsed="false">
      <c r="A6803" s="1" t="s">
        <v>1068</v>
      </c>
      <c r="B6803" s="0" t="s">
        <v>75</v>
      </c>
      <c r="C6803" s="8" t="n">
        <f aca="false">dps_27+Sens!G6773*roll_div_q/q_per_yr</f>
        <v>4.8895</v>
      </c>
    </row>
    <row r="6804" customFormat="false" ht="17.15" hidden="false" customHeight="false" outlineLevel="0" collapsed="false">
      <c r="A6804" s="0" t="s">
        <v>1069</v>
      </c>
      <c r="B6804" s="0" t="s">
        <v>75</v>
      </c>
      <c r="C6804" s="5" t="n">
        <f aca="false">Sens!$C$6802*(1+wacc)^t_roll-Sens!$C$6803</f>
        <v>329.77002484235</v>
      </c>
    </row>
    <row r="6805" customFormat="false" ht="17.15" hidden="false" customHeight="false" outlineLevel="0" collapsed="false">
      <c r="A6805" s="1" t="s">
        <v>1070</v>
      </c>
      <c r="B6805" s="0" t="s">
        <v>129</v>
      </c>
      <c r="F6805" s="7" t="n">
        <f aca="false">Sens!F6760/(Sens!F6705-Sens!F6661)</f>
        <v>0.0715356484442932</v>
      </c>
      <c r="G6805" s="7" t="n">
        <f aca="false">Sens!G6760/(Sens!G6705-Sens!G6661)</f>
        <v>0.0683415214194092</v>
      </c>
      <c r="H6805" s="7" t="n">
        <f aca="false">Sens!H6760/(Sens!H6705-Sens!H6661)</f>
        <v>0.0665457533470624</v>
      </c>
      <c r="I6805" s="7" t="n">
        <f aca="false">Sens!I6760/(Sens!I6705-Sens!I6661)</f>
        <v>0.0659887387388313</v>
      </c>
      <c r="J6805" s="7" t="n">
        <f aca="false">Sens!J6760/(Sens!J6705-Sens!J6661)</f>
        <v>0.0663996043054181</v>
      </c>
      <c r="K6805" s="7" t="n">
        <f aca="false">Sens!K6760/(Sens!K6705-Sens!K6661)</f>
        <v>0.0674704626763799</v>
      </c>
    </row>
    <row r="6806" customFormat="false" ht="17.15" hidden="false" customHeight="false" outlineLevel="0" collapsed="false">
      <c r="A6806" s="0" t="s">
        <v>1071</v>
      </c>
      <c r="B6806" s="0" t="s">
        <v>98</v>
      </c>
      <c r="F6806" s="6" t="n">
        <f aca="false">Sens!F6690*(al_m365+Sens!F6805+sbc_r)</f>
        <v>81.9030163722551</v>
      </c>
      <c r="G6806" s="6" t="n">
        <f aca="false">Sens!G6690*(al_m365+Sens!G6805+sbc_r)</f>
        <v>93.1585239717295</v>
      </c>
      <c r="H6806" s="6" t="n">
        <f aca="false">Sens!H6690*(al_m365+Sens!H6805+sbc_r)</f>
        <v>104.573735312182</v>
      </c>
      <c r="I6806" s="6" t="n">
        <f aca="false">Sens!I6690*(al_m365+Sens!I6805+sbc_r)</f>
        <v>115.250224810663</v>
      </c>
      <c r="J6806" s="6" t="n">
        <f aca="false">Sens!J6690*(al_m365+Sens!J6805+sbc_r)</f>
        <v>125.000657016156</v>
      </c>
      <c r="K6806" s="6" t="n">
        <f aca="false">Sens!K6690*(al_m365+Sens!K6805+sbc_r)</f>
        <v>134.357672805462</v>
      </c>
      <c r="L6806" s="11" t="s">
        <v>1072</v>
      </c>
    </row>
    <row r="6807" customFormat="false" ht="17.15" hidden="false" customHeight="false" outlineLevel="0" collapsed="false">
      <c r="A6807" s="0" t="s">
        <v>1073</v>
      </c>
      <c r="B6807" s="0" t="s">
        <v>98</v>
      </c>
      <c r="F6807" s="6" t="n">
        <f aca="false">Sens!F6691*(al_lic+Sens!F6805+sbc_r)</f>
        <v>33.5597249237003</v>
      </c>
      <c r="G6807" s="6" t="n">
        <f aca="false">Sens!G6691*(al_lic+Sens!G6805+sbc_r)</f>
        <v>34.8507017373169</v>
      </c>
      <c r="H6807" s="6" t="n">
        <f aca="false">Sens!H6691*(al_lic+Sens!H6805+sbc_r)</f>
        <v>36.055927546924</v>
      </c>
      <c r="I6807" s="6" t="n">
        <f aca="false">Sens!I6691*(al_lic+Sens!I6805+sbc_r)</f>
        <v>37.155615793243</v>
      </c>
      <c r="J6807" s="6" t="n">
        <f aca="false">Sens!J6691*(al_lic+Sens!J6805+sbc_r)</f>
        <v>38.1246287597242</v>
      </c>
      <c r="K6807" s="6" t="n">
        <f aca="false">Sens!K6691*(al_lic+Sens!K6805+sbc_r)</f>
        <v>38.935895600616</v>
      </c>
    </row>
    <row r="6808" customFormat="false" ht="17.15" hidden="false" customHeight="false" outlineLevel="0" collapsed="false">
      <c r="A6808" s="0" t="s">
        <v>1074</v>
      </c>
      <c r="B6808" s="0" t="s">
        <v>98</v>
      </c>
      <c r="F6808" s="6" t="n">
        <f aca="false">Sens!F6693*(al_ind+Sens!F6805+sbc_r)</f>
        <v>9.14227506609727</v>
      </c>
      <c r="G6808" s="6" t="n">
        <f aca="false">Sens!G6693*(al_ind+Sens!G6805+sbc_r)</f>
        <v>9.91557765802891</v>
      </c>
      <c r="H6808" s="6" t="n">
        <f aca="false">Sens!H6693*(al_ind+Sens!H6805+sbc_r)</f>
        <v>10.7339130113779</v>
      </c>
      <c r="I6808" s="6" t="n">
        <f aca="false">Sens!I6693*(al_ind+Sens!I6805+sbc_r)</f>
        <v>11.593382746135</v>
      </c>
      <c r="J6808" s="6" t="n">
        <f aca="false">Sens!J6693*(al_ind+Sens!J6805+sbc_r)</f>
        <v>12.4846443247187</v>
      </c>
      <c r="K6808" s="6" t="n">
        <f aca="false">Sens!K6693*(al_ind+Sens!K6805+sbc_r)</f>
        <v>13.3939972799749</v>
      </c>
    </row>
    <row r="6809" customFormat="false" ht="17.15" hidden="false" customHeight="false" outlineLevel="0" collapsed="false">
      <c r="A6809" s="0" t="s">
        <v>1075</v>
      </c>
      <c r="B6809" s="0" t="s">
        <v>98</v>
      </c>
      <c r="F6809" s="6" t="n">
        <f aca="false">Sens!F6695*(al_fro+Sens!F6805+sbc_r)</f>
        <v>3.59843156272371</v>
      </c>
      <c r="G6809" s="6" t="n">
        <f aca="false">Sens!G6695*(al_fro+Sens!G6805+sbc_r)</f>
        <v>3.80699559513906</v>
      </c>
      <c r="H6809" s="6" t="n">
        <f aca="false">Sens!H6695*(al_fro+Sens!H6805+sbc_r)</f>
        <v>4.04490581827255</v>
      </c>
      <c r="I6809" s="6" t="n">
        <f aca="false">Sens!I6695*(al_fro+Sens!I6805+sbc_r)</f>
        <v>4.31458521317166</v>
      </c>
      <c r="J6809" s="6" t="n">
        <f aca="false">Sens!J6695*(al_fro+Sens!J6805+sbc_r)</f>
        <v>4.61730125527213</v>
      </c>
      <c r="K6809" s="6" t="n">
        <f aca="false">Sens!K6695*(al_fro+Sens!K6805+sbc_r)</f>
        <v>4.9536149244951</v>
      </c>
    </row>
    <row r="6810" customFormat="false" ht="17.15" hidden="false" customHeight="false" outlineLevel="0" collapsed="false">
      <c r="A6810" s="0" t="s">
        <v>1076</v>
      </c>
      <c r="B6810" s="0" t="s">
        <v>98</v>
      </c>
      <c r="F6810" s="6" t="n">
        <f aca="false">Sens!F6698*(al_srch+Sens!F6805+sbc_r)</f>
        <v>11.2908417946953</v>
      </c>
      <c r="G6810" s="6" t="n">
        <f aca="false">Sens!G6698*(al_srch+Sens!G6805+sbc_r)</f>
        <v>12.3614263224048</v>
      </c>
      <c r="H6810" s="6" t="n">
        <f aca="false">Sens!H6698*(al_srch+Sens!H6805+sbc_r)</f>
        <v>13.4768172764537</v>
      </c>
      <c r="I6810" s="6" t="n">
        <f aca="false">Sens!I6698*(al_srch+Sens!I6805+sbc_r)</f>
        <v>14.6253171527502</v>
      </c>
      <c r="J6810" s="6" t="n">
        <f aca="false">Sens!J6698*(al_srch+Sens!J6805+sbc_r)</f>
        <v>15.7874139647919</v>
      </c>
      <c r="K6810" s="6" t="n">
        <f aca="false">Sens!K6698*(al_srch+Sens!K6805+sbc_r)</f>
        <v>16.9373331111717</v>
      </c>
    </row>
    <row r="6811" customFormat="false" ht="17.15" hidden="false" customHeight="false" outlineLevel="0" collapsed="false">
      <c r="A6811" s="0" t="s">
        <v>1077</v>
      </c>
      <c r="B6811" s="0" t="s">
        <v>98</v>
      </c>
      <c r="F6811" s="6" t="n">
        <f aca="false">Sens!F6667-Sens!F6668+Sens!F6748</f>
        <v>44.1438473715904</v>
      </c>
      <c r="G6811" s="6" t="n">
        <f aca="false">Sens!G6667-Sens!G6668+Sens!G6748</f>
        <v>82.5803787927707</v>
      </c>
      <c r="H6811" s="6" t="n">
        <f aca="false">Sens!H6667-Sens!H6668+Sens!H6748</f>
        <v>123.897367077724</v>
      </c>
      <c r="I6811" s="6" t="n">
        <f aca="false">Sens!I6667-Sens!I6668+Sens!I6748</f>
        <v>161.07149616631</v>
      </c>
      <c r="J6811" s="6" t="n">
        <f aca="false">Sens!J6667-Sens!J6668+Sens!J6748</f>
        <v>187.554062029657</v>
      </c>
      <c r="K6811" s="6" t="n">
        <f aca="false">Sens!K6667-Sens!K6668+Sens!K6748</f>
        <v>204.769981505608</v>
      </c>
    </row>
    <row r="6812" customFormat="false" ht="17.15" hidden="false" customHeight="false" outlineLevel="0" collapsed="false">
      <c r="A6812" s="0" t="s">
        <v>1078</v>
      </c>
      <c r="B6812" s="0" t="s">
        <v>98</v>
      </c>
      <c r="F6812" s="6" t="n">
        <f aca="false">Sens!F6727+Sens!F6748+Sens!F6678+Sens!F6805*(Sens!F6697-Sens!F6661)+sbc_r*Sens!F6697</f>
        <v>232.877820693325</v>
      </c>
      <c r="G6812" s="6" t="n">
        <f aca="false">Sens!G6727+Sens!G6748+Sens!G6678+Sens!G6805*(Sens!G6697-Sens!G6661)+sbc_r*Sens!G6697</f>
        <v>297.342973506954</v>
      </c>
      <c r="H6812" s="6" t="n">
        <f aca="false">Sens!H6727+Sens!H6748+Sens!H6678+Sens!H6805*(Sens!H6697-Sens!H6661)+sbc_r*Sens!H6697</f>
        <v>365.182773004593</v>
      </c>
      <c r="I6812" s="6" t="n">
        <f aca="false">Sens!I6727+Sens!I6748+Sens!I6678+Sens!I6805*(Sens!I6697-Sens!I6661)+sbc_r*Sens!I6697</f>
        <v>427.761527554638</v>
      </c>
      <c r="J6812" s="6" t="n">
        <f aca="false">Sens!J6727+Sens!J6748+Sens!J6678+Sens!J6805*(Sens!J6697-Sens!J6661)+sbc_r*Sens!J6697</f>
        <v>477.474330817483</v>
      </c>
      <c r="K6812" s="6" t="n">
        <f aca="false">Sens!K6727+Sens!K6748+Sens!K6678+Sens!K6805*(Sens!K6697-Sens!K6661)+sbc_r*Sens!K6697</f>
        <v>515.56979325717</v>
      </c>
    </row>
    <row r="6813" customFormat="false" ht="17.15" hidden="false" customHeight="false" outlineLevel="0" collapsed="false">
      <c r="A6813" s="0" t="s">
        <v>1079</v>
      </c>
      <c r="B6813" s="0" t="s">
        <v>98</v>
      </c>
      <c r="F6813" s="6" t="n">
        <f aca="false">Sens!F6812-Sens!F6806-Sens!F6807-Sens!F6808-Sens!F6809-Sens!F6811</f>
        <v>60.5305253969582</v>
      </c>
      <c r="G6813" s="6" t="n">
        <f aca="false">Sens!G6812-Sens!G6806-Sens!G6807-Sens!G6808-Sens!G6809-Sens!G6811</f>
        <v>73.0307957519687</v>
      </c>
      <c r="H6813" s="6" t="n">
        <f aca="false">Sens!H6812-Sens!H6806-Sens!H6807-Sens!H6808-Sens!H6809-Sens!H6811</f>
        <v>85.8769242381125</v>
      </c>
      <c r="I6813" s="6" t="n">
        <f aca="false">Sens!I6812-Sens!I6806-Sens!I6807-Sens!I6808-Sens!I6809-Sens!I6811</f>
        <v>98.3762228251154</v>
      </c>
      <c r="J6813" s="6" t="n">
        <f aca="false">Sens!J6812-Sens!J6806-Sens!J6807-Sens!J6808-Sens!J6809-Sens!J6811</f>
        <v>109.693037431956</v>
      </c>
      <c r="K6813" s="6" t="n">
        <f aca="false">Sens!K6812-Sens!K6806-Sens!K6807-Sens!K6808-Sens!K6809-Sens!K6811</f>
        <v>119.158631141015</v>
      </c>
    </row>
    <row r="6814" customFormat="false" ht="17.15" hidden="false" customHeight="false" outlineLevel="0" collapsed="false">
      <c r="A6814" s="0" t="s">
        <v>1080</v>
      </c>
      <c r="B6814" s="0" t="s">
        <v>98</v>
      </c>
      <c r="F6814" s="6" t="n">
        <f aca="false">Sens!F6729+Sens!F6805*Sens!F6704+sbc_r*Sens!F6704</f>
        <v>26.3905573963099</v>
      </c>
      <c r="G6814" s="6" t="n">
        <f aca="false">Sens!G6729+Sens!G6805*Sens!G6704+sbc_r*Sens!G6704</f>
        <v>26.9798335329254</v>
      </c>
      <c r="H6814" s="6" t="n">
        <f aca="false">Sens!H6729+Sens!H6805*Sens!H6704+sbc_r*Sens!H6704</f>
        <v>27.8402035983713</v>
      </c>
      <c r="I6814" s="6" t="n">
        <f aca="false">Sens!I6729+Sens!I6805*Sens!I6704+sbc_r*Sens!I6704</f>
        <v>28.9388561786068</v>
      </c>
      <c r="J6814" s="6" t="n">
        <f aca="false">Sens!J6729+Sens!J6805*Sens!J6704+sbc_r*Sens!J6704</f>
        <v>30.2410173605236</v>
      </c>
      <c r="K6814" s="6" t="n">
        <f aca="false">Sens!K6729+Sens!K6805*Sens!K6704+sbc_r*Sens!K6704</f>
        <v>31.7124694539433</v>
      </c>
    </row>
    <row r="6815" customFormat="false" ht="17.15" hidden="false" customHeight="false" outlineLevel="0" collapsed="false">
      <c r="A6815" s="0" t="s">
        <v>1081</v>
      </c>
      <c r="B6815" s="0" t="s">
        <v>98</v>
      </c>
      <c r="F6815" s="6" t="n">
        <f aca="false">(Sens!F6814-Sens!F6810)*Sens!F6700/(Sens!F6700+Sens!F6702)</f>
        <v>8.27751702370623</v>
      </c>
      <c r="G6815" s="6" t="n">
        <f aca="false">(Sens!G6814-Sens!G6810)*Sens!G6700/(Sens!G6700+Sens!G6702)</f>
        <v>7.87078524673818</v>
      </c>
      <c r="H6815" s="6" t="n">
        <f aca="false">(Sens!H6814-Sens!H6810)*Sens!H6700/(Sens!H6700+Sens!H6702)</f>
        <v>7.62901154172465</v>
      </c>
      <c r="I6815" s="6" t="n">
        <f aca="false">(Sens!I6814-Sens!I6810)*Sens!I6700/(Sens!I6700+Sens!I6702)</f>
        <v>7.53374766327621</v>
      </c>
      <c r="J6815" s="6" t="n">
        <f aca="false">(Sens!J6814-Sens!J6810)*Sens!J6700/(Sens!J6700+Sens!J6702)</f>
        <v>7.57306805473696</v>
      </c>
      <c r="K6815" s="6" t="n">
        <f aca="false">(Sens!K6814-Sens!K6810)*Sens!K6700/(Sens!K6700+Sens!K6702)</f>
        <v>7.74153752377549</v>
      </c>
    </row>
    <row r="6816" customFormat="false" ht="17.15" hidden="false" customHeight="false" outlineLevel="0" collapsed="false">
      <c r="A6816" s="0" t="s">
        <v>1082</v>
      </c>
      <c r="B6816" s="0" t="s">
        <v>98</v>
      </c>
      <c r="F6816" s="6" t="n">
        <f aca="false">Sens!F6814-Sens!F6810-Sens!F6815</f>
        <v>6.82219857790843</v>
      </c>
      <c r="G6816" s="6" t="n">
        <f aca="false">Sens!G6814-Sens!G6810-Sens!G6815</f>
        <v>6.74762196378241</v>
      </c>
      <c r="H6816" s="6" t="n">
        <f aca="false">Sens!H6814-Sens!H6810-Sens!H6815</f>
        <v>6.7343747801929</v>
      </c>
      <c r="I6816" s="6" t="n">
        <f aca="false">Sens!I6814-Sens!I6810-Sens!I6815</f>
        <v>6.7797913625804</v>
      </c>
      <c r="J6816" s="6" t="n">
        <f aca="false">Sens!J6814-Sens!J6810-Sens!J6815</f>
        <v>6.88053534099479</v>
      </c>
      <c r="K6816" s="6" t="n">
        <f aca="false">Sens!K6814-Sens!K6810-Sens!K6815</f>
        <v>7.03359881899605</v>
      </c>
    </row>
    <row r="6817" customFormat="false" ht="17.15" hidden="false" customHeight="false" outlineLevel="0" collapsed="false">
      <c r="A6817" s="0" t="s">
        <v>1083</v>
      </c>
      <c r="B6817" s="0" t="s">
        <v>98</v>
      </c>
      <c r="F6817" s="6" t="n">
        <f aca="false">Sens!F6811-tax_f*(Sens!F6811-Sens!F6678)-Sens!F6675</f>
        <v>-118.207820498003</v>
      </c>
      <c r="G6817" s="6" t="n">
        <f aca="false">Sens!G6811-tax_f*(Sens!G6811-Sens!G6678)-Sens!G6675</f>
        <v>-105.684790026881</v>
      </c>
      <c r="H6817" s="6" t="n">
        <f aca="false">Sens!H6811-tax_f*(Sens!H6811-Sens!H6678)-Sens!H6675</f>
        <v>-71.6901882795585</v>
      </c>
      <c r="I6817" s="6" t="n">
        <f aca="false">Sens!I6811-tax_f*(Sens!I6811-Sens!I6678)-Sens!I6675</f>
        <v>-12.7283234547186</v>
      </c>
      <c r="J6817" s="6" t="n">
        <f aca="false">Sens!J6811-tax_f*(Sens!J6811-Sens!J6678)-Sens!J6675</f>
        <v>48.4614776000518</v>
      </c>
      <c r="K6817" s="6" t="n">
        <f aca="false">Sens!K6811-tax_f*(Sens!K6811-Sens!K6678)-Sens!K6675</f>
        <v>70.2348627097571</v>
      </c>
    </row>
    <row r="6818" customFormat="false" ht="17.15" hidden="false" customHeight="false" outlineLevel="0" collapsed="false">
      <c r="A6818" s="0" t="s">
        <v>1084</v>
      </c>
      <c r="B6818" s="0" t="s">
        <v>98</v>
      </c>
      <c r="G6818" s="6" t="n">
        <f aca="false">Sens!G6817/(1+wacc)^(Sens!G6790-(Sens!F6790+mid_yr))</f>
        <v>-100.632356754775</v>
      </c>
      <c r="H6818" s="6" t="n">
        <f aca="false">Sens!H6817/(1+wacc)^(Sens!H6790-(Sens!F6790+mid_yr))</f>
        <v>-61.8920952949994</v>
      </c>
      <c r="I6818" s="6" t="n">
        <f aca="false">Sens!I6817/(1+wacc)^(Sens!I6790-(Sens!F6790+mid_yr))</f>
        <v>-9.96315707888823</v>
      </c>
      <c r="J6818" s="6" t="n">
        <f aca="false">Sens!J6817/(1+wacc)^(Sens!J6790-(Sens!F6790+mid_yr))</f>
        <v>34.3932119232401</v>
      </c>
      <c r="K6818" s="6" t="n">
        <f aca="false">Sens!K6817/(1+wacc)^(Sens!K6790-(Sens!F6790+mid_yr))</f>
        <v>45.1938283252445</v>
      </c>
      <c r="L6818" s="1" t="s">
        <v>1085</v>
      </c>
    </row>
    <row r="6819" customFormat="false" ht="17.15" hidden="false" customHeight="false" outlineLevel="0" collapsed="false">
      <c r="A6819" s="0" t="s">
        <v>1086</v>
      </c>
      <c r="B6819" s="0" t="s">
        <v>98</v>
      </c>
      <c r="C6819" s="6" t="n">
        <f aca="false">(Sens!K6811-Sens!K6678)*(1-tax_f)*(1+g_tv)*(1-g_tv/(wacc+ronic_prem))/(wacc-g_tv)/(1+wacc)^(Sens!K6790+mid_yr-(Sens!F6790+mid_yr))</f>
        <v>321.941454230732</v>
      </c>
    </row>
    <row r="6820" customFormat="false" ht="17.15" hidden="false" customHeight="false" outlineLevel="0" collapsed="false">
      <c r="A6820" s="1" t="s">
        <v>1087</v>
      </c>
      <c r="B6820" s="0" t="s">
        <v>98</v>
      </c>
      <c r="C6820" s="6" t="n">
        <f aca="false">(SUM(Sens!G6818:K6818)+Sens!$C$6819)*(1+wacc)^(t_roll-(Sens!F6790+mid_yr))</f>
        <v>236.475078630016</v>
      </c>
      <c r="L6820" s="11" t="s">
        <v>1088</v>
      </c>
    </row>
    <row r="6821" customFormat="false" ht="17.15" hidden="false" customHeight="false" outlineLevel="0" collapsed="false">
      <c r="A6821" s="1" t="s">
        <v>1089</v>
      </c>
      <c r="B6821" s="0" t="s">
        <v>98</v>
      </c>
      <c r="C6821" s="6" t="n">
        <f aca="false">(w_ntm28*Sens!G6667+(1-w_ntm28)*Sens!H6667)*m_ai</f>
        <v>454.922440830797</v>
      </c>
    </row>
    <row r="6822" customFormat="false" ht="17.15" hidden="false" customHeight="false" outlineLevel="0" collapsed="false">
      <c r="A6822" s="1" t="s">
        <v>1090</v>
      </c>
      <c r="B6822" s="0" t="s">
        <v>98</v>
      </c>
      <c r="C6822" s="6" t="n">
        <f aca="false">(w_ntm28*Sens!G6813+(1-w_ntm28)*Sens!H6813)*m_cloud</f>
        <v>1066.67998767594</v>
      </c>
    </row>
    <row r="6823" customFormat="false" ht="17.15" hidden="false" customHeight="false" outlineLevel="0" collapsed="false">
      <c r="A6823" s="1" t="s">
        <v>1091</v>
      </c>
      <c r="B6823" s="0" t="s">
        <v>98</v>
      </c>
      <c r="C6823" s="6" t="n">
        <f aca="false">(w_ntm28*Sens!G6806+(1-w_ntm28)*Sens!H6806)*m_sw</f>
        <v>1045.96834747625</v>
      </c>
    </row>
    <row r="6824" customFormat="false" ht="17.15" hidden="false" customHeight="false" outlineLevel="0" collapsed="false">
      <c r="A6824" s="1" t="s">
        <v>1092</v>
      </c>
      <c r="B6824" s="0" t="s">
        <v>98</v>
      </c>
      <c r="C6824" s="6" t="n">
        <f aca="false">(w_ntm28*Sens!G6807+(1-w_ntm28)*Sens!H6807)*m_sw</f>
        <v>380.595632932237</v>
      </c>
    </row>
    <row r="6825" customFormat="false" ht="17.15" hidden="false" customHeight="false" outlineLevel="0" collapsed="false">
      <c r="A6825" s="1" t="s">
        <v>1093</v>
      </c>
      <c r="B6825" s="0" t="s">
        <v>98</v>
      </c>
      <c r="C6825" s="6" t="n">
        <f aca="false">(w_ntm28*Sens!G6808+(1-w_ntm28)*Sens!H6808)*m_sw</f>
        <v>109.945462197967</v>
      </c>
    </row>
    <row r="6826" customFormat="false" ht="17.15" hidden="false" customHeight="false" outlineLevel="0" collapsed="false">
      <c r="A6826" s="1" t="s">
        <v>1094</v>
      </c>
      <c r="B6826" s="0" t="s">
        <v>98</v>
      </c>
      <c r="C6826" s="6" t="n">
        <f aca="false">(w_ntm28*Sens!G6809+(1-w_ntm28)*Sens!H6809)*m_sw</f>
        <v>41.9462176010945</v>
      </c>
    </row>
    <row r="6827" customFormat="false" ht="17.15" hidden="false" customHeight="false" outlineLevel="0" collapsed="false">
      <c r="A6827" s="1" t="s">
        <v>1095</v>
      </c>
      <c r="B6827" s="0" t="s">
        <v>98</v>
      </c>
      <c r="C6827" s="6" t="n">
        <f aca="false">(w_ntm28*Sens!G6810+(1-w_ntm28)*Sens!H6810)*m_ads</f>
        <v>115.897588229391</v>
      </c>
    </row>
    <row r="6828" customFormat="false" ht="17.15" hidden="false" customHeight="false" outlineLevel="0" collapsed="false">
      <c r="A6828" s="1" t="s">
        <v>1096</v>
      </c>
      <c r="B6828" s="0" t="s">
        <v>98</v>
      </c>
      <c r="C6828" s="6" t="n">
        <f aca="false">(w_ntm28*Sens!G6815+(1-w_ntm28)*Sens!H6815)*m_game</f>
        <v>98.4208258210159</v>
      </c>
    </row>
    <row r="6829" customFormat="false" ht="17.15" hidden="false" customHeight="false" outlineLevel="0" collapsed="false">
      <c r="A6829" s="1" t="s">
        <v>1097</v>
      </c>
      <c r="B6829" s="0" t="s">
        <v>98</v>
      </c>
      <c r="C6829" s="6" t="n">
        <f aca="false">(w_ntm28*Sens!G6816+(1-w_ntm28)*Sens!H6816)*m_pc</f>
        <v>97.5761198540363</v>
      </c>
    </row>
    <row r="6830" customFormat="false" ht="17.15" hidden="false" customHeight="false" outlineLevel="0" collapsed="false">
      <c r="A6830" s="1" t="s">
        <v>1098</v>
      </c>
      <c r="B6830" s="0" t="s">
        <v>98</v>
      </c>
      <c r="C6830" s="6" t="n">
        <f aca="false">Sens!$C$6820+Sens!$C$6822+Sens!$C$6823+Sens!$C$6824+Sens!$C$6825+Sens!$C$6826+Sens!$C$6827+Sens!$C$6828+Sens!$C$6829</f>
        <v>3193.50526041795</v>
      </c>
    </row>
    <row r="6831" customFormat="false" ht="17.15" hidden="false" customHeight="false" outlineLevel="0" collapsed="false">
      <c r="A6831" s="1" t="s">
        <v>1099</v>
      </c>
      <c r="B6831" s="0" t="s">
        <v>98</v>
      </c>
      <c r="C6831" s="6" t="n">
        <f aca="false">(Sens!G6792-Sens!G6817)*t_stub</f>
        <v>46.8071356832702</v>
      </c>
      <c r="L6831" s="1" t="s">
        <v>1100</v>
      </c>
    </row>
    <row r="6832" customFormat="false" ht="17.15" hidden="false" customHeight="false" outlineLevel="0" collapsed="false">
      <c r="A6832" s="1" t="s">
        <v>1014</v>
      </c>
      <c r="B6832" s="0" t="s">
        <v>98</v>
      </c>
      <c r="C6832" s="6" t="n">
        <f aca="false">Sens!F6781+oai_v-Sens!F6770+Sens!$C$6831</f>
        <v>156.401538300483</v>
      </c>
      <c r="L6832" s="1" t="s">
        <v>1101</v>
      </c>
    </row>
    <row r="6833" customFormat="false" ht="17.15" hidden="false" customHeight="false" outlineLevel="0" collapsed="false">
      <c r="A6833" s="1" t="s">
        <v>1102</v>
      </c>
      <c r="B6833" s="0" t="s">
        <v>75</v>
      </c>
      <c r="C6833" s="5" t="n">
        <f aca="false">(Sens!$C$6830+Sens!$C$6832)/(Sens!F6783+dil_gap)-Sens!G6773*roll_div_q/q_per_yr</f>
        <v>445.853082539812</v>
      </c>
      <c r="L6833" s="1" t="s">
        <v>1103</v>
      </c>
    </row>
    <row r="6834" customFormat="false" ht="17.15" hidden="false" customHeight="false" outlineLevel="0" collapsed="false">
      <c r="A6834" s="1" t="s">
        <v>1104</v>
      </c>
      <c r="B6834" s="0" t="s">
        <v>75</v>
      </c>
      <c r="C6834" s="5" t="n">
        <f aca="false">w_dcf*Sens!$C$6804+(1-w_dcf)*Sens!$C$6833</f>
        <v>387.811553691081</v>
      </c>
    </row>
    <row r="6835" customFormat="false" ht="17.15" hidden="false" customHeight="false" outlineLevel="0" collapsed="false">
      <c r="A6835" s="3" t="s">
        <v>1437</v>
      </c>
    </row>
    <row r="6836" customFormat="false" ht="15" hidden="false" customHeight="false" outlineLevel="0" collapsed="false">
      <c r="A6836" s="4" t="s">
        <v>43</v>
      </c>
      <c r="B6836" s="4" t="s">
        <v>65</v>
      </c>
      <c r="C6836" s="20" t="s">
        <v>799</v>
      </c>
      <c r="D6836" s="20" t="s">
        <v>800</v>
      </c>
      <c r="E6836" s="20" t="s">
        <v>801</v>
      </c>
      <c r="F6836" s="20" t="s">
        <v>802</v>
      </c>
      <c r="G6836" s="20" t="s">
        <v>803</v>
      </c>
      <c r="H6836" s="20" t="s">
        <v>804</v>
      </c>
      <c r="I6836" s="20" t="s">
        <v>805</v>
      </c>
      <c r="J6836" s="20" t="s">
        <v>806</v>
      </c>
      <c r="K6836" s="20" t="s">
        <v>807</v>
      </c>
      <c r="L6836" s="4" t="s">
        <v>47</v>
      </c>
    </row>
    <row r="6837" customFormat="false" ht="17.15" hidden="false" customHeight="false" outlineLevel="0" collapsed="false">
      <c r="A6837" s="1" t="s">
        <v>808</v>
      </c>
      <c r="B6837" s="1" t="s">
        <v>235</v>
      </c>
      <c r="C6837" s="28" t="n">
        <v>2024</v>
      </c>
      <c r="D6837" s="28" t="n">
        <v>2025</v>
      </c>
      <c r="E6837" s="28" t="n">
        <v>2026</v>
      </c>
      <c r="F6837" s="28" t="n">
        <v>2027</v>
      </c>
      <c r="G6837" s="28" t="n">
        <v>2028</v>
      </c>
      <c r="H6837" s="28" t="n">
        <v>2029</v>
      </c>
      <c r="I6837" s="28" t="n">
        <v>2030</v>
      </c>
      <c r="J6837" s="28" t="n">
        <v>2031</v>
      </c>
      <c r="K6837" s="28" t="n">
        <v>2032</v>
      </c>
    </row>
    <row r="6838" customFormat="false" ht="17.15" hidden="false" customHeight="false" outlineLevel="0" collapsed="false">
      <c r="A6838" s="1" t="s">
        <v>809</v>
      </c>
      <c r="B6838" s="0" t="s">
        <v>399</v>
      </c>
      <c r="F6838" s="29" t="n">
        <f aca="false">pace</f>
        <v>2527.2</v>
      </c>
      <c r="G6838" s="29" t="n">
        <f aca="false">pace</f>
        <v>2527.2</v>
      </c>
      <c r="H6838" s="29" t="n">
        <f aca="false">pace</f>
        <v>2527.2</v>
      </c>
      <c r="I6838" s="29" t="n">
        <f aca="false">pace+(g_tv*Sens!H6839-pace)*MIN(1,(Sens!I6837-pace_y0)/(pace_y1-pace_y0))</f>
        <v>1793.116</v>
      </c>
      <c r="J6838" s="29" t="n">
        <f aca="false">pace+(g_tv*Sens!I6839-pace)*MIN(1,(Sens!J6837-pace_y0)/(pace_y1-pace_y0))</f>
        <v>1094.89432</v>
      </c>
      <c r="K6838" s="29" t="n">
        <f aca="false">pace+(g_tv*Sens!J6839-pace)*MIN(1,(Sens!K6837-pace_y0)/(pace_y1-pace_y0))</f>
        <v>411.5883096</v>
      </c>
      <c r="L6838" s="11" t="s">
        <v>810</v>
      </c>
    </row>
    <row r="6839" customFormat="false" ht="17.15" hidden="false" customHeight="false" outlineLevel="0" collapsed="false">
      <c r="A6839" s="1" t="s">
        <v>811</v>
      </c>
      <c r="B6839" s="0" t="s">
        <v>399</v>
      </c>
      <c r="C6839" s="29" t="n">
        <f aca="false">mw_ext_24</f>
        <v>640</v>
      </c>
      <c r="D6839" s="29" t="n">
        <f aca="false">mw_ext_25</f>
        <v>1630</v>
      </c>
      <c r="E6839" s="29" t="n">
        <f aca="false">mw_ext_26</f>
        <v>3250</v>
      </c>
      <c r="F6839" s="29" t="n">
        <f aca="false">Sens!E6839+Sens!F6838</f>
        <v>5777.2</v>
      </c>
      <c r="G6839" s="29" t="n">
        <f aca="false">Sens!F6839+Sens!G6838</f>
        <v>8304.4</v>
      </c>
      <c r="H6839" s="29" t="n">
        <f aca="false">Sens!G6839+Sens!H6838</f>
        <v>10831.6</v>
      </c>
      <c r="I6839" s="29" t="n">
        <f aca="false">Sens!H6839+Sens!I6838</f>
        <v>12624.716</v>
      </c>
      <c r="J6839" s="29" t="n">
        <f aca="false">Sens!I6839+Sens!J6838</f>
        <v>13719.61032</v>
      </c>
      <c r="K6839" s="29" t="n">
        <f aca="false">Sens!J6839+Sens!K6838</f>
        <v>14131.1986296</v>
      </c>
      <c r="L6839" s="1" t="s">
        <v>812</v>
      </c>
    </row>
    <row r="6840" customFormat="false" ht="17.15" hidden="false" customHeight="false" outlineLevel="0" collapsed="false">
      <c r="A6840" s="1" t="s">
        <v>813</v>
      </c>
      <c r="B6840" s="0" t="s">
        <v>399</v>
      </c>
      <c r="C6840" s="29" t="n">
        <f aca="false">rent_ext_24</f>
        <v>150</v>
      </c>
      <c r="D6840" s="29" t="n">
        <f aca="false">rent_ext_25</f>
        <v>400</v>
      </c>
      <c r="E6840" s="29" t="n">
        <f aca="false">rent_ext_26</f>
        <v>550</v>
      </c>
      <c r="F6840" s="29" t="n">
        <f aca="false">rent_ext_f</f>
        <v>756</v>
      </c>
      <c r="G6840" s="29" t="n">
        <f aca="false">rent_ext_f</f>
        <v>756</v>
      </c>
      <c r="H6840" s="29" t="n">
        <f aca="false">rent_ext_f</f>
        <v>756</v>
      </c>
      <c r="I6840" s="29" t="n">
        <f aca="false">rent_ext_f</f>
        <v>756</v>
      </c>
      <c r="J6840" s="29" t="n">
        <f aca="false">rent_ext_f</f>
        <v>756</v>
      </c>
      <c r="K6840" s="29" t="n">
        <f aca="false">rent_ext_f</f>
        <v>756</v>
      </c>
      <c r="L6840" s="1" t="s">
        <v>814</v>
      </c>
    </row>
    <row r="6841" customFormat="false" ht="17.15" hidden="false" customHeight="false" outlineLevel="0" collapsed="false">
      <c r="A6841" s="1" t="s">
        <v>815</v>
      </c>
      <c r="B6841" s="0" t="s">
        <v>399</v>
      </c>
      <c r="C6841" s="29" t="n">
        <f aca="false">Sens!C6839-Sens!C6840</f>
        <v>490</v>
      </c>
      <c r="D6841" s="29" t="n">
        <f aca="false">Sens!D6839-Sens!D6840</f>
        <v>1230</v>
      </c>
      <c r="E6841" s="29" t="n">
        <f aca="false">Sens!E6839-Sens!E6840</f>
        <v>2700</v>
      </c>
      <c r="F6841" s="29" t="n">
        <f aca="false">Sens!F6839-Sens!F6840</f>
        <v>5021.2</v>
      </c>
      <c r="G6841" s="29" t="n">
        <f aca="false">Sens!G6839-Sens!G6840</f>
        <v>7548.4</v>
      </c>
      <c r="H6841" s="29" t="n">
        <f aca="false">Sens!H6839-Sens!H6840</f>
        <v>10075.6</v>
      </c>
      <c r="I6841" s="29" t="n">
        <f aca="false">Sens!I6839-Sens!I6840</f>
        <v>11868.716</v>
      </c>
      <c r="J6841" s="29" t="n">
        <f aca="false">Sens!J6839-Sens!J6840</f>
        <v>12963.61032</v>
      </c>
      <c r="K6841" s="29" t="n">
        <f aca="false">Sens!K6839-Sens!K6840</f>
        <v>13375.1986296</v>
      </c>
    </row>
    <row r="6842" customFormat="false" ht="17.15" hidden="false" customHeight="false" outlineLevel="0" collapsed="false">
      <c r="A6842" s="1" t="s">
        <v>816</v>
      </c>
      <c r="B6842" s="0" t="s">
        <v>399</v>
      </c>
      <c r="C6842" s="29" t="n">
        <f aca="false">Sens!C6841/ext_sh</f>
        <v>816.666666666667</v>
      </c>
      <c r="D6842" s="29" t="n">
        <f aca="false">Sens!D6841/ext_sh</f>
        <v>2050</v>
      </c>
      <c r="E6842" s="29" t="n">
        <f aca="false">Sens!E6841/ext_sh</f>
        <v>4500</v>
      </c>
      <c r="F6842" s="29" t="n">
        <f aca="false">Sens!F6841/ext_sh</f>
        <v>8368.66666666667</v>
      </c>
      <c r="G6842" s="29" t="n">
        <f aca="false">Sens!G6841/ext_sh</f>
        <v>12580.6666666667</v>
      </c>
      <c r="H6842" s="29" t="n">
        <f aca="false">Sens!H6841/ext_sh</f>
        <v>16792.6666666667</v>
      </c>
      <c r="I6842" s="29" t="n">
        <f aca="false">Sens!I6841/ext_sh</f>
        <v>19781.1933333333</v>
      </c>
      <c r="J6842" s="29" t="n">
        <f aca="false">Sens!J6841/ext_sh</f>
        <v>21606.0172</v>
      </c>
      <c r="K6842" s="29" t="n">
        <f aca="false">Sens!K6841/ext_sh</f>
        <v>22291.997716</v>
      </c>
      <c r="L6842" s="1" t="s">
        <v>817</v>
      </c>
    </row>
    <row r="6843" customFormat="false" ht="17.15" hidden="false" customHeight="false" outlineLevel="0" collapsed="false">
      <c r="A6843" s="1" t="s">
        <v>818</v>
      </c>
      <c r="B6843" s="0" t="s">
        <v>399</v>
      </c>
      <c r="C6843" s="29" t="n">
        <f aca="false">Sens!C6842-Sens!C6841</f>
        <v>326.666666666667</v>
      </c>
      <c r="D6843" s="29" t="n">
        <f aca="false">Sens!D6842-Sens!D6841</f>
        <v>820</v>
      </c>
      <c r="E6843" s="29" t="n">
        <f aca="false">Sens!E6842-Sens!E6841</f>
        <v>1800</v>
      </c>
      <c r="F6843" s="29" t="n">
        <f aca="false">Sens!F6842-Sens!F6841</f>
        <v>3347.46666666667</v>
      </c>
      <c r="G6843" s="29" t="n">
        <f aca="false">Sens!G6842-Sens!G6841</f>
        <v>5032.26666666667</v>
      </c>
      <c r="H6843" s="29" t="n">
        <f aca="false">Sens!H6842-Sens!H6841</f>
        <v>6717.06666666667</v>
      </c>
      <c r="I6843" s="29" t="n">
        <f aca="false">Sens!I6842-Sens!I6841</f>
        <v>7912.47733333333</v>
      </c>
      <c r="J6843" s="29" t="n">
        <f aca="false">Sens!J6842-Sens!J6841</f>
        <v>8642.40688</v>
      </c>
      <c r="K6843" s="29" t="n">
        <f aca="false">Sens!K6842-Sens!K6841</f>
        <v>8916.7990864</v>
      </c>
    </row>
    <row r="6844" customFormat="false" ht="17.15" hidden="false" customHeight="false" outlineLevel="0" collapsed="false">
      <c r="A6844" s="1" t="s">
        <v>819</v>
      </c>
      <c r="B6844" s="0" t="s">
        <v>399</v>
      </c>
      <c r="C6844" s="29" t="n">
        <f aca="false">Sens!C6842</f>
        <v>816.666666666667</v>
      </c>
      <c r="D6844" s="29" t="n">
        <f aca="false">Sens!D6842-Sens!C6842</f>
        <v>1233.33333333333</v>
      </c>
      <c r="E6844" s="29" t="n">
        <f aca="false">Sens!E6842-Sens!D6842</f>
        <v>2450</v>
      </c>
      <c r="F6844" s="29" t="n">
        <f aca="false">Sens!F6842-Sens!E6842</f>
        <v>3868.66666666667</v>
      </c>
      <c r="G6844" s="29" t="n">
        <f aca="false">Sens!G6842-Sens!F6842</f>
        <v>4212</v>
      </c>
      <c r="H6844" s="29" t="n">
        <f aca="false">Sens!H6842-Sens!G6842</f>
        <v>4212</v>
      </c>
      <c r="I6844" s="29" t="n">
        <f aca="false">Sens!I6842-Sens!H6842</f>
        <v>2988.52666666667</v>
      </c>
      <c r="J6844" s="29" t="n">
        <f aca="false">Sens!J6842-Sens!I6842</f>
        <v>1824.82386666667</v>
      </c>
      <c r="K6844" s="29" t="n">
        <f aca="false">Sens!K6842-Sens!J6842</f>
        <v>685.980516</v>
      </c>
    </row>
    <row r="6845" customFormat="false" ht="17.15" hidden="false" customHeight="false" outlineLevel="0" collapsed="false">
      <c r="A6845" s="1" t="s">
        <v>820</v>
      </c>
      <c r="B6845" s="0" t="s">
        <v>399</v>
      </c>
      <c r="D6845" s="29" t="n">
        <f aca="false">Sens!D6839-Sens!C6839</f>
        <v>990</v>
      </c>
      <c r="E6845" s="29" t="n">
        <f aca="false">Sens!E6839-Sens!D6839</f>
        <v>1620</v>
      </c>
      <c r="F6845" s="29" t="n">
        <f aca="false">Sens!F6839-Sens!E6839</f>
        <v>2527.2</v>
      </c>
      <c r="G6845" s="29" t="n">
        <f aca="false">Sens!G6839-Sens!F6839</f>
        <v>2527.2</v>
      </c>
      <c r="H6845" s="29" t="n">
        <f aca="false">Sens!H6839-Sens!G6839</f>
        <v>2527.2</v>
      </c>
      <c r="I6845" s="29" t="n">
        <f aca="false">Sens!I6839-Sens!H6839</f>
        <v>1793.116</v>
      </c>
      <c r="J6845" s="29" t="n">
        <f aca="false">Sens!J6839-Sens!I6839</f>
        <v>1094.89432</v>
      </c>
      <c r="K6845" s="29" t="n">
        <f aca="false">Sens!K6839-Sens!J6839</f>
        <v>411.5883096</v>
      </c>
    </row>
    <row r="6846" customFormat="false" ht="17.15" hidden="false" customHeight="false" outlineLevel="0" collapsed="false">
      <c r="A6846" s="1" t="s">
        <v>821</v>
      </c>
      <c r="B6846" s="0" t="s">
        <v>399</v>
      </c>
      <c r="F6846" s="29" t="n">
        <f aca="false">Sens!F6863*ext_sh</f>
        <v>0</v>
      </c>
      <c r="G6846" s="29" t="n">
        <f aca="false">Sens!G6863*ext_sh</f>
        <v>0</v>
      </c>
      <c r="H6846" s="29" t="n">
        <f aca="false">Sens!H6863*ext_sh</f>
        <v>0</v>
      </c>
      <c r="I6846" s="29" t="n">
        <f aca="false">Sens!I6863*ext_sh</f>
        <v>490</v>
      </c>
      <c r="J6846" s="29" t="n">
        <f aca="false">Sens!J6863*ext_sh</f>
        <v>740</v>
      </c>
      <c r="K6846" s="29" t="n">
        <f aca="false">Sens!K6863*ext_sh</f>
        <v>1470</v>
      </c>
      <c r="L6846" s="1" t="s">
        <v>822</v>
      </c>
    </row>
    <row r="6847" customFormat="false" ht="17.15" hidden="false" customHeight="false" outlineLevel="0" collapsed="false">
      <c r="A6847" s="1" t="s">
        <v>823</v>
      </c>
      <c r="B6847" s="0" t="s">
        <v>399</v>
      </c>
      <c r="C6847" s="29" t="n">
        <f aca="false">mix_h*Sens!C6839</f>
        <v>128</v>
      </c>
      <c r="D6847" s="29" t="n">
        <f aca="false">mix_h*Sens!D6839</f>
        <v>326</v>
      </c>
      <c r="E6847" s="29" t="n">
        <f aca="false">mix_h*Sens!E6839</f>
        <v>650</v>
      </c>
      <c r="F6847" s="29" t="n">
        <f aca="false">Sens!E6847-Sens!F6846*mix_h</f>
        <v>650</v>
      </c>
      <c r="G6847" s="29" t="n">
        <f aca="false">Sens!F6847-Sens!G6846*mix_h</f>
        <v>650</v>
      </c>
      <c r="H6847" s="29" t="n">
        <f aca="false">Sens!G6847-Sens!H6846*mix_h</f>
        <v>650</v>
      </c>
      <c r="I6847" s="29" t="n">
        <f aca="false">Sens!H6847-Sens!I6846*mix_h</f>
        <v>552</v>
      </c>
      <c r="J6847" s="29" t="n">
        <f aca="false">Sens!I6847-Sens!J6846*mix_h</f>
        <v>404</v>
      </c>
      <c r="K6847" s="29" t="n">
        <f aca="false">Sens!J6847-Sens!K6846*mix_h</f>
        <v>110</v>
      </c>
    </row>
    <row r="6848" customFormat="false" ht="17.15" hidden="false" customHeight="false" outlineLevel="0" collapsed="false">
      <c r="A6848" s="1" t="s">
        <v>824</v>
      </c>
      <c r="B6848" s="0" t="s">
        <v>399</v>
      </c>
      <c r="C6848" s="29" t="n">
        <f aca="false">mix_g2*Sens!C6839</f>
        <v>288</v>
      </c>
      <c r="D6848" s="29" t="n">
        <f aca="false">mix_g2*Sens!D6839</f>
        <v>733.5</v>
      </c>
      <c r="E6848" s="29" t="n">
        <f aca="false">mix_g2*Sens!E6839</f>
        <v>1462.5</v>
      </c>
      <c r="F6848" s="29" t="n">
        <f aca="false">Sens!E6848-Sens!F6846*mix_g2</f>
        <v>1462.5</v>
      </c>
      <c r="G6848" s="29" t="n">
        <f aca="false">Sens!F6848-Sens!G6846*mix_g2</f>
        <v>1462.5</v>
      </c>
      <c r="H6848" s="29" t="n">
        <f aca="false">Sens!G6848-Sens!H6846*mix_g2</f>
        <v>1462.5</v>
      </c>
      <c r="I6848" s="29" t="n">
        <f aca="false">Sens!H6848-Sens!I6846*mix_g2</f>
        <v>1242</v>
      </c>
      <c r="J6848" s="29" t="n">
        <f aca="false">Sens!I6848-Sens!J6846*mix_g2</f>
        <v>909</v>
      </c>
      <c r="K6848" s="29" t="n">
        <f aca="false">Sens!J6848-Sens!K6846*mix_g2</f>
        <v>247.5</v>
      </c>
    </row>
    <row r="6849" customFormat="false" ht="17.15" hidden="false" customHeight="false" outlineLevel="0" collapsed="false">
      <c r="A6849" s="1" t="s">
        <v>825</v>
      </c>
      <c r="B6849" s="0" t="s">
        <v>399</v>
      </c>
      <c r="C6849" s="29" t="n">
        <f aca="false">mix_g3*Sens!C6839</f>
        <v>224</v>
      </c>
      <c r="D6849" s="29" t="n">
        <f aca="false">mix_g3*Sens!D6839</f>
        <v>570.5</v>
      </c>
      <c r="E6849" s="29" t="n">
        <f aca="false">mix_g3*Sens!E6839</f>
        <v>1137.5</v>
      </c>
      <c r="F6849" s="29" t="n">
        <f aca="false">Sens!E6849+(Sens!F6845+Sens!F6846)*a_g3_27-Sens!F6846*mix_g3</f>
        <v>2906.54</v>
      </c>
      <c r="G6849" s="29" t="n">
        <f aca="false">Sens!F6849+(Sens!G6845+Sens!G6846)*a_g3_28-Sens!G6846*mix_g3</f>
        <v>3664.7</v>
      </c>
      <c r="H6849" s="29" t="n">
        <f aca="false">Sens!G6849+(Sens!H6845+Sens!H6846)*a_g3_29-Sens!H6846*mix_g3</f>
        <v>3917.42</v>
      </c>
      <c r="I6849" s="29" t="n">
        <f aca="false">Sens!H6849+(Sens!I6845+Sens!I6846)*a_g3_29-Sens!I6846*mix_g3</f>
        <v>3974.2316</v>
      </c>
      <c r="J6849" s="29" t="n">
        <f aca="false">Sens!I6849+(Sens!J6845+Sens!J6846)*a_g3_29-Sens!J6846*mix_g3</f>
        <v>3898.721032</v>
      </c>
      <c r="K6849" s="29" t="n">
        <f aca="false">Sens!J6849+(Sens!K6845+Sens!K6846)*a_g3_29-Sens!K6846*mix_g3</f>
        <v>3572.37986296</v>
      </c>
    </row>
    <row r="6850" customFormat="false" ht="17.15" hidden="false" customHeight="false" outlineLevel="0" collapsed="false">
      <c r="A6850" s="1" t="s">
        <v>826</v>
      </c>
      <c r="B6850" s="0" t="s">
        <v>399</v>
      </c>
      <c r="C6850" s="29" t="n">
        <v>0</v>
      </c>
      <c r="D6850" s="29" t="n">
        <v>0</v>
      </c>
      <c r="E6850" s="29" t="n">
        <v>0</v>
      </c>
      <c r="F6850" s="29" t="n">
        <f aca="false">Sens!E6850+(Sens!F6845+Sens!F6846)*(1-a_g3_27)</f>
        <v>758.16</v>
      </c>
      <c r="G6850" s="29" t="n">
        <f aca="false">Sens!F6850+(Sens!G6845+Sens!G6846)*(1-a_g3_28)</f>
        <v>2527.2</v>
      </c>
      <c r="H6850" s="29" t="n">
        <f aca="false">Sens!G6850+(Sens!H6845+Sens!H6846)*(1-a_g3_29)</f>
        <v>4801.68</v>
      </c>
      <c r="I6850" s="29" t="n">
        <f aca="false">Sens!H6850+(Sens!I6845+Sens!I6846)*(1-a_g3_29)</f>
        <v>6856.4844</v>
      </c>
      <c r="J6850" s="29" t="n">
        <f aca="false">Sens!I6850+(Sens!J6845+Sens!J6846)*(1-a_g3_29)</f>
        <v>8507.889288</v>
      </c>
      <c r="K6850" s="29" t="n">
        <f aca="false">Sens!J6850+(Sens!K6845+Sens!K6846)*(1-a_g3_29)</f>
        <v>10201.31876664</v>
      </c>
    </row>
    <row r="6851" customFormat="false" ht="17.15" hidden="false" customHeight="false" outlineLevel="0" collapsed="false">
      <c r="A6851" s="1" t="s">
        <v>827</v>
      </c>
      <c r="B6851" s="0" t="s">
        <v>346</v>
      </c>
      <c r="C6851" s="14" t="n">
        <f aca="false">(Sens!C6847*tk_hold_h100+Sens!C6848*tk_hold_gb200+Sens!C6849*tk_hold_gb300+Sens!C6850*tk_hold_vr200)/Sens!C6839</f>
        <v>9.7235358126469</v>
      </c>
      <c r="D6851" s="14" t="n">
        <f aca="false">(Sens!D6847*tk_hold_h100+Sens!D6848*tk_hold_gb200+Sens!D6849*tk_hold_gb300+Sens!D6850*tk_hold_vr200)/Sens!D6839</f>
        <v>9.7235358126469</v>
      </c>
      <c r="E6851" s="14" t="n">
        <f aca="false">(Sens!E6847*tk_hold_h100+Sens!E6848*tk_hold_gb200+Sens!E6849*tk_hold_gb300+Sens!E6850*tk_hold_vr200)/Sens!E6839</f>
        <v>9.7235358126469</v>
      </c>
      <c r="F6851" s="14" t="n">
        <f aca="false">(Sens!F6847*tk_hold_h100+Sens!F6848*tk_hold_gb200+Sens!F6849*tk_hold_gb300+Sens!F6850*tk_hold_vr200)/Sens!F6839</f>
        <v>10.4079573161931</v>
      </c>
      <c r="G6851" s="14" t="n">
        <f aca="false">(Sens!G6847*tk_hold_h100+Sens!G6848*tk_hold_gb200+Sens!G6849*tk_hold_gb300+Sens!G6850*tk_hold_vr200)/Sens!G6839</f>
        <v>10.8388131109316</v>
      </c>
      <c r="H6851" s="14" t="n">
        <f aca="false">(Sens!H6847*tk_hold_h100+Sens!H6848*tk_hold_gb200+Sens!H6849*tk_hold_gb300+Sens!H6850*tk_hold_vr200)/Sens!H6839</f>
        <v>11.1311018388216</v>
      </c>
      <c r="I6851" s="14" t="n">
        <f aca="false">(Sens!I6847*tk_hold_h100+Sens!I6848*tk_hold_gb200+Sens!I6849*tk_hold_gb300+Sens!I6850*tk_hold_vr200)/Sens!I6839</f>
        <v>11.3594282560989</v>
      </c>
      <c r="J6851" s="14" t="n">
        <f aca="false">(Sens!J6847*tk_hold_h100+Sens!J6848*tk_hold_gb200+Sens!J6849*tk_hold_gb300+Sens!J6850*tk_hold_vr200)/Sens!J6839</f>
        <v>11.5455817917599</v>
      </c>
      <c r="K6851" s="14" t="n">
        <f aca="false">(Sens!K6847*tk_hold_h100+Sens!K6848*tk_hold_gb200+Sens!K6849*tk_hold_gb300+Sens!K6850*tk_hold_vr200)/Sens!K6839</f>
        <v>11.8078187977246</v>
      </c>
    </row>
    <row r="6852" customFormat="false" ht="17.15" hidden="false" customHeight="false" outlineLevel="0" collapsed="false">
      <c r="A6852" s="0" t="s">
        <v>828</v>
      </c>
      <c r="B6852" s="0" t="s">
        <v>185</v>
      </c>
      <c r="C6852" s="14" t="n">
        <f aca="false">k_B</f>
        <v>1.17213932619116</v>
      </c>
      <c r="D6852" s="14" t="n">
        <f aca="false">k_B</f>
        <v>1.17213932619116</v>
      </c>
      <c r="E6852" s="14" t="n">
        <f aca="false">k_B</f>
        <v>1.17213932619116</v>
      </c>
      <c r="F6852" s="14" t="n">
        <f aca="false">(k_B+((ls_C*k_long+(1-ls_C)*k_spot)-k_B)*MIN(1,(Sens!F6837-base_fy)/k_ramp))</f>
        <v>1.07843258004497</v>
      </c>
      <c r="G6852" s="14" t="n">
        <f aca="false">(k_B+((ls_C*k_long+(1-ls_C)*k_spot)-k_B)*MIN(1,(Sens!G6837-base_fy)/k_ramp))</f>
        <v>0.984725833898784</v>
      </c>
      <c r="H6852" s="14" t="n">
        <f aca="false">(k_B+((ls_C*k_long+(1-ls_C)*k_spot)-k_B)*MIN(1,(Sens!H6837-base_fy)/k_ramp))</f>
        <v>0.891019087752599</v>
      </c>
      <c r="I6852" s="14" t="n">
        <f aca="false">(k_B+((ls_C*k_long+(1-ls_C)*k_spot)-k_B)*MIN(1,(Sens!I6837-base_fy)/k_ramp))</f>
        <v>0.891019087752599</v>
      </c>
      <c r="J6852" s="14" t="n">
        <f aca="false">(k_B+((ls_C*k_long+(1-ls_C)*k_spot)-k_B)*MIN(1,(Sens!J6837-base_fy)/k_ramp))</f>
        <v>0.891019087752599</v>
      </c>
      <c r="K6852" s="14" t="n">
        <f aca="false">(k_B+((ls_C*k_long+(1-ls_C)*k_spot)-k_B)*MIN(1,(Sens!K6837-base_fy)/k_ramp))</f>
        <v>0.891019087752599</v>
      </c>
      <c r="L6852" s="1" t="s">
        <v>829</v>
      </c>
    </row>
    <row r="6853" customFormat="false" ht="17.15" hidden="false" customHeight="false" outlineLevel="0" collapsed="false">
      <c r="A6853" s="1" t="s">
        <v>830</v>
      </c>
      <c r="B6853" s="0" t="s">
        <v>346</v>
      </c>
      <c r="C6853" s="14" t="n">
        <f aca="false">Sens!C6851*Sens!C6852*chip_f</f>
        <v>11.3973387156315</v>
      </c>
      <c r="D6853" s="14" t="n">
        <f aca="false">Sens!D6851*Sens!D6852*chip_f</f>
        <v>11.3973387156315</v>
      </c>
      <c r="E6853" s="14" t="n">
        <f aca="false">Sens!E6851*Sens!E6852*chip_f</f>
        <v>11.3973387156315</v>
      </c>
      <c r="F6853" s="14" t="n">
        <f aca="false">Sens!F6851*Sens!F6852*chip_f</f>
        <v>11.2242802615</v>
      </c>
      <c r="G6853" s="14" t="n">
        <f aca="false">Sens!G6851*Sens!G6852*chip_f</f>
        <v>10.6732592791352</v>
      </c>
      <c r="H6853" s="14" t="n">
        <f aca="false">Sens!H6851*Sens!H6852*chip_f</f>
        <v>9.91802420610807</v>
      </c>
      <c r="I6853" s="14" t="n">
        <f aca="false">Sens!I6851*Sens!I6852*chip_f</f>
        <v>10.1214674021403</v>
      </c>
      <c r="J6853" s="14" t="n">
        <f aca="false">Sens!J6851*Sens!J6852*chip_f</f>
        <v>10.2873337556669</v>
      </c>
      <c r="K6853" s="14" t="n">
        <f aca="false">Sens!K6851*Sens!K6852*chip_f</f>
        <v>10.5209919334966</v>
      </c>
      <c r="L6853" s="1" t="s">
        <v>831</v>
      </c>
    </row>
    <row r="6854" customFormat="false" ht="17.15" hidden="false" customHeight="false" outlineLevel="0" collapsed="false">
      <c r="A6854" s="0" t="s">
        <v>832</v>
      </c>
      <c r="B6854" s="0" t="s">
        <v>98</v>
      </c>
      <c r="D6854" s="6" t="n">
        <f aca="false">(Sens!C6839+Sens!D6839)/2*Sens!D6853/1000</f>
        <v>12.9359794422418</v>
      </c>
      <c r="E6854" s="6" t="n">
        <f aca="false">(Sens!D6839+Sens!E6839)/2*Sens!E6853/1000</f>
        <v>27.8095064661409</v>
      </c>
      <c r="F6854" s="6" t="n">
        <f aca="false">(Sens!E6839+Sens!F6839)/2*Sens!F6853/1000</f>
        <v>50.6619113883066</v>
      </c>
      <c r="G6854" s="6" t="n">
        <f aca="false">(Sens!F6839+Sens!G6839)/2*Sens!G6853/1000</f>
        <v>75.1482839325348</v>
      </c>
      <c r="H6854" s="6" t="n">
        <f aca="false">(Sens!G6839+Sens!H6839)/2*Sens!H6853/1000</f>
        <v>94.895655604042</v>
      </c>
      <c r="I6854" s="6" t="n">
        <f aca="false">(Sens!H6839+Sens!I6839)/2*Sens!I6853/1000</f>
        <v>118.706168884151</v>
      </c>
      <c r="J6854" s="6" t="n">
        <f aca="false">(Sens!I6839+Sens!J6839)/2*Sens!J6853/1000</f>
        <v>135.50643871102</v>
      </c>
      <c r="K6854" s="6" t="n">
        <f aca="false">(Sens!J6839+Sens!K6839)/2*Sens!K6853/1000</f>
        <v>146.509068150048</v>
      </c>
      <c r="L6854" s="11" t="s">
        <v>833</v>
      </c>
    </row>
    <row r="6855" customFormat="false" ht="17.15" hidden="false" customHeight="false" outlineLevel="0" collapsed="false">
      <c r="A6855" s="1" t="s">
        <v>834</v>
      </c>
      <c r="B6855" s="0" t="s">
        <v>346</v>
      </c>
      <c r="C6855" s="14" t="n">
        <f aca="false">(Sens!C6847*tk_opex_h100+Sens!C6848*tk_opex_gb200+Sens!C6849*tk_opex_gb300+Sens!C6850*tk_opex_vr200)/Sens!C6839</f>
        <v>1.88636041306092</v>
      </c>
      <c r="D6855" s="14" t="n">
        <f aca="false">(Sens!D6847*tk_opex_h100+Sens!D6848*tk_opex_gb200+Sens!D6849*tk_opex_gb300+Sens!D6850*tk_opex_vr200)/Sens!D6839</f>
        <v>1.88636041306092</v>
      </c>
      <c r="E6855" s="14" t="n">
        <f aca="false">(Sens!E6847*tk_opex_h100+Sens!E6848*tk_opex_gb200+Sens!E6849*tk_opex_gb300+Sens!E6850*tk_opex_vr200)/Sens!E6839</f>
        <v>1.88636041306092</v>
      </c>
      <c r="F6855" s="14" t="n">
        <f aca="false">(Sens!F6847*tk_opex_h100+Sens!F6848*tk_opex_gb200+Sens!F6849*tk_opex_gb300+Sens!F6850*tk_opex_vr200)/Sens!F6839</f>
        <v>1.9430236476499</v>
      </c>
      <c r="G6855" s="14" t="n">
        <f aca="false">(Sens!G6847*tk_opex_h100+Sens!G6848*tk_opex_gb200+Sens!G6849*tk_opex_gb300+Sens!G6850*tk_opex_vr200)/Sens!G6839</f>
        <v>1.9786941852423</v>
      </c>
      <c r="H6855" s="14" t="n">
        <f aca="false">(Sens!H6847*tk_opex_h100+Sens!H6848*tk_opex_gb200+Sens!H6849*tk_opex_gb300+Sens!H6850*tk_opex_vr200)/Sens!H6839</f>
        <v>2.00289275976156</v>
      </c>
      <c r="I6855" s="14" t="n">
        <f aca="false">(Sens!I6847*tk_opex_h100+Sens!I6848*tk_opex_gb200+Sens!I6849*tk_opex_gb300+Sens!I6850*tk_opex_vr200)/Sens!I6839</f>
        <v>2.02179589661219</v>
      </c>
      <c r="J6855" s="14" t="n">
        <f aca="false">(Sens!J6847*tk_opex_h100+Sens!J6848*tk_opex_gb200+Sens!J6849*tk_opex_gb300+Sens!J6850*tk_opex_vr200)/Sens!J6839</f>
        <v>2.03720754193029</v>
      </c>
      <c r="K6855" s="14" t="n">
        <f aca="false">(Sens!K6847*tk_opex_h100+Sens!K6848*tk_opex_gb200+Sens!K6849*tk_opex_gb300+Sens!K6850*tk_opex_vr200)/Sens!K6839</f>
        <v>2.0589181353437</v>
      </c>
    </row>
    <row r="6856" customFormat="false" ht="17.15" hidden="false" customHeight="false" outlineLevel="0" collapsed="false">
      <c r="A6856" s="0" t="s">
        <v>835</v>
      </c>
      <c r="B6856" s="0" t="s">
        <v>98</v>
      </c>
      <c r="D6856" s="6" t="n">
        <f aca="false">(Sens!C6842+Sens!D6842)/2*Sens!D6855/1000</f>
        <v>2.70378325872065</v>
      </c>
      <c r="E6856" s="6" t="n">
        <f aca="false">(Sens!D6842+Sens!E6842)/2*Sens!E6855/1000</f>
        <v>6.17783035277451</v>
      </c>
      <c r="F6856" s="6" t="n">
        <f aca="false">(Sens!E6842+Sens!F6842)/2*Sens!F6855/1000</f>
        <v>12.5020618235287</v>
      </c>
      <c r="G6856" s="6" t="n">
        <f aca="false">(Sens!F6842+Sens!G6842)/2*Sens!G6855/1000</f>
        <v>20.7261620256847</v>
      </c>
      <c r="H6856" s="6" t="n">
        <f aca="false">(Sens!G6842+Sens!H6842)/2*Sens!H6855/1000</f>
        <v>29.4158183316982</v>
      </c>
      <c r="I6856" s="6" t="n">
        <f aca="false">(Sens!H6842+Sens!I6842)/2*Sens!I6855/1000</f>
        <v>36.9724400356344</v>
      </c>
      <c r="J6856" s="6" t="n">
        <f aca="false">(Sens!I6842+Sens!J6842)/2*Sens!J6855/1000</f>
        <v>42.1571687189816</v>
      </c>
      <c r="K6856" s="6" t="n">
        <f aca="false">(Sens!J6842+Sens!K6842)/2*Sens!K6855/1000</f>
        <v>45.1912095080704</v>
      </c>
    </row>
    <row r="6857" customFormat="false" ht="17.15" hidden="false" customHeight="false" outlineLevel="0" collapsed="false">
      <c r="A6857" s="0" t="s">
        <v>836</v>
      </c>
      <c r="B6857" s="0" t="s">
        <v>98</v>
      </c>
      <c r="D6857" s="6" t="n">
        <f aca="false">(Sens!C6840+Sens!D6840)/2*rent_mw/1000</f>
        <v>2.44475</v>
      </c>
      <c r="E6857" s="6" t="n">
        <f aca="false">(Sens!D6840+Sens!E6840)/2*rent_mw/1000</f>
        <v>4.22275</v>
      </c>
      <c r="F6857" s="6" t="n">
        <f aca="false">(Sens!E6840+Sens!F6840)/2*rent_mw/1000</f>
        <v>5.80517</v>
      </c>
      <c r="G6857" s="6" t="n">
        <f aca="false">(Sens!F6840+Sens!G6840)/2*rent_mw/1000</f>
        <v>6.72084</v>
      </c>
      <c r="H6857" s="6" t="n">
        <f aca="false">(Sens!G6840+Sens!H6840)/2*rent_mw/1000</f>
        <v>6.72084</v>
      </c>
      <c r="I6857" s="6" t="n">
        <f aca="false">(Sens!H6840+Sens!I6840)/2*rent_mw/1000</f>
        <v>6.72084</v>
      </c>
      <c r="J6857" s="6" t="n">
        <f aca="false">(Sens!I6840+Sens!J6840)/2*rent_mw/1000</f>
        <v>6.72084</v>
      </c>
      <c r="K6857" s="6" t="n">
        <f aca="false">(Sens!J6840+Sens!K6840)/2*rent_mw/1000</f>
        <v>6.72084</v>
      </c>
    </row>
    <row r="6858" customFormat="false" ht="17.15" hidden="false" customHeight="false" outlineLevel="0" collapsed="false">
      <c r="A6858" s="0" t="s">
        <v>837</v>
      </c>
      <c r="B6858" s="0" t="s">
        <v>98</v>
      </c>
      <c r="D6858" s="6" t="n">
        <f aca="false">(Sens!C6842+Sens!D6842)/2*(1-self_build)*fac_rent/1000</f>
        <v>0.853242375631075</v>
      </c>
      <c r="E6858" s="6" t="n">
        <f aca="false">(Sens!D6842+Sens!E6842)/2*(1-self_build)*fac_rent/1000</f>
        <v>1.94955961408728</v>
      </c>
      <c r="F6858" s="6" t="n">
        <f aca="false">(Sens!E6842+Sens!F6842)/2*(1-self_build)*fac_rent/1000</f>
        <v>3.83026455274573</v>
      </c>
      <c r="G6858" s="6" t="n">
        <f aca="false">(Sens!F6842+Sens!G6842)/2*(1-self_build)*fac_rent/1000</f>
        <v>6.23541590972812</v>
      </c>
      <c r="H6858" s="6" t="n">
        <f aca="false">(Sens!G6842+Sens!H6842)/2*(1-self_build)*fac_rent/1000</f>
        <v>8.74275792332679</v>
      </c>
      <c r="I6858" s="6" t="n">
        <f aca="false">(Sens!H6842+Sens!I6842)/2*(1-self_build)*fac_rent/1000</f>
        <v>10.8859420438599</v>
      </c>
      <c r="J6858" s="6" t="n">
        <f aca="false">(Sens!I6842+Sens!J6842)/2*(1-self_build)*fac_rent/1000</f>
        <v>12.3186006405366</v>
      </c>
      <c r="K6858" s="6" t="n">
        <f aca="false">(Sens!J6842+Sens!K6842)/2*(1-self_build)*fac_rent/1000</f>
        <v>13.0659232089824</v>
      </c>
      <c r="L6858" s="11" t="s">
        <v>838</v>
      </c>
    </row>
    <row r="6859" customFormat="false" ht="17.15" hidden="false" customHeight="false" outlineLevel="0" collapsed="false">
      <c r="A6859" s="1" t="s">
        <v>839</v>
      </c>
      <c r="B6859" s="0" t="s">
        <v>129</v>
      </c>
      <c r="D6859" s="7" t="n">
        <f aca="false">(Sens!C6841+Sens!D6841)/(Sens!C6842+Sens!D6842)</f>
        <v>0.6</v>
      </c>
      <c r="E6859" s="7" t="n">
        <f aca="false">(Sens!D6841+Sens!E6841)/(Sens!D6842+Sens!E6842)</f>
        <v>0.6</v>
      </c>
      <c r="F6859" s="7" t="n">
        <f aca="false">(Sens!E6841+Sens!F6841)/(Sens!E6842+Sens!F6842)</f>
        <v>0.6</v>
      </c>
      <c r="G6859" s="7" t="n">
        <f aca="false">(Sens!F6841+Sens!G6841)/(Sens!F6842+Sens!G6842)</f>
        <v>0.6</v>
      </c>
      <c r="H6859" s="7" t="n">
        <f aca="false">(Sens!G6841+Sens!H6841)/(Sens!G6842+Sens!H6842)</f>
        <v>0.6</v>
      </c>
      <c r="I6859" s="7" t="n">
        <f aca="false">(Sens!H6841+Sens!I6841)/(Sens!H6842+Sens!I6842)</f>
        <v>0.6</v>
      </c>
      <c r="J6859" s="7" t="n">
        <f aca="false">(Sens!I6841+Sens!J6841)/(Sens!I6842+Sens!J6842)</f>
        <v>0.6</v>
      </c>
      <c r="K6859" s="7" t="n">
        <f aca="false">(Sens!J6841+Sens!K6841)/(Sens!J6842+Sens!K6842)</f>
        <v>0.6</v>
      </c>
    </row>
    <row r="6860" customFormat="false" ht="17.15" hidden="false" customHeight="false" outlineLevel="0" collapsed="false">
      <c r="A6860" s="0" t="s">
        <v>840</v>
      </c>
      <c r="B6860" s="0" t="s">
        <v>98</v>
      </c>
      <c r="D6860" s="6" t="n">
        <f aca="false">Sens!D6854-Sens!D6859*(Sens!D6856+Sens!D6858)-Sens!D6857</f>
        <v>8.35701406163072</v>
      </c>
      <c r="E6860" s="6" t="n">
        <f aca="false">Sens!E6854-Sens!E6859*(Sens!E6856+Sens!E6858)-Sens!E6857</f>
        <v>18.7103224860238</v>
      </c>
      <c r="F6860" s="6" t="n">
        <f aca="false">Sens!F6854-Sens!F6859*(Sens!F6856+Sens!F6858)-Sens!F6857</f>
        <v>35.0573455625419</v>
      </c>
      <c r="G6860" s="6" t="n">
        <f aca="false">Sens!G6854-Sens!G6859*(Sens!G6856+Sens!G6858)-Sens!G6857</f>
        <v>52.2504971712871</v>
      </c>
      <c r="H6860" s="6" t="n">
        <f aca="false">Sens!H6854-Sens!H6859*(Sens!H6856+Sens!H6858)-Sens!H6857</f>
        <v>65.2796698510271</v>
      </c>
      <c r="I6860" s="6" t="n">
        <f aca="false">Sens!I6854-Sens!I6859*(Sens!I6856+Sens!I6858)-Sens!I6857</f>
        <v>83.2702996364549</v>
      </c>
      <c r="J6860" s="6" t="n">
        <f aca="false">Sens!J6854-Sens!J6859*(Sens!J6856+Sens!J6858)-Sens!J6857</f>
        <v>96.1001370953095</v>
      </c>
      <c r="K6860" s="6" t="n">
        <f aca="false">Sens!K6854-Sens!K6859*(Sens!K6856+Sens!K6858)-Sens!K6857</f>
        <v>104.833948519816</v>
      </c>
    </row>
    <row r="6861" customFormat="false" ht="17.15" hidden="false" customHeight="false" outlineLevel="0" collapsed="false">
      <c r="A6861" s="1" t="s">
        <v>841</v>
      </c>
      <c r="B6861" s="0" t="s">
        <v>98</v>
      </c>
      <c r="D6861" s="6" t="n">
        <f aca="false">(1-Sens!D6859)*(Sens!D6856+Sens!D6858)</f>
        <v>1.42281025374069</v>
      </c>
      <c r="E6861" s="6" t="n">
        <f aca="false">(1-Sens!E6859)*(Sens!E6856+Sens!E6858)</f>
        <v>3.25095598674472</v>
      </c>
      <c r="F6861" s="6" t="n">
        <f aca="false">(1-Sens!F6859)*(Sens!F6856+Sens!F6858)</f>
        <v>6.53293055050977</v>
      </c>
      <c r="G6861" s="6" t="n">
        <f aca="false">(1-Sens!G6859)*(Sens!G6856+Sens!G6858)</f>
        <v>10.7846311741651</v>
      </c>
      <c r="H6861" s="6" t="n">
        <f aca="false">(1-Sens!H6859)*(Sens!H6856+Sens!H6858)</f>
        <v>15.26343050201</v>
      </c>
      <c r="I6861" s="6" t="n">
        <f aca="false">(1-Sens!I6859)*(Sens!I6856+Sens!I6858)</f>
        <v>19.1433528317977</v>
      </c>
      <c r="J6861" s="6" t="n">
        <f aca="false">(1-Sens!J6859)*(Sens!J6856+Sens!J6858)</f>
        <v>21.7903077438073</v>
      </c>
      <c r="K6861" s="6" t="n">
        <f aca="false">(1-Sens!K6859)*(Sens!K6856+Sens!K6858)</f>
        <v>23.3028530868211</v>
      </c>
    </row>
    <row r="6862" customFormat="false" ht="17.15" hidden="false" customHeight="false" outlineLevel="0" collapsed="false">
      <c r="A6862" s="1" t="s">
        <v>842</v>
      </c>
      <c r="B6862" s="0" t="s">
        <v>357</v>
      </c>
      <c r="C6862" s="8" t="n">
        <f aca="false">cxit_open</f>
        <v>27.5918995</v>
      </c>
      <c r="D6862" s="8" t="n">
        <f aca="false">cxit_open</f>
        <v>27.5918995</v>
      </c>
      <c r="E6862" s="8" t="n">
        <f aca="false">cxit_open</f>
        <v>27.5918995</v>
      </c>
      <c r="F6862" s="8" t="n">
        <f aca="false">(a_g3_27*tk_cxit_gb300+(1-a_g3_27)*tk_cxit_vr200)</f>
        <v>33.8419624</v>
      </c>
      <c r="G6862" s="8" t="n">
        <f aca="false">(a_g3_28*tk_cxit_gb300+(1-a_g3_28)*tk_cxit_vr200)</f>
        <v>35.9816136</v>
      </c>
      <c r="H6862" s="8" t="n">
        <f aca="false">(a_g3_29*tk_cxit_gb300+(1-a_g3_29)*tk_cxit_vr200)</f>
        <v>37.0514392</v>
      </c>
      <c r="I6862" s="8" t="n">
        <f aca="false">(a_g3_29*tk_cxit_gb300+(1-a_g3_29)*tk_cxit_vr200)</f>
        <v>37.0514392</v>
      </c>
      <c r="J6862" s="8" t="n">
        <f aca="false">(a_g3_29*tk_cxit_gb300+(1-a_g3_29)*tk_cxit_vr200)</f>
        <v>37.0514392</v>
      </c>
      <c r="K6862" s="8" t="n">
        <f aca="false">(a_g3_29*tk_cxit_gb300+(1-a_g3_29)*tk_cxit_vr200)</f>
        <v>37.0514392</v>
      </c>
      <c r="L6862" s="11" t="s">
        <v>843</v>
      </c>
    </row>
    <row r="6863" customFormat="false" ht="17.15" hidden="false" customHeight="false" outlineLevel="0" collapsed="false">
      <c r="A6863" s="0" t="s">
        <v>844</v>
      </c>
      <c r="B6863" s="0" t="s">
        <v>399</v>
      </c>
      <c r="F6863" s="29" t="n">
        <f aca="false">Sens!C6844*IF(Sens!F6837-Sens!C6837=life_it,1,0)+Sens!D6844*IF(Sens!F6837-Sens!D6837=life_it,1,0)+Sens!E6844*IF(Sens!F6837-Sens!E6837=life_it,1,0)</f>
        <v>0</v>
      </c>
      <c r="G6863" s="29" t="n">
        <f aca="false">Sens!C6844*IF(Sens!G6837-Sens!C6837=life_it,1,0)+Sens!D6844*IF(Sens!G6837-Sens!D6837=life_it,1,0)+Sens!E6844*IF(Sens!G6837-Sens!E6837=life_it,1,0)+Sens!F6844*IF(Sens!G6837-Sens!F6837=life_it,1,0)</f>
        <v>0</v>
      </c>
      <c r="H6863" s="29" t="n">
        <f aca="false">Sens!C6844*IF(Sens!H6837-Sens!C6837=life_it,1,0)+Sens!D6844*IF(Sens!H6837-Sens!D6837=life_it,1,0)+Sens!E6844*IF(Sens!H6837-Sens!E6837=life_it,1,0)+Sens!F6844*IF(Sens!H6837-Sens!F6837=life_it,1,0)+Sens!G6844*IF(Sens!H6837-Sens!G6837=life_it,1,0)</f>
        <v>0</v>
      </c>
      <c r="I6863" s="29" t="n">
        <f aca="false">Sens!C6844*IF(Sens!I6837-Sens!C6837=life_it,1,0)+Sens!D6844*IF(Sens!I6837-Sens!D6837=life_it,1,0)+Sens!E6844*IF(Sens!I6837-Sens!E6837=life_it,1,0)+Sens!F6844*IF(Sens!I6837-Sens!F6837=life_it,1,0)+Sens!G6844*IF(Sens!I6837-Sens!G6837=life_it,1,0)+Sens!H6844*IF(Sens!I6837-Sens!H6837=life_it,1,0)</f>
        <v>816.666666666667</v>
      </c>
      <c r="J6863" s="29" t="n">
        <f aca="false">Sens!C6844*IF(Sens!J6837-Sens!C6837=life_it,1,0)+Sens!D6844*IF(Sens!J6837-Sens!D6837=life_it,1,0)+Sens!E6844*IF(Sens!J6837-Sens!E6837=life_it,1,0)+Sens!F6844*IF(Sens!J6837-Sens!F6837=life_it,1,0)+Sens!G6844*IF(Sens!J6837-Sens!G6837=life_it,1,0)+Sens!H6844*IF(Sens!J6837-Sens!H6837=life_it,1,0)+Sens!I6844*IF(Sens!J6837-Sens!I6837=life_it,1,0)</f>
        <v>1233.33333333333</v>
      </c>
      <c r="K6863" s="29" t="n">
        <f aca="false">Sens!C6844*IF(Sens!K6837-Sens!C6837=life_it,1,0)+Sens!D6844*IF(Sens!K6837-Sens!D6837=life_it,1,0)+Sens!E6844*IF(Sens!K6837-Sens!E6837=life_it,1,0)+Sens!F6844*IF(Sens!K6837-Sens!F6837=life_it,1,0)+Sens!G6844*IF(Sens!K6837-Sens!G6837=life_it,1,0)+Sens!H6844*IF(Sens!K6837-Sens!H6837=life_it,1,0)+Sens!I6844*IF(Sens!K6837-Sens!I6837=life_it,1,0)+Sens!J6844*IF(Sens!K6837-Sens!J6837=life_it,1,0)</f>
        <v>2450</v>
      </c>
      <c r="L6863" s="1" t="s">
        <v>845</v>
      </c>
    </row>
    <row r="6864" customFormat="false" ht="17.15" hidden="false" customHeight="false" outlineLevel="0" collapsed="false">
      <c r="A6864" s="0" t="s">
        <v>846</v>
      </c>
      <c r="B6864" s="0" t="s">
        <v>98</v>
      </c>
      <c r="C6864" s="6" t="n">
        <f aca="false">Sens!C6844*Sens!C6862/1000</f>
        <v>22.5333845916667</v>
      </c>
      <c r="D6864" s="6" t="n">
        <f aca="false">Sens!D6844*Sens!D6862/1000</f>
        <v>34.0300093833333</v>
      </c>
      <c r="E6864" s="6" t="n">
        <f aca="false">Sens!E6844*Sens!E6862/1000</f>
        <v>67.600153775</v>
      </c>
      <c r="F6864" s="6" t="n">
        <f aca="false">(Sens!F6844+Sens!F6863)*Sens!F6862/1000</f>
        <v>130.923271871467</v>
      </c>
      <c r="G6864" s="6" t="n">
        <f aca="false">(Sens!G6844+Sens!G6863)*Sens!G6862/1000</f>
        <v>151.5545564832</v>
      </c>
      <c r="H6864" s="6" t="n">
        <f aca="false">(Sens!H6844+Sens!H6863)*Sens!H6862/1000</f>
        <v>156.0606619104</v>
      </c>
      <c r="I6864" s="6" t="n">
        <f aca="false">(Sens!I6844+Sens!I6863)*Sens!I6862/1000</f>
        <v>140.987889434245</v>
      </c>
      <c r="J6864" s="6" t="n">
        <f aca="false">(Sens!J6844+Sens!J6863)*Sens!J6862/1000</f>
        <v>113.309125559842</v>
      </c>
      <c r="K6864" s="6" t="n">
        <f aca="false">(Sens!K6844+Sens!K6863)*Sens!K6862/1000</f>
        <v>116.192591420959</v>
      </c>
    </row>
    <row r="6865" customFormat="false" ht="17.15" hidden="false" customHeight="false" outlineLevel="0" collapsed="false">
      <c r="A6865" s="0" t="s">
        <v>847</v>
      </c>
      <c r="B6865" s="0" t="s">
        <v>98</v>
      </c>
      <c r="C6865" s="6" t="n">
        <f aca="false">Sens!C6844*self_build*tk_cxfac/1000</f>
        <v>6.2083</v>
      </c>
      <c r="D6865" s="6" t="n">
        <f aca="false">Sens!D6844*self_build*tk_cxfac/1000</f>
        <v>9.3758</v>
      </c>
      <c r="E6865" s="6" t="n">
        <f aca="false">Sens!E6844*self_build*tk_cxfac/1000</f>
        <v>18.6249</v>
      </c>
      <c r="F6865" s="6" t="n">
        <f aca="false">Sens!F6844*self_build*tk_cxfac/1000</f>
        <v>29.409604</v>
      </c>
      <c r="G6865" s="6" t="n">
        <f aca="false">Sens!G6844*self_build*tk_cxfac/1000</f>
        <v>32.019624</v>
      </c>
      <c r="H6865" s="6" t="n">
        <f aca="false">Sens!H6844*self_build*tk_cxfac/1000</f>
        <v>32.019624</v>
      </c>
      <c r="I6865" s="6" t="n">
        <f aca="false">Sens!I6844*self_build*tk_cxfac/1000</f>
        <v>22.71877972</v>
      </c>
      <c r="J6865" s="6" t="n">
        <f aca="false">Sens!J6844*self_build*tk_cxfac/1000</f>
        <v>13.8723110344</v>
      </c>
      <c r="K6865" s="6" t="n">
        <f aca="false">Sens!K6844*self_build*tk_cxfac/1000</f>
        <v>5.214823882632</v>
      </c>
    </row>
    <row r="6866" customFormat="false" ht="17.15" hidden="false" customHeight="false" outlineLevel="0" collapsed="false">
      <c r="A6866" s="0" t="s">
        <v>848</v>
      </c>
      <c r="B6866" s="0" t="s">
        <v>98</v>
      </c>
      <c r="F6866" s="6" t="n">
        <f aca="false">MAX(0,capex_floor27-Sens!F6864-Sens!F6865-Sens!F6960)</f>
        <v>8.73177689897089</v>
      </c>
    </row>
    <row r="6867" customFormat="false" ht="17.15" hidden="false" customHeight="false" outlineLevel="0" collapsed="false">
      <c r="A6867" s="0" t="s">
        <v>849</v>
      </c>
      <c r="B6867" s="0" t="s">
        <v>98</v>
      </c>
      <c r="C6867" s="6" t="n">
        <f aca="false">Sens!C6864</f>
        <v>22.5333845916667</v>
      </c>
      <c r="D6867" s="6" t="n">
        <f aca="false">Sens!D6864</f>
        <v>34.0300093833333</v>
      </c>
      <c r="E6867" s="6" t="n">
        <f aca="false">Sens!E6864</f>
        <v>67.600153775</v>
      </c>
      <c r="F6867" s="6" t="n">
        <f aca="false">Sens!F6864</f>
        <v>130.923271871467</v>
      </c>
      <c r="G6867" s="6" t="n">
        <f aca="false">Sens!G6864</f>
        <v>151.5545564832</v>
      </c>
      <c r="H6867" s="6" t="n">
        <f aca="false">Sens!H6864</f>
        <v>156.0606619104</v>
      </c>
      <c r="I6867" s="6" t="n">
        <f aca="false">Sens!I6864</f>
        <v>140.987889434245</v>
      </c>
      <c r="J6867" s="6" t="n">
        <f aca="false">Sens!J6864</f>
        <v>113.309125559842</v>
      </c>
      <c r="K6867" s="6" t="n">
        <f aca="false">Sens!K6864</f>
        <v>116.192591420959</v>
      </c>
    </row>
    <row r="6868" customFormat="false" ht="17.15" hidden="false" customHeight="false" outlineLevel="0" collapsed="false">
      <c r="A6868" s="0" t="s">
        <v>850</v>
      </c>
      <c r="B6868" s="0" t="s">
        <v>98</v>
      </c>
      <c r="C6868" s="6" t="n">
        <f aca="false">Sens!C6867+Sens!C6865</f>
        <v>28.7416845916667</v>
      </c>
      <c r="D6868" s="6" t="n">
        <f aca="false">Sens!D6867+Sens!D6865</f>
        <v>43.4058093833333</v>
      </c>
      <c r="E6868" s="6" t="n">
        <f aca="false">Sens!E6867+Sens!E6865</f>
        <v>86.225053775</v>
      </c>
      <c r="F6868" s="6" t="n">
        <f aca="false">Sens!F6867+Sens!F6865</f>
        <v>160.332875871467</v>
      </c>
      <c r="G6868" s="6" t="n">
        <f aca="false">Sens!G6867+Sens!G6865</f>
        <v>183.5741804832</v>
      </c>
      <c r="H6868" s="6" t="n">
        <f aca="false">Sens!H6867+Sens!H6865</f>
        <v>188.0802859104</v>
      </c>
      <c r="I6868" s="6" t="n">
        <f aca="false">Sens!I6867+Sens!I6865</f>
        <v>163.706669154245</v>
      </c>
      <c r="J6868" s="6" t="n">
        <f aca="false">Sens!J6867+Sens!J6865</f>
        <v>127.181436594242</v>
      </c>
      <c r="K6868" s="6" t="n">
        <f aca="false">Sens!K6867+Sens!K6865</f>
        <v>121.407415303591</v>
      </c>
      <c r="L6868" s="11" t="s">
        <v>851</v>
      </c>
    </row>
    <row r="6869" customFormat="false" ht="17.15" hidden="false" customHeight="false" outlineLevel="0" collapsed="false">
      <c r="A6869" s="0" t="s">
        <v>852</v>
      </c>
      <c r="B6869" s="0" t="s">
        <v>98</v>
      </c>
      <c r="E6869" s="6" t="n">
        <f aca="false">(Sens!C6867*IF(2&lt;life_it,1,IF(2=life_it,0.5,0))+Sens!D6867*IF(1&lt;life_it,1,IF(1=life_it,0.5,0))+Sens!E6867*0.5)/life_it</f>
        <v>15.0605784770833</v>
      </c>
      <c r="F6869" s="6" t="n">
        <f aca="false">(Sens!C6867*IF(3&lt;life_it,1,IF(3=life_it,0.5,0))+Sens!D6867*IF(2&lt;life_it,1,IF(2=life_it,0.5,0))+Sens!E6867*IF(1&lt;life_it,1,IF(1=life_it,0.5,0))+Sens!F6867*0.5)/life_it</f>
        <v>31.6041972809556</v>
      </c>
      <c r="G6869" s="6" t="n">
        <f aca="false">(Sens!C6867*IF(4&lt;life_it,1,IF(4=life_it,0.5,0))+Sens!D6867*IF(3&lt;life_it,1,IF(3=life_it,0.5,0))+Sens!E6867*IF(2&lt;life_it,1,IF(2=life_it,0.5,0))+Sens!F6867*IF(1&lt;life_it,1,IF(1=life_it,0.5,0))+Sens!G6867*0.5)/life_it</f>
        <v>55.1440163105111</v>
      </c>
      <c r="H6869" s="6" t="n">
        <f aca="false">(Sens!C6867*IF(5&lt;life_it,1,IF(5=life_it,0.5,0))+Sens!D6867*IF(4&lt;life_it,1,IF(4=life_it,0.5,0))+Sens!E6867*IF(3&lt;life_it,1,IF(3=life_it,0.5,0))+Sens!F6867*IF(2&lt;life_it,1,IF(2=life_it,0.5,0))+Sens!G6867*IF(1&lt;life_it,1,IF(1=life_it,0.5,0))+Sens!H6867*0.5)/life_it</f>
        <v>80.7786178433111</v>
      </c>
      <c r="I6869" s="6" t="n">
        <f aca="false">(Sens!C6867*IF(6&lt;life_it,1,IF(6=life_it,0.5,0))+Sens!D6867*IF(5&lt;life_it,1,IF(5=life_it,0.5,0))+Sens!E6867*IF(4&lt;life_it,1,IF(4=life_it,0.5,0))+Sens!F6867*IF(3&lt;life_it,1,IF(3=life_it,0.5,0))+Sens!G6867*IF(2&lt;life_it,1,IF(2=life_it,0.5,0))+Sens!H6867*IF(1&lt;life_it,1,IF(1=life_it,0.5,0))+Sens!I6867*0.5)/life_it</f>
        <v>103.654881739393</v>
      </c>
      <c r="J6869" s="6" t="n">
        <f aca="false">(Sens!C6867*IF(7&lt;life_it,1,IF(7=life_it,0.5,0))+Sens!D6867*IF(6&lt;life_it,1,IF(6=life_it,0.5,0))+Sens!E6867*IF(5&lt;life_it,1,IF(5=life_it,0.5,0))+Sens!F6867*IF(4&lt;life_it,1,IF(4=life_it,0.5,0))+Sens!G6867*IF(3&lt;life_it,1,IF(3=life_it,0.5,0))+Sens!H6867*IF(2&lt;life_it,1,IF(2=life_it,0.5,0))+Sens!I6867*IF(1&lt;life_it,1,IF(1=life_it,0.5,0))+Sens!J6867*0.5)/life_it</f>
        <v>120.132683490983</v>
      </c>
      <c r="K6869" s="6" t="n">
        <f aca="false">(Sens!C6867*IF(8&lt;life_it,1,IF(8=life_it,0.5,0))+Sens!D6867*IF(7&lt;life_it,1,IF(7=life_it,0.5,0))+Sens!E6867*IF(6&lt;life_it,1,IF(6=life_it,0.5,0))+Sens!F6867*IF(5&lt;life_it,1,IF(5=life_it,0.5,0))+Sens!G6867*IF(4&lt;life_it,1,IF(4=life_it,0.5,0))+Sens!H6867*IF(3&lt;life_it,1,IF(3=life_it,0.5,0))+Sens!I6867*IF(2&lt;life_it,1,IF(2=life_it,0.5,0))+Sens!J6867*IF(1&lt;life_it,1,IF(1=life_it,0.5,0))+Sens!K6867*0.5)/life_it</f>
        <v>130.788646309522</v>
      </c>
    </row>
    <row r="6870" customFormat="false" ht="17.15" hidden="false" customHeight="false" outlineLevel="0" collapsed="false">
      <c r="A6870" s="0" t="s">
        <v>853</v>
      </c>
      <c r="B6870" s="0" t="s">
        <v>98</v>
      </c>
      <c r="E6870" s="6" t="n">
        <f aca="false">(Sens!C6865*IF(2&lt;life_fac,1,IF(2=life_fac,0.5,0))+Sens!D6865*IF(1&lt;life_fac,1,IF(1=life_fac,0.5,0))+Sens!E6865*0.5)/life_fac</f>
        <v>1.2448275</v>
      </c>
      <c r="F6870" s="6" t="n">
        <f aca="false">(Sens!C6865*IF(3&lt;life_fac,1,IF(3=life_fac,0.5,0))+Sens!D6865*IF(2&lt;life_fac,1,IF(2=life_fac,0.5,0))+Sens!E6865*IF(1&lt;life_fac,1,IF(1=life_fac,0.5,0))+Sens!F6865*0.5)/life_fac</f>
        <v>2.4456901</v>
      </c>
      <c r="G6870" s="6" t="n">
        <f aca="false">(Sens!C6865*IF(4&lt;life_fac,1,IF(4=life_fac,0.5,0))+Sens!D6865*IF(3&lt;life_fac,1,IF(3=life_fac,0.5,0))+Sens!E6865*IF(2&lt;life_fac,1,IF(2=life_fac,0.5,0))+Sens!F6865*IF(1&lt;life_fac,1,IF(1=life_fac,0.5,0))+Sens!G6865*0.5)/life_fac</f>
        <v>3.9814208</v>
      </c>
      <c r="H6870" s="6" t="n">
        <f aca="false">(Sens!C6865*IF(5&lt;life_fac,1,IF(5=life_fac,0.5,0))+Sens!D6865*IF(4&lt;life_fac,1,IF(4=life_fac,0.5,0))+Sens!E6865*IF(3&lt;life_fac,1,IF(3=life_fac,0.5,0))+Sens!F6865*IF(2&lt;life_fac,1,IF(2=life_fac,0.5,0))+Sens!G6865*IF(1&lt;life_fac,1,IF(1=life_fac,0.5,0))+Sens!H6865*0.5)/life_fac</f>
        <v>5.582402</v>
      </c>
      <c r="I6870" s="6" t="n">
        <f aca="false">(Sens!C6865*IF(6&lt;life_fac,1,IF(6=life_fac,0.5,0))+Sens!D6865*IF(5&lt;life_fac,1,IF(5=life_fac,0.5,0))+Sens!E6865*IF(4&lt;life_fac,1,IF(4=life_fac,0.5,0))+Sens!F6865*IF(3&lt;life_fac,1,IF(3=life_fac,0.5,0))+Sens!G6865*IF(2&lt;life_fac,1,IF(2=life_fac,0.5,0))+Sens!H6865*IF(1&lt;life_fac,1,IF(1=life_fac,0.5,0))+Sens!I6865*0.5)/life_fac</f>
        <v>6.950862093</v>
      </c>
      <c r="J6870" s="6" t="n">
        <f aca="false">(Sens!C6865*IF(7&lt;life_fac,1,IF(7=life_fac,0.5,0))+Sens!D6865*IF(6&lt;life_fac,1,IF(6=life_fac,0.5,0))+Sens!E6865*IF(5&lt;life_fac,1,IF(5=life_fac,0.5,0))+Sens!F6865*IF(4&lt;life_fac,1,IF(4=life_fac,0.5,0))+Sens!G6865*IF(3&lt;life_fac,1,IF(3=life_fac,0.5,0))+Sens!H6865*IF(2&lt;life_fac,1,IF(2=life_fac,0.5,0))+Sens!I6865*IF(1&lt;life_fac,1,IF(1=life_fac,0.5,0))+Sens!J6865*0.5)/life_fac</f>
        <v>7.86563936186</v>
      </c>
      <c r="K6870" s="6" t="n">
        <f aca="false">(Sens!C6865*IF(8&lt;life_fac,1,IF(8=life_fac,0.5,0))+Sens!D6865*IF(7&lt;life_fac,1,IF(7=life_fac,0.5,0))+Sens!E6865*IF(6&lt;life_fac,1,IF(6=life_fac,0.5,0))+Sens!F6865*IF(5&lt;life_fac,1,IF(5=life_fac,0.5,0))+Sens!G6865*IF(4&lt;life_fac,1,IF(4=life_fac,0.5,0))+Sens!H6865*IF(3&lt;life_fac,1,IF(3=life_fac,0.5,0))+Sens!I6865*IF(2&lt;life_fac,1,IF(2=life_fac,0.5,0))+Sens!J6865*IF(1&lt;life_fac,1,IF(1=life_fac,0.5,0))+Sens!K6865*0.5)/life_fac</f>
        <v>8.3428177347858</v>
      </c>
    </row>
    <row r="6871" customFormat="false" ht="17.15" hidden="false" customHeight="false" outlineLevel="0" collapsed="false">
      <c r="A6871" s="0" t="s">
        <v>854</v>
      </c>
      <c r="B6871" s="0" t="s">
        <v>98</v>
      </c>
      <c r="E6871" s="6" t="n">
        <f aca="false">Sens!E6869+Sens!E6870</f>
        <v>16.3054059770833</v>
      </c>
      <c r="F6871" s="6" t="n">
        <f aca="false">Sens!F6869+Sens!F6870</f>
        <v>34.0498873809555</v>
      </c>
      <c r="G6871" s="6" t="n">
        <f aca="false">Sens!G6869+Sens!G6870</f>
        <v>59.1254371105111</v>
      </c>
      <c r="H6871" s="6" t="n">
        <f aca="false">Sens!H6869+Sens!H6870</f>
        <v>86.3610198433111</v>
      </c>
      <c r="I6871" s="6" t="n">
        <f aca="false">Sens!I6869+Sens!I6870</f>
        <v>110.605743832393</v>
      </c>
      <c r="J6871" s="6" t="n">
        <f aca="false">Sens!J6869+Sens!J6870</f>
        <v>127.998322852843</v>
      </c>
      <c r="K6871" s="6" t="n">
        <f aca="false">Sens!K6869+Sens!K6870</f>
        <v>139.131464044308</v>
      </c>
    </row>
    <row r="6872" customFormat="false" ht="17.15" hidden="false" customHeight="false" outlineLevel="0" collapsed="false">
      <c r="A6872" s="0" t="s">
        <v>855</v>
      </c>
      <c r="B6872" s="0" t="s">
        <v>98</v>
      </c>
      <c r="E6872" s="6" t="n">
        <f aca="false">Sens!E6860-Sens!E6859*Sens!E6871</f>
        <v>8.92707889977379</v>
      </c>
      <c r="F6872" s="6" t="n">
        <f aca="false">Sens!F6860-Sens!F6859*Sens!F6871</f>
        <v>14.6274131339686</v>
      </c>
      <c r="G6872" s="6" t="n">
        <f aca="false">Sens!G6860-Sens!G6859*Sens!G6871</f>
        <v>16.7752349049804</v>
      </c>
      <c r="H6872" s="6" t="n">
        <f aca="false">Sens!H6860-Sens!H6859*Sens!H6871</f>
        <v>13.4630579450404</v>
      </c>
      <c r="I6872" s="6" t="n">
        <f aca="false">Sens!I6860-Sens!I6859*Sens!I6871</f>
        <v>16.9068533370192</v>
      </c>
      <c r="J6872" s="6" t="n">
        <f aca="false">Sens!J6860-Sens!J6859*Sens!J6871</f>
        <v>19.3011433836036</v>
      </c>
      <c r="K6872" s="6" t="n">
        <f aca="false">Sens!K6860-Sens!K6859*Sens!K6871</f>
        <v>21.3550700932312</v>
      </c>
    </row>
    <row r="6873" customFormat="false" ht="17.15" hidden="false" customHeight="false" outlineLevel="0" collapsed="false">
      <c r="A6873" s="3" t="s">
        <v>1438</v>
      </c>
    </row>
    <row r="6874" customFormat="false" ht="15" hidden="false" customHeight="false" outlineLevel="0" collapsed="false">
      <c r="A6874" s="4" t="s">
        <v>43</v>
      </c>
      <c r="B6874" s="4" t="s">
        <v>65</v>
      </c>
      <c r="C6874" s="20" t="s">
        <v>799</v>
      </c>
      <c r="D6874" s="20" t="s">
        <v>800</v>
      </c>
      <c r="E6874" s="20" t="s">
        <v>801</v>
      </c>
      <c r="F6874" s="20" t="s">
        <v>802</v>
      </c>
      <c r="G6874" s="20" t="s">
        <v>803</v>
      </c>
      <c r="H6874" s="20" t="s">
        <v>804</v>
      </c>
      <c r="I6874" s="20" t="s">
        <v>805</v>
      </c>
      <c r="J6874" s="20" t="s">
        <v>806</v>
      </c>
      <c r="K6874" s="20" t="s">
        <v>807</v>
      </c>
      <c r="L6874" s="4" t="s">
        <v>47</v>
      </c>
    </row>
    <row r="6875" customFormat="false" ht="17.15" hidden="false" customHeight="false" outlineLevel="0" collapsed="false">
      <c r="A6875" s="0" t="s">
        <v>874</v>
      </c>
      <c r="B6875" s="0" t="s">
        <v>98</v>
      </c>
      <c r="D6875" s="6" t="n">
        <f aca="false">Sens!D6854</f>
        <v>12.9359794422418</v>
      </c>
      <c r="E6875" s="6" t="n">
        <f aca="false">Sens!E6854</f>
        <v>27.8095064661409</v>
      </c>
      <c r="F6875" s="6" t="n">
        <f aca="false">Sens!F6854</f>
        <v>50.6619113883066</v>
      </c>
      <c r="G6875" s="6" t="n">
        <f aca="false">Sens!G6854</f>
        <v>75.1482839325348</v>
      </c>
      <c r="H6875" s="6" t="n">
        <f aca="false">Sens!H6854</f>
        <v>94.895655604042</v>
      </c>
      <c r="I6875" s="6" t="n">
        <f aca="false">Sens!I6854</f>
        <v>118.706168884151</v>
      </c>
      <c r="J6875" s="6" t="n">
        <f aca="false">Sens!J6854</f>
        <v>135.50643871102</v>
      </c>
      <c r="K6875" s="6" t="n">
        <f aca="false">Sens!K6854</f>
        <v>146.509068150048</v>
      </c>
    </row>
    <row r="6876" customFormat="false" ht="17.15" hidden="false" customHeight="false" outlineLevel="0" collapsed="false">
      <c r="A6876" s="0" t="s">
        <v>875</v>
      </c>
      <c r="B6876" s="0" t="s">
        <v>98</v>
      </c>
      <c r="D6876" s="6" t="n">
        <f aca="false">Q!L6-Sens!D6875</f>
        <v>59.6740205577583</v>
      </c>
      <c r="E6876" s="6" t="n">
        <f aca="false">Q!M6-Sens!E6875</f>
        <v>74.1284935338591</v>
      </c>
      <c r="F6876" s="6" t="n">
        <f aca="false">Sens!E6876*(1+Sens!F6877)</f>
        <v>90.0799497373663</v>
      </c>
      <c r="G6876" s="6" t="n">
        <f aca="false">Sens!F6876*(1+Sens!G6877)</f>
        <v>107.02842520331</v>
      </c>
      <c r="H6876" s="6" t="n">
        <f aca="false">Sens!G6876*(1+Sens!H6877)</f>
        <v>124.271982585636</v>
      </c>
      <c r="I6876" s="6" t="n">
        <f aca="false">Sens!H6876*(1+Sens!I6877)</f>
        <v>140.933702381855</v>
      </c>
      <c r="J6876" s="6" t="n">
        <f aca="false">Sens!I6876*(1+Sens!J6877)</f>
        <v>156.018867314332</v>
      </c>
      <c r="K6876" s="6" t="n">
        <f aca="false">Sens!J6876*(1+Sens!K6877)</f>
        <v>168.500376699478</v>
      </c>
    </row>
    <row r="6877" customFormat="false" ht="15" hidden="false" customHeight="false" outlineLevel="0" collapsed="false">
      <c r="A6877" s="1" t="s">
        <v>876</v>
      </c>
      <c r="B6877" s="0" t="s">
        <v>129</v>
      </c>
      <c r="E6877" s="7" t="n">
        <f aca="false">Sens!E6876/Sens!D6876-1</f>
        <v>0.242223883039864</v>
      </c>
      <c r="F6877" s="7" t="n">
        <f aca="false">Sens!$E$6877+(glt_azo-Sens!$E$6877)*MIN(1,(Sens!F6837-base_fy)/n_conv)</f>
        <v>0.215186569199887</v>
      </c>
      <c r="G6877" s="7" t="n">
        <f aca="false">Sens!$E$6877+(glt_azo-Sens!$E$6877)*MIN(1,(Sens!G6837-base_fy)/n_conv)</f>
        <v>0.18814925535991</v>
      </c>
      <c r="H6877" s="7" t="n">
        <f aca="false">Sens!$E$6877+(glt_azo-Sens!$E$6877)*MIN(1,(Sens!H6837-base_fy)/n_conv)</f>
        <v>0.161111941519932</v>
      </c>
      <c r="I6877" s="7" t="n">
        <f aca="false">Sens!$E$6877+(glt_azo-Sens!$E$6877)*MIN(1,(Sens!I6837-base_fy)/n_conv)</f>
        <v>0.134074627679955</v>
      </c>
      <c r="J6877" s="7" t="n">
        <f aca="false">Sens!$E$6877+(glt_azo-Sens!$E$6877)*MIN(1,(Sens!J6837-base_fy)/n_conv)</f>
        <v>0.107037313839977</v>
      </c>
      <c r="K6877" s="7" t="n">
        <f aca="false">Sens!$E$6877+(glt_azo-Sens!$E$6877)*MIN(1,(Sens!K6837-base_fy)/n_conv)</f>
        <v>0.08</v>
      </c>
    </row>
    <row r="6878" customFormat="false" ht="15" hidden="false" customHeight="false" outlineLevel="0" collapsed="false">
      <c r="A6878" s="0" t="s">
        <v>877</v>
      </c>
      <c r="B6878" s="0" t="s">
        <v>98</v>
      </c>
      <c r="D6878" s="6" t="n">
        <f aca="false">Sens!D6875+Sens!D6876</f>
        <v>72.61</v>
      </c>
      <c r="E6878" s="6" t="n">
        <f aca="false">Sens!E6875+Sens!E6876</f>
        <v>101.938</v>
      </c>
      <c r="F6878" s="6" t="n">
        <f aca="false">Sens!F6875+Sens!F6876</f>
        <v>140.741861125673</v>
      </c>
      <c r="G6878" s="6" t="n">
        <f aca="false">Sens!G6875+Sens!G6876</f>
        <v>182.176709135845</v>
      </c>
      <c r="H6878" s="6" t="n">
        <f aca="false">Sens!H6875+Sens!H6876</f>
        <v>219.167638189678</v>
      </c>
      <c r="I6878" s="6" t="n">
        <f aca="false">Sens!I6875+Sens!I6876</f>
        <v>259.639871266006</v>
      </c>
      <c r="J6878" s="6" t="n">
        <f aca="false">Sens!J6875+Sens!J6876</f>
        <v>291.525306025352</v>
      </c>
      <c r="K6878" s="6" t="n">
        <f aca="false">Sens!K6875+Sens!K6876</f>
        <v>315.009444849526</v>
      </c>
    </row>
    <row r="6879" customFormat="false" ht="17.15" hidden="false" customHeight="false" outlineLevel="0" collapsed="false">
      <c r="A6879" s="0" t="s">
        <v>878</v>
      </c>
      <c r="B6879" s="1" t="s">
        <v>528</v>
      </c>
      <c r="C6879" s="29" t="n">
        <f aca="false">cop_s24</f>
        <v>1</v>
      </c>
      <c r="D6879" s="29" t="n">
        <f aca="false">cop_s25</f>
        <v>5</v>
      </c>
      <c r="E6879" s="29" t="n">
        <f aca="false">cop_s26</f>
        <v>30</v>
      </c>
      <c r="F6879" s="29" t="n">
        <f aca="false">Sens!E6879+cop_add_C</f>
        <v>40</v>
      </c>
      <c r="G6879" s="29" t="n">
        <f aca="false">Sens!F6879+cop_add_C</f>
        <v>50</v>
      </c>
      <c r="H6879" s="29" t="n">
        <f aca="false">Sens!G6879+cop_add_C</f>
        <v>60</v>
      </c>
      <c r="I6879" s="29" t="n">
        <f aca="false">Sens!H6879+cop_add_C*cop_tail</f>
        <v>65</v>
      </c>
      <c r="J6879" s="29" t="n">
        <f aca="false">Sens!I6879+cop_add_C*cop_tail</f>
        <v>70</v>
      </c>
      <c r="K6879" s="29" t="n">
        <f aca="false">Sens!J6879+cop_add_C*cop_tail</f>
        <v>75</v>
      </c>
      <c r="L6879" s="11" t="s">
        <v>879</v>
      </c>
    </row>
    <row r="6880" customFormat="false" ht="17.15" hidden="false" customHeight="false" outlineLevel="0" collapsed="false">
      <c r="A6880" s="0" t="s">
        <v>880</v>
      </c>
      <c r="B6880" s="0" t="s">
        <v>98</v>
      </c>
      <c r="D6880" s="6" t="n">
        <f aca="false">(Sens!C6879+Sens!D6879)/2*cop_px*12/1000</f>
        <v>0.9</v>
      </c>
      <c r="E6880" s="6" t="n">
        <f aca="false">(Sens!D6879+Sens!E6879)/2*cop_px*12/1000</f>
        <v>5.25</v>
      </c>
      <c r="F6880" s="6" t="n">
        <f aca="false">(Sens!E6879+Sens!F6879)/2*cop_px_lo*12/1000</f>
        <v>7.56</v>
      </c>
      <c r="G6880" s="6" t="n">
        <f aca="false">(Sens!F6879+Sens!G6879)/2*cop_px_lo*12/1000</f>
        <v>9.72</v>
      </c>
      <c r="H6880" s="6" t="n">
        <f aca="false">(Sens!G6879+Sens!H6879)/2*cop_px_lo*12/1000</f>
        <v>11.88</v>
      </c>
      <c r="I6880" s="6" t="n">
        <f aca="false">(Sens!H6879+Sens!I6879)/2*cop_px_lo*12/1000</f>
        <v>13.5</v>
      </c>
      <c r="J6880" s="6" t="n">
        <f aca="false">(Sens!I6879+Sens!J6879)/2*cop_px_lo*12/1000</f>
        <v>14.58</v>
      </c>
      <c r="K6880" s="6" t="n">
        <f aca="false">(Sens!J6879+Sens!K6879)/2*cop_px_lo*12/1000</f>
        <v>15.66</v>
      </c>
      <c r="L6880" s="1" t="s">
        <v>881</v>
      </c>
    </row>
    <row r="6881" customFormat="false" ht="17.15" hidden="false" customHeight="false" outlineLevel="0" collapsed="false">
      <c r="A6881" s="0" t="s">
        <v>882</v>
      </c>
      <c r="B6881" s="0" t="s">
        <v>98</v>
      </c>
      <c r="D6881" s="6" t="n">
        <f aca="false">Q!L7-Sens!D6880</f>
        <v>83.705</v>
      </c>
      <c r="E6881" s="6" t="n">
        <f aca="false">Q!M7-Sens!E6880</f>
        <v>95.049</v>
      </c>
      <c r="F6881" s="6" t="n">
        <f aca="false">Sens!E6881*(1+Sens!F6882)</f>
        <v>106.89238776686</v>
      </c>
      <c r="G6881" s="6" t="n">
        <f aca="false">Sens!F6881*(1+Sens!G6882)</f>
        <v>119.044168448684</v>
      </c>
      <c r="H6881" s="6" t="n">
        <f aca="false">Sens!G6881*(1+Sens!H6882)</f>
        <v>131.277359388781</v>
      </c>
      <c r="I6881" s="6" t="n">
        <f aca="false">Sens!H6881*(1+Sens!I6882)</f>
        <v>143.334028071957</v>
      </c>
      <c r="J6881" s="6" t="n">
        <f aca="false">Sens!I6881*(1+Sens!J6882)</f>
        <v>154.932702785465</v>
      </c>
      <c r="K6881" s="6" t="n">
        <f aca="false">Sens!J6881*(1+Sens!K6882)</f>
        <v>165.777991980448</v>
      </c>
    </row>
    <row r="6882" customFormat="false" ht="15" hidden="false" customHeight="false" outlineLevel="0" collapsed="false">
      <c r="A6882" s="1" t="s">
        <v>876</v>
      </c>
      <c r="B6882" s="0" t="s">
        <v>129</v>
      </c>
      <c r="E6882" s="7" t="n">
        <f aca="false">Sens!E6881/Sens!D6881-1</f>
        <v>0.135523564900544</v>
      </c>
      <c r="F6882" s="7" t="n">
        <f aca="false">Sens!$E$6882+(glt_m365b-Sens!$E$6882)*MIN(1,(Sens!F6837-base_fy)/n_conv)</f>
        <v>0.124602970750453</v>
      </c>
      <c r="G6882" s="7" t="n">
        <f aca="false">Sens!$E$6882+(glt_m365b-Sens!$E$6882)*MIN(1,(Sens!G6837-base_fy)/n_conv)</f>
        <v>0.113682376600363</v>
      </c>
      <c r="H6882" s="7" t="n">
        <f aca="false">Sens!$E$6882+(glt_m365b-Sens!$E$6882)*MIN(1,(Sens!H6837-base_fy)/n_conv)</f>
        <v>0.102761782450272</v>
      </c>
      <c r="I6882" s="7" t="n">
        <f aca="false">Sens!$E$6882+(glt_m365b-Sens!$E$6882)*MIN(1,(Sens!I6837-base_fy)/n_conv)</f>
        <v>0.0918411883001813</v>
      </c>
      <c r="J6882" s="7" t="n">
        <f aca="false">Sens!$E$6882+(glt_m365b-Sens!$E$6882)*MIN(1,(Sens!J6837-base_fy)/n_conv)</f>
        <v>0.0809205941500906</v>
      </c>
      <c r="K6882" s="7" t="n">
        <f aca="false">Sens!$E$6882+(glt_m365b-Sens!$E$6882)*MIN(1,(Sens!K6837-base_fy)/n_conv)</f>
        <v>0.07</v>
      </c>
    </row>
    <row r="6883" customFormat="false" ht="15" hidden="false" customHeight="false" outlineLevel="0" collapsed="false">
      <c r="A6883" s="0" t="s">
        <v>883</v>
      </c>
      <c r="B6883" s="0" t="s">
        <v>98</v>
      </c>
      <c r="D6883" s="6" t="n">
        <f aca="false">Sens!D6881+Sens!D6880</f>
        <v>84.605</v>
      </c>
      <c r="E6883" s="6" t="n">
        <f aca="false">Sens!E6881+Sens!E6880</f>
        <v>100.299</v>
      </c>
      <c r="F6883" s="6" t="n">
        <f aca="false">Sens!F6881+Sens!F6880</f>
        <v>114.45238776686</v>
      </c>
      <c r="G6883" s="6" t="n">
        <f aca="false">Sens!G6881+Sens!G6880</f>
        <v>128.764168448684</v>
      </c>
      <c r="H6883" s="6" t="n">
        <f aca="false">Sens!H6881+Sens!H6880</f>
        <v>143.157359388781</v>
      </c>
      <c r="I6883" s="6" t="n">
        <f aca="false">Sens!I6881+Sens!I6880</f>
        <v>156.834028071957</v>
      </c>
      <c r="J6883" s="6" t="n">
        <f aca="false">Sens!J6881+Sens!J6880</f>
        <v>169.512702785465</v>
      </c>
      <c r="K6883" s="6" t="n">
        <f aca="false">Sens!K6881+Sens!K6880</f>
        <v>181.437991980448</v>
      </c>
    </row>
    <row r="6884" customFormat="false" ht="15" hidden="false" customHeight="false" outlineLevel="0" collapsed="false">
      <c r="A6884" s="0" t="s">
        <v>884</v>
      </c>
      <c r="B6884" s="0" t="s">
        <v>98</v>
      </c>
      <c r="D6884" s="6" t="n">
        <f aca="false">Q!L8</f>
        <v>35.391</v>
      </c>
      <c r="E6884" s="6" t="n">
        <f aca="false">Q!M8</f>
        <v>37.285</v>
      </c>
      <c r="F6884" s="6" t="n">
        <f aca="false">Sens!E6884*(1+Sens!F6885)</f>
        <v>39.0720834331704</v>
      </c>
      <c r="G6884" s="6" t="n">
        <f aca="false">Sens!F6884*(1+Sens!G6885)</f>
        <v>40.726562953769</v>
      </c>
      <c r="H6884" s="6" t="n">
        <f aca="false">Sens!G6884*(1+Sens!H6885)</f>
        <v>42.2235987259198</v>
      </c>
      <c r="I6884" s="6" t="n">
        <f aca="false">Sens!H6884*(1+Sens!I6885)</f>
        <v>43.5397988077414</v>
      </c>
      <c r="J6884" s="6" t="n">
        <f aca="false">Sens!I6884*(1+Sens!J6885)</f>
        <v>44.653811225693</v>
      </c>
      <c r="K6884" s="6" t="n">
        <f aca="false">Sens!J6884*(1+Sens!K6885)</f>
        <v>45.5468874502068</v>
      </c>
    </row>
    <row r="6885" customFormat="false" ht="15" hidden="false" customHeight="false" outlineLevel="0" collapsed="false">
      <c r="A6885" s="1" t="s">
        <v>876</v>
      </c>
      <c r="B6885" s="0" t="s">
        <v>129</v>
      </c>
      <c r="E6885" s="7" t="n">
        <f aca="false">Sens!E6884/Sens!D6884-1</f>
        <v>0.0535164307309768</v>
      </c>
      <c r="F6885" s="7" t="n">
        <f aca="false">Sens!$E$6885+(glt_lic-Sens!$E$6885)*MIN(1,(Sens!F6837-base_fy)/n_conv)</f>
        <v>0.0479303589424807</v>
      </c>
      <c r="G6885" s="7" t="n">
        <f aca="false">Sens!$E$6885+(glt_lic-Sens!$E$6885)*MIN(1,(Sens!G6837-base_fy)/n_conv)</f>
        <v>0.0423442871539845</v>
      </c>
      <c r="H6885" s="7" t="n">
        <f aca="false">Sens!$E$6885+(glt_lic-Sens!$E$6885)*MIN(1,(Sens!H6837-base_fy)/n_conv)</f>
        <v>0.0367582153654884</v>
      </c>
      <c r="I6885" s="7" t="n">
        <f aca="false">Sens!$E$6885+(glt_lic-Sens!$E$6885)*MIN(1,(Sens!I6837-base_fy)/n_conv)</f>
        <v>0.0311721435769923</v>
      </c>
      <c r="J6885" s="7" t="n">
        <f aca="false">Sens!$E$6885+(glt_lic-Sens!$E$6885)*MIN(1,(Sens!J6837-base_fy)/n_conv)</f>
        <v>0.0255860717884961</v>
      </c>
      <c r="K6885" s="7" t="n">
        <f aca="false">Sens!$E$6885+(glt_lic-Sens!$E$6885)*MIN(1,(Sens!K6837-base_fy)/n_conv)</f>
        <v>0.02</v>
      </c>
    </row>
    <row r="6886" customFormat="false" ht="15" hidden="false" customHeight="false" outlineLevel="0" collapsed="false">
      <c r="A6886" s="0" t="s">
        <v>885</v>
      </c>
      <c r="B6886" s="0" t="s">
        <v>98</v>
      </c>
      <c r="D6886" s="6" t="n">
        <f aca="false">Q!L9</f>
        <v>18.417</v>
      </c>
      <c r="E6886" s="6" t="n">
        <f aca="false">Q!M9</f>
        <v>20.345</v>
      </c>
      <c r="F6886" s="6" t="n">
        <f aca="false">Sens!E6886*(1+Sens!F6887)</f>
        <v>22.3572203267814</v>
      </c>
      <c r="G6886" s="6" t="n">
        <f aca="false">Sens!F6886*(1+Sens!G6887)</f>
        <v>24.4392124437232</v>
      </c>
      <c r="H6886" s="6" t="n">
        <f aca="false">Sens!G6886*(1+Sens!H6887)</f>
        <v>26.5738052080665</v>
      </c>
      <c r="I6886" s="6" t="n">
        <f aca="false">Sens!H6886*(1+Sens!I6887)</f>
        <v>28.7412169166967</v>
      </c>
      <c r="J6886" s="6" t="n">
        <f aca="false">Sens!I6886*(1+Sens!J6887)</f>
        <v>30.9192545395413</v>
      </c>
      <c r="K6886" s="6" t="n">
        <f aca="false">Sens!J6886*(1+Sens!K6887)</f>
        <v>33.0836023573092</v>
      </c>
    </row>
    <row r="6887" customFormat="false" ht="15" hidden="false" customHeight="false" outlineLevel="0" collapsed="false">
      <c r="A6887" s="1" t="s">
        <v>876</v>
      </c>
      <c r="B6887" s="0" t="s">
        <v>129</v>
      </c>
      <c r="E6887" s="7" t="n">
        <f aca="false">Sens!E6886/Sens!D6886-1</f>
        <v>0.104685888038225</v>
      </c>
      <c r="F6887" s="7" t="n">
        <f aca="false">Sens!$E$6887+(glt_ind-Sens!$E$6887)*MIN(1,(Sens!F6837-base_fy)/n_conv)</f>
        <v>0.0989049066985211</v>
      </c>
      <c r="G6887" s="7" t="n">
        <f aca="false">Sens!$E$6887+(glt_ind-Sens!$E$6887)*MIN(1,(Sens!G6837-base_fy)/n_conv)</f>
        <v>0.0931239253588169</v>
      </c>
      <c r="H6887" s="7" t="n">
        <f aca="false">Sens!$E$6887+(glt_ind-Sens!$E$6887)*MIN(1,(Sens!H6837-base_fy)/n_conv)</f>
        <v>0.0873429440191127</v>
      </c>
      <c r="I6887" s="7" t="n">
        <f aca="false">Sens!$E$6887+(glt_ind-Sens!$E$6887)*MIN(1,(Sens!I6837-base_fy)/n_conv)</f>
        <v>0.0815619626794085</v>
      </c>
      <c r="J6887" s="7" t="n">
        <f aca="false">Sens!$E$6887+(glt_ind-Sens!$E$6887)*MIN(1,(Sens!J6837-base_fy)/n_conv)</f>
        <v>0.0757809813397042</v>
      </c>
      <c r="K6887" s="7" t="n">
        <f aca="false">Sens!$E$6887+(glt_ind-Sens!$E$6887)*MIN(1,(Sens!K6837-base_fy)/n_conv)</f>
        <v>0.07</v>
      </c>
    </row>
    <row r="6888" customFormat="false" ht="15" hidden="false" customHeight="false" outlineLevel="0" collapsed="false">
      <c r="A6888" s="0" t="s">
        <v>886</v>
      </c>
      <c r="B6888" s="0" t="s">
        <v>98</v>
      </c>
      <c r="D6888" s="6" t="n">
        <f aca="false">Q!L10</f>
        <v>7.76</v>
      </c>
      <c r="E6888" s="6" t="n">
        <f aca="false">Q!M10</f>
        <v>8.26</v>
      </c>
      <c r="F6888" s="6" t="n">
        <f aca="false">Sens!E6888*(1+Sens!F6889)</f>
        <v>8.79988041237113</v>
      </c>
      <c r="G6888" s="6" t="n">
        <f aca="false">Sens!F6888*(1+Sens!G6889)</f>
        <v>9.38321269125306</v>
      </c>
      <c r="H6888" s="6" t="n">
        <f aca="false">Sens!G6888*(1+Sens!H6889)</f>
        <v>10.0139193587476</v>
      </c>
      <c r="I6888" s="6" t="n">
        <f aca="false">Sens!H6888*(1+Sens!I6889)</f>
        <v>10.6963111830911</v>
      </c>
      <c r="J6888" s="6" t="n">
        <f aca="false">Sens!I6888*(1+Sens!J6889)</f>
        <v>11.4351285534696</v>
      </c>
      <c r="K6888" s="6" t="n">
        <f aca="false">Sens!J6888*(1+Sens!K6889)</f>
        <v>12.2355875522124</v>
      </c>
    </row>
    <row r="6889" customFormat="false" ht="15" hidden="false" customHeight="false" outlineLevel="0" collapsed="false">
      <c r="A6889" s="1" t="s">
        <v>876</v>
      </c>
      <c r="B6889" s="0" t="s">
        <v>129</v>
      </c>
      <c r="E6889" s="7" t="n">
        <f aca="false">Sens!E6888/Sens!D6888-1</f>
        <v>0.0644329896907216</v>
      </c>
      <c r="F6889" s="7" t="n">
        <f aca="false">Sens!$E$6889+(glt_fro-Sens!$E$6889)*MIN(1,(Sens!F6837-base_fy)/n_conv)</f>
        <v>0.065360824742268</v>
      </c>
      <c r="G6889" s="7" t="n">
        <f aca="false">Sens!$E$6889+(glt_fro-Sens!$E$6889)*MIN(1,(Sens!G6837-base_fy)/n_conv)</f>
        <v>0.0662886597938144</v>
      </c>
      <c r="H6889" s="7" t="n">
        <f aca="false">Sens!$E$6889+(glt_fro-Sens!$E$6889)*MIN(1,(Sens!H6837-base_fy)/n_conv)</f>
        <v>0.0672164948453608</v>
      </c>
      <c r="I6889" s="7" t="n">
        <f aca="false">Sens!$E$6889+(glt_fro-Sens!$E$6889)*MIN(1,(Sens!I6837-base_fy)/n_conv)</f>
        <v>0.0681443298969072</v>
      </c>
      <c r="J6889" s="7" t="n">
        <f aca="false">Sens!$E$6889+(glt_fro-Sens!$E$6889)*MIN(1,(Sens!J6837-base_fy)/n_conv)</f>
        <v>0.0690721649484536</v>
      </c>
      <c r="K6889" s="7" t="n">
        <f aca="false">Sens!$E$6889+(glt_fro-Sens!$E$6889)*MIN(1,(Sens!K6837-base_fy)/n_conv)</f>
        <v>0.07</v>
      </c>
    </row>
    <row r="6890" customFormat="false" ht="15" hidden="false" customHeight="false" outlineLevel="0" collapsed="false">
      <c r="A6890" s="0" t="s">
        <v>715</v>
      </c>
      <c r="B6890" s="0" t="s">
        <v>98</v>
      </c>
      <c r="D6890" s="6" t="n">
        <f aca="false">Sens!D6878+Sens!D6883+Sens!D6884+Sens!D6886+Sens!D6888</f>
        <v>218.783</v>
      </c>
      <c r="E6890" s="6" t="n">
        <f aca="false">Sens!E6878+Sens!E6883+Sens!E6884+Sens!E6886+Sens!E6888</f>
        <v>268.127</v>
      </c>
      <c r="F6890" s="6" t="n">
        <f aca="false">Sens!F6878+Sens!F6883+Sens!F6884+Sens!F6886+Sens!F6888</f>
        <v>325.423433064856</v>
      </c>
      <c r="G6890" s="6" t="n">
        <f aca="false">Sens!G6878+Sens!G6883+Sens!G6884+Sens!G6886+Sens!G6888</f>
        <v>385.489865673274</v>
      </c>
      <c r="H6890" s="6" t="n">
        <f aca="false">Sens!H6878+Sens!H6883+Sens!H6884+Sens!H6886+Sens!H6888</f>
        <v>441.136320871193</v>
      </c>
      <c r="I6890" s="6" t="n">
        <f aca="false">Sens!I6878+Sens!I6883+Sens!I6884+Sens!I6886+Sens!I6888</f>
        <v>499.451226245492</v>
      </c>
      <c r="J6890" s="6" t="n">
        <f aca="false">Sens!J6878+Sens!J6883+Sens!J6884+Sens!J6886+Sens!J6888</f>
        <v>548.046203129521</v>
      </c>
      <c r="K6890" s="6" t="n">
        <f aca="false">Sens!K6878+Sens!K6883+Sens!K6884+Sens!K6886+Sens!K6888</f>
        <v>587.313514189702</v>
      </c>
    </row>
    <row r="6891" customFormat="false" ht="15" hidden="false" customHeight="false" outlineLevel="0" collapsed="false">
      <c r="A6891" s="0" t="s">
        <v>887</v>
      </c>
      <c r="B6891" s="0" t="s">
        <v>98</v>
      </c>
      <c r="D6891" s="6" t="n">
        <f aca="false">Q!L13</f>
        <v>22.171</v>
      </c>
      <c r="E6891" s="6" t="n">
        <f aca="false">Q!M13</f>
        <v>24.835</v>
      </c>
      <c r="F6891" s="6" t="n">
        <f aca="false">Sens!E6891*(1+Sens!F6892)</f>
        <v>27.6114901218559</v>
      </c>
      <c r="G6891" s="6" t="n">
        <f aca="false">Sens!F6891*(1+Sens!G6892)</f>
        <v>30.4675667338515</v>
      </c>
      <c r="H6891" s="6" t="n">
        <f aca="false">Sens!G6891*(1+Sens!H6892)</f>
        <v>33.3643766955789</v>
      </c>
      <c r="I6891" s="6" t="n">
        <f aca="false">Sens!H6891*(1+Sens!I6892)</f>
        <v>36.2577016533691</v>
      </c>
      <c r="J6891" s="6" t="n">
        <f aca="false">Sens!I6891*(1+Sens!J6892)</f>
        <v>39.0988367952171</v>
      </c>
      <c r="K6891" s="6" t="n">
        <f aca="false">Sens!J6891*(1+Sens!K6892)</f>
        <v>41.8357553708823</v>
      </c>
    </row>
    <row r="6892" customFormat="false" ht="15" hidden="false" customHeight="false" outlineLevel="0" collapsed="false">
      <c r="A6892" s="1" t="s">
        <v>876</v>
      </c>
      <c r="B6892" s="0" t="s">
        <v>129</v>
      </c>
      <c r="E6892" s="7" t="n">
        <f aca="false">Sens!E6891/Sens!D6891-1</f>
        <v>0.120156961796942</v>
      </c>
      <c r="F6892" s="7" t="n">
        <f aca="false">Sens!$E$6892+(glt_srch-Sens!$E$6892)*MIN(1,(Sens!F6837-base_fy)/n_conv)</f>
        <v>0.111797468164118</v>
      </c>
      <c r="G6892" s="7" t="n">
        <f aca="false">Sens!$E$6892+(glt_srch-Sens!$E$6892)*MIN(1,(Sens!G6837-base_fy)/n_conv)</f>
        <v>0.103437974531295</v>
      </c>
      <c r="H6892" s="7" t="n">
        <f aca="false">Sens!$E$6892+(glt_srch-Sens!$E$6892)*MIN(1,(Sens!H6837-base_fy)/n_conv)</f>
        <v>0.095078480898471</v>
      </c>
      <c r="I6892" s="7" t="n">
        <f aca="false">Sens!$E$6892+(glt_srch-Sens!$E$6892)*MIN(1,(Sens!I6837-base_fy)/n_conv)</f>
        <v>0.0867189872656474</v>
      </c>
      <c r="J6892" s="7" t="n">
        <f aca="false">Sens!$E$6892+(glt_srch-Sens!$E$6892)*MIN(1,(Sens!J6837-base_fy)/n_conv)</f>
        <v>0.0783594936328237</v>
      </c>
      <c r="K6892" s="7" t="n">
        <f aca="false">Sens!$E$6892+(glt_srch-Sens!$E$6892)*MIN(1,(Sens!K6837-base_fy)/n_conv)</f>
        <v>0.07</v>
      </c>
    </row>
    <row r="6893" customFormat="false" ht="15" hidden="false" customHeight="false" outlineLevel="0" collapsed="false">
      <c r="A6893" s="0" t="s">
        <v>888</v>
      </c>
      <c r="B6893" s="0" t="s">
        <v>98</v>
      </c>
      <c r="D6893" s="6" t="n">
        <f aca="false">Q!L14</f>
        <v>23.455</v>
      </c>
      <c r="E6893" s="6" t="n">
        <f aca="false">Q!M14</f>
        <v>21.79</v>
      </c>
      <c r="F6893" s="6" t="n">
        <f aca="false">Sens!E6893*(1+Sens!F6894)</f>
        <v>20.5736277908051</v>
      </c>
      <c r="G6893" s="6" t="n">
        <f aca="false">Sens!F6893*(1+Sens!G6894)</f>
        <v>19.7371452817919</v>
      </c>
      <c r="H6893" s="6" t="n">
        <f aca="false">Sens!G6893*(1+Sens!H6894)</f>
        <v>19.2339764043138</v>
      </c>
      <c r="I6893" s="6" t="n">
        <f aca="false">Sens!H6893*(1+Sens!I6894)</f>
        <v>19.0353086852681</v>
      </c>
      <c r="J6893" s="6" t="n">
        <f aca="false">Sens!I6893*(1+Sens!J6894)</f>
        <v>19.1273539319129</v>
      </c>
      <c r="K6893" s="6" t="n">
        <f aca="false">Sens!J6893*(1+Sens!K6894)</f>
        <v>19.5099010105511</v>
      </c>
    </row>
    <row r="6894" customFormat="false" ht="15" hidden="false" customHeight="false" outlineLevel="0" collapsed="false">
      <c r="A6894" s="1" t="s">
        <v>876</v>
      </c>
      <c r="B6894" s="0" t="s">
        <v>129</v>
      </c>
      <c r="E6894" s="7" t="n">
        <f aca="false">Sens!E6893/Sens!D6893-1</f>
        <v>-0.0709869963760392</v>
      </c>
      <c r="F6894" s="7" t="n">
        <f aca="false">Sens!$E$6894+(glt_xbox-Sens!$E$6894)*MIN(1,(Sens!F6837-base_fy)/n_conv)</f>
        <v>-0.0558224969800327</v>
      </c>
      <c r="G6894" s="7" t="n">
        <f aca="false">Sens!$E$6894+(glt_xbox-Sens!$E$6894)*MIN(1,(Sens!G6837-base_fy)/n_conv)</f>
        <v>-0.0406579975840262</v>
      </c>
      <c r="H6894" s="7" t="n">
        <f aca="false">Sens!$E$6894+(glt_xbox-Sens!$E$6894)*MIN(1,(Sens!H6837-base_fy)/n_conv)</f>
        <v>-0.0254934981880196</v>
      </c>
      <c r="I6894" s="7" t="n">
        <f aca="false">Sens!$E$6894+(glt_xbox-Sens!$E$6894)*MIN(1,(Sens!I6837-base_fy)/n_conv)</f>
        <v>-0.0103289987920131</v>
      </c>
      <c r="J6894" s="7" t="n">
        <f aca="false">Sens!$E$6894+(glt_xbox-Sens!$E$6894)*MIN(1,(Sens!J6837-base_fy)/n_conv)</f>
        <v>0.00483550060399347</v>
      </c>
      <c r="K6894" s="7" t="n">
        <f aca="false">Sens!$E$6894+(glt_xbox-Sens!$E$6894)*MIN(1,(Sens!K6837-base_fy)/n_conv)</f>
        <v>0.02</v>
      </c>
    </row>
    <row r="6895" customFormat="false" ht="15" hidden="false" customHeight="false" outlineLevel="0" collapsed="false">
      <c r="A6895" s="0" t="s">
        <v>889</v>
      </c>
      <c r="B6895" s="0" t="s">
        <v>98</v>
      </c>
      <c r="D6895" s="6" t="n">
        <f aca="false">Q!L15</f>
        <v>17.315</v>
      </c>
      <c r="E6895" s="6" t="n">
        <f aca="false">Q!M15</f>
        <v>17.087</v>
      </c>
      <c r="F6895" s="6" t="n">
        <f aca="false">Sens!E6895*(1+Sens!F6896)</f>
        <v>16.9564585436519</v>
      </c>
      <c r="G6895" s="6" t="n">
        <f aca="false">Sens!F6895*(1+Sens!G6896)</f>
        <v>16.9206490624268</v>
      </c>
      <c r="H6895" s="6" t="n">
        <f aca="false">Sens!G6895*(1+Sens!H6896)</f>
        <v>16.9784519149849</v>
      </c>
      <c r="I6895" s="6" t="n">
        <f aca="false">Sens!H6895*(1+Sens!I6896)</f>
        <v>17.1303084701817</v>
      </c>
      <c r="J6895" s="6" t="n">
        <f aca="false">Sens!I6895*(1+Sens!J6896)</f>
        <v>17.3782189407267</v>
      </c>
      <c r="K6895" s="6" t="n">
        <f aca="false">Sens!J6895*(1+Sens!K6896)</f>
        <v>17.7257833195413</v>
      </c>
    </row>
    <row r="6896" customFormat="false" ht="15" hidden="false" customHeight="false" outlineLevel="0" collapsed="false">
      <c r="A6896" s="1" t="s">
        <v>876</v>
      </c>
      <c r="B6896" s="0" t="s">
        <v>129</v>
      </c>
      <c r="E6896" s="7" t="n">
        <f aca="false">Sens!E6895/Sens!D6895-1</f>
        <v>-0.0131677736066995</v>
      </c>
      <c r="F6896" s="7" t="n">
        <f aca="false">Sens!$E$6896+(glt_win-Sens!$E$6896)*MIN(1,(Sens!F6837-base_fy)/n_conv)</f>
        <v>-0.00763981133891627</v>
      </c>
      <c r="G6896" s="7" t="n">
        <f aca="false">Sens!$E$6896+(glt_win-Sens!$E$6896)*MIN(1,(Sens!G6837-base_fy)/n_conv)</f>
        <v>-0.00211184907113301</v>
      </c>
      <c r="H6896" s="7" t="n">
        <f aca="false">Sens!$E$6896+(glt_win-Sens!$E$6896)*MIN(1,(Sens!H6837-base_fy)/n_conv)</f>
        <v>0.00341611319665024</v>
      </c>
      <c r="I6896" s="7" t="n">
        <f aca="false">Sens!$E$6896+(glt_win-Sens!$E$6896)*MIN(1,(Sens!I6837-base_fy)/n_conv)</f>
        <v>0.00894407546443349</v>
      </c>
      <c r="J6896" s="7" t="n">
        <f aca="false">Sens!$E$6896+(glt_win-Sens!$E$6896)*MIN(1,(Sens!J6837-base_fy)/n_conv)</f>
        <v>0.0144720377322168</v>
      </c>
      <c r="K6896" s="7" t="n">
        <f aca="false">Sens!$E$6896+(glt_win-Sens!$E$6896)*MIN(1,(Sens!K6837-base_fy)/n_conv)</f>
        <v>0.02</v>
      </c>
    </row>
    <row r="6897" customFormat="false" ht="15" hidden="false" customHeight="false" outlineLevel="0" collapsed="false">
      <c r="A6897" s="0" t="s">
        <v>729</v>
      </c>
      <c r="B6897" s="0" t="s">
        <v>98</v>
      </c>
      <c r="D6897" s="6" t="n">
        <f aca="false">Sens!D6891+Sens!D6893+Sens!D6895</f>
        <v>62.941</v>
      </c>
      <c r="E6897" s="6" t="n">
        <f aca="false">Sens!E6891+Sens!E6893+Sens!E6895</f>
        <v>63.712</v>
      </c>
      <c r="F6897" s="6" t="n">
        <f aca="false">Sens!F6891+Sens!F6893+Sens!F6895</f>
        <v>65.1415764563129</v>
      </c>
      <c r="G6897" s="6" t="n">
        <f aca="false">Sens!G6891+Sens!G6893+Sens!G6895</f>
        <v>67.1253610780702</v>
      </c>
      <c r="H6897" s="6" t="n">
        <f aca="false">Sens!H6891+Sens!H6893+Sens!H6895</f>
        <v>69.5768050148776</v>
      </c>
      <c r="I6897" s="6" t="n">
        <f aca="false">Sens!I6891+Sens!I6893+Sens!I6895</f>
        <v>72.4233188088189</v>
      </c>
      <c r="J6897" s="6" t="n">
        <f aca="false">Sens!J6891+Sens!J6893+Sens!J6895</f>
        <v>75.6044096678567</v>
      </c>
      <c r="K6897" s="6" t="n">
        <f aca="false">Sens!K6891+Sens!K6893+Sens!K6895</f>
        <v>79.0714397009747</v>
      </c>
    </row>
    <row r="6898" customFormat="false" ht="15" hidden="false" customHeight="false" outlineLevel="0" collapsed="false">
      <c r="A6898" s="1" t="s">
        <v>890</v>
      </c>
      <c r="B6898" s="0" t="s">
        <v>98</v>
      </c>
      <c r="D6898" s="6" t="n">
        <f aca="false">Sens!D6890+Sens!D6897</f>
        <v>281.724</v>
      </c>
      <c r="E6898" s="6" t="n">
        <f aca="false">Sens!E6890+Sens!E6897</f>
        <v>331.839</v>
      </c>
      <c r="F6898" s="6" t="n">
        <f aca="false">Sens!F6890+Sens!F6897</f>
        <v>390.565009521169</v>
      </c>
      <c r="G6898" s="6" t="n">
        <f aca="false">Sens!G6890+Sens!G6897</f>
        <v>452.615226751344</v>
      </c>
      <c r="H6898" s="6" t="n">
        <f aca="false">Sens!H6890+Sens!H6897</f>
        <v>510.713125886071</v>
      </c>
      <c r="I6898" s="6" t="n">
        <f aca="false">Sens!I6890+Sens!I6897</f>
        <v>571.874545054311</v>
      </c>
      <c r="J6898" s="6" t="n">
        <f aca="false">Sens!J6890+Sens!J6897</f>
        <v>623.650612797378</v>
      </c>
      <c r="K6898" s="6" t="n">
        <f aca="false">Sens!K6890+Sens!K6897</f>
        <v>666.384953890677</v>
      </c>
    </row>
    <row r="6899" customFormat="false" ht="15" hidden="false" customHeight="false" outlineLevel="0" collapsed="false">
      <c r="A6899" s="23" t="s">
        <v>891</v>
      </c>
      <c r="B6899" s="30" t="s">
        <v>98</v>
      </c>
      <c r="C6899" s="30"/>
      <c r="D6899" s="24" t="n">
        <f aca="false">(Sens!D6878+Sens!D6883+Sens!D6884+Sens!D6886+Sens!D6888-Sens!D6890)+(Sens!D6891+Sens!D6893+Sens!D6895-Sens!D6897)+(Sens!D6890-Q!L5)+(Sens!D6897-Q!L12)+(Sens!D6878-Q!L6)+(Sens!D6883-Q!L7)</f>
        <v>0</v>
      </c>
      <c r="E6899" s="24" t="n">
        <f aca="false">(Sens!E6878+Sens!E6883+Sens!E6884+Sens!E6886+Sens!E6888-Sens!E6890)+(Sens!E6891+Sens!E6893+Sens!E6895-Sens!E6897)+(Sens!E6890-Q!M5)+(Sens!E6897-Q!M12)+(Sens!E6878-Q!M6)+(Sens!E6883-Q!M7)</f>
        <v>0</v>
      </c>
      <c r="F6899" s="24" t="n">
        <f aca="false">(Sens!F6878+Sens!F6883+Sens!F6884+Sens!F6886+Sens!F6888-Sens!F6890)+(Sens!F6891+Sens!F6893+Sens!F6895-Sens!F6897)</f>
        <v>0</v>
      </c>
      <c r="G6899" s="24" t="n">
        <f aca="false">(Sens!G6878+Sens!G6883+Sens!G6884+Sens!G6886+Sens!G6888-Sens!G6890)+(Sens!G6891+Sens!G6893+Sens!G6895-Sens!G6897)</f>
        <v>0</v>
      </c>
      <c r="H6899" s="24" t="n">
        <f aca="false">(Sens!H6878+Sens!H6883+Sens!H6884+Sens!H6886+Sens!H6888-Sens!H6890)+(Sens!H6891+Sens!H6893+Sens!H6895-Sens!H6897)</f>
        <v>0</v>
      </c>
      <c r="I6899" s="24" t="n">
        <f aca="false">(Sens!I6878+Sens!I6883+Sens!I6884+Sens!I6886+Sens!I6888-Sens!I6890)+(Sens!I6891+Sens!I6893+Sens!I6895-Sens!I6897)</f>
        <v>0</v>
      </c>
      <c r="J6899" s="24" t="n">
        <f aca="false">(Sens!J6878+Sens!J6883+Sens!J6884+Sens!J6886+Sens!J6888-Sens!J6890)+(Sens!J6891+Sens!J6893+Sens!J6895-Sens!J6897)</f>
        <v>0</v>
      </c>
      <c r="K6899" s="24" t="n">
        <f aca="false">(Sens!K6878+Sens!K6883+Sens!K6884+Sens!K6886+Sens!K6888-Sens!K6890)+(Sens!K6891+Sens!K6893+Sens!K6895-Sens!K6897)</f>
        <v>0</v>
      </c>
    </row>
    <row r="6900" customFormat="false" ht="17.15" hidden="false" customHeight="false" outlineLevel="0" collapsed="false">
      <c r="A6900" s="3" t="s">
        <v>1439</v>
      </c>
    </row>
    <row r="6901" customFormat="false" ht="15" hidden="false" customHeight="false" outlineLevel="0" collapsed="false">
      <c r="A6901" s="4" t="s">
        <v>43</v>
      </c>
      <c r="B6901" s="4" t="s">
        <v>65</v>
      </c>
      <c r="C6901" s="20" t="s">
        <v>799</v>
      </c>
      <c r="D6901" s="20" t="s">
        <v>800</v>
      </c>
      <c r="E6901" s="20" t="s">
        <v>801</v>
      </c>
      <c r="F6901" s="20" t="s">
        <v>802</v>
      </c>
      <c r="G6901" s="20" t="s">
        <v>803</v>
      </c>
      <c r="H6901" s="20" t="s">
        <v>804</v>
      </c>
      <c r="I6901" s="20" t="s">
        <v>805</v>
      </c>
      <c r="J6901" s="20" t="s">
        <v>806</v>
      </c>
      <c r="K6901" s="20" t="s">
        <v>807</v>
      </c>
      <c r="L6901" s="4" t="s">
        <v>47</v>
      </c>
    </row>
    <row r="6902" customFormat="false" ht="15" hidden="false" customHeight="false" outlineLevel="0" collapsed="false">
      <c r="A6902" s="0" t="s">
        <v>877</v>
      </c>
      <c r="B6902" s="0" t="s">
        <v>98</v>
      </c>
      <c r="D6902" s="6" t="n">
        <f aca="false">Sens!D6878</f>
        <v>72.61</v>
      </c>
      <c r="E6902" s="6" t="n">
        <f aca="false">Sens!E6878</f>
        <v>101.938</v>
      </c>
      <c r="F6902" s="6" t="n">
        <f aca="false">Sens!F6878</f>
        <v>140.741861125673</v>
      </c>
      <c r="G6902" s="6" t="n">
        <f aca="false">Sens!G6878</f>
        <v>182.176709135845</v>
      </c>
      <c r="H6902" s="6" t="n">
        <f aca="false">Sens!H6878</f>
        <v>219.167638189678</v>
      </c>
      <c r="I6902" s="6" t="n">
        <f aca="false">Sens!I6878</f>
        <v>259.639871266006</v>
      </c>
      <c r="J6902" s="6" t="n">
        <f aca="false">Sens!J6878</f>
        <v>291.525306025352</v>
      </c>
      <c r="K6902" s="6" t="n">
        <f aca="false">Sens!K6878</f>
        <v>315.009444849526</v>
      </c>
    </row>
    <row r="6903" customFormat="false" ht="17.15" hidden="false" customHeight="false" outlineLevel="0" collapsed="false">
      <c r="A6903" s="0" t="s">
        <v>874</v>
      </c>
      <c r="B6903" s="0" t="s">
        <v>98</v>
      </c>
      <c r="D6903" s="6" t="n">
        <f aca="false">Sens!D6875</f>
        <v>12.9359794422418</v>
      </c>
      <c r="E6903" s="6" t="n">
        <f aca="false">Sens!E6875</f>
        <v>27.8095064661409</v>
      </c>
      <c r="F6903" s="6" t="n">
        <f aca="false">Sens!F6875</f>
        <v>50.6619113883066</v>
      </c>
      <c r="G6903" s="6" t="n">
        <f aca="false">Sens!G6875</f>
        <v>75.1482839325348</v>
      </c>
      <c r="H6903" s="6" t="n">
        <f aca="false">Sens!H6875</f>
        <v>94.895655604042</v>
      </c>
      <c r="I6903" s="6" t="n">
        <f aca="false">Sens!I6875</f>
        <v>118.706168884151</v>
      </c>
      <c r="J6903" s="6" t="n">
        <f aca="false">Sens!J6875</f>
        <v>135.50643871102</v>
      </c>
      <c r="K6903" s="6" t="n">
        <f aca="false">Sens!K6875</f>
        <v>146.509068150048</v>
      </c>
    </row>
    <row r="6904" customFormat="false" ht="17.15" hidden="false" customHeight="false" outlineLevel="0" collapsed="false">
      <c r="A6904" s="0" t="s">
        <v>902</v>
      </c>
      <c r="B6904" s="0" t="s">
        <v>98</v>
      </c>
      <c r="D6904" s="6" t="n">
        <f aca="false">Sens!D6876</f>
        <v>59.6740205577583</v>
      </c>
      <c r="E6904" s="6" t="n">
        <f aca="false">Sens!E6876</f>
        <v>74.1284935338591</v>
      </c>
      <c r="F6904" s="6" t="n">
        <f aca="false">Sens!F6876</f>
        <v>90.0799497373663</v>
      </c>
      <c r="G6904" s="6" t="n">
        <f aca="false">Sens!G6876</f>
        <v>107.02842520331</v>
      </c>
      <c r="H6904" s="6" t="n">
        <f aca="false">Sens!H6876</f>
        <v>124.271982585636</v>
      </c>
      <c r="I6904" s="6" t="n">
        <f aca="false">Sens!I6876</f>
        <v>140.933702381855</v>
      </c>
      <c r="J6904" s="6" t="n">
        <f aca="false">Sens!J6876</f>
        <v>156.018867314332</v>
      </c>
      <c r="K6904" s="6" t="n">
        <f aca="false">Sens!K6876</f>
        <v>168.500376699478</v>
      </c>
    </row>
    <row r="6905" customFormat="false" ht="15" hidden="false" customHeight="false" outlineLevel="0" collapsed="false">
      <c r="A6905" s="0" t="s">
        <v>883</v>
      </c>
      <c r="B6905" s="0" t="s">
        <v>98</v>
      </c>
      <c r="D6905" s="6" t="n">
        <f aca="false">Sens!D6883</f>
        <v>84.605</v>
      </c>
      <c r="E6905" s="6" t="n">
        <f aca="false">Sens!E6883</f>
        <v>100.299</v>
      </c>
      <c r="F6905" s="6" t="n">
        <f aca="false">Sens!F6883</f>
        <v>114.45238776686</v>
      </c>
      <c r="G6905" s="6" t="n">
        <f aca="false">Sens!G6883</f>
        <v>128.764168448684</v>
      </c>
      <c r="H6905" s="6" t="n">
        <f aca="false">Sens!H6883</f>
        <v>143.157359388781</v>
      </c>
      <c r="I6905" s="6" t="n">
        <f aca="false">Sens!I6883</f>
        <v>156.834028071957</v>
      </c>
      <c r="J6905" s="6" t="n">
        <f aca="false">Sens!J6883</f>
        <v>169.512702785465</v>
      </c>
      <c r="K6905" s="6" t="n">
        <f aca="false">Sens!K6883</f>
        <v>181.437991980448</v>
      </c>
    </row>
    <row r="6906" customFormat="false" ht="17.15" hidden="false" customHeight="false" outlineLevel="0" collapsed="false">
      <c r="A6906" s="0" t="s">
        <v>903</v>
      </c>
      <c r="B6906" s="0" t="s">
        <v>98</v>
      </c>
      <c r="D6906" s="6" t="n">
        <f aca="false">Sens!D6881</f>
        <v>83.705</v>
      </c>
      <c r="E6906" s="6" t="n">
        <f aca="false">Sens!E6881</f>
        <v>95.049</v>
      </c>
      <c r="F6906" s="6" t="n">
        <f aca="false">Sens!F6881</f>
        <v>106.89238776686</v>
      </c>
      <c r="G6906" s="6" t="n">
        <f aca="false">Sens!G6881</f>
        <v>119.044168448684</v>
      </c>
      <c r="H6906" s="6" t="n">
        <f aca="false">Sens!H6881</f>
        <v>131.277359388781</v>
      </c>
      <c r="I6906" s="6" t="n">
        <f aca="false">Sens!I6881</f>
        <v>143.334028071957</v>
      </c>
      <c r="J6906" s="6" t="n">
        <f aca="false">Sens!J6881</f>
        <v>154.932702785465</v>
      </c>
      <c r="K6906" s="6" t="n">
        <f aca="false">Sens!K6881</f>
        <v>165.777991980448</v>
      </c>
    </row>
    <row r="6907" customFormat="false" ht="17.15" hidden="false" customHeight="false" outlineLevel="0" collapsed="false">
      <c r="A6907" s="0" t="s">
        <v>904</v>
      </c>
      <c r="B6907" s="0" t="s">
        <v>98</v>
      </c>
      <c r="D6907" s="6" t="n">
        <f aca="false">Sens!D6880</f>
        <v>0.9</v>
      </c>
      <c r="E6907" s="6" t="n">
        <f aca="false">Sens!E6880</f>
        <v>5.25</v>
      </c>
      <c r="F6907" s="6" t="n">
        <f aca="false">Sens!F6880</f>
        <v>7.56</v>
      </c>
      <c r="G6907" s="6" t="n">
        <f aca="false">Sens!G6880</f>
        <v>9.72</v>
      </c>
      <c r="H6907" s="6" t="n">
        <f aca="false">Sens!H6880</f>
        <v>11.88</v>
      </c>
      <c r="I6907" s="6" t="n">
        <f aca="false">Sens!I6880</f>
        <v>13.5</v>
      </c>
      <c r="J6907" s="6" t="n">
        <f aca="false">Sens!J6880</f>
        <v>14.58</v>
      </c>
      <c r="K6907" s="6" t="n">
        <f aca="false">Sens!K6880</f>
        <v>15.66</v>
      </c>
    </row>
    <row r="6908" customFormat="false" ht="15" hidden="false" customHeight="false" outlineLevel="0" collapsed="false">
      <c r="A6908" s="0" t="s">
        <v>884</v>
      </c>
      <c r="B6908" s="0" t="s">
        <v>98</v>
      </c>
      <c r="D6908" s="6" t="n">
        <f aca="false">Sens!D6884</f>
        <v>35.391</v>
      </c>
      <c r="E6908" s="6" t="n">
        <f aca="false">Sens!E6884</f>
        <v>37.285</v>
      </c>
      <c r="F6908" s="6" t="n">
        <f aca="false">Sens!F6884</f>
        <v>39.0720834331704</v>
      </c>
      <c r="G6908" s="6" t="n">
        <f aca="false">Sens!G6884</f>
        <v>40.726562953769</v>
      </c>
      <c r="H6908" s="6" t="n">
        <f aca="false">Sens!H6884</f>
        <v>42.2235987259198</v>
      </c>
      <c r="I6908" s="6" t="n">
        <f aca="false">Sens!I6884</f>
        <v>43.5397988077414</v>
      </c>
      <c r="J6908" s="6" t="n">
        <f aca="false">Sens!J6884</f>
        <v>44.653811225693</v>
      </c>
      <c r="K6908" s="6" t="n">
        <f aca="false">Sens!K6884</f>
        <v>45.5468874502068</v>
      </c>
    </row>
    <row r="6909" customFormat="false" ht="15" hidden="false" customHeight="false" outlineLevel="0" collapsed="false">
      <c r="A6909" s="0" t="s">
        <v>885</v>
      </c>
      <c r="B6909" s="0" t="s">
        <v>98</v>
      </c>
      <c r="D6909" s="6" t="n">
        <f aca="false">Sens!D6886</f>
        <v>18.417</v>
      </c>
      <c r="E6909" s="6" t="n">
        <f aca="false">Sens!E6886</f>
        <v>20.345</v>
      </c>
      <c r="F6909" s="6" t="n">
        <f aca="false">Sens!F6886</f>
        <v>22.3572203267814</v>
      </c>
      <c r="G6909" s="6" t="n">
        <f aca="false">Sens!G6886</f>
        <v>24.4392124437232</v>
      </c>
      <c r="H6909" s="6" t="n">
        <f aca="false">Sens!H6886</f>
        <v>26.5738052080665</v>
      </c>
      <c r="I6909" s="6" t="n">
        <f aca="false">Sens!I6886</f>
        <v>28.7412169166967</v>
      </c>
      <c r="J6909" s="6" t="n">
        <f aca="false">Sens!J6886</f>
        <v>30.9192545395413</v>
      </c>
      <c r="K6909" s="6" t="n">
        <f aca="false">Sens!K6886</f>
        <v>33.0836023573092</v>
      </c>
    </row>
    <row r="6910" customFormat="false" ht="15" hidden="false" customHeight="false" outlineLevel="0" collapsed="false">
      <c r="A6910" s="0" t="s">
        <v>886</v>
      </c>
      <c r="B6910" s="0" t="s">
        <v>98</v>
      </c>
      <c r="D6910" s="6" t="n">
        <f aca="false">Sens!D6888</f>
        <v>7.76</v>
      </c>
      <c r="E6910" s="6" t="n">
        <f aca="false">Sens!E6888</f>
        <v>8.26</v>
      </c>
      <c r="F6910" s="6" t="n">
        <f aca="false">Sens!F6888</f>
        <v>8.79988041237113</v>
      </c>
      <c r="G6910" s="6" t="n">
        <f aca="false">Sens!G6888</f>
        <v>9.38321269125306</v>
      </c>
      <c r="H6910" s="6" t="n">
        <f aca="false">Sens!H6888</f>
        <v>10.0139193587476</v>
      </c>
      <c r="I6910" s="6" t="n">
        <f aca="false">Sens!I6888</f>
        <v>10.6963111830911</v>
      </c>
      <c r="J6910" s="6" t="n">
        <f aca="false">Sens!J6888</f>
        <v>11.4351285534696</v>
      </c>
      <c r="K6910" s="6" t="n">
        <f aca="false">Sens!K6888</f>
        <v>12.2355875522124</v>
      </c>
    </row>
    <row r="6911" customFormat="false" ht="15" hidden="false" customHeight="false" outlineLevel="0" collapsed="false">
      <c r="A6911" s="0" t="s">
        <v>715</v>
      </c>
      <c r="B6911" s="0" t="s">
        <v>98</v>
      </c>
      <c r="D6911" s="6" t="n">
        <f aca="false">Sens!D6890</f>
        <v>218.783</v>
      </c>
      <c r="E6911" s="6" t="n">
        <f aca="false">Sens!E6890</f>
        <v>268.127</v>
      </c>
      <c r="F6911" s="6" t="n">
        <f aca="false">Sens!F6890</f>
        <v>325.423433064856</v>
      </c>
      <c r="G6911" s="6" t="n">
        <f aca="false">Sens!G6890</f>
        <v>385.489865673274</v>
      </c>
      <c r="H6911" s="6" t="n">
        <f aca="false">Sens!H6890</f>
        <v>441.136320871193</v>
      </c>
      <c r="I6911" s="6" t="n">
        <f aca="false">Sens!I6890</f>
        <v>499.451226245492</v>
      </c>
      <c r="J6911" s="6" t="n">
        <f aca="false">Sens!J6890</f>
        <v>548.046203129521</v>
      </c>
      <c r="K6911" s="6" t="n">
        <f aca="false">Sens!K6890</f>
        <v>587.313514189702</v>
      </c>
    </row>
    <row r="6912" customFormat="false" ht="15" hidden="false" customHeight="false" outlineLevel="0" collapsed="false">
      <c r="A6912" s="0" t="s">
        <v>887</v>
      </c>
      <c r="B6912" s="0" t="s">
        <v>98</v>
      </c>
      <c r="D6912" s="6" t="n">
        <f aca="false">Sens!D6891</f>
        <v>22.171</v>
      </c>
      <c r="E6912" s="6" t="n">
        <f aca="false">Sens!E6891</f>
        <v>24.835</v>
      </c>
      <c r="F6912" s="6" t="n">
        <f aca="false">Sens!F6891</f>
        <v>27.6114901218559</v>
      </c>
      <c r="G6912" s="6" t="n">
        <f aca="false">Sens!G6891</f>
        <v>30.4675667338515</v>
      </c>
      <c r="H6912" s="6" t="n">
        <f aca="false">Sens!H6891</f>
        <v>33.3643766955789</v>
      </c>
      <c r="I6912" s="6" t="n">
        <f aca="false">Sens!I6891</f>
        <v>36.2577016533691</v>
      </c>
      <c r="J6912" s="6" t="n">
        <f aca="false">Sens!J6891</f>
        <v>39.0988367952171</v>
      </c>
      <c r="K6912" s="6" t="n">
        <f aca="false">Sens!K6891</f>
        <v>41.8357553708823</v>
      </c>
    </row>
    <row r="6913" customFormat="false" ht="15" hidden="false" customHeight="false" outlineLevel="0" collapsed="false">
      <c r="A6913" s="0" t="s">
        <v>888</v>
      </c>
      <c r="B6913" s="0" t="s">
        <v>98</v>
      </c>
      <c r="D6913" s="6" t="n">
        <f aca="false">Sens!D6893</f>
        <v>23.455</v>
      </c>
      <c r="E6913" s="6" t="n">
        <f aca="false">Sens!E6893</f>
        <v>21.79</v>
      </c>
      <c r="F6913" s="6" t="n">
        <f aca="false">Sens!F6893</f>
        <v>20.5736277908051</v>
      </c>
      <c r="G6913" s="6" t="n">
        <f aca="false">Sens!G6893</f>
        <v>19.7371452817919</v>
      </c>
      <c r="H6913" s="6" t="n">
        <f aca="false">Sens!H6893</f>
        <v>19.2339764043138</v>
      </c>
      <c r="I6913" s="6" t="n">
        <f aca="false">Sens!I6893</f>
        <v>19.0353086852681</v>
      </c>
      <c r="J6913" s="6" t="n">
        <f aca="false">Sens!J6893</f>
        <v>19.1273539319129</v>
      </c>
      <c r="K6913" s="6" t="n">
        <f aca="false">Sens!K6893</f>
        <v>19.5099010105511</v>
      </c>
    </row>
    <row r="6914" customFormat="false" ht="15" hidden="false" customHeight="false" outlineLevel="0" collapsed="false">
      <c r="A6914" s="0" t="s">
        <v>889</v>
      </c>
      <c r="B6914" s="0" t="s">
        <v>98</v>
      </c>
      <c r="D6914" s="6" t="n">
        <f aca="false">Sens!D6895</f>
        <v>17.315</v>
      </c>
      <c r="E6914" s="6" t="n">
        <f aca="false">Sens!E6895</f>
        <v>17.087</v>
      </c>
      <c r="F6914" s="6" t="n">
        <f aca="false">Sens!F6895</f>
        <v>16.9564585436519</v>
      </c>
      <c r="G6914" s="6" t="n">
        <f aca="false">Sens!G6895</f>
        <v>16.9206490624268</v>
      </c>
      <c r="H6914" s="6" t="n">
        <f aca="false">Sens!H6895</f>
        <v>16.9784519149849</v>
      </c>
      <c r="I6914" s="6" t="n">
        <f aca="false">Sens!I6895</f>
        <v>17.1303084701817</v>
      </c>
      <c r="J6914" s="6" t="n">
        <f aca="false">Sens!J6895</f>
        <v>17.3782189407267</v>
      </c>
      <c r="K6914" s="6" t="n">
        <f aca="false">Sens!K6895</f>
        <v>17.7257833195413</v>
      </c>
    </row>
    <row r="6915" customFormat="false" ht="15" hidden="false" customHeight="false" outlineLevel="0" collapsed="false">
      <c r="A6915" s="0" t="s">
        <v>729</v>
      </c>
      <c r="B6915" s="0" t="s">
        <v>98</v>
      </c>
      <c r="D6915" s="6" t="n">
        <f aca="false">Sens!D6897</f>
        <v>62.941</v>
      </c>
      <c r="E6915" s="6" t="n">
        <f aca="false">Sens!E6897</f>
        <v>63.712</v>
      </c>
      <c r="F6915" s="6" t="n">
        <f aca="false">Sens!F6897</f>
        <v>65.1415764563129</v>
      </c>
      <c r="G6915" s="6" t="n">
        <f aca="false">Sens!G6897</f>
        <v>67.1253610780702</v>
      </c>
      <c r="H6915" s="6" t="n">
        <f aca="false">Sens!H6897</f>
        <v>69.5768050148776</v>
      </c>
      <c r="I6915" s="6" t="n">
        <f aca="false">Sens!I6897</f>
        <v>72.4233188088189</v>
      </c>
      <c r="J6915" s="6" t="n">
        <f aca="false">Sens!J6897</f>
        <v>75.6044096678567</v>
      </c>
      <c r="K6915" s="6" t="n">
        <f aca="false">Sens!K6897</f>
        <v>79.0714397009747</v>
      </c>
    </row>
    <row r="6916" customFormat="false" ht="15" hidden="false" customHeight="false" outlineLevel="0" collapsed="false">
      <c r="A6916" s="1" t="s">
        <v>905</v>
      </c>
      <c r="B6916" s="0" t="s">
        <v>98</v>
      </c>
      <c r="D6916" s="6" t="n">
        <f aca="false">Sens!D6898</f>
        <v>281.724</v>
      </c>
      <c r="E6916" s="6" t="n">
        <f aca="false">Sens!E6898</f>
        <v>331.839</v>
      </c>
      <c r="F6916" s="6" t="n">
        <f aca="false">Sens!F6898</f>
        <v>390.565009521169</v>
      </c>
      <c r="G6916" s="6" t="n">
        <f aca="false">Sens!G6898</f>
        <v>452.615226751344</v>
      </c>
      <c r="H6916" s="6" t="n">
        <f aca="false">Sens!H6898</f>
        <v>510.713125886071</v>
      </c>
      <c r="I6916" s="6" t="n">
        <f aca="false">Sens!I6898</f>
        <v>571.874545054311</v>
      </c>
      <c r="J6916" s="6" t="n">
        <f aca="false">Sens!J6898</f>
        <v>623.650612797378</v>
      </c>
      <c r="K6916" s="6" t="n">
        <f aca="false">Sens!K6898</f>
        <v>666.384953890677</v>
      </c>
    </row>
    <row r="6917" customFormat="false" ht="15" hidden="false" customHeight="false" outlineLevel="0" collapsed="false">
      <c r="A6917" s="1" t="s">
        <v>906</v>
      </c>
      <c r="B6917" s="0" t="s">
        <v>129</v>
      </c>
      <c r="E6917" s="7" t="n">
        <f aca="false">Sens!E6916/Sens!D6916-1</f>
        <v>0.177886867998467</v>
      </c>
      <c r="F6917" s="7" t="n">
        <f aca="false">Sens!F6916/Sens!E6916-1</f>
        <v>0.176971391310752</v>
      </c>
      <c r="G6917" s="7" t="n">
        <f aca="false">Sens!G6916/Sens!F6916-1</f>
        <v>0.158872955122756</v>
      </c>
      <c r="H6917" s="7" t="n">
        <f aca="false">Sens!H6916/Sens!G6916-1</f>
        <v>0.12836046094102</v>
      </c>
      <c r="I6917" s="7" t="n">
        <f aca="false">Sens!I6916/Sens!H6916-1</f>
        <v>0.119756896911798</v>
      </c>
      <c r="J6917" s="7" t="n">
        <f aca="false">Sens!J6916/Sens!I6916-1</f>
        <v>0.0905374582429601</v>
      </c>
      <c r="K6917" s="7" t="n">
        <f aca="false">Sens!K6916/Sens!J6916-1</f>
        <v>0.0685228880023296</v>
      </c>
    </row>
    <row r="6918" customFormat="false" ht="17.15" hidden="false" customHeight="false" outlineLevel="0" collapsed="false">
      <c r="A6918" s="23" t="s">
        <v>907</v>
      </c>
      <c r="B6918" s="30" t="s">
        <v>98</v>
      </c>
      <c r="C6918" s="30"/>
      <c r="D6918" s="24" t="n">
        <f aca="false">(Sens!D6911+Sens!D6915-Sens!D6916)+(Sens!D6903+Sens!D6904-Sens!D6902)+(Sens!D6906+Sens!D6907-Sens!D6905)+(Sens!D6916-Q!L18)</f>
        <v>0</v>
      </c>
      <c r="E6918" s="24" t="n">
        <f aca="false">(Sens!E6911+Sens!E6915-Sens!E6916)+(Sens!E6903+Sens!E6904-Sens!E6902)+(Sens!E6906+Sens!E6907-Sens!E6905)+(Sens!E6916-Q!M18)</f>
        <v>0</v>
      </c>
      <c r="F6918" s="24" t="n">
        <f aca="false">(Sens!F6911+Sens!F6915-Sens!F6916)+(Sens!F6903+Sens!F6904-Sens!F6902)+(Sens!F6906+Sens!F6907-Sens!F6905)</f>
        <v>0</v>
      </c>
      <c r="G6918" s="24" t="n">
        <f aca="false">(Sens!G6911+Sens!G6915-Sens!G6916)+(Sens!G6903+Sens!G6904-Sens!G6902)+(Sens!G6906+Sens!G6907-Sens!G6905)</f>
        <v>0</v>
      </c>
      <c r="H6918" s="24" t="n">
        <f aca="false">(Sens!H6911+Sens!H6915-Sens!H6916)+(Sens!H6903+Sens!H6904-Sens!H6902)+(Sens!H6906+Sens!H6907-Sens!H6905)</f>
        <v>0</v>
      </c>
      <c r="I6918" s="24" t="n">
        <f aca="false">(Sens!I6911+Sens!I6915-Sens!I6916)+(Sens!I6903+Sens!I6904-Sens!I6902)+(Sens!I6906+Sens!I6907-Sens!I6905)</f>
        <v>0</v>
      </c>
      <c r="J6918" s="24" t="n">
        <f aca="false">(Sens!J6911+Sens!J6915-Sens!J6916)+(Sens!J6903+Sens!J6904-Sens!J6902)+(Sens!J6906+Sens!J6907-Sens!J6905)</f>
        <v>0</v>
      </c>
      <c r="K6918" s="24" t="n">
        <f aca="false">(Sens!K6911+Sens!K6915-Sens!K6916)+(Sens!K6903+Sens!K6904-Sens!K6902)+(Sens!K6906+Sens!K6907-Sens!K6905)</f>
        <v>0</v>
      </c>
    </row>
    <row r="6919" customFormat="false" ht="17.15" hidden="false" customHeight="false" outlineLevel="0" collapsed="false">
      <c r="A6919" s="0" t="s">
        <v>908</v>
      </c>
      <c r="B6919" s="0" t="s">
        <v>129</v>
      </c>
      <c r="E6919" s="7" t="n">
        <f aca="false">(Q!M21+Sens!E6856+Sens!E6857+Sens!E6858+Sens!E6871-Sens!E6854)/(Q!M5-Sens!E6854)</f>
        <v>0.570957350878296</v>
      </c>
      <c r="F6919" s="7" t="n">
        <f aca="false">Sens!$E$6919+dm_seg</f>
        <v>0.570957350878296</v>
      </c>
      <c r="G6919" s="7" t="n">
        <f aca="false">Sens!$E$6919+dm_seg</f>
        <v>0.570957350878296</v>
      </c>
      <c r="H6919" s="7" t="n">
        <f aca="false">Sens!$E$6919+dm_seg</f>
        <v>0.570957350878296</v>
      </c>
      <c r="I6919" s="7" t="n">
        <f aca="false">Sens!$E$6919+dm_seg</f>
        <v>0.570957350878296</v>
      </c>
      <c r="J6919" s="7" t="n">
        <f aca="false">Sens!$E$6919+dm_seg</f>
        <v>0.570957350878296</v>
      </c>
      <c r="K6919" s="7" t="n">
        <f aca="false">Sens!$E$6919+dm_seg</f>
        <v>0.570957350878296</v>
      </c>
      <c r="L6919" s="11" t="s">
        <v>909</v>
      </c>
    </row>
    <row r="6920" customFormat="false" ht="17.15" hidden="false" customHeight="false" outlineLevel="0" collapsed="false">
      <c r="A6920" s="0" t="s">
        <v>743</v>
      </c>
      <c r="B6920" s="0" t="s">
        <v>98</v>
      </c>
      <c r="D6920" s="6" t="n">
        <f aca="false">Q!L21</f>
        <v>110.814</v>
      </c>
      <c r="E6920" s="6" t="n">
        <f aca="false">Q!M21</f>
        <v>136.365</v>
      </c>
      <c r="F6920" s="6" t="n">
        <f aca="false">Sens!F6919*(Sens!F6890-Sens!F6854)+Sens!F6854-(Sens!F6856+Sens!F6857+Sens!F6858)-Sens!F6871-Sens!F6954</f>
        <v>150.478460480912</v>
      </c>
      <c r="G6920" s="6" t="n">
        <f aca="false">Sens!G6919*(Sens!G6890-Sens!G6854)+Sens!G6854-(Sens!G6856+Sens!G6857+Sens!G6858)-Sens!G6871-Sens!G6954</f>
        <v>158.746376343776</v>
      </c>
      <c r="H6920" s="6" t="n">
        <f aca="false">Sens!H6919*(Sens!H6890-Sens!H6854)+Sens!H6854-(Sens!H6856+Sens!H6857+Sens!H6858)-Sens!H6871-Sens!H6954</f>
        <v>160.636598584161</v>
      </c>
      <c r="I6920" s="6" t="n">
        <f aca="false">Sens!I6919*(Sens!I6890-Sens!I6854)+Sens!I6854-(Sens!I6856+Sens!I6857+Sens!I6858)-Sens!I6871-Sens!I6954</f>
        <v>170.273845747366</v>
      </c>
      <c r="J6920" s="6" t="n">
        <f aca="false">Sens!J6919*(Sens!J6890-Sens!J6854)+Sens!J6854-(Sens!J6856+Sens!J6857+Sens!J6858)-Sens!J6871-Sens!J6954</f>
        <v>181.281225640661</v>
      </c>
      <c r="K6920" s="6" t="n">
        <f aca="false">Sens!K6919*(Sens!K6890-Sens!K6854)+Sens!K6854-(Sens!K6856+Sens!K6857+Sens!K6858)-Sens!K6871-Sens!K6954</f>
        <v>193.564567460755</v>
      </c>
      <c r="L6920" s="1" t="s">
        <v>910</v>
      </c>
    </row>
    <row r="6921" customFormat="false" ht="17.15" hidden="false" customHeight="false" outlineLevel="0" collapsed="false">
      <c r="A6921" s="0" t="s">
        <v>911</v>
      </c>
      <c r="B6921" s="0" t="s">
        <v>129</v>
      </c>
      <c r="E6921" s="7" t="n">
        <f aca="false">Q!M22/Q!M12</f>
        <v>0.296207935710698</v>
      </c>
      <c r="F6921" s="7" t="n">
        <f aca="false">Sens!$E$6921+dm_seg</f>
        <v>0.296207935710698</v>
      </c>
      <c r="G6921" s="7" t="n">
        <f aca="false">Sens!$E$6921+dm_seg</f>
        <v>0.296207935710698</v>
      </c>
      <c r="H6921" s="7" t="n">
        <f aca="false">Sens!$E$6921+dm_seg</f>
        <v>0.296207935710698</v>
      </c>
      <c r="I6921" s="7" t="n">
        <f aca="false">Sens!$E$6921+dm_seg</f>
        <v>0.296207935710698</v>
      </c>
      <c r="J6921" s="7" t="n">
        <f aca="false">Sens!$E$6921+dm_seg</f>
        <v>0.296207935710698</v>
      </c>
      <c r="K6921" s="7" t="n">
        <f aca="false">Sens!$E$6921+dm_seg</f>
        <v>0.296207935710698</v>
      </c>
      <c r="L6921" s="11" t="s">
        <v>912</v>
      </c>
    </row>
    <row r="6922" customFormat="false" ht="17.15" hidden="false" customHeight="false" outlineLevel="0" collapsed="false">
      <c r="A6922" s="0" t="s">
        <v>745</v>
      </c>
      <c r="B6922" s="0" t="s">
        <v>98</v>
      </c>
      <c r="D6922" s="6" t="n">
        <f aca="false">Q!L22</f>
        <v>17.714</v>
      </c>
      <c r="E6922" s="6" t="n">
        <f aca="false">Q!M22</f>
        <v>18.872</v>
      </c>
      <c r="F6922" s="6" t="n">
        <f aca="false">Sens!F6897*Sens!F6921</f>
        <v>19.2954518910651</v>
      </c>
      <c r="G6922" s="6" t="n">
        <f aca="false">Sens!G6897*Sens!G6921</f>
        <v>19.8830646387704</v>
      </c>
      <c r="H6922" s="6" t="n">
        <f aca="false">Sens!H6897*Sens!H6921</f>
        <v>20.6092017868026</v>
      </c>
      <c r="I6922" s="6" t="n">
        <f aca="false">Sens!I6897*Sens!I6921</f>
        <v>21.452361761678</v>
      </c>
      <c r="J6922" s="6" t="n">
        <f aca="false">Sens!J6897*Sens!J6921</f>
        <v>22.3946261183418</v>
      </c>
      <c r="K6922" s="6" t="n">
        <f aca="false">Sens!K6897*Sens!K6921</f>
        <v>23.4215879274986</v>
      </c>
    </row>
    <row r="6923" customFormat="false" ht="15" hidden="false" customHeight="false" outlineLevel="0" collapsed="false">
      <c r="A6923" s="1" t="s">
        <v>913</v>
      </c>
      <c r="B6923" s="0" t="s">
        <v>98</v>
      </c>
      <c r="D6923" s="6" t="n">
        <f aca="false">Sens!D6920+Sens!D6922</f>
        <v>128.528</v>
      </c>
      <c r="E6923" s="6" t="n">
        <f aca="false">Sens!E6920+Sens!E6922</f>
        <v>155.237</v>
      </c>
      <c r="F6923" s="6" t="n">
        <f aca="false">Sens!F6920+Sens!F6922</f>
        <v>169.773912371977</v>
      </c>
      <c r="G6923" s="6" t="n">
        <f aca="false">Sens!G6920+Sens!G6922</f>
        <v>178.629440982547</v>
      </c>
      <c r="H6923" s="6" t="n">
        <f aca="false">Sens!H6920+Sens!H6922</f>
        <v>181.245800370963</v>
      </c>
      <c r="I6923" s="6" t="n">
        <f aca="false">Sens!I6920+Sens!I6922</f>
        <v>191.726207509044</v>
      </c>
      <c r="J6923" s="6" t="n">
        <f aca="false">Sens!J6920+Sens!J6922</f>
        <v>203.675851759003</v>
      </c>
      <c r="K6923" s="6" t="n">
        <f aca="false">Sens!K6920+Sens!K6922</f>
        <v>216.986155388254</v>
      </c>
    </row>
    <row r="6924" customFormat="false" ht="15" hidden="false" customHeight="false" outlineLevel="0" collapsed="false">
      <c r="A6924" s="23" t="s">
        <v>914</v>
      </c>
      <c r="B6924" s="30" t="s">
        <v>98</v>
      </c>
      <c r="C6924" s="30"/>
      <c r="D6924" s="24" t="n">
        <f aca="false">Sens!D6923-Q!L23</f>
        <v>0</v>
      </c>
      <c r="E6924" s="24" t="n">
        <f aca="false">Sens!E6923-Q!M23</f>
        <v>0</v>
      </c>
      <c r="F6924" s="30"/>
      <c r="G6924" s="30"/>
      <c r="H6924" s="30"/>
      <c r="I6924" s="30"/>
      <c r="J6924" s="30"/>
      <c r="K6924" s="30"/>
    </row>
    <row r="6925" customFormat="false" ht="15" hidden="false" customHeight="false" outlineLevel="0" collapsed="false">
      <c r="A6925" s="1" t="s">
        <v>915</v>
      </c>
      <c r="B6925" s="0" t="s">
        <v>129</v>
      </c>
      <c r="D6925" s="7" t="n">
        <f aca="false">Sens!D6923/Sens!D6916</f>
        <v>0.456219562408598</v>
      </c>
      <c r="E6925" s="7" t="n">
        <f aca="false">Sens!E6923/Sens!E6916</f>
        <v>0.467808184089272</v>
      </c>
      <c r="F6925" s="7" t="n">
        <f aca="false">Sens!F6923/Sens!F6916</f>
        <v>0.434687973149768</v>
      </c>
      <c r="G6925" s="7" t="n">
        <f aca="false">Sens!G6923/Sens!G6916</f>
        <v>0.394660697265232</v>
      </c>
      <c r="H6925" s="7" t="n">
        <f aca="false">Sens!H6923/Sens!H6916</f>
        <v>0.354887687792453</v>
      </c>
      <c r="I6925" s="7" t="n">
        <f aca="false">Sens!I6923/Sens!I6916</f>
        <v>0.33525920880223</v>
      </c>
      <c r="J6925" s="7" t="n">
        <f aca="false">Sens!J6923/Sens!J6916</f>
        <v>0.32658646937813</v>
      </c>
      <c r="K6925" s="7" t="n">
        <f aca="false">Sens!K6923/Sens!K6916</f>
        <v>0.32561682871347</v>
      </c>
    </row>
    <row r="6926" customFormat="false" ht="17.15" hidden="false" customHeight="false" outlineLevel="0" collapsed="false">
      <c r="A6926" s="1" t="s">
        <v>916</v>
      </c>
      <c r="B6926" s="0" t="s">
        <v>98</v>
      </c>
      <c r="F6926" s="6" t="n">
        <f aca="false">Sens!F6941</f>
        <v>11.8339711118549</v>
      </c>
      <c r="G6926" s="6" t="n">
        <f aca="false">Sens!G6941</f>
        <v>28.6621572259754</v>
      </c>
      <c r="H6926" s="6" t="n">
        <f aca="false">Sens!H6941</f>
        <v>47.0243222906177</v>
      </c>
      <c r="I6926" s="6" t="n">
        <f aca="false">Sens!I6941</f>
        <v>63.5003785834856</v>
      </c>
      <c r="J6926" s="6" t="n">
        <f aca="false">Sens!J6941</f>
        <v>75.1161406381775</v>
      </c>
      <c r="K6926" s="6" t="n">
        <f aca="false">Sens!K6941</f>
        <v>82.2560524939256</v>
      </c>
      <c r="L6926" s="1" t="s">
        <v>917</v>
      </c>
    </row>
    <row r="6927" customFormat="false" ht="17.15" hidden="false" customHeight="false" outlineLevel="0" collapsed="false">
      <c r="A6927" s="1" t="s">
        <v>918</v>
      </c>
      <c r="B6927" s="0" t="s">
        <v>98</v>
      </c>
      <c r="D6927" s="6" t="n">
        <f aca="false">Sens!D6923</f>
        <v>128.528</v>
      </c>
      <c r="E6927" s="6" t="n">
        <f aca="false">Sens!E6923</f>
        <v>155.237</v>
      </c>
      <c r="F6927" s="6" t="n">
        <f aca="false">Sens!F6923+Sens!F6926</f>
        <v>181.607883483831</v>
      </c>
      <c r="G6927" s="6" t="n">
        <f aca="false">Sens!G6923+Sens!G6926</f>
        <v>207.291598208522</v>
      </c>
      <c r="H6927" s="6" t="n">
        <f aca="false">Sens!H6923+Sens!H6926</f>
        <v>228.270122661581</v>
      </c>
      <c r="I6927" s="6" t="n">
        <f aca="false">Sens!I6923+Sens!I6926</f>
        <v>255.226586092529</v>
      </c>
      <c r="J6927" s="6" t="n">
        <f aca="false">Sens!J6923+Sens!J6926</f>
        <v>278.79199239718</v>
      </c>
      <c r="K6927" s="6" t="n">
        <f aca="false">Sens!K6923+Sens!K6926</f>
        <v>299.24220788218</v>
      </c>
    </row>
    <row r="6928" customFormat="false" ht="17.15" hidden="false" customHeight="false" outlineLevel="0" collapsed="false">
      <c r="A6928" s="1" t="s">
        <v>919</v>
      </c>
      <c r="B6928" s="0" t="s">
        <v>98</v>
      </c>
      <c r="E6928" s="6" t="n">
        <f aca="false">Sens!E6871</f>
        <v>16.3054059770833</v>
      </c>
      <c r="F6928" s="6" t="n">
        <f aca="false">Sens!F6871</f>
        <v>34.0498873809555</v>
      </c>
      <c r="G6928" s="6" t="n">
        <f aca="false">Sens!G6871</f>
        <v>59.1254371105111</v>
      </c>
      <c r="H6928" s="6" t="n">
        <f aca="false">Sens!H6871</f>
        <v>86.3610198433111</v>
      </c>
      <c r="I6928" s="6" t="n">
        <f aca="false">Sens!I6871</f>
        <v>110.605743832393</v>
      </c>
      <c r="J6928" s="6" t="n">
        <f aca="false">Sens!J6871</f>
        <v>127.998322852843</v>
      </c>
      <c r="K6928" s="6" t="n">
        <f aca="false">Sens!K6871</f>
        <v>139.131464044308</v>
      </c>
    </row>
    <row r="6929" customFormat="false" ht="17.15" hidden="false" customHeight="false" outlineLevel="0" collapsed="false">
      <c r="A6929" s="1" t="s">
        <v>920</v>
      </c>
      <c r="B6929" s="0" t="s">
        <v>98</v>
      </c>
      <c r="E6929" s="6" t="n">
        <f aca="false">Sens!E6953</f>
        <v>22.2285940229167</v>
      </c>
      <c r="F6929" s="6" t="n">
        <f aca="false">Sens!F6953</f>
        <v>24.3924470334783</v>
      </c>
      <c r="G6929" s="6" t="n">
        <f aca="false">Sens!G6953</f>
        <v>25.9856916871694</v>
      </c>
      <c r="H6929" s="6" t="n">
        <f aca="false">Sens!H6953</f>
        <v>27.9470738828615</v>
      </c>
      <c r="I6929" s="6" t="n">
        <f aca="false">Sens!I6953</f>
        <v>30.2222065257397</v>
      </c>
      <c r="J6929" s="6" t="n">
        <f aca="false">Sens!J6953</f>
        <v>32.7388771982031</v>
      </c>
      <c r="K6929" s="6" t="n">
        <f aca="false">Sens!K6953</f>
        <v>35.4134597525822</v>
      </c>
    </row>
    <row r="6930" customFormat="false" ht="17.15" hidden="false" customHeight="false" outlineLevel="0" collapsed="false">
      <c r="A6930" s="1" t="s">
        <v>921</v>
      </c>
      <c r="B6930" s="0" t="s">
        <v>98</v>
      </c>
      <c r="D6930" s="6" t="n">
        <f aca="false">Q!L27</f>
        <v>-4.901</v>
      </c>
      <c r="E6930" s="6" t="n">
        <f aca="false">Q!M27</f>
        <v>10.697</v>
      </c>
      <c r="F6930" s="6" t="n">
        <f aca="false">oie_f</f>
        <v>-0.4</v>
      </c>
      <c r="G6930" s="6" t="n">
        <f aca="false">oie_f</f>
        <v>-0.4</v>
      </c>
      <c r="H6930" s="6" t="n">
        <f aca="false">oie_f</f>
        <v>-0.4</v>
      </c>
      <c r="I6930" s="6" t="n">
        <f aca="false">oie_f</f>
        <v>-0.4</v>
      </c>
      <c r="J6930" s="6" t="n">
        <f aca="false">oie_f</f>
        <v>-0.4</v>
      </c>
      <c r="K6930" s="6" t="n">
        <f aca="false">oie_f</f>
        <v>-0.4</v>
      </c>
      <c r="L6930" s="11" t="s">
        <v>922</v>
      </c>
    </row>
    <row r="6931" customFormat="false" ht="15" hidden="false" customHeight="false" outlineLevel="0" collapsed="false">
      <c r="A6931" s="1" t="s">
        <v>923</v>
      </c>
      <c r="B6931" s="0" t="s">
        <v>98</v>
      </c>
      <c r="D6931" s="6" t="n">
        <f aca="false">Sens!D6923+Sens!D6930</f>
        <v>123.627</v>
      </c>
      <c r="E6931" s="6" t="n">
        <f aca="false">Sens!E6923+Sens!E6930</f>
        <v>165.934</v>
      </c>
      <c r="F6931" s="6" t="n">
        <f aca="false">Sens!F6923+Sens!F6930</f>
        <v>169.373912371977</v>
      </c>
      <c r="G6931" s="6" t="n">
        <f aca="false">Sens!G6923+Sens!G6930</f>
        <v>178.229440982547</v>
      </c>
      <c r="H6931" s="6" t="n">
        <f aca="false">Sens!H6923+Sens!H6930</f>
        <v>180.845800370963</v>
      </c>
      <c r="I6931" s="6" t="n">
        <f aca="false">Sens!I6923+Sens!I6930</f>
        <v>191.326207509044</v>
      </c>
      <c r="J6931" s="6" t="n">
        <f aca="false">Sens!J6923+Sens!J6930</f>
        <v>203.275851759003</v>
      </c>
      <c r="K6931" s="6" t="n">
        <f aca="false">Sens!K6923+Sens!K6930</f>
        <v>216.586155388254</v>
      </c>
    </row>
    <row r="6932" customFormat="false" ht="15" hidden="false" customHeight="false" outlineLevel="0" collapsed="false">
      <c r="A6932" s="1" t="s">
        <v>924</v>
      </c>
      <c r="B6932" s="0" t="s">
        <v>98</v>
      </c>
      <c r="D6932" s="6" t="n">
        <f aca="false">Q!L29</f>
        <v>21.795</v>
      </c>
      <c r="E6932" s="6" t="n">
        <f aca="false">Q!M29</f>
        <v>32.185</v>
      </c>
      <c r="F6932" s="6" t="n">
        <f aca="false">Sens!F6931*tax_f</f>
        <v>33.8747824743953</v>
      </c>
      <c r="G6932" s="6" t="n">
        <f aca="false">Sens!G6931*tax_f</f>
        <v>35.6458881965093</v>
      </c>
      <c r="H6932" s="6" t="n">
        <f aca="false">Sens!H6931*tax_f</f>
        <v>36.1691600741927</v>
      </c>
      <c r="I6932" s="6" t="n">
        <f aca="false">Sens!I6931*tax_f</f>
        <v>38.2652415018087</v>
      </c>
      <c r="J6932" s="6" t="n">
        <f aca="false">Sens!J6931*tax_f</f>
        <v>40.6551703518005</v>
      </c>
      <c r="K6932" s="6" t="n">
        <f aca="false">Sens!K6931*tax_f</f>
        <v>43.3172310776508</v>
      </c>
    </row>
    <row r="6933" customFormat="false" ht="15" hidden="false" customHeight="false" outlineLevel="0" collapsed="false">
      <c r="A6933" s="1" t="s">
        <v>925</v>
      </c>
      <c r="B6933" s="0" t="s">
        <v>98</v>
      </c>
      <c r="D6933" s="6" t="n">
        <f aca="false">Sens!D6931-Sens!D6932</f>
        <v>101.832</v>
      </c>
      <c r="E6933" s="6" t="n">
        <f aca="false">Sens!E6931-Sens!E6932</f>
        <v>133.749</v>
      </c>
      <c r="F6933" s="6" t="n">
        <f aca="false">Sens!F6931-Sens!F6932</f>
        <v>135.499129897581</v>
      </c>
      <c r="G6933" s="6" t="n">
        <f aca="false">Sens!G6931-Sens!G6932</f>
        <v>142.583552786037</v>
      </c>
      <c r="H6933" s="6" t="n">
        <f aca="false">Sens!H6931-Sens!H6932</f>
        <v>144.676640296771</v>
      </c>
      <c r="I6933" s="6" t="n">
        <f aca="false">Sens!I6931-Sens!I6932</f>
        <v>153.060966007235</v>
      </c>
      <c r="J6933" s="6" t="n">
        <f aca="false">Sens!J6931-Sens!J6932</f>
        <v>162.620681407202</v>
      </c>
      <c r="K6933" s="6" t="n">
        <f aca="false">Sens!K6931-Sens!K6932</f>
        <v>173.268924310603</v>
      </c>
    </row>
    <row r="6934" customFormat="false" ht="17.15" hidden="false" customHeight="false" outlineLevel="0" collapsed="false">
      <c r="A6934" s="1" t="s">
        <v>926</v>
      </c>
      <c r="B6934" s="1" t="s">
        <v>81</v>
      </c>
      <c r="D6934" s="14" t="n">
        <f aca="false">Q!L31</f>
        <v>7.465</v>
      </c>
      <c r="E6934" s="14" t="n">
        <f aca="false">Q!M31</f>
        <v>7.453</v>
      </c>
      <c r="F6934" s="14" t="n">
        <f aca="false">Sens!F6977</f>
        <v>7.4735</v>
      </c>
      <c r="G6934" s="14" t="n">
        <f aca="false">Sens!G6977</f>
        <v>7.5185</v>
      </c>
      <c r="H6934" s="14" t="n">
        <f aca="false">Sens!H6977</f>
        <v>7.55995212871972</v>
      </c>
      <c r="I6934" s="14" t="n">
        <f aca="false">Sens!I6977</f>
        <v>7.5854335035968</v>
      </c>
      <c r="J6934" s="14" t="n">
        <f aca="false">Sens!J6977</f>
        <v>7.59967501471468</v>
      </c>
      <c r="K6934" s="14" t="n">
        <f aca="false">Sens!K6977</f>
        <v>7.61619493241642</v>
      </c>
    </row>
    <row r="6935" customFormat="false" ht="17.15" hidden="false" customHeight="false" outlineLevel="0" collapsed="false">
      <c r="A6935" s="0" t="s">
        <v>927</v>
      </c>
      <c r="B6935" s="0" t="s">
        <v>75</v>
      </c>
      <c r="D6935" s="8" t="n">
        <f aca="false">Sens!D6933/Sens!D6934</f>
        <v>13.641259209645</v>
      </c>
      <c r="E6935" s="8" t="n">
        <f aca="false">Sens!E6933/Sens!E6934</f>
        <v>17.9456594659869</v>
      </c>
      <c r="F6935" s="8" t="n">
        <f aca="false">Sens!F6933/Sens!F6934</f>
        <v>18.1306121492716</v>
      </c>
      <c r="G6935" s="8" t="n">
        <f aca="false">Sens!G6933/Sens!G6934</f>
        <v>18.9643616128267</v>
      </c>
      <c r="H6935" s="8" t="n">
        <f aca="false">Sens!H6933/Sens!H6934</f>
        <v>19.1372429128426</v>
      </c>
      <c r="I6935" s="8" t="n">
        <f aca="false">Sens!I6933/Sens!I6934</f>
        <v>20.1782753661551</v>
      </c>
      <c r="J6935" s="8" t="n">
        <f aca="false">Sens!J6933/Sens!J6934</f>
        <v>21.3983731004723</v>
      </c>
      <c r="K6935" s="8" t="n">
        <f aca="false">Sens!K6933/Sens!K6934</f>
        <v>22.7500642838233</v>
      </c>
      <c r="L6935" s="1" t="s">
        <v>928</v>
      </c>
    </row>
    <row r="6936" customFormat="false" ht="17.15" hidden="false" customHeight="false" outlineLevel="0" collapsed="false">
      <c r="A6936" s="1" t="s">
        <v>929</v>
      </c>
      <c r="B6936" s="0" t="s">
        <v>98</v>
      </c>
      <c r="D6936" s="6" t="n">
        <f aca="false">Sens!D6933</f>
        <v>101.832</v>
      </c>
      <c r="E6936" s="6" t="n">
        <f aca="false">Sens!E6933</f>
        <v>133.749</v>
      </c>
      <c r="F6936" s="6" t="n">
        <f aca="false">Sens!F6933+Sens!F6926*(1-tax_f)</f>
        <v>144.966306787065</v>
      </c>
      <c r="G6936" s="6" t="n">
        <f aca="false">Sens!G6933+Sens!G6926*(1-tax_f)</f>
        <v>165.513278566818</v>
      </c>
      <c r="H6936" s="6" t="n">
        <f aca="false">Sens!H6933+Sens!H6926*(1-tax_f)</f>
        <v>182.296098129265</v>
      </c>
      <c r="I6936" s="6" t="n">
        <f aca="false">Sens!I6933+Sens!I6926*(1-tax_f)</f>
        <v>203.861268874023</v>
      </c>
      <c r="J6936" s="6" t="n">
        <f aca="false">Sens!J6933+Sens!J6926*(1-tax_f)</f>
        <v>222.713593917744</v>
      </c>
      <c r="K6936" s="6" t="n">
        <f aca="false">Sens!K6933+Sens!K6926*(1-tax_f)</f>
        <v>239.073766305744</v>
      </c>
    </row>
    <row r="6937" customFormat="false" ht="17.15" hidden="false" customHeight="false" outlineLevel="0" collapsed="false">
      <c r="A6937" s="0" t="s">
        <v>930</v>
      </c>
      <c r="B6937" s="0" t="s">
        <v>75</v>
      </c>
      <c r="D6937" s="8" t="n">
        <f aca="false">Sens!D6936/Sens!D6934</f>
        <v>13.641259209645</v>
      </c>
      <c r="E6937" s="8" t="n">
        <f aca="false">Sens!E6936/Sens!E6934</f>
        <v>17.9456594659869</v>
      </c>
      <c r="F6937" s="8" t="n">
        <f aca="false">Sens!F6936/Sens!F6934</f>
        <v>19.397378308298</v>
      </c>
      <c r="G6937" s="8" t="n">
        <f aca="false">Sens!G6936/Sens!G6934</f>
        <v>22.0141356077432</v>
      </c>
      <c r="H6937" s="8" t="n">
        <f aca="false">Sens!H6936/Sens!H6934</f>
        <v>24.1133931836334</v>
      </c>
      <c r="I6937" s="8" t="n">
        <f aca="false">Sens!I6936/Sens!I6934</f>
        <v>26.8753616754215</v>
      </c>
      <c r="J6937" s="8" t="n">
        <f aca="false">Sens!J6936/Sens!J6934</f>
        <v>29.3056733987336</v>
      </c>
      <c r="K6937" s="8" t="n">
        <f aca="false">Sens!K6936/Sens!K6934</f>
        <v>31.3901847874437</v>
      </c>
      <c r="L6937" s="1" t="s">
        <v>931</v>
      </c>
    </row>
    <row r="6938" customFormat="false" ht="17.15" hidden="false" customHeight="false" outlineLevel="0" collapsed="false">
      <c r="A6938" s="0" t="s">
        <v>932</v>
      </c>
      <c r="B6938" s="0" t="s">
        <v>129</v>
      </c>
      <c r="E6938" s="7" t="n">
        <f aca="false">Sens!E6937/Sens!D6937-1</f>
        <v>0.315542736208578</v>
      </c>
      <c r="F6938" s="7" t="n">
        <f aca="false">Sens!F6937/Sens!E6937-1</f>
        <v>0.0808952630056676</v>
      </c>
      <c r="G6938" s="7" t="n">
        <f aca="false">Sens!G6937/Sens!F6937-1</f>
        <v>0.134902627450732</v>
      </c>
      <c r="H6938" s="7" t="n">
        <f aca="false">Sens!H6937/Sens!G6937-1</f>
        <v>0.0953595277732264</v>
      </c>
      <c r="I6938" s="7" t="n">
        <f aca="false">Sens!I6937/Sens!H6937-1</f>
        <v>0.114540847517996</v>
      </c>
      <c r="J6938" s="7" t="n">
        <f aca="false">Sens!J6937/Sens!I6937-1</f>
        <v>0.0904289866928461</v>
      </c>
      <c r="K6938" s="7" t="n">
        <f aca="false">Sens!K6937/Sens!J6937-1</f>
        <v>0.0711299604123818</v>
      </c>
    </row>
    <row r="6939" customFormat="false" ht="17.15" hidden="false" customHeight="false" outlineLevel="0" collapsed="false">
      <c r="A6939" s="0" t="s">
        <v>856</v>
      </c>
      <c r="B6939" s="0" t="s">
        <v>98</v>
      </c>
      <c r="E6939" s="6" t="n">
        <f aca="false">Sens!E6880</f>
        <v>5.25</v>
      </c>
      <c r="F6939" s="6" t="n">
        <f aca="false">Sens!F6880</f>
        <v>7.56</v>
      </c>
      <c r="G6939" s="6" t="n">
        <f aca="false">Sens!G6880</f>
        <v>9.72</v>
      </c>
      <c r="H6939" s="6" t="n">
        <f aca="false">Sens!H6880</f>
        <v>11.88</v>
      </c>
      <c r="I6939" s="6" t="n">
        <f aca="false">Sens!I6880</f>
        <v>13.5</v>
      </c>
      <c r="J6939" s="6" t="n">
        <f aca="false">Sens!J6880</f>
        <v>14.58</v>
      </c>
      <c r="K6939" s="6" t="n">
        <f aca="false">Sens!K6880</f>
        <v>15.66</v>
      </c>
    </row>
    <row r="6940" customFormat="false" ht="17.15" hidden="false" customHeight="false" outlineLevel="0" collapsed="false">
      <c r="A6940" s="1" t="s">
        <v>857</v>
      </c>
      <c r="B6940" s="0" t="s">
        <v>98</v>
      </c>
      <c r="F6940" s="6" t="n">
        <f aca="false">MAX(0,((Sens!E6843+Sens!F6843)/2-(shadow_base*(Sens!$D$6843+Sens!$E$6843)/2+(1-shadow_base)*Sens!$E$6843))*Sens!F6851/1000-(Sens!F6939-Sens!$E$6939)*Sens!F6919)</f>
        <v>11.8339711118549</v>
      </c>
      <c r="G6940" s="6" t="n">
        <f aca="false">MAX(0,((Sens!F6843+Sens!G6843)/2-(shadow_base*(Sens!$D$6843+Sens!$E$6843)/2+(1-shadow_base)*Sens!$E$6843))*Sens!G6851/1000-(Sens!G6939-Sens!$E$6939)*Sens!G6919)</f>
        <v>28.6621572259754</v>
      </c>
      <c r="H6940" s="6" t="n">
        <f aca="false">MAX(0,((Sens!G6843+Sens!H6843)/2-(shadow_base*(Sens!$D$6843+Sens!$E$6843)/2+(1-shadow_base)*Sens!$E$6843))*Sens!H6851/1000-(Sens!H6939-Sens!$E$6939)*Sens!H6919)</f>
        <v>47.0243222906177</v>
      </c>
      <c r="I6940" s="6" t="n">
        <f aca="false">MAX(0,((Sens!H6843+Sens!I6843)/2-(shadow_base*(Sens!$D$6843+Sens!$E$6843)/2+(1-shadow_base)*Sens!$E$6843))*Sens!I6851/1000-(Sens!I6939-Sens!$E$6939)*Sens!I6919)</f>
        <v>63.5003785834856</v>
      </c>
      <c r="J6940" s="6" t="n">
        <f aca="false">MAX(0,((Sens!I6843+Sens!J6843)/2-(shadow_base*(Sens!$D$6843+Sens!$E$6843)/2+(1-shadow_base)*Sens!$E$6843))*Sens!J6851/1000-(Sens!J6939-Sens!$E$6939)*Sens!J6919)</f>
        <v>75.1161406381775</v>
      </c>
      <c r="K6940" s="6" t="n">
        <f aca="false">MAX(0,((Sens!J6843+Sens!K6843)/2-(shadow_base*(Sens!$D$6843+Sens!$E$6843)/2+(1-shadow_base)*Sens!$E$6843))*Sens!K6851/1000-(Sens!K6939-Sens!$E$6939)*Sens!K6919)</f>
        <v>82.2560524939256</v>
      </c>
      <c r="L6940" s="1" t="s">
        <v>858</v>
      </c>
    </row>
    <row r="6941" customFormat="false" ht="17.15" hidden="false" customHeight="false" outlineLevel="0" collapsed="false">
      <c r="A6941" s="1" t="s">
        <v>859</v>
      </c>
      <c r="B6941" s="0" t="s">
        <v>98</v>
      </c>
      <c r="F6941" s="6" t="n">
        <f aca="false">IF(internal_ai_reading=2,1,0)*Sens!F6940</f>
        <v>11.8339711118549</v>
      </c>
      <c r="G6941" s="6" t="n">
        <f aca="false">IF(internal_ai_reading=2,1,0)*Sens!G6940</f>
        <v>28.6621572259754</v>
      </c>
      <c r="H6941" s="6" t="n">
        <f aca="false">IF(internal_ai_reading=2,1,0)*Sens!H6940</f>
        <v>47.0243222906177</v>
      </c>
      <c r="I6941" s="6" t="n">
        <f aca="false">IF(internal_ai_reading=2,1,0)*Sens!I6940</f>
        <v>63.5003785834856</v>
      </c>
      <c r="J6941" s="6" t="n">
        <f aca="false">IF(internal_ai_reading=2,1,0)*Sens!J6940</f>
        <v>75.1161406381775</v>
      </c>
      <c r="K6941" s="6" t="n">
        <f aca="false">IF(internal_ai_reading=2,1,0)*Sens!K6940</f>
        <v>82.2560524939256</v>
      </c>
    </row>
    <row r="6942" customFormat="false" ht="17.15" hidden="false" customHeight="false" outlineLevel="0" collapsed="false">
      <c r="A6942" s="0" t="s">
        <v>860</v>
      </c>
      <c r="B6942" s="0" t="s">
        <v>98</v>
      </c>
      <c r="F6942" s="6" t="n">
        <f aca="false">Sens!F6860+Sens!F6939*Sens!F6919+Sens!F6941-Sens!F6861-Sens!F6871</f>
        <v>10.6249363155714</v>
      </c>
      <c r="G6942" s="6" t="n">
        <f aca="false">Sens!G6860+Sens!G6939*Sens!G6919+Sens!G6941-Sens!G6861-Sens!G6871</f>
        <v>16.5522915631233</v>
      </c>
      <c r="H6942" s="6" t="n">
        <f aca="false">Sens!H6860+Sens!H6939*Sens!H6919+Sens!H6941-Sens!H6861-Sens!H6871</f>
        <v>17.4625151247579</v>
      </c>
      <c r="I6942" s="6" t="n">
        <f aca="false">Sens!I6860+Sens!I6939*Sens!I6919+Sens!I6941-Sens!I6861-Sens!I6871</f>
        <v>24.729505792607</v>
      </c>
      <c r="J6942" s="6" t="n">
        <f aca="false">Sens!J6860+Sens!J6939*Sens!J6919+Sens!J6941-Sens!J6861-Sens!J6871</f>
        <v>29.752205312642</v>
      </c>
      <c r="K6942" s="6" t="n">
        <f aca="false">Sens!K6860+Sens!K6939*Sens!K6919+Sens!K6941-Sens!K6861-Sens!K6871</f>
        <v>33.5968759973665</v>
      </c>
    </row>
    <row r="6943" customFormat="false" ht="17.15" hidden="false" customHeight="false" outlineLevel="0" collapsed="false">
      <c r="A6943" s="0" t="s">
        <v>861</v>
      </c>
      <c r="B6943" s="0" t="s">
        <v>98</v>
      </c>
      <c r="E6943" s="6" t="n">
        <f aca="false">Sens!E6842*(cxit_open+self_build*tk_cxfac)/1000*ai_net_open</f>
        <v>126.6980382</v>
      </c>
      <c r="F6943" s="6" t="n">
        <f aca="false">Sens!E6943+Sens!F6868-Sens!F6871</f>
        <v>252.981026690511</v>
      </c>
      <c r="G6943" s="6" t="n">
        <f aca="false">Sens!F6943+Sens!G6868-Sens!G6871</f>
        <v>377.4297700632</v>
      </c>
      <c r="H6943" s="6" t="n">
        <f aca="false">Sens!G6943+Sens!H6868-Sens!H6871</f>
        <v>479.149036130289</v>
      </c>
      <c r="I6943" s="6" t="n">
        <f aca="false">Sens!H6943+Sens!I6868-Sens!I6871</f>
        <v>532.249961452141</v>
      </c>
      <c r="J6943" s="6" t="n">
        <f aca="false">Sens!I6943+Sens!J6868-Sens!J6871</f>
        <v>531.43307519354</v>
      </c>
      <c r="K6943" s="6" t="n">
        <f aca="false">Sens!J6943+Sens!K6868-Sens!K6871</f>
        <v>513.709026452823</v>
      </c>
      <c r="L6943" s="1" t="s">
        <v>862</v>
      </c>
    </row>
    <row r="6944" customFormat="false" ht="17.15" hidden="false" customHeight="false" outlineLevel="0" collapsed="false">
      <c r="A6944" s="0" t="s">
        <v>863</v>
      </c>
      <c r="B6944" s="0" t="s">
        <v>129</v>
      </c>
      <c r="F6944" s="7" t="n">
        <f aca="false">Sens!F6942*(1-tax_f)/((Sens!E6943+Sens!F6943)/2)</f>
        <v>0.0447743888903029</v>
      </c>
      <c r="G6944" s="7" t="n">
        <f aca="false">Sens!G6942*(1-tax_f)/((Sens!F6943+Sens!G6943)/2)</f>
        <v>0.0420101727910983</v>
      </c>
      <c r="H6944" s="7" t="n">
        <f aca="false">Sens!H6942*(1-tax_f)/((Sens!G6943+Sens!H6943)/2)</f>
        <v>0.0326181595874103</v>
      </c>
      <c r="I6944" s="7" t="n">
        <f aca="false">Sens!I6942*(1-tax_f)/((Sens!H6943+Sens!I6943)/2)</f>
        <v>0.0391212660510339</v>
      </c>
      <c r="J6944" s="7" t="n">
        <f aca="false">Sens!J6942*(1-tax_f)/((Sens!I6943+Sens!J6943)/2)</f>
        <v>0.0447534903351892</v>
      </c>
      <c r="K6944" s="7" t="n">
        <f aca="false">Sens!K6942*(1-tax_f)/((Sens!J6943+Sens!K6943)/2)</f>
        <v>0.0514331989029135</v>
      </c>
    </row>
    <row r="6945" customFormat="false" ht="17.15" hidden="false" customHeight="false" outlineLevel="0" collapsed="false">
      <c r="A6945" s="1" t="s">
        <v>864</v>
      </c>
      <c r="B6945" s="0" t="s">
        <v>129</v>
      </c>
      <c r="F6945" s="7" t="n">
        <f aca="false">(Sens!F6942-Sens!F6941)*(1-tax_f)/((Sens!E6943+Sens!F6943)/2)</f>
        <v>-0.00509497587024291</v>
      </c>
      <c r="G6945" s="7" t="n">
        <f aca="false">(Sens!G6942-Sens!G6941)*(1-tax_f)/((Sens!F6943+Sens!G6943)/2)</f>
        <v>-0.0307351732558177</v>
      </c>
      <c r="H6945" s="7" t="n">
        <f aca="false">(Sens!H6942-Sens!H6941)*(1-tax_f)/((Sens!G6943+Sens!H6943)/2)</f>
        <v>-0.0552183770172474</v>
      </c>
      <c r="I6945" s="7" t="n">
        <f aca="false">(Sens!I6942-Sens!I6941)*(1-tax_f)/((Sens!H6943+Sens!I6943)/2)</f>
        <v>-0.0613342475261351</v>
      </c>
      <c r="J6945" s="7" t="n">
        <f aca="false">(Sens!J6942-Sens!J6941)*(1-tax_f)/((Sens!I6943+Sens!J6943)/2)</f>
        <v>-0.068236771688815</v>
      </c>
      <c r="K6945" s="7" t="n">
        <f aca="false">(Sens!K6942-Sens!K6941)*(1-tax_f)/((Sens!J6943+Sens!K6943)/2)</f>
        <v>-0.0744919588177088</v>
      </c>
    </row>
    <row r="6946" customFormat="false" ht="17.15" hidden="false" customHeight="false" outlineLevel="0" collapsed="false">
      <c r="A6946" s="1" t="s">
        <v>865</v>
      </c>
      <c r="B6946" s="0" t="s">
        <v>129</v>
      </c>
      <c r="F6946" s="7" t="n">
        <f aca="false">(Sens!F6942-Sens!F6941+Sens!F6940)*(1-tax_f)/((Sens!E6943+Sens!F6943)/2)</f>
        <v>0.0447743888903029</v>
      </c>
      <c r="G6946" s="7" t="n">
        <f aca="false">(Sens!G6942-Sens!G6941+Sens!G6940)*(1-tax_f)/((Sens!F6943+Sens!G6943)/2)</f>
        <v>0.0420101727910983</v>
      </c>
      <c r="H6946" s="7" t="n">
        <f aca="false">(Sens!H6942-Sens!H6941+Sens!H6940)*(1-tax_f)/((Sens!G6943+Sens!H6943)/2)</f>
        <v>0.0326181595874103</v>
      </c>
      <c r="I6946" s="7" t="n">
        <f aca="false">(Sens!I6942-Sens!I6941+Sens!I6940)*(1-tax_f)/((Sens!H6943+Sens!I6943)/2)</f>
        <v>0.0391212660510339</v>
      </c>
      <c r="J6946" s="7" t="n">
        <f aca="false">(Sens!J6942-Sens!J6941+Sens!J6940)*(1-tax_f)/((Sens!I6943+Sens!J6943)/2)</f>
        <v>0.0447534903351892</v>
      </c>
      <c r="K6946" s="7" t="n">
        <f aca="false">(Sens!K6942-Sens!K6941+Sens!K6940)*(1-tax_f)/((Sens!J6943+Sens!K6943)/2)</f>
        <v>0.0514331989029135</v>
      </c>
    </row>
    <row r="6947" customFormat="false" ht="17.15" hidden="false" customHeight="false" outlineLevel="0" collapsed="false">
      <c r="A6947" s="1" t="s">
        <v>866</v>
      </c>
      <c r="B6947" s="0" t="s">
        <v>129</v>
      </c>
      <c r="F6947" s="7" t="n">
        <f aca="false">Sens!F6872*(1-tax_f)/(Sens!F6859*(Sens!E6943+Sens!F6943)/2)</f>
        <v>0.102735279953254</v>
      </c>
      <c r="G6947" s="7" t="n">
        <f aca="false">Sens!G6872*(1-tax_f)/(Sens!G6859*(Sens!F6943+Sens!G6943)/2)</f>
        <v>0.0709600152423962</v>
      </c>
      <c r="H6947" s="7" t="n">
        <f aca="false">Sens!H6872*(1-tax_f)/(Sens!H6859*(Sens!G6943+Sens!H6943)/2)</f>
        <v>0.0419126501774916</v>
      </c>
      <c r="I6947" s="7" t="n">
        <f aca="false">Sens!I6872*(1-tax_f)/(Sens!I6859*(Sens!H6943+Sens!I6943)/2)</f>
        <v>0.044576811268173</v>
      </c>
      <c r="J6947" s="7" t="n">
        <f aca="false">Sens!J6872*(1-tax_f)/(Sens!J6859*(Sens!I6943+Sens!J6943)/2)</f>
        <v>0.0483882076863038</v>
      </c>
      <c r="K6947" s="7" t="n">
        <f aca="false">Sens!K6872*(1-tax_f)/(Sens!K6859*(Sens!J6943+Sens!K6943)/2)</f>
        <v>0.0544871874286225</v>
      </c>
    </row>
    <row r="6948" customFormat="false" ht="17.15" hidden="false" customHeight="false" outlineLevel="0" collapsed="false">
      <c r="A6948" s="0" t="s">
        <v>867</v>
      </c>
      <c r="B6948" s="0" t="s">
        <v>209</v>
      </c>
      <c r="F6948" s="7" t="n">
        <f aca="false">Sens!F6944-wacc</f>
        <v>-0.0581600312025729</v>
      </c>
      <c r="G6948" s="7" t="n">
        <f aca="false">Sens!G6944-wacc</f>
        <v>-0.0609242473017775</v>
      </c>
      <c r="H6948" s="7" t="n">
        <f aca="false">Sens!H6944-wacc</f>
        <v>-0.0703162605054654</v>
      </c>
      <c r="I6948" s="7" t="n">
        <f aca="false">Sens!I6944-wacc</f>
        <v>-0.0638131540418418</v>
      </c>
      <c r="J6948" s="7" t="n">
        <f aca="false">Sens!J6944-wacc</f>
        <v>-0.0581809297576865</v>
      </c>
      <c r="K6948" s="7" t="n">
        <f aca="false">Sens!K6944-wacc</f>
        <v>-0.0515012211899622</v>
      </c>
    </row>
    <row r="6949" customFormat="false" ht="17.15" hidden="false" customHeight="false" outlineLevel="0" collapsed="false">
      <c r="A6949" s="0" t="s">
        <v>868</v>
      </c>
      <c r="B6949" s="0" t="s">
        <v>98</v>
      </c>
      <c r="F6949" s="6" t="n">
        <f aca="false">Sens!F6942*(1-tax_f)-wacc*(Sens!E6943+Sens!F6943)/2</f>
        <v>-11.0410731304979</v>
      </c>
      <c r="G6949" s="6" t="n">
        <f aca="false">Sens!G6942*(1-tax_f)-wacc*(Sens!F6943+Sens!G6943)/2</f>
        <v>-19.2036516415668</v>
      </c>
      <c r="H6949" s="6" t="n">
        <f aca="false">Sens!H6942*(1-tax_f)-wacc*(Sens!G6943+Sens!H6943)/2</f>
        <v>-30.115709239881</v>
      </c>
      <c r="I6949" s="6" t="n">
        <f aca="false">Sens!I6942*(1-tax_f)-wacc*(Sens!H6943+Sens!I6943)/2</f>
        <v>-32.270280015246</v>
      </c>
      <c r="J6949" s="6" t="n">
        <f aca="false">Sens!J6942*(1-tax_f)-wacc*(Sens!I6943+Sens!J6943)/2</f>
        <v>-30.9430340197625</v>
      </c>
      <c r="K6949" s="6" t="n">
        <f aca="false">Sens!K6942*(1-tax_f)-wacc*(Sens!J6943+Sens!K6943)/2</f>
        <v>-26.9130472759157</v>
      </c>
    </row>
    <row r="6950" customFormat="false" ht="17.15" hidden="false" customHeight="false" outlineLevel="0" collapsed="false">
      <c r="A6950" s="3" t="s">
        <v>1440</v>
      </c>
    </row>
    <row r="6951" customFormat="false" ht="15" hidden="false" customHeight="false" outlineLevel="0" collapsed="false">
      <c r="A6951" s="4" t="s">
        <v>43</v>
      </c>
      <c r="B6951" s="4" t="s">
        <v>65</v>
      </c>
      <c r="C6951" s="20" t="s">
        <v>799</v>
      </c>
      <c r="D6951" s="20" t="s">
        <v>800</v>
      </c>
      <c r="E6951" s="20" t="s">
        <v>801</v>
      </c>
      <c r="F6951" s="20" t="s">
        <v>802</v>
      </c>
      <c r="G6951" s="20" t="s">
        <v>803</v>
      </c>
      <c r="H6951" s="20" t="s">
        <v>804</v>
      </c>
      <c r="I6951" s="20" t="s">
        <v>805</v>
      </c>
      <c r="J6951" s="20" t="s">
        <v>806</v>
      </c>
      <c r="K6951" s="20" t="s">
        <v>807</v>
      </c>
      <c r="L6951" s="4" t="s">
        <v>47</v>
      </c>
    </row>
    <row r="6952" customFormat="false" ht="15" hidden="false" customHeight="false" outlineLevel="0" collapsed="false">
      <c r="A6952" s="1" t="s">
        <v>925</v>
      </c>
      <c r="B6952" s="0" t="s">
        <v>98</v>
      </c>
      <c r="F6952" s="6" t="n">
        <f aca="false">Sens!F6933</f>
        <v>135.499129897581</v>
      </c>
      <c r="G6952" s="6" t="n">
        <f aca="false">Sens!G6933</f>
        <v>142.583552786037</v>
      </c>
      <c r="H6952" s="6" t="n">
        <f aca="false">Sens!H6933</f>
        <v>144.676640296771</v>
      </c>
      <c r="I6952" s="6" t="n">
        <f aca="false">Sens!I6933</f>
        <v>153.060966007235</v>
      </c>
      <c r="J6952" s="6" t="n">
        <f aca="false">Sens!J6933</f>
        <v>162.620681407202</v>
      </c>
      <c r="K6952" s="6" t="n">
        <f aca="false">Sens!K6933</f>
        <v>173.268924310603</v>
      </c>
    </row>
    <row r="6953" customFormat="false" ht="17.15" hidden="false" customHeight="false" outlineLevel="0" collapsed="false">
      <c r="A6953" s="1" t="s">
        <v>947</v>
      </c>
      <c r="B6953" s="0" t="s">
        <v>98</v>
      </c>
      <c r="E6953" s="6" t="n">
        <f aca="false">Q!M38-Sens!E6871</f>
        <v>22.2285940229167</v>
      </c>
      <c r="F6953" s="6" t="n">
        <f aca="false">Sens!E6953*(1-1/life_nonai)+(Sens!F6960+Sens!F6961)/life_nonai</f>
        <v>24.3924470334783</v>
      </c>
      <c r="G6953" s="6" t="n">
        <f aca="false">Sens!F6953*(1-1/life_nonai)+(Sens!G6960)/life_nonai</f>
        <v>25.9856916871694</v>
      </c>
      <c r="H6953" s="6" t="n">
        <f aca="false">Sens!G6953*(1-1/life_nonai)+(Sens!H6960)/life_nonai</f>
        <v>27.9470738828615</v>
      </c>
      <c r="I6953" s="6" t="n">
        <f aca="false">Sens!H6953*(1-1/life_nonai)+(Sens!I6960)/life_nonai</f>
        <v>30.2222065257397</v>
      </c>
      <c r="J6953" s="6" t="n">
        <f aca="false">Sens!I6953*(1-1/life_nonai)+(Sens!J6960)/life_nonai</f>
        <v>32.7388771982031</v>
      </c>
      <c r="K6953" s="6" t="n">
        <f aca="false">Sens!J6953*(1-1/life_nonai)+(Sens!K6960)/life_nonai</f>
        <v>35.4134597525822</v>
      </c>
      <c r="L6953" s="11" t="s">
        <v>948</v>
      </c>
    </row>
    <row r="6954" customFormat="false" ht="17.15" hidden="false" customHeight="false" outlineLevel="0" collapsed="false">
      <c r="A6954" s="1" t="s">
        <v>949</v>
      </c>
      <c r="B6954" s="0" t="s">
        <v>98</v>
      </c>
      <c r="F6954" s="6" t="n">
        <f aca="false">Sens!$F$6961/life_nonai*(1-1/life_nonai)^(Sens!F6837-2027)</f>
        <v>0.873177689897089</v>
      </c>
      <c r="G6954" s="6" t="n">
        <f aca="false">Sens!$F$6961/life_nonai*(1-1/life_nonai)^(Sens!G6837-2027)</f>
        <v>0.78585992090738</v>
      </c>
      <c r="H6954" s="6" t="n">
        <f aca="false">Sens!$F$6961/life_nonai*(1-1/life_nonai)^(Sens!H6837-2027)</f>
        <v>0.707273928816642</v>
      </c>
      <c r="I6954" s="6" t="n">
        <f aca="false">Sens!$F$6961/life_nonai*(1-1/life_nonai)^(Sens!I6837-2027)</f>
        <v>0.636546535934978</v>
      </c>
      <c r="J6954" s="6" t="n">
        <f aca="false">Sens!$F$6961/life_nonai*(1-1/life_nonai)^(Sens!J6837-2027)</f>
        <v>0.57289188234148</v>
      </c>
      <c r="K6954" s="6" t="n">
        <f aca="false">Sens!$F$6961/life_nonai*(1-1/life_nonai)^(Sens!K6837-2027)</f>
        <v>0.515602694107332</v>
      </c>
      <c r="L6954" s="1" t="s">
        <v>950</v>
      </c>
    </row>
    <row r="6955" customFormat="false" ht="17.15" hidden="false" customHeight="false" outlineLevel="0" collapsed="false">
      <c r="A6955" s="1" t="s">
        <v>951</v>
      </c>
      <c r="B6955" s="0" t="s">
        <v>98</v>
      </c>
      <c r="E6955" s="6" t="n">
        <f aca="false">Sens!E6871+Sens!E6953</f>
        <v>38.534</v>
      </c>
      <c r="F6955" s="6" t="n">
        <f aca="false">Sens!F6871+Sens!F6953</f>
        <v>58.4423344144339</v>
      </c>
      <c r="G6955" s="6" t="n">
        <f aca="false">Sens!G6871+Sens!G6953</f>
        <v>85.1111287976806</v>
      </c>
      <c r="H6955" s="6" t="n">
        <f aca="false">Sens!H6871+Sens!H6953</f>
        <v>114.308093726173</v>
      </c>
      <c r="I6955" s="6" t="n">
        <f aca="false">Sens!I6871+Sens!I6953</f>
        <v>140.827950358132</v>
      </c>
      <c r="J6955" s="6" t="n">
        <f aca="false">Sens!J6871+Sens!J6953</f>
        <v>160.737200051046</v>
      </c>
      <c r="K6955" s="6" t="n">
        <f aca="false">Sens!K6871+Sens!K6953</f>
        <v>174.54492379689</v>
      </c>
    </row>
    <row r="6956" customFormat="false" ht="17.15" hidden="false" customHeight="false" outlineLevel="0" collapsed="false">
      <c r="A6956" s="1" t="s">
        <v>952</v>
      </c>
      <c r="B6956" s="0" t="s">
        <v>98</v>
      </c>
      <c r="F6956" s="6" t="n">
        <f aca="false">Sens!F6898*sbc_r</f>
        <v>14.6003301092099</v>
      </c>
      <c r="G6956" s="6" t="n">
        <f aca="false">Sens!G6898*sbc_r</f>
        <v>16.9199276994278</v>
      </c>
      <c r="H6956" s="6" t="n">
        <f aca="false">Sens!H6898*sbc_r</f>
        <v>19.0917774180151</v>
      </c>
      <c r="I6956" s="6" t="n">
        <f aca="false">Sens!I6898*sbc_r</f>
        <v>21.3781494381273</v>
      </c>
      <c r="J6956" s="6" t="n">
        <f aca="false">Sens!J6898*sbc_r</f>
        <v>23.3136727501935</v>
      </c>
      <c r="K6956" s="6" t="n">
        <f aca="false">Sens!K6898*sbc_r</f>
        <v>24.911192936978</v>
      </c>
    </row>
    <row r="6957" customFormat="false" ht="17.15" hidden="false" customHeight="false" outlineLevel="0" collapsed="false">
      <c r="A6957" s="1" t="s">
        <v>953</v>
      </c>
      <c r="B6957" s="0" t="s">
        <v>98</v>
      </c>
      <c r="F6957" s="6" t="n">
        <f aca="false">wc27</f>
        <v>-4.895</v>
      </c>
      <c r="G6957" s="6" t="n">
        <f aca="false">wc_f</f>
        <v>0</v>
      </c>
      <c r="H6957" s="6" t="n">
        <f aca="false">wc_f</f>
        <v>0</v>
      </c>
      <c r="I6957" s="6" t="n">
        <f aca="false">wc_f</f>
        <v>0</v>
      </c>
      <c r="J6957" s="6" t="n">
        <f aca="false">wc_f</f>
        <v>0</v>
      </c>
      <c r="K6957" s="6" t="n">
        <f aca="false">wc_f</f>
        <v>0</v>
      </c>
      <c r="L6957" s="11" t="s">
        <v>954</v>
      </c>
    </row>
    <row r="6958" customFormat="false" ht="15" hidden="false" customHeight="false" outlineLevel="0" collapsed="false">
      <c r="A6958" s="1" t="s">
        <v>767</v>
      </c>
      <c r="B6958" s="0" t="s">
        <v>98</v>
      </c>
      <c r="E6958" s="6" t="n">
        <f aca="false">Q!M35</f>
        <v>182.935</v>
      </c>
      <c r="F6958" s="6" t="n">
        <f aca="false">Sens!F6952+Sens!F6955+Sens!F6956+Sens!F6957</f>
        <v>203.646794421225</v>
      </c>
      <c r="G6958" s="6" t="n">
        <f aca="false">Sens!G6952+Sens!G6955+Sens!G6956+Sens!G6957</f>
        <v>244.614609283146</v>
      </c>
      <c r="H6958" s="6" t="n">
        <f aca="false">Sens!H6952+Sens!H6955+Sens!H6956+Sens!H6957</f>
        <v>278.076511440958</v>
      </c>
      <c r="I6958" s="6" t="n">
        <f aca="false">Sens!I6952+Sens!I6955+Sens!I6956+Sens!I6957</f>
        <v>315.267065803495</v>
      </c>
      <c r="J6958" s="6" t="n">
        <f aca="false">Sens!J6952+Sens!J6955+Sens!J6956+Sens!J6957</f>
        <v>346.671554208442</v>
      </c>
      <c r="K6958" s="6" t="n">
        <f aca="false">Sens!K6952+Sens!K6955+Sens!K6956+Sens!K6957</f>
        <v>372.725041044471</v>
      </c>
    </row>
    <row r="6959" customFormat="false" ht="17.15" hidden="false" customHeight="false" outlineLevel="0" collapsed="false">
      <c r="A6959" s="0" t="s">
        <v>955</v>
      </c>
      <c r="B6959" s="0" t="s">
        <v>98</v>
      </c>
      <c r="F6959" s="6" t="n">
        <f aca="false">Sens!F6868</f>
        <v>160.332875871467</v>
      </c>
      <c r="G6959" s="6" t="n">
        <f aca="false">Sens!G6868</f>
        <v>183.5741804832</v>
      </c>
      <c r="H6959" s="6" t="n">
        <f aca="false">Sens!H6868</f>
        <v>188.0802859104</v>
      </c>
      <c r="I6959" s="6" t="n">
        <f aca="false">Sens!I6868</f>
        <v>163.706669154245</v>
      </c>
      <c r="J6959" s="6" t="n">
        <f aca="false">Sens!J6868</f>
        <v>127.181436594242</v>
      </c>
      <c r="K6959" s="6" t="n">
        <f aca="false">Sens!K6868</f>
        <v>121.407415303591</v>
      </c>
    </row>
    <row r="6960" customFormat="false" ht="17.15" hidden="false" customHeight="false" outlineLevel="0" collapsed="false">
      <c r="A6960" s="1" t="s">
        <v>956</v>
      </c>
      <c r="B6960" s="0" t="s">
        <v>98</v>
      </c>
      <c r="E6960" s="6" t="n">
        <f aca="false">Sens!E6876*cx_azo+Sens!E6883*cx_m365+Sens!E6884*cx_lic+(Sens!E6886+Sens!E6888)*cx_ind+Sens!E6891*cx_srch+(Sens!E6893+Sens!E6895)*cx_dev</f>
        <v>30.1846587067718</v>
      </c>
      <c r="F6960" s="6" t="n">
        <f aca="false">Sens!F6876*cx_azo+Sens!F6883*cx_m365+Sens!F6884*cx_lic+(Sens!F6886+Sens!F6888)*cx_ind+Sens!F6891*cx_srch+(Sens!F6893+Sens!F6895)*cx_dev</f>
        <v>35.1353472295625</v>
      </c>
      <c r="G6960" s="6" t="n">
        <f aca="false">Sens!G6876*cx_azo+Sens!G6883*cx_m365+Sens!G6884*cx_lic+(Sens!G6886+Sens!G6888)*cx_ind+Sens!G6891*cx_srch+(Sens!G6893+Sens!G6895)*cx_dev</f>
        <v>40.3248935703892</v>
      </c>
      <c r="H6960" s="6" t="n">
        <f aca="false">Sens!H6876*cx_azo+Sens!H6883*cx_m365+Sens!H6884*cx_lic+(Sens!H6886+Sens!H6888)*cx_ind+Sens!H6891*cx_srch+(Sens!H6893+Sens!H6895)*cx_dev</f>
        <v>45.5995136440897</v>
      </c>
      <c r="I6960" s="6" t="n">
        <f aca="false">Sens!I6876*cx_azo+Sens!I6883*cx_m365+Sens!I6884*cx_lic+(Sens!I6886+Sens!I6888)*cx_ind+Sens!I6891*cx_srch+(Sens!I6893+Sens!I6895)*cx_dev</f>
        <v>50.6984003116439</v>
      </c>
      <c r="J6960" s="6" t="n">
        <f aca="false">Sens!J6876*cx_azo+Sens!J6883*cx_m365+Sens!J6884*cx_lic+(Sens!J6886+Sens!J6888)*cx_ind+Sens!J6891*cx_srch+(Sens!J6893+Sens!J6895)*cx_dev</f>
        <v>55.3889132503738</v>
      </c>
      <c r="K6960" s="6" t="n">
        <f aca="false">Sens!K6876*cx_azo+Sens!K6883*cx_m365+Sens!K6884*cx_lic+(Sens!K6886+Sens!K6888)*cx_ind+Sens!K6891*cx_srch+(Sens!K6893+Sens!K6895)*cx_dev</f>
        <v>59.484702741994</v>
      </c>
    </row>
    <row r="6961" customFormat="false" ht="17.15" hidden="false" customHeight="false" outlineLevel="0" collapsed="false">
      <c r="A6961" s="0" t="s">
        <v>957</v>
      </c>
      <c r="B6961" s="0" t="s">
        <v>98</v>
      </c>
      <c r="F6961" s="6" t="n">
        <f aca="false">Sens!F6866</f>
        <v>8.73177689897089</v>
      </c>
      <c r="L6961" s="1" t="s">
        <v>958</v>
      </c>
    </row>
    <row r="6962" customFormat="false" ht="17.15" hidden="false" customHeight="false" outlineLevel="0" collapsed="false">
      <c r="A6962" s="1" t="s">
        <v>959</v>
      </c>
      <c r="B6962" s="0" t="s">
        <v>98</v>
      </c>
      <c r="E6962" s="6" t="n">
        <f aca="false">Q!M42</f>
        <v>145.3</v>
      </c>
      <c r="F6962" s="6" t="n">
        <f aca="false">Sens!F6959+Sens!F6960+Sens!F6961</f>
        <v>204.2</v>
      </c>
      <c r="G6962" s="6" t="n">
        <f aca="false">Sens!G6959+Sens!G6960</f>
        <v>223.899074053589</v>
      </c>
      <c r="H6962" s="6" t="n">
        <f aca="false">Sens!H6959+Sens!H6960</f>
        <v>233.67979955449</v>
      </c>
      <c r="I6962" s="6" t="n">
        <f aca="false">Sens!I6959+Sens!I6960</f>
        <v>214.405069465889</v>
      </c>
      <c r="J6962" s="6" t="n">
        <f aca="false">Sens!J6959+Sens!J6960</f>
        <v>182.570349844616</v>
      </c>
      <c r="K6962" s="6" t="n">
        <f aca="false">Sens!K6959+Sens!K6960</f>
        <v>180.892118045585</v>
      </c>
      <c r="L6962" s="1" t="s">
        <v>960</v>
      </c>
    </row>
    <row r="6963" customFormat="false" ht="15" hidden="false" customHeight="false" outlineLevel="0" collapsed="false">
      <c r="A6963" s="1" t="s">
        <v>961</v>
      </c>
      <c r="B6963" s="0" t="s">
        <v>98</v>
      </c>
      <c r="E6963" s="6" t="n">
        <f aca="false">fl_liab</f>
        <v>66.594</v>
      </c>
      <c r="F6963" s="6" t="n">
        <f aca="false">Sens!E6963-Sens!F6964</f>
        <v>62.46973</v>
      </c>
      <c r="G6963" s="6" t="n">
        <f aca="false">Sens!F6963-Sens!G6964</f>
        <v>57.98686785</v>
      </c>
      <c r="H6963" s="6" t="n">
        <f aca="false">Sens!G6963-Sens!H6964</f>
        <v>53.92827690325</v>
      </c>
      <c r="I6963" s="6" t="n">
        <f aca="false">Sens!H6963-Sens!I6964</f>
        <v>49.7850493638962</v>
      </c>
      <c r="J6963" s="6" t="n">
        <f aca="false">Sens!I6963-Sens!J6964</f>
        <v>45.4823765852716</v>
      </c>
      <c r="K6963" s="6" t="n">
        <f aca="false">Sens!J6963-Sens!K6964</f>
        <v>40.9860835316088</v>
      </c>
    </row>
    <row r="6964" customFormat="false" ht="15" hidden="false" customHeight="false" outlineLevel="0" collapsed="false">
      <c r="A6964" s="1" t="s">
        <v>962</v>
      </c>
      <c r="B6964" s="0" t="s">
        <v>98</v>
      </c>
      <c r="F6964" s="6" t="n">
        <f aca="false">fl_pay_27-Sens!E6963*fl_rate</f>
        <v>4.12427</v>
      </c>
      <c r="G6964" s="6" t="n">
        <f aca="false">fl_pay_28-Sens!F6963*fl_rate</f>
        <v>4.48286215</v>
      </c>
      <c r="H6964" s="6" t="n">
        <f aca="false">fl_pay_29-Sens!G6963*fl_rate</f>
        <v>4.05859094675</v>
      </c>
      <c r="I6964" s="6" t="n">
        <f aca="false">fl_pay_30-Sens!H6963*fl_rate</f>
        <v>4.14322753935375</v>
      </c>
      <c r="J6964" s="6" t="n">
        <f aca="false">fl_pay_31-Sens!I6963*fl_rate</f>
        <v>4.30267277862467</v>
      </c>
      <c r="K6964" s="6" t="n">
        <f aca="false">fl_pay_32-Sens!J6963*fl_rate</f>
        <v>4.49629305366278</v>
      </c>
    </row>
    <row r="6965" customFormat="false" ht="17.15" hidden="false" customHeight="false" outlineLevel="0" collapsed="false">
      <c r="A6965" s="1" t="s">
        <v>963</v>
      </c>
      <c r="B6965" s="0" t="s">
        <v>98</v>
      </c>
      <c r="E6965" s="6" t="n">
        <f aca="false">Q!M35-Q!M36-Q!M43</f>
        <v>63.886</v>
      </c>
      <c r="F6965" s="6" t="n">
        <f aca="false">Sens!F6958-Sens!F6962-Sens!F6964</f>
        <v>-4.67747557877502</v>
      </c>
      <c r="G6965" s="6" t="n">
        <f aca="false">Sens!G6958-Sens!G6962-Sens!G6964</f>
        <v>16.2326730795563</v>
      </c>
      <c r="H6965" s="6" t="n">
        <f aca="false">Sens!H6958-Sens!H6962-Sens!H6964</f>
        <v>40.3381209397187</v>
      </c>
      <c r="I6965" s="6" t="n">
        <f aca="false">Sens!I6958-Sens!I6962-Sens!I6964</f>
        <v>96.7187687982515</v>
      </c>
      <c r="J6965" s="6" t="n">
        <f aca="false">Sens!J6958-Sens!J6962-Sens!J6964</f>
        <v>159.798531585201</v>
      </c>
      <c r="K6965" s="6" t="n">
        <f aca="false">Sens!K6958-Sens!K6962-Sens!K6964</f>
        <v>187.336629945224</v>
      </c>
      <c r="L6965" s="11" t="s">
        <v>964</v>
      </c>
    </row>
    <row r="6966" customFormat="false" ht="15" hidden="false" customHeight="false" outlineLevel="0" collapsed="false">
      <c r="A6966" s="1" t="s">
        <v>965</v>
      </c>
      <c r="B6966" s="0" t="s">
        <v>75</v>
      </c>
      <c r="F6966" s="8" t="n">
        <f aca="false">dps_27</f>
        <v>3.85</v>
      </c>
      <c r="G6966" s="8" t="n">
        <f aca="false">Sens!F6966*(1+dps_g)</f>
        <v>4.158</v>
      </c>
      <c r="H6966" s="8" t="n">
        <f aca="false">Sens!G6966*(1+dps_g)</f>
        <v>4.49064</v>
      </c>
      <c r="I6966" s="8" t="n">
        <f aca="false">Sens!H6966*(1+dps_g)</f>
        <v>4.8498912</v>
      </c>
      <c r="J6966" s="8" t="n">
        <f aca="false">Sens!I6966*(1+dps_g)</f>
        <v>5.237882496</v>
      </c>
      <c r="K6966" s="8" t="n">
        <f aca="false">Sens!J6966*(1+dps_g)</f>
        <v>5.65691309568</v>
      </c>
    </row>
    <row r="6967" customFormat="false" ht="17.15" hidden="false" customHeight="false" outlineLevel="0" collapsed="false">
      <c r="A6967" s="1" t="s">
        <v>966</v>
      </c>
      <c r="B6967" s="0" t="s">
        <v>98</v>
      </c>
      <c r="E6967" s="6" t="n">
        <f aca="false">Q!M41</f>
        <v>26.445</v>
      </c>
      <c r="F6967" s="6" t="n">
        <f aca="false">Sens!F6966*Sens!E6976</f>
        <v>28.59395</v>
      </c>
      <c r="G6967" s="6" t="n">
        <f aca="false">Sens!G6966*Sens!F6976</f>
        <v>31.068576</v>
      </c>
      <c r="H6967" s="6" t="n">
        <f aca="false">Sens!H6966*Sens!G6976</f>
        <v>33.75614088</v>
      </c>
      <c r="I6967" s="6" t="n">
        <f aca="false">Sens!I6966*Sens!H6976</f>
        <v>36.6404636749981</v>
      </c>
      <c r="J6967" s="6" t="n">
        <f aca="false">Sens!J6966*Sens!I6976</f>
        <v>39.6400996173174</v>
      </c>
      <c r="K6967" s="6" t="n">
        <f aca="false">Sens!K6966*Sens!J6976</f>
        <v>42.8985628120078</v>
      </c>
      <c r="L6967" s="1" t="s">
        <v>967</v>
      </c>
    </row>
    <row r="6968" customFormat="false" ht="15" hidden="false" customHeight="false" outlineLevel="0" collapsed="false">
      <c r="A6968" s="1" t="s">
        <v>968</v>
      </c>
      <c r="B6968" s="0" t="s">
        <v>98</v>
      </c>
      <c r="E6968" s="6" t="n">
        <f aca="false">Sens!E6965-Sens!E6967</f>
        <v>37.441</v>
      </c>
      <c r="F6968" s="6" t="n">
        <f aca="false">Sens!F6965-Sens!F6967</f>
        <v>-33.271425578775</v>
      </c>
      <c r="G6968" s="6" t="n">
        <f aca="false">Sens!G6965-Sens!G6967</f>
        <v>-14.8359029204437</v>
      </c>
      <c r="H6968" s="6" t="n">
        <f aca="false">Sens!H6965-Sens!H6967</f>
        <v>6.58198005971872</v>
      </c>
      <c r="I6968" s="6" t="n">
        <f aca="false">Sens!I6965-Sens!I6967</f>
        <v>60.0783051232534</v>
      </c>
      <c r="J6968" s="6" t="n">
        <f aca="false">Sens!J6965-Sens!J6967</f>
        <v>120.158431967884</v>
      </c>
      <c r="K6968" s="6" t="n">
        <f aca="false">Sens!K6965-Sens!K6967</f>
        <v>144.438067133216</v>
      </c>
    </row>
    <row r="6969" customFormat="false" ht="15" hidden="false" customHeight="false" outlineLevel="0" collapsed="false">
      <c r="A6969" s="1" t="s">
        <v>969</v>
      </c>
      <c r="B6969" s="0" t="s">
        <v>98</v>
      </c>
      <c r="F6969" s="6" t="n">
        <f aca="false">debt_mat_27</f>
        <v>9.25</v>
      </c>
      <c r="G6969" s="6" t="n">
        <f aca="false">debt_mat_28</f>
        <v>0</v>
      </c>
      <c r="H6969" s="6" t="n">
        <f aca="false">debt_mat_29</f>
        <v>2.001</v>
      </c>
      <c r="I6969" s="6" t="n">
        <f aca="false">debt_mat_30</f>
        <v>0</v>
      </c>
      <c r="J6969" s="6" t="n">
        <f aca="false">debt_mat_31</f>
        <v>0.5</v>
      </c>
      <c r="K6969" s="6" t="n">
        <f aca="false">debt_mat_32</f>
        <v>0</v>
      </c>
    </row>
    <row r="6970" customFormat="false" ht="15" hidden="false" customHeight="false" outlineLevel="0" collapsed="false">
      <c r="A6970" s="1" t="s">
        <v>970</v>
      </c>
      <c r="B6970" s="0" t="s">
        <v>98</v>
      </c>
      <c r="E6970" s="6" t="n">
        <f aca="false">Q!M40</f>
        <v>22.271</v>
      </c>
      <c r="F6970" s="6" t="n">
        <f aca="false">MAX(0,MIN(bb_target,Sens!E6972+Sens!F6968-Sens!F6969-min_cash))</f>
        <v>0</v>
      </c>
      <c r="G6970" s="6" t="n">
        <f aca="false">MAX(0,MIN(bb_target,Sens!F6972+Sens!G6968-Sens!G6969-min_cash))</f>
        <v>0</v>
      </c>
      <c r="H6970" s="6" t="n">
        <f aca="false">MAX(0,MIN(bb_target,Sens!G6972+Sens!H6968-Sens!H6969-min_cash))</f>
        <v>4.58098005971872</v>
      </c>
      <c r="I6970" s="6" t="n">
        <f aca="false">MAX(0,MIN(bb_target,Sens!H6972+Sens!I6968-Sens!I6969-min_cash))</f>
        <v>22.271</v>
      </c>
      <c r="J6970" s="6" t="n">
        <f aca="false">MAX(0,MIN(bb_target,Sens!I6972+Sens!J6968-Sens!J6969-min_cash))</f>
        <v>22.271</v>
      </c>
      <c r="K6970" s="6" t="n">
        <f aca="false">MAX(0,MIN(bb_target,Sens!J6972+Sens!K6968-Sens!K6969-min_cash))</f>
        <v>22.271</v>
      </c>
    </row>
    <row r="6971" customFormat="false" ht="15" hidden="false" customHeight="false" outlineLevel="0" collapsed="false">
      <c r="A6971" s="1" t="s">
        <v>971</v>
      </c>
      <c r="B6971" s="0" t="s">
        <v>98</v>
      </c>
      <c r="F6971" s="6" t="n">
        <f aca="false">MAX(0,min_cash-(Sens!E6972+Sens!F6968-Sens!F6969-Sens!F6970))</f>
        <v>15.678425578775</v>
      </c>
      <c r="G6971" s="6" t="n">
        <f aca="false">MAX(0,min_cash-(Sens!F6972+Sens!G6968-Sens!G6969-Sens!G6970))</f>
        <v>14.8359029204437</v>
      </c>
      <c r="H6971" s="6" t="n">
        <f aca="false">MAX(0,min_cash-(Sens!G6972+Sens!H6968-Sens!H6969-Sens!H6970))</f>
        <v>0</v>
      </c>
      <c r="I6971" s="6" t="n">
        <f aca="false">MAX(0,min_cash-(Sens!H6972+Sens!I6968-Sens!I6969-Sens!I6970))</f>
        <v>0</v>
      </c>
      <c r="J6971" s="6" t="n">
        <f aca="false">MAX(0,min_cash-(Sens!I6972+Sens!J6968-Sens!J6969-Sens!J6970))</f>
        <v>0</v>
      </c>
      <c r="K6971" s="6" t="n">
        <f aca="false">MAX(0,min_cash-(Sens!J6972+Sens!K6968-Sens!K6969-Sens!K6970))</f>
        <v>0</v>
      </c>
    </row>
    <row r="6972" customFormat="false" ht="15" hidden="false" customHeight="false" outlineLevel="0" collapsed="false">
      <c r="A6972" s="1" t="s">
        <v>972</v>
      </c>
      <c r="B6972" s="0" t="s">
        <v>98</v>
      </c>
      <c r="E6972" s="6" t="n">
        <f aca="false">cash_open</f>
        <v>76.843</v>
      </c>
      <c r="F6972" s="6" t="n">
        <f aca="false">Sens!E6972+Sens!F6968-Sens!F6969-Sens!F6970+Sens!F6971</f>
        <v>50</v>
      </c>
      <c r="G6972" s="6" t="n">
        <f aca="false">Sens!F6972+Sens!G6968-Sens!G6969-Sens!G6970+Sens!G6971</f>
        <v>50</v>
      </c>
      <c r="H6972" s="6" t="n">
        <f aca="false">Sens!G6972+Sens!H6968-Sens!H6969-Sens!H6970+Sens!H6971</f>
        <v>50</v>
      </c>
      <c r="I6972" s="6" t="n">
        <f aca="false">Sens!H6972+Sens!I6968-Sens!I6969-Sens!I6970+Sens!I6971</f>
        <v>87.8073051232534</v>
      </c>
      <c r="J6972" s="6" t="n">
        <f aca="false">Sens!I6972+Sens!J6968-Sens!J6969-Sens!J6970+Sens!J6971</f>
        <v>185.194737091137</v>
      </c>
      <c r="K6972" s="6" t="n">
        <f aca="false">Sens!J6972+Sens!K6968-Sens!K6969-Sens!K6970+Sens!K6971</f>
        <v>307.361804224354</v>
      </c>
    </row>
    <row r="6973" customFormat="false" ht="15" hidden="false" customHeight="false" outlineLevel="0" collapsed="false">
      <c r="A6973" s="1" t="s">
        <v>973</v>
      </c>
      <c r="B6973" s="0" t="s">
        <v>98</v>
      </c>
      <c r="E6973" s="6" t="n">
        <f aca="false">debt_face</f>
        <v>46.136</v>
      </c>
      <c r="F6973" s="6" t="n">
        <f aca="false">Sens!E6973-Sens!F6969+Sens!F6971</f>
        <v>52.564425578775</v>
      </c>
      <c r="G6973" s="6" t="n">
        <f aca="false">Sens!F6973-Sens!G6969+Sens!G6971</f>
        <v>67.4003284992187</v>
      </c>
      <c r="H6973" s="6" t="n">
        <f aca="false">Sens!G6973-Sens!H6969+Sens!H6971</f>
        <v>65.3993284992187</v>
      </c>
      <c r="I6973" s="6" t="n">
        <f aca="false">Sens!H6973-Sens!I6969+Sens!I6971</f>
        <v>65.3993284992187</v>
      </c>
      <c r="J6973" s="6" t="n">
        <f aca="false">Sens!I6973-Sens!J6969+Sens!J6971</f>
        <v>64.8993284992187</v>
      </c>
      <c r="K6973" s="6" t="n">
        <f aca="false">Sens!J6973-Sens!K6969+Sens!K6971</f>
        <v>64.8993284992187</v>
      </c>
    </row>
    <row r="6974" customFormat="false" ht="15" hidden="false" customHeight="false" outlineLevel="0" collapsed="false">
      <c r="A6974" s="1" t="s">
        <v>974</v>
      </c>
      <c r="B6974" s="0" t="s">
        <v>98</v>
      </c>
      <c r="E6974" s="6" t="n">
        <f aca="false">Sens!E6972-Sens!E6973</f>
        <v>30.707</v>
      </c>
      <c r="F6974" s="6" t="n">
        <f aca="false">Sens!F6972-Sens!F6973</f>
        <v>-2.56442557877502</v>
      </c>
      <c r="G6974" s="6" t="n">
        <f aca="false">Sens!G6972-Sens!G6973</f>
        <v>-17.4003284992187</v>
      </c>
      <c r="H6974" s="6" t="n">
        <f aca="false">Sens!H6972-Sens!H6973</f>
        <v>-15.3993284992187</v>
      </c>
      <c r="I6974" s="6" t="n">
        <f aca="false">Sens!I6972-Sens!I6973</f>
        <v>22.4079766240347</v>
      </c>
      <c r="J6974" s="6" t="n">
        <f aca="false">Sens!J6972-Sens!J6973</f>
        <v>120.295408591919</v>
      </c>
      <c r="K6974" s="6" t="n">
        <f aca="false">Sens!K6972-Sens!K6973</f>
        <v>242.462475725135</v>
      </c>
    </row>
    <row r="6975" customFormat="false" ht="15" hidden="false" customHeight="false" outlineLevel="0" collapsed="false">
      <c r="A6975" s="1" t="s">
        <v>975</v>
      </c>
      <c r="B6975" s="0" t="s">
        <v>75</v>
      </c>
      <c r="F6975" s="29" t="n">
        <f aca="false">px*(1+bb_g)^(Sens!F6837-base_fy-mid_yr)</f>
        <v>553.494156066711</v>
      </c>
      <c r="G6975" s="29" t="n">
        <f aca="false">px*(1+bb_g)^(Sens!G6837-base_fy-mid_yr)</f>
        <v>597.773688552047</v>
      </c>
      <c r="H6975" s="29" t="n">
        <f aca="false">px*(1+bb_g)^(Sens!H6837-base_fy-mid_yr)</f>
        <v>645.595583636211</v>
      </c>
      <c r="I6975" s="29" t="n">
        <f aca="false">px*(1+bb_g)^(Sens!I6837-base_fy-mid_yr)</f>
        <v>697.243230327108</v>
      </c>
      <c r="J6975" s="29" t="n">
        <f aca="false">px*(1+bb_g)^(Sens!J6837-base_fy-mid_yr)</f>
        <v>753.022688753277</v>
      </c>
      <c r="K6975" s="29" t="n">
        <f aca="false">px*(1+bb_g)^(Sens!K6837-base_fy-mid_yr)</f>
        <v>813.264503853539</v>
      </c>
    </row>
    <row r="6976" customFormat="false" ht="15" hidden="false" customHeight="false" outlineLevel="0" collapsed="false">
      <c r="A6976" s="1" t="s">
        <v>976</v>
      </c>
      <c r="B6976" s="1" t="s">
        <v>81</v>
      </c>
      <c r="E6976" s="14" t="n">
        <f aca="false">sh_out26</f>
        <v>7.427</v>
      </c>
      <c r="F6976" s="14" t="n">
        <f aca="false">Sens!E6976+sh_iss-Sens!F6970/Sens!F6975</f>
        <v>7.472</v>
      </c>
      <c r="G6976" s="14" t="n">
        <f aca="false">Sens!F6976+sh_iss-Sens!G6970/Sens!G6975</f>
        <v>7.517</v>
      </c>
      <c r="H6976" s="14" t="n">
        <f aca="false">Sens!G6976+sh_iss-Sens!H6970/Sens!H6975</f>
        <v>7.55490425743944</v>
      </c>
      <c r="I6976" s="14" t="n">
        <f aca="false">Sens!H6976+sh_iss-Sens!I6970/Sens!I6975</f>
        <v>7.56796274975416</v>
      </c>
      <c r="J6976" s="14" t="n">
        <f aca="false">Sens!I6976+sh_iss-Sens!J6970/Sens!J6975</f>
        <v>7.5833872796752</v>
      </c>
      <c r="K6976" s="14" t="n">
        <f aca="false">Sens!J6976+sh_iss-Sens!K6970/Sens!K6975</f>
        <v>7.60100258515765</v>
      </c>
    </row>
    <row r="6977" customFormat="false" ht="15" hidden="false" customHeight="false" outlineLevel="0" collapsed="false">
      <c r="A6977" s="1" t="s">
        <v>977</v>
      </c>
      <c r="B6977" s="1" t="s">
        <v>81</v>
      </c>
      <c r="E6977" s="14" t="n">
        <f aca="false">sh_dil26</f>
        <v>7.453</v>
      </c>
      <c r="F6977" s="14" t="n">
        <f aca="false">(Sens!E6976+Sens!F6976)/2+dil_gap</f>
        <v>7.4735</v>
      </c>
      <c r="G6977" s="14" t="n">
        <f aca="false">(Sens!F6976+Sens!G6976)/2+dil_gap</f>
        <v>7.5185</v>
      </c>
      <c r="H6977" s="14" t="n">
        <f aca="false">(Sens!G6976+Sens!H6976)/2+dil_gap</f>
        <v>7.55995212871972</v>
      </c>
      <c r="I6977" s="14" t="n">
        <f aca="false">(Sens!H6976+Sens!I6976)/2+dil_gap</f>
        <v>7.5854335035968</v>
      </c>
      <c r="J6977" s="14" t="n">
        <f aca="false">(Sens!I6976+Sens!J6976)/2+dil_gap</f>
        <v>7.59967501471468</v>
      </c>
      <c r="K6977" s="14" t="n">
        <f aca="false">(Sens!J6976+Sens!K6976)/2+dil_gap</f>
        <v>7.61619493241642</v>
      </c>
    </row>
    <row r="6978" customFormat="false" ht="17.15" hidden="false" customHeight="false" outlineLevel="0" collapsed="false">
      <c r="A6978" s="1" t="s">
        <v>978</v>
      </c>
      <c r="B6978" s="0" t="s">
        <v>98</v>
      </c>
      <c r="C6978" s="6" t="n">
        <f aca="false">SUM(Sens!F6968:J6968)</f>
        <v>138.711388651637</v>
      </c>
    </row>
    <row r="6979" customFormat="false" ht="15" hidden="false" customHeight="false" outlineLevel="0" collapsed="false">
      <c r="A6979" s="23" t="s">
        <v>945</v>
      </c>
      <c r="B6979" s="30" t="s">
        <v>98</v>
      </c>
      <c r="C6979" s="24" t="n">
        <f aca="false">Sens!$C$6978-(Sens!F6968+Sens!G6968+Sens!H6968+Sens!I6968+Sens!J6968)</f>
        <v>0</v>
      </c>
      <c r="D6979" s="30"/>
      <c r="E6979" s="30"/>
      <c r="F6979" s="30"/>
      <c r="G6979" s="30"/>
      <c r="H6979" s="30"/>
      <c r="I6979" s="30"/>
      <c r="J6979" s="30"/>
      <c r="K6979" s="30"/>
    </row>
    <row r="6980" customFormat="false" ht="17.15" hidden="false" customHeight="false" outlineLevel="0" collapsed="false">
      <c r="A6980" s="1" t="s">
        <v>939</v>
      </c>
      <c r="B6980" s="1" t="s">
        <v>979</v>
      </c>
      <c r="C6980" s="32" t="str">
        <f aca="false">IF(SUM(Sens!F6971:J6971)&gt;0.05,"需要舉債 "&amp;TEXT(SUM(Sens!F6971:J6971),"0.0")&amp;" 十億美元","不需舉債")&amp;"；"&amp;IF(SUM(Sens!F6970:J6970)&lt;COUNT(Sens!F6970:J6970)*bb_target-0.05,"回購較每年 "&amp;TEXT(bb_target,"0.0")&amp;" 的目標少 "&amp;TEXT(COUNT(Sens!F6970:J6970)*bb_target-SUM(Sens!F6970:J6970),"0.0")&amp;" 十億美元（"&amp;TEXT(COUNTIF(Sens!F6970:J6970,"&lt;"&amp;(bb_target-0.05)),"0")&amp;" 年減少）","回購不減")</f>
        <v>需要舉債 30.5 十億美元；回購較每年 22.3 的目標少 62.2 十億美元（3 年減少）</v>
      </c>
    </row>
    <row r="6981" customFormat="false" ht="17.15" hidden="false" customHeight="false" outlineLevel="0" collapsed="false">
      <c r="A6981" s="3" t="s">
        <v>1441</v>
      </c>
    </row>
    <row r="6982" customFormat="false" ht="15" hidden="false" customHeight="false" outlineLevel="0" collapsed="false">
      <c r="A6982" s="4" t="s">
        <v>43</v>
      </c>
      <c r="B6982" s="4" t="s">
        <v>65</v>
      </c>
      <c r="C6982" s="20" t="s">
        <v>799</v>
      </c>
      <c r="D6982" s="20" t="s">
        <v>800</v>
      </c>
      <c r="E6982" s="20" t="s">
        <v>801</v>
      </c>
      <c r="F6982" s="20" t="s">
        <v>802</v>
      </c>
      <c r="G6982" s="20" t="s">
        <v>803</v>
      </c>
      <c r="H6982" s="20" t="s">
        <v>804</v>
      </c>
      <c r="I6982" s="20" t="s">
        <v>805</v>
      </c>
      <c r="J6982" s="20" t="s">
        <v>806</v>
      </c>
      <c r="K6982" s="20" t="s">
        <v>807</v>
      </c>
      <c r="L6982" s="4" t="s">
        <v>47</v>
      </c>
    </row>
    <row r="6983" customFormat="false" ht="15" hidden="false" customHeight="false" outlineLevel="0" collapsed="false">
      <c r="A6983" s="1" t="s">
        <v>1057</v>
      </c>
      <c r="B6983" s="1" t="s">
        <v>235</v>
      </c>
      <c r="F6983" s="36" t="n">
        <f aca="false">Sens!F6837-base_fy-mid_yr</f>
        <v>0.5</v>
      </c>
      <c r="G6983" s="36" t="n">
        <f aca="false">Sens!G6837-base_fy-mid_yr</f>
        <v>1.5</v>
      </c>
      <c r="H6983" s="36" t="n">
        <f aca="false">Sens!H6837-base_fy-mid_yr</f>
        <v>2.5</v>
      </c>
      <c r="I6983" s="36" t="n">
        <f aca="false">Sens!I6837-base_fy-mid_yr</f>
        <v>3.5</v>
      </c>
      <c r="J6983" s="36" t="n">
        <f aca="false">Sens!J6837-base_fy-mid_yr</f>
        <v>4.5</v>
      </c>
      <c r="K6983" s="36" t="n">
        <f aca="false">Sens!K6837-base_fy-mid_yr</f>
        <v>5.5</v>
      </c>
    </row>
    <row r="6984" customFormat="false" ht="15" hidden="false" customHeight="false" outlineLevel="0" collapsed="false">
      <c r="A6984" s="1" t="s">
        <v>1058</v>
      </c>
      <c r="B6984" s="0" t="s">
        <v>185</v>
      </c>
      <c r="F6984" s="14" t="n">
        <f aca="false">1/(1+wacc)^Sens!F6983</f>
        <v>0.952193373608246</v>
      </c>
      <c r="G6984" s="14" t="n">
        <f aca="false">1/(1+wacc)^Sens!G6983</f>
        <v>0.863327280626589</v>
      </c>
      <c r="H6984" s="14" t="n">
        <f aca="false">1/(1+wacc)^Sens!H6983</f>
        <v>0.782754862754115</v>
      </c>
      <c r="I6984" s="14" t="n">
        <f aca="false">1/(1+wacc)^Sens!I6983</f>
        <v>0.709702089711011</v>
      </c>
      <c r="J6984" s="14" t="n">
        <f aca="false">1/(1+wacc)^Sens!J6983</f>
        <v>0.643467169744551</v>
      </c>
      <c r="K6984" s="14" t="n">
        <f aca="false">1/(1+wacc)^Sens!K6983</f>
        <v>0.583413807767797</v>
      </c>
    </row>
    <row r="6985" customFormat="false" ht="17.15" hidden="false" customHeight="false" outlineLevel="0" collapsed="false">
      <c r="A6985" s="1" t="s">
        <v>1059</v>
      </c>
      <c r="B6985" s="0" t="s">
        <v>98</v>
      </c>
      <c r="F6985" s="6" t="n">
        <f aca="false">Sens!F6958-Sens!F6956-Sens!F6962+Sens!F6941*(1-tax_f)</f>
        <v>-5.68635879850097</v>
      </c>
      <c r="G6985" s="6" t="n">
        <f aca="false">Sens!G6958-Sens!G6956-Sens!G6962+Sens!G6941*(1-tax_f)</f>
        <v>26.7253333109089</v>
      </c>
      <c r="H6985" s="6" t="n">
        <f aca="false">Sens!H6958-Sens!H6956-Sens!H6962+Sens!H6941*(1-tax_f)</f>
        <v>62.9243923009479</v>
      </c>
      <c r="I6985" s="6" t="n">
        <f aca="false">Sens!I6958-Sens!I6956-Sens!I6962+Sens!I6941*(1-tax_f)</f>
        <v>130.284149766266</v>
      </c>
      <c r="J6985" s="6" t="n">
        <f aca="false">Sens!J6958-Sens!J6956-Sens!J6962+Sens!J6941*(1-tax_f)</f>
        <v>200.880444124175</v>
      </c>
      <c r="K6985" s="6" t="n">
        <f aca="false">Sens!K6958-Sens!K6956-Sens!K6962+Sens!K6941*(1-tax_f)</f>
        <v>232.726572057049</v>
      </c>
      <c r="L6985" s="1" t="s">
        <v>1060</v>
      </c>
    </row>
    <row r="6986" customFormat="false" ht="15" hidden="false" customHeight="false" outlineLevel="0" collapsed="false">
      <c r="A6986" s="1" t="s">
        <v>1061</v>
      </c>
      <c r="B6986" s="0" t="s">
        <v>98</v>
      </c>
      <c r="F6986" s="6" t="n">
        <f aca="false">Sens!F6985*Sens!F6984</f>
        <v>-5.41451316789157</v>
      </c>
      <c r="G6986" s="6" t="n">
        <f aca="false">Sens!G6985*Sens!G6984</f>
        <v>23.0727093311461</v>
      </c>
      <c r="H6986" s="6" t="n">
        <f aca="false">Sens!H6985*Sens!H6984</f>
        <v>49.2543740594146</v>
      </c>
      <c r="I6986" s="6" t="n">
        <f aca="false">Sens!I6985*Sens!I6984</f>
        <v>92.4629333453415</v>
      </c>
      <c r="J6986" s="6" t="n">
        <f aca="false">Sens!J6985*Sens!J6984</f>
        <v>129.259970837611</v>
      </c>
      <c r="K6986" s="6" t="n">
        <f aca="false">Sens!K6985*Sens!K6984</f>
        <v>135.77589557255</v>
      </c>
    </row>
    <row r="6987" customFormat="false" ht="17.15" hidden="false" customHeight="false" outlineLevel="0" collapsed="false">
      <c r="A6987" s="1" t="s">
        <v>1062</v>
      </c>
      <c r="B6987" s="0" t="s">
        <v>98</v>
      </c>
      <c r="C6987" s="6" t="n">
        <f aca="false">SUM(Sens!F6986:K6986)</f>
        <v>424.411369978171</v>
      </c>
    </row>
    <row r="6988" customFormat="false" ht="17.15" hidden="false" customHeight="false" outlineLevel="0" collapsed="false">
      <c r="A6988" s="1" t="s">
        <v>1063</v>
      </c>
      <c r="B6988" s="0" t="s">
        <v>98</v>
      </c>
      <c r="C6988" s="6" t="n">
        <f aca="false">Sens!K6927*(1+g_tv)*(1-tax_f)</f>
        <v>246.575579294916</v>
      </c>
    </row>
    <row r="6989" customFormat="false" ht="17.15" hidden="false" customHeight="false" outlineLevel="0" collapsed="false">
      <c r="A6989" s="1" t="s">
        <v>1064</v>
      </c>
      <c r="B6989" s="0" t="s">
        <v>98</v>
      </c>
      <c r="C6989" s="6" t="n">
        <f aca="false">Sens!$C$6988*(1-g_tv/(wacc+ronic_prem))</f>
        <v>174.71169380187</v>
      </c>
    </row>
    <row r="6990" customFormat="false" ht="17.15" hidden="false" customHeight="false" outlineLevel="0" collapsed="false">
      <c r="A6990" s="1" t="s">
        <v>1065</v>
      </c>
      <c r="B6990" s="0" t="s">
        <v>98</v>
      </c>
      <c r="C6990" s="6" t="n">
        <f aca="false">Sens!$C$6989/(wacc-g_tv)</f>
        <v>2395.46284976819</v>
      </c>
    </row>
    <row r="6991" customFormat="false" ht="15" hidden="false" customHeight="false" outlineLevel="0" collapsed="false">
      <c r="A6991" s="1" t="s">
        <v>1066</v>
      </c>
      <c r="B6991" s="0" t="s">
        <v>98</v>
      </c>
      <c r="C6991" s="6" t="n">
        <f aca="false">Sens!$C$6990/(1+wacc)^(Sens!K6983+mid_yr)</f>
        <v>1330.73413815972</v>
      </c>
    </row>
    <row r="6992" customFormat="false" ht="17.15" hidden="false" customHeight="false" outlineLevel="0" collapsed="false">
      <c r="A6992" s="0" t="s">
        <v>986</v>
      </c>
      <c r="B6992" s="0" t="s">
        <v>98</v>
      </c>
      <c r="C6992" s="6" t="n">
        <f aca="false">Sens!$C$6987+Sens!$C$6991</f>
        <v>1755.14550813789</v>
      </c>
    </row>
    <row r="6993" customFormat="false" ht="15" hidden="false" customHeight="false" outlineLevel="0" collapsed="false">
      <c r="A6993" s="1" t="s">
        <v>987</v>
      </c>
      <c r="B6993" s="0" t="s">
        <v>129</v>
      </c>
      <c r="C6993" s="7" t="n">
        <f aca="false">Sens!$C$6991/Sens!$C$6992</f>
        <v>0.758190208156332</v>
      </c>
    </row>
    <row r="6994" customFormat="false" ht="17.15" hidden="false" customHeight="false" outlineLevel="0" collapsed="false">
      <c r="A6994" s="1" t="s">
        <v>1067</v>
      </c>
      <c r="B6994" s="0" t="s">
        <v>98</v>
      </c>
      <c r="C6994" s="6" t="n">
        <f aca="false">Sens!$C$6992+Sens!E6974-Sens!E6963+oai_v</f>
        <v>1889.65850813789</v>
      </c>
    </row>
    <row r="6995" customFormat="false" ht="17.15" hidden="false" customHeight="false" outlineLevel="0" collapsed="false">
      <c r="A6995" s="0" t="s">
        <v>994</v>
      </c>
      <c r="B6995" s="0" t="s">
        <v>75</v>
      </c>
      <c r="C6995" s="5" t="n">
        <f aca="false">Sens!$C$6994/sh_dil26</f>
        <v>253.543339344947</v>
      </c>
    </row>
    <row r="6996" customFormat="false" ht="15" hidden="false" customHeight="false" outlineLevel="0" collapsed="false">
      <c r="A6996" s="1" t="s">
        <v>1068</v>
      </c>
      <c r="B6996" s="0" t="s">
        <v>75</v>
      </c>
      <c r="C6996" s="8" t="n">
        <f aca="false">dps_27+Sens!G6966*roll_div_q/q_per_yr</f>
        <v>4.8895</v>
      </c>
    </row>
    <row r="6997" customFormat="false" ht="17.15" hidden="false" customHeight="false" outlineLevel="0" collapsed="false">
      <c r="A6997" s="0" t="s">
        <v>1069</v>
      </c>
      <c r="B6997" s="0" t="s">
        <v>75</v>
      </c>
      <c r="C6997" s="5" t="n">
        <f aca="false">Sens!$C$6995*(1+wacc)^t_roll-Sens!$C$6996</f>
        <v>283.828766203947</v>
      </c>
    </row>
    <row r="6998" customFormat="false" ht="17.15" hidden="false" customHeight="false" outlineLevel="0" collapsed="false">
      <c r="A6998" s="1" t="s">
        <v>1070</v>
      </c>
      <c r="B6998" s="0" t="s">
        <v>129</v>
      </c>
      <c r="F6998" s="7" t="n">
        <f aca="false">Sens!F6953/(Sens!F6898-Sens!F6854)</f>
        <v>0.0717629441080992</v>
      </c>
      <c r="G6998" s="7" t="n">
        <f aca="false">Sens!G6953/(Sens!G6898-Sens!G6854)</f>
        <v>0.0688422977999507</v>
      </c>
      <c r="H6998" s="7" t="n">
        <f aca="false">Sens!H6953/(Sens!H6898-Sens!H6854)</f>
        <v>0.0672099560028258</v>
      </c>
      <c r="I6998" s="7" t="n">
        <f aca="false">Sens!I6953/(Sens!I6898-Sens!I6854)</f>
        <v>0.0666908992660856</v>
      </c>
      <c r="J6998" s="7" t="n">
        <f aca="false">Sens!J6953/(Sens!J6898-Sens!J6854)</f>
        <v>0.0670680486138739</v>
      </c>
      <c r="K6998" s="7" t="n">
        <f aca="false">Sens!K6953/(Sens!K6898-Sens!K6854)</f>
        <v>0.0681190659615443</v>
      </c>
    </row>
    <row r="6999" customFormat="false" ht="17.15" hidden="false" customHeight="false" outlineLevel="0" collapsed="false">
      <c r="A6999" s="0" t="s">
        <v>1071</v>
      </c>
      <c r="B6999" s="0" t="s">
        <v>98</v>
      </c>
      <c r="F6999" s="6" t="n">
        <f aca="false">Sens!F6883*(al_m365+Sens!F6998+sbc_r)</f>
        <v>81.1633992103626</v>
      </c>
      <c r="G6999" s="6" t="n">
        <f aca="false">Sens!G6883*(al_m365+Sens!G6998+sbc_r)</f>
        <v>90.9364599174768</v>
      </c>
      <c r="H6999" s="6" t="n">
        <f aca="false">Sens!H6883*(al_m365+Sens!H6998+sbc_r)</f>
        <v>100.867607777285</v>
      </c>
      <c r="I6999" s="6" t="n">
        <f aca="false">Sens!I6883*(al_m365+Sens!I6998+sbc_r)</f>
        <v>110.422680773901</v>
      </c>
      <c r="J6999" s="6" t="n">
        <f aca="false">Sens!J6883*(al_m365+Sens!J6998+sbc_r)</f>
        <v>119.413331074987</v>
      </c>
      <c r="K6999" s="6" t="n">
        <f aca="false">Sens!K6883*(al_m365+Sens!K6998+sbc_r)</f>
        <v>128.004803095038</v>
      </c>
      <c r="L6999" s="11" t="s">
        <v>1072</v>
      </c>
    </row>
    <row r="7000" customFormat="false" ht="17.15" hidden="false" customHeight="false" outlineLevel="0" collapsed="false">
      <c r="A7000" s="0" t="s">
        <v>1073</v>
      </c>
      <c r="B7000" s="0" t="s">
        <v>98</v>
      </c>
      <c r="F7000" s="6" t="n">
        <f aca="false">Sens!F6884*(al_lic+Sens!F6998+sbc_r)</f>
        <v>33.5686058388405</v>
      </c>
      <c r="G7000" s="6" t="n">
        <f aca="false">Sens!G6884*(al_lic+Sens!G6998+sbc_r)</f>
        <v>34.8710966381048</v>
      </c>
      <c r="H7000" s="6" t="n">
        <f aca="false">Sens!H6884*(al_lic+Sens!H6998+sbc_r)</f>
        <v>36.0839725733337</v>
      </c>
      <c r="I7000" s="6" t="n">
        <f aca="false">Sens!I6884*(al_lic+Sens!I6998+sbc_r)</f>
        <v>37.1861877213304</v>
      </c>
      <c r="J7000" s="6" t="n">
        <f aca="false">Sens!J6884*(al_lic+Sens!J6998+sbc_r)</f>
        <v>38.1544773456889</v>
      </c>
      <c r="K7000" s="6" t="n">
        <f aca="false">Sens!K6884*(al_lic+Sens!K6998+sbc_r)</f>
        <v>38.9654374614452</v>
      </c>
    </row>
    <row r="7001" customFormat="false" ht="17.15" hidden="false" customHeight="false" outlineLevel="0" collapsed="false">
      <c r="A7001" s="0" t="s">
        <v>1074</v>
      </c>
      <c r="B7001" s="0" t="s">
        <v>98</v>
      </c>
      <c r="F7001" s="6" t="n">
        <f aca="false">Sens!F6886*(al_ind+Sens!F6998+sbc_r)</f>
        <v>9.1473567653323</v>
      </c>
      <c r="G7001" s="6" t="n">
        <f aca="false">Sens!G6886*(al_ind+Sens!G6998+sbc_r)</f>
        <v>9.92781623837976</v>
      </c>
      <c r="H7001" s="6" t="n">
        <f aca="false">Sens!H6886*(al_ind+Sens!H6998+sbc_r)</f>
        <v>10.7515634033708</v>
      </c>
      <c r="I7001" s="6" t="n">
        <f aca="false">Sens!I6886*(al_ind+Sens!I6998+sbc_r)</f>
        <v>11.6135636941591</v>
      </c>
      <c r="J7001" s="6" t="n">
        <f aca="false">Sens!J6886*(al_ind+Sens!J6998+sbc_r)</f>
        <v>12.5053121244373</v>
      </c>
      <c r="K7001" s="6" t="n">
        <f aca="false">Sens!K6886*(al_ind+Sens!K6998+sbc_r)</f>
        <v>13.4154554131489</v>
      </c>
    </row>
    <row r="7002" customFormat="false" ht="17.15" hidden="false" customHeight="false" outlineLevel="0" collapsed="false">
      <c r="A7002" s="0" t="s">
        <v>1075</v>
      </c>
      <c r="B7002" s="0" t="s">
        <v>98</v>
      </c>
      <c r="F7002" s="6" t="n">
        <f aca="false">Sens!F6888*(al_fro+Sens!F6998+sbc_r)</f>
        <v>3.60043173738346</v>
      </c>
      <c r="G7002" s="6" t="n">
        <f aca="false">Sens!G6888*(al_fro+Sens!G6998+sbc_r)</f>
        <v>3.81169448642844</v>
      </c>
      <c r="H7002" s="6" t="n">
        <f aca="false">Sens!H6888*(al_fro+Sens!H6998+sbc_r)</f>
        <v>4.05155709010523</v>
      </c>
      <c r="I7002" s="6" t="n">
        <f aca="false">Sens!I6888*(al_fro+Sens!I6998+sbc_r)</f>
        <v>4.32209574067166</v>
      </c>
      <c r="J7002" s="6" t="n">
        <f aca="false">Sens!J6888*(al_fro+Sens!J6998+sbc_r)</f>
        <v>4.62494500187015</v>
      </c>
      <c r="K7002" s="6" t="n">
        <f aca="false">Sens!K6888*(al_fro+Sens!K6998+sbc_r)</f>
        <v>4.96155096677738</v>
      </c>
    </row>
    <row r="7003" customFormat="false" ht="17.15" hidden="false" customHeight="false" outlineLevel="0" collapsed="false">
      <c r="A7003" s="0" t="s">
        <v>1076</v>
      </c>
      <c r="B7003" s="0" t="s">
        <v>98</v>
      </c>
      <c r="F7003" s="6" t="n">
        <f aca="false">Sens!F6891*(al_srch+Sens!F6998+sbc_r)</f>
        <v>11.2971177666712</v>
      </c>
      <c r="G7003" s="6" t="n">
        <f aca="false">Sens!G6891*(al_srch+Sens!G6998+sbc_r)</f>
        <v>12.3766837601977</v>
      </c>
      <c r="H7003" s="6" t="n">
        <f aca="false">Sens!H6891*(al_srch+Sens!H6998+sbc_r)</f>
        <v>13.4989779840628</v>
      </c>
      <c r="I7003" s="6" t="n">
        <f aca="false">Sens!I6891*(al_srch+Sens!I6998+sbc_r)</f>
        <v>14.6507758796601</v>
      </c>
      <c r="J7003" s="6" t="n">
        <f aca="false">Sens!J6891*(al_srch+Sens!J6998+sbc_r)</f>
        <v>15.8135493597149</v>
      </c>
      <c r="K7003" s="6" t="n">
        <f aca="false">Sens!K6891*(al_srch+Sens!K6998+sbc_r)</f>
        <v>16.9644679195426</v>
      </c>
    </row>
    <row r="7004" customFormat="false" ht="17.15" hidden="false" customHeight="false" outlineLevel="0" collapsed="false">
      <c r="A7004" s="0" t="s">
        <v>1077</v>
      </c>
      <c r="B7004" s="0" t="s">
        <v>98</v>
      </c>
      <c r="F7004" s="6" t="n">
        <f aca="false">Sens!F6860-Sens!F6861+Sens!F6941</f>
        <v>40.3583861238871</v>
      </c>
      <c r="G7004" s="6" t="n">
        <f aca="false">Sens!G6860-Sens!G6861+Sens!G6941</f>
        <v>70.1280232230974</v>
      </c>
      <c r="H7004" s="6" t="n">
        <f aca="false">Sens!H6860-Sens!H6861+Sens!H6941</f>
        <v>97.0405616396348</v>
      </c>
      <c r="I7004" s="6" t="n">
        <f aca="false">Sens!I6860-Sens!I6861+Sens!I6941</f>
        <v>127.627325388143</v>
      </c>
      <c r="J7004" s="6" t="n">
        <f aca="false">Sens!J6860-Sens!J6861+Sens!J6941</f>
        <v>149.42596998968</v>
      </c>
      <c r="K7004" s="6" t="n">
        <f aca="false">Sens!K6860-Sens!K6861+Sens!K6941</f>
        <v>163.78714792692</v>
      </c>
    </row>
    <row r="7005" customFormat="false" ht="17.15" hidden="false" customHeight="false" outlineLevel="0" collapsed="false">
      <c r="A7005" s="0" t="s">
        <v>1078</v>
      </c>
      <c r="B7005" s="0" t="s">
        <v>98</v>
      </c>
      <c r="F7005" s="6" t="n">
        <f aca="false">Sens!F6920+Sens!F6941+Sens!F6871+Sens!F6998*(Sens!F6890-Sens!F6854)+sbc_r*Sens!F6890</f>
        <v>228.245184213303</v>
      </c>
      <c r="G7005" s="6" t="n">
        <f aca="false">Sens!G6920+Sens!G6941+Sens!G6871+Sens!G6998*(Sens!G6890-Sens!G6854)+sbc_r*Sens!G6890</f>
        <v>282.309206377342</v>
      </c>
      <c r="H7005" s="6" t="n">
        <f aca="false">Sens!H6920+Sens!H6941+Sens!H6871+Sens!H6998*(Sens!H6890-Sens!H6854)+sbc_r*Sens!H6890</f>
        <v>333.783577108727</v>
      </c>
      <c r="I7005" s="6" t="n">
        <f aca="false">Sens!I6920+Sens!I6941+Sens!I6871+Sens!I6998*(Sens!I6890-Sens!I6854)+sbc_r*Sens!I6890</f>
        <v>388.442976914462</v>
      </c>
      <c r="J7005" s="6" t="n">
        <f aca="false">Sens!J6920+Sens!J6941+Sens!J6871+Sens!J6998*(Sens!J6890-Sens!J6854)+sbc_r*Sens!J6890</f>
        <v>432.55131050056</v>
      </c>
      <c r="K7005" s="6" t="n">
        <f aca="false">Sens!K6920+Sens!K6941+Sens!K6871+Sens!K6998*(Sens!K6890-Sens!K6854)+sbc_r*Sens!K6890</f>
        <v>466.934569166552</v>
      </c>
    </row>
    <row r="7006" customFormat="false" ht="17.15" hidden="false" customHeight="false" outlineLevel="0" collapsed="false">
      <c r="A7006" s="0" t="s">
        <v>1079</v>
      </c>
      <c r="B7006" s="0" t="s">
        <v>98</v>
      </c>
      <c r="F7006" s="6" t="n">
        <f aca="false">Sens!F7005-Sens!F6999-Sens!F7000-Sens!F7001-Sens!F7002-Sens!F7004</f>
        <v>60.4070045374973</v>
      </c>
      <c r="G7006" s="6" t="n">
        <f aca="false">Sens!G7005-Sens!G6999-Sens!G7000-Sens!G7001-Sens!G7002-Sens!G7004</f>
        <v>72.6341158738544</v>
      </c>
      <c r="H7006" s="6" t="n">
        <f aca="false">Sens!H7005-Sens!H6999-Sens!H7000-Sens!H7001-Sens!H7002-Sens!H7004</f>
        <v>84.988314624998</v>
      </c>
      <c r="I7006" s="6" t="n">
        <f aca="false">Sens!I7005-Sens!I6999-Sens!I7000-Sens!I7001-Sens!I7002-Sens!I7004</f>
        <v>97.2711235962572</v>
      </c>
      <c r="J7006" s="6" t="n">
        <f aca="false">Sens!J7005-Sens!J6999-Sens!J7000-Sens!J7001-Sens!J7002-Sens!J7004</f>
        <v>108.427274963896</v>
      </c>
      <c r="K7006" s="6" t="n">
        <f aca="false">Sens!K7005-Sens!K6999-Sens!K7000-Sens!K7001-Sens!K7002-Sens!K7004</f>
        <v>117.800174303222</v>
      </c>
    </row>
    <row r="7007" customFormat="false" ht="17.15" hidden="false" customHeight="false" outlineLevel="0" collapsed="false">
      <c r="A7007" s="0" t="s">
        <v>1080</v>
      </c>
      <c r="B7007" s="0" t="s">
        <v>98</v>
      </c>
      <c r="F7007" s="6" t="n">
        <f aca="false">Sens!F6922+Sens!F6998*Sens!F6897+sbc_r*Sens!F6897</f>
        <v>26.4053637941719</v>
      </c>
      <c r="G7007" s="6" t="n">
        <f aca="false">Sens!G6922+Sens!G6998*Sens!G6897+sbc_r*Sens!G6897</f>
        <v>27.0134483282886</v>
      </c>
      <c r="H7007" s="6" t="n">
        <f aca="false">Sens!H6922+Sens!H6998*Sens!H6897+sbc_r*Sens!H6897</f>
        <v>27.8864166970417</v>
      </c>
      <c r="I7007" s="6" t="n">
        <f aca="false">Sens!I6922+Sens!I6998*Sens!I6897+sbc_r*Sens!I6897</f>
        <v>28.9897089743271</v>
      </c>
      <c r="J7007" s="6" t="n">
        <f aca="false">Sens!J6922+Sens!J6998*Sens!J6897+sbc_r*Sens!J6897</f>
        <v>30.2915546978603</v>
      </c>
      <c r="K7007" s="6" t="n">
        <f aca="false">Sens!K6922+Sens!K6998*Sens!K6897+sbc_r*Sens!K6897</f>
        <v>31.763755449496</v>
      </c>
    </row>
    <row r="7008" customFormat="false" ht="17.15" hidden="false" customHeight="false" outlineLevel="0" collapsed="false">
      <c r="A7008" s="0" t="s">
        <v>1081</v>
      </c>
      <c r="B7008" s="0" t="s">
        <v>98</v>
      </c>
      <c r="F7008" s="6" t="n">
        <f aca="false">(Sens!F7007-Sens!F7003)*Sens!F6893/(Sens!F6893+Sens!F6895)</f>
        <v>8.28219332009184</v>
      </c>
      <c r="G7008" s="6" t="n">
        <f aca="false">(Sens!G7007-Sens!G7003)*Sens!G6893/(Sens!G6893+Sens!G6895)</f>
        <v>7.88066914291462</v>
      </c>
      <c r="H7008" s="6" t="n">
        <f aca="false">(Sens!H7007-Sens!H7003)*Sens!H6893/(Sens!H6893+Sens!H6895)</f>
        <v>7.64178679993328</v>
      </c>
      <c r="I7008" s="6" t="n">
        <f aca="false">(Sens!I7007-Sens!I7003)*Sens!I6893/(Sens!I6893+Sens!I6895)</f>
        <v>7.5471135056591</v>
      </c>
      <c r="J7008" s="6" t="n">
        <f aca="false">(Sens!J7007-Sens!J7003)*Sens!J6893/(Sens!J6893+Sens!J6895)</f>
        <v>7.58585362560856</v>
      </c>
      <c r="K7008" s="6" t="n">
        <f aca="false">(Sens!K7007-Sens!K7003)*Sens!K6893/(Sens!K6893+Sens!K6895)</f>
        <v>7.75419170966417</v>
      </c>
    </row>
    <row r="7009" customFormat="false" ht="17.15" hidden="false" customHeight="false" outlineLevel="0" collapsed="false">
      <c r="A7009" s="0" t="s">
        <v>1082</v>
      </c>
      <c r="B7009" s="0" t="s">
        <v>98</v>
      </c>
      <c r="F7009" s="6" t="n">
        <f aca="false">Sens!F7007-Sens!F7003-Sens!F7008</f>
        <v>6.82605270740891</v>
      </c>
      <c r="G7009" s="6" t="n">
        <f aca="false">Sens!G7007-Sens!G7003-Sens!G7008</f>
        <v>6.75609542517631</v>
      </c>
      <c r="H7009" s="6" t="n">
        <f aca="false">Sens!H7007-Sens!H7003-Sens!H7008</f>
        <v>6.74565191304558</v>
      </c>
      <c r="I7009" s="6" t="n">
        <f aca="false">Sens!I7007-Sens!I7003-Sens!I7008</f>
        <v>6.79181958900786</v>
      </c>
      <c r="J7009" s="6" t="n">
        <f aca="false">Sens!J7007-Sens!J7003-Sens!J7008</f>
        <v>6.89215171253682</v>
      </c>
      <c r="K7009" s="6" t="n">
        <f aca="false">Sens!K7007-Sens!K7003-Sens!K7008</f>
        <v>7.04509582028921</v>
      </c>
    </row>
    <row r="7010" customFormat="false" ht="17.15" hidden="false" customHeight="false" outlineLevel="0" collapsed="false">
      <c r="A7010" s="0" t="s">
        <v>1083</v>
      </c>
      <c r="B7010" s="0" t="s">
        <v>98</v>
      </c>
      <c r="F7010" s="6" t="n">
        <f aca="false">Sens!F7004-tax_f*(Sens!F7004-Sens!F6871)-Sens!F6868</f>
        <v>-121.236189496166</v>
      </c>
      <c r="G7010" s="6" t="n">
        <f aca="false">Sens!G7004-tax_f*(Sens!G7004-Sens!G6871)-Sens!G6868</f>
        <v>-115.64667448262</v>
      </c>
      <c r="H7010" s="6" t="n">
        <f aca="false">Sens!H7004-tax_f*(Sens!H7004-Sens!H6871)-Sens!H6868</f>
        <v>-93.1756326300298</v>
      </c>
      <c r="I7010" s="6" t="n">
        <f aca="false">Sens!I7004-tax_f*(Sens!I7004-Sens!I6871)-Sens!I6868</f>
        <v>-39.4836600772527</v>
      </c>
      <c r="J7010" s="6" t="n">
        <f aca="false">Sens!J7004-tax_f*(Sens!J7004-Sens!J6871)-Sens!J6868</f>
        <v>17.9590039680703</v>
      </c>
      <c r="K7010" s="6" t="n">
        <f aca="false">Sens!K7004-tax_f*(Sens!K7004-Sens!K6871)-Sens!K6868</f>
        <v>37.4485958468074</v>
      </c>
    </row>
    <row r="7011" customFormat="false" ht="17.15" hidden="false" customHeight="false" outlineLevel="0" collapsed="false">
      <c r="A7011" s="0" t="s">
        <v>1084</v>
      </c>
      <c r="B7011" s="0" t="s">
        <v>98</v>
      </c>
      <c r="G7011" s="6" t="n">
        <f aca="false">Sens!G7010/(1+wacc)^(Sens!G6983-(Sens!F6983+mid_yr))</f>
        <v>-110.11799712218</v>
      </c>
      <c r="H7011" s="6" t="n">
        <f aca="false">Sens!H7010/(1+wacc)^(Sens!H6983-(Sens!F6983+mid_yr))</f>
        <v>-80.4410655391457</v>
      </c>
      <c r="I7011" s="6" t="n">
        <f aca="false">Sens!I7010/(1+wacc)^(Sens!I6983-(Sens!F6983+mid_yr))</f>
        <v>-30.9060269248001</v>
      </c>
      <c r="J7011" s="6" t="n">
        <f aca="false">Sens!J7010/(1+wacc)^(Sens!J6983-(Sens!F6983+mid_yr))</f>
        <v>12.7455426452678</v>
      </c>
      <c r="K7011" s="6" t="n">
        <f aca="false">Sens!K7010/(1+wacc)^(Sens!K6983-(Sens!F6983+mid_yr))</f>
        <v>24.0969419804527</v>
      </c>
      <c r="L7011" s="1" t="s">
        <v>1085</v>
      </c>
    </row>
    <row r="7012" customFormat="false" ht="17.15" hidden="false" customHeight="false" outlineLevel="0" collapsed="false">
      <c r="A7012" s="0" t="s">
        <v>1086</v>
      </c>
      <c r="B7012" s="0" t="s">
        <v>98</v>
      </c>
      <c r="C7012" s="6" t="n">
        <f aca="false">(Sens!K7004-Sens!K6871)*(1-tax_f)*(1+g_tv)*(1-g_tv/(wacc+ronic_prem))/(wacc-g_tv)/(1+wacc)^(Sens!K6983+mid_yr-(Sens!F6983+mid_yr))</f>
        <v>120.930317003298</v>
      </c>
    </row>
    <row r="7013" customFormat="false" ht="17.15" hidden="false" customHeight="false" outlineLevel="0" collapsed="false">
      <c r="A7013" s="1" t="s">
        <v>1087</v>
      </c>
      <c r="B7013" s="0" t="s">
        <v>98</v>
      </c>
      <c r="C7013" s="6" t="n">
        <f aca="false">(SUM(Sens!G7011:K7011)+Sens!$C$7012)*(1+wacc)^(t_roll-(Sens!F6983+mid_yr))</f>
        <v>-65.7596078522418</v>
      </c>
      <c r="L7013" s="11" t="s">
        <v>1088</v>
      </c>
    </row>
    <row r="7014" customFormat="false" ht="17.15" hidden="false" customHeight="false" outlineLevel="0" collapsed="false">
      <c r="A7014" s="1" t="s">
        <v>1089</v>
      </c>
      <c r="B7014" s="0" t="s">
        <v>98</v>
      </c>
      <c r="C7014" s="6" t="n">
        <f aca="false">(w_ntm28*Sens!G6860+(1-w_ntm28)*Sens!H6860)*m_ai</f>
        <v>338.776008390068</v>
      </c>
    </row>
    <row r="7015" customFormat="false" ht="17.15" hidden="false" customHeight="false" outlineLevel="0" collapsed="false">
      <c r="A7015" s="1" t="s">
        <v>1090</v>
      </c>
      <c r="B7015" s="0" t="s">
        <v>98</v>
      </c>
      <c r="C7015" s="6" t="n">
        <f aca="false">(w_ntm28*Sens!G7006+(1-w_ntm28)*Sens!H7006)*m_cloud</f>
        <v>1059.00001056959</v>
      </c>
    </row>
    <row r="7016" customFormat="false" ht="17.15" hidden="false" customHeight="false" outlineLevel="0" collapsed="false">
      <c r="A7016" s="1" t="s">
        <v>1091</v>
      </c>
      <c r="B7016" s="0" t="s">
        <v>98</v>
      </c>
      <c r="C7016" s="6" t="n">
        <f aca="false">(w_ntm28*Sens!G6999+(1-w_ntm28)*Sens!H6999)*m_sw</f>
        <v>1016.78843788283</v>
      </c>
    </row>
    <row r="7017" customFormat="false" ht="17.15" hidden="false" customHeight="false" outlineLevel="0" collapsed="false">
      <c r="A7017" s="1" t="s">
        <v>1092</v>
      </c>
      <c r="B7017" s="0" t="s">
        <v>98</v>
      </c>
      <c r="C7017" s="6" t="n">
        <f aca="false">(w_ntm28*Sens!G7000+(1-w_ntm28)*Sens!H7000)*m_sw</f>
        <v>380.842608326753</v>
      </c>
    </row>
    <row r="7018" customFormat="false" ht="17.15" hidden="false" customHeight="false" outlineLevel="0" collapsed="false">
      <c r="A7018" s="1" t="s">
        <v>1093</v>
      </c>
      <c r="B7018" s="0" t="s">
        <v>98</v>
      </c>
      <c r="C7018" s="6" t="n">
        <f aca="false">(w_ntm28*Sens!G7001+(1-w_ntm28)*Sens!H7001)*m_sw</f>
        <v>110.096534243172</v>
      </c>
    </row>
    <row r="7019" customFormat="false" ht="17.15" hidden="false" customHeight="false" outlineLevel="0" collapsed="false">
      <c r="A7019" s="1" t="s">
        <v>1094</v>
      </c>
      <c r="B7019" s="0" t="s">
        <v>98</v>
      </c>
      <c r="C7019" s="6" t="n">
        <f aca="false">(w_ntm28*Sens!G7002+(1-w_ntm28)*Sens!H7002)*m_sw</f>
        <v>42.0037823770592</v>
      </c>
    </row>
    <row r="7020" customFormat="false" ht="17.15" hidden="false" customHeight="false" outlineLevel="0" collapsed="false">
      <c r="A7020" s="1" t="s">
        <v>1095</v>
      </c>
      <c r="B7020" s="0" t="s">
        <v>98</v>
      </c>
      <c r="C7020" s="6" t="n">
        <f aca="false">(w_ntm28*Sens!G7003+(1-w_ntm28)*Sens!H7003)*m_ads</f>
        <v>116.056914657512</v>
      </c>
    </row>
    <row r="7021" customFormat="false" ht="17.15" hidden="false" customHeight="false" outlineLevel="0" collapsed="false">
      <c r="A7021" s="1" t="s">
        <v>1096</v>
      </c>
      <c r="B7021" s="0" t="s">
        <v>98</v>
      </c>
      <c r="C7021" s="6" t="n">
        <f aca="false">(w_ntm28*Sens!G7008+(1-w_ntm28)*Sens!H7008)*m_game</f>
        <v>98.5574652173711</v>
      </c>
    </row>
    <row r="7022" customFormat="false" ht="17.15" hidden="false" customHeight="false" outlineLevel="0" collapsed="false">
      <c r="A7022" s="1" t="s">
        <v>1097</v>
      </c>
      <c r="B7022" s="0" t="s">
        <v>98</v>
      </c>
      <c r="C7022" s="6" t="n">
        <f aca="false">(w_ntm28*Sens!G7009+(1-w_ntm28)*Sens!H7009)*m_pc</f>
        <v>97.7118463386772</v>
      </c>
    </row>
    <row r="7023" customFormat="false" ht="17.15" hidden="false" customHeight="false" outlineLevel="0" collapsed="false">
      <c r="A7023" s="1" t="s">
        <v>1098</v>
      </c>
      <c r="B7023" s="0" t="s">
        <v>98</v>
      </c>
      <c r="C7023" s="6" t="n">
        <f aca="false">Sens!$C$7013+Sens!$C$7015+Sens!$C$7016+Sens!$C$7017+Sens!$C$7018+Sens!$C$7019+Sens!$C$7020+Sens!$C$7021+Sens!$C$7022</f>
        <v>2855.29799176072</v>
      </c>
    </row>
    <row r="7024" customFormat="false" ht="17.15" hidden="false" customHeight="false" outlineLevel="0" collapsed="false">
      <c r="A7024" s="1" t="s">
        <v>1099</v>
      </c>
      <c r="B7024" s="0" t="s">
        <v>98</v>
      </c>
      <c r="C7024" s="6" t="n">
        <f aca="false">(Sens!G6985-Sens!G7010)*t_stub</f>
        <v>46.4171751436436</v>
      </c>
      <c r="L7024" s="1" t="s">
        <v>1100</v>
      </c>
    </row>
    <row r="7025" customFormat="false" ht="17.15" hidden="false" customHeight="false" outlineLevel="0" collapsed="false">
      <c r="A7025" s="1" t="s">
        <v>1014</v>
      </c>
      <c r="B7025" s="0" t="s">
        <v>98</v>
      </c>
      <c r="C7025" s="6" t="n">
        <f aca="false">Sens!F6974+oai_v-Sens!F6963+Sens!$C$7024</f>
        <v>151.783019564869</v>
      </c>
      <c r="L7025" s="1" t="s">
        <v>1101</v>
      </c>
    </row>
    <row r="7026" customFormat="false" ht="17.15" hidden="false" customHeight="false" outlineLevel="0" collapsed="false">
      <c r="A7026" s="1" t="s">
        <v>1102</v>
      </c>
      <c r="B7026" s="0" t="s">
        <v>75</v>
      </c>
      <c r="C7026" s="5" t="n">
        <f aca="false">(Sens!$C$7023+Sens!$C$7025)/(Sens!F6976+dil_gap)-Sens!G6966*roll_div_q/q_per_yr</f>
        <v>400.118585822517</v>
      </c>
      <c r="L7026" s="1" t="s">
        <v>1103</v>
      </c>
    </row>
    <row r="7027" customFormat="false" ht="17.15" hidden="false" customHeight="false" outlineLevel="0" collapsed="false">
      <c r="A7027" s="1" t="s">
        <v>1104</v>
      </c>
      <c r="B7027" s="0" t="s">
        <v>75</v>
      </c>
      <c r="C7027" s="5" t="n">
        <f aca="false">w_dcf*Sens!$C$6997+(1-w_dcf)*Sens!$C$7026</f>
        <v>341.973676013232</v>
      </c>
    </row>
    <row r="7028" customFormat="false" ht="17.15" hidden="false" customHeight="false" outlineLevel="0" collapsed="false">
      <c r="A7028" s="3" t="s">
        <v>1442</v>
      </c>
    </row>
    <row r="7029" customFormat="false" ht="15" hidden="false" customHeight="false" outlineLevel="0" collapsed="false">
      <c r="A7029" s="4" t="s">
        <v>43</v>
      </c>
      <c r="B7029" s="4" t="s">
        <v>65</v>
      </c>
      <c r="C7029" s="20" t="s">
        <v>799</v>
      </c>
      <c r="D7029" s="20" t="s">
        <v>800</v>
      </c>
      <c r="E7029" s="20" t="s">
        <v>801</v>
      </c>
      <c r="F7029" s="20" t="s">
        <v>802</v>
      </c>
      <c r="G7029" s="20" t="s">
        <v>803</v>
      </c>
      <c r="H7029" s="20" t="s">
        <v>804</v>
      </c>
      <c r="I7029" s="20" t="s">
        <v>805</v>
      </c>
      <c r="J7029" s="20" t="s">
        <v>806</v>
      </c>
      <c r="K7029" s="20" t="s">
        <v>807</v>
      </c>
      <c r="L7029" s="4" t="s">
        <v>47</v>
      </c>
    </row>
    <row r="7030" customFormat="false" ht="17.15" hidden="false" customHeight="false" outlineLevel="0" collapsed="false">
      <c r="A7030" s="1" t="s">
        <v>808</v>
      </c>
      <c r="B7030" s="1" t="s">
        <v>235</v>
      </c>
      <c r="C7030" s="28" t="n">
        <v>2024</v>
      </c>
      <c r="D7030" s="28" t="n">
        <v>2025</v>
      </c>
      <c r="E7030" s="28" t="n">
        <v>2026</v>
      </c>
      <c r="F7030" s="28" t="n">
        <v>2027</v>
      </c>
      <c r="G7030" s="28" t="n">
        <v>2028</v>
      </c>
      <c r="H7030" s="28" t="n">
        <v>2029</v>
      </c>
      <c r="I7030" s="28" t="n">
        <v>2030</v>
      </c>
      <c r="J7030" s="28" t="n">
        <v>2031</v>
      </c>
      <c r="K7030" s="28" t="n">
        <v>2032</v>
      </c>
    </row>
    <row r="7031" customFormat="false" ht="17.15" hidden="false" customHeight="false" outlineLevel="0" collapsed="false">
      <c r="A7031" s="1" t="s">
        <v>809</v>
      </c>
      <c r="B7031" s="0" t="s">
        <v>399</v>
      </c>
      <c r="F7031" s="29" t="n">
        <f aca="false">pace</f>
        <v>2527.2</v>
      </c>
      <c r="G7031" s="29" t="n">
        <f aca="false">pace</f>
        <v>2527.2</v>
      </c>
      <c r="H7031" s="29" t="n">
        <f aca="false">pace</f>
        <v>2527.2</v>
      </c>
      <c r="I7031" s="29" t="n">
        <f aca="false">pace+(g_tv*Sens!H7032-pace)*MIN(1,(Sens!I7030-pace_y0)/(pace_y1-pace_y0))</f>
        <v>1793.116</v>
      </c>
      <c r="J7031" s="29" t="n">
        <f aca="false">pace+(g_tv*Sens!I7032-pace)*MIN(1,(Sens!J7030-pace_y0)/(pace_y1-pace_y0))</f>
        <v>1094.89432</v>
      </c>
      <c r="K7031" s="29" t="n">
        <f aca="false">pace+(g_tv*Sens!J7032-pace)*MIN(1,(Sens!K7030-pace_y0)/(pace_y1-pace_y0))</f>
        <v>411.5883096</v>
      </c>
      <c r="L7031" s="11" t="s">
        <v>810</v>
      </c>
    </row>
    <row r="7032" customFormat="false" ht="17.15" hidden="false" customHeight="false" outlineLevel="0" collapsed="false">
      <c r="A7032" s="1" t="s">
        <v>811</v>
      </c>
      <c r="B7032" s="0" t="s">
        <v>399</v>
      </c>
      <c r="C7032" s="29" t="n">
        <f aca="false">mw_ext_24</f>
        <v>640</v>
      </c>
      <c r="D7032" s="29" t="n">
        <f aca="false">mw_ext_25</f>
        <v>1630</v>
      </c>
      <c r="E7032" s="29" t="n">
        <f aca="false">mw_ext_26</f>
        <v>3250</v>
      </c>
      <c r="F7032" s="29" t="n">
        <f aca="false">Sens!E7032+Sens!F7031</f>
        <v>5777.2</v>
      </c>
      <c r="G7032" s="29" t="n">
        <f aca="false">Sens!F7032+Sens!G7031</f>
        <v>8304.4</v>
      </c>
      <c r="H7032" s="29" t="n">
        <f aca="false">Sens!G7032+Sens!H7031</f>
        <v>10831.6</v>
      </c>
      <c r="I7032" s="29" t="n">
        <f aca="false">Sens!H7032+Sens!I7031</f>
        <v>12624.716</v>
      </c>
      <c r="J7032" s="29" t="n">
        <f aca="false">Sens!I7032+Sens!J7031</f>
        <v>13719.61032</v>
      </c>
      <c r="K7032" s="29" t="n">
        <f aca="false">Sens!J7032+Sens!K7031</f>
        <v>14131.1986296</v>
      </c>
      <c r="L7032" s="1" t="s">
        <v>812</v>
      </c>
    </row>
    <row r="7033" customFormat="false" ht="17.15" hidden="false" customHeight="false" outlineLevel="0" collapsed="false">
      <c r="A7033" s="1" t="s">
        <v>813</v>
      </c>
      <c r="B7033" s="0" t="s">
        <v>399</v>
      </c>
      <c r="C7033" s="29" t="n">
        <f aca="false">rent_ext_24</f>
        <v>150</v>
      </c>
      <c r="D7033" s="29" t="n">
        <f aca="false">rent_ext_25</f>
        <v>400</v>
      </c>
      <c r="E7033" s="29" t="n">
        <f aca="false">rent_ext_26</f>
        <v>550</v>
      </c>
      <c r="F7033" s="29" t="n">
        <f aca="false">rent_ext_f</f>
        <v>756</v>
      </c>
      <c r="G7033" s="29" t="n">
        <f aca="false">rent_ext_f</f>
        <v>756</v>
      </c>
      <c r="H7033" s="29" t="n">
        <f aca="false">rent_ext_f</f>
        <v>756</v>
      </c>
      <c r="I7033" s="29" t="n">
        <f aca="false">rent_ext_f</f>
        <v>756</v>
      </c>
      <c r="J7033" s="29" t="n">
        <f aca="false">rent_ext_f</f>
        <v>756</v>
      </c>
      <c r="K7033" s="29" t="n">
        <f aca="false">rent_ext_f</f>
        <v>756</v>
      </c>
      <c r="L7033" s="1" t="s">
        <v>814</v>
      </c>
    </row>
    <row r="7034" customFormat="false" ht="17.15" hidden="false" customHeight="false" outlineLevel="0" collapsed="false">
      <c r="A7034" s="1" t="s">
        <v>815</v>
      </c>
      <c r="B7034" s="0" t="s">
        <v>399</v>
      </c>
      <c r="C7034" s="29" t="n">
        <f aca="false">Sens!C7032-Sens!C7033</f>
        <v>490</v>
      </c>
      <c r="D7034" s="29" t="n">
        <f aca="false">Sens!D7032-Sens!D7033</f>
        <v>1230</v>
      </c>
      <c r="E7034" s="29" t="n">
        <f aca="false">Sens!E7032-Sens!E7033</f>
        <v>2700</v>
      </c>
      <c r="F7034" s="29" t="n">
        <f aca="false">Sens!F7032-Sens!F7033</f>
        <v>5021.2</v>
      </c>
      <c r="G7034" s="29" t="n">
        <f aca="false">Sens!G7032-Sens!G7033</f>
        <v>7548.4</v>
      </c>
      <c r="H7034" s="29" t="n">
        <f aca="false">Sens!H7032-Sens!H7033</f>
        <v>10075.6</v>
      </c>
      <c r="I7034" s="29" t="n">
        <f aca="false">Sens!I7032-Sens!I7033</f>
        <v>11868.716</v>
      </c>
      <c r="J7034" s="29" t="n">
        <f aca="false">Sens!J7032-Sens!J7033</f>
        <v>12963.61032</v>
      </c>
      <c r="K7034" s="29" t="n">
        <f aca="false">Sens!K7032-Sens!K7033</f>
        <v>13375.1986296</v>
      </c>
    </row>
    <row r="7035" customFormat="false" ht="17.15" hidden="false" customHeight="false" outlineLevel="0" collapsed="false">
      <c r="A7035" s="1" t="s">
        <v>816</v>
      </c>
      <c r="B7035" s="0" t="s">
        <v>399</v>
      </c>
      <c r="C7035" s="29" t="n">
        <f aca="false">Sens!C7034/ext_sh</f>
        <v>816.666666666667</v>
      </c>
      <c r="D7035" s="29" t="n">
        <f aca="false">Sens!D7034/ext_sh</f>
        <v>2050</v>
      </c>
      <c r="E7035" s="29" t="n">
        <f aca="false">Sens!E7034/ext_sh</f>
        <v>4500</v>
      </c>
      <c r="F7035" s="29" t="n">
        <f aca="false">Sens!F7034/ext_sh</f>
        <v>8368.66666666667</v>
      </c>
      <c r="G7035" s="29" t="n">
        <f aca="false">Sens!G7034/ext_sh</f>
        <v>12580.6666666667</v>
      </c>
      <c r="H7035" s="29" t="n">
        <f aca="false">Sens!H7034/ext_sh</f>
        <v>16792.6666666667</v>
      </c>
      <c r="I7035" s="29" t="n">
        <f aca="false">Sens!I7034/ext_sh</f>
        <v>19781.1933333333</v>
      </c>
      <c r="J7035" s="29" t="n">
        <f aca="false">Sens!J7034/ext_sh</f>
        <v>21606.0172</v>
      </c>
      <c r="K7035" s="29" t="n">
        <f aca="false">Sens!K7034/ext_sh</f>
        <v>22291.997716</v>
      </c>
      <c r="L7035" s="1" t="s">
        <v>817</v>
      </c>
    </row>
    <row r="7036" customFormat="false" ht="17.15" hidden="false" customHeight="false" outlineLevel="0" collapsed="false">
      <c r="A7036" s="1" t="s">
        <v>818</v>
      </c>
      <c r="B7036" s="0" t="s">
        <v>399</v>
      </c>
      <c r="C7036" s="29" t="n">
        <f aca="false">Sens!C7035-Sens!C7034</f>
        <v>326.666666666667</v>
      </c>
      <c r="D7036" s="29" t="n">
        <f aca="false">Sens!D7035-Sens!D7034</f>
        <v>820</v>
      </c>
      <c r="E7036" s="29" t="n">
        <f aca="false">Sens!E7035-Sens!E7034</f>
        <v>1800</v>
      </c>
      <c r="F7036" s="29" t="n">
        <f aca="false">Sens!F7035-Sens!F7034</f>
        <v>3347.46666666667</v>
      </c>
      <c r="G7036" s="29" t="n">
        <f aca="false">Sens!G7035-Sens!G7034</f>
        <v>5032.26666666667</v>
      </c>
      <c r="H7036" s="29" t="n">
        <f aca="false">Sens!H7035-Sens!H7034</f>
        <v>6717.06666666667</v>
      </c>
      <c r="I7036" s="29" t="n">
        <f aca="false">Sens!I7035-Sens!I7034</f>
        <v>7912.47733333333</v>
      </c>
      <c r="J7036" s="29" t="n">
        <f aca="false">Sens!J7035-Sens!J7034</f>
        <v>8642.40688</v>
      </c>
      <c r="K7036" s="29" t="n">
        <f aca="false">Sens!K7035-Sens!K7034</f>
        <v>8916.7990864</v>
      </c>
    </row>
    <row r="7037" customFormat="false" ht="17.15" hidden="false" customHeight="false" outlineLevel="0" collapsed="false">
      <c r="A7037" s="1" t="s">
        <v>819</v>
      </c>
      <c r="B7037" s="0" t="s">
        <v>399</v>
      </c>
      <c r="C7037" s="29" t="n">
        <f aca="false">Sens!C7035</f>
        <v>816.666666666667</v>
      </c>
      <c r="D7037" s="29" t="n">
        <f aca="false">Sens!D7035-Sens!C7035</f>
        <v>1233.33333333333</v>
      </c>
      <c r="E7037" s="29" t="n">
        <f aca="false">Sens!E7035-Sens!D7035</f>
        <v>2450</v>
      </c>
      <c r="F7037" s="29" t="n">
        <f aca="false">Sens!F7035-Sens!E7035</f>
        <v>3868.66666666667</v>
      </c>
      <c r="G7037" s="29" t="n">
        <f aca="false">Sens!G7035-Sens!F7035</f>
        <v>4212</v>
      </c>
      <c r="H7037" s="29" t="n">
        <f aca="false">Sens!H7035-Sens!G7035</f>
        <v>4212</v>
      </c>
      <c r="I7037" s="29" t="n">
        <f aca="false">Sens!I7035-Sens!H7035</f>
        <v>2988.52666666667</v>
      </c>
      <c r="J7037" s="29" t="n">
        <f aca="false">Sens!J7035-Sens!I7035</f>
        <v>1824.82386666667</v>
      </c>
      <c r="K7037" s="29" t="n">
        <f aca="false">Sens!K7035-Sens!J7035</f>
        <v>685.980516</v>
      </c>
    </row>
    <row r="7038" customFormat="false" ht="17.15" hidden="false" customHeight="false" outlineLevel="0" collapsed="false">
      <c r="A7038" s="1" t="s">
        <v>820</v>
      </c>
      <c r="B7038" s="0" t="s">
        <v>399</v>
      </c>
      <c r="D7038" s="29" t="n">
        <f aca="false">Sens!D7032-Sens!C7032</f>
        <v>990</v>
      </c>
      <c r="E7038" s="29" t="n">
        <f aca="false">Sens!E7032-Sens!D7032</f>
        <v>1620</v>
      </c>
      <c r="F7038" s="29" t="n">
        <f aca="false">Sens!F7032-Sens!E7032</f>
        <v>2527.2</v>
      </c>
      <c r="G7038" s="29" t="n">
        <f aca="false">Sens!G7032-Sens!F7032</f>
        <v>2527.2</v>
      </c>
      <c r="H7038" s="29" t="n">
        <f aca="false">Sens!H7032-Sens!G7032</f>
        <v>2527.2</v>
      </c>
      <c r="I7038" s="29" t="n">
        <f aca="false">Sens!I7032-Sens!H7032</f>
        <v>1793.116</v>
      </c>
      <c r="J7038" s="29" t="n">
        <f aca="false">Sens!J7032-Sens!I7032</f>
        <v>1094.89432</v>
      </c>
      <c r="K7038" s="29" t="n">
        <f aca="false">Sens!K7032-Sens!J7032</f>
        <v>411.5883096</v>
      </c>
    </row>
    <row r="7039" customFormat="false" ht="17.15" hidden="false" customHeight="false" outlineLevel="0" collapsed="false">
      <c r="A7039" s="1" t="s">
        <v>821</v>
      </c>
      <c r="B7039" s="0" t="s">
        <v>399</v>
      </c>
      <c r="F7039" s="29" t="n">
        <f aca="false">Sens!F7056*ext_sh</f>
        <v>0</v>
      </c>
      <c r="G7039" s="29" t="n">
        <f aca="false">Sens!G7056*ext_sh</f>
        <v>0</v>
      </c>
      <c r="H7039" s="29" t="n">
        <f aca="false">Sens!H7056*ext_sh</f>
        <v>0</v>
      </c>
      <c r="I7039" s="29" t="n">
        <f aca="false">Sens!I7056*ext_sh</f>
        <v>490</v>
      </c>
      <c r="J7039" s="29" t="n">
        <f aca="false">Sens!J7056*ext_sh</f>
        <v>740</v>
      </c>
      <c r="K7039" s="29" t="n">
        <f aca="false">Sens!K7056*ext_sh</f>
        <v>1470</v>
      </c>
      <c r="L7039" s="1" t="s">
        <v>822</v>
      </c>
    </row>
    <row r="7040" customFormat="false" ht="17.15" hidden="false" customHeight="false" outlineLevel="0" collapsed="false">
      <c r="A7040" s="1" t="s">
        <v>823</v>
      </c>
      <c r="B7040" s="0" t="s">
        <v>399</v>
      </c>
      <c r="C7040" s="29" t="n">
        <f aca="false">mix_h*Sens!C7032</f>
        <v>128</v>
      </c>
      <c r="D7040" s="29" t="n">
        <f aca="false">mix_h*Sens!D7032</f>
        <v>326</v>
      </c>
      <c r="E7040" s="29" t="n">
        <f aca="false">mix_h*Sens!E7032</f>
        <v>650</v>
      </c>
      <c r="F7040" s="29" t="n">
        <f aca="false">Sens!E7040-Sens!F7039*mix_h</f>
        <v>650</v>
      </c>
      <c r="G7040" s="29" t="n">
        <f aca="false">Sens!F7040-Sens!G7039*mix_h</f>
        <v>650</v>
      </c>
      <c r="H7040" s="29" t="n">
        <f aca="false">Sens!G7040-Sens!H7039*mix_h</f>
        <v>650</v>
      </c>
      <c r="I7040" s="29" t="n">
        <f aca="false">Sens!H7040-Sens!I7039*mix_h</f>
        <v>552</v>
      </c>
      <c r="J7040" s="29" t="n">
        <f aca="false">Sens!I7040-Sens!J7039*mix_h</f>
        <v>404</v>
      </c>
      <c r="K7040" s="29" t="n">
        <f aca="false">Sens!J7040-Sens!K7039*mix_h</f>
        <v>110</v>
      </c>
    </row>
    <row r="7041" customFormat="false" ht="17.15" hidden="false" customHeight="false" outlineLevel="0" collapsed="false">
      <c r="A7041" s="1" t="s">
        <v>824</v>
      </c>
      <c r="B7041" s="0" t="s">
        <v>399</v>
      </c>
      <c r="C7041" s="29" t="n">
        <f aca="false">mix_g2*Sens!C7032</f>
        <v>288</v>
      </c>
      <c r="D7041" s="29" t="n">
        <f aca="false">mix_g2*Sens!D7032</f>
        <v>733.5</v>
      </c>
      <c r="E7041" s="29" t="n">
        <f aca="false">mix_g2*Sens!E7032</f>
        <v>1462.5</v>
      </c>
      <c r="F7041" s="29" t="n">
        <f aca="false">Sens!E7041-Sens!F7039*mix_g2</f>
        <v>1462.5</v>
      </c>
      <c r="G7041" s="29" t="n">
        <f aca="false">Sens!F7041-Sens!G7039*mix_g2</f>
        <v>1462.5</v>
      </c>
      <c r="H7041" s="29" t="n">
        <f aca="false">Sens!G7041-Sens!H7039*mix_g2</f>
        <v>1462.5</v>
      </c>
      <c r="I7041" s="29" t="n">
        <f aca="false">Sens!H7041-Sens!I7039*mix_g2</f>
        <v>1242</v>
      </c>
      <c r="J7041" s="29" t="n">
        <f aca="false">Sens!I7041-Sens!J7039*mix_g2</f>
        <v>909</v>
      </c>
      <c r="K7041" s="29" t="n">
        <f aca="false">Sens!J7041-Sens!K7039*mix_g2</f>
        <v>247.5</v>
      </c>
    </row>
    <row r="7042" customFormat="false" ht="17.15" hidden="false" customHeight="false" outlineLevel="0" collapsed="false">
      <c r="A7042" s="1" t="s">
        <v>825</v>
      </c>
      <c r="B7042" s="0" t="s">
        <v>399</v>
      </c>
      <c r="C7042" s="29" t="n">
        <f aca="false">mix_g3*Sens!C7032</f>
        <v>224</v>
      </c>
      <c r="D7042" s="29" t="n">
        <f aca="false">mix_g3*Sens!D7032</f>
        <v>570.5</v>
      </c>
      <c r="E7042" s="29" t="n">
        <f aca="false">mix_g3*Sens!E7032</f>
        <v>1137.5</v>
      </c>
      <c r="F7042" s="29" t="n">
        <f aca="false">Sens!E7042+(Sens!F7038+Sens!F7039)*a_g3_27-Sens!F7039*mix_g3</f>
        <v>2906.54</v>
      </c>
      <c r="G7042" s="29" t="n">
        <f aca="false">Sens!F7042+(Sens!G7038+Sens!G7039)*a_g3_28-Sens!G7039*mix_g3</f>
        <v>3664.7</v>
      </c>
      <c r="H7042" s="29" t="n">
        <f aca="false">Sens!G7042+(Sens!H7038+Sens!H7039)*a_g3_29-Sens!H7039*mix_g3</f>
        <v>3917.42</v>
      </c>
      <c r="I7042" s="29" t="n">
        <f aca="false">Sens!H7042+(Sens!I7038+Sens!I7039)*a_g3_29-Sens!I7039*mix_g3</f>
        <v>3974.2316</v>
      </c>
      <c r="J7042" s="29" t="n">
        <f aca="false">Sens!I7042+(Sens!J7038+Sens!J7039)*a_g3_29-Sens!J7039*mix_g3</f>
        <v>3898.721032</v>
      </c>
      <c r="K7042" s="29" t="n">
        <f aca="false">Sens!J7042+(Sens!K7038+Sens!K7039)*a_g3_29-Sens!K7039*mix_g3</f>
        <v>3572.37986296</v>
      </c>
    </row>
    <row r="7043" customFormat="false" ht="17.15" hidden="false" customHeight="false" outlineLevel="0" collapsed="false">
      <c r="A7043" s="1" t="s">
        <v>826</v>
      </c>
      <c r="B7043" s="0" t="s">
        <v>399</v>
      </c>
      <c r="C7043" s="29" t="n">
        <v>0</v>
      </c>
      <c r="D7043" s="29" t="n">
        <v>0</v>
      </c>
      <c r="E7043" s="29" t="n">
        <v>0</v>
      </c>
      <c r="F7043" s="29" t="n">
        <f aca="false">Sens!E7043+(Sens!F7038+Sens!F7039)*(1-a_g3_27)</f>
        <v>758.16</v>
      </c>
      <c r="G7043" s="29" t="n">
        <f aca="false">Sens!F7043+(Sens!G7038+Sens!G7039)*(1-a_g3_28)</f>
        <v>2527.2</v>
      </c>
      <c r="H7043" s="29" t="n">
        <f aca="false">Sens!G7043+(Sens!H7038+Sens!H7039)*(1-a_g3_29)</f>
        <v>4801.68</v>
      </c>
      <c r="I7043" s="29" t="n">
        <f aca="false">Sens!H7043+(Sens!I7038+Sens!I7039)*(1-a_g3_29)</f>
        <v>6856.4844</v>
      </c>
      <c r="J7043" s="29" t="n">
        <f aca="false">Sens!I7043+(Sens!J7038+Sens!J7039)*(1-a_g3_29)</f>
        <v>8507.889288</v>
      </c>
      <c r="K7043" s="29" t="n">
        <f aca="false">Sens!J7043+(Sens!K7038+Sens!K7039)*(1-a_g3_29)</f>
        <v>10201.31876664</v>
      </c>
    </row>
    <row r="7044" customFormat="false" ht="17.15" hidden="false" customHeight="false" outlineLevel="0" collapsed="false">
      <c r="A7044" s="1" t="s">
        <v>827</v>
      </c>
      <c r="B7044" s="0" t="s">
        <v>346</v>
      </c>
      <c r="C7044" s="14" t="n">
        <f aca="false">(Sens!C7040*tk_hold_h100+Sens!C7041*tk_hold_gb200+Sens!C7042*tk_hold_gb300+Sens!C7043*tk_hold_vr200)/Sens!C7032</f>
        <v>9.7235358126469</v>
      </c>
      <c r="D7044" s="14" t="n">
        <f aca="false">(Sens!D7040*tk_hold_h100+Sens!D7041*tk_hold_gb200+Sens!D7042*tk_hold_gb300+Sens!D7043*tk_hold_vr200)/Sens!D7032</f>
        <v>9.7235358126469</v>
      </c>
      <c r="E7044" s="14" t="n">
        <f aca="false">(Sens!E7040*tk_hold_h100+Sens!E7041*tk_hold_gb200+Sens!E7042*tk_hold_gb300+Sens!E7043*tk_hold_vr200)/Sens!E7032</f>
        <v>9.7235358126469</v>
      </c>
      <c r="F7044" s="14" t="n">
        <f aca="false">(Sens!F7040*tk_hold_h100+Sens!F7041*tk_hold_gb200+Sens!F7042*tk_hold_gb300+Sens!F7043*tk_hold_vr200)/Sens!F7032</f>
        <v>10.4079573161931</v>
      </c>
      <c r="G7044" s="14" t="n">
        <f aca="false">(Sens!G7040*tk_hold_h100+Sens!G7041*tk_hold_gb200+Sens!G7042*tk_hold_gb300+Sens!G7043*tk_hold_vr200)/Sens!G7032</f>
        <v>10.8388131109316</v>
      </c>
      <c r="H7044" s="14" t="n">
        <f aca="false">(Sens!H7040*tk_hold_h100+Sens!H7041*tk_hold_gb200+Sens!H7042*tk_hold_gb300+Sens!H7043*tk_hold_vr200)/Sens!H7032</f>
        <v>11.1311018388216</v>
      </c>
      <c r="I7044" s="14" t="n">
        <f aca="false">(Sens!I7040*tk_hold_h100+Sens!I7041*tk_hold_gb200+Sens!I7042*tk_hold_gb300+Sens!I7043*tk_hold_vr200)/Sens!I7032</f>
        <v>11.3594282560989</v>
      </c>
      <c r="J7044" s="14" t="n">
        <f aca="false">(Sens!J7040*tk_hold_h100+Sens!J7041*tk_hold_gb200+Sens!J7042*tk_hold_gb300+Sens!J7043*tk_hold_vr200)/Sens!J7032</f>
        <v>11.5455817917599</v>
      </c>
      <c r="K7044" s="14" t="n">
        <f aca="false">(Sens!K7040*tk_hold_h100+Sens!K7041*tk_hold_gb200+Sens!K7042*tk_hold_gb300+Sens!K7043*tk_hold_vr200)/Sens!K7032</f>
        <v>11.8078187977246</v>
      </c>
    </row>
    <row r="7045" customFormat="false" ht="17.15" hidden="false" customHeight="false" outlineLevel="0" collapsed="false">
      <c r="A7045" s="0" t="s">
        <v>828</v>
      </c>
      <c r="B7045" s="0" t="s">
        <v>185</v>
      </c>
      <c r="C7045" s="14" t="n">
        <f aca="false">k_B</f>
        <v>1.17213932619116</v>
      </c>
      <c r="D7045" s="14" t="n">
        <f aca="false">k_B</f>
        <v>1.17213932619116</v>
      </c>
      <c r="E7045" s="14" t="n">
        <f aca="false">k_B</f>
        <v>1.17213932619116</v>
      </c>
      <c r="F7045" s="14" t="n">
        <f aca="false">(k_B+((ls_A*k_long+(1-ls_A)*k_spot)-k_B)*MIN(1,(Sens!F7030-base_fy)/k_ramp))</f>
        <v>1.25022828131298</v>
      </c>
      <c r="G7045" s="14" t="n">
        <f aca="false">(k_B+((ls_A*k_long+(1-ls_A)*k_spot)-k_B)*MIN(1,(Sens!G7030-base_fy)/k_ramp))</f>
        <v>1.3283172364348</v>
      </c>
      <c r="H7045" s="14" t="n">
        <f aca="false">(k_B+((ls_A*k_long+(1-ls_A)*k_spot)-k_B)*MIN(1,(Sens!H7030-base_fy)/k_ramp))</f>
        <v>1.40640619155662</v>
      </c>
      <c r="I7045" s="14" t="n">
        <f aca="false">(k_B+((ls_A*k_long+(1-ls_A)*k_spot)-k_B)*MIN(1,(Sens!I7030-base_fy)/k_ramp))</f>
        <v>1.40640619155662</v>
      </c>
      <c r="J7045" s="14" t="n">
        <f aca="false">(k_B+((ls_A*k_long+(1-ls_A)*k_spot)-k_B)*MIN(1,(Sens!J7030-base_fy)/k_ramp))</f>
        <v>1.40640619155662</v>
      </c>
      <c r="K7045" s="14" t="n">
        <f aca="false">(k_B+((ls_A*k_long+(1-ls_A)*k_spot)-k_B)*MIN(1,(Sens!K7030-base_fy)/k_ramp))</f>
        <v>1.40640619155662</v>
      </c>
      <c r="L7045" s="1" t="s">
        <v>829</v>
      </c>
    </row>
    <row r="7046" customFormat="false" ht="17.15" hidden="false" customHeight="false" outlineLevel="0" collapsed="false">
      <c r="A7046" s="1" t="s">
        <v>830</v>
      </c>
      <c r="B7046" s="0" t="s">
        <v>346</v>
      </c>
      <c r="C7046" s="14" t="n">
        <f aca="false">Sens!C7044*Sens!C7045*chip_f</f>
        <v>11.3973387156315</v>
      </c>
      <c r="D7046" s="14" t="n">
        <f aca="false">Sens!D7044*Sens!D7045*chip_f</f>
        <v>11.3973387156315</v>
      </c>
      <c r="E7046" s="14" t="n">
        <f aca="false">Sens!E7044*Sens!E7045*chip_f</f>
        <v>11.3973387156315</v>
      </c>
      <c r="F7046" s="14" t="n">
        <f aca="false">Sens!F7044*Sens!F7045*chip_f</f>
        <v>13.0123225874029</v>
      </c>
      <c r="G7046" s="14" t="n">
        <f aca="false">Sens!G7044*Sens!G7045*chip_f</f>
        <v>14.3973822777458</v>
      </c>
      <c r="H7046" s="14" t="n">
        <f aca="false">Sens!H7044*Sens!H7045*chip_f</f>
        <v>15.6548505449659</v>
      </c>
      <c r="I7046" s="14" t="n">
        <f aca="false">Sens!I7044*Sens!I7045*chip_f</f>
        <v>15.9759702319207</v>
      </c>
      <c r="J7046" s="14" t="n">
        <f aca="false">Sens!J7044*Sens!J7045*chip_f</f>
        <v>16.2377777170545</v>
      </c>
      <c r="K7046" s="14" t="n">
        <f aca="false">Sens!K7044*Sens!K7045*chip_f</f>
        <v>16.6065894658985</v>
      </c>
      <c r="L7046" s="1" t="s">
        <v>831</v>
      </c>
    </row>
    <row r="7047" customFormat="false" ht="17.15" hidden="false" customHeight="false" outlineLevel="0" collapsed="false">
      <c r="A7047" s="0" t="s">
        <v>832</v>
      </c>
      <c r="B7047" s="0" t="s">
        <v>98</v>
      </c>
      <c r="D7047" s="6" t="n">
        <f aca="false">(Sens!C7032+Sens!D7032)/2*Sens!D7046/1000</f>
        <v>12.9359794422418</v>
      </c>
      <c r="E7047" s="6" t="n">
        <f aca="false">(Sens!D7032+Sens!E7032)/2*Sens!E7046/1000</f>
        <v>27.8095064661409</v>
      </c>
      <c r="F7047" s="6" t="n">
        <f aca="false">(Sens!E7032+Sens!F7032)/2*Sens!F7046/1000</f>
        <v>58.7324192305018</v>
      </c>
      <c r="G7047" s="6" t="n">
        <f aca="false">(Sens!F7032+Sens!G7032)/2*Sens!G7046/1000</f>
        <v>101.369089141153</v>
      </c>
      <c r="H7047" s="6" t="n">
        <f aca="false">(Sens!G7032+Sens!H7032)/2*Sens!H7046/1000</f>
        <v>149.785610014234</v>
      </c>
      <c r="I7047" s="6" t="n">
        <f aca="false">(Sens!H7032+Sens!I7032)/2*Sens!I7046/1000</f>
        <v>187.368703083263</v>
      </c>
      <c r="J7047" s="6" t="n">
        <f aca="false">(Sens!I7032+Sens!J7032)/2*Sens!J7046/1000</f>
        <v>213.886657444854</v>
      </c>
      <c r="K7047" s="6" t="n">
        <f aca="false">(Sens!J7032+Sens!K7032)/2*Sens!K7046/1000</f>
        <v>231.253475259589</v>
      </c>
      <c r="L7047" s="11" t="s">
        <v>833</v>
      </c>
    </row>
    <row r="7048" customFormat="false" ht="17.15" hidden="false" customHeight="false" outlineLevel="0" collapsed="false">
      <c r="A7048" s="1" t="s">
        <v>834</v>
      </c>
      <c r="B7048" s="0" t="s">
        <v>346</v>
      </c>
      <c r="C7048" s="14" t="n">
        <f aca="false">(Sens!C7040*tk_opex_h100+Sens!C7041*tk_opex_gb200+Sens!C7042*tk_opex_gb300+Sens!C7043*tk_opex_vr200)/Sens!C7032</f>
        <v>1.88636041306092</v>
      </c>
      <c r="D7048" s="14" t="n">
        <f aca="false">(Sens!D7040*tk_opex_h100+Sens!D7041*tk_opex_gb200+Sens!D7042*tk_opex_gb300+Sens!D7043*tk_opex_vr200)/Sens!D7032</f>
        <v>1.88636041306092</v>
      </c>
      <c r="E7048" s="14" t="n">
        <f aca="false">(Sens!E7040*tk_opex_h100+Sens!E7041*tk_opex_gb200+Sens!E7042*tk_opex_gb300+Sens!E7043*tk_opex_vr200)/Sens!E7032</f>
        <v>1.88636041306092</v>
      </c>
      <c r="F7048" s="14" t="n">
        <f aca="false">(Sens!F7040*tk_opex_h100+Sens!F7041*tk_opex_gb200+Sens!F7042*tk_opex_gb300+Sens!F7043*tk_opex_vr200)/Sens!F7032</f>
        <v>1.9430236476499</v>
      </c>
      <c r="G7048" s="14" t="n">
        <f aca="false">(Sens!G7040*tk_opex_h100+Sens!G7041*tk_opex_gb200+Sens!G7042*tk_opex_gb300+Sens!G7043*tk_opex_vr200)/Sens!G7032</f>
        <v>1.9786941852423</v>
      </c>
      <c r="H7048" s="14" t="n">
        <f aca="false">(Sens!H7040*tk_opex_h100+Sens!H7041*tk_opex_gb200+Sens!H7042*tk_opex_gb300+Sens!H7043*tk_opex_vr200)/Sens!H7032</f>
        <v>2.00289275976156</v>
      </c>
      <c r="I7048" s="14" t="n">
        <f aca="false">(Sens!I7040*tk_opex_h100+Sens!I7041*tk_opex_gb200+Sens!I7042*tk_opex_gb300+Sens!I7043*tk_opex_vr200)/Sens!I7032</f>
        <v>2.02179589661219</v>
      </c>
      <c r="J7048" s="14" t="n">
        <f aca="false">(Sens!J7040*tk_opex_h100+Sens!J7041*tk_opex_gb200+Sens!J7042*tk_opex_gb300+Sens!J7043*tk_opex_vr200)/Sens!J7032</f>
        <v>2.03720754193029</v>
      </c>
      <c r="K7048" s="14" t="n">
        <f aca="false">(Sens!K7040*tk_opex_h100+Sens!K7041*tk_opex_gb200+Sens!K7042*tk_opex_gb300+Sens!K7043*tk_opex_vr200)/Sens!K7032</f>
        <v>2.0589181353437</v>
      </c>
    </row>
    <row r="7049" customFormat="false" ht="17.15" hidden="false" customHeight="false" outlineLevel="0" collapsed="false">
      <c r="A7049" s="0" t="s">
        <v>835</v>
      </c>
      <c r="B7049" s="0" t="s">
        <v>98</v>
      </c>
      <c r="D7049" s="6" t="n">
        <f aca="false">(Sens!C7035+Sens!D7035)/2*Sens!D7048/1000</f>
        <v>2.70378325872065</v>
      </c>
      <c r="E7049" s="6" t="n">
        <f aca="false">(Sens!D7035+Sens!E7035)/2*Sens!E7048/1000</f>
        <v>6.17783035277451</v>
      </c>
      <c r="F7049" s="6" t="n">
        <f aca="false">(Sens!E7035+Sens!F7035)/2*Sens!F7048/1000</f>
        <v>12.5020618235287</v>
      </c>
      <c r="G7049" s="6" t="n">
        <f aca="false">(Sens!F7035+Sens!G7035)/2*Sens!G7048/1000</f>
        <v>20.7261620256847</v>
      </c>
      <c r="H7049" s="6" t="n">
        <f aca="false">(Sens!G7035+Sens!H7035)/2*Sens!H7048/1000</f>
        <v>29.4158183316982</v>
      </c>
      <c r="I7049" s="6" t="n">
        <f aca="false">(Sens!H7035+Sens!I7035)/2*Sens!I7048/1000</f>
        <v>36.9724400356344</v>
      </c>
      <c r="J7049" s="6" t="n">
        <f aca="false">(Sens!I7035+Sens!J7035)/2*Sens!J7048/1000</f>
        <v>42.1571687189816</v>
      </c>
      <c r="K7049" s="6" t="n">
        <f aca="false">(Sens!J7035+Sens!K7035)/2*Sens!K7048/1000</f>
        <v>45.1912095080704</v>
      </c>
    </row>
    <row r="7050" customFormat="false" ht="17.15" hidden="false" customHeight="false" outlineLevel="0" collapsed="false">
      <c r="A7050" s="0" t="s">
        <v>836</v>
      </c>
      <c r="B7050" s="0" t="s">
        <v>98</v>
      </c>
      <c r="D7050" s="6" t="n">
        <f aca="false">(Sens!C7033+Sens!D7033)/2*rent_mw/1000</f>
        <v>2.44475</v>
      </c>
      <c r="E7050" s="6" t="n">
        <f aca="false">(Sens!D7033+Sens!E7033)/2*rent_mw/1000</f>
        <v>4.22275</v>
      </c>
      <c r="F7050" s="6" t="n">
        <f aca="false">(Sens!E7033+Sens!F7033)/2*rent_mw/1000</f>
        <v>5.80517</v>
      </c>
      <c r="G7050" s="6" t="n">
        <f aca="false">(Sens!F7033+Sens!G7033)/2*rent_mw/1000</f>
        <v>6.72084</v>
      </c>
      <c r="H7050" s="6" t="n">
        <f aca="false">(Sens!G7033+Sens!H7033)/2*rent_mw/1000</f>
        <v>6.72084</v>
      </c>
      <c r="I7050" s="6" t="n">
        <f aca="false">(Sens!H7033+Sens!I7033)/2*rent_mw/1000</f>
        <v>6.72084</v>
      </c>
      <c r="J7050" s="6" t="n">
        <f aca="false">(Sens!I7033+Sens!J7033)/2*rent_mw/1000</f>
        <v>6.72084</v>
      </c>
      <c r="K7050" s="6" t="n">
        <f aca="false">(Sens!J7033+Sens!K7033)/2*rent_mw/1000</f>
        <v>6.72084</v>
      </c>
    </row>
    <row r="7051" customFormat="false" ht="17.15" hidden="false" customHeight="false" outlineLevel="0" collapsed="false">
      <c r="A7051" s="0" t="s">
        <v>837</v>
      </c>
      <c r="B7051" s="0" t="s">
        <v>98</v>
      </c>
      <c r="D7051" s="6" t="n">
        <f aca="false">(Sens!C7035+Sens!D7035)/2*(1-self_build)*fac_rent/1000</f>
        <v>0.853242375631075</v>
      </c>
      <c r="E7051" s="6" t="n">
        <f aca="false">(Sens!D7035+Sens!E7035)/2*(1-self_build)*fac_rent/1000</f>
        <v>1.94955961408728</v>
      </c>
      <c r="F7051" s="6" t="n">
        <f aca="false">(Sens!E7035+Sens!F7035)/2*(1-self_build)*fac_rent/1000</f>
        <v>3.83026455274573</v>
      </c>
      <c r="G7051" s="6" t="n">
        <f aca="false">(Sens!F7035+Sens!G7035)/2*(1-self_build)*fac_rent/1000</f>
        <v>6.23541590972812</v>
      </c>
      <c r="H7051" s="6" t="n">
        <f aca="false">(Sens!G7035+Sens!H7035)/2*(1-self_build)*fac_rent/1000</f>
        <v>8.74275792332679</v>
      </c>
      <c r="I7051" s="6" t="n">
        <f aca="false">(Sens!H7035+Sens!I7035)/2*(1-self_build)*fac_rent/1000</f>
        <v>10.8859420438599</v>
      </c>
      <c r="J7051" s="6" t="n">
        <f aca="false">(Sens!I7035+Sens!J7035)/2*(1-self_build)*fac_rent/1000</f>
        <v>12.3186006405366</v>
      </c>
      <c r="K7051" s="6" t="n">
        <f aca="false">(Sens!J7035+Sens!K7035)/2*(1-self_build)*fac_rent/1000</f>
        <v>13.0659232089824</v>
      </c>
      <c r="L7051" s="11" t="s">
        <v>838</v>
      </c>
    </row>
    <row r="7052" customFormat="false" ht="17.15" hidden="false" customHeight="false" outlineLevel="0" collapsed="false">
      <c r="A7052" s="1" t="s">
        <v>839</v>
      </c>
      <c r="B7052" s="0" t="s">
        <v>129</v>
      </c>
      <c r="D7052" s="7" t="n">
        <f aca="false">(Sens!C7034+Sens!D7034)/(Sens!C7035+Sens!D7035)</f>
        <v>0.6</v>
      </c>
      <c r="E7052" s="7" t="n">
        <f aca="false">(Sens!D7034+Sens!E7034)/(Sens!D7035+Sens!E7035)</f>
        <v>0.6</v>
      </c>
      <c r="F7052" s="7" t="n">
        <f aca="false">(Sens!E7034+Sens!F7034)/(Sens!E7035+Sens!F7035)</f>
        <v>0.6</v>
      </c>
      <c r="G7052" s="7" t="n">
        <f aca="false">(Sens!F7034+Sens!G7034)/(Sens!F7035+Sens!G7035)</f>
        <v>0.6</v>
      </c>
      <c r="H7052" s="7" t="n">
        <f aca="false">(Sens!G7034+Sens!H7034)/(Sens!G7035+Sens!H7035)</f>
        <v>0.6</v>
      </c>
      <c r="I7052" s="7" t="n">
        <f aca="false">(Sens!H7034+Sens!I7034)/(Sens!H7035+Sens!I7035)</f>
        <v>0.6</v>
      </c>
      <c r="J7052" s="7" t="n">
        <f aca="false">(Sens!I7034+Sens!J7034)/(Sens!I7035+Sens!J7035)</f>
        <v>0.6</v>
      </c>
      <c r="K7052" s="7" t="n">
        <f aca="false">(Sens!J7034+Sens!K7034)/(Sens!J7035+Sens!K7035)</f>
        <v>0.6</v>
      </c>
    </row>
    <row r="7053" customFormat="false" ht="17.15" hidden="false" customHeight="false" outlineLevel="0" collapsed="false">
      <c r="A7053" s="0" t="s">
        <v>840</v>
      </c>
      <c r="B7053" s="0" t="s">
        <v>98</v>
      </c>
      <c r="D7053" s="6" t="n">
        <f aca="false">Sens!D7047-Sens!D7052*(Sens!D7049+Sens!D7051)-Sens!D7050</f>
        <v>8.35701406163072</v>
      </c>
      <c r="E7053" s="6" t="n">
        <f aca="false">Sens!E7047-Sens!E7052*(Sens!E7049+Sens!E7051)-Sens!E7050</f>
        <v>18.7103224860238</v>
      </c>
      <c r="F7053" s="6" t="n">
        <f aca="false">Sens!F7047-Sens!F7052*(Sens!F7049+Sens!F7051)-Sens!F7050</f>
        <v>43.1278534047371</v>
      </c>
      <c r="G7053" s="6" t="n">
        <f aca="false">Sens!G7047-Sens!G7052*(Sens!G7049+Sens!G7051)-Sens!G7050</f>
        <v>78.4713023799053</v>
      </c>
      <c r="H7053" s="6" t="n">
        <f aca="false">Sens!H7047-Sens!H7052*(Sens!H7049+Sens!H7051)-Sens!H7050</f>
        <v>120.169624261219</v>
      </c>
      <c r="I7053" s="6" t="n">
        <f aca="false">Sens!I7047-Sens!I7052*(Sens!I7049+Sens!I7051)-Sens!I7050</f>
        <v>151.932833835566</v>
      </c>
      <c r="J7053" s="6" t="n">
        <f aca="false">Sens!J7047-Sens!J7052*(Sens!J7049+Sens!J7051)-Sens!J7050</f>
        <v>174.480355829143</v>
      </c>
      <c r="K7053" s="6" t="n">
        <f aca="false">Sens!K7047-Sens!K7052*(Sens!K7049+Sens!K7051)-Sens!K7050</f>
        <v>189.578355629358</v>
      </c>
    </row>
    <row r="7054" customFormat="false" ht="17.15" hidden="false" customHeight="false" outlineLevel="0" collapsed="false">
      <c r="A7054" s="1" t="s">
        <v>841</v>
      </c>
      <c r="B7054" s="0" t="s">
        <v>98</v>
      </c>
      <c r="D7054" s="6" t="n">
        <f aca="false">(1-Sens!D7052)*(Sens!D7049+Sens!D7051)</f>
        <v>1.42281025374069</v>
      </c>
      <c r="E7054" s="6" t="n">
        <f aca="false">(1-Sens!E7052)*(Sens!E7049+Sens!E7051)</f>
        <v>3.25095598674472</v>
      </c>
      <c r="F7054" s="6" t="n">
        <f aca="false">(1-Sens!F7052)*(Sens!F7049+Sens!F7051)</f>
        <v>6.53293055050977</v>
      </c>
      <c r="G7054" s="6" t="n">
        <f aca="false">(1-Sens!G7052)*(Sens!G7049+Sens!G7051)</f>
        <v>10.7846311741651</v>
      </c>
      <c r="H7054" s="6" t="n">
        <f aca="false">(1-Sens!H7052)*(Sens!H7049+Sens!H7051)</f>
        <v>15.26343050201</v>
      </c>
      <c r="I7054" s="6" t="n">
        <f aca="false">(1-Sens!I7052)*(Sens!I7049+Sens!I7051)</f>
        <v>19.1433528317977</v>
      </c>
      <c r="J7054" s="6" t="n">
        <f aca="false">(1-Sens!J7052)*(Sens!J7049+Sens!J7051)</f>
        <v>21.7903077438073</v>
      </c>
      <c r="K7054" s="6" t="n">
        <f aca="false">(1-Sens!K7052)*(Sens!K7049+Sens!K7051)</f>
        <v>23.3028530868211</v>
      </c>
    </row>
    <row r="7055" customFormat="false" ht="17.15" hidden="false" customHeight="false" outlineLevel="0" collapsed="false">
      <c r="A7055" s="1" t="s">
        <v>842</v>
      </c>
      <c r="B7055" s="0" t="s">
        <v>357</v>
      </c>
      <c r="C7055" s="8" t="n">
        <f aca="false">cxit_open</f>
        <v>27.5918995</v>
      </c>
      <c r="D7055" s="8" t="n">
        <f aca="false">cxit_open</f>
        <v>27.5918995</v>
      </c>
      <c r="E7055" s="8" t="n">
        <f aca="false">cxit_open</f>
        <v>27.5918995</v>
      </c>
      <c r="F7055" s="8" t="n">
        <f aca="false">(a_g3_27*tk_cxit_gb300+(1-a_g3_27)*tk_cxit_vr200)</f>
        <v>33.8419624</v>
      </c>
      <c r="G7055" s="8" t="n">
        <f aca="false">(a_g3_28*tk_cxit_gb300+(1-a_g3_28)*tk_cxit_vr200)</f>
        <v>35.9816136</v>
      </c>
      <c r="H7055" s="8" t="n">
        <f aca="false">(a_g3_29*tk_cxit_gb300+(1-a_g3_29)*tk_cxit_vr200)</f>
        <v>37.0514392</v>
      </c>
      <c r="I7055" s="8" t="n">
        <f aca="false">(a_g3_29*tk_cxit_gb300+(1-a_g3_29)*tk_cxit_vr200)</f>
        <v>37.0514392</v>
      </c>
      <c r="J7055" s="8" t="n">
        <f aca="false">(a_g3_29*tk_cxit_gb300+(1-a_g3_29)*tk_cxit_vr200)</f>
        <v>37.0514392</v>
      </c>
      <c r="K7055" s="8" t="n">
        <f aca="false">(a_g3_29*tk_cxit_gb300+(1-a_g3_29)*tk_cxit_vr200)</f>
        <v>37.0514392</v>
      </c>
      <c r="L7055" s="11" t="s">
        <v>843</v>
      </c>
    </row>
    <row r="7056" customFormat="false" ht="17.15" hidden="false" customHeight="false" outlineLevel="0" collapsed="false">
      <c r="A7056" s="0" t="s">
        <v>844</v>
      </c>
      <c r="B7056" s="0" t="s">
        <v>399</v>
      </c>
      <c r="F7056" s="29" t="n">
        <f aca="false">Sens!C7037*IF(Sens!F7030-Sens!C7030=life_it,1,0)+Sens!D7037*IF(Sens!F7030-Sens!D7030=life_it,1,0)+Sens!E7037*IF(Sens!F7030-Sens!E7030=life_it,1,0)</f>
        <v>0</v>
      </c>
      <c r="G7056" s="29" t="n">
        <f aca="false">Sens!C7037*IF(Sens!G7030-Sens!C7030=life_it,1,0)+Sens!D7037*IF(Sens!G7030-Sens!D7030=life_it,1,0)+Sens!E7037*IF(Sens!G7030-Sens!E7030=life_it,1,0)+Sens!F7037*IF(Sens!G7030-Sens!F7030=life_it,1,0)</f>
        <v>0</v>
      </c>
      <c r="H7056" s="29" t="n">
        <f aca="false">Sens!C7037*IF(Sens!H7030-Sens!C7030=life_it,1,0)+Sens!D7037*IF(Sens!H7030-Sens!D7030=life_it,1,0)+Sens!E7037*IF(Sens!H7030-Sens!E7030=life_it,1,0)+Sens!F7037*IF(Sens!H7030-Sens!F7030=life_it,1,0)+Sens!G7037*IF(Sens!H7030-Sens!G7030=life_it,1,0)</f>
        <v>0</v>
      </c>
      <c r="I7056" s="29" t="n">
        <f aca="false">Sens!C7037*IF(Sens!I7030-Sens!C7030=life_it,1,0)+Sens!D7037*IF(Sens!I7030-Sens!D7030=life_it,1,0)+Sens!E7037*IF(Sens!I7030-Sens!E7030=life_it,1,0)+Sens!F7037*IF(Sens!I7030-Sens!F7030=life_it,1,0)+Sens!G7037*IF(Sens!I7030-Sens!G7030=life_it,1,0)+Sens!H7037*IF(Sens!I7030-Sens!H7030=life_it,1,0)</f>
        <v>816.666666666667</v>
      </c>
      <c r="J7056" s="29" t="n">
        <f aca="false">Sens!C7037*IF(Sens!J7030-Sens!C7030=life_it,1,0)+Sens!D7037*IF(Sens!J7030-Sens!D7030=life_it,1,0)+Sens!E7037*IF(Sens!J7030-Sens!E7030=life_it,1,0)+Sens!F7037*IF(Sens!J7030-Sens!F7030=life_it,1,0)+Sens!G7037*IF(Sens!J7030-Sens!G7030=life_it,1,0)+Sens!H7037*IF(Sens!J7030-Sens!H7030=life_it,1,0)+Sens!I7037*IF(Sens!J7030-Sens!I7030=life_it,1,0)</f>
        <v>1233.33333333333</v>
      </c>
      <c r="K7056" s="29" t="n">
        <f aca="false">Sens!C7037*IF(Sens!K7030-Sens!C7030=life_it,1,0)+Sens!D7037*IF(Sens!K7030-Sens!D7030=life_it,1,0)+Sens!E7037*IF(Sens!K7030-Sens!E7030=life_it,1,0)+Sens!F7037*IF(Sens!K7030-Sens!F7030=life_it,1,0)+Sens!G7037*IF(Sens!K7030-Sens!G7030=life_it,1,0)+Sens!H7037*IF(Sens!K7030-Sens!H7030=life_it,1,0)+Sens!I7037*IF(Sens!K7030-Sens!I7030=life_it,1,0)+Sens!J7037*IF(Sens!K7030-Sens!J7030=life_it,1,0)</f>
        <v>2450</v>
      </c>
      <c r="L7056" s="1" t="s">
        <v>845</v>
      </c>
    </row>
    <row r="7057" customFormat="false" ht="17.15" hidden="false" customHeight="false" outlineLevel="0" collapsed="false">
      <c r="A7057" s="0" t="s">
        <v>846</v>
      </c>
      <c r="B7057" s="0" t="s">
        <v>98</v>
      </c>
      <c r="C7057" s="6" t="n">
        <f aca="false">Sens!C7037*Sens!C7055/1000</f>
        <v>22.5333845916667</v>
      </c>
      <c r="D7057" s="6" t="n">
        <f aca="false">Sens!D7037*Sens!D7055/1000</f>
        <v>34.0300093833333</v>
      </c>
      <c r="E7057" s="6" t="n">
        <f aca="false">Sens!E7037*Sens!E7055/1000</f>
        <v>67.600153775</v>
      </c>
      <c r="F7057" s="6" t="n">
        <f aca="false">(Sens!F7037+Sens!F7056)*Sens!F7055/1000</f>
        <v>130.923271871467</v>
      </c>
      <c r="G7057" s="6" t="n">
        <f aca="false">(Sens!G7037+Sens!G7056)*Sens!G7055/1000</f>
        <v>151.5545564832</v>
      </c>
      <c r="H7057" s="6" t="n">
        <f aca="false">(Sens!H7037+Sens!H7056)*Sens!H7055/1000</f>
        <v>156.0606619104</v>
      </c>
      <c r="I7057" s="6" t="n">
        <f aca="false">(Sens!I7037+Sens!I7056)*Sens!I7055/1000</f>
        <v>140.987889434245</v>
      </c>
      <c r="J7057" s="6" t="n">
        <f aca="false">(Sens!J7037+Sens!J7056)*Sens!J7055/1000</f>
        <v>113.309125559842</v>
      </c>
      <c r="K7057" s="6" t="n">
        <f aca="false">(Sens!K7037+Sens!K7056)*Sens!K7055/1000</f>
        <v>116.192591420959</v>
      </c>
    </row>
    <row r="7058" customFormat="false" ht="17.15" hidden="false" customHeight="false" outlineLevel="0" collapsed="false">
      <c r="A7058" s="0" t="s">
        <v>847</v>
      </c>
      <c r="B7058" s="0" t="s">
        <v>98</v>
      </c>
      <c r="C7058" s="6" t="n">
        <f aca="false">Sens!C7037*self_build*tk_cxfac/1000</f>
        <v>6.2083</v>
      </c>
      <c r="D7058" s="6" t="n">
        <f aca="false">Sens!D7037*self_build*tk_cxfac/1000</f>
        <v>9.3758</v>
      </c>
      <c r="E7058" s="6" t="n">
        <f aca="false">Sens!E7037*self_build*tk_cxfac/1000</f>
        <v>18.6249</v>
      </c>
      <c r="F7058" s="6" t="n">
        <f aca="false">Sens!F7037*self_build*tk_cxfac/1000</f>
        <v>29.409604</v>
      </c>
      <c r="G7058" s="6" t="n">
        <f aca="false">Sens!G7037*self_build*tk_cxfac/1000</f>
        <v>32.019624</v>
      </c>
      <c r="H7058" s="6" t="n">
        <f aca="false">Sens!H7037*self_build*tk_cxfac/1000</f>
        <v>32.019624</v>
      </c>
      <c r="I7058" s="6" t="n">
        <f aca="false">Sens!I7037*self_build*tk_cxfac/1000</f>
        <v>22.71877972</v>
      </c>
      <c r="J7058" s="6" t="n">
        <f aca="false">Sens!J7037*self_build*tk_cxfac/1000</f>
        <v>13.8723110344</v>
      </c>
      <c r="K7058" s="6" t="n">
        <f aca="false">Sens!K7037*self_build*tk_cxfac/1000</f>
        <v>5.214823882632</v>
      </c>
    </row>
    <row r="7059" customFormat="false" ht="17.15" hidden="false" customHeight="false" outlineLevel="0" collapsed="false">
      <c r="A7059" s="0" t="s">
        <v>848</v>
      </c>
      <c r="B7059" s="0" t="s">
        <v>98</v>
      </c>
      <c r="F7059" s="6" t="n">
        <f aca="false">MAX(0,capex_floor27-Sens!F7057-Sens!F7058-Sens!F7153)</f>
        <v>7.86777689897088</v>
      </c>
    </row>
    <row r="7060" customFormat="false" ht="17.15" hidden="false" customHeight="false" outlineLevel="0" collapsed="false">
      <c r="A7060" s="0" t="s">
        <v>849</v>
      </c>
      <c r="B7060" s="0" t="s">
        <v>98</v>
      </c>
      <c r="C7060" s="6" t="n">
        <f aca="false">Sens!C7057</f>
        <v>22.5333845916667</v>
      </c>
      <c r="D7060" s="6" t="n">
        <f aca="false">Sens!D7057</f>
        <v>34.0300093833333</v>
      </c>
      <c r="E7060" s="6" t="n">
        <f aca="false">Sens!E7057</f>
        <v>67.600153775</v>
      </c>
      <c r="F7060" s="6" t="n">
        <f aca="false">Sens!F7057</f>
        <v>130.923271871467</v>
      </c>
      <c r="G7060" s="6" t="n">
        <f aca="false">Sens!G7057</f>
        <v>151.5545564832</v>
      </c>
      <c r="H7060" s="6" t="n">
        <f aca="false">Sens!H7057</f>
        <v>156.0606619104</v>
      </c>
      <c r="I7060" s="6" t="n">
        <f aca="false">Sens!I7057</f>
        <v>140.987889434245</v>
      </c>
      <c r="J7060" s="6" t="n">
        <f aca="false">Sens!J7057</f>
        <v>113.309125559842</v>
      </c>
      <c r="K7060" s="6" t="n">
        <f aca="false">Sens!K7057</f>
        <v>116.192591420959</v>
      </c>
    </row>
    <row r="7061" customFormat="false" ht="17.15" hidden="false" customHeight="false" outlineLevel="0" collapsed="false">
      <c r="A7061" s="0" t="s">
        <v>850</v>
      </c>
      <c r="B7061" s="0" t="s">
        <v>98</v>
      </c>
      <c r="C7061" s="6" t="n">
        <f aca="false">Sens!C7060+Sens!C7058</f>
        <v>28.7416845916667</v>
      </c>
      <c r="D7061" s="6" t="n">
        <f aca="false">Sens!D7060+Sens!D7058</f>
        <v>43.4058093833333</v>
      </c>
      <c r="E7061" s="6" t="n">
        <f aca="false">Sens!E7060+Sens!E7058</f>
        <v>86.225053775</v>
      </c>
      <c r="F7061" s="6" t="n">
        <f aca="false">Sens!F7060+Sens!F7058</f>
        <v>160.332875871467</v>
      </c>
      <c r="G7061" s="6" t="n">
        <f aca="false">Sens!G7060+Sens!G7058</f>
        <v>183.5741804832</v>
      </c>
      <c r="H7061" s="6" t="n">
        <f aca="false">Sens!H7060+Sens!H7058</f>
        <v>188.0802859104</v>
      </c>
      <c r="I7061" s="6" t="n">
        <f aca="false">Sens!I7060+Sens!I7058</f>
        <v>163.706669154245</v>
      </c>
      <c r="J7061" s="6" t="n">
        <f aca="false">Sens!J7060+Sens!J7058</f>
        <v>127.181436594242</v>
      </c>
      <c r="K7061" s="6" t="n">
        <f aca="false">Sens!K7060+Sens!K7058</f>
        <v>121.407415303591</v>
      </c>
      <c r="L7061" s="11" t="s">
        <v>851</v>
      </c>
    </row>
    <row r="7062" customFormat="false" ht="17.15" hidden="false" customHeight="false" outlineLevel="0" collapsed="false">
      <c r="A7062" s="0" t="s">
        <v>852</v>
      </c>
      <c r="B7062" s="0" t="s">
        <v>98</v>
      </c>
      <c r="E7062" s="6" t="n">
        <f aca="false">(Sens!C7060*IF(2&lt;life_it,1,IF(2=life_it,0.5,0))+Sens!D7060*IF(1&lt;life_it,1,IF(1=life_it,0.5,0))+Sens!E7060*0.5)/life_it</f>
        <v>15.0605784770833</v>
      </c>
      <c r="F7062" s="6" t="n">
        <f aca="false">(Sens!C7060*IF(3&lt;life_it,1,IF(3=life_it,0.5,0))+Sens!D7060*IF(2&lt;life_it,1,IF(2=life_it,0.5,0))+Sens!E7060*IF(1&lt;life_it,1,IF(1=life_it,0.5,0))+Sens!F7060*0.5)/life_it</f>
        <v>31.6041972809556</v>
      </c>
      <c r="G7062" s="6" t="n">
        <f aca="false">(Sens!C7060*IF(4&lt;life_it,1,IF(4=life_it,0.5,0))+Sens!D7060*IF(3&lt;life_it,1,IF(3=life_it,0.5,0))+Sens!E7060*IF(2&lt;life_it,1,IF(2=life_it,0.5,0))+Sens!F7060*IF(1&lt;life_it,1,IF(1=life_it,0.5,0))+Sens!G7060*0.5)/life_it</f>
        <v>55.1440163105111</v>
      </c>
      <c r="H7062" s="6" t="n">
        <f aca="false">(Sens!C7060*IF(5&lt;life_it,1,IF(5=life_it,0.5,0))+Sens!D7060*IF(4&lt;life_it,1,IF(4=life_it,0.5,0))+Sens!E7060*IF(3&lt;life_it,1,IF(3=life_it,0.5,0))+Sens!F7060*IF(2&lt;life_it,1,IF(2=life_it,0.5,0))+Sens!G7060*IF(1&lt;life_it,1,IF(1=life_it,0.5,0))+Sens!H7060*0.5)/life_it</f>
        <v>80.7786178433111</v>
      </c>
      <c r="I7062" s="6" t="n">
        <f aca="false">(Sens!C7060*IF(6&lt;life_it,1,IF(6=life_it,0.5,0))+Sens!D7060*IF(5&lt;life_it,1,IF(5=life_it,0.5,0))+Sens!E7060*IF(4&lt;life_it,1,IF(4=life_it,0.5,0))+Sens!F7060*IF(3&lt;life_it,1,IF(3=life_it,0.5,0))+Sens!G7060*IF(2&lt;life_it,1,IF(2=life_it,0.5,0))+Sens!H7060*IF(1&lt;life_it,1,IF(1=life_it,0.5,0))+Sens!I7060*0.5)/life_it</f>
        <v>103.654881739393</v>
      </c>
      <c r="J7062" s="6" t="n">
        <f aca="false">(Sens!C7060*IF(7&lt;life_it,1,IF(7=life_it,0.5,0))+Sens!D7060*IF(6&lt;life_it,1,IF(6=life_it,0.5,0))+Sens!E7060*IF(5&lt;life_it,1,IF(5=life_it,0.5,0))+Sens!F7060*IF(4&lt;life_it,1,IF(4=life_it,0.5,0))+Sens!G7060*IF(3&lt;life_it,1,IF(3=life_it,0.5,0))+Sens!H7060*IF(2&lt;life_it,1,IF(2=life_it,0.5,0))+Sens!I7060*IF(1&lt;life_it,1,IF(1=life_it,0.5,0))+Sens!J7060*0.5)/life_it</f>
        <v>120.132683490983</v>
      </c>
      <c r="K7062" s="6" t="n">
        <f aca="false">(Sens!C7060*IF(8&lt;life_it,1,IF(8=life_it,0.5,0))+Sens!D7060*IF(7&lt;life_it,1,IF(7=life_it,0.5,0))+Sens!E7060*IF(6&lt;life_it,1,IF(6=life_it,0.5,0))+Sens!F7060*IF(5&lt;life_it,1,IF(5=life_it,0.5,0))+Sens!G7060*IF(4&lt;life_it,1,IF(4=life_it,0.5,0))+Sens!H7060*IF(3&lt;life_it,1,IF(3=life_it,0.5,0))+Sens!I7060*IF(2&lt;life_it,1,IF(2=life_it,0.5,0))+Sens!J7060*IF(1&lt;life_it,1,IF(1=life_it,0.5,0))+Sens!K7060*0.5)/life_it</f>
        <v>130.788646309522</v>
      </c>
    </row>
    <row r="7063" customFormat="false" ht="17.15" hidden="false" customHeight="false" outlineLevel="0" collapsed="false">
      <c r="A7063" s="0" t="s">
        <v>853</v>
      </c>
      <c r="B7063" s="0" t="s">
        <v>98</v>
      </c>
      <c r="E7063" s="6" t="n">
        <f aca="false">(Sens!C7058*IF(2&lt;life_fac,1,IF(2=life_fac,0.5,0))+Sens!D7058*IF(1&lt;life_fac,1,IF(1=life_fac,0.5,0))+Sens!E7058*0.5)/life_fac</f>
        <v>1.2448275</v>
      </c>
      <c r="F7063" s="6" t="n">
        <f aca="false">(Sens!C7058*IF(3&lt;life_fac,1,IF(3=life_fac,0.5,0))+Sens!D7058*IF(2&lt;life_fac,1,IF(2=life_fac,0.5,0))+Sens!E7058*IF(1&lt;life_fac,1,IF(1=life_fac,0.5,0))+Sens!F7058*0.5)/life_fac</f>
        <v>2.4456901</v>
      </c>
      <c r="G7063" s="6" t="n">
        <f aca="false">(Sens!C7058*IF(4&lt;life_fac,1,IF(4=life_fac,0.5,0))+Sens!D7058*IF(3&lt;life_fac,1,IF(3=life_fac,0.5,0))+Sens!E7058*IF(2&lt;life_fac,1,IF(2=life_fac,0.5,0))+Sens!F7058*IF(1&lt;life_fac,1,IF(1=life_fac,0.5,0))+Sens!G7058*0.5)/life_fac</f>
        <v>3.9814208</v>
      </c>
      <c r="H7063" s="6" t="n">
        <f aca="false">(Sens!C7058*IF(5&lt;life_fac,1,IF(5=life_fac,0.5,0))+Sens!D7058*IF(4&lt;life_fac,1,IF(4=life_fac,0.5,0))+Sens!E7058*IF(3&lt;life_fac,1,IF(3=life_fac,0.5,0))+Sens!F7058*IF(2&lt;life_fac,1,IF(2=life_fac,0.5,0))+Sens!G7058*IF(1&lt;life_fac,1,IF(1=life_fac,0.5,0))+Sens!H7058*0.5)/life_fac</f>
        <v>5.582402</v>
      </c>
      <c r="I7063" s="6" t="n">
        <f aca="false">(Sens!C7058*IF(6&lt;life_fac,1,IF(6=life_fac,0.5,0))+Sens!D7058*IF(5&lt;life_fac,1,IF(5=life_fac,0.5,0))+Sens!E7058*IF(4&lt;life_fac,1,IF(4=life_fac,0.5,0))+Sens!F7058*IF(3&lt;life_fac,1,IF(3=life_fac,0.5,0))+Sens!G7058*IF(2&lt;life_fac,1,IF(2=life_fac,0.5,0))+Sens!H7058*IF(1&lt;life_fac,1,IF(1=life_fac,0.5,0))+Sens!I7058*0.5)/life_fac</f>
        <v>6.950862093</v>
      </c>
      <c r="J7063" s="6" t="n">
        <f aca="false">(Sens!C7058*IF(7&lt;life_fac,1,IF(7=life_fac,0.5,0))+Sens!D7058*IF(6&lt;life_fac,1,IF(6=life_fac,0.5,0))+Sens!E7058*IF(5&lt;life_fac,1,IF(5=life_fac,0.5,0))+Sens!F7058*IF(4&lt;life_fac,1,IF(4=life_fac,0.5,0))+Sens!G7058*IF(3&lt;life_fac,1,IF(3=life_fac,0.5,0))+Sens!H7058*IF(2&lt;life_fac,1,IF(2=life_fac,0.5,0))+Sens!I7058*IF(1&lt;life_fac,1,IF(1=life_fac,0.5,0))+Sens!J7058*0.5)/life_fac</f>
        <v>7.86563936186</v>
      </c>
      <c r="K7063" s="6" t="n">
        <f aca="false">(Sens!C7058*IF(8&lt;life_fac,1,IF(8=life_fac,0.5,0))+Sens!D7058*IF(7&lt;life_fac,1,IF(7=life_fac,0.5,0))+Sens!E7058*IF(6&lt;life_fac,1,IF(6=life_fac,0.5,0))+Sens!F7058*IF(5&lt;life_fac,1,IF(5=life_fac,0.5,0))+Sens!G7058*IF(4&lt;life_fac,1,IF(4=life_fac,0.5,0))+Sens!H7058*IF(3&lt;life_fac,1,IF(3=life_fac,0.5,0))+Sens!I7058*IF(2&lt;life_fac,1,IF(2=life_fac,0.5,0))+Sens!J7058*IF(1&lt;life_fac,1,IF(1=life_fac,0.5,0))+Sens!K7058*0.5)/life_fac</f>
        <v>8.3428177347858</v>
      </c>
    </row>
    <row r="7064" customFormat="false" ht="17.15" hidden="false" customHeight="false" outlineLevel="0" collapsed="false">
      <c r="A7064" s="0" t="s">
        <v>854</v>
      </c>
      <c r="B7064" s="0" t="s">
        <v>98</v>
      </c>
      <c r="E7064" s="6" t="n">
        <f aca="false">Sens!E7062+Sens!E7063</f>
        <v>16.3054059770833</v>
      </c>
      <c r="F7064" s="6" t="n">
        <f aca="false">Sens!F7062+Sens!F7063</f>
        <v>34.0498873809555</v>
      </c>
      <c r="G7064" s="6" t="n">
        <f aca="false">Sens!G7062+Sens!G7063</f>
        <v>59.1254371105111</v>
      </c>
      <c r="H7064" s="6" t="n">
        <f aca="false">Sens!H7062+Sens!H7063</f>
        <v>86.3610198433111</v>
      </c>
      <c r="I7064" s="6" t="n">
        <f aca="false">Sens!I7062+Sens!I7063</f>
        <v>110.605743832393</v>
      </c>
      <c r="J7064" s="6" t="n">
        <f aca="false">Sens!J7062+Sens!J7063</f>
        <v>127.998322852843</v>
      </c>
      <c r="K7064" s="6" t="n">
        <f aca="false">Sens!K7062+Sens!K7063</f>
        <v>139.131464044308</v>
      </c>
    </row>
    <row r="7065" customFormat="false" ht="17.15" hidden="false" customHeight="false" outlineLevel="0" collapsed="false">
      <c r="A7065" s="0" t="s">
        <v>855</v>
      </c>
      <c r="B7065" s="0" t="s">
        <v>98</v>
      </c>
      <c r="E7065" s="6" t="n">
        <f aca="false">Sens!E7053-Sens!E7052*Sens!E7064</f>
        <v>8.92707889977379</v>
      </c>
      <c r="F7065" s="6" t="n">
        <f aca="false">Sens!F7053-Sens!F7052*Sens!F7064</f>
        <v>22.6979209761638</v>
      </c>
      <c r="G7065" s="6" t="n">
        <f aca="false">Sens!G7053-Sens!G7052*Sens!G7064</f>
        <v>42.9960401135986</v>
      </c>
      <c r="H7065" s="6" t="n">
        <f aca="false">Sens!H7053-Sens!H7052*Sens!H7064</f>
        <v>68.3530123552322</v>
      </c>
      <c r="I7065" s="6" t="n">
        <f aca="false">Sens!I7053-Sens!I7052*Sens!I7064</f>
        <v>85.5693875361303</v>
      </c>
      <c r="J7065" s="6" t="n">
        <f aca="false">Sens!J7053-Sens!J7052*Sens!J7064</f>
        <v>97.6813621174372</v>
      </c>
      <c r="K7065" s="6" t="n">
        <f aca="false">Sens!K7053-Sens!K7052*Sens!K7064</f>
        <v>106.099477202773</v>
      </c>
    </row>
    <row r="7066" customFormat="false" ht="17.15" hidden="false" customHeight="false" outlineLevel="0" collapsed="false">
      <c r="A7066" s="3" t="s">
        <v>1443</v>
      </c>
    </row>
    <row r="7067" customFormat="false" ht="15" hidden="false" customHeight="false" outlineLevel="0" collapsed="false">
      <c r="A7067" s="4" t="s">
        <v>43</v>
      </c>
      <c r="B7067" s="4" t="s">
        <v>65</v>
      </c>
      <c r="C7067" s="20" t="s">
        <v>799</v>
      </c>
      <c r="D7067" s="20" t="s">
        <v>800</v>
      </c>
      <c r="E7067" s="20" t="s">
        <v>801</v>
      </c>
      <c r="F7067" s="20" t="s">
        <v>802</v>
      </c>
      <c r="G7067" s="20" t="s">
        <v>803</v>
      </c>
      <c r="H7067" s="20" t="s">
        <v>804</v>
      </c>
      <c r="I7067" s="20" t="s">
        <v>805</v>
      </c>
      <c r="J7067" s="20" t="s">
        <v>806</v>
      </c>
      <c r="K7067" s="20" t="s">
        <v>807</v>
      </c>
      <c r="L7067" s="4" t="s">
        <v>47</v>
      </c>
    </row>
    <row r="7068" customFormat="false" ht="17.15" hidden="false" customHeight="false" outlineLevel="0" collapsed="false">
      <c r="A7068" s="0" t="s">
        <v>874</v>
      </c>
      <c r="B7068" s="0" t="s">
        <v>98</v>
      </c>
      <c r="D7068" s="6" t="n">
        <f aca="false">Sens!D7047</f>
        <v>12.9359794422418</v>
      </c>
      <c r="E7068" s="6" t="n">
        <f aca="false">Sens!E7047</f>
        <v>27.8095064661409</v>
      </c>
      <c r="F7068" s="6" t="n">
        <f aca="false">Sens!F7047</f>
        <v>58.7324192305018</v>
      </c>
      <c r="G7068" s="6" t="n">
        <f aca="false">Sens!G7047</f>
        <v>101.369089141153</v>
      </c>
      <c r="H7068" s="6" t="n">
        <f aca="false">Sens!H7047</f>
        <v>149.785610014234</v>
      </c>
      <c r="I7068" s="6" t="n">
        <f aca="false">Sens!I7047</f>
        <v>187.368703083263</v>
      </c>
      <c r="J7068" s="6" t="n">
        <f aca="false">Sens!J7047</f>
        <v>213.886657444854</v>
      </c>
      <c r="K7068" s="6" t="n">
        <f aca="false">Sens!K7047</f>
        <v>231.253475259589</v>
      </c>
    </row>
    <row r="7069" customFormat="false" ht="17.15" hidden="false" customHeight="false" outlineLevel="0" collapsed="false">
      <c r="A7069" s="0" t="s">
        <v>875</v>
      </c>
      <c r="B7069" s="0" t="s">
        <v>98</v>
      </c>
      <c r="D7069" s="6" t="n">
        <f aca="false">Q!L6-Sens!D7068</f>
        <v>59.6740205577583</v>
      </c>
      <c r="E7069" s="6" t="n">
        <f aca="false">Q!M6-Sens!E7068</f>
        <v>74.1284935338591</v>
      </c>
      <c r="F7069" s="6" t="n">
        <f aca="false">Sens!E7069*(1+Sens!F7070)</f>
        <v>90.0799497373663</v>
      </c>
      <c r="G7069" s="6" t="n">
        <f aca="false">Sens!F7069*(1+Sens!G7070)</f>
        <v>107.02842520331</v>
      </c>
      <c r="H7069" s="6" t="n">
        <f aca="false">Sens!G7069*(1+Sens!H7070)</f>
        <v>124.271982585636</v>
      </c>
      <c r="I7069" s="6" t="n">
        <f aca="false">Sens!H7069*(1+Sens!I7070)</f>
        <v>140.933702381855</v>
      </c>
      <c r="J7069" s="6" t="n">
        <f aca="false">Sens!I7069*(1+Sens!J7070)</f>
        <v>156.018867314332</v>
      </c>
      <c r="K7069" s="6" t="n">
        <f aca="false">Sens!J7069*(1+Sens!K7070)</f>
        <v>168.500376699478</v>
      </c>
    </row>
    <row r="7070" customFormat="false" ht="15" hidden="false" customHeight="false" outlineLevel="0" collapsed="false">
      <c r="A7070" s="1" t="s">
        <v>876</v>
      </c>
      <c r="B7070" s="0" t="s">
        <v>129</v>
      </c>
      <c r="E7070" s="7" t="n">
        <f aca="false">Sens!E7069/Sens!D7069-1</f>
        <v>0.242223883039864</v>
      </c>
      <c r="F7070" s="7" t="n">
        <f aca="false">Sens!$E$7070+(glt_azo-Sens!$E$7070)*MIN(1,(Sens!F7030-base_fy)/n_conv)</f>
        <v>0.215186569199887</v>
      </c>
      <c r="G7070" s="7" t="n">
        <f aca="false">Sens!$E$7070+(glt_azo-Sens!$E$7070)*MIN(1,(Sens!G7030-base_fy)/n_conv)</f>
        <v>0.18814925535991</v>
      </c>
      <c r="H7070" s="7" t="n">
        <f aca="false">Sens!$E$7070+(glt_azo-Sens!$E$7070)*MIN(1,(Sens!H7030-base_fy)/n_conv)</f>
        <v>0.161111941519932</v>
      </c>
      <c r="I7070" s="7" t="n">
        <f aca="false">Sens!$E$7070+(glt_azo-Sens!$E$7070)*MIN(1,(Sens!I7030-base_fy)/n_conv)</f>
        <v>0.134074627679955</v>
      </c>
      <c r="J7070" s="7" t="n">
        <f aca="false">Sens!$E$7070+(glt_azo-Sens!$E$7070)*MIN(1,(Sens!J7030-base_fy)/n_conv)</f>
        <v>0.107037313839977</v>
      </c>
      <c r="K7070" s="7" t="n">
        <f aca="false">Sens!$E$7070+(glt_azo-Sens!$E$7070)*MIN(1,(Sens!K7030-base_fy)/n_conv)</f>
        <v>0.08</v>
      </c>
    </row>
    <row r="7071" customFormat="false" ht="15" hidden="false" customHeight="false" outlineLevel="0" collapsed="false">
      <c r="A7071" s="0" t="s">
        <v>877</v>
      </c>
      <c r="B7071" s="0" t="s">
        <v>98</v>
      </c>
      <c r="D7071" s="6" t="n">
        <f aca="false">Sens!D7068+Sens!D7069</f>
        <v>72.61</v>
      </c>
      <c r="E7071" s="6" t="n">
        <f aca="false">Sens!E7068+Sens!E7069</f>
        <v>101.938</v>
      </c>
      <c r="F7071" s="6" t="n">
        <f aca="false">Sens!F7068+Sens!F7069</f>
        <v>148.812368967868</v>
      </c>
      <c r="G7071" s="6" t="n">
        <f aca="false">Sens!G7068+Sens!G7069</f>
        <v>208.397514344463</v>
      </c>
      <c r="H7071" s="6" t="n">
        <f aca="false">Sens!H7068+Sens!H7069</f>
        <v>274.05759259987</v>
      </c>
      <c r="I7071" s="6" t="n">
        <f aca="false">Sens!I7068+Sens!I7069</f>
        <v>328.302405465117</v>
      </c>
      <c r="J7071" s="6" t="n">
        <f aca="false">Sens!J7068+Sens!J7069</f>
        <v>369.905524759186</v>
      </c>
      <c r="K7071" s="6" t="n">
        <f aca="false">Sens!K7068+Sens!K7069</f>
        <v>399.753851959067</v>
      </c>
    </row>
    <row r="7072" customFormat="false" ht="17.15" hidden="false" customHeight="false" outlineLevel="0" collapsed="false">
      <c r="A7072" s="0" t="s">
        <v>878</v>
      </c>
      <c r="B7072" s="1" t="s">
        <v>528</v>
      </c>
      <c r="C7072" s="29" t="n">
        <f aca="false">cop_s24</f>
        <v>1</v>
      </c>
      <c r="D7072" s="29" t="n">
        <f aca="false">cop_s25</f>
        <v>5</v>
      </c>
      <c r="E7072" s="29" t="n">
        <f aca="false">cop_s26</f>
        <v>30</v>
      </c>
      <c r="F7072" s="29" t="n">
        <f aca="false">Sens!E7072+cop_add_A</f>
        <v>60</v>
      </c>
      <c r="G7072" s="29" t="n">
        <f aca="false">Sens!F7072+cop_add_A</f>
        <v>90</v>
      </c>
      <c r="H7072" s="29" t="n">
        <f aca="false">Sens!G7072+cop_add_A</f>
        <v>120</v>
      </c>
      <c r="I7072" s="29" t="n">
        <f aca="false">Sens!H7072+cop_add_A*cop_tail</f>
        <v>135</v>
      </c>
      <c r="J7072" s="29" t="n">
        <f aca="false">Sens!I7072+cop_add_A*cop_tail</f>
        <v>150</v>
      </c>
      <c r="K7072" s="29" t="n">
        <f aca="false">Sens!J7072+cop_add_A*cop_tail</f>
        <v>165</v>
      </c>
      <c r="L7072" s="11" t="s">
        <v>879</v>
      </c>
    </row>
    <row r="7073" customFormat="false" ht="17.15" hidden="false" customHeight="false" outlineLevel="0" collapsed="false">
      <c r="A7073" s="0" t="s">
        <v>880</v>
      </c>
      <c r="B7073" s="0" t="s">
        <v>98</v>
      </c>
      <c r="D7073" s="6" t="n">
        <f aca="false">(Sens!C7072+Sens!D7072)/2*cop_px*12/1000</f>
        <v>0.9</v>
      </c>
      <c r="E7073" s="6" t="n">
        <f aca="false">(Sens!D7072+Sens!E7072)/2*cop_px*12/1000</f>
        <v>5.25</v>
      </c>
      <c r="F7073" s="6" t="n">
        <f aca="false">(Sens!E7072+Sens!F7072)/2*cop_px_hi*12/1000</f>
        <v>16.2</v>
      </c>
      <c r="G7073" s="6" t="n">
        <f aca="false">(Sens!F7072+Sens!G7072)/2*cop_px_hi*12/1000</f>
        <v>27</v>
      </c>
      <c r="H7073" s="6" t="n">
        <f aca="false">(Sens!G7072+Sens!H7072)/2*cop_px_hi*12/1000</f>
        <v>37.8</v>
      </c>
      <c r="I7073" s="6" t="n">
        <f aca="false">(Sens!H7072+Sens!I7072)/2*cop_px_hi*12/1000</f>
        <v>45.9</v>
      </c>
      <c r="J7073" s="6" t="n">
        <f aca="false">(Sens!I7072+Sens!J7072)/2*cop_px_hi*12/1000</f>
        <v>51.3</v>
      </c>
      <c r="K7073" s="6" t="n">
        <f aca="false">(Sens!J7072+Sens!K7072)/2*cop_px_hi*12/1000</f>
        <v>56.7</v>
      </c>
      <c r="L7073" s="1" t="s">
        <v>881</v>
      </c>
    </row>
    <row r="7074" customFormat="false" ht="17.15" hidden="false" customHeight="false" outlineLevel="0" collapsed="false">
      <c r="A7074" s="0" t="s">
        <v>882</v>
      </c>
      <c r="B7074" s="0" t="s">
        <v>98</v>
      </c>
      <c r="D7074" s="6" t="n">
        <f aca="false">Q!L7-Sens!D7073</f>
        <v>83.705</v>
      </c>
      <c r="E7074" s="6" t="n">
        <f aca="false">Q!M7-Sens!E7073</f>
        <v>95.049</v>
      </c>
      <c r="F7074" s="6" t="n">
        <f aca="false">Sens!E7074*(1+Sens!F7075)</f>
        <v>106.89238776686</v>
      </c>
      <c r="G7074" s="6" t="n">
        <f aca="false">Sens!F7074*(1+Sens!G7075)</f>
        <v>119.044168448684</v>
      </c>
      <c r="H7074" s="6" t="n">
        <f aca="false">Sens!G7074*(1+Sens!H7075)</f>
        <v>131.277359388781</v>
      </c>
      <c r="I7074" s="6" t="n">
        <f aca="false">Sens!H7074*(1+Sens!I7075)</f>
        <v>143.334028071957</v>
      </c>
      <c r="J7074" s="6" t="n">
        <f aca="false">Sens!I7074*(1+Sens!J7075)</f>
        <v>154.932702785465</v>
      </c>
      <c r="K7074" s="6" t="n">
        <f aca="false">Sens!J7074*(1+Sens!K7075)</f>
        <v>165.777991980448</v>
      </c>
    </row>
    <row r="7075" customFormat="false" ht="15" hidden="false" customHeight="false" outlineLevel="0" collapsed="false">
      <c r="A7075" s="1" t="s">
        <v>876</v>
      </c>
      <c r="B7075" s="0" t="s">
        <v>129</v>
      </c>
      <c r="E7075" s="7" t="n">
        <f aca="false">Sens!E7074/Sens!D7074-1</f>
        <v>0.135523564900544</v>
      </c>
      <c r="F7075" s="7" t="n">
        <f aca="false">Sens!$E$7075+(glt_m365b-Sens!$E$7075)*MIN(1,(Sens!F7030-base_fy)/n_conv)</f>
        <v>0.124602970750453</v>
      </c>
      <c r="G7075" s="7" t="n">
        <f aca="false">Sens!$E$7075+(glt_m365b-Sens!$E$7075)*MIN(1,(Sens!G7030-base_fy)/n_conv)</f>
        <v>0.113682376600363</v>
      </c>
      <c r="H7075" s="7" t="n">
        <f aca="false">Sens!$E$7075+(glt_m365b-Sens!$E$7075)*MIN(1,(Sens!H7030-base_fy)/n_conv)</f>
        <v>0.102761782450272</v>
      </c>
      <c r="I7075" s="7" t="n">
        <f aca="false">Sens!$E$7075+(glt_m365b-Sens!$E$7075)*MIN(1,(Sens!I7030-base_fy)/n_conv)</f>
        <v>0.0918411883001813</v>
      </c>
      <c r="J7075" s="7" t="n">
        <f aca="false">Sens!$E$7075+(glt_m365b-Sens!$E$7075)*MIN(1,(Sens!J7030-base_fy)/n_conv)</f>
        <v>0.0809205941500906</v>
      </c>
      <c r="K7075" s="7" t="n">
        <f aca="false">Sens!$E$7075+(glt_m365b-Sens!$E$7075)*MIN(1,(Sens!K7030-base_fy)/n_conv)</f>
        <v>0.07</v>
      </c>
    </row>
    <row r="7076" customFormat="false" ht="15" hidden="false" customHeight="false" outlineLevel="0" collapsed="false">
      <c r="A7076" s="0" t="s">
        <v>883</v>
      </c>
      <c r="B7076" s="0" t="s">
        <v>98</v>
      </c>
      <c r="D7076" s="6" t="n">
        <f aca="false">Sens!D7074+Sens!D7073</f>
        <v>84.605</v>
      </c>
      <c r="E7076" s="6" t="n">
        <f aca="false">Sens!E7074+Sens!E7073</f>
        <v>100.299</v>
      </c>
      <c r="F7076" s="6" t="n">
        <f aca="false">Sens!F7074+Sens!F7073</f>
        <v>123.09238776686</v>
      </c>
      <c r="G7076" s="6" t="n">
        <f aca="false">Sens!G7074+Sens!G7073</f>
        <v>146.044168448684</v>
      </c>
      <c r="H7076" s="6" t="n">
        <f aca="false">Sens!H7074+Sens!H7073</f>
        <v>169.077359388781</v>
      </c>
      <c r="I7076" s="6" t="n">
        <f aca="false">Sens!I7074+Sens!I7073</f>
        <v>189.234028071957</v>
      </c>
      <c r="J7076" s="6" t="n">
        <f aca="false">Sens!J7074+Sens!J7073</f>
        <v>206.232702785465</v>
      </c>
      <c r="K7076" s="6" t="n">
        <f aca="false">Sens!K7074+Sens!K7073</f>
        <v>222.477991980448</v>
      </c>
    </row>
    <row r="7077" customFormat="false" ht="15" hidden="false" customHeight="false" outlineLevel="0" collapsed="false">
      <c r="A7077" s="0" t="s">
        <v>884</v>
      </c>
      <c r="B7077" s="0" t="s">
        <v>98</v>
      </c>
      <c r="D7077" s="6" t="n">
        <f aca="false">Q!L8</f>
        <v>35.391</v>
      </c>
      <c r="E7077" s="6" t="n">
        <f aca="false">Q!M8</f>
        <v>37.285</v>
      </c>
      <c r="F7077" s="6" t="n">
        <f aca="false">Sens!E7077*(1+Sens!F7078)</f>
        <v>39.0720834331704</v>
      </c>
      <c r="G7077" s="6" t="n">
        <f aca="false">Sens!F7077*(1+Sens!G7078)</f>
        <v>40.726562953769</v>
      </c>
      <c r="H7077" s="6" t="n">
        <f aca="false">Sens!G7077*(1+Sens!H7078)</f>
        <v>42.2235987259198</v>
      </c>
      <c r="I7077" s="6" t="n">
        <f aca="false">Sens!H7077*(1+Sens!I7078)</f>
        <v>43.5397988077414</v>
      </c>
      <c r="J7077" s="6" t="n">
        <f aca="false">Sens!I7077*(1+Sens!J7078)</f>
        <v>44.653811225693</v>
      </c>
      <c r="K7077" s="6" t="n">
        <f aca="false">Sens!J7077*(1+Sens!K7078)</f>
        <v>45.5468874502068</v>
      </c>
    </row>
    <row r="7078" customFormat="false" ht="15" hidden="false" customHeight="false" outlineLevel="0" collapsed="false">
      <c r="A7078" s="1" t="s">
        <v>876</v>
      </c>
      <c r="B7078" s="0" t="s">
        <v>129</v>
      </c>
      <c r="E7078" s="7" t="n">
        <f aca="false">Sens!E7077/Sens!D7077-1</f>
        <v>0.0535164307309768</v>
      </c>
      <c r="F7078" s="7" t="n">
        <f aca="false">Sens!$E$7078+(glt_lic-Sens!$E$7078)*MIN(1,(Sens!F7030-base_fy)/n_conv)</f>
        <v>0.0479303589424807</v>
      </c>
      <c r="G7078" s="7" t="n">
        <f aca="false">Sens!$E$7078+(glt_lic-Sens!$E$7078)*MIN(1,(Sens!G7030-base_fy)/n_conv)</f>
        <v>0.0423442871539845</v>
      </c>
      <c r="H7078" s="7" t="n">
        <f aca="false">Sens!$E$7078+(glt_lic-Sens!$E$7078)*MIN(1,(Sens!H7030-base_fy)/n_conv)</f>
        <v>0.0367582153654884</v>
      </c>
      <c r="I7078" s="7" t="n">
        <f aca="false">Sens!$E$7078+(glt_lic-Sens!$E$7078)*MIN(1,(Sens!I7030-base_fy)/n_conv)</f>
        <v>0.0311721435769923</v>
      </c>
      <c r="J7078" s="7" t="n">
        <f aca="false">Sens!$E$7078+(glt_lic-Sens!$E$7078)*MIN(1,(Sens!J7030-base_fy)/n_conv)</f>
        <v>0.0255860717884961</v>
      </c>
      <c r="K7078" s="7" t="n">
        <f aca="false">Sens!$E$7078+(glt_lic-Sens!$E$7078)*MIN(1,(Sens!K7030-base_fy)/n_conv)</f>
        <v>0.02</v>
      </c>
    </row>
    <row r="7079" customFormat="false" ht="15" hidden="false" customHeight="false" outlineLevel="0" collapsed="false">
      <c r="A7079" s="0" t="s">
        <v>885</v>
      </c>
      <c r="B7079" s="0" t="s">
        <v>98</v>
      </c>
      <c r="D7079" s="6" t="n">
        <f aca="false">Q!L9</f>
        <v>18.417</v>
      </c>
      <c r="E7079" s="6" t="n">
        <f aca="false">Q!M9</f>
        <v>20.345</v>
      </c>
      <c r="F7079" s="6" t="n">
        <f aca="false">Sens!E7079*(1+Sens!F7080)</f>
        <v>22.3572203267814</v>
      </c>
      <c r="G7079" s="6" t="n">
        <f aca="false">Sens!F7079*(1+Sens!G7080)</f>
        <v>24.4392124437232</v>
      </c>
      <c r="H7079" s="6" t="n">
        <f aca="false">Sens!G7079*(1+Sens!H7080)</f>
        <v>26.5738052080665</v>
      </c>
      <c r="I7079" s="6" t="n">
        <f aca="false">Sens!H7079*(1+Sens!I7080)</f>
        <v>28.7412169166967</v>
      </c>
      <c r="J7079" s="6" t="n">
        <f aca="false">Sens!I7079*(1+Sens!J7080)</f>
        <v>30.9192545395413</v>
      </c>
      <c r="K7079" s="6" t="n">
        <f aca="false">Sens!J7079*(1+Sens!K7080)</f>
        <v>33.0836023573092</v>
      </c>
    </row>
    <row r="7080" customFormat="false" ht="15" hidden="false" customHeight="false" outlineLevel="0" collapsed="false">
      <c r="A7080" s="1" t="s">
        <v>876</v>
      </c>
      <c r="B7080" s="0" t="s">
        <v>129</v>
      </c>
      <c r="E7080" s="7" t="n">
        <f aca="false">Sens!E7079/Sens!D7079-1</f>
        <v>0.104685888038225</v>
      </c>
      <c r="F7080" s="7" t="n">
        <f aca="false">Sens!$E$7080+(glt_ind-Sens!$E$7080)*MIN(1,(Sens!F7030-base_fy)/n_conv)</f>
        <v>0.0989049066985211</v>
      </c>
      <c r="G7080" s="7" t="n">
        <f aca="false">Sens!$E$7080+(glt_ind-Sens!$E$7080)*MIN(1,(Sens!G7030-base_fy)/n_conv)</f>
        <v>0.0931239253588169</v>
      </c>
      <c r="H7080" s="7" t="n">
        <f aca="false">Sens!$E$7080+(glt_ind-Sens!$E$7080)*MIN(1,(Sens!H7030-base_fy)/n_conv)</f>
        <v>0.0873429440191127</v>
      </c>
      <c r="I7080" s="7" t="n">
        <f aca="false">Sens!$E$7080+(glt_ind-Sens!$E$7080)*MIN(1,(Sens!I7030-base_fy)/n_conv)</f>
        <v>0.0815619626794085</v>
      </c>
      <c r="J7080" s="7" t="n">
        <f aca="false">Sens!$E$7080+(glt_ind-Sens!$E$7080)*MIN(1,(Sens!J7030-base_fy)/n_conv)</f>
        <v>0.0757809813397042</v>
      </c>
      <c r="K7080" s="7" t="n">
        <f aca="false">Sens!$E$7080+(glt_ind-Sens!$E$7080)*MIN(1,(Sens!K7030-base_fy)/n_conv)</f>
        <v>0.07</v>
      </c>
    </row>
    <row r="7081" customFormat="false" ht="15" hidden="false" customHeight="false" outlineLevel="0" collapsed="false">
      <c r="A7081" s="0" t="s">
        <v>886</v>
      </c>
      <c r="B7081" s="0" t="s">
        <v>98</v>
      </c>
      <c r="D7081" s="6" t="n">
        <f aca="false">Q!L10</f>
        <v>7.76</v>
      </c>
      <c r="E7081" s="6" t="n">
        <f aca="false">Q!M10</f>
        <v>8.26</v>
      </c>
      <c r="F7081" s="6" t="n">
        <f aca="false">Sens!E7081*(1+Sens!F7082)</f>
        <v>8.79988041237113</v>
      </c>
      <c r="G7081" s="6" t="n">
        <f aca="false">Sens!F7081*(1+Sens!G7082)</f>
        <v>9.38321269125306</v>
      </c>
      <c r="H7081" s="6" t="n">
        <f aca="false">Sens!G7081*(1+Sens!H7082)</f>
        <v>10.0139193587476</v>
      </c>
      <c r="I7081" s="6" t="n">
        <f aca="false">Sens!H7081*(1+Sens!I7082)</f>
        <v>10.6963111830911</v>
      </c>
      <c r="J7081" s="6" t="n">
        <f aca="false">Sens!I7081*(1+Sens!J7082)</f>
        <v>11.4351285534696</v>
      </c>
      <c r="K7081" s="6" t="n">
        <f aca="false">Sens!J7081*(1+Sens!K7082)</f>
        <v>12.2355875522124</v>
      </c>
    </row>
    <row r="7082" customFormat="false" ht="15" hidden="false" customHeight="false" outlineLevel="0" collapsed="false">
      <c r="A7082" s="1" t="s">
        <v>876</v>
      </c>
      <c r="B7082" s="0" t="s">
        <v>129</v>
      </c>
      <c r="E7082" s="7" t="n">
        <f aca="false">Sens!E7081/Sens!D7081-1</f>
        <v>0.0644329896907216</v>
      </c>
      <c r="F7082" s="7" t="n">
        <f aca="false">Sens!$E$7082+(glt_fro-Sens!$E$7082)*MIN(1,(Sens!F7030-base_fy)/n_conv)</f>
        <v>0.065360824742268</v>
      </c>
      <c r="G7082" s="7" t="n">
        <f aca="false">Sens!$E$7082+(glt_fro-Sens!$E$7082)*MIN(1,(Sens!G7030-base_fy)/n_conv)</f>
        <v>0.0662886597938144</v>
      </c>
      <c r="H7082" s="7" t="n">
        <f aca="false">Sens!$E$7082+(glt_fro-Sens!$E$7082)*MIN(1,(Sens!H7030-base_fy)/n_conv)</f>
        <v>0.0672164948453608</v>
      </c>
      <c r="I7082" s="7" t="n">
        <f aca="false">Sens!$E$7082+(glt_fro-Sens!$E$7082)*MIN(1,(Sens!I7030-base_fy)/n_conv)</f>
        <v>0.0681443298969072</v>
      </c>
      <c r="J7082" s="7" t="n">
        <f aca="false">Sens!$E$7082+(glt_fro-Sens!$E$7082)*MIN(1,(Sens!J7030-base_fy)/n_conv)</f>
        <v>0.0690721649484536</v>
      </c>
      <c r="K7082" s="7" t="n">
        <f aca="false">Sens!$E$7082+(glt_fro-Sens!$E$7082)*MIN(1,(Sens!K7030-base_fy)/n_conv)</f>
        <v>0.07</v>
      </c>
    </row>
    <row r="7083" customFormat="false" ht="15" hidden="false" customHeight="false" outlineLevel="0" collapsed="false">
      <c r="A7083" s="0" t="s">
        <v>715</v>
      </c>
      <c r="B7083" s="0" t="s">
        <v>98</v>
      </c>
      <c r="D7083" s="6" t="n">
        <f aca="false">Sens!D7071+Sens!D7076+Sens!D7077+Sens!D7079+Sens!D7081</f>
        <v>218.783</v>
      </c>
      <c r="E7083" s="6" t="n">
        <f aca="false">Sens!E7071+Sens!E7076+Sens!E7077+Sens!E7079+Sens!E7081</f>
        <v>268.127</v>
      </c>
      <c r="F7083" s="6" t="n">
        <f aca="false">Sens!F7071+Sens!F7076+Sens!F7077+Sens!F7079+Sens!F7081</f>
        <v>342.133940907051</v>
      </c>
      <c r="G7083" s="6" t="n">
        <f aca="false">Sens!G7071+Sens!G7076+Sens!G7077+Sens!G7079+Sens!G7081</f>
        <v>428.990670881892</v>
      </c>
      <c r="H7083" s="6" t="n">
        <f aca="false">Sens!H7071+Sens!H7076+Sens!H7077+Sens!H7079+Sens!H7081</f>
        <v>521.946275281385</v>
      </c>
      <c r="I7083" s="6" t="n">
        <f aca="false">Sens!I7071+Sens!I7076+Sens!I7077+Sens!I7079+Sens!I7081</f>
        <v>600.513760444604</v>
      </c>
      <c r="J7083" s="6" t="n">
        <f aca="false">Sens!J7071+Sens!J7076+Sens!J7077+Sens!J7079+Sens!J7081</f>
        <v>663.146421863355</v>
      </c>
      <c r="K7083" s="6" t="n">
        <f aca="false">Sens!K7071+Sens!K7076+Sens!K7077+Sens!K7079+Sens!K7081</f>
        <v>713.097921299244</v>
      </c>
    </row>
    <row r="7084" customFormat="false" ht="15" hidden="false" customHeight="false" outlineLevel="0" collapsed="false">
      <c r="A7084" s="0" t="s">
        <v>887</v>
      </c>
      <c r="B7084" s="0" t="s">
        <v>98</v>
      </c>
      <c r="D7084" s="6" t="n">
        <f aca="false">Q!L13</f>
        <v>22.171</v>
      </c>
      <c r="E7084" s="6" t="n">
        <f aca="false">Q!M13</f>
        <v>24.835</v>
      </c>
      <c r="F7084" s="6" t="n">
        <f aca="false">Sens!E7084*(1+Sens!F7085)</f>
        <v>27.6114901218559</v>
      </c>
      <c r="G7084" s="6" t="n">
        <f aca="false">Sens!F7084*(1+Sens!G7085)</f>
        <v>30.4675667338515</v>
      </c>
      <c r="H7084" s="6" t="n">
        <f aca="false">Sens!G7084*(1+Sens!H7085)</f>
        <v>33.3643766955789</v>
      </c>
      <c r="I7084" s="6" t="n">
        <f aca="false">Sens!H7084*(1+Sens!I7085)</f>
        <v>36.2577016533691</v>
      </c>
      <c r="J7084" s="6" t="n">
        <f aca="false">Sens!I7084*(1+Sens!J7085)</f>
        <v>39.0988367952171</v>
      </c>
      <c r="K7084" s="6" t="n">
        <f aca="false">Sens!J7084*(1+Sens!K7085)</f>
        <v>41.8357553708823</v>
      </c>
    </row>
    <row r="7085" customFormat="false" ht="15" hidden="false" customHeight="false" outlineLevel="0" collapsed="false">
      <c r="A7085" s="1" t="s">
        <v>876</v>
      </c>
      <c r="B7085" s="0" t="s">
        <v>129</v>
      </c>
      <c r="E7085" s="7" t="n">
        <f aca="false">Sens!E7084/Sens!D7084-1</f>
        <v>0.120156961796942</v>
      </c>
      <c r="F7085" s="7" t="n">
        <f aca="false">Sens!$E$7085+(glt_srch-Sens!$E$7085)*MIN(1,(Sens!F7030-base_fy)/n_conv)</f>
        <v>0.111797468164118</v>
      </c>
      <c r="G7085" s="7" t="n">
        <f aca="false">Sens!$E$7085+(glt_srch-Sens!$E$7085)*MIN(1,(Sens!G7030-base_fy)/n_conv)</f>
        <v>0.103437974531295</v>
      </c>
      <c r="H7085" s="7" t="n">
        <f aca="false">Sens!$E$7085+(glt_srch-Sens!$E$7085)*MIN(1,(Sens!H7030-base_fy)/n_conv)</f>
        <v>0.095078480898471</v>
      </c>
      <c r="I7085" s="7" t="n">
        <f aca="false">Sens!$E$7085+(glt_srch-Sens!$E$7085)*MIN(1,(Sens!I7030-base_fy)/n_conv)</f>
        <v>0.0867189872656474</v>
      </c>
      <c r="J7085" s="7" t="n">
        <f aca="false">Sens!$E$7085+(glt_srch-Sens!$E$7085)*MIN(1,(Sens!J7030-base_fy)/n_conv)</f>
        <v>0.0783594936328237</v>
      </c>
      <c r="K7085" s="7" t="n">
        <f aca="false">Sens!$E$7085+(glt_srch-Sens!$E$7085)*MIN(1,(Sens!K7030-base_fy)/n_conv)</f>
        <v>0.07</v>
      </c>
    </row>
    <row r="7086" customFormat="false" ht="15" hidden="false" customHeight="false" outlineLevel="0" collapsed="false">
      <c r="A7086" s="0" t="s">
        <v>888</v>
      </c>
      <c r="B7086" s="0" t="s">
        <v>98</v>
      </c>
      <c r="D7086" s="6" t="n">
        <f aca="false">Q!L14</f>
        <v>23.455</v>
      </c>
      <c r="E7086" s="6" t="n">
        <f aca="false">Q!M14</f>
        <v>21.79</v>
      </c>
      <c r="F7086" s="6" t="n">
        <f aca="false">Sens!E7086*(1+Sens!F7087)</f>
        <v>20.5736277908051</v>
      </c>
      <c r="G7086" s="6" t="n">
        <f aca="false">Sens!F7086*(1+Sens!G7087)</f>
        <v>19.7371452817919</v>
      </c>
      <c r="H7086" s="6" t="n">
        <f aca="false">Sens!G7086*(1+Sens!H7087)</f>
        <v>19.2339764043138</v>
      </c>
      <c r="I7086" s="6" t="n">
        <f aca="false">Sens!H7086*(1+Sens!I7087)</f>
        <v>19.0353086852681</v>
      </c>
      <c r="J7086" s="6" t="n">
        <f aca="false">Sens!I7086*(1+Sens!J7087)</f>
        <v>19.1273539319129</v>
      </c>
      <c r="K7086" s="6" t="n">
        <f aca="false">Sens!J7086*(1+Sens!K7087)</f>
        <v>19.5099010105511</v>
      </c>
    </row>
    <row r="7087" customFormat="false" ht="15" hidden="false" customHeight="false" outlineLevel="0" collapsed="false">
      <c r="A7087" s="1" t="s">
        <v>876</v>
      </c>
      <c r="B7087" s="0" t="s">
        <v>129</v>
      </c>
      <c r="E7087" s="7" t="n">
        <f aca="false">Sens!E7086/Sens!D7086-1</f>
        <v>-0.0709869963760392</v>
      </c>
      <c r="F7087" s="7" t="n">
        <f aca="false">Sens!$E$7087+(glt_xbox-Sens!$E$7087)*MIN(1,(Sens!F7030-base_fy)/n_conv)</f>
        <v>-0.0558224969800327</v>
      </c>
      <c r="G7087" s="7" t="n">
        <f aca="false">Sens!$E$7087+(glt_xbox-Sens!$E$7087)*MIN(1,(Sens!G7030-base_fy)/n_conv)</f>
        <v>-0.0406579975840262</v>
      </c>
      <c r="H7087" s="7" t="n">
        <f aca="false">Sens!$E$7087+(glt_xbox-Sens!$E$7087)*MIN(1,(Sens!H7030-base_fy)/n_conv)</f>
        <v>-0.0254934981880196</v>
      </c>
      <c r="I7087" s="7" t="n">
        <f aca="false">Sens!$E$7087+(glt_xbox-Sens!$E$7087)*MIN(1,(Sens!I7030-base_fy)/n_conv)</f>
        <v>-0.0103289987920131</v>
      </c>
      <c r="J7087" s="7" t="n">
        <f aca="false">Sens!$E$7087+(glt_xbox-Sens!$E$7087)*MIN(1,(Sens!J7030-base_fy)/n_conv)</f>
        <v>0.00483550060399347</v>
      </c>
      <c r="K7087" s="7" t="n">
        <f aca="false">Sens!$E$7087+(glt_xbox-Sens!$E$7087)*MIN(1,(Sens!K7030-base_fy)/n_conv)</f>
        <v>0.02</v>
      </c>
    </row>
    <row r="7088" customFormat="false" ht="15" hidden="false" customHeight="false" outlineLevel="0" collapsed="false">
      <c r="A7088" s="0" t="s">
        <v>889</v>
      </c>
      <c r="B7088" s="0" t="s">
        <v>98</v>
      </c>
      <c r="D7088" s="6" t="n">
        <f aca="false">Q!L15</f>
        <v>17.315</v>
      </c>
      <c r="E7088" s="6" t="n">
        <f aca="false">Q!M15</f>
        <v>17.087</v>
      </c>
      <c r="F7088" s="6" t="n">
        <f aca="false">Sens!E7088*(1+Sens!F7089)</f>
        <v>16.9564585436519</v>
      </c>
      <c r="G7088" s="6" t="n">
        <f aca="false">Sens!F7088*(1+Sens!G7089)</f>
        <v>16.9206490624268</v>
      </c>
      <c r="H7088" s="6" t="n">
        <f aca="false">Sens!G7088*(1+Sens!H7089)</f>
        <v>16.9784519149849</v>
      </c>
      <c r="I7088" s="6" t="n">
        <f aca="false">Sens!H7088*(1+Sens!I7089)</f>
        <v>17.1303084701817</v>
      </c>
      <c r="J7088" s="6" t="n">
        <f aca="false">Sens!I7088*(1+Sens!J7089)</f>
        <v>17.3782189407267</v>
      </c>
      <c r="K7088" s="6" t="n">
        <f aca="false">Sens!J7088*(1+Sens!K7089)</f>
        <v>17.7257833195413</v>
      </c>
    </row>
    <row r="7089" customFormat="false" ht="15" hidden="false" customHeight="false" outlineLevel="0" collapsed="false">
      <c r="A7089" s="1" t="s">
        <v>876</v>
      </c>
      <c r="B7089" s="0" t="s">
        <v>129</v>
      </c>
      <c r="E7089" s="7" t="n">
        <f aca="false">Sens!E7088/Sens!D7088-1</f>
        <v>-0.0131677736066995</v>
      </c>
      <c r="F7089" s="7" t="n">
        <f aca="false">Sens!$E$7089+(glt_win-Sens!$E$7089)*MIN(1,(Sens!F7030-base_fy)/n_conv)</f>
        <v>-0.00763981133891627</v>
      </c>
      <c r="G7089" s="7" t="n">
        <f aca="false">Sens!$E$7089+(glt_win-Sens!$E$7089)*MIN(1,(Sens!G7030-base_fy)/n_conv)</f>
        <v>-0.00211184907113301</v>
      </c>
      <c r="H7089" s="7" t="n">
        <f aca="false">Sens!$E$7089+(glt_win-Sens!$E$7089)*MIN(1,(Sens!H7030-base_fy)/n_conv)</f>
        <v>0.00341611319665024</v>
      </c>
      <c r="I7089" s="7" t="n">
        <f aca="false">Sens!$E$7089+(glt_win-Sens!$E$7089)*MIN(1,(Sens!I7030-base_fy)/n_conv)</f>
        <v>0.00894407546443349</v>
      </c>
      <c r="J7089" s="7" t="n">
        <f aca="false">Sens!$E$7089+(glt_win-Sens!$E$7089)*MIN(1,(Sens!J7030-base_fy)/n_conv)</f>
        <v>0.0144720377322168</v>
      </c>
      <c r="K7089" s="7" t="n">
        <f aca="false">Sens!$E$7089+(glt_win-Sens!$E$7089)*MIN(1,(Sens!K7030-base_fy)/n_conv)</f>
        <v>0.02</v>
      </c>
    </row>
    <row r="7090" customFormat="false" ht="15" hidden="false" customHeight="false" outlineLevel="0" collapsed="false">
      <c r="A7090" s="0" t="s">
        <v>729</v>
      </c>
      <c r="B7090" s="0" t="s">
        <v>98</v>
      </c>
      <c r="D7090" s="6" t="n">
        <f aca="false">Sens!D7084+Sens!D7086+Sens!D7088</f>
        <v>62.941</v>
      </c>
      <c r="E7090" s="6" t="n">
        <f aca="false">Sens!E7084+Sens!E7086+Sens!E7088</f>
        <v>63.712</v>
      </c>
      <c r="F7090" s="6" t="n">
        <f aca="false">Sens!F7084+Sens!F7086+Sens!F7088</f>
        <v>65.1415764563129</v>
      </c>
      <c r="G7090" s="6" t="n">
        <f aca="false">Sens!G7084+Sens!G7086+Sens!G7088</f>
        <v>67.1253610780702</v>
      </c>
      <c r="H7090" s="6" t="n">
        <f aca="false">Sens!H7084+Sens!H7086+Sens!H7088</f>
        <v>69.5768050148776</v>
      </c>
      <c r="I7090" s="6" t="n">
        <f aca="false">Sens!I7084+Sens!I7086+Sens!I7088</f>
        <v>72.4233188088189</v>
      </c>
      <c r="J7090" s="6" t="n">
        <f aca="false">Sens!J7084+Sens!J7086+Sens!J7088</f>
        <v>75.6044096678567</v>
      </c>
      <c r="K7090" s="6" t="n">
        <f aca="false">Sens!K7084+Sens!K7086+Sens!K7088</f>
        <v>79.0714397009747</v>
      </c>
    </row>
    <row r="7091" customFormat="false" ht="15" hidden="false" customHeight="false" outlineLevel="0" collapsed="false">
      <c r="A7091" s="1" t="s">
        <v>890</v>
      </c>
      <c r="B7091" s="0" t="s">
        <v>98</v>
      </c>
      <c r="D7091" s="6" t="n">
        <f aca="false">Sens!D7083+Sens!D7090</f>
        <v>281.724</v>
      </c>
      <c r="E7091" s="6" t="n">
        <f aca="false">Sens!E7083+Sens!E7090</f>
        <v>331.839</v>
      </c>
      <c r="F7091" s="6" t="n">
        <f aca="false">Sens!F7083+Sens!F7090</f>
        <v>407.275517363364</v>
      </c>
      <c r="G7091" s="6" t="n">
        <f aca="false">Sens!G7083+Sens!G7090</f>
        <v>496.116031959962</v>
      </c>
      <c r="H7091" s="6" t="n">
        <f aca="false">Sens!H7083+Sens!H7090</f>
        <v>591.523080296262</v>
      </c>
      <c r="I7091" s="6" t="n">
        <f aca="false">Sens!I7083+Sens!I7090</f>
        <v>672.937079253422</v>
      </c>
      <c r="J7091" s="6" t="n">
        <f aca="false">Sens!J7083+Sens!J7090</f>
        <v>738.750831531211</v>
      </c>
      <c r="K7091" s="6" t="n">
        <f aca="false">Sens!K7083+Sens!K7090</f>
        <v>792.169361000218</v>
      </c>
    </row>
    <row r="7092" customFormat="false" ht="15" hidden="false" customHeight="false" outlineLevel="0" collapsed="false">
      <c r="A7092" s="23" t="s">
        <v>891</v>
      </c>
      <c r="B7092" s="30" t="s">
        <v>98</v>
      </c>
      <c r="C7092" s="30"/>
      <c r="D7092" s="24" t="n">
        <f aca="false">(Sens!D7071+Sens!D7076+Sens!D7077+Sens!D7079+Sens!D7081-Sens!D7083)+(Sens!D7084+Sens!D7086+Sens!D7088-Sens!D7090)+(Sens!D7083-Q!L5)+(Sens!D7090-Q!L12)+(Sens!D7071-Q!L6)+(Sens!D7076-Q!L7)</f>
        <v>0</v>
      </c>
      <c r="E7092" s="24" t="n">
        <f aca="false">(Sens!E7071+Sens!E7076+Sens!E7077+Sens!E7079+Sens!E7081-Sens!E7083)+(Sens!E7084+Sens!E7086+Sens!E7088-Sens!E7090)+(Sens!E7083-Q!M5)+(Sens!E7090-Q!M12)+(Sens!E7071-Q!M6)+(Sens!E7076-Q!M7)</f>
        <v>0</v>
      </c>
      <c r="F7092" s="24" t="n">
        <f aca="false">(Sens!F7071+Sens!F7076+Sens!F7077+Sens!F7079+Sens!F7081-Sens!F7083)+(Sens!F7084+Sens!F7086+Sens!F7088-Sens!F7090)</f>
        <v>0</v>
      </c>
      <c r="G7092" s="24" t="n">
        <f aca="false">(Sens!G7071+Sens!G7076+Sens!G7077+Sens!G7079+Sens!G7081-Sens!G7083)+(Sens!G7084+Sens!G7086+Sens!G7088-Sens!G7090)</f>
        <v>0</v>
      </c>
      <c r="H7092" s="24" t="n">
        <f aca="false">(Sens!H7071+Sens!H7076+Sens!H7077+Sens!H7079+Sens!H7081-Sens!H7083)+(Sens!H7084+Sens!H7086+Sens!H7088-Sens!H7090)</f>
        <v>0</v>
      </c>
      <c r="I7092" s="24" t="n">
        <f aca="false">(Sens!I7071+Sens!I7076+Sens!I7077+Sens!I7079+Sens!I7081-Sens!I7083)+(Sens!I7084+Sens!I7086+Sens!I7088-Sens!I7090)</f>
        <v>0</v>
      </c>
      <c r="J7092" s="24" t="n">
        <f aca="false">(Sens!J7071+Sens!J7076+Sens!J7077+Sens!J7079+Sens!J7081-Sens!J7083)+(Sens!J7084+Sens!J7086+Sens!J7088-Sens!J7090)</f>
        <v>0</v>
      </c>
      <c r="K7092" s="24" t="n">
        <f aca="false">(Sens!K7071+Sens!K7076+Sens!K7077+Sens!K7079+Sens!K7081-Sens!K7083)+(Sens!K7084+Sens!K7086+Sens!K7088-Sens!K7090)</f>
        <v>0</v>
      </c>
    </row>
    <row r="7093" customFormat="false" ht="17.15" hidden="false" customHeight="false" outlineLevel="0" collapsed="false">
      <c r="A7093" s="3" t="s">
        <v>1444</v>
      </c>
    </row>
    <row r="7094" customFormat="false" ht="15" hidden="false" customHeight="false" outlineLevel="0" collapsed="false">
      <c r="A7094" s="4" t="s">
        <v>43</v>
      </c>
      <c r="B7094" s="4" t="s">
        <v>65</v>
      </c>
      <c r="C7094" s="20" t="s">
        <v>799</v>
      </c>
      <c r="D7094" s="20" t="s">
        <v>800</v>
      </c>
      <c r="E7094" s="20" t="s">
        <v>801</v>
      </c>
      <c r="F7094" s="20" t="s">
        <v>802</v>
      </c>
      <c r="G7094" s="20" t="s">
        <v>803</v>
      </c>
      <c r="H7094" s="20" t="s">
        <v>804</v>
      </c>
      <c r="I7094" s="20" t="s">
        <v>805</v>
      </c>
      <c r="J7094" s="20" t="s">
        <v>806</v>
      </c>
      <c r="K7094" s="20" t="s">
        <v>807</v>
      </c>
      <c r="L7094" s="4" t="s">
        <v>47</v>
      </c>
    </row>
    <row r="7095" customFormat="false" ht="15" hidden="false" customHeight="false" outlineLevel="0" collapsed="false">
      <c r="A7095" s="0" t="s">
        <v>877</v>
      </c>
      <c r="B7095" s="0" t="s">
        <v>98</v>
      </c>
      <c r="D7095" s="6" t="n">
        <f aca="false">Sens!D7071</f>
        <v>72.61</v>
      </c>
      <c r="E7095" s="6" t="n">
        <f aca="false">Sens!E7071</f>
        <v>101.938</v>
      </c>
      <c r="F7095" s="6" t="n">
        <f aca="false">Sens!F7071</f>
        <v>148.812368967868</v>
      </c>
      <c r="G7095" s="6" t="n">
        <f aca="false">Sens!G7071</f>
        <v>208.397514344463</v>
      </c>
      <c r="H7095" s="6" t="n">
        <f aca="false">Sens!H7071</f>
        <v>274.05759259987</v>
      </c>
      <c r="I7095" s="6" t="n">
        <f aca="false">Sens!I7071</f>
        <v>328.302405465117</v>
      </c>
      <c r="J7095" s="6" t="n">
        <f aca="false">Sens!J7071</f>
        <v>369.905524759186</v>
      </c>
      <c r="K7095" s="6" t="n">
        <f aca="false">Sens!K7071</f>
        <v>399.753851959067</v>
      </c>
    </row>
    <row r="7096" customFormat="false" ht="17.15" hidden="false" customHeight="false" outlineLevel="0" collapsed="false">
      <c r="A7096" s="0" t="s">
        <v>874</v>
      </c>
      <c r="B7096" s="0" t="s">
        <v>98</v>
      </c>
      <c r="D7096" s="6" t="n">
        <f aca="false">Sens!D7068</f>
        <v>12.9359794422418</v>
      </c>
      <c r="E7096" s="6" t="n">
        <f aca="false">Sens!E7068</f>
        <v>27.8095064661409</v>
      </c>
      <c r="F7096" s="6" t="n">
        <f aca="false">Sens!F7068</f>
        <v>58.7324192305018</v>
      </c>
      <c r="G7096" s="6" t="n">
        <f aca="false">Sens!G7068</f>
        <v>101.369089141153</v>
      </c>
      <c r="H7096" s="6" t="n">
        <f aca="false">Sens!H7068</f>
        <v>149.785610014234</v>
      </c>
      <c r="I7096" s="6" t="n">
        <f aca="false">Sens!I7068</f>
        <v>187.368703083263</v>
      </c>
      <c r="J7096" s="6" t="n">
        <f aca="false">Sens!J7068</f>
        <v>213.886657444854</v>
      </c>
      <c r="K7096" s="6" t="n">
        <f aca="false">Sens!K7068</f>
        <v>231.253475259589</v>
      </c>
    </row>
    <row r="7097" customFormat="false" ht="17.15" hidden="false" customHeight="false" outlineLevel="0" collapsed="false">
      <c r="A7097" s="0" t="s">
        <v>902</v>
      </c>
      <c r="B7097" s="0" t="s">
        <v>98</v>
      </c>
      <c r="D7097" s="6" t="n">
        <f aca="false">Sens!D7069</f>
        <v>59.6740205577583</v>
      </c>
      <c r="E7097" s="6" t="n">
        <f aca="false">Sens!E7069</f>
        <v>74.1284935338591</v>
      </c>
      <c r="F7097" s="6" t="n">
        <f aca="false">Sens!F7069</f>
        <v>90.0799497373663</v>
      </c>
      <c r="G7097" s="6" t="n">
        <f aca="false">Sens!G7069</f>
        <v>107.02842520331</v>
      </c>
      <c r="H7097" s="6" t="n">
        <f aca="false">Sens!H7069</f>
        <v>124.271982585636</v>
      </c>
      <c r="I7097" s="6" t="n">
        <f aca="false">Sens!I7069</f>
        <v>140.933702381855</v>
      </c>
      <c r="J7097" s="6" t="n">
        <f aca="false">Sens!J7069</f>
        <v>156.018867314332</v>
      </c>
      <c r="K7097" s="6" t="n">
        <f aca="false">Sens!K7069</f>
        <v>168.500376699478</v>
      </c>
    </row>
    <row r="7098" customFormat="false" ht="15" hidden="false" customHeight="false" outlineLevel="0" collapsed="false">
      <c r="A7098" s="0" t="s">
        <v>883</v>
      </c>
      <c r="B7098" s="0" t="s">
        <v>98</v>
      </c>
      <c r="D7098" s="6" t="n">
        <f aca="false">Sens!D7076</f>
        <v>84.605</v>
      </c>
      <c r="E7098" s="6" t="n">
        <f aca="false">Sens!E7076</f>
        <v>100.299</v>
      </c>
      <c r="F7098" s="6" t="n">
        <f aca="false">Sens!F7076</f>
        <v>123.09238776686</v>
      </c>
      <c r="G7098" s="6" t="n">
        <f aca="false">Sens!G7076</f>
        <v>146.044168448684</v>
      </c>
      <c r="H7098" s="6" t="n">
        <f aca="false">Sens!H7076</f>
        <v>169.077359388781</v>
      </c>
      <c r="I7098" s="6" t="n">
        <f aca="false">Sens!I7076</f>
        <v>189.234028071957</v>
      </c>
      <c r="J7098" s="6" t="n">
        <f aca="false">Sens!J7076</f>
        <v>206.232702785465</v>
      </c>
      <c r="K7098" s="6" t="n">
        <f aca="false">Sens!K7076</f>
        <v>222.477991980448</v>
      </c>
    </row>
    <row r="7099" customFormat="false" ht="17.15" hidden="false" customHeight="false" outlineLevel="0" collapsed="false">
      <c r="A7099" s="0" t="s">
        <v>903</v>
      </c>
      <c r="B7099" s="0" t="s">
        <v>98</v>
      </c>
      <c r="D7099" s="6" t="n">
        <f aca="false">Sens!D7074</f>
        <v>83.705</v>
      </c>
      <c r="E7099" s="6" t="n">
        <f aca="false">Sens!E7074</f>
        <v>95.049</v>
      </c>
      <c r="F7099" s="6" t="n">
        <f aca="false">Sens!F7074</f>
        <v>106.89238776686</v>
      </c>
      <c r="G7099" s="6" t="n">
        <f aca="false">Sens!G7074</f>
        <v>119.044168448684</v>
      </c>
      <c r="H7099" s="6" t="n">
        <f aca="false">Sens!H7074</f>
        <v>131.277359388781</v>
      </c>
      <c r="I7099" s="6" t="n">
        <f aca="false">Sens!I7074</f>
        <v>143.334028071957</v>
      </c>
      <c r="J7099" s="6" t="n">
        <f aca="false">Sens!J7074</f>
        <v>154.932702785465</v>
      </c>
      <c r="K7099" s="6" t="n">
        <f aca="false">Sens!K7074</f>
        <v>165.777991980448</v>
      </c>
    </row>
    <row r="7100" customFormat="false" ht="17.15" hidden="false" customHeight="false" outlineLevel="0" collapsed="false">
      <c r="A7100" s="0" t="s">
        <v>904</v>
      </c>
      <c r="B7100" s="0" t="s">
        <v>98</v>
      </c>
      <c r="D7100" s="6" t="n">
        <f aca="false">Sens!D7073</f>
        <v>0.9</v>
      </c>
      <c r="E7100" s="6" t="n">
        <f aca="false">Sens!E7073</f>
        <v>5.25</v>
      </c>
      <c r="F7100" s="6" t="n">
        <f aca="false">Sens!F7073</f>
        <v>16.2</v>
      </c>
      <c r="G7100" s="6" t="n">
        <f aca="false">Sens!G7073</f>
        <v>27</v>
      </c>
      <c r="H7100" s="6" t="n">
        <f aca="false">Sens!H7073</f>
        <v>37.8</v>
      </c>
      <c r="I7100" s="6" t="n">
        <f aca="false">Sens!I7073</f>
        <v>45.9</v>
      </c>
      <c r="J7100" s="6" t="n">
        <f aca="false">Sens!J7073</f>
        <v>51.3</v>
      </c>
      <c r="K7100" s="6" t="n">
        <f aca="false">Sens!K7073</f>
        <v>56.7</v>
      </c>
    </row>
    <row r="7101" customFormat="false" ht="15" hidden="false" customHeight="false" outlineLevel="0" collapsed="false">
      <c r="A7101" s="0" t="s">
        <v>884</v>
      </c>
      <c r="B7101" s="0" t="s">
        <v>98</v>
      </c>
      <c r="D7101" s="6" t="n">
        <f aca="false">Sens!D7077</f>
        <v>35.391</v>
      </c>
      <c r="E7101" s="6" t="n">
        <f aca="false">Sens!E7077</f>
        <v>37.285</v>
      </c>
      <c r="F7101" s="6" t="n">
        <f aca="false">Sens!F7077</f>
        <v>39.0720834331704</v>
      </c>
      <c r="G7101" s="6" t="n">
        <f aca="false">Sens!G7077</f>
        <v>40.726562953769</v>
      </c>
      <c r="H7101" s="6" t="n">
        <f aca="false">Sens!H7077</f>
        <v>42.2235987259198</v>
      </c>
      <c r="I7101" s="6" t="n">
        <f aca="false">Sens!I7077</f>
        <v>43.5397988077414</v>
      </c>
      <c r="J7101" s="6" t="n">
        <f aca="false">Sens!J7077</f>
        <v>44.653811225693</v>
      </c>
      <c r="K7101" s="6" t="n">
        <f aca="false">Sens!K7077</f>
        <v>45.5468874502068</v>
      </c>
    </row>
    <row r="7102" customFormat="false" ht="15" hidden="false" customHeight="false" outlineLevel="0" collapsed="false">
      <c r="A7102" s="0" t="s">
        <v>885</v>
      </c>
      <c r="B7102" s="0" t="s">
        <v>98</v>
      </c>
      <c r="D7102" s="6" t="n">
        <f aca="false">Sens!D7079</f>
        <v>18.417</v>
      </c>
      <c r="E7102" s="6" t="n">
        <f aca="false">Sens!E7079</f>
        <v>20.345</v>
      </c>
      <c r="F7102" s="6" t="n">
        <f aca="false">Sens!F7079</f>
        <v>22.3572203267814</v>
      </c>
      <c r="G7102" s="6" t="n">
        <f aca="false">Sens!G7079</f>
        <v>24.4392124437232</v>
      </c>
      <c r="H7102" s="6" t="n">
        <f aca="false">Sens!H7079</f>
        <v>26.5738052080665</v>
      </c>
      <c r="I7102" s="6" t="n">
        <f aca="false">Sens!I7079</f>
        <v>28.7412169166967</v>
      </c>
      <c r="J7102" s="6" t="n">
        <f aca="false">Sens!J7079</f>
        <v>30.9192545395413</v>
      </c>
      <c r="K7102" s="6" t="n">
        <f aca="false">Sens!K7079</f>
        <v>33.0836023573092</v>
      </c>
    </row>
    <row r="7103" customFormat="false" ht="15" hidden="false" customHeight="false" outlineLevel="0" collapsed="false">
      <c r="A7103" s="0" t="s">
        <v>886</v>
      </c>
      <c r="B7103" s="0" t="s">
        <v>98</v>
      </c>
      <c r="D7103" s="6" t="n">
        <f aca="false">Sens!D7081</f>
        <v>7.76</v>
      </c>
      <c r="E7103" s="6" t="n">
        <f aca="false">Sens!E7081</f>
        <v>8.26</v>
      </c>
      <c r="F7103" s="6" t="n">
        <f aca="false">Sens!F7081</f>
        <v>8.79988041237113</v>
      </c>
      <c r="G7103" s="6" t="n">
        <f aca="false">Sens!G7081</f>
        <v>9.38321269125306</v>
      </c>
      <c r="H7103" s="6" t="n">
        <f aca="false">Sens!H7081</f>
        <v>10.0139193587476</v>
      </c>
      <c r="I7103" s="6" t="n">
        <f aca="false">Sens!I7081</f>
        <v>10.6963111830911</v>
      </c>
      <c r="J7103" s="6" t="n">
        <f aca="false">Sens!J7081</f>
        <v>11.4351285534696</v>
      </c>
      <c r="K7103" s="6" t="n">
        <f aca="false">Sens!K7081</f>
        <v>12.2355875522124</v>
      </c>
    </row>
    <row r="7104" customFormat="false" ht="15" hidden="false" customHeight="false" outlineLevel="0" collapsed="false">
      <c r="A7104" s="0" t="s">
        <v>715</v>
      </c>
      <c r="B7104" s="0" t="s">
        <v>98</v>
      </c>
      <c r="D7104" s="6" t="n">
        <f aca="false">Sens!D7083</f>
        <v>218.783</v>
      </c>
      <c r="E7104" s="6" t="n">
        <f aca="false">Sens!E7083</f>
        <v>268.127</v>
      </c>
      <c r="F7104" s="6" t="n">
        <f aca="false">Sens!F7083</f>
        <v>342.133940907051</v>
      </c>
      <c r="G7104" s="6" t="n">
        <f aca="false">Sens!G7083</f>
        <v>428.990670881892</v>
      </c>
      <c r="H7104" s="6" t="n">
        <f aca="false">Sens!H7083</f>
        <v>521.946275281385</v>
      </c>
      <c r="I7104" s="6" t="n">
        <f aca="false">Sens!I7083</f>
        <v>600.513760444604</v>
      </c>
      <c r="J7104" s="6" t="n">
        <f aca="false">Sens!J7083</f>
        <v>663.146421863355</v>
      </c>
      <c r="K7104" s="6" t="n">
        <f aca="false">Sens!K7083</f>
        <v>713.097921299244</v>
      </c>
    </row>
    <row r="7105" customFormat="false" ht="15" hidden="false" customHeight="false" outlineLevel="0" collapsed="false">
      <c r="A7105" s="0" t="s">
        <v>887</v>
      </c>
      <c r="B7105" s="0" t="s">
        <v>98</v>
      </c>
      <c r="D7105" s="6" t="n">
        <f aca="false">Sens!D7084</f>
        <v>22.171</v>
      </c>
      <c r="E7105" s="6" t="n">
        <f aca="false">Sens!E7084</f>
        <v>24.835</v>
      </c>
      <c r="F7105" s="6" t="n">
        <f aca="false">Sens!F7084</f>
        <v>27.6114901218559</v>
      </c>
      <c r="G7105" s="6" t="n">
        <f aca="false">Sens!G7084</f>
        <v>30.4675667338515</v>
      </c>
      <c r="H7105" s="6" t="n">
        <f aca="false">Sens!H7084</f>
        <v>33.3643766955789</v>
      </c>
      <c r="I7105" s="6" t="n">
        <f aca="false">Sens!I7084</f>
        <v>36.2577016533691</v>
      </c>
      <c r="J7105" s="6" t="n">
        <f aca="false">Sens!J7084</f>
        <v>39.0988367952171</v>
      </c>
      <c r="K7105" s="6" t="n">
        <f aca="false">Sens!K7084</f>
        <v>41.8357553708823</v>
      </c>
    </row>
    <row r="7106" customFormat="false" ht="15" hidden="false" customHeight="false" outlineLevel="0" collapsed="false">
      <c r="A7106" s="0" t="s">
        <v>888</v>
      </c>
      <c r="B7106" s="0" t="s">
        <v>98</v>
      </c>
      <c r="D7106" s="6" t="n">
        <f aca="false">Sens!D7086</f>
        <v>23.455</v>
      </c>
      <c r="E7106" s="6" t="n">
        <f aca="false">Sens!E7086</f>
        <v>21.79</v>
      </c>
      <c r="F7106" s="6" t="n">
        <f aca="false">Sens!F7086</f>
        <v>20.5736277908051</v>
      </c>
      <c r="G7106" s="6" t="n">
        <f aca="false">Sens!G7086</f>
        <v>19.7371452817919</v>
      </c>
      <c r="H7106" s="6" t="n">
        <f aca="false">Sens!H7086</f>
        <v>19.2339764043138</v>
      </c>
      <c r="I7106" s="6" t="n">
        <f aca="false">Sens!I7086</f>
        <v>19.0353086852681</v>
      </c>
      <c r="J7106" s="6" t="n">
        <f aca="false">Sens!J7086</f>
        <v>19.1273539319129</v>
      </c>
      <c r="K7106" s="6" t="n">
        <f aca="false">Sens!K7086</f>
        <v>19.5099010105511</v>
      </c>
    </row>
    <row r="7107" customFormat="false" ht="15" hidden="false" customHeight="false" outlineLevel="0" collapsed="false">
      <c r="A7107" s="0" t="s">
        <v>889</v>
      </c>
      <c r="B7107" s="0" t="s">
        <v>98</v>
      </c>
      <c r="D7107" s="6" t="n">
        <f aca="false">Sens!D7088</f>
        <v>17.315</v>
      </c>
      <c r="E7107" s="6" t="n">
        <f aca="false">Sens!E7088</f>
        <v>17.087</v>
      </c>
      <c r="F7107" s="6" t="n">
        <f aca="false">Sens!F7088</f>
        <v>16.9564585436519</v>
      </c>
      <c r="G7107" s="6" t="n">
        <f aca="false">Sens!G7088</f>
        <v>16.9206490624268</v>
      </c>
      <c r="H7107" s="6" t="n">
        <f aca="false">Sens!H7088</f>
        <v>16.9784519149849</v>
      </c>
      <c r="I7107" s="6" t="n">
        <f aca="false">Sens!I7088</f>
        <v>17.1303084701817</v>
      </c>
      <c r="J7107" s="6" t="n">
        <f aca="false">Sens!J7088</f>
        <v>17.3782189407267</v>
      </c>
      <c r="K7107" s="6" t="n">
        <f aca="false">Sens!K7088</f>
        <v>17.7257833195413</v>
      </c>
    </row>
    <row r="7108" customFormat="false" ht="15" hidden="false" customHeight="false" outlineLevel="0" collapsed="false">
      <c r="A7108" s="0" t="s">
        <v>729</v>
      </c>
      <c r="B7108" s="0" t="s">
        <v>98</v>
      </c>
      <c r="D7108" s="6" t="n">
        <f aca="false">Sens!D7090</f>
        <v>62.941</v>
      </c>
      <c r="E7108" s="6" t="n">
        <f aca="false">Sens!E7090</f>
        <v>63.712</v>
      </c>
      <c r="F7108" s="6" t="n">
        <f aca="false">Sens!F7090</f>
        <v>65.1415764563129</v>
      </c>
      <c r="G7108" s="6" t="n">
        <f aca="false">Sens!G7090</f>
        <v>67.1253610780702</v>
      </c>
      <c r="H7108" s="6" t="n">
        <f aca="false">Sens!H7090</f>
        <v>69.5768050148776</v>
      </c>
      <c r="I7108" s="6" t="n">
        <f aca="false">Sens!I7090</f>
        <v>72.4233188088189</v>
      </c>
      <c r="J7108" s="6" t="n">
        <f aca="false">Sens!J7090</f>
        <v>75.6044096678567</v>
      </c>
      <c r="K7108" s="6" t="n">
        <f aca="false">Sens!K7090</f>
        <v>79.0714397009747</v>
      </c>
    </row>
    <row r="7109" customFormat="false" ht="15" hidden="false" customHeight="false" outlineLevel="0" collapsed="false">
      <c r="A7109" s="1" t="s">
        <v>905</v>
      </c>
      <c r="B7109" s="0" t="s">
        <v>98</v>
      </c>
      <c r="D7109" s="6" t="n">
        <f aca="false">Sens!D7091</f>
        <v>281.724</v>
      </c>
      <c r="E7109" s="6" t="n">
        <f aca="false">Sens!E7091</f>
        <v>331.839</v>
      </c>
      <c r="F7109" s="6" t="n">
        <f aca="false">Sens!F7091</f>
        <v>407.275517363364</v>
      </c>
      <c r="G7109" s="6" t="n">
        <f aca="false">Sens!G7091</f>
        <v>496.116031959962</v>
      </c>
      <c r="H7109" s="6" t="n">
        <f aca="false">Sens!H7091</f>
        <v>591.523080296262</v>
      </c>
      <c r="I7109" s="6" t="n">
        <f aca="false">Sens!I7091</f>
        <v>672.937079253422</v>
      </c>
      <c r="J7109" s="6" t="n">
        <f aca="false">Sens!J7091</f>
        <v>738.750831531211</v>
      </c>
      <c r="K7109" s="6" t="n">
        <f aca="false">Sens!K7091</f>
        <v>792.169361000218</v>
      </c>
    </row>
    <row r="7110" customFormat="false" ht="15" hidden="false" customHeight="false" outlineLevel="0" collapsed="false">
      <c r="A7110" s="1" t="s">
        <v>906</v>
      </c>
      <c r="B7110" s="0" t="s">
        <v>129</v>
      </c>
      <c r="E7110" s="7" t="n">
        <f aca="false">Sens!E7109/Sens!D7109-1</f>
        <v>0.177886867998467</v>
      </c>
      <c r="F7110" s="7" t="n">
        <f aca="false">Sens!F7109/Sens!E7109-1</f>
        <v>0.22732866650202</v>
      </c>
      <c r="G7110" s="7" t="n">
        <f aca="false">Sens!G7109/Sens!F7109-1</f>
        <v>0.218133697728107</v>
      </c>
      <c r="H7110" s="7" t="n">
        <f aca="false">Sens!H7109/Sens!G7109-1</f>
        <v>0.192307932399169</v>
      </c>
      <c r="I7110" s="7" t="n">
        <f aca="false">Sens!I7109/Sens!H7109-1</f>
        <v>0.137634526308566</v>
      </c>
      <c r="J7110" s="7" t="n">
        <f aca="false">Sens!J7109/Sens!I7109-1</f>
        <v>0.0978007518188844</v>
      </c>
      <c r="K7110" s="7" t="n">
        <f aca="false">Sens!K7109/Sens!J7109-1</f>
        <v>0.0723092647601984</v>
      </c>
    </row>
    <row r="7111" customFormat="false" ht="17.15" hidden="false" customHeight="false" outlineLevel="0" collapsed="false">
      <c r="A7111" s="23" t="s">
        <v>907</v>
      </c>
      <c r="B7111" s="30" t="s">
        <v>98</v>
      </c>
      <c r="C7111" s="30"/>
      <c r="D7111" s="24" t="n">
        <f aca="false">(Sens!D7104+Sens!D7108-Sens!D7109)+(Sens!D7096+Sens!D7097-Sens!D7095)+(Sens!D7099+Sens!D7100-Sens!D7098)+(Sens!D7109-Q!L18)</f>
        <v>0</v>
      </c>
      <c r="E7111" s="24" t="n">
        <f aca="false">(Sens!E7104+Sens!E7108-Sens!E7109)+(Sens!E7096+Sens!E7097-Sens!E7095)+(Sens!E7099+Sens!E7100-Sens!E7098)+(Sens!E7109-Q!M18)</f>
        <v>0</v>
      </c>
      <c r="F7111" s="24" t="n">
        <f aca="false">(Sens!F7104+Sens!F7108-Sens!F7109)+(Sens!F7096+Sens!F7097-Sens!F7095)+(Sens!F7099+Sens!F7100-Sens!F7098)</f>
        <v>0</v>
      </c>
      <c r="G7111" s="24" t="n">
        <f aca="false">(Sens!G7104+Sens!G7108-Sens!G7109)+(Sens!G7096+Sens!G7097-Sens!G7095)+(Sens!G7099+Sens!G7100-Sens!G7098)</f>
        <v>0</v>
      </c>
      <c r="H7111" s="24" t="n">
        <f aca="false">(Sens!H7104+Sens!H7108-Sens!H7109)+(Sens!H7096+Sens!H7097-Sens!H7095)+(Sens!H7099+Sens!H7100-Sens!H7098)</f>
        <v>0</v>
      </c>
      <c r="I7111" s="24" t="n">
        <f aca="false">(Sens!I7104+Sens!I7108-Sens!I7109)+(Sens!I7096+Sens!I7097-Sens!I7095)+(Sens!I7099+Sens!I7100-Sens!I7098)</f>
        <v>0</v>
      </c>
      <c r="J7111" s="24" t="n">
        <f aca="false">(Sens!J7104+Sens!J7108-Sens!J7109)+(Sens!J7096+Sens!J7097-Sens!J7095)+(Sens!J7099+Sens!J7100-Sens!J7098)</f>
        <v>0</v>
      </c>
      <c r="K7111" s="24" t="n">
        <f aca="false">(Sens!K7104+Sens!K7108-Sens!K7109)+(Sens!K7096+Sens!K7097-Sens!K7095)+(Sens!K7099+Sens!K7100-Sens!K7098)</f>
        <v>0</v>
      </c>
    </row>
    <row r="7112" customFormat="false" ht="17.15" hidden="false" customHeight="false" outlineLevel="0" collapsed="false">
      <c r="A7112" s="0" t="s">
        <v>908</v>
      </c>
      <c r="B7112" s="0" t="s">
        <v>129</v>
      </c>
      <c r="E7112" s="7" t="n">
        <f aca="false">(Q!M21+Sens!E7049+Sens!E7050+Sens!E7051+Sens!E7064-Sens!E7047)/(Q!M5-Sens!E7047)</f>
        <v>0.570957350878296</v>
      </c>
      <c r="F7112" s="7" t="n">
        <f aca="false">Sens!$E$7112+dm_seg</f>
        <v>0.570957350878296</v>
      </c>
      <c r="G7112" s="7" t="n">
        <f aca="false">Sens!$E$7112+dm_seg</f>
        <v>0.570957350878296</v>
      </c>
      <c r="H7112" s="7" t="n">
        <f aca="false">Sens!$E$7112+dm_seg</f>
        <v>0.570957350878296</v>
      </c>
      <c r="I7112" s="7" t="n">
        <f aca="false">Sens!$E$7112+dm_seg</f>
        <v>0.570957350878296</v>
      </c>
      <c r="J7112" s="7" t="n">
        <f aca="false">Sens!$E$7112+dm_seg</f>
        <v>0.570957350878296</v>
      </c>
      <c r="K7112" s="7" t="n">
        <f aca="false">Sens!$E$7112+dm_seg</f>
        <v>0.570957350878296</v>
      </c>
      <c r="L7112" s="11" t="s">
        <v>909</v>
      </c>
    </row>
    <row r="7113" customFormat="false" ht="17.15" hidden="false" customHeight="false" outlineLevel="0" collapsed="false">
      <c r="A7113" s="0" t="s">
        <v>743</v>
      </c>
      <c r="B7113" s="0" t="s">
        <v>98</v>
      </c>
      <c r="D7113" s="6" t="n">
        <f aca="false">Q!L21</f>
        <v>110.814</v>
      </c>
      <c r="E7113" s="6" t="n">
        <f aca="false">Q!M21</f>
        <v>136.365</v>
      </c>
      <c r="F7113" s="6" t="n">
        <f aca="false">Sens!F7112*(Sens!F7083-Sens!F7047)+Sens!F7047-(Sens!F7049+Sens!F7050+Sens!F7051)-Sens!F7064-Sens!F7147</f>
        <v>163.568439834695</v>
      </c>
      <c r="G7113" s="6" t="n">
        <f aca="false">Sens!G7112*(Sens!G7083-Sens!G7047)+Sens!G7047-(Sens!G7049+Sens!G7050+Sens!G7051)-Sens!G7064-Sens!G7147</f>
        <v>194.911084575571</v>
      </c>
      <c r="H7113" s="6" t="n">
        <f aca="false">Sens!H7112*(Sens!H7083-Sens!H7047)+Sens!H7047-(Sens!H7049+Sens!H7050+Sens!H7051)-Sens!H7064-Sens!H7147</f>
        <v>230.395751529118</v>
      </c>
      <c r="I7113" s="6" t="n">
        <f aca="false">Sens!I7112*(Sens!I7083-Sens!I7047)+Sens!I7047-(Sens!I7049+Sens!I7050+Sens!I7051)-Sens!I7064-Sens!I7147</f>
        <v>257.498383714933</v>
      </c>
      <c r="J7113" s="6" t="n">
        <f aca="false">Sens!J7112*(Sens!J7083-Sens!J7047)+Sens!J7047-(Sens!J7049+Sens!J7050+Sens!J7051)-Sens!J7064-Sens!J7147</f>
        <v>280.683685338746</v>
      </c>
      <c r="K7113" s="6" t="n">
        <f aca="false">Sens!K7112*(Sens!K7083-Sens!K7047)+Sens!K7047-(Sens!K7049+Sens!K7050+Sens!K7051)-Sens!K7064-Sens!K7147</f>
        <v>301.792082586342</v>
      </c>
      <c r="L7113" s="1" t="s">
        <v>910</v>
      </c>
    </row>
    <row r="7114" customFormat="false" ht="17.15" hidden="false" customHeight="false" outlineLevel="0" collapsed="false">
      <c r="A7114" s="0" t="s">
        <v>911</v>
      </c>
      <c r="B7114" s="0" t="s">
        <v>129</v>
      </c>
      <c r="E7114" s="7" t="n">
        <f aca="false">Q!M22/Q!M12</f>
        <v>0.296207935710698</v>
      </c>
      <c r="F7114" s="7" t="n">
        <f aca="false">Sens!$E$7114+dm_seg</f>
        <v>0.296207935710698</v>
      </c>
      <c r="G7114" s="7" t="n">
        <f aca="false">Sens!$E$7114+dm_seg</f>
        <v>0.296207935710698</v>
      </c>
      <c r="H7114" s="7" t="n">
        <f aca="false">Sens!$E$7114+dm_seg</f>
        <v>0.296207935710698</v>
      </c>
      <c r="I7114" s="7" t="n">
        <f aca="false">Sens!$E$7114+dm_seg</f>
        <v>0.296207935710698</v>
      </c>
      <c r="J7114" s="7" t="n">
        <f aca="false">Sens!$E$7114+dm_seg</f>
        <v>0.296207935710698</v>
      </c>
      <c r="K7114" s="7" t="n">
        <f aca="false">Sens!$E$7114+dm_seg</f>
        <v>0.296207935710698</v>
      </c>
      <c r="L7114" s="11" t="s">
        <v>912</v>
      </c>
    </row>
    <row r="7115" customFormat="false" ht="17.15" hidden="false" customHeight="false" outlineLevel="0" collapsed="false">
      <c r="A7115" s="0" t="s">
        <v>745</v>
      </c>
      <c r="B7115" s="0" t="s">
        <v>98</v>
      </c>
      <c r="D7115" s="6" t="n">
        <f aca="false">Q!L22</f>
        <v>17.714</v>
      </c>
      <c r="E7115" s="6" t="n">
        <f aca="false">Q!M22</f>
        <v>18.872</v>
      </c>
      <c r="F7115" s="6" t="n">
        <f aca="false">Sens!F7090*Sens!F7114</f>
        <v>19.2954518910651</v>
      </c>
      <c r="G7115" s="6" t="n">
        <f aca="false">Sens!G7090*Sens!G7114</f>
        <v>19.8830646387704</v>
      </c>
      <c r="H7115" s="6" t="n">
        <f aca="false">Sens!H7090*Sens!H7114</f>
        <v>20.6092017868026</v>
      </c>
      <c r="I7115" s="6" t="n">
        <f aca="false">Sens!I7090*Sens!I7114</f>
        <v>21.452361761678</v>
      </c>
      <c r="J7115" s="6" t="n">
        <f aca="false">Sens!J7090*Sens!J7114</f>
        <v>22.3946261183418</v>
      </c>
      <c r="K7115" s="6" t="n">
        <f aca="false">Sens!K7090*Sens!K7114</f>
        <v>23.4215879274986</v>
      </c>
    </row>
    <row r="7116" customFormat="false" ht="15" hidden="false" customHeight="false" outlineLevel="0" collapsed="false">
      <c r="A7116" s="1" t="s">
        <v>913</v>
      </c>
      <c r="B7116" s="0" t="s">
        <v>98</v>
      </c>
      <c r="D7116" s="6" t="n">
        <f aca="false">Sens!D7113+Sens!D7115</f>
        <v>128.528</v>
      </c>
      <c r="E7116" s="6" t="n">
        <f aca="false">Sens!E7113+Sens!E7115</f>
        <v>155.237</v>
      </c>
      <c r="F7116" s="6" t="n">
        <f aca="false">Sens!F7113+Sens!F7115</f>
        <v>182.86389172576</v>
      </c>
      <c r="G7116" s="6" t="n">
        <f aca="false">Sens!G7113+Sens!G7115</f>
        <v>214.794149214342</v>
      </c>
      <c r="H7116" s="6" t="n">
        <f aca="false">Sens!H7113+Sens!H7115</f>
        <v>251.004953315921</v>
      </c>
      <c r="I7116" s="6" t="n">
        <f aca="false">Sens!I7113+Sens!I7115</f>
        <v>278.950745476611</v>
      </c>
      <c r="J7116" s="6" t="n">
        <f aca="false">Sens!J7113+Sens!J7115</f>
        <v>303.078311457087</v>
      </c>
      <c r="K7116" s="6" t="n">
        <f aca="false">Sens!K7113+Sens!K7115</f>
        <v>325.213670513841</v>
      </c>
    </row>
    <row r="7117" customFormat="false" ht="15" hidden="false" customHeight="false" outlineLevel="0" collapsed="false">
      <c r="A7117" s="23" t="s">
        <v>914</v>
      </c>
      <c r="B7117" s="30" t="s">
        <v>98</v>
      </c>
      <c r="C7117" s="30"/>
      <c r="D7117" s="24" t="n">
        <f aca="false">Sens!D7116-Q!L23</f>
        <v>0</v>
      </c>
      <c r="E7117" s="24" t="n">
        <f aca="false">Sens!E7116-Q!M23</f>
        <v>0</v>
      </c>
      <c r="F7117" s="30"/>
      <c r="G7117" s="30"/>
      <c r="H7117" s="30"/>
      <c r="I7117" s="30"/>
      <c r="J7117" s="30"/>
      <c r="K7117" s="30"/>
    </row>
    <row r="7118" customFormat="false" ht="15" hidden="false" customHeight="false" outlineLevel="0" collapsed="false">
      <c r="A7118" s="1" t="s">
        <v>915</v>
      </c>
      <c r="B7118" s="0" t="s">
        <v>129</v>
      </c>
      <c r="D7118" s="7" t="n">
        <f aca="false">Sens!D7116/Sens!D7109</f>
        <v>0.456219562408598</v>
      </c>
      <c r="E7118" s="7" t="n">
        <f aca="false">Sens!E7116/Sens!E7109</f>
        <v>0.467808184089272</v>
      </c>
      <c r="F7118" s="7" t="n">
        <f aca="false">Sens!F7116/Sens!F7109</f>
        <v>0.448993086816491</v>
      </c>
      <c r="G7118" s="7" t="n">
        <f aca="false">Sens!G7116/Sens!G7109</f>
        <v>0.432951437521124</v>
      </c>
      <c r="H7118" s="7" t="n">
        <f aca="false">Sens!H7116/Sens!H7109</f>
        <v>0.424336702449895</v>
      </c>
      <c r="I7118" s="7" t="n">
        <f aca="false">Sens!I7116/Sens!I7109</f>
        <v>0.414527233045455</v>
      </c>
      <c r="J7118" s="7" t="n">
        <f aca="false">Sens!J7116/Sens!J7109</f>
        <v>0.410257827837426</v>
      </c>
      <c r="K7118" s="7" t="n">
        <f aca="false">Sens!K7116/Sens!K7109</f>
        <v>0.410535532582598</v>
      </c>
    </row>
    <row r="7119" customFormat="false" ht="17.15" hidden="false" customHeight="false" outlineLevel="0" collapsed="false">
      <c r="A7119" s="1" t="s">
        <v>916</v>
      </c>
      <c r="B7119" s="0" t="s">
        <v>98</v>
      </c>
      <c r="F7119" s="6" t="n">
        <f aca="false">Sens!F7134</f>
        <v>6.90089960026641</v>
      </c>
      <c r="G7119" s="6" t="n">
        <f aca="false">Sens!G7134</f>
        <v>18.7960142027985</v>
      </c>
      <c r="H7119" s="6" t="n">
        <f aca="false">Sens!H7134</f>
        <v>32.2251077558523</v>
      </c>
      <c r="I7119" s="6" t="n">
        <f aca="false">Sens!I7134</f>
        <v>45.0013604150288</v>
      </c>
      <c r="J7119" s="6" t="n">
        <f aca="false">Sens!J7134</f>
        <v>54.1505867139265</v>
      </c>
      <c r="K7119" s="6" t="n">
        <f aca="false">Sens!K7134</f>
        <v>58.8239628138803</v>
      </c>
      <c r="L7119" s="1" t="s">
        <v>917</v>
      </c>
    </row>
    <row r="7120" customFormat="false" ht="17.15" hidden="false" customHeight="false" outlineLevel="0" collapsed="false">
      <c r="A7120" s="1" t="s">
        <v>918</v>
      </c>
      <c r="B7120" s="0" t="s">
        <v>98</v>
      </c>
      <c r="D7120" s="6" t="n">
        <f aca="false">Sens!D7116</f>
        <v>128.528</v>
      </c>
      <c r="E7120" s="6" t="n">
        <f aca="false">Sens!E7116</f>
        <v>155.237</v>
      </c>
      <c r="F7120" s="6" t="n">
        <f aca="false">Sens!F7116+Sens!F7119</f>
        <v>189.764791326027</v>
      </c>
      <c r="G7120" s="6" t="n">
        <f aca="false">Sens!G7116+Sens!G7119</f>
        <v>233.59016341714</v>
      </c>
      <c r="H7120" s="6" t="n">
        <f aca="false">Sens!H7116+Sens!H7119</f>
        <v>283.230061071773</v>
      </c>
      <c r="I7120" s="6" t="n">
        <f aca="false">Sens!I7116+Sens!I7119</f>
        <v>323.95210589164</v>
      </c>
      <c r="J7120" s="6" t="n">
        <f aca="false">Sens!J7116+Sens!J7119</f>
        <v>357.228898171014</v>
      </c>
      <c r="K7120" s="6" t="n">
        <f aca="false">Sens!K7116+Sens!K7119</f>
        <v>384.037633327721</v>
      </c>
    </row>
    <row r="7121" customFormat="false" ht="17.15" hidden="false" customHeight="false" outlineLevel="0" collapsed="false">
      <c r="A7121" s="1" t="s">
        <v>919</v>
      </c>
      <c r="B7121" s="0" t="s">
        <v>98</v>
      </c>
      <c r="E7121" s="6" t="n">
        <f aca="false">Sens!E7064</f>
        <v>16.3054059770833</v>
      </c>
      <c r="F7121" s="6" t="n">
        <f aca="false">Sens!F7064</f>
        <v>34.0498873809555</v>
      </c>
      <c r="G7121" s="6" t="n">
        <f aca="false">Sens!G7064</f>
        <v>59.1254371105111</v>
      </c>
      <c r="H7121" s="6" t="n">
        <f aca="false">Sens!H7064</f>
        <v>86.3610198433111</v>
      </c>
      <c r="I7121" s="6" t="n">
        <f aca="false">Sens!I7064</f>
        <v>110.605743832393</v>
      </c>
      <c r="J7121" s="6" t="n">
        <f aca="false">Sens!J7064</f>
        <v>127.998322852843</v>
      </c>
      <c r="K7121" s="6" t="n">
        <f aca="false">Sens!K7064</f>
        <v>139.131464044308</v>
      </c>
    </row>
    <row r="7122" customFormat="false" ht="17.15" hidden="false" customHeight="false" outlineLevel="0" collapsed="false">
      <c r="A7122" s="1" t="s">
        <v>920</v>
      </c>
      <c r="B7122" s="0" t="s">
        <v>98</v>
      </c>
      <c r="E7122" s="6" t="n">
        <f aca="false">Sens!E7146</f>
        <v>22.2285940229167</v>
      </c>
      <c r="F7122" s="6" t="n">
        <f aca="false">Sens!F7146</f>
        <v>24.3924470334783</v>
      </c>
      <c r="G7122" s="6" t="n">
        <f aca="false">Sens!G7146</f>
        <v>26.1584916871694</v>
      </c>
      <c r="H7122" s="6" t="n">
        <f aca="false">Sens!H7146</f>
        <v>28.3617938828615</v>
      </c>
      <c r="I7122" s="6" t="n">
        <f aca="false">Sens!I7146</f>
        <v>30.9194545257397</v>
      </c>
      <c r="J7122" s="6" t="n">
        <f aca="false">Sens!J7146</f>
        <v>33.7336003982031</v>
      </c>
      <c r="K7122" s="6" t="n">
        <f aca="false">Sens!K7146</f>
        <v>36.7191106325822</v>
      </c>
    </row>
    <row r="7123" customFormat="false" ht="17.15" hidden="false" customHeight="false" outlineLevel="0" collapsed="false">
      <c r="A7123" s="1" t="s">
        <v>921</v>
      </c>
      <c r="B7123" s="0" t="s">
        <v>98</v>
      </c>
      <c r="D7123" s="6" t="n">
        <f aca="false">Q!L27</f>
        <v>-4.901</v>
      </c>
      <c r="E7123" s="6" t="n">
        <f aca="false">Q!M27</f>
        <v>10.697</v>
      </c>
      <c r="F7123" s="6" t="n">
        <f aca="false">oie_f</f>
        <v>-0.4</v>
      </c>
      <c r="G7123" s="6" t="n">
        <f aca="false">oie_f</f>
        <v>-0.4</v>
      </c>
      <c r="H7123" s="6" t="n">
        <f aca="false">oie_f</f>
        <v>-0.4</v>
      </c>
      <c r="I7123" s="6" t="n">
        <f aca="false">oie_f</f>
        <v>-0.4</v>
      </c>
      <c r="J7123" s="6" t="n">
        <f aca="false">oie_f</f>
        <v>-0.4</v>
      </c>
      <c r="K7123" s="6" t="n">
        <f aca="false">oie_f</f>
        <v>-0.4</v>
      </c>
      <c r="L7123" s="11" t="s">
        <v>922</v>
      </c>
    </row>
    <row r="7124" customFormat="false" ht="15" hidden="false" customHeight="false" outlineLevel="0" collapsed="false">
      <c r="A7124" s="1" t="s">
        <v>923</v>
      </c>
      <c r="B7124" s="0" t="s">
        <v>98</v>
      </c>
      <c r="D7124" s="6" t="n">
        <f aca="false">Sens!D7116+Sens!D7123</f>
        <v>123.627</v>
      </c>
      <c r="E7124" s="6" t="n">
        <f aca="false">Sens!E7116+Sens!E7123</f>
        <v>165.934</v>
      </c>
      <c r="F7124" s="6" t="n">
        <f aca="false">Sens!F7116+Sens!F7123</f>
        <v>182.46389172576</v>
      </c>
      <c r="G7124" s="6" t="n">
        <f aca="false">Sens!G7116+Sens!G7123</f>
        <v>214.394149214342</v>
      </c>
      <c r="H7124" s="6" t="n">
        <f aca="false">Sens!H7116+Sens!H7123</f>
        <v>250.604953315921</v>
      </c>
      <c r="I7124" s="6" t="n">
        <f aca="false">Sens!I7116+Sens!I7123</f>
        <v>278.550745476611</v>
      </c>
      <c r="J7124" s="6" t="n">
        <f aca="false">Sens!J7116+Sens!J7123</f>
        <v>302.678311457087</v>
      </c>
      <c r="K7124" s="6" t="n">
        <f aca="false">Sens!K7116+Sens!K7123</f>
        <v>324.813670513841</v>
      </c>
    </row>
    <row r="7125" customFormat="false" ht="15" hidden="false" customHeight="false" outlineLevel="0" collapsed="false">
      <c r="A7125" s="1" t="s">
        <v>924</v>
      </c>
      <c r="B7125" s="0" t="s">
        <v>98</v>
      </c>
      <c r="D7125" s="6" t="n">
        <f aca="false">Q!L29</f>
        <v>21.795</v>
      </c>
      <c r="E7125" s="6" t="n">
        <f aca="false">Q!M29</f>
        <v>32.185</v>
      </c>
      <c r="F7125" s="6" t="n">
        <f aca="false">Sens!F7124*tax_f</f>
        <v>36.4927783451521</v>
      </c>
      <c r="G7125" s="6" t="n">
        <f aca="false">Sens!G7124*tax_f</f>
        <v>42.8788298428683</v>
      </c>
      <c r="H7125" s="6" t="n">
        <f aca="false">Sens!H7124*tax_f</f>
        <v>50.1209906631841</v>
      </c>
      <c r="I7125" s="6" t="n">
        <f aca="false">Sens!I7124*tax_f</f>
        <v>55.7101490953223</v>
      </c>
      <c r="J7125" s="6" t="n">
        <f aca="false">Sens!J7124*tax_f</f>
        <v>60.5356622914175</v>
      </c>
      <c r="K7125" s="6" t="n">
        <f aca="false">Sens!K7124*tax_f</f>
        <v>64.9627341027682</v>
      </c>
    </row>
    <row r="7126" customFormat="false" ht="15" hidden="false" customHeight="false" outlineLevel="0" collapsed="false">
      <c r="A7126" s="1" t="s">
        <v>925</v>
      </c>
      <c r="B7126" s="0" t="s">
        <v>98</v>
      </c>
      <c r="D7126" s="6" t="n">
        <f aca="false">Sens!D7124-Sens!D7125</f>
        <v>101.832</v>
      </c>
      <c r="E7126" s="6" t="n">
        <f aca="false">Sens!E7124-Sens!E7125</f>
        <v>133.749</v>
      </c>
      <c r="F7126" s="6" t="n">
        <f aca="false">Sens!F7124-Sens!F7125</f>
        <v>145.971113380608</v>
      </c>
      <c r="G7126" s="6" t="n">
        <f aca="false">Sens!G7124-Sens!G7125</f>
        <v>171.515319371473</v>
      </c>
      <c r="H7126" s="6" t="n">
        <f aca="false">Sens!H7124-Sens!H7125</f>
        <v>200.483962652737</v>
      </c>
      <c r="I7126" s="6" t="n">
        <f aca="false">Sens!I7124-Sens!I7125</f>
        <v>222.840596381289</v>
      </c>
      <c r="J7126" s="6" t="n">
        <f aca="false">Sens!J7124-Sens!J7125</f>
        <v>242.14264916567</v>
      </c>
      <c r="K7126" s="6" t="n">
        <f aca="false">Sens!K7124-Sens!K7125</f>
        <v>259.850936411073</v>
      </c>
    </row>
    <row r="7127" customFormat="false" ht="17.15" hidden="false" customHeight="false" outlineLevel="0" collapsed="false">
      <c r="A7127" s="1" t="s">
        <v>926</v>
      </c>
      <c r="B7127" s="1" t="s">
        <v>81</v>
      </c>
      <c r="D7127" s="14" t="n">
        <f aca="false">Q!L31</f>
        <v>7.465</v>
      </c>
      <c r="E7127" s="14" t="n">
        <f aca="false">Q!M31</f>
        <v>7.453</v>
      </c>
      <c r="F7127" s="14" t="n">
        <f aca="false">Sens!F7170</f>
        <v>7.4735</v>
      </c>
      <c r="G7127" s="14" t="n">
        <f aca="false">Sens!G7170</f>
        <v>7.50665033470535</v>
      </c>
      <c r="H7127" s="14" t="n">
        <f aca="false">Sens!H7170</f>
        <v>7.52255225526064</v>
      </c>
      <c r="I7127" s="14" t="n">
        <f aca="false">Sens!I7170</f>
        <v>7.53433308726795</v>
      </c>
      <c r="J7127" s="14" t="n">
        <f aca="false">Sens!J7170</f>
        <v>7.54857459838584</v>
      </c>
      <c r="K7127" s="14" t="n">
        <f aca="false">Sens!K7170</f>
        <v>7.56509451608758</v>
      </c>
    </row>
    <row r="7128" customFormat="false" ht="17.15" hidden="false" customHeight="false" outlineLevel="0" collapsed="false">
      <c r="A7128" s="0" t="s">
        <v>927</v>
      </c>
      <c r="B7128" s="0" t="s">
        <v>75</v>
      </c>
      <c r="D7128" s="8" t="n">
        <f aca="false">Sens!D7126/Sens!D7127</f>
        <v>13.641259209645</v>
      </c>
      <c r="E7128" s="8" t="n">
        <f aca="false">Sens!E7126/Sens!E7127</f>
        <v>17.9456594659869</v>
      </c>
      <c r="F7128" s="8" t="n">
        <f aca="false">Sens!F7126/Sens!F7127</f>
        <v>19.5318275748455</v>
      </c>
      <c r="G7128" s="8" t="n">
        <f aca="false">Sens!G7126/Sens!G7127</f>
        <v>22.8484492715093</v>
      </c>
      <c r="H7128" s="8" t="n">
        <f aca="false">Sens!H7126/Sens!H7127</f>
        <v>26.6510561641542</v>
      </c>
      <c r="I7128" s="8" t="n">
        <f aca="false">Sens!I7126/Sens!I7127</f>
        <v>29.5766849965607</v>
      </c>
      <c r="J7128" s="8" t="n">
        <f aca="false">Sens!J7126/Sens!J7127</f>
        <v>32.077930211811</v>
      </c>
      <c r="K7128" s="8" t="n">
        <f aca="false">Sens!K7126/Sens!K7127</f>
        <v>34.3486701796634</v>
      </c>
      <c r="L7128" s="1" t="s">
        <v>928</v>
      </c>
    </row>
    <row r="7129" customFormat="false" ht="17.15" hidden="false" customHeight="false" outlineLevel="0" collapsed="false">
      <c r="A7129" s="1" t="s">
        <v>929</v>
      </c>
      <c r="B7129" s="0" t="s">
        <v>98</v>
      </c>
      <c r="D7129" s="6" t="n">
        <f aca="false">Sens!D7126</f>
        <v>101.832</v>
      </c>
      <c r="E7129" s="6" t="n">
        <f aca="false">Sens!E7126</f>
        <v>133.749</v>
      </c>
      <c r="F7129" s="6" t="n">
        <f aca="false">Sens!F7126+Sens!F7119*(1-tax_f)</f>
        <v>151.491833060821</v>
      </c>
      <c r="G7129" s="6" t="n">
        <f aca="false">Sens!G7126+Sens!G7119*(1-tax_f)</f>
        <v>186.552130733712</v>
      </c>
      <c r="H7129" s="6" t="n">
        <f aca="false">Sens!H7126+Sens!H7119*(1-tax_f)</f>
        <v>226.264048857418</v>
      </c>
      <c r="I7129" s="6" t="n">
        <f aca="false">Sens!I7126+Sens!I7119*(1-tax_f)</f>
        <v>258.841684713312</v>
      </c>
      <c r="J7129" s="6" t="n">
        <f aca="false">Sens!J7126+Sens!J7119*(1-tax_f)</f>
        <v>285.463118536811</v>
      </c>
      <c r="K7129" s="6" t="n">
        <f aca="false">Sens!K7126+Sens!K7119*(1-tax_f)</f>
        <v>306.910106662177</v>
      </c>
    </row>
    <row r="7130" customFormat="false" ht="17.15" hidden="false" customHeight="false" outlineLevel="0" collapsed="false">
      <c r="A7130" s="0" t="s">
        <v>930</v>
      </c>
      <c r="B7130" s="0" t="s">
        <v>75</v>
      </c>
      <c r="D7130" s="8" t="n">
        <f aca="false">Sens!D7129/Sens!D7127</f>
        <v>13.641259209645</v>
      </c>
      <c r="E7130" s="8" t="n">
        <f aca="false">Sens!E7129/Sens!E7127</f>
        <v>17.9456594659869</v>
      </c>
      <c r="F7130" s="8" t="n">
        <f aca="false">Sens!F7129/Sens!F7127</f>
        <v>20.2705336269246</v>
      </c>
      <c r="G7130" s="8" t="n">
        <f aca="false">Sens!G7129/Sens!G7127</f>
        <v>24.8515812533893</v>
      </c>
      <c r="H7130" s="8" t="n">
        <f aca="false">Sens!H7129/Sens!H7127</f>
        <v>30.0780959945062</v>
      </c>
      <c r="I7130" s="8" t="n">
        <f aca="false">Sens!I7129/Sens!I7127</f>
        <v>34.354956399621</v>
      </c>
      <c r="J7130" s="8" t="n">
        <f aca="false">Sens!J7129/Sens!J7127</f>
        <v>37.8168241985518</v>
      </c>
      <c r="K7130" s="8" t="n">
        <f aca="false">Sens!K7129/Sens!K7127</f>
        <v>40.5692362480754</v>
      </c>
      <c r="L7130" s="1" t="s">
        <v>931</v>
      </c>
    </row>
    <row r="7131" customFormat="false" ht="17.15" hidden="false" customHeight="false" outlineLevel="0" collapsed="false">
      <c r="A7131" s="0" t="s">
        <v>932</v>
      </c>
      <c r="B7131" s="0" t="s">
        <v>129</v>
      </c>
      <c r="E7131" s="7" t="n">
        <f aca="false">Sens!E7130/Sens!D7130-1</f>
        <v>0.315542736208578</v>
      </c>
      <c r="F7131" s="7" t="n">
        <f aca="false">Sens!F7130/Sens!E7130-1</f>
        <v>0.12955077885793</v>
      </c>
      <c r="G7131" s="7" t="n">
        <f aca="false">Sens!G7130/Sens!F7130-1</f>
        <v>0.225995413380723</v>
      </c>
      <c r="H7131" s="7" t="n">
        <f aca="false">Sens!H7130/Sens!G7130-1</f>
        <v>0.210309142417408</v>
      </c>
      <c r="I7131" s="7" t="n">
        <f aca="false">Sens!I7130/Sens!H7130-1</f>
        <v>0.142191859680745</v>
      </c>
      <c r="J7131" s="7" t="n">
        <f aca="false">Sens!J7130/Sens!I7130-1</f>
        <v>0.100767637678302</v>
      </c>
      <c r="K7131" s="7" t="n">
        <f aca="false">Sens!K7130/Sens!J7130-1</f>
        <v>0.072782739107665</v>
      </c>
    </row>
    <row r="7132" customFormat="false" ht="17.15" hidden="false" customHeight="false" outlineLevel="0" collapsed="false">
      <c r="A7132" s="0" t="s">
        <v>856</v>
      </c>
      <c r="B7132" s="0" t="s">
        <v>98</v>
      </c>
      <c r="E7132" s="6" t="n">
        <f aca="false">Sens!E7073</f>
        <v>5.25</v>
      </c>
      <c r="F7132" s="6" t="n">
        <f aca="false">Sens!F7073</f>
        <v>16.2</v>
      </c>
      <c r="G7132" s="6" t="n">
        <f aca="false">Sens!G7073</f>
        <v>27</v>
      </c>
      <c r="H7132" s="6" t="n">
        <f aca="false">Sens!H7073</f>
        <v>37.8</v>
      </c>
      <c r="I7132" s="6" t="n">
        <f aca="false">Sens!I7073</f>
        <v>45.9</v>
      </c>
      <c r="J7132" s="6" t="n">
        <f aca="false">Sens!J7073</f>
        <v>51.3</v>
      </c>
      <c r="K7132" s="6" t="n">
        <f aca="false">Sens!K7073</f>
        <v>56.7</v>
      </c>
    </row>
    <row r="7133" customFormat="false" ht="17.15" hidden="false" customHeight="false" outlineLevel="0" collapsed="false">
      <c r="A7133" s="1" t="s">
        <v>857</v>
      </c>
      <c r="B7133" s="0" t="s">
        <v>98</v>
      </c>
      <c r="F7133" s="6" t="n">
        <f aca="false">MAX(0,((Sens!E7036+Sens!F7036)/2-(shadow_base*(Sens!$D$7036+Sens!$E$7036)/2+(1-shadow_base)*Sens!$E$7036))*Sens!F7044/1000-(Sens!F7132-Sens!$E$7132)*Sens!F7112)</f>
        <v>6.90089960026641</v>
      </c>
      <c r="G7133" s="6" t="n">
        <f aca="false">MAX(0,((Sens!F7036+Sens!G7036)/2-(shadow_base*(Sens!$D$7036+Sens!$E$7036)/2+(1-shadow_base)*Sens!$E$7036))*Sens!G7044/1000-(Sens!G7132-Sens!$E$7132)*Sens!G7112)</f>
        <v>18.7960142027985</v>
      </c>
      <c r="H7133" s="6" t="n">
        <f aca="false">MAX(0,((Sens!G7036+Sens!H7036)/2-(shadow_base*(Sens!$D$7036+Sens!$E$7036)/2+(1-shadow_base)*Sens!$E$7036))*Sens!H7044/1000-(Sens!H7132-Sens!$E$7132)*Sens!H7112)</f>
        <v>32.2251077558523</v>
      </c>
      <c r="I7133" s="6" t="n">
        <f aca="false">MAX(0,((Sens!H7036+Sens!I7036)/2-(shadow_base*(Sens!$D$7036+Sens!$E$7036)/2+(1-shadow_base)*Sens!$E$7036))*Sens!I7044/1000-(Sens!I7132-Sens!$E$7132)*Sens!I7112)</f>
        <v>45.0013604150288</v>
      </c>
      <c r="J7133" s="6" t="n">
        <f aca="false">MAX(0,((Sens!I7036+Sens!J7036)/2-(shadow_base*(Sens!$D$7036+Sens!$E$7036)/2+(1-shadow_base)*Sens!$E$7036))*Sens!J7044/1000-(Sens!J7132-Sens!$E$7132)*Sens!J7112)</f>
        <v>54.1505867139265</v>
      </c>
      <c r="K7133" s="6" t="n">
        <f aca="false">MAX(0,((Sens!J7036+Sens!K7036)/2-(shadow_base*(Sens!$D$7036+Sens!$E$7036)/2+(1-shadow_base)*Sens!$E$7036))*Sens!K7044/1000-(Sens!K7132-Sens!$E$7132)*Sens!K7112)</f>
        <v>58.8239628138803</v>
      </c>
      <c r="L7133" s="1" t="s">
        <v>858</v>
      </c>
    </row>
    <row r="7134" customFormat="false" ht="17.15" hidden="false" customHeight="false" outlineLevel="0" collapsed="false">
      <c r="A7134" s="1" t="s">
        <v>859</v>
      </c>
      <c r="B7134" s="0" t="s">
        <v>98</v>
      </c>
      <c r="F7134" s="6" t="n">
        <f aca="false">IF(internal_ai_reading=2,1,0)*Sens!F7133</f>
        <v>6.90089960026641</v>
      </c>
      <c r="G7134" s="6" t="n">
        <f aca="false">IF(internal_ai_reading=2,1,0)*Sens!G7133</f>
        <v>18.7960142027985</v>
      </c>
      <c r="H7134" s="6" t="n">
        <f aca="false">IF(internal_ai_reading=2,1,0)*Sens!H7133</f>
        <v>32.2251077558523</v>
      </c>
      <c r="I7134" s="6" t="n">
        <f aca="false">IF(internal_ai_reading=2,1,0)*Sens!I7133</f>
        <v>45.0013604150288</v>
      </c>
      <c r="J7134" s="6" t="n">
        <f aca="false">IF(internal_ai_reading=2,1,0)*Sens!J7133</f>
        <v>54.1505867139265</v>
      </c>
      <c r="K7134" s="6" t="n">
        <f aca="false">IF(internal_ai_reading=2,1,0)*Sens!K7133</f>
        <v>58.8239628138803</v>
      </c>
    </row>
    <row r="7135" customFormat="false" ht="17.15" hidden="false" customHeight="false" outlineLevel="0" collapsed="false">
      <c r="A7135" s="0" t="s">
        <v>860</v>
      </c>
      <c r="B7135" s="0" t="s">
        <v>98</v>
      </c>
      <c r="F7135" s="6" t="n">
        <f aca="false">Sens!F7053+Sens!F7132*Sens!F7112+Sens!F7134-Sens!F7054-Sens!F7064</f>
        <v>18.6954441577666</v>
      </c>
      <c r="G7135" s="6" t="n">
        <f aca="false">Sens!G7053+Sens!G7132*Sens!G7112+Sens!G7134-Sens!G7054-Sens!G7064</f>
        <v>42.7730967717415</v>
      </c>
      <c r="H7135" s="6" t="n">
        <f aca="false">Sens!H7053+Sens!H7132*Sens!H7112+Sens!H7134-Sens!H7054-Sens!H7064</f>
        <v>72.3524695349497</v>
      </c>
      <c r="I7135" s="6" t="n">
        <f aca="false">Sens!I7053+Sens!I7132*Sens!I7112+Sens!I7134-Sens!I7054-Sens!I7064</f>
        <v>93.3920399917181</v>
      </c>
      <c r="J7135" s="6" t="n">
        <f aca="false">Sens!J7053+Sens!J7132*Sens!J7112+Sens!J7134-Sens!J7054-Sens!J7064</f>
        <v>108.132424046476</v>
      </c>
      <c r="K7135" s="6" t="n">
        <f aca="false">Sens!K7053+Sens!K7132*Sens!K7112+Sens!K7134-Sens!K7054-Sens!K7064</f>
        <v>118.341283106908</v>
      </c>
    </row>
    <row r="7136" customFormat="false" ht="17.15" hidden="false" customHeight="false" outlineLevel="0" collapsed="false">
      <c r="A7136" s="0" t="s">
        <v>861</v>
      </c>
      <c r="B7136" s="0" t="s">
        <v>98</v>
      </c>
      <c r="E7136" s="6" t="n">
        <f aca="false">Sens!E7035*(cxit_open+self_build*tk_cxfac)/1000*ai_net_open</f>
        <v>126.6980382</v>
      </c>
      <c r="F7136" s="6" t="n">
        <f aca="false">Sens!E7136+Sens!F7061-Sens!F7064</f>
        <v>252.981026690511</v>
      </c>
      <c r="G7136" s="6" t="n">
        <f aca="false">Sens!F7136+Sens!G7061-Sens!G7064</f>
        <v>377.4297700632</v>
      </c>
      <c r="H7136" s="6" t="n">
        <f aca="false">Sens!G7136+Sens!H7061-Sens!H7064</f>
        <v>479.149036130289</v>
      </c>
      <c r="I7136" s="6" t="n">
        <f aca="false">Sens!H7136+Sens!I7061-Sens!I7064</f>
        <v>532.249961452141</v>
      </c>
      <c r="J7136" s="6" t="n">
        <f aca="false">Sens!I7136+Sens!J7061-Sens!J7064</f>
        <v>531.43307519354</v>
      </c>
      <c r="K7136" s="6" t="n">
        <f aca="false">Sens!J7136+Sens!K7061-Sens!K7064</f>
        <v>513.709026452823</v>
      </c>
      <c r="L7136" s="1" t="s">
        <v>862</v>
      </c>
    </row>
    <row r="7137" customFormat="false" ht="17.15" hidden="false" customHeight="false" outlineLevel="0" collapsed="false">
      <c r="A7137" s="0" t="s">
        <v>863</v>
      </c>
      <c r="B7137" s="0" t="s">
        <v>129</v>
      </c>
      <c r="F7137" s="7" t="n">
        <f aca="false">Sens!F7135*(1-tax_f)/((Sens!E7136+Sens!F7136)/2)</f>
        <v>0.0787841980727922</v>
      </c>
      <c r="G7137" s="7" t="n">
        <f aca="false">Sens!G7135*(1-tax_f)/((Sens!F7136+Sens!G7136)/2)</f>
        <v>0.108559300042451</v>
      </c>
      <c r="H7137" s="7" t="n">
        <f aca="false">Sens!H7135*(1-tax_f)/((Sens!G7136+Sens!H7136)/2)</f>
        <v>0.135146877810762</v>
      </c>
      <c r="I7137" s="7" t="n">
        <f aca="false">Sens!I7135*(1-tax_f)/((Sens!H7136+Sens!I7136)/2)</f>
        <v>0.147743140287788</v>
      </c>
      <c r="J7137" s="7" t="n">
        <f aca="false">Sens!J7135*(1-tax_f)/((Sens!I7136+Sens!J7136)/2)</f>
        <v>0.162653603107137</v>
      </c>
      <c r="K7137" s="7" t="n">
        <f aca="false">Sens!K7135*(1-tax_f)/((Sens!J7136+Sens!K7136)/2)</f>
        <v>0.181167759554213</v>
      </c>
    </row>
    <row r="7138" customFormat="false" ht="17.15" hidden="false" customHeight="false" outlineLevel="0" collapsed="false">
      <c r="A7138" s="1" t="s">
        <v>864</v>
      </c>
      <c r="B7138" s="0" t="s">
        <v>129</v>
      </c>
      <c r="F7138" s="7" t="n">
        <f aca="false">(Sens!F7135-Sens!F7134)*(1-tax_f)/((Sens!E7136+Sens!F7136)/2)</f>
        <v>0.0497032178938869</v>
      </c>
      <c r="G7138" s="7" t="n">
        <f aca="false">(Sens!G7135-Sens!G7134)*(1-tax_f)/((Sens!F7136+Sens!G7136)/2)</f>
        <v>0.0608544972704467</v>
      </c>
      <c r="H7138" s="7" t="n">
        <f aca="false">(Sens!H7135-Sens!H7134)*(1-tax_f)/((Sens!G7136+Sens!H7136)/2)</f>
        <v>0.0749537326657288</v>
      </c>
      <c r="I7138" s="7" t="n">
        <f aca="false">(Sens!I7135-Sens!I7134)*(1-tax_f)/((Sens!H7136+Sens!I7136)/2)</f>
        <v>0.0765524659484277</v>
      </c>
      <c r="J7138" s="7" t="n">
        <f aca="false">(Sens!J7135-Sens!J7134)*(1-tax_f)/((Sens!I7136+Sens!J7136)/2)</f>
        <v>0.0811998845111312</v>
      </c>
      <c r="K7138" s="7" t="n">
        <f aca="false">(Sens!K7135-Sens!K7134)*(1-tax_f)/((Sens!J7136+Sens!K7136)/2)</f>
        <v>0.0911146075914814</v>
      </c>
    </row>
    <row r="7139" customFormat="false" ht="17.15" hidden="false" customHeight="false" outlineLevel="0" collapsed="false">
      <c r="A7139" s="1" t="s">
        <v>865</v>
      </c>
      <c r="B7139" s="0" t="s">
        <v>129</v>
      </c>
      <c r="F7139" s="7" t="n">
        <f aca="false">(Sens!F7135-Sens!F7134+Sens!F7133)*(1-tax_f)/((Sens!E7136+Sens!F7136)/2)</f>
        <v>0.0787841980727922</v>
      </c>
      <c r="G7139" s="7" t="n">
        <f aca="false">(Sens!G7135-Sens!G7134+Sens!G7133)*(1-tax_f)/((Sens!F7136+Sens!G7136)/2)</f>
        <v>0.108559300042451</v>
      </c>
      <c r="H7139" s="7" t="n">
        <f aca="false">(Sens!H7135-Sens!H7134+Sens!H7133)*(1-tax_f)/((Sens!G7136+Sens!H7136)/2)</f>
        <v>0.135146877810762</v>
      </c>
      <c r="I7139" s="7" t="n">
        <f aca="false">(Sens!I7135-Sens!I7134+Sens!I7133)*(1-tax_f)/((Sens!H7136+Sens!I7136)/2)</f>
        <v>0.147743140287788</v>
      </c>
      <c r="J7139" s="7" t="n">
        <f aca="false">(Sens!J7135-Sens!J7134+Sens!J7133)*(1-tax_f)/((Sens!I7136+Sens!J7136)/2)</f>
        <v>0.162653603107137</v>
      </c>
      <c r="K7139" s="7" t="n">
        <f aca="false">(Sens!K7135-Sens!K7134+Sens!K7133)*(1-tax_f)/((Sens!J7136+Sens!K7136)/2)</f>
        <v>0.181167759554213</v>
      </c>
    </row>
    <row r="7140" customFormat="false" ht="17.15" hidden="false" customHeight="false" outlineLevel="0" collapsed="false">
      <c r="A7140" s="1" t="s">
        <v>866</v>
      </c>
      <c r="B7140" s="0" t="s">
        <v>129</v>
      </c>
      <c r="F7140" s="7" t="n">
        <f aca="false">Sens!F7065*(1-tax_f)/(Sens!F7052*(Sens!E7136+Sens!F7136)/2)</f>
        <v>0.159418295257403</v>
      </c>
      <c r="G7140" s="7" t="n">
        <f aca="false">Sens!G7065*(1-tax_f)/(Sens!G7052*(Sens!F7136+Sens!G7136)/2)</f>
        <v>0.181875227327983</v>
      </c>
      <c r="H7140" s="7" t="n">
        <f aca="false">Sens!H7065*(1-tax_f)/(Sens!H7052*(Sens!G7136+Sens!H7136)/2)</f>
        <v>0.212793847216411</v>
      </c>
      <c r="I7140" s="7" t="n">
        <f aca="false">Sens!I7065*(1-tax_f)/(Sens!I7052*(Sens!H7136+Sens!I7136)/2)</f>
        <v>0.225613268329429</v>
      </c>
      <c r="J7140" s="7" t="n">
        <f aca="false">Sens!J7065*(1-tax_f)/(Sens!J7052*(Sens!I7136+Sens!J7136)/2)</f>
        <v>0.24488839563955</v>
      </c>
      <c r="K7140" s="7" t="n">
        <f aca="false">Sens!K7065*(1-tax_f)/(Sens!K7052*(Sens!J7136+Sens!K7136)/2)</f>
        <v>0.270711455180788</v>
      </c>
    </row>
    <row r="7141" customFormat="false" ht="17.15" hidden="false" customHeight="false" outlineLevel="0" collapsed="false">
      <c r="A7141" s="0" t="s">
        <v>867</v>
      </c>
      <c r="B7141" s="0" t="s">
        <v>209</v>
      </c>
      <c r="F7141" s="7" t="n">
        <f aca="false">Sens!F7137-wacc</f>
        <v>-0.0241502220200835</v>
      </c>
      <c r="G7141" s="7" t="n">
        <f aca="false">Sens!G7137-wacc</f>
        <v>0.00562487994957479</v>
      </c>
      <c r="H7141" s="7" t="n">
        <f aca="false">Sens!H7137-wacc</f>
        <v>0.0322124577178859</v>
      </c>
      <c r="I7141" s="7" t="n">
        <f aca="false">Sens!I7137-wacc</f>
        <v>0.044808720194912</v>
      </c>
      <c r="J7141" s="7" t="n">
        <f aca="false">Sens!J7137-wacc</f>
        <v>0.0597191830142614</v>
      </c>
      <c r="K7141" s="7" t="n">
        <f aca="false">Sens!K7137-wacc</f>
        <v>0.0782333394613372</v>
      </c>
    </row>
    <row r="7142" customFormat="false" ht="17.15" hidden="false" customHeight="false" outlineLevel="0" collapsed="false">
      <c r="A7142" s="0" t="s">
        <v>868</v>
      </c>
      <c r="B7142" s="0" t="s">
        <v>98</v>
      </c>
      <c r="F7142" s="6" t="n">
        <f aca="false">Sens!F7135*(1-tax_f)-wacc*(Sens!E7136+Sens!F7136)/2</f>
        <v>-4.58466685674177</v>
      </c>
      <c r="G7142" s="6" t="n">
        <f aca="false">Sens!G7135*(1-tax_f)-wacc*(Sens!F7136+Sens!G7136)/2</f>
        <v>1.77299252532771</v>
      </c>
      <c r="H7142" s="6" t="n">
        <f aca="false">Sens!H7135*(1-tax_f)-wacc*(Sens!G7136+Sens!H7136)/2</f>
        <v>13.7962542882725</v>
      </c>
      <c r="I7142" s="6" t="n">
        <f aca="false">Sens!I7135*(1-tax_f)-wacc*(Sens!H7136+Sens!I7136)/2</f>
        <v>22.6597473440428</v>
      </c>
      <c r="J7142" s="6" t="n">
        <f aca="false">Sens!J7135*(1-tax_f)-wacc*(Sens!I7136+Sens!J7136)/2</f>
        <v>31.7611409673044</v>
      </c>
      <c r="K7142" s="6" t="n">
        <f aca="false">Sens!K7135*(1-tax_f)-wacc*(Sens!J7136+Sens!K7136)/2</f>
        <v>40.8824784117176</v>
      </c>
    </row>
    <row r="7143" customFormat="false" ht="17.15" hidden="false" customHeight="false" outlineLevel="0" collapsed="false">
      <c r="A7143" s="3" t="s">
        <v>1445</v>
      </c>
    </row>
    <row r="7144" customFormat="false" ht="15" hidden="false" customHeight="false" outlineLevel="0" collapsed="false">
      <c r="A7144" s="4" t="s">
        <v>43</v>
      </c>
      <c r="B7144" s="4" t="s">
        <v>65</v>
      </c>
      <c r="C7144" s="20" t="s">
        <v>799</v>
      </c>
      <c r="D7144" s="20" t="s">
        <v>800</v>
      </c>
      <c r="E7144" s="20" t="s">
        <v>801</v>
      </c>
      <c r="F7144" s="20" t="s">
        <v>802</v>
      </c>
      <c r="G7144" s="20" t="s">
        <v>803</v>
      </c>
      <c r="H7144" s="20" t="s">
        <v>804</v>
      </c>
      <c r="I7144" s="20" t="s">
        <v>805</v>
      </c>
      <c r="J7144" s="20" t="s">
        <v>806</v>
      </c>
      <c r="K7144" s="20" t="s">
        <v>807</v>
      </c>
      <c r="L7144" s="4" t="s">
        <v>47</v>
      </c>
    </row>
    <row r="7145" customFormat="false" ht="15" hidden="false" customHeight="false" outlineLevel="0" collapsed="false">
      <c r="A7145" s="1" t="s">
        <v>925</v>
      </c>
      <c r="B7145" s="0" t="s">
        <v>98</v>
      </c>
      <c r="F7145" s="6" t="n">
        <f aca="false">Sens!F7126</f>
        <v>145.971113380608</v>
      </c>
      <c r="G7145" s="6" t="n">
        <f aca="false">Sens!G7126</f>
        <v>171.515319371473</v>
      </c>
      <c r="H7145" s="6" t="n">
        <f aca="false">Sens!H7126</f>
        <v>200.483962652737</v>
      </c>
      <c r="I7145" s="6" t="n">
        <f aca="false">Sens!I7126</f>
        <v>222.840596381289</v>
      </c>
      <c r="J7145" s="6" t="n">
        <f aca="false">Sens!J7126</f>
        <v>242.14264916567</v>
      </c>
      <c r="K7145" s="6" t="n">
        <f aca="false">Sens!K7126</f>
        <v>259.850936411073</v>
      </c>
    </row>
    <row r="7146" customFormat="false" ht="17.15" hidden="false" customHeight="false" outlineLevel="0" collapsed="false">
      <c r="A7146" s="1" t="s">
        <v>947</v>
      </c>
      <c r="B7146" s="0" t="s">
        <v>98</v>
      </c>
      <c r="E7146" s="6" t="n">
        <f aca="false">Q!M38-Sens!E7064</f>
        <v>22.2285940229167</v>
      </c>
      <c r="F7146" s="6" t="n">
        <f aca="false">Sens!E7146*(1-1/life_nonai)+(Sens!F7153+Sens!F7154)/life_nonai</f>
        <v>24.3924470334783</v>
      </c>
      <c r="G7146" s="6" t="n">
        <f aca="false">Sens!F7146*(1-1/life_nonai)+(Sens!G7153)/life_nonai</f>
        <v>26.1584916871694</v>
      </c>
      <c r="H7146" s="6" t="n">
        <f aca="false">Sens!G7146*(1-1/life_nonai)+(Sens!H7153)/life_nonai</f>
        <v>28.3617938828615</v>
      </c>
      <c r="I7146" s="6" t="n">
        <f aca="false">Sens!H7146*(1-1/life_nonai)+(Sens!I7153)/life_nonai</f>
        <v>30.9194545257397</v>
      </c>
      <c r="J7146" s="6" t="n">
        <f aca="false">Sens!I7146*(1-1/life_nonai)+(Sens!J7153)/life_nonai</f>
        <v>33.7336003982031</v>
      </c>
      <c r="K7146" s="6" t="n">
        <f aca="false">Sens!J7146*(1-1/life_nonai)+(Sens!K7153)/life_nonai</f>
        <v>36.7191106325822</v>
      </c>
      <c r="L7146" s="11" t="s">
        <v>948</v>
      </c>
    </row>
    <row r="7147" customFormat="false" ht="17.15" hidden="false" customHeight="false" outlineLevel="0" collapsed="false">
      <c r="A7147" s="1" t="s">
        <v>949</v>
      </c>
      <c r="B7147" s="0" t="s">
        <v>98</v>
      </c>
      <c r="F7147" s="6" t="n">
        <f aca="false">Sens!$F$7154/life_nonai*(1-1/life_nonai)^(Sens!F7030-2027)</f>
        <v>0.786777689897088</v>
      </c>
      <c r="G7147" s="6" t="n">
        <f aca="false">Sens!$F$7154/life_nonai*(1-1/life_nonai)^(Sens!G7030-2027)</f>
        <v>0.708099920907379</v>
      </c>
      <c r="H7147" s="6" t="n">
        <f aca="false">Sens!$F$7154/life_nonai*(1-1/life_nonai)^(Sens!H7030-2027)</f>
        <v>0.637289928816641</v>
      </c>
      <c r="I7147" s="6" t="n">
        <f aca="false">Sens!$F$7154/life_nonai*(1-1/life_nonai)^(Sens!I7030-2027)</f>
        <v>0.573560935934977</v>
      </c>
      <c r="J7147" s="6" t="n">
        <f aca="false">Sens!$F$7154/life_nonai*(1-1/life_nonai)^(Sens!J7030-2027)</f>
        <v>0.51620484234148</v>
      </c>
      <c r="K7147" s="6" t="n">
        <f aca="false">Sens!$F$7154/life_nonai*(1-1/life_nonai)^(Sens!K7030-2027)</f>
        <v>0.464584358107332</v>
      </c>
      <c r="L7147" s="1" t="s">
        <v>950</v>
      </c>
    </row>
    <row r="7148" customFormat="false" ht="17.15" hidden="false" customHeight="false" outlineLevel="0" collapsed="false">
      <c r="A7148" s="1" t="s">
        <v>951</v>
      </c>
      <c r="B7148" s="0" t="s">
        <v>98</v>
      </c>
      <c r="E7148" s="6" t="n">
        <f aca="false">Sens!E7064+Sens!E7146</f>
        <v>38.534</v>
      </c>
      <c r="F7148" s="6" t="n">
        <f aca="false">Sens!F7064+Sens!F7146</f>
        <v>58.4423344144339</v>
      </c>
      <c r="G7148" s="6" t="n">
        <f aca="false">Sens!G7064+Sens!G7146</f>
        <v>85.2839287976806</v>
      </c>
      <c r="H7148" s="6" t="n">
        <f aca="false">Sens!H7064+Sens!H7146</f>
        <v>114.722813726173</v>
      </c>
      <c r="I7148" s="6" t="n">
        <f aca="false">Sens!I7064+Sens!I7146</f>
        <v>141.525198358132</v>
      </c>
      <c r="J7148" s="6" t="n">
        <f aca="false">Sens!J7064+Sens!J7146</f>
        <v>161.731923251046</v>
      </c>
      <c r="K7148" s="6" t="n">
        <f aca="false">Sens!K7064+Sens!K7146</f>
        <v>175.85057467689</v>
      </c>
    </row>
    <row r="7149" customFormat="false" ht="17.15" hidden="false" customHeight="false" outlineLevel="0" collapsed="false">
      <c r="A7149" s="1" t="s">
        <v>952</v>
      </c>
      <c r="B7149" s="0" t="s">
        <v>98</v>
      </c>
      <c r="F7149" s="6" t="n">
        <f aca="false">Sens!F7091*sbc_r</f>
        <v>15.2250121079576</v>
      </c>
      <c r="G7149" s="6" t="n">
        <f aca="false">Sens!G7091*sbc_r</f>
        <v>18.5461002970215</v>
      </c>
      <c r="H7149" s="6" t="n">
        <f aca="false">Sens!H7091*sbc_r</f>
        <v>22.1126624992094</v>
      </c>
      <c r="I7149" s="6" t="n">
        <f aca="false">Sens!I7091*sbc_r</f>
        <v>25.1561283277092</v>
      </c>
      <c r="J7149" s="6" t="n">
        <f aca="false">Sens!J7091*sbc_r</f>
        <v>27.6164165910115</v>
      </c>
      <c r="K7149" s="6" t="n">
        <f aca="false">Sens!K7091*sbc_r</f>
        <v>29.6133393700189</v>
      </c>
    </row>
    <row r="7150" customFormat="false" ht="17.15" hidden="false" customHeight="false" outlineLevel="0" collapsed="false">
      <c r="A7150" s="1" t="s">
        <v>953</v>
      </c>
      <c r="B7150" s="0" t="s">
        <v>98</v>
      </c>
      <c r="F7150" s="6" t="n">
        <f aca="false">wc27</f>
        <v>-4.895</v>
      </c>
      <c r="G7150" s="6" t="n">
        <f aca="false">wc_f</f>
        <v>0</v>
      </c>
      <c r="H7150" s="6" t="n">
        <f aca="false">wc_f</f>
        <v>0</v>
      </c>
      <c r="I7150" s="6" t="n">
        <f aca="false">wc_f</f>
        <v>0</v>
      </c>
      <c r="J7150" s="6" t="n">
        <f aca="false">wc_f</f>
        <v>0</v>
      </c>
      <c r="K7150" s="6" t="n">
        <f aca="false">wc_f</f>
        <v>0</v>
      </c>
      <c r="L7150" s="11" t="s">
        <v>954</v>
      </c>
    </row>
    <row r="7151" customFormat="false" ht="15" hidden="false" customHeight="false" outlineLevel="0" collapsed="false">
      <c r="A7151" s="1" t="s">
        <v>767</v>
      </c>
      <c r="B7151" s="0" t="s">
        <v>98</v>
      </c>
      <c r="E7151" s="6" t="n">
        <f aca="false">Q!M35</f>
        <v>182.935</v>
      </c>
      <c r="F7151" s="6" t="n">
        <f aca="false">Sens!F7145+Sens!F7148+Sens!F7149+Sens!F7150</f>
        <v>214.743459903</v>
      </c>
      <c r="G7151" s="6" t="n">
        <f aca="false">Sens!G7145+Sens!G7148+Sens!G7149+Sens!G7150</f>
        <v>275.345348466175</v>
      </c>
      <c r="H7151" s="6" t="n">
        <f aca="false">Sens!H7145+Sens!H7148+Sens!H7149+Sens!H7150</f>
        <v>337.319438878118</v>
      </c>
      <c r="I7151" s="6" t="n">
        <f aca="false">Sens!I7145+Sens!I7148+Sens!I7149+Sens!I7150</f>
        <v>389.521923067131</v>
      </c>
      <c r="J7151" s="6" t="n">
        <f aca="false">Sens!J7145+Sens!J7148+Sens!J7149+Sens!J7150</f>
        <v>431.490989007728</v>
      </c>
      <c r="K7151" s="6" t="n">
        <f aca="false">Sens!K7145+Sens!K7148+Sens!K7149+Sens!K7150</f>
        <v>465.314850457982</v>
      </c>
    </row>
    <row r="7152" customFormat="false" ht="17.15" hidden="false" customHeight="false" outlineLevel="0" collapsed="false">
      <c r="A7152" s="0" t="s">
        <v>955</v>
      </c>
      <c r="B7152" s="0" t="s">
        <v>98</v>
      </c>
      <c r="F7152" s="6" t="n">
        <f aca="false">Sens!F7061</f>
        <v>160.332875871467</v>
      </c>
      <c r="G7152" s="6" t="n">
        <f aca="false">Sens!G7061</f>
        <v>183.5741804832</v>
      </c>
      <c r="H7152" s="6" t="n">
        <f aca="false">Sens!H7061</f>
        <v>188.0802859104</v>
      </c>
      <c r="I7152" s="6" t="n">
        <f aca="false">Sens!I7061</f>
        <v>163.706669154245</v>
      </c>
      <c r="J7152" s="6" t="n">
        <f aca="false">Sens!J7061</f>
        <v>127.181436594242</v>
      </c>
      <c r="K7152" s="6" t="n">
        <f aca="false">Sens!K7061</f>
        <v>121.407415303591</v>
      </c>
    </row>
    <row r="7153" customFormat="false" ht="17.15" hidden="false" customHeight="false" outlineLevel="0" collapsed="false">
      <c r="A7153" s="1" t="s">
        <v>956</v>
      </c>
      <c r="B7153" s="0" t="s">
        <v>98</v>
      </c>
      <c r="E7153" s="6" t="n">
        <f aca="false">Sens!E7069*cx_azo+Sens!E7076*cx_m365+Sens!E7077*cx_lic+(Sens!E7079+Sens!E7081)*cx_ind+Sens!E7084*cx_srch+(Sens!E7086+Sens!E7088)*cx_dev</f>
        <v>30.1846587067718</v>
      </c>
      <c r="F7153" s="6" t="n">
        <f aca="false">Sens!F7069*cx_azo+Sens!F7076*cx_m365+Sens!F7077*cx_lic+(Sens!F7079+Sens!F7081)*cx_ind+Sens!F7084*cx_srch+(Sens!F7086+Sens!F7088)*cx_dev</f>
        <v>35.9993472295625</v>
      </c>
      <c r="G7153" s="6" t="n">
        <f aca="false">Sens!G7069*cx_azo+Sens!G7076*cx_m365+Sens!G7077*cx_lic+(Sens!G7079+Sens!G7081)*cx_ind+Sens!G7084*cx_srch+(Sens!G7086+Sens!G7088)*cx_dev</f>
        <v>42.0528935703892</v>
      </c>
      <c r="H7153" s="6" t="n">
        <f aca="false">Sens!H7069*cx_azo+Sens!H7076*cx_m365+Sens!H7077*cx_lic+(Sens!H7079+Sens!H7081)*cx_ind+Sens!H7084*cx_srch+(Sens!H7086+Sens!H7088)*cx_dev</f>
        <v>48.1915136440897</v>
      </c>
      <c r="I7153" s="6" t="n">
        <f aca="false">Sens!I7069*cx_azo+Sens!I7076*cx_m365+Sens!I7077*cx_lic+(Sens!I7079+Sens!I7081)*cx_ind+Sens!I7084*cx_srch+(Sens!I7086+Sens!I7088)*cx_dev</f>
        <v>53.9384003116439</v>
      </c>
      <c r="J7153" s="6" t="n">
        <f aca="false">Sens!J7069*cx_azo+Sens!J7076*cx_m365+Sens!J7077*cx_lic+(Sens!J7079+Sens!J7081)*cx_ind+Sens!J7084*cx_srch+(Sens!J7086+Sens!J7088)*cx_dev</f>
        <v>59.0609132503738</v>
      </c>
      <c r="K7153" s="6" t="n">
        <f aca="false">Sens!K7069*cx_azo+Sens!K7076*cx_m365+Sens!K7077*cx_lic+(Sens!K7079+Sens!K7081)*cx_ind+Sens!K7084*cx_srch+(Sens!K7086+Sens!K7088)*cx_dev</f>
        <v>63.588702741994</v>
      </c>
    </row>
    <row r="7154" customFormat="false" ht="17.15" hidden="false" customHeight="false" outlineLevel="0" collapsed="false">
      <c r="A7154" s="0" t="s">
        <v>957</v>
      </c>
      <c r="B7154" s="0" t="s">
        <v>98</v>
      </c>
      <c r="F7154" s="6" t="n">
        <f aca="false">Sens!F7059</f>
        <v>7.86777689897088</v>
      </c>
      <c r="L7154" s="1" t="s">
        <v>958</v>
      </c>
    </row>
    <row r="7155" customFormat="false" ht="17.15" hidden="false" customHeight="false" outlineLevel="0" collapsed="false">
      <c r="A7155" s="1" t="s">
        <v>959</v>
      </c>
      <c r="B7155" s="0" t="s">
        <v>98</v>
      </c>
      <c r="E7155" s="6" t="n">
        <f aca="false">Q!M42</f>
        <v>145.3</v>
      </c>
      <c r="F7155" s="6" t="n">
        <f aca="false">Sens!F7152+Sens!F7153+Sens!F7154</f>
        <v>204.2</v>
      </c>
      <c r="G7155" s="6" t="n">
        <f aca="false">Sens!G7152+Sens!G7153</f>
        <v>225.627074053589</v>
      </c>
      <c r="H7155" s="6" t="n">
        <f aca="false">Sens!H7152+Sens!H7153</f>
        <v>236.27179955449</v>
      </c>
      <c r="I7155" s="6" t="n">
        <f aca="false">Sens!I7152+Sens!I7153</f>
        <v>217.645069465889</v>
      </c>
      <c r="J7155" s="6" t="n">
        <f aca="false">Sens!J7152+Sens!J7153</f>
        <v>186.242349844616</v>
      </c>
      <c r="K7155" s="6" t="n">
        <f aca="false">Sens!K7152+Sens!K7153</f>
        <v>184.996118045585</v>
      </c>
      <c r="L7155" s="1" t="s">
        <v>960</v>
      </c>
    </row>
    <row r="7156" customFormat="false" ht="15" hidden="false" customHeight="false" outlineLevel="0" collapsed="false">
      <c r="A7156" s="1" t="s">
        <v>961</v>
      </c>
      <c r="B7156" s="0" t="s">
        <v>98</v>
      </c>
      <c r="E7156" s="6" t="n">
        <f aca="false">fl_liab</f>
        <v>66.594</v>
      </c>
      <c r="F7156" s="6" t="n">
        <f aca="false">Sens!E7156-Sens!F7157</f>
        <v>62.46973</v>
      </c>
      <c r="G7156" s="6" t="n">
        <f aca="false">Sens!F7156-Sens!G7157</f>
        <v>57.98686785</v>
      </c>
      <c r="H7156" s="6" t="n">
        <f aca="false">Sens!G7156-Sens!H7157</f>
        <v>53.92827690325</v>
      </c>
      <c r="I7156" s="6" t="n">
        <f aca="false">Sens!H7156-Sens!I7157</f>
        <v>49.7850493638962</v>
      </c>
      <c r="J7156" s="6" t="n">
        <f aca="false">Sens!I7156-Sens!J7157</f>
        <v>45.4823765852716</v>
      </c>
      <c r="K7156" s="6" t="n">
        <f aca="false">Sens!J7156-Sens!K7157</f>
        <v>40.9860835316088</v>
      </c>
    </row>
    <row r="7157" customFormat="false" ht="15" hidden="false" customHeight="false" outlineLevel="0" collapsed="false">
      <c r="A7157" s="1" t="s">
        <v>962</v>
      </c>
      <c r="B7157" s="0" t="s">
        <v>98</v>
      </c>
      <c r="F7157" s="6" t="n">
        <f aca="false">fl_pay_27-Sens!E7156*fl_rate</f>
        <v>4.12427</v>
      </c>
      <c r="G7157" s="6" t="n">
        <f aca="false">fl_pay_28-Sens!F7156*fl_rate</f>
        <v>4.48286215</v>
      </c>
      <c r="H7157" s="6" t="n">
        <f aca="false">fl_pay_29-Sens!G7156*fl_rate</f>
        <v>4.05859094675</v>
      </c>
      <c r="I7157" s="6" t="n">
        <f aca="false">fl_pay_30-Sens!H7156*fl_rate</f>
        <v>4.14322753935375</v>
      </c>
      <c r="J7157" s="6" t="n">
        <f aca="false">fl_pay_31-Sens!I7156*fl_rate</f>
        <v>4.30267277862467</v>
      </c>
      <c r="K7157" s="6" t="n">
        <f aca="false">fl_pay_32-Sens!J7156*fl_rate</f>
        <v>4.49629305366278</v>
      </c>
    </row>
    <row r="7158" customFormat="false" ht="17.15" hidden="false" customHeight="false" outlineLevel="0" collapsed="false">
      <c r="A7158" s="1" t="s">
        <v>963</v>
      </c>
      <c r="B7158" s="0" t="s">
        <v>98</v>
      </c>
      <c r="E7158" s="6" t="n">
        <f aca="false">Q!M35-Q!M36-Q!M43</f>
        <v>63.886</v>
      </c>
      <c r="F7158" s="6" t="n">
        <f aca="false">Sens!F7151-Sens!F7155-Sens!F7157</f>
        <v>6.41918990299964</v>
      </c>
      <c r="G7158" s="6" t="n">
        <f aca="false">Sens!G7151-Sens!G7155-Sens!G7157</f>
        <v>45.2354122625861</v>
      </c>
      <c r="H7158" s="6" t="n">
        <f aca="false">Sens!H7151-Sens!H7155-Sens!H7157</f>
        <v>96.9890483768789</v>
      </c>
      <c r="I7158" s="6" t="n">
        <f aca="false">Sens!I7151-Sens!I7155-Sens!I7157</f>
        <v>167.733626061888</v>
      </c>
      <c r="J7158" s="6" t="n">
        <f aca="false">Sens!J7151-Sens!J7155-Sens!J7157</f>
        <v>240.945966384487</v>
      </c>
      <c r="K7158" s="6" t="n">
        <f aca="false">Sens!K7151-Sens!K7155-Sens!K7157</f>
        <v>275.822439358734</v>
      </c>
      <c r="L7158" s="11" t="s">
        <v>964</v>
      </c>
    </row>
    <row r="7159" customFormat="false" ht="15" hidden="false" customHeight="false" outlineLevel="0" collapsed="false">
      <c r="A7159" s="1" t="s">
        <v>965</v>
      </c>
      <c r="B7159" s="0" t="s">
        <v>75</v>
      </c>
      <c r="F7159" s="8" t="n">
        <f aca="false">dps_27</f>
        <v>3.85</v>
      </c>
      <c r="G7159" s="8" t="n">
        <f aca="false">Sens!F7159*(1+dps_g)</f>
        <v>4.158</v>
      </c>
      <c r="H7159" s="8" t="n">
        <f aca="false">Sens!G7159*(1+dps_g)</f>
        <v>4.49064</v>
      </c>
      <c r="I7159" s="8" t="n">
        <f aca="false">Sens!H7159*(1+dps_g)</f>
        <v>4.8498912</v>
      </c>
      <c r="J7159" s="8" t="n">
        <f aca="false">Sens!I7159*(1+dps_g)</f>
        <v>5.237882496</v>
      </c>
      <c r="K7159" s="8" t="n">
        <f aca="false">Sens!J7159*(1+dps_g)</f>
        <v>5.65691309568</v>
      </c>
    </row>
    <row r="7160" customFormat="false" ht="17.15" hidden="false" customHeight="false" outlineLevel="0" collapsed="false">
      <c r="A7160" s="1" t="s">
        <v>966</v>
      </c>
      <c r="B7160" s="0" t="s">
        <v>98</v>
      </c>
      <c r="E7160" s="6" t="n">
        <f aca="false">Q!M41</f>
        <v>26.445</v>
      </c>
      <c r="F7160" s="6" t="n">
        <f aca="false">Sens!F7159*Sens!E7169</f>
        <v>28.59395</v>
      </c>
      <c r="G7160" s="6" t="n">
        <f aca="false">Sens!G7159*Sens!F7169</f>
        <v>31.068576</v>
      </c>
      <c r="H7160" s="6" t="n">
        <f aca="false">Sens!H7159*Sens!G7169</f>
        <v>33.6497157180824</v>
      </c>
      <c r="I7160" s="6" t="n">
        <f aca="false">Sens!I7159*Sens!H7169</f>
        <v>36.3926322155285</v>
      </c>
      <c r="J7160" s="6" t="n">
        <f aca="false">Sens!J7159*Sens!I7169</f>
        <v>39.3724416410902</v>
      </c>
      <c r="K7160" s="6" t="n">
        <f aca="false">Sens!K7159*Sens!J7169</f>
        <v>42.6094921976825</v>
      </c>
      <c r="L7160" s="1" t="s">
        <v>967</v>
      </c>
    </row>
    <row r="7161" customFormat="false" ht="15" hidden="false" customHeight="false" outlineLevel="0" collapsed="false">
      <c r="A7161" s="1" t="s">
        <v>968</v>
      </c>
      <c r="B7161" s="0" t="s">
        <v>98</v>
      </c>
      <c r="E7161" s="6" t="n">
        <f aca="false">Sens!E7158-Sens!E7160</f>
        <v>37.441</v>
      </c>
      <c r="F7161" s="6" t="n">
        <f aca="false">Sens!F7158-Sens!F7160</f>
        <v>-22.1747600970004</v>
      </c>
      <c r="G7161" s="6" t="n">
        <f aca="false">Sens!G7158-Sens!G7160</f>
        <v>14.1668362625861</v>
      </c>
      <c r="H7161" s="6" t="n">
        <f aca="false">Sens!H7158-Sens!H7160</f>
        <v>63.3393326587964</v>
      </c>
      <c r="I7161" s="6" t="n">
        <f aca="false">Sens!I7158-Sens!I7160</f>
        <v>131.340993846359</v>
      </c>
      <c r="J7161" s="6" t="n">
        <f aca="false">Sens!J7158-Sens!J7160</f>
        <v>201.573524743397</v>
      </c>
      <c r="K7161" s="6" t="n">
        <f aca="false">Sens!K7158-Sens!K7160</f>
        <v>233.212947161052</v>
      </c>
    </row>
    <row r="7162" customFormat="false" ht="15" hidden="false" customHeight="false" outlineLevel="0" collapsed="false">
      <c r="A7162" s="1" t="s">
        <v>969</v>
      </c>
      <c r="B7162" s="0" t="s">
        <v>98</v>
      </c>
      <c r="F7162" s="6" t="n">
        <f aca="false">debt_mat_27</f>
        <v>9.25</v>
      </c>
      <c r="G7162" s="6" t="n">
        <f aca="false">debt_mat_28</f>
        <v>0</v>
      </c>
      <c r="H7162" s="6" t="n">
        <f aca="false">debt_mat_29</f>
        <v>2.001</v>
      </c>
      <c r="I7162" s="6" t="n">
        <f aca="false">debt_mat_30</f>
        <v>0</v>
      </c>
      <c r="J7162" s="6" t="n">
        <f aca="false">debt_mat_31</f>
        <v>0.5</v>
      </c>
      <c r="K7162" s="6" t="n">
        <f aca="false">debt_mat_32</f>
        <v>0</v>
      </c>
    </row>
    <row r="7163" customFormat="false" ht="15" hidden="false" customHeight="false" outlineLevel="0" collapsed="false">
      <c r="A7163" s="1" t="s">
        <v>970</v>
      </c>
      <c r="B7163" s="0" t="s">
        <v>98</v>
      </c>
      <c r="E7163" s="6" t="n">
        <f aca="false">Q!M40</f>
        <v>22.271</v>
      </c>
      <c r="F7163" s="6" t="n">
        <f aca="false">MAX(0,MIN(bb_target,Sens!E7165+Sens!F7161-Sens!F7162-min_cash))</f>
        <v>0</v>
      </c>
      <c r="G7163" s="6" t="n">
        <f aca="false">MAX(0,MIN(bb_target,Sens!F7165+Sens!G7161-Sens!G7162-min_cash))</f>
        <v>14.1668362625861</v>
      </c>
      <c r="H7163" s="6" t="n">
        <f aca="false">MAX(0,MIN(bb_target,Sens!G7165+Sens!H7161-Sens!H7162-min_cash))</f>
        <v>22.271</v>
      </c>
      <c r="I7163" s="6" t="n">
        <f aca="false">MAX(0,MIN(bb_target,Sens!H7165+Sens!I7161-Sens!I7162-min_cash))</f>
        <v>22.271</v>
      </c>
      <c r="J7163" s="6" t="n">
        <f aca="false">MAX(0,MIN(bb_target,Sens!I7165+Sens!J7161-Sens!J7162-min_cash))</f>
        <v>22.271</v>
      </c>
      <c r="K7163" s="6" t="n">
        <f aca="false">MAX(0,MIN(bb_target,Sens!J7165+Sens!K7161-Sens!K7162-min_cash))</f>
        <v>22.271</v>
      </c>
    </row>
    <row r="7164" customFormat="false" ht="15" hidden="false" customHeight="false" outlineLevel="0" collapsed="false">
      <c r="A7164" s="1" t="s">
        <v>971</v>
      </c>
      <c r="B7164" s="0" t="s">
        <v>98</v>
      </c>
      <c r="F7164" s="6" t="n">
        <f aca="false">MAX(0,min_cash-(Sens!E7165+Sens!F7161-Sens!F7162-Sens!F7163))</f>
        <v>4.58176009700036</v>
      </c>
      <c r="G7164" s="6" t="n">
        <f aca="false">MAX(0,min_cash-(Sens!F7165+Sens!G7161-Sens!G7162-Sens!G7163))</f>
        <v>0</v>
      </c>
      <c r="H7164" s="6" t="n">
        <f aca="false">MAX(0,min_cash-(Sens!G7165+Sens!H7161-Sens!H7162-Sens!H7163))</f>
        <v>0</v>
      </c>
      <c r="I7164" s="6" t="n">
        <f aca="false">MAX(0,min_cash-(Sens!H7165+Sens!I7161-Sens!I7162-Sens!I7163))</f>
        <v>0</v>
      </c>
      <c r="J7164" s="6" t="n">
        <f aca="false">MAX(0,min_cash-(Sens!I7165+Sens!J7161-Sens!J7162-Sens!J7163))</f>
        <v>0</v>
      </c>
      <c r="K7164" s="6" t="n">
        <f aca="false">MAX(0,min_cash-(Sens!J7165+Sens!K7161-Sens!K7162-Sens!K7163))</f>
        <v>0</v>
      </c>
    </row>
    <row r="7165" customFormat="false" ht="15" hidden="false" customHeight="false" outlineLevel="0" collapsed="false">
      <c r="A7165" s="1" t="s">
        <v>972</v>
      </c>
      <c r="B7165" s="0" t="s">
        <v>98</v>
      </c>
      <c r="E7165" s="6" t="n">
        <f aca="false">cash_open</f>
        <v>76.843</v>
      </c>
      <c r="F7165" s="6" t="n">
        <f aca="false">Sens!E7165+Sens!F7161-Sens!F7162-Sens!F7163+Sens!F7164</f>
        <v>50</v>
      </c>
      <c r="G7165" s="6" t="n">
        <f aca="false">Sens!F7165+Sens!G7161-Sens!G7162-Sens!G7163+Sens!G7164</f>
        <v>50</v>
      </c>
      <c r="H7165" s="6" t="n">
        <f aca="false">Sens!G7165+Sens!H7161-Sens!H7162-Sens!H7163+Sens!H7164</f>
        <v>89.0673326587964</v>
      </c>
      <c r="I7165" s="6" t="n">
        <f aca="false">Sens!H7165+Sens!I7161-Sens!I7162-Sens!I7163+Sens!I7164</f>
        <v>198.137326505156</v>
      </c>
      <c r="J7165" s="6" t="n">
        <f aca="false">Sens!I7165+Sens!J7161-Sens!J7162-Sens!J7163+Sens!J7164</f>
        <v>376.939851248553</v>
      </c>
      <c r="K7165" s="6" t="n">
        <f aca="false">Sens!J7165+Sens!K7161-Sens!K7162-Sens!K7163+Sens!K7164</f>
        <v>587.881798409605</v>
      </c>
    </row>
    <row r="7166" customFormat="false" ht="15" hidden="false" customHeight="false" outlineLevel="0" collapsed="false">
      <c r="A7166" s="1" t="s">
        <v>973</v>
      </c>
      <c r="B7166" s="0" t="s">
        <v>98</v>
      </c>
      <c r="E7166" s="6" t="n">
        <f aca="false">debt_face</f>
        <v>46.136</v>
      </c>
      <c r="F7166" s="6" t="n">
        <f aca="false">Sens!E7166-Sens!F7162+Sens!F7164</f>
        <v>41.4677600970004</v>
      </c>
      <c r="G7166" s="6" t="n">
        <f aca="false">Sens!F7166-Sens!G7162+Sens!G7164</f>
        <v>41.4677600970004</v>
      </c>
      <c r="H7166" s="6" t="n">
        <f aca="false">Sens!G7166-Sens!H7162+Sens!H7164</f>
        <v>39.4667600970004</v>
      </c>
      <c r="I7166" s="6" t="n">
        <f aca="false">Sens!H7166-Sens!I7162+Sens!I7164</f>
        <v>39.4667600970004</v>
      </c>
      <c r="J7166" s="6" t="n">
        <f aca="false">Sens!I7166-Sens!J7162+Sens!J7164</f>
        <v>38.9667600970004</v>
      </c>
      <c r="K7166" s="6" t="n">
        <f aca="false">Sens!J7166-Sens!K7162+Sens!K7164</f>
        <v>38.9667600970004</v>
      </c>
    </row>
    <row r="7167" customFormat="false" ht="15" hidden="false" customHeight="false" outlineLevel="0" collapsed="false">
      <c r="A7167" s="1" t="s">
        <v>974</v>
      </c>
      <c r="B7167" s="0" t="s">
        <v>98</v>
      </c>
      <c r="E7167" s="6" t="n">
        <f aca="false">Sens!E7165-Sens!E7166</f>
        <v>30.707</v>
      </c>
      <c r="F7167" s="6" t="n">
        <f aca="false">Sens!F7165-Sens!F7166</f>
        <v>8.53223990299964</v>
      </c>
      <c r="G7167" s="6" t="n">
        <f aca="false">Sens!G7165-Sens!G7166</f>
        <v>8.53223990299964</v>
      </c>
      <c r="H7167" s="6" t="n">
        <f aca="false">Sens!H7165-Sens!H7166</f>
        <v>49.6005725617961</v>
      </c>
      <c r="I7167" s="6" t="n">
        <f aca="false">Sens!I7165-Sens!I7166</f>
        <v>158.670566408155</v>
      </c>
      <c r="J7167" s="6" t="n">
        <f aca="false">Sens!J7165-Sens!J7166</f>
        <v>337.973091151552</v>
      </c>
      <c r="K7167" s="6" t="n">
        <f aca="false">Sens!K7165-Sens!K7166</f>
        <v>548.915038312604</v>
      </c>
    </row>
    <row r="7168" customFormat="false" ht="15" hidden="false" customHeight="false" outlineLevel="0" collapsed="false">
      <c r="A7168" s="1" t="s">
        <v>975</v>
      </c>
      <c r="B7168" s="0" t="s">
        <v>75</v>
      </c>
      <c r="F7168" s="29" t="n">
        <f aca="false">px*(1+bb_g)^(Sens!F7030-base_fy-mid_yr)</f>
        <v>553.494156066711</v>
      </c>
      <c r="G7168" s="29" t="n">
        <f aca="false">px*(1+bb_g)^(Sens!G7030-base_fy-mid_yr)</f>
        <v>597.773688552047</v>
      </c>
      <c r="H7168" s="29" t="n">
        <f aca="false">px*(1+bb_g)^(Sens!H7030-base_fy-mid_yr)</f>
        <v>645.595583636211</v>
      </c>
      <c r="I7168" s="29" t="n">
        <f aca="false">px*(1+bb_g)^(Sens!I7030-base_fy-mid_yr)</f>
        <v>697.243230327108</v>
      </c>
      <c r="J7168" s="29" t="n">
        <f aca="false">px*(1+bb_g)^(Sens!J7030-base_fy-mid_yr)</f>
        <v>753.022688753277</v>
      </c>
      <c r="K7168" s="29" t="n">
        <f aca="false">px*(1+bb_g)^(Sens!K7030-base_fy-mid_yr)</f>
        <v>813.264503853539</v>
      </c>
    </row>
    <row r="7169" customFormat="false" ht="15" hidden="false" customHeight="false" outlineLevel="0" collapsed="false">
      <c r="A7169" s="1" t="s">
        <v>976</v>
      </c>
      <c r="B7169" s="1" t="s">
        <v>81</v>
      </c>
      <c r="E7169" s="14" t="n">
        <f aca="false">sh_out26</f>
        <v>7.427</v>
      </c>
      <c r="F7169" s="14" t="n">
        <f aca="false">Sens!E7169+sh_iss-Sens!F7163/Sens!F7168</f>
        <v>7.472</v>
      </c>
      <c r="G7169" s="14" t="n">
        <f aca="false">Sens!F7169+sh_iss-Sens!G7163/Sens!G7168</f>
        <v>7.49330066941069</v>
      </c>
      <c r="H7169" s="14" t="n">
        <f aca="false">Sens!G7169+sh_iss-Sens!H7163/Sens!H7168</f>
        <v>7.50380384111059</v>
      </c>
      <c r="I7169" s="14" t="n">
        <f aca="false">Sens!H7169+sh_iss-Sens!I7163/Sens!I7168</f>
        <v>7.51686233342532</v>
      </c>
      <c r="J7169" s="14" t="n">
        <f aca="false">Sens!I7169+sh_iss-Sens!J7163/Sens!J7168</f>
        <v>7.53228686334636</v>
      </c>
      <c r="K7169" s="14" t="n">
        <f aca="false">Sens!J7169+sh_iss-Sens!K7163/Sens!K7168</f>
        <v>7.5499021688288</v>
      </c>
    </row>
    <row r="7170" customFormat="false" ht="15" hidden="false" customHeight="false" outlineLevel="0" collapsed="false">
      <c r="A7170" s="1" t="s">
        <v>977</v>
      </c>
      <c r="B7170" s="1" t="s">
        <v>81</v>
      </c>
      <c r="E7170" s="14" t="n">
        <f aca="false">sh_dil26</f>
        <v>7.453</v>
      </c>
      <c r="F7170" s="14" t="n">
        <f aca="false">(Sens!E7169+Sens!F7169)/2+dil_gap</f>
        <v>7.4735</v>
      </c>
      <c r="G7170" s="14" t="n">
        <f aca="false">(Sens!F7169+Sens!G7169)/2+dil_gap</f>
        <v>7.50665033470535</v>
      </c>
      <c r="H7170" s="14" t="n">
        <f aca="false">(Sens!G7169+Sens!H7169)/2+dil_gap</f>
        <v>7.52255225526064</v>
      </c>
      <c r="I7170" s="14" t="n">
        <f aca="false">(Sens!H7169+Sens!I7169)/2+dil_gap</f>
        <v>7.53433308726795</v>
      </c>
      <c r="J7170" s="14" t="n">
        <f aca="false">(Sens!I7169+Sens!J7169)/2+dil_gap</f>
        <v>7.54857459838584</v>
      </c>
      <c r="K7170" s="14" t="n">
        <f aca="false">(Sens!J7169+Sens!K7169)/2+dil_gap</f>
        <v>7.56509451608758</v>
      </c>
    </row>
    <row r="7171" customFormat="false" ht="17.15" hidden="false" customHeight="false" outlineLevel="0" collapsed="false">
      <c r="A7171" s="1" t="s">
        <v>978</v>
      </c>
      <c r="B7171" s="0" t="s">
        <v>98</v>
      </c>
      <c r="C7171" s="6" t="n">
        <f aca="false">SUM(Sens!F7161:J7161)</f>
        <v>388.245927414138</v>
      </c>
    </row>
    <row r="7172" customFormat="false" ht="15" hidden="false" customHeight="false" outlineLevel="0" collapsed="false">
      <c r="A7172" s="23" t="s">
        <v>945</v>
      </c>
      <c r="B7172" s="30" t="s">
        <v>98</v>
      </c>
      <c r="C7172" s="24" t="n">
        <f aca="false">Sens!$C$7171-(Sens!F7161+Sens!G7161+Sens!H7161+Sens!I7161+Sens!J7161)</f>
        <v>0</v>
      </c>
      <c r="D7172" s="30"/>
      <c r="E7172" s="30"/>
      <c r="F7172" s="30"/>
      <c r="G7172" s="30"/>
      <c r="H7172" s="30"/>
      <c r="I7172" s="30"/>
      <c r="J7172" s="30"/>
      <c r="K7172" s="30"/>
    </row>
    <row r="7173" customFormat="false" ht="17.15" hidden="false" customHeight="false" outlineLevel="0" collapsed="false">
      <c r="A7173" s="1" t="s">
        <v>939</v>
      </c>
      <c r="B7173" s="1" t="s">
        <v>979</v>
      </c>
      <c r="C7173" s="32" t="str">
        <f aca="false">IF(SUM(Sens!F7164:J7164)&gt;0.05,"需要舉債 "&amp;TEXT(SUM(Sens!F7164:J7164),"0.0")&amp;" 十億美元","不需舉債")&amp;"；"&amp;IF(SUM(Sens!F7163:J7163)&lt;COUNT(Sens!F7163:J7163)*bb_target-0.05,"回購較每年 "&amp;TEXT(bb_target,"0.0")&amp;" 的目標少 "&amp;TEXT(COUNT(Sens!F7163:J7163)*bb_target-SUM(Sens!F7163:J7163),"0.0")&amp;" 十億美元（"&amp;TEXT(COUNTIF(Sens!F7163:J7163,"&lt;"&amp;(bb_target-0.05)),"0")&amp;" 年減少）","回購不減")</f>
        <v>需要舉債 4.6 十億美元；回購較每年 22.3 的目標少 30.4 十億美元（2 年減少）</v>
      </c>
    </row>
    <row r="7174" customFormat="false" ht="17.15" hidden="false" customHeight="false" outlineLevel="0" collapsed="false">
      <c r="A7174" s="3" t="s">
        <v>1446</v>
      </c>
    </row>
    <row r="7175" customFormat="false" ht="15" hidden="false" customHeight="false" outlineLevel="0" collapsed="false">
      <c r="A7175" s="4" t="s">
        <v>43</v>
      </c>
      <c r="B7175" s="4" t="s">
        <v>65</v>
      </c>
      <c r="C7175" s="20" t="s">
        <v>799</v>
      </c>
      <c r="D7175" s="20" t="s">
        <v>800</v>
      </c>
      <c r="E7175" s="20" t="s">
        <v>801</v>
      </c>
      <c r="F7175" s="20" t="s">
        <v>802</v>
      </c>
      <c r="G7175" s="20" t="s">
        <v>803</v>
      </c>
      <c r="H7175" s="20" t="s">
        <v>804</v>
      </c>
      <c r="I7175" s="20" t="s">
        <v>805</v>
      </c>
      <c r="J7175" s="20" t="s">
        <v>806</v>
      </c>
      <c r="K7175" s="20" t="s">
        <v>807</v>
      </c>
      <c r="L7175" s="4" t="s">
        <v>47</v>
      </c>
    </row>
    <row r="7176" customFormat="false" ht="15" hidden="false" customHeight="false" outlineLevel="0" collapsed="false">
      <c r="A7176" s="1" t="s">
        <v>1057</v>
      </c>
      <c r="B7176" s="1" t="s">
        <v>235</v>
      </c>
      <c r="F7176" s="36" t="n">
        <f aca="false">Sens!F7030-base_fy-mid_yr</f>
        <v>0.5</v>
      </c>
      <c r="G7176" s="36" t="n">
        <f aca="false">Sens!G7030-base_fy-mid_yr</f>
        <v>1.5</v>
      </c>
      <c r="H7176" s="36" t="n">
        <f aca="false">Sens!H7030-base_fy-mid_yr</f>
        <v>2.5</v>
      </c>
      <c r="I7176" s="36" t="n">
        <f aca="false">Sens!I7030-base_fy-mid_yr</f>
        <v>3.5</v>
      </c>
      <c r="J7176" s="36" t="n">
        <f aca="false">Sens!J7030-base_fy-mid_yr</f>
        <v>4.5</v>
      </c>
      <c r="K7176" s="36" t="n">
        <f aca="false">Sens!K7030-base_fy-mid_yr</f>
        <v>5.5</v>
      </c>
    </row>
    <row r="7177" customFormat="false" ht="15" hidden="false" customHeight="false" outlineLevel="0" collapsed="false">
      <c r="A7177" s="1" t="s">
        <v>1058</v>
      </c>
      <c r="B7177" s="0" t="s">
        <v>185</v>
      </c>
      <c r="F7177" s="14" t="n">
        <f aca="false">1/(1+wacc)^Sens!F7176</f>
        <v>0.952193373608246</v>
      </c>
      <c r="G7177" s="14" t="n">
        <f aca="false">1/(1+wacc)^Sens!G7176</f>
        <v>0.863327280626589</v>
      </c>
      <c r="H7177" s="14" t="n">
        <f aca="false">1/(1+wacc)^Sens!H7176</f>
        <v>0.782754862754115</v>
      </c>
      <c r="I7177" s="14" t="n">
        <f aca="false">1/(1+wacc)^Sens!I7176</f>
        <v>0.709702089711011</v>
      </c>
      <c r="J7177" s="14" t="n">
        <f aca="false">1/(1+wacc)^Sens!J7176</f>
        <v>0.643467169744551</v>
      </c>
      <c r="K7177" s="14" t="n">
        <f aca="false">1/(1+wacc)^Sens!K7176</f>
        <v>0.583413807767797</v>
      </c>
    </row>
    <row r="7178" customFormat="false" ht="17.15" hidden="false" customHeight="false" outlineLevel="0" collapsed="false">
      <c r="A7178" s="1" t="s">
        <v>1059</v>
      </c>
      <c r="B7178" s="0" t="s">
        <v>98</v>
      </c>
      <c r="F7178" s="6" t="n">
        <f aca="false">Sens!F7151-Sens!F7149-Sens!F7155+Sens!F7134*(1-tax_f)</f>
        <v>0.839167475255221</v>
      </c>
      <c r="G7178" s="6" t="n">
        <f aca="false">Sens!G7151-Sens!G7149-Sens!G7155+Sens!G7134*(1-tax_f)</f>
        <v>46.2089854778033</v>
      </c>
      <c r="H7178" s="6" t="n">
        <f aca="false">Sens!H7151-Sens!H7149-Sens!H7155+Sens!H7134*(1-tax_f)</f>
        <v>104.715063029101</v>
      </c>
      <c r="I7178" s="6" t="n">
        <f aca="false">Sens!I7151-Sens!I7149-Sens!I7155+Sens!I7134*(1-tax_f)</f>
        <v>182.721813605555</v>
      </c>
      <c r="J7178" s="6" t="n">
        <f aca="false">Sens!J7151-Sens!J7149-Sens!J7155+Sens!J7134*(1-tax_f)</f>
        <v>260.952691943241</v>
      </c>
      <c r="K7178" s="6" t="n">
        <f aca="false">Sens!K7151-Sens!K7149-Sens!K7155+Sens!K7134*(1-tax_f)</f>
        <v>297.764563293483</v>
      </c>
      <c r="L7178" s="1" t="s">
        <v>1060</v>
      </c>
    </row>
    <row r="7179" customFormat="false" ht="15" hidden="false" customHeight="false" outlineLevel="0" collapsed="false">
      <c r="A7179" s="1" t="s">
        <v>1061</v>
      </c>
      <c r="B7179" s="0" t="s">
        <v>98</v>
      </c>
      <c r="F7179" s="6" t="n">
        <f aca="false">Sens!F7178*Sens!F7177</f>
        <v>0.799049709285583</v>
      </c>
      <c r="G7179" s="6" t="n">
        <f aca="false">Sens!G7178*Sens!G7177</f>
        <v>39.8934777730655</v>
      </c>
      <c r="H7179" s="6" t="n">
        <f aca="false">Sens!H7178*Sens!H7177</f>
        <v>81.9662247896328</v>
      </c>
      <c r="I7179" s="6" t="n">
        <f aca="false">Sens!I7178*Sens!I7177</f>
        <v>129.678052951648</v>
      </c>
      <c r="J7179" s="6" t="n">
        <f aca="false">Sens!J7178*Sens!J7177</f>
        <v>167.914490121939</v>
      </c>
      <c r="K7179" s="6" t="n">
        <f aca="false">Sens!K7178*Sens!K7177</f>
        <v>173.719957689366</v>
      </c>
    </row>
    <row r="7180" customFormat="false" ht="17.15" hidden="false" customHeight="false" outlineLevel="0" collapsed="false">
      <c r="A7180" s="1" t="s">
        <v>1062</v>
      </c>
      <c r="B7180" s="0" t="s">
        <v>98</v>
      </c>
      <c r="C7180" s="6" t="n">
        <f aca="false">SUM(Sens!F7179:K7179)</f>
        <v>593.971253034937</v>
      </c>
    </row>
    <row r="7181" customFormat="false" ht="17.15" hidden="false" customHeight="false" outlineLevel="0" collapsed="false">
      <c r="A7181" s="1" t="s">
        <v>1063</v>
      </c>
      <c r="B7181" s="0" t="s">
        <v>98</v>
      </c>
      <c r="C7181" s="6" t="n">
        <f aca="false">Sens!K7120*(1+g_tv)*(1-tax_f)</f>
        <v>316.447009862042</v>
      </c>
    </row>
    <row r="7182" customFormat="false" ht="17.15" hidden="false" customHeight="false" outlineLevel="0" collapsed="false">
      <c r="A7182" s="1" t="s">
        <v>1064</v>
      </c>
      <c r="B7182" s="0" t="s">
        <v>98</v>
      </c>
      <c r="C7182" s="6" t="n">
        <f aca="false">Sens!$C$7181*(1-g_tv/(wacc+ronic_prem))</f>
        <v>224.219256625607</v>
      </c>
    </row>
    <row r="7183" customFormat="false" ht="17.15" hidden="false" customHeight="false" outlineLevel="0" collapsed="false">
      <c r="A7183" s="1" t="s">
        <v>1065</v>
      </c>
      <c r="B7183" s="0" t="s">
        <v>98</v>
      </c>
      <c r="C7183" s="6" t="n">
        <f aca="false">Sens!$C$7182/(wacc-g_tv)</f>
        <v>3074.2584412145</v>
      </c>
    </row>
    <row r="7184" customFormat="false" ht="15" hidden="false" customHeight="false" outlineLevel="0" collapsed="false">
      <c r="A7184" s="1" t="s">
        <v>1066</v>
      </c>
      <c r="B7184" s="0" t="s">
        <v>98</v>
      </c>
      <c r="C7184" s="6" t="n">
        <f aca="false">Sens!$C$7183/(1+wacc)^(Sens!K7176+mid_yr)</f>
        <v>1707.82053983668</v>
      </c>
    </row>
    <row r="7185" customFormat="false" ht="17.15" hidden="false" customHeight="false" outlineLevel="0" collapsed="false">
      <c r="A7185" s="0" t="s">
        <v>986</v>
      </c>
      <c r="B7185" s="0" t="s">
        <v>98</v>
      </c>
      <c r="C7185" s="6" t="n">
        <f aca="false">Sens!$C$7180+Sens!$C$7184</f>
        <v>2301.79179287161</v>
      </c>
    </row>
    <row r="7186" customFormat="false" ht="15" hidden="false" customHeight="false" outlineLevel="0" collapsed="false">
      <c r="A7186" s="1" t="s">
        <v>987</v>
      </c>
      <c r="B7186" s="0" t="s">
        <v>129</v>
      </c>
      <c r="C7186" s="7" t="n">
        <f aca="false">Sens!$C$7184/Sens!$C$7185</f>
        <v>0.741952658414024</v>
      </c>
    </row>
    <row r="7187" customFormat="false" ht="17.15" hidden="false" customHeight="false" outlineLevel="0" collapsed="false">
      <c r="A7187" s="1" t="s">
        <v>1067</v>
      </c>
      <c r="B7187" s="0" t="s">
        <v>98</v>
      </c>
      <c r="C7187" s="6" t="n">
        <f aca="false">Sens!$C$7185+Sens!E7167-Sens!E7156+oai_v</f>
        <v>2436.30479287161</v>
      </c>
    </row>
    <row r="7188" customFormat="false" ht="17.15" hidden="false" customHeight="false" outlineLevel="0" collapsed="false">
      <c r="A7188" s="0" t="s">
        <v>994</v>
      </c>
      <c r="B7188" s="0" t="s">
        <v>75</v>
      </c>
      <c r="C7188" s="5" t="n">
        <f aca="false">Sens!$C$7187/sh_dil26</f>
        <v>326.889144354168</v>
      </c>
    </row>
    <row r="7189" customFormat="false" ht="15" hidden="false" customHeight="false" outlineLevel="0" collapsed="false">
      <c r="A7189" s="1" t="s">
        <v>1068</v>
      </c>
      <c r="B7189" s="0" t="s">
        <v>75</v>
      </c>
      <c r="C7189" s="8" t="n">
        <f aca="false">dps_27+Sens!G7159*roll_div_q/q_per_yr</f>
        <v>4.8895</v>
      </c>
    </row>
    <row r="7190" customFormat="false" ht="17.15" hidden="false" customHeight="false" outlineLevel="0" collapsed="false">
      <c r="A7190" s="0" t="s">
        <v>1069</v>
      </c>
      <c r="B7190" s="0" t="s">
        <v>75</v>
      </c>
      <c r="C7190" s="5" t="n">
        <f aca="false">Sens!$C$7188*(1+wacc)^t_roll-Sens!$C$7189</f>
        <v>367.350083349591</v>
      </c>
    </row>
    <row r="7191" customFormat="false" ht="17.15" hidden="false" customHeight="false" outlineLevel="0" collapsed="false">
      <c r="A7191" s="1" t="s">
        <v>1070</v>
      </c>
      <c r="B7191" s="0" t="s">
        <v>129</v>
      </c>
      <c r="F7191" s="7" t="n">
        <f aca="false">Sens!F7146/(Sens!F7091-Sens!F7047)</f>
        <v>0.0699840196639904</v>
      </c>
      <c r="G7191" s="7" t="n">
        <f aca="false">Sens!G7146/(Sens!G7091-Sens!G7047)</f>
        <v>0.0662664832826237</v>
      </c>
      <c r="H7191" s="7" t="n">
        <f aca="false">Sens!H7146/(Sens!H7091-Sens!H7047)</f>
        <v>0.0642050896537117</v>
      </c>
      <c r="I7191" s="7" t="n">
        <f aca="false">Sens!I7146/(Sens!I7091-Sens!I7047)</f>
        <v>0.063676829141164</v>
      </c>
      <c r="J7191" s="7" t="n">
        <f aca="false">Sens!J7146/(Sens!J7091-Sens!J7047)</f>
        <v>0.0642711049138074</v>
      </c>
      <c r="K7191" s="7" t="n">
        <f aca="false">Sens!K7146/(Sens!K7091-Sens!K7047)</f>
        <v>0.0654627753751323</v>
      </c>
    </row>
    <row r="7192" customFormat="false" ht="17.15" hidden="false" customHeight="false" outlineLevel="0" collapsed="false">
      <c r="A7192" s="0" t="s">
        <v>1071</v>
      </c>
      <c r="B7192" s="0" t="s">
        <v>98</v>
      </c>
      <c r="F7192" s="6" t="n">
        <f aca="false">Sens!F7076*(al_m365+Sens!F7191+sbc_r)</f>
        <v>87.071444534169</v>
      </c>
      <c r="G7192" s="6" t="n">
        <f aca="false">Sens!G7076*(al_m365+Sens!G7191+sbc_r)</f>
        <v>102.763843222588</v>
      </c>
      <c r="H7192" s="6" t="n">
        <f aca="false">Sens!H7076*(al_m365+Sens!H7191+sbc_r)</f>
        <v>118.622591601837</v>
      </c>
      <c r="I7192" s="6" t="n">
        <f aca="false">Sens!I7076*(al_m365+Sens!I7191+sbc_r)</f>
        <v>132.664297070221</v>
      </c>
      <c r="J7192" s="6" t="n">
        <f aca="false">Sens!J7076*(al_m365+Sens!J7191+sbc_r)</f>
        <v>144.703937124112</v>
      </c>
      <c r="K7192" s="6" t="n">
        <f aca="false">Sens!K7076*(al_m365+Sens!K7191+sbc_r)</f>
        <v>156.367624701243</v>
      </c>
      <c r="L7192" s="11" t="s">
        <v>1072</v>
      </c>
    </row>
    <row r="7193" customFormat="false" ht="17.15" hidden="false" customHeight="false" outlineLevel="0" collapsed="false">
      <c r="A7193" s="0" t="s">
        <v>1073</v>
      </c>
      <c r="B7193" s="0" t="s">
        <v>98</v>
      </c>
      <c r="F7193" s="6" t="n">
        <f aca="false">Sens!F7077*(al_lic+Sens!F7191+sbc_r)</f>
        <v>33.499099554539</v>
      </c>
      <c r="G7193" s="6" t="n">
        <f aca="false">Sens!G7077*(al_lic+Sens!G7191+sbc_r)</f>
        <v>34.7661925660077</v>
      </c>
      <c r="H7193" s="6" t="n">
        <f aca="false">Sens!H7077*(al_lic+Sens!H7191+sbc_r)</f>
        <v>35.9570963023837</v>
      </c>
      <c r="I7193" s="6" t="n">
        <f aca="false">Sens!I7077*(al_lic+Sens!I7191+sbc_r)</f>
        <v>37.0549557144989</v>
      </c>
      <c r="J7193" s="6" t="n">
        <f aca="false">Sens!J7077*(al_lic+Sens!J7191+sbc_r)</f>
        <v>38.0295831496972</v>
      </c>
      <c r="K7193" s="6" t="n">
        <f aca="false">Sens!K7077*(al_lic+Sens!K7191+sbc_r)</f>
        <v>38.8444516930709</v>
      </c>
    </row>
    <row r="7194" customFormat="false" ht="17.15" hidden="false" customHeight="false" outlineLevel="0" collapsed="false">
      <c r="A7194" s="0" t="s">
        <v>1074</v>
      </c>
      <c r="B7194" s="0" t="s">
        <v>98</v>
      </c>
      <c r="F7194" s="6" t="n">
        <f aca="false">Sens!F7079*(al_ind+Sens!F7191+sbc_r)</f>
        <v>9.10758495959067</v>
      </c>
      <c r="G7194" s="6" t="n">
        <f aca="false">Sens!G7079*(al_ind+Sens!G7191+sbc_r)</f>
        <v>9.86486536017518</v>
      </c>
      <c r="H7194" s="6" t="n">
        <f aca="false">Sens!H7079*(al_ind+Sens!H7191+sbc_r)</f>
        <v>10.6717126703332</v>
      </c>
      <c r="I7194" s="6" t="n">
        <f aca="false">Sens!I7079*(al_ind+Sens!I7191+sbc_r)</f>
        <v>11.5269356508966</v>
      </c>
      <c r="J7194" s="6" t="n">
        <f aca="false">Sens!J7079*(al_ind+Sens!J7191+sbc_r)</f>
        <v>12.4188327102422</v>
      </c>
      <c r="K7194" s="6" t="n">
        <f aca="false">Sens!K7079*(al_ind+Sens!K7191+sbc_r)</f>
        <v>13.3275757516426</v>
      </c>
    </row>
    <row r="7195" customFormat="false" ht="17.15" hidden="false" customHeight="false" outlineLevel="0" collapsed="false">
      <c r="A7195" s="0" t="s">
        <v>1075</v>
      </c>
      <c r="B7195" s="0" t="s">
        <v>98</v>
      </c>
      <c r="F7195" s="6" t="n">
        <f aca="false">Sens!F7081*(al_fro+Sens!F7191+sbc_r)</f>
        <v>3.58477741501266</v>
      </c>
      <c r="G7195" s="6" t="n">
        <f aca="false">Sens!G7081*(al_fro+Sens!G7191+sbc_r)</f>
        <v>3.78752507095914</v>
      </c>
      <c r="H7195" s="6" t="n">
        <f aca="false">Sens!H7081*(al_fro+Sens!H7191+sbc_r)</f>
        <v>4.02146660080138</v>
      </c>
      <c r="I7195" s="6" t="n">
        <f aca="false">Sens!I7081*(al_fro+Sens!I7191+sbc_r)</f>
        <v>4.28985630868784</v>
      </c>
      <c r="J7195" s="6" t="n">
        <f aca="false">Sens!J7081*(al_fro+Sens!J7191+sbc_r)</f>
        <v>4.59296159110308</v>
      </c>
      <c r="K7195" s="6" t="n">
        <f aca="false">Sens!K7081*(al_fro+Sens!K7191+sbc_r)</f>
        <v>4.92904969074322</v>
      </c>
    </row>
    <row r="7196" customFormat="false" ht="17.15" hidden="false" customHeight="false" outlineLevel="0" collapsed="false">
      <c r="A7196" s="0" t="s">
        <v>1076</v>
      </c>
      <c r="B7196" s="0" t="s">
        <v>98</v>
      </c>
      <c r="F7196" s="6" t="n">
        <f aca="false">Sens!F7084*(al_srch+Sens!F7191+sbc_r)</f>
        <v>11.2479990119551</v>
      </c>
      <c r="G7196" s="6" t="n">
        <f aca="false">Sens!G7084*(al_srch+Sens!G7191+sbc_r)</f>
        <v>12.298204959497</v>
      </c>
      <c r="H7196" s="6" t="n">
        <f aca="false">Sens!H7084*(al_srch+Sens!H7191+sbc_r)</f>
        <v>13.3987224912711</v>
      </c>
      <c r="I7196" s="6" t="n">
        <f aca="false">Sens!I7084*(al_srch+Sens!I7191+sbc_r)</f>
        <v>14.5414926243084</v>
      </c>
      <c r="J7196" s="6" t="n">
        <f aca="false">Sens!J7084*(al_srch+Sens!J7191+sbc_r)</f>
        <v>15.7041921144606</v>
      </c>
      <c r="K7196" s="6" t="n">
        <f aca="false">Sens!K7084*(al_srch+Sens!K7191+sbc_r)</f>
        <v>16.8533399963755</v>
      </c>
    </row>
    <row r="7197" customFormat="false" ht="17.15" hidden="false" customHeight="false" outlineLevel="0" collapsed="false">
      <c r="A7197" s="0" t="s">
        <v>1077</v>
      </c>
      <c r="B7197" s="0" t="s">
        <v>98</v>
      </c>
      <c r="F7197" s="6" t="n">
        <f aca="false">Sens!F7053-Sens!F7054+Sens!F7134</f>
        <v>43.4958224544938</v>
      </c>
      <c r="G7197" s="6" t="n">
        <f aca="false">Sens!G7053-Sens!G7054+Sens!G7134</f>
        <v>86.4826854085386</v>
      </c>
      <c r="H7197" s="6" t="n">
        <f aca="false">Sens!H7053-Sens!H7054+Sens!H7134</f>
        <v>137.131301515061</v>
      </c>
      <c r="I7197" s="6" t="n">
        <f aca="false">Sens!I7053-Sens!I7054+Sens!I7134</f>
        <v>177.790841418797</v>
      </c>
      <c r="J7197" s="6" t="n">
        <f aca="false">Sens!J7053-Sens!J7054+Sens!J7134</f>
        <v>206.840634799262</v>
      </c>
      <c r="K7197" s="6" t="n">
        <f aca="false">Sens!K7053-Sens!K7054+Sens!K7134</f>
        <v>225.099465356417</v>
      </c>
    </row>
    <row r="7198" customFormat="false" ht="17.15" hidden="false" customHeight="false" outlineLevel="0" collapsed="false">
      <c r="A7198" s="0" t="s">
        <v>1078</v>
      </c>
      <c r="B7198" s="0" t="s">
        <v>98</v>
      </c>
      <c r="F7198" s="6" t="n">
        <f aca="false">Sens!F7113+Sens!F7134+Sens!F7064+Sens!F7191*(Sens!F7083-Sens!F7047)+sbc_r*Sens!F7083</f>
        <v>237.142655996932</v>
      </c>
      <c r="G7198" s="6" t="n">
        <f aca="false">Sens!G7113+Sens!G7134+Sens!G7064+Sens!G7191*(Sens!G7083-Sens!G7047)+sbc_r*Sens!G7083</f>
        <v>310.579646663099</v>
      </c>
      <c r="H7198" s="6" t="n">
        <f aca="false">Sens!H7113+Sens!H7134+Sens!H7064+Sens!H7191*(Sens!H7083-Sens!H7047)+sbc_r*Sens!H7083</f>
        <v>392.388189600181</v>
      </c>
      <c r="I7198" s="6" t="n">
        <f aca="false">Sens!I7113+Sens!I7134+Sens!I7064+Sens!I7191*(Sens!I7083-Sens!I7047)+sbc_r*Sens!I7083</f>
        <v>461.862012564724</v>
      </c>
      <c r="J7198" s="6" t="n">
        <f aca="false">Sens!J7113+Sens!J7134+Sens!J7064+Sens!J7191*(Sens!J7083-Sens!J7047)+sbc_r*Sens!J7083</f>
        <v>516.497144592529</v>
      </c>
      <c r="K7198" s="6" t="n">
        <f aca="false">Sens!K7113+Sens!K7134+Sens!K7064+Sens!K7191*(Sens!K7083-Sens!K7047)+sbc_r*Sens!K7083</f>
        <v>557.947828646066</v>
      </c>
    </row>
    <row r="7199" customFormat="false" ht="17.15" hidden="false" customHeight="false" outlineLevel="0" collapsed="false">
      <c r="A7199" s="0" t="s">
        <v>1079</v>
      </c>
      <c r="B7199" s="0" t="s">
        <v>98</v>
      </c>
      <c r="F7199" s="6" t="n">
        <f aca="false">Sens!F7198-Sens!F7192-Sens!F7193-Sens!F7194-Sens!F7195-Sens!F7197</f>
        <v>60.383927079127</v>
      </c>
      <c r="G7199" s="6" t="n">
        <f aca="false">Sens!G7198-Sens!G7192-Sens!G7193-Sens!G7194-Sens!G7195-Sens!G7197</f>
        <v>72.9145350348306</v>
      </c>
      <c r="H7199" s="6" t="n">
        <f aca="false">Sens!H7198-Sens!H7192-Sens!H7193-Sens!H7194-Sens!H7195-Sens!H7197</f>
        <v>85.9840209097647</v>
      </c>
      <c r="I7199" s="6" t="n">
        <f aca="false">Sens!I7198-Sens!I7192-Sens!I7193-Sens!I7194-Sens!I7195-Sens!I7197</f>
        <v>98.5351264016223</v>
      </c>
      <c r="J7199" s="6" t="n">
        <f aca="false">Sens!J7198-Sens!J7192-Sens!J7193-Sens!J7194-Sens!J7195-Sens!J7197</f>
        <v>109.911195218112</v>
      </c>
      <c r="K7199" s="6" t="n">
        <f aca="false">Sens!K7198-Sens!K7192-Sens!K7193-Sens!K7194-Sens!K7195-Sens!K7197</f>
        <v>119.37966145295</v>
      </c>
    </row>
    <row r="7200" customFormat="false" ht="17.15" hidden="false" customHeight="false" outlineLevel="0" collapsed="false">
      <c r="A7200" s="0" t="s">
        <v>1080</v>
      </c>
      <c r="B7200" s="0" t="s">
        <v>98</v>
      </c>
      <c r="F7200" s="6" t="n">
        <f aca="false">Sens!F7115+Sens!F7191*Sens!F7090+sbc_r*Sens!F7090</f>
        <v>26.289481851486</v>
      </c>
      <c r="G7200" s="6" t="n">
        <f aca="false">Sens!G7115+Sens!G7191*Sens!G7090+sbc_r*Sens!G7090</f>
        <v>26.8405458487429</v>
      </c>
      <c r="H7200" s="6" t="n">
        <f aca="false">Sens!H7115+Sens!H7191*Sens!H7090+sbc_r*Sens!H7090</f>
        <v>27.6773476969736</v>
      </c>
      <c r="I7200" s="6" t="n">
        <f aca="false">Sens!I7115+Sens!I7191*Sens!I7090+sbc_r*Sens!I7090</f>
        <v>28.7714200127577</v>
      </c>
      <c r="J7200" s="6" t="n">
        <f aca="false">Sens!J7115+Sens!J7191*Sens!J7090+sbc_r*Sens!J7090</f>
        <v>30.0800934205425</v>
      </c>
      <c r="K7200" s="6" t="n">
        <f aca="false">Sens!K7115+Sens!K7191*Sens!K7090+sbc_r*Sens!K7090</f>
        <v>31.5537187285642</v>
      </c>
    </row>
    <row r="7201" customFormat="false" ht="17.15" hidden="false" customHeight="false" outlineLevel="0" collapsed="false">
      <c r="A7201" s="0" t="s">
        <v>1081</v>
      </c>
      <c r="B7201" s="0" t="s">
        <v>98</v>
      </c>
      <c r="F7201" s="6" t="n">
        <f aca="false">(Sens!F7200-Sens!F7196)*Sens!F7086/(Sens!F7086+Sens!F7088)</f>
        <v>8.24559439071078</v>
      </c>
      <c r="G7201" s="6" t="n">
        <f aca="false">(Sens!G7200-Sens!G7196)*Sens!G7086/(Sens!G7086+Sens!G7088)</f>
        <v>7.82982991756719</v>
      </c>
      <c r="H7201" s="6" t="n">
        <f aca="false">(Sens!H7200-Sens!H7196)*Sens!H7086/(Sens!H7086+Sens!H7088)</f>
        <v>7.58399127147631</v>
      </c>
      <c r="I7201" s="6" t="n">
        <f aca="false">(Sens!I7200-Sens!I7196)*Sens!I7086/(Sens!I7086+Sens!I7088)</f>
        <v>7.48973975043218</v>
      </c>
      <c r="J7201" s="6" t="n">
        <f aca="false">(Sens!J7200-Sens!J7196)*Sens!J7086/(Sens!J7086+Sens!J7088)</f>
        <v>7.53235549352976</v>
      </c>
      <c r="K7201" s="6" t="n">
        <f aca="false">(Sens!K7200-Sens!K7196)*Sens!K7086/(Sens!K7086+Sens!K7088)</f>
        <v>7.70236774326801</v>
      </c>
    </row>
    <row r="7202" customFormat="false" ht="17.15" hidden="false" customHeight="false" outlineLevel="0" collapsed="false">
      <c r="A7202" s="0" t="s">
        <v>1082</v>
      </c>
      <c r="B7202" s="0" t="s">
        <v>98</v>
      </c>
      <c r="F7202" s="6" t="n">
        <f aca="false">Sens!F7200-Sens!F7196-Sens!F7201</f>
        <v>6.79588844882009</v>
      </c>
      <c r="G7202" s="6" t="n">
        <f aca="false">Sens!G7200-Sens!G7196-Sens!G7201</f>
        <v>6.71251097167871</v>
      </c>
      <c r="H7202" s="6" t="n">
        <f aca="false">Sens!H7200-Sens!H7196-Sens!H7201</f>
        <v>6.69463393422619</v>
      </c>
      <c r="I7202" s="6" t="n">
        <f aca="false">Sens!I7200-Sens!I7196-Sens!I7201</f>
        <v>6.74018763801719</v>
      </c>
      <c r="J7202" s="6" t="n">
        <f aca="false">Sens!J7200-Sens!J7196-Sens!J7201</f>
        <v>6.84354581255218</v>
      </c>
      <c r="K7202" s="6" t="n">
        <f aca="false">Sens!K7200-Sens!K7196-Sens!K7201</f>
        <v>6.99801098892074</v>
      </c>
    </row>
    <row r="7203" customFormat="false" ht="17.15" hidden="false" customHeight="false" outlineLevel="0" collapsed="false">
      <c r="A7203" s="0" t="s">
        <v>1083</v>
      </c>
      <c r="B7203" s="0" t="s">
        <v>98</v>
      </c>
      <c r="F7203" s="6" t="n">
        <f aca="false">Sens!F7197-tax_f*(Sens!F7197-Sens!F7064)-Sens!F7061</f>
        <v>-118.726240431681</v>
      </c>
      <c r="G7203" s="6" t="n">
        <f aca="false">Sens!G7197-tax_f*(Sens!G7197-Sens!G7064)-Sens!G7061</f>
        <v>-102.562944734267</v>
      </c>
      <c r="H7203" s="6" t="n">
        <f aca="false">Sens!H7197-tax_f*(Sens!H7197-Sens!H7064)-Sens!H7061</f>
        <v>-61.1030407296887</v>
      </c>
      <c r="I7203" s="6" t="n">
        <f aca="false">Sens!I7197-tax_f*(Sens!I7197-Sens!I7064)-Sens!I7061</f>
        <v>0.647152747270695</v>
      </c>
      <c r="J7203" s="6" t="n">
        <f aca="false">Sens!J7197-tax_f*(Sens!J7197-Sens!J7064)-Sens!J7061</f>
        <v>63.8907358157364</v>
      </c>
      <c r="K7203" s="6" t="n">
        <f aca="false">Sens!K7197-tax_f*(Sens!K7197-Sens!K7064)-Sens!K7061</f>
        <v>86.4984497904045</v>
      </c>
    </row>
    <row r="7204" customFormat="false" ht="17.15" hidden="false" customHeight="false" outlineLevel="0" collapsed="false">
      <c r="A7204" s="0" t="s">
        <v>1084</v>
      </c>
      <c r="B7204" s="0" t="s">
        <v>98</v>
      </c>
      <c r="G7204" s="6" t="n">
        <f aca="false">Sens!G7203/(1+wacc)^(Sens!G7176-(Sens!F7176+mid_yr))</f>
        <v>-97.6597563537177</v>
      </c>
      <c r="H7204" s="6" t="n">
        <f aca="false">Sens!H7203/(1+wacc)^(Sens!H7176-(Sens!F7176+mid_yr))</f>
        <v>-52.7519219911779</v>
      </c>
      <c r="I7204" s="6" t="n">
        <f aca="false">Sens!I7203/(1+wacc)^(Sens!I7176-(Sens!F7176+mid_yr))</f>
        <v>0.506561959870822</v>
      </c>
      <c r="J7204" s="6" t="n">
        <f aca="false">Sens!J7203/(1+wacc)^(Sens!J7176-(Sens!F7176+mid_yr))</f>
        <v>45.3433887216022</v>
      </c>
      <c r="K7204" s="6" t="n">
        <f aca="false">Sens!K7203/(1+wacc)^(Sens!K7176-(Sens!F7176+mid_yr))</f>
        <v>55.6589126739227</v>
      </c>
      <c r="L7204" s="1" t="s">
        <v>1085</v>
      </c>
    </row>
    <row r="7205" customFormat="false" ht="17.15" hidden="false" customHeight="false" outlineLevel="0" collapsed="false">
      <c r="A7205" s="0" t="s">
        <v>1086</v>
      </c>
      <c r="B7205" s="0" t="s">
        <v>98</v>
      </c>
      <c r="C7205" s="6" t="n">
        <f aca="false">(Sens!K7197-Sens!K7064)*(1-tax_f)*(1+g_tv)*(1-g_tv/(wacc+ronic_prem))/(wacc-g_tv)/(1+wacc)^(Sens!K7176+mid_yr-(Sens!F7176+mid_yr))</f>
        <v>421.652779955731</v>
      </c>
    </row>
    <row r="7206" customFormat="false" ht="17.15" hidden="false" customHeight="false" outlineLevel="0" collapsed="false">
      <c r="A7206" s="1" t="s">
        <v>1087</v>
      </c>
      <c r="B7206" s="0" t="s">
        <v>98</v>
      </c>
      <c r="C7206" s="6" t="n">
        <f aca="false">(SUM(Sens!G7204:K7204)+Sens!$C$7205)*(1+wacc)^(t_roll-(Sens!F7176+mid_yr))</f>
        <v>384.848657652606</v>
      </c>
      <c r="L7206" s="11" t="s">
        <v>1088</v>
      </c>
    </row>
    <row r="7207" customFormat="false" ht="17.15" hidden="false" customHeight="false" outlineLevel="0" collapsed="false">
      <c r="A7207" s="1" t="s">
        <v>1089</v>
      </c>
      <c r="B7207" s="0" t="s">
        <v>98</v>
      </c>
      <c r="C7207" s="6" t="n">
        <f aca="false">(w_ntm28*Sens!G7053+(1-w_ntm28)*Sens!H7053)*m_ai</f>
        <v>551.711134531404</v>
      </c>
    </row>
    <row r="7208" customFormat="false" ht="17.15" hidden="false" customHeight="false" outlineLevel="0" collapsed="false">
      <c r="A7208" s="1" t="s">
        <v>1090</v>
      </c>
      <c r="B7208" s="0" t="s">
        <v>98</v>
      </c>
      <c r="C7208" s="6" t="n">
        <f aca="false">(w_ntm28*Sens!G7199+(1-w_ntm28)*Sens!H7199)*m_cloud</f>
        <v>1066.07118866193</v>
      </c>
    </row>
    <row r="7209" customFormat="false" ht="17.15" hidden="false" customHeight="false" outlineLevel="0" collapsed="false">
      <c r="A7209" s="1" t="s">
        <v>1091</v>
      </c>
      <c r="B7209" s="0" t="s">
        <v>98</v>
      </c>
      <c r="C7209" s="6" t="n">
        <f aca="false">(w_ntm28*Sens!G7192+(1-w_ntm28)*Sens!H7192)*m_sw</f>
        <v>1165.22043539166</v>
      </c>
    </row>
    <row r="7210" customFormat="false" ht="17.15" hidden="false" customHeight="false" outlineLevel="0" collapsed="false">
      <c r="A7210" s="1" t="s">
        <v>1092</v>
      </c>
      <c r="B7210" s="0" t="s">
        <v>98</v>
      </c>
      <c r="C7210" s="6" t="n">
        <f aca="false">(w_ntm28*Sens!G7193+(1-w_ntm28)*Sens!H7193)*m_sw</f>
        <v>379.632928265315</v>
      </c>
    </row>
    <row r="7211" customFormat="false" ht="17.15" hidden="false" customHeight="false" outlineLevel="0" collapsed="false">
      <c r="A7211" s="1" t="s">
        <v>1093</v>
      </c>
      <c r="B7211" s="0" t="s">
        <v>98</v>
      </c>
      <c r="C7211" s="6" t="n">
        <f aca="false">(w_ntm28*Sens!G7194+(1-w_ntm28)*Sens!H7194)*m_sw</f>
        <v>109.35765879966</v>
      </c>
    </row>
    <row r="7212" customFormat="false" ht="17.15" hidden="false" customHeight="false" outlineLevel="0" collapsed="false">
      <c r="A7212" s="1" t="s">
        <v>1094</v>
      </c>
      <c r="B7212" s="0" t="s">
        <v>98</v>
      </c>
      <c r="C7212" s="6" t="n">
        <f aca="false">(w_ntm28*Sens!G7195+(1-w_ntm28)*Sens!H7195)*m_sw</f>
        <v>41.7220792201422</v>
      </c>
    </row>
    <row r="7213" customFormat="false" ht="17.15" hidden="false" customHeight="false" outlineLevel="0" collapsed="false">
      <c r="A7213" s="1" t="s">
        <v>1095</v>
      </c>
      <c r="B7213" s="0" t="s">
        <v>98</v>
      </c>
      <c r="C7213" s="6" t="n">
        <f aca="false">(w_ntm28*Sens!G7196+(1-w_ntm28)*Sens!H7196)*m_ads</f>
        <v>115.277837143501</v>
      </c>
    </row>
    <row r="7214" customFormat="false" ht="17.15" hidden="false" customHeight="false" outlineLevel="0" collapsed="false">
      <c r="A7214" s="1" t="s">
        <v>1096</v>
      </c>
      <c r="B7214" s="0" t="s">
        <v>98</v>
      </c>
      <c r="C7214" s="6" t="n">
        <f aca="false">(w_ntm28*Sens!G7201+(1-w_ntm28)*Sens!H7201)*m_game</f>
        <v>97.8869623580104</v>
      </c>
    </row>
    <row r="7215" customFormat="false" ht="17.15" hidden="false" customHeight="false" outlineLevel="0" collapsed="false">
      <c r="A7215" s="1" t="s">
        <v>1097</v>
      </c>
      <c r="B7215" s="0" t="s">
        <v>98</v>
      </c>
      <c r="C7215" s="6" t="n">
        <f aca="false">(w_ntm28*Sens!G7202+(1-w_ntm28)*Sens!H7202)*m_pc</f>
        <v>97.0464054687699</v>
      </c>
    </row>
    <row r="7216" customFormat="false" ht="17.15" hidden="false" customHeight="false" outlineLevel="0" collapsed="false">
      <c r="A7216" s="1" t="s">
        <v>1098</v>
      </c>
      <c r="B7216" s="0" t="s">
        <v>98</v>
      </c>
      <c r="C7216" s="6" t="n">
        <f aca="false">Sens!$C$7206+Sens!$C$7208+Sens!$C$7209+Sens!$C$7210+Sens!$C$7211+Sens!$C$7212+Sens!$C$7213+Sens!$C$7214+Sens!$C$7215</f>
        <v>3457.0641529616</v>
      </c>
    </row>
    <row r="7217" customFormat="false" ht="17.15" hidden="false" customHeight="false" outlineLevel="0" collapsed="false">
      <c r="A7217" s="1" t="s">
        <v>1099</v>
      </c>
      <c r="B7217" s="0" t="s">
        <v>98</v>
      </c>
      <c r="C7217" s="6" t="n">
        <f aca="false">(Sens!G7178-Sens!G7203)*t_stub</f>
        <v>48.5037251924284</v>
      </c>
      <c r="L7217" s="1" t="s">
        <v>1100</v>
      </c>
    </row>
    <row r="7218" customFormat="false" ht="17.15" hidden="false" customHeight="false" outlineLevel="0" collapsed="false">
      <c r="A7218" s="1" t="s">
        <v>1014</v>
      </c>
      <c r="B7218" s="0" t="s">
        <v>98</v>
      </c>
      <c r="C7218" s="6" t="n">
        <f aca="false">Sens!F7167+oai_v-Sens!F7156+Sens!$C$7217</f>
        <v>164.966235095428</v>
      </c>
      <c r="L7218" s="1" t="s">
        <v>1101</v>
      </c>
    </row>
    <row r="7219" customFormat="false" ht="17.15" hidden="false" customHeight="false" outlineLevel="0" collapsed="false">
      <c r="A7219" s="1" t="s">
        <v>1102</v>
      </c>
      <c r="B7219" s="0" t="s">
        <v>75</v>
      </c>
      <c r="C7219" s="5" t="n">
        <f aca="false">(Sens!$C$7216+Sens!$C$7218)/(Sens!F7169+dil_gap)-Sens!G7159*roll_div_q/q_per_yr</f>
        <v>482.155589121802</v>
      </c>
      <c r="L7219" s="1" t="s">
        <v>1103</v>
      </c>
    </row>
    <row r="7220" customFormat="false" ht="17.15" hidden="false" customHeight="false" outlineLevel="0" collapsed="false">
      <c r="A7220" s="1" t="s">
        <v>1104</v>
      </c>
      <c r="B7220" s="0" t="s">
        <v>75</v>
      </c>
      <c r="C7220" s="5" t="n">
        <f aca="false">w_dcf*Sens!$C$7190+(1-w_dcf)*Sens!$C$7219</f>
        <v>424.752836235696</v>
      </c>
    </row>
    <row r="7221" customFormat="false" ht="17.15" hidden="false" customHeight="false" outlineLevel="0" collapsed="false">
      <c r="A7221" s="3" t="s">
        <v>1447</v>
      </c>
    </row>
    <row r="7222" customFormat="false" ht="15" hidden="false" customHeight="false" outlineLevel="0" collapsed="false">
      <c r="A7222" s="4" t="s">
        <v>43</v>
      </c>
      <c r="B7222" s="4" t="s">
        <v>65</v>
      </c>
      <c r="C7222" s="20" t="s">
        <v>799</v>
      </c>
      <c r="D7222" s="20" t="s">
        <v>800</v>
      </c>
      <c r="E7222" s="20" t="s">
        <v>801</v>
      </c>
      <c r="F7222" s="20" t="s">
        <v>802</v>
      </c>
      <c r="G7222" s="20" t="s">
        <v>803</v>
      </c>
      <c r="H7222" s="20" t="s">
        <v>804</v>
      </c>
      <c r="I7222" s="20" t="s">
        <v>805</v>
      </c>
      <c r="J7222" s="20" t="s">
        <v>806</v>
      </c>
      <c r="K7222" s="20" t="s">
        <v>807</v>
      </c>
      <c r="L7222" s="4" t="s">
        <v>47</v>
      </c>
    </row>
    <row r="7223" customFormat="false" ht="17.15" hidden="false" customHeight="false" outlineLevel="0" collapsed="false">
      <c r="A7223" s="1" t="s">
        <v>808</v>
      </c>
      <c r="B7223" s="1" t="s">
        <v>235</v>
      </c>
      <c r="C7223" s="28" t="n">
        <v>2024</v>
      </c>
      <c r="D7223" s="28" t="n">
        <v>2025</v>
      </c>
      <c r="E7223" s="28" t="n">
        <v>2026</v>
      </c>
      <c r="F7223" s="28" t="n">
        <v>2027</v>
      </c>
      <c r="G7223" s="28" t="n">
        <v>2028</v>
      </c>
      <c r="H7223" s="28" t="n">
        <v>2029</v>
      </c>
      <c r="I7223" s="28" t="n">
        <v>2030</v>
      </c>
      <c r="J7223" s="28" t="n">
        <v>2031</v>
      </c>
      <c r="K7223" s="28" t="n">
        <v>2032</v>
      </c>
    </row>
    <row r="7224" customFormat="false" ht="17.15" hidden="false" customHeight="false" outlineLevel="0" collapsed="false">
      <c r="A7224" s="1" t="s">
        <v>809</v>
      </c>
      <c r="B7224" s="0" t="s">
        <v>399</v>
      </c>
      <c r="F7224" s="29" t="n">
        <f aca="false">pace</f>
        <v>2527.2</v>
      </c>
      <c r="G7224" s="29" t="n">
        <f aca="false">pace</f>
        <v>2527.2</v>
      </c>
      <c r="H7224" s="29" t="n">
        <f aca="false">pace</f>
        <v>2527.2</v>
      </c>
      <c r="I7224" s="29" t="n">
        <f aca="false">pace+(g_tv*Sens!H7225-pace)*MIN(1,(Sens!I7223-pace_y0)/(pace_y1-pace_y0))</f>
        <v>1793.116</v>
      </c>
      <c r="J7224" s="29" t="n">
        <f aca="false">pace+(g_tv*Sens!I7225-pace)*MIN(1,(Sens!J7223-pace_y0)/(pace_y1-pace_y0))</f>
        <v>1094.89432</v>
      </c>
      <c r="K7224" s="29" t="n">
        <f aca="false">pace+(g_tv*Sens!J7225-pace)*MIN(1,(Sens!K7223-pace_y0)/(pace_y1-pace_y0))</f>
        <v>411.5883096</v>
      </c>
      <c r="L7224" s="11" t="s">
        <v>810</v>
      </c>
    </row>
    <row r="7225" customFormat="false" ht="17.15" hidden="false" customHeight="false" outlineLevel="0" collapsed="false">
      <c r="A7225" s="1" t="s">
        <v>811</v>
      </c>
      <c r="B7225" s="0" t="s">
        <v>399</v>
      </c>
      <c r="C7225" s="29" t="n">
        <f aca="false">mw_ext_24</f>
        <v>640</v>
      </c>
      <c r="D7225" s="29" t="n">
        <f aca="false">mw_ext_25</f>
        <v>1630</v>
      </c>
      <c r="E7225" s="29" t="n">
        <f aca="false">mw_ext_26</f>
        <v>3250</v>
      </c>
      <c r="F7225" s="29" t="n">
        <f aca="false">Sens!E7225+Sens!F7224</f>
        <v>5777.2</v>
      </c>
      <c r="G7225" s="29" t="n">
        <f aca="false">Sens!F7225+Sens!G7224</f>
        <v>8304.4</v>
      </c>
      <c r="H7225" s="29" t="n">
        <f aca="false">Sens!G7225+Sens!H7224</f>
        <v>10831.6</v>
      </c>
      <c r="I7225" s="29" t="n">
        <f aca="false">Sens!H7225+Sens!I7224</f>
        <v>12624.716</v>
      </c>
      <c r="J7225" s="29" t="n">
        <f aca="false">Sens!I7225+Sens!J7224</f>
        <v>13719.61032</v>
      </c>
      <c r="K7225" s="29" t="n">
        <f aca="false">Sens!J7225+Sens!K7224</f>
        <v>14131.1986296</v>
      </c>
      <c r="L7225" s="1" t="s">
        <v>812</v>
      </c>
    </row>
    <row r="7226" customFormat="false" ht="17.15" hidden="false" customHeight="false" outlineLevel="0" collapsed="false">
      <c r="A7226" s="1" t="s">
        <v>813</v>
      </c>
      <c r="B7226" s="0" t="s">
        <v>399</v>
      </c>
      <c r="C7226" s="29" t="n">
        <f aca="false">rent_ext_24</f>
        <v>150</v>
      </c>
      <c r="D7226" s="29" t="n">
        <f aca="false">rent_ext_25</f>
        <v>400</v>
      </c>
      <c r="E7226" s="29" t="n">
        <f aca="false">rent_ext_26</f>
        <v>550</v>
      </c>
      <c r="F7226" s="29" t="n">
        <f aca="false">rent_ext_f</f>
        <v>756</v>
      </c>
      <c r="G7226" s="29" t="n">
        <f aca="false">rent_ext_f</f>
        <v>756</v>
      </c>
      <c r="H7226" s="29" t="n">
        <f aca="false">rent_ext_f</f>
        <v>756</v>
      </c>
      <c r="I7226" s="29" t="n">
        <f aca="false">rent_ext_f</f>
        <v>756</v>
      </c>
      <c r="J7226" s="29" t="n">
        <f aca="false">rent_ext_f</f>
        <v>756</v>
      </c>
      <c r="K7226" s="29" t="n">
        <f aca="false">rent_ext_f</f>
        <v>756</v>
      </c>
      <c r="L7226" s="1" t="s">
        <v>814</v>
      </c>
    </row>
    <row r="7227" customFormat="false" ht="17.15" hidden="false" customHeight="false" outlineLevel="0" collapsed="false">
      <c r="A7227" s="1" t="s">
        <v>815</v>
      </c>
      <c r="B7227" s="0" t="s">
        <v>399</v>
      </c>
      <c r="C7227" s="29" t="n">
        <f aca="false">Sens!C7225-Sens!C7226</f>
        <v>490</v>
      </c>
      <c r="D7227" s="29" t="n">
        <f aca="false">Sens!D7225-Sens!D7226</f>
        <v>1230</v>
      </c>
      <c r="E7227" s="29" t="n">
        <f aca="false">Sens!E7225-Sens!E7226</f>
        <v>2700</v>
      </c>
      <c r="F7227" s="29" t="n">
        <f aca="false">Sens!F7225-Sens!F7226</f>
        <v>5021.2</v>
      </c>
      <c r="G7227" s="29" t="n">
        <f aca="false">Sens!G7225-Sens!G7226</f>
        <v>7548.4</v>
      </c>
      <c r="H7227" s="29" t="n">
        <f aca="false">Sens!H7225-Sens!H7226</f>
        <v>10075.6</v>
      </c>
      <c r="I7227" s="29" t="n">
        <f aca="false">Sens!I7225-Sens!I7226</f>
        <v>11868.716</v>
      </c>
      <c r="J7227" s="29" t="n">
        <f aca="false">Sens!J7225-Sens!J7226</f>
        <v>12963.61032</v>
      </c>
      <c r="K7227" s="29" t="n">
        <f aca="false">Sens!K7225-Sens!K7226</f>
        <v>13375.1986296</v>
      </c>
    </row>
    <row r="7228" customFormat="false" ht="17.15" hidden="false" customHeight="false" outlineLevel="0" collapsed="false">
      <c r="A7228" s="1" t="s">
        <v>816</v>
      </c>
      <c r="B7228" s="0" t="s">
        <v>399</v>
      </c>
      <c r="C7228" s="29" t="n">
        <f aca="false">Sens!C7227/ext_sh</f>
        <v>816.666666666667</v>
      </c>
      <c r="D7228" s="29" t="n">
        <f aca="false">Sens!D7227/ext_sh</f>
        <v>2050</v>
      </c>
      <c r="E7228" s="29" t="n">
        <f aca="false">Sens!E7227/ext_sh</f>
        <v>4500</v>
      </c>
      <c r="F7228" s="29" t="n">
        <f aca="false">Sens!F7227/ext_sh</f>
        <v>8368.66666666667</v>
      </c>
      <c r="G7228" s="29" t="n">
        <f aca="false">Sens!G7227/ext_sh</f>
        <v>12580.6666666667</v>
      </c>
      <c r="H7228" s="29" t="n">
        <f aca="false">Sens!H7227/ext_sh</f>
        <v>16792.6666666667</v>
      </c>
      <c r="I7228" s="29" t="n">
        <f aca="false">Sens!I7227/ext_sh</f>
        <v>19781.1933333333</v>
      </c>
      <c r="J7228" s="29" t="n">
        <f aca="false">Sens!J7227/ext_sh</f>
        <v>21606.0172</v>
      </c>
      <c r="K7228" s="29" t="n">
        <f aca="false">Sens!K7227/ext_sh</f>
        <v>22291.997716</v>
      </c>
      <c r="L7228" s="1" t="s">
        <v>817</v>
      </c>
    </row>
    <row r="7229" customFormat="false" ht="17.15" hidden="false" customHeight="false" outlineLevel="0" collapsed="false">
      <c r="A7229" s="1" t="s">
        <v>818</v>
      </c>
      <c r="B7229" s="0" t="s">
        <v>399</v>
      </c>
      <c r="C7229" s="29" t="n">
        <f aca="false">Sens!C7228-Sens!C7227</f>
        <v>326.666666666667</v>
      </c>
      <c r="D7229" s="29" t="n">
        <f aca="false">Sens!D7228-Sens!D7227</f>
        <v>820</v>
      </c>
      <c r="E7229" s="29" t="n">
        <f aca="false">Sens!E7228-Sens!E7227</f>
        <v>1800</v>
      </c>
      <c r="F7229" s="29" t="n">
        <f aca="false">Sens!F7228-Sens!F7227</f>
        <v>3347.46666666667</v>
      </c>
      <c r="G7229" s="29" t="n">
        <f aca="false">Sens!G7228-Sens!G7227</f>
        <v>5032.26666666667</v>
      </c>
      <c r="H7229" s="29" t="n">
        <f aca="false">Sens!H7228-Sens!H7227</f>
        <v>6717.06666666667</v>
      </c>
      <c r="I7229" s="29" t="n">
        <f aca="false">Sens!I7228-Sens!I7227</f>
        <v>7912.47733333333</v>
      </c>
      <c r="J7229" s="29" t="n">
        <f aca="false">Sens!J7228-Sens!J7227</f>
        <v>8642.40688</v>
      </c>
      <c r="K7229" s="29" t="n">
        <f aca="false">Sens!K7228-Sens!K7227</f>
        <v>8916.7990864</v>
      </c>
    </row>
    <row r="7230" customFormat="false" ht="17.15" hidden="false" customHeight="false" outlineLevel="0" collapsed="false">
      <c r="A7230" s="1" t="s">
        <v>819</v>
      </c>
      <c r="B7230" s="0" t="s">
        <v>399</v>
      </c>
      <c r="C7230" s="29" t="n">
        <f aca="false">Sens!C7228</f>
        <v>816.666666666667</v>
      </c>
      <c r="D7230" s="29" t="n">
        <f aca="false">Sens!D7228-Sens!C7228</f>
        <v>1233.33333333333</v>
      </c>
      <c r="E7230" s="29" t="n">
        <f aca="false">Sens!E7228-Sens!D7228</f>
        <v>2450</v>
      </c>
      <c r="F7230" s="29" t="n">
        <f aca="false">Sens!F7228-Sens!E7228</f>
        <v>3868.66666666667</v>
      </c>
      <c r="G7230" s="29" t="n">
        <f aca="false">Sens!G7228-Sens!F7228</f>
        <v>4212</v>
      </c>
      <c r="H7230" s="29" t="n">
        <f aca="false">Sens!H7228-Sens!G7228</f>
        <v>4212</v>
      </c>
      <c r="I7230" s="29" t="n">
        <f aca="false">Sens!I7228-Sens!H7228</f>
        <v>2988.52666666667</v>
      </c>
      <c r="J7230" s="29" t="n">
        <f aca="false">Sens!J7228-Sens!I7228</f>
        <v>1824.82386666667</v>
      </c>
      <c r="K7230" s="29" t="n">
        <f aca="false">Sens!K7228-Sens!J7228</f>
        <v>685.980516</v>
      </c>
    </row>
    <row r="7231" customFormat="false" ht="17.15" hidden="false" customHeight="false" outlineLevel="0" collapsed="false">
      <c r="A7231" s="1" t="s">
        <v>820</v>
      </c>
      <c r="B7231" s="0" t="s">
        <v>399</v>
      </c>
      <c r="D7231" s="29" t="n">
        <f aca="false">Sens!D7225-Sens!C7225</f>
        <v>990</v>
      </c>
      <c r="E7231" s="29" t="n">
        <f aca="false">Sens!E7225-Sens!D7225</f>
        <v>1620</v>
      </c>
      <c r="F7231" s="29" t="n">
        <f aca="false">Sens!F7225-Sens!E7225</f>
        <v>2527.2</v>
      </c>
      <c r="G7231" s="29" t="n">
        <f aca="false">Sens!G7225-Sens!F7225</f>
        <v>2527.2</v>
      </c>
      <c r="H7231" s="29" t="n">
        <f aca="false">Sens!H7225-Sens!G7225</f>
        <v>2527.2</v>
      </c>
      <c r="I7231" s="29" t="n">
        <f aca="false">Sens!I7225-Sens!H7225</f>
        <v>1793.116</v>
      </c>
      <c r="J7231" s="29" t="n">
        <f aca="false">Sens!J7225-Sens!I7225</f>
        <v>1094.89432</v>
      </c>
      <c r="K7231" s="29" t="n">
        <f aca="false">Sens!K7225-Sens!J7225</f>
        <v>411.5883096</v>
      </c>
    </row>
    <row r="7232" customFormat="false" ht="17.15" hidden="false" customHeight="false" outlineLevel="0" collapsed="false">
      <c r="A7232" s="1" t="s">
        <v>821</v>
      </c>
      <c r="B7232" s="0" t="s">
        <v>399</v>
      </c>
      <c r="F7232" s="29" t="n">
        <f aca="false">Sens!F7249*ext_sh</f>
        <v>0</v>
      </c>
      <c r="G7232" s="29" t="n">
        <f aca="false">Sens!G7249*ext_sh</f>
        <v>0</v>
      </c>
      <c r="H7232" s="29" t="n">
        <f aca="false">Sens!H7249*ext_sh</f>
        <v>0</v>
      </c>
      <c r="I7232" s="29" t="n">
        <f aca="false">Sens!I7249*ext_sh</f>
        <v>490</v>
      </c>
      <c r="J7232" s="29" t="n">
        <f aca="false">Sens!J7249*ext_sh</f>
        <v>740</v>
      </c>
      <c r="K7232" s="29" t="n">
        <f aca="false">Sens!K7249*ext_sh</f>
        <v>1470</v>
      </c>
      <c r="L7232" s="1" t="s">
        <v>822</v>
      </c>
    </row>
    <row r="7233" customFormat="false" ht="17.15" hidden="false" customHeight="false" outlineLevel="0" collapsed="false">
      <c r="A7233" s="1" t="s">
        <v>823</v>
      </c>
      <c r="B7233" s="0" t="s">
        <v>399</v>
      </c>
      <c r="C7233" s="29" t="n">
        <f aca="false">mix_h*Sens!C7225</f>
        <v>128</v>
      </c>
      <c r="D7233" s="29" t="n">
        <f aca="false">mix_h*Sens!D7225</f>
        <v>326</v>
      </c>
      <c r="E7233" s="29" t="n">
        <f aca="false">mix_h*Sens!E7225</f>
        <v>650</v>
      </c>
      <c r="F7233" s="29" t="n">
        <f aca="false">Sens!E7233-Sens!F7232*mix_h</f>
        <v>650</v>
      </c>
      <c r="G7233" s="29" t="n">
        <f aca="false">Sens!F7233-Sens!G7232*mix_h</f>
        <v>650</v>
      </c>
      <c r="H7233" s="29" t="n">
        <f aca="false">Sens!G7233-Sens!H7232*mix_h</f>
        <v>650</v>
      </c>
      <c r="I7233" s="29" t="n">
        <f aca="false">Sens!H7233-Sens!I7232*mix_h</f>
        <v>552</v>
      </c>
      <c r="J7233" s="29" t="n">
        <f aca="false">Sens!I7233-Sens!J7232*mix_h</f>
        <v>404</v>
      </c>
      <c r="K7233" s="29" t="n">
        <f aca="false">Sens!J7233-Sens!K7232*mix_h</f>
        <v>110</v>
      </c>
    </row>
    <row r="7234" customFormat="false" ht="17.15" hidden="false" customHeight="false" outlineLevel="0" collapsed="false">
      <c r="A7234" s="1" t="s">
        <v>824</v>
      </c>
      <c r="B7234" s="0" t="s">
        <v>399</v>
      </c>
      <c r="C7234" s="29" t="n">
        <f aca="false">mix_g2*Sens!C7225</f>
        <v>288</v>
      </c>
      <c r="D7234" s="29" t="n">
        <f aca="false">mix_g2*Sens!D7225</f>
        <v>733.5</v>
      </c>
      <c r="E7234" s="29" t="n">
        <f aca="false">mix_g2*Sens!E7225</f>
        <v>1462.5</v>
      </c>
      <c r="F7234" s="29" t="n">
        <f aca="false">Sens!E7234-Sens!F7232*mix_g2</f>
        <v>1462.5</v>
      </c>
      <c r="G7234" s="29" t="n">
        <f aca="false">Sens!F7234-Sens!G7232*mix_g2</f>
        <v>1462.5</v>
      </c>
      <c r="H7234" s="29" t="n">
        <f aca="false">Sens!G7234-Sens!H7232*mix_g2</f>
        <v>1462.5</v>
      </c>
      <c r="I7234" s="29" t="n">
        <f aca="false">Sens!H7234-Sens!I7232*mix_g2</f>
        <v>1242</v>
      </c>
      <c r="J7234" s="29" t="n">
        <f aca="false">Sens!I7234-Sens!J7232*mix_g2</f>
        <v>909</v>
      </c>
      <c r="K7234" s="29" t="n">
        <f aca="false">Sens!J7234-Sens!K7232*mix_g2</f>
        <v>247.5</v>
      </c>
    </row>
    <row r="7235" customFormat="false" ht="17.15" hidden="false" customHeight="false" outlineLevel="0" collapsed="false">
      <c r="A7235" s="1" t="s">
        <v>825</v>
      </c>
      <c r="B7235" s="0" t="s">
        <v>399</v>
      </c>
      <c r="C7235" s="29" t="n">
        <f aca="false">mix_g3*Sens!C7225</f>
        <v>224</v>
      </c>
      <c r="D7235" s="29" t="n">
        <f aca="false">mix_g3*Sens!D7225</f>
        <v>570.5</v>
      </c>
      <c r="E7235" s="29" t="n">
        <f aca="false">mix_g3*Sens!E7225</f>
        <v>1137.5</v>
      </c>
      <c r="F7235" s="29" t="n">
        <f aca="false">Sens!E7235+(Sens!F7231+Sens!F7232)*a_g3_27-Sens!F7232*mix_g3</f>
        <v>2906.54</v>
      </c>
      <c r="G7235" s="29" t="n">
        <f aca="false">Sens!F7235+(Sens!G7231+Sens!G7232)*a_g3_28-Sens!G7232*mix_g3</f>
        <v>3664.7</v>
      </c>
      <c r="H7235" s="29" t="n">
        <f aca="false">Sens!G7235+(Sens!H7231+Sens!H7232)*a_g3_29-Sens!H7232*mix_g3</f>
        <v>3917.42</v>
      </c>
      <c r="I7235" s="29" t="n">
        <f aca="false">Sens!H7235+(Sens!I7231+Sens!I7232)*a_g3_29-Sens!I7232*mix_g3</f>
        <v>3974.2316</v>
      </c>
      <c r="J7235" s="29" t="n">
        <f aca="false">Sens!I7235+(Sens!J7231+Sens!J7232)*a_g3_29-Sens!J7232*mix_g3</f>
        <v>3898.721032</v>
      </c>
      <c r="K7235" s="29" t="n">
        <f aca="false">Sens!J7235+(Sens!K7231+Sens!K7232)*a_g3_29-Sens!K7232*mix_g3</f>
        <v>3572.37986296</v>
      </c>
    </row>
    <row r="7236" customFormat="false" ht="17.15" hidden="false" customHeight="false" outlineLevel="0" collapsed="false">
      <c r="A7236" s="1" t="s">
        <v>826</v>
      </c>
      <c r="B7236" s="0" t="s">
        <v>399</v>
      </c>
      <c r="C7236" s="29" t="n">
        <v>0</v>
      </c>
      <c r="D7236" s="29" t="n">
        <v>0</v>
      </c>
      <c r="E7236" s="29" t="n">
        <v>0</v>
      </c>
      <c r="F7236" s="29" t="n">
        <f aca="false">Sens!E7236+(Sens!F7231+Sens!F7232)*(1-a_g3_27)</f>
        <v>758.16</v>
      </c>
      <c r="G7236" s="29" t="n">
        <f aca="false">Sens!F7236+(Sens!G7231+Sens!G7232)*(1-a_g3_28)</f>
        <v>2527.2</v>
      </c>
      <c r="H7236" s="29" t="n">
        <f aca="false">Sens!G7236+(Sens!H7231+Sens!H7232)*(1-a_g3_29)</f>
        <v>4801.68</v>
      </c>
      <c r="I7236" s="29" t="n">
        <f aca="false">Sens!H7236+(Sens!I7231+Sens!I7232)*(1-a_g3_29)</f>
        <v>6856.4844</v>
      </c>
      <c r="J7236" s="29" t="n">
        <f aca="false">Sens!I7236+(Sens!J7231+Sens!J7232)*(1-a_g3_29)</f>
        <v>8507.889288</v>
      </c>
      <c r="K7236" s="29" t="n">
        <f aca="false">Sens!J7236+(Sens!K7231+Sens!K7232)*(1-a_g3_29)</f>
        <v>10201.31876664</v>
      </c>
    </row>
    <row r="7237" customFormat="false" ht="17.15" hidden="false" customHeight="false" outlineLevel="0" collapsed="false">
      <c r="A7237" s="1" t="s">
        <v>827</v>
      </c>
      <c r="B7237" s="0" t="s">
        <v>346</v>
      </c>
      <c r="C7237" s="14" t="n">
        <f aca="false">(Sens!C7233*tk_hold_h100+Sens!C7234*tk_hold_gb200+Sens!C7235*tk_hold_gb300+Sens!C7236*tk_hold_vr200)/Sens!C7225</f>
        <v>9.7235358126469</v>
      </c>
      <c r="D7237" s="14" t="n">
        <f aca="false">(Sens!D7233*tk_hold_h100+Sens!D7234*tk_hold_gb200+Sens!D7235*tk_hold_gb300+Sens!D7236*tk_hold_vr200)/Sens!D7225</f>
        <v>9.7235358126469</v>
      </c>
      <c r="E7237" s="14" t="n">
        <f aca="false">(Sens!E7233*tk_hold_h100+Sens!E7234*tk_hold_gb200+Sens!E7235*tk_hold_gb300+Sens!E7236*tk_hold_vr200)/Sens!E7225</f>
        <v>9.7235358126469</v>
      </c>
      <c r="F7237" s="14" t="n">
        <f aca="false">(Sens!F7233*tk_hold_h100+Sens!F7234*tk_hold_gb200+Sens!F7235*tk_hold_gb300+Sens!F7236*tk_hold_vr200)/Sens!F7225</f>
        <v>10.4079573161931</v>
      </c>
      <c r="G7237" s="14" t="n">
        <f aca="false">(Sens!G7233*tk_hold_h100+Sens!G7234*tk_hold_gb200+Sens!G7235*tk_hold_gb300+Sens!G7236*tk_hold_vr200)/Sens!G7225</f>
        <v>10.8388131109316</v>
      </c>
      <c r="H7237" s="14" t="n">
        <f aca="false">(Sens!H7233*tk_hold_h100+Sens!H7234*tk_hold_gb200+Sens!H7235*tk_hold_gb300+Sens!H7236*tk_hold_vr200)/Sens!H7225</f>
        <v>11.1311018388216</v>
      </c>
      <c r="I7237" s="14" t="n">
        <f aca="false">(Sens!I7233*tk_hold_h100+Sens!I7234*tk_hold_gb200+Sens!I7235*tk_hold_gb300+Sens!I7236*tk_hold_vr200)/Sens!I7225</f>
        <v>11.3594282560989</v>
      </c>
      <c r="J7237" s="14" t="n">
        <f aca="false">(Sens!J7233*tk_hold_h100+Sens!J7234*tk_hold_gb200+Sens!J7235*tk_hold_gb300+Sens!J7236*tk_hold_vr200)/Sens!J7225</f>
        <v>11.5455817917599</v>
      </c>
      <c r="K7237" s="14" t="n">
        <f aca="false">(Sens!K7233*tk_hold_h100+Sens!K7234*tk_hold_gb200+Sens!K7235*tk_hold_gb300+Sens!K7236*tk_hold_vr200)/Sens!K7225</f>
        <v>11.8078187977246</v>
      </c>
    </row>
    <row r="7238" customFormat="false" ht="17.15" hidden="false" customHeight="false" outlineLevel="0" collapsed="false">
      <c r="A7238" s="0" t="s">
        <v>828</v>
      </c>
      <c r="B7238" s="0" t="s">
        <v>185</v>
      </c>
      <c r="C7238" s="14" t="n">
        <f aca="false">k_B</f>
        <v>1.17213932619116</v>
      </c>
      <c r="D7238" s="14" t="n">
        <f aca="false">k_B</f>
        <v>1.17213932619116</v>
      </c>
      <c r="E7238" s="14" t="n">
        <f aca="false">k_B</f>
        <v>1.17213932619116</v>
      </c>
      <c r="F7238" s="14" t="n">
        <f aca="false">(k_B+((ls_B*k_long+(1-ls_B)*k_spot)-k_B)*MIN(1,(Sens!F7223-base_fy)/k_ramp))</f>
        <v>1.17213932619116</v>
      </c>
      <c r="G7238" s="14" t="n">
        <f aca="false">(k_B+((ls_B*k_long+(1-ls_B)*k_spot)-k_B)*MIN(1,(Sens!G7223-base_fy)/k_ramp))</f>
        <v>1.17213932619116</v>
      </c>
      <c r="H7238" s="14" t="n">
        <f aca="false">(k_B+((ls_B*k_long+(1-ls_B)*k_spot)-k_B)*MIN(1,(Sens!H7223-base_fy)/k_ramp))</f>
        <v>1.17213932619116</v>
      </c>
      <c r="I7238" s="14" t="n">
        <f aca="false">(k_B+((ls_B*k_long+(1-ls_B)*k_spot)-k_B)*MIN(1,(Sens!I7223-base_fy)/k_ramp))</f>
        <v>1.17213932619116</v>
      </c>
      <c r="J7238" s="14" t="n">
        <f aca="false">(k_B+((ls_B*k_long+(1-ls_B)*k_spot)-k_B)*MIN(1,(Sens!J7223-base_fy)/k_ramp))</f>
        <v>1.17213932619116</v>
      </c>
      <c r="K7238" s="14" t="n">
        <f aca="false">(k_B+((ls_B*k_long+(1-ls_B)*k_spot)-k_B)*MIN(1,(Sens!K7223-base_fy)/k_ramp))</f>
        <v>1.17213932619116</v>
      </c>
      <c r="L7238" s="1" t="s">
        <v>829</v>
      </c>
    </row>
    <row r="7239" customFormat="false" ht="17.15" hidden="false" customHeight="false" outlineLevel="0" collapsed="false">
      <c r="A7239" s="1" t="s">
        <v>830</v>
      </c>
      <c r="B7239" s="0" t="s">
        <v>346</v>
      </c>
      <c r="C7239" s="14" t="n">
        <f aca="false">Sens!C7237*Sens!C7238*chip_f</f>
        <v>11.3973387156315</v>
      </c>
      <c r="D7239" s="14" t="n">
        <f aca="false">Sens!D7237*Sens!D7238*chip_f</f>
        <v>11.3973387156315</v>
      </c>
      <c r="E7239" s="14" t="n">
        <f aca="false">Sens!E7237*Sens!E7238*chip_f</f>
        <v>11.3973387156315</v>
      </c>
      <c r="F7239" s="14" t="n">
        <f aca="false">Sens!F7237*Sens!F7238*chip_f</f>
        <v>12.1995760756289</v>
      </c>
      <c r="G7239" s="14" t="n">
        <f aca="false">Sens!G7237*Sens!G7238*chip_f</f>
        <v>12.7045990965592</v>
      </c>
      <c r="H7239" s="14" t="n">
        <f aca="false">Sens!H7237*Sens!H7238*chip_f</f>
        <v>13.0472022091214</v>
      </c>
      <c r="I7239" s="14" t="n">
        <f aca="false">Sens!I7237*Sens!I7238*chip_f</f>
        <v>13.3148325820205</v>
      </c>
      <c r="J7239" s="14" t="n">
        <f aca="false">Sens!J7237*Sens!J7238*chip_f</f>
        <v>13.5330304618783</v>
      </c>
      <c r="K7239" s="14" t="n">
        <f aca="false">Sens!K7237*Sens!K7238*chip_f</f>
        <v>13.8404087693522</v>
      </c>
      <c r="L7239" s="1" t="s">
        <v>831</v>
      </c>
    </row>
    <row r="7240" customFormat="false" ht="17.15" hidden="false" customHeight="false" outlineLevel="0" collapsed="false">
      <c r="A7240" s="0" t="s">
        <v>832</v>
      </c>
      <c r="B7240" s="0" t="s">
        <v>98</v>
      </c>
      <c r="D7240" s="6" t="n">
        <f aca="false">(Sens!C7225+Sens!D7225)/2*Sens!D7239/1000</f>
        <v>12.9359794422418</v>
      </c>
      <c r="E7240" s="6" t="n">
        <f aca="false">(Sens!D7225+Sens!E7225)/2*Sens!E7239/1000</f>
        <v>27.8095064661409</v>
      </c>
      <c r="F7240" s="6" t="n">
        <f aca="false">(Sens!E7225+Sens!F7225)/2*Sens!F7239/1000</f>
        <v>55.0640065749585</v>
      </c>
      <c r="G7240" s="6" t="n">
        <f aca="false">(Sens!F7225+Sens!G7225)/2*Sens!G7239/1000</f>
        <v>89.4505413190538</v>
      </c>
      <c r="H7240" s="6" t="n">
        <f aca="false">(Sens!G7225+Sens!H7225)/2*Sens!H7239/1000</f>
        <v>124.835630736874</v>
      </c>
      <c r="I7240" s="6" t="n">
        <f aca="false">(Sens!H7225+Sens!I7225)/2*Sens!I7239/1000</f>
        <v>156.158460265485</v>
      </c>
      <c r="J7240" s="6" t="n">
        <f aca="false">(Sens!I7225+Sens!J7225)/2*Sens!J7239/1000</f>
        <v>178.259285293112</v>
      </c>
      <c r="K7240" s="6" t="n">
        <f aca="false">(Sens!J7225+Sens!K7225)/2*Sens!K7239/1000</f>
        <v>192.733290209798</v>
      </c>
      <c r="L7240" s="11" t="s">
        <v>833</v>
      </c>
    </row>
    <row r="7241" customFormat="false" ht="17.15" hidden="false" customHeight="false" outlineLevel="0" collapsed="false">
      <c r="A7241" s="1" t="s">
        <v>834</v>
      </c>
      <c r="B7241" s="0" t="s">
        <v>346</v>
      </c>
      <c r="C7241" s="14" t="n">
        <f aca="false">(Sens!C7233*tk_opex_h100+Sens!C7234*tk_opex_gb200+Sens!C7235*tk_opex_gb300+Sens!C7236*tk_opex_vr200)/Sens!C7225</f>
        <v>1.88636041306092</v>
      </c>
      <c r="D7241" s="14" t="n">
        <f aca="false">(Sens!D7233*tk_opex_h100+Sens!D7234*tk_opex_gb200+Sens!D7235*tk_opex_gb300+Sens!D7236*tk_opex_vr200)/Sens!D7225</f>
        <v>1.88636041306092</v>
      </c>
      <c r="E7241" s="14" t="n">
        <f aca="false">(Sens!E7233*tk_opex_h100+Sens!E7234*tk_opex_gb200+Sens!E7235*tk_opex_gb300+Sens!E7236*tk_opex_vr200)/Sens!E7225</f>
        <v>1.88636041306092</v>
      </c>
      <c r="F7241" s="14" t="n">
        <f aca="false">(Sens!F7233*tk_opex_h100+Sens!F7234*tk_opex_gb200+Sens!F7235*tk_opex_gb300+Sens!F7236*tk_opex_vr200)/Sens!F7225</f>
        <v>1.9430236476499</v>
      </c>
      <c r="G7241" s="14" t="n">
        <f aca="false">(Sens!G7233*tk_opex_h100+Sens!G7234*tk_opex_gb200+Sens!G7235*tk_opex_gb300+Sens!G7236*tk_opex_vr200)/Sens!G7225</f>
        <v>1.9786941852423</v>
      </c>
      <c r="H7241" s="14" t="n">
        <f aca="false">(Sens!H7233*tk_opex_h100+Sens!H7234*tk_opex_gb200+Sens!H7235*tk_opex_gb300+Sens!H7236*tk_opex_vr200)/Sens!H7225</f>
        <v>2.00289275976156</v>
      </c>
      <c r="I7241" s="14" t="n">
        <f aca="false">(Sens!I7233*tk_opex_h100+Sens!I7234*tk_opex_gb200+Sens!I7235*tk_opex_gb300+Sens!I7236*tk_opex_vr200)/Sens!I7225</f>
        <v>2.02179589661219</v>
      </c>
      <c r="J7241" s="14" t="n">
        <f aca="false">(Sens!J7233*tk_opex_h100+Sens!J7234*tk_opex_gb200+Sens!J7235*tk_opex_gb300+Sens!J7236*tk_opex_vr200)/Sens!J7225</f>
        <v>2.03720754193029</v>
      </c>
      <c r="K7241" s="14" t="n">
        <f aca="false">(Sens!K7233*tk_opex_h100+Sens!K7234*tk_opex_gb200+Sens!K7235*tk_opex_gb300+Sens!K7236*tk_opex_vr200)/Sens!K7225</f>
        <v>2.0589181353437</v>
      </c>
    </row>
    <row r="7242" customFormat="false" ht="17.15" hidden="false" customHeight="false" outlineLevel="0" collapsed="false">
      <c r="A7242" s="0" t="s">
        <v>835</v>
      </c>
      <c r="B7242" s="0" t="s">
        <v>98</v>
      </c>
      <c r="D7242" s="6" t="n">
        <f aca="false">(Sens!C7228+Sens!D7228)/2*Sens!D7241/1000</f>
        <v>2.70378325872065</v>
      </c>
      <c r="E7242" s="6" t="n">
        <f aca="false">(Sens!D7228+Sens!E7228)/2*Sens!E7241/1000</f>
        <v>6.17783035277451</v>
      </c>
      <c r="F7242" s="6" t="n">
        <f aca="false">(Sens!E7228+Sens!F7228)/2*Sens!F7241/1000</f>
        <v>12.5020618235287</v>
      </c>
      <c r="G7242" s="6" t="n">
        <f aca="false">(Sens!F7228+Sens!G7228)/2*Sens!G7241/1000</f>
        <v>20.7261620256847</v>
      </c>
      <c r="H7242" s="6" t="n">
        <f aca="false">(Sens!G7228+Sens!H7228)/2*Sens!H7241/1000</f>
        <v>29.4158183316982</v>
      </c>
      <c r="I7242" s="6" t="n">
        <f aca="false">(Sens!H7228+Sens!I7228)/2*Sens!I7241/1000</f>
        <v>36.9724400356344</v>
      </c>
      <c r="J7242" s="6" t="n">
        <f aca="false">(Sens!I7228+Sens!J7228)/2*Sens!J7241/1000</f>
        <v>42.1571687189816</v>
      </c>
      <c r="K7242" s="6" t="n">
        <f aca="false">(Sens!J7228+Sens!K7228)/2*Sens!K7241/1000</f>
        <v>45.1912095080704</v>
      </c>
    </row>
    <row r="7243" customFormat="false" ht="17.15" hidden="false" customHeight="false" outlineLevel="0" collapsed="false">
      <c r="A7243" s="0" t="s">
        <v>836</v>
      </c>
      <c r="B7243" s="0" t="s">
        <v>98</v>
      </c>
      <c r="D7243" s="6" t="n">
        <f aca="false">(Sens!C7226+Sens!D7226)/2*rent_mw/1000</f>
        <v>2.44475</v>
      </c>
      <c r="E7243" s="6" t="n">
        <f aca="false">(Sens!D7226+Sens!E7226)/2*rent_mw/1000</f>
        <v>4.22275</v>
      </c>
      <c r="F7243" s="6" t="n">
        <f aca="false">(Sens!E7226+Sens!F7226)/2*rent_mw/1000</f>
        <v>5.80517</v>
      </c>
      <c r="G7243" s="6" t="n">
        <f aca="false">(Sens!F7226+Sens!G7226)/2*rent_mw/1000</f>
        <v>6.72084</v>
      </c>
      <c r="H7243" s="6" t="n">
        <f aca="false">(Sens!G7226+Sens!H7226)/2*rent_mw/1000</f>
        <v>6.72084</v>
      </c>
      <c r="I7243" s="6" t="n">
        <f aca="false">(Sens!H7226+Sens!I7226)/2*rent_mw/1000</f>
        <v>6.72084</v>
      </c>
      <c r="J7243" s="6" t="n">
        <f aca="false">(Sens!I7226+Sens!J7226)/2*rent_mw/1000</f>
        <v>6.72084</v>
      </c>
      <c r="K7243" s="6" t="n">
        <f aca="false">(Sens!J7226+Sens!K7226)/2*rent_mw/1000</f>
        <v>6.72084</v>
      </c>
    </row>
    <row r="7244" customFormat="false" ht="17.15" hidden="false" customHeight="false" outlineLevel="0" collapsed="false">
      <c r="A7244" s="0" t="s">
        <v>837</v>
      </c>
      <c r="B7244" s="0" t="s">
        <v>98</v>
      </c>
      <c r="D7244" s="6" t="n">
        <f aca="false">(Sens!C7228+Sens!D7228)/2*(1-self_build)*fac_rent/1000</f>
        <v>0.853242375631075</v>
      </c>
      <c r="E7244" s="6" t="n">
        <f aca="false">(Sens!D7228+Sens!E7228)/2*(1-self_build)*fac_rent/1000</f>
        <v>1.94955961408728</v>
      </c>
      <c r="F7244" s="6" t="n">
        <f aca="false">(Sens!E7228+Sens!F7228)/2*(1-self_build)*fac_rent/1000</f>
        <v>3.83026455274573</v>
      </c>
      <c r="G7244" s="6" t="n">
        <f aca="false">(Sens!F7228+Sens!G7228)/2*(1-self_build)*fac_rent/1000</f>
        <v>6.23541590972812</v>
      </c>
      <c r="H7244" s="6" t="n">
        <f aca="false">(Sens!G7228+Sens!H7228)/2*(1-self_build)*fac_rent/1000</f>
        <v>8.74275792332679</v>
      </c>
      <c r="I7244" s="6" t="n">
        <f aca="false">(Sens!H7228+Sens!I7228)/2*(1-self_build)*fac_rent/1000</f>
        <v>10.8859420438599</v>
      </c>
      <c r="J7244" s="6" t="n">
        <f aca="false">(Sens!I7228+Sens!J7228)/2*(1-self_build)*fac_rent/1000</f>
        <v>12.3186006405366</v>
      </c>
      <c r="K7244" s="6" t="n">
        <f aca="false">(Sens!J7228+Sens!K7228)/2*(1-self_build)*fac_rent/1000</f>
        <v>13.0659232089824</v>
      </c>
      <c r="L7244" s="11" t="s">
        <v>838</v>
      </c>
    </row>
    <row r="7245" customFormat="false" ht="17.15" hidden="false" customHeight="false" outlineLevel="0" collapsed="false">
      <c r="A7245" s="1" t="s">
        <v>839</v>
      </c>
      <c r="B7245" s="0" t="s">
        <v>129</v>
      </c>
      <c r="D7245" s="7" t="n">
        <f aca="false">(Sens!C7227+Sens!D7227)/(Sens!C7228+Sens!D7228)</f>
        <v>0.6</v>
      </c>
      <c r="E7245" s="7" t="n">
        <f aca="false">(Sens!D7227+Sens!E7227)/(Sens!D7228+Sens!E7228)</f>
        <v>0.6</v>
      </c>
      <c r="F7245" s="7" t="n">
        <f aca="false">(Sens!E7227+Sens!F7227)/(Sens!E7228+Sens!F7228)</f>
        <v>0.6</v>
      </c>
      <c r="G7245" s="7" t="n">
        <f aca="false">(Sens!F7227+Sens!G7227)/(Sens!F7228+Sens!G7228)</f>
        <v>0.6</v>
      </c>
      <c r="H7245" s="7" t="n">
        <f aca="false">(Sens!G7227+Sens!H7227)/(Sens!G7228+Sens!H7228)</f>
        <v>0.6</v>
      </c>
      <c r="I7245" s="7" t="n">
        <f aca="false">(Sens!H7227+Sens!I7227)/(Sens!H7228+Sens!I7228)</f>
        <v>0.6</v>
      </c>
      <c r="J7245" s="7" t="n">
        <f aca="false">(Sens!I7227+Sens!J7227)/(Sens!I7228+Sens!J7228)</f>
        <v>0.6</v>
      </c>
      <c r="K7245" s="7" t="n">
        <f aca="false">(Sens!J7227+Sens!K7227)/(Sens!J7228+Sens!K7228)</f>
        <v>0.6</v>
      </c>
    </row>
    <row r="7246" customFormat="false" ht="17.15" hidden="false" customHeight="false" outlineLevel="0" collapsed="false">
      <c r="A7246" s="0" t="s">
        <v>840</v>
      </c>
      <c r="B7246" s="0" t="s">
        <v>98</v>
      </c>
      <c r="D7246" s="6" t="n">
        <f aca="false">Sens!D7240-Sens!D7245*(Sens!D7242+Sens!D7244)-Sens!D7243</f>
        <v>8.35701406163072</v>
      </c>
      <c r="E7246" s="6" t="n">
        <f aca="false">Sens!E7240-Sens!E7245*(Sens!E7242+Sens!E7244)-Sens!E7243</f>
        <v>18.7103224860238</v>
      </c>
      <c r="F7246" s="6" t="n">
        <f aca="false">Sens!F7240-Sens!F7245*(Sens!F7242+Sens!F7244)-Sens!F7243</f>
        <v>39.4594407491938</v>
      </c>
      <c r="G7246" s="6" t="n">
        <f aca="false">Sens!G7240-Sens!G7245*(Sens!G7242+Sens!G7244)-Sens!G7243</f>
        <v>66.5527545578061</v>
      </c>
      <c r="H7246" s="6" t="n">
        <f aca="false">Sens!H7240-Sens!H7245*(Sens!H7242+Sens!H7244)-Sens!H7243</f>
        <v>95.219644983859</v>
      </c>
      <c r="I7246" s="6" t="n">
        <f aca="false">Sens!I7240-Sens!I7245*(Sens!I7242+Sens!I7244)-Sens!I7243</f>
        <v>120.722591017788</v>
      </c>
      <c r="J7246" s="6" t="n">
        <f aca="false">Sens!J7240-Sens!J7245*(Sens!J7242+Sens!J7244)-Sens!J7243</f>
        <v>138.852983677401</v>
      </c>
      <c r="K7246" s="6" t="n">
        <f aca="false">Sens!K7240-Sens!K7245*(Sens!K7242+Sens!K7244)-Sens!K7243</f>
        <v>151.058170579566</v>
      </c>
    </row>
    <row r="7247" customFormat="false" ht="17.15" hidden="false" customHeight="false" outlineLevel="0" collapsed="false">
      <c r="A7247" s="1" t="s">
        <v>841</v>
      </c>
      <c r="B7247" s="0" t="s">
        <v>98</v>
      </c>
      <c r="D7247" s="6" t="n">
        <f aca="false">(1-Sens!D7245)*(Sens!D7242+Sens!D7244)</f>
        <v>1.42281025374069</v>
      </c>
      <c r="E7247" s="6" t="n">
        <f aca="false">(1-Sens!E7245)*(Sens!E7242+Sens!E7244)</f>
        <v>3.25095598674472</v>
      </c>
      <c r="F7247" s="6" t="n">
        <f aca="false">(1-Sens!F7245)*(Sens!F7242+Sens!F7244)</f>
        <v>6.53293055050977</v>
      </c>
      <c r="G7247" s="6" t="n">
        <f aca="false">(1-Sens!G7245)*(Sens!G7242+Sens!G7244)</f>
        <v>10.7846311741651</v>
      </c>
      <c r="H7247" s="6" t="n">
        <f aca="false">(1-Sens!H7245)*(Sens!H7242+Sens!H7244)</f>
        <v>15.26343050201</v>
      </c>
      <c r="I7247" s="6" t="n">
        <f aca="false">(1-Sens!I7245)*(Sens!I7242+Sens!I7244)</f>
        <v>19.1433528317977</v>
      </c>
      <c r="J7247" s="6" t="n">
        <f aca="false">(1-Sens!J7245)*(Sens!J7242+Sens!J7244)</f>
        <v>21.7903077438073</v>
      </c>
      <c r="K7247" s="6" t="n">
        <f aca="false">(1-Sens!K7245)*(Sens!K7242+Sens!K7244)</f>
        <v>23.3028530868211</v>
      </c>
    </row>
    <row r="7248" customFormat="false" ht="17.15" hidden="false" customHeight="false" outlineLevel="0" collapsed="false">
      <c r="A7248" s="1" t="s">
        <v>842</v>
      </c>
      <c r="B7248" s="0" t="s">
        <v>357</v>
      </c>
      <c r="C7248" s="8" t="n">
        <f aca="false">cxit_open</f>
        <v>27.5918995</v>
      </c>
      <c r="D7248" s="8" t="n">
        <f aca="false">cxit_open</f>
        <v>27.5918995</v>
      </c>
      <c r="E7248" s="8" t="n">
        <f aca="false">cxit_open</f>
        <v>27.5918995</v>
      </c>
      <c r="F7248" s="8" t="n">
        <f aca="false">(a_g3_27*tk_cxit_gb300+(1-a_g3_27)*tk_cxit_vr200)</f>
        <v>33.8419624</v>
      </c>
      <c r="G7248" s="8" t="n">
        <f aca="false">(a_g3_28*tk_cxit_gb300+(1-a_g3_28)*tk_cxit_vr200)</f>
        <v>35.9816136</v>
      </c>
      <c r="H7248" s="8" t="n">
        <f aca="false">(a_g3_29*tk_cxit_gb300+(1-a_g3_29)*tk_cxit_vr200)</f>
        <v>37.0514392</v>
      </c>
      <c r="I7248" s="8" t="n">
        <f aca="false">(a_g3_29*tk_cxit_gb300+(1-a_g3_29)*tk_cxit_vr200)</f>
        <v>37.0514392</v>
      </c>
      <c r="J7248" s="8" t="n">
        <f aca="false">(a_g3_29*tk_cxit_gb300+(1-a_g3_29)*tk_cxit_vr200)</f>
        <v>37.0514392</v>
      </c>
      <c r="K7248" s="8" t="n">
        <f aca="false">(a_g3_29*tk_cxit_gb300+(1-a_g3_29)*tk_cxit_vr200)</f>
        <v>37.0514392</v>
      </c>
      <c r="L7248" s="11" t="s">
        <v>843</v>
      </c>
    </row>
    <row r="7249" customFormat="false" ht="17.15" hidden="false" customHeight="false" outlineLevel="0" collapsed="false">
      <c r="A7249" s="0" t="s">
        <v>844</v>
      </c>
      <c r="B7249" s="0" t="s">
        <v>399</v>
      </c>
      <c r="F7249" s="29" t="n">
        <f aca="false">Sens!C7230*IF(Sens!F7223-Sens!C7223=life_it,1,0)+Sens!D7230*IF(Sens!F7223-Sens!D7223=life_it,1,0)+Sens!E7230*IF(Sens!F7223-Sens!E7223=life_it,1,0)</f>
        <v>0</v>
      </c>
      <c r="G7249" s="29" t="n">
        <f aca="false">Sens!C7230*IF(Sens!G7223-Sens!C7223=life_it,1,0)+Sens!D7230*IF(Sens!G7223-Sens!D7223=life_it,1,0)+Sens!E7230*IF(Sens!G7223-Sens!E7223=life_it,1,0)+Sens!F7230*IF(Sens!G7223-Sens!F7223=life_it,1,0)</f>
        <v>0</v>
      </c>
      <c r="H7249" s="29" t="n">
        <f aca="false">Sens!C7230*IF(Sens!H7223-Sens!C7223=life_it,1,0)+Sens!D7230*IF(Sens!H7223-Sens!D7223=life_it,1,0)+Sens!E7230*IF(Sens!H7223-Sens!E7223=life_it,1,0)+Sens!F7230*IF(Sens!H7223-Sens!F7223=life_it,1,0)+Sens!G7230*IF(Sens!H7223-Sens!G7223=life_it,1,0)</f>
        <v>0</v>
      </c>
      <c r="I7249" s="29" t="n">
        <f aca="false">Sens!C7230*IF(Sens!I7223-Sens!C7223=life_it,1,0)+Sens!D7230*IF(Sens!I7223-Sens!D7223=life_it,1,0)+Sens!E7230*IF(Sens!I7223-Sens!E7223=life_it,1,0)+Sens!F7230*IF(Sens!I7223-Sens!F7223=life_it,1,0)+Sens!G7230*IF(Sens!I7223-Sens!G7223=life_it,1,0)+Sens!H7230*IF(Sens!I7223-Sens!H7223=life_it,1,0)</f>
        <v>816.666666666667</v>
      </c>
      <c r="J7249" s="29" t="n">
        <f aca="false">Sens!C7230*IF(Sens!J7223-Sens!C7223=life_it,1,0)+Sens!D7230*IF(Sens!J7223-Sens!D7223=life_it,1,0)+Sens!E7230*IF(Sens!J7223-Sens!E7223=life_it,1,0)+Sens!F7230*IF(Sens!J7223-Sens!F7223=life_it,1,0)+Sens!G7230*IF(Sens!J7223-Sens!G7223=life_it,1,0)+Sens!H7230*IF(Sens!J7223-Sens!H7223=life_it,1,0)+Sens!I7230*IF(Sens!J7223-Sens!I7223=life_it,1,0)</f>
        <v>1233.33333333333</v>
      </c>
      <c r="K7249" s="29" t="n">
        <f aca="false">Sens!C7230*IF(Sens!K7223-Sens!C7223=life_it,1,0)+Sens!D7230*IF(Sens!K7223-Sens!D7223=life_it,1,0)+Sens!E7230*IF(Sens!K7223-Sens!E7223=life_it,1,0)+Sens!F7230*IF(Sens!K7223-Sens!F7223=life_it,1,0)+Sens!G7230*IF(Sens!K7223-Sens!G7223=life_it,1,0)+Sens!H7230*IF(Sens!K7223-Sens!H7223=life_it,1,0)+Sens!I7230*IF(Sens!K7223-Sens!I7223=life_it,1,0)+Sens!J7230*IF(Sens!K7223-Sens!J7223=life_it,1,0)</f>
        <v>2450</v>
      </c>
      <c r="L7249" s="1" t="s">
        <v>845</v>
      </c>
    </row>
    <row r="7250" customFormat="false" ht="17.15" hidden="false" customHeight="false" outlineLevel="0" collapsed="false">
      <c r="A7250" s="0" t="s">
        <v>846</v>
      </c>
      <c r="B7250" s="0" t="s">
        <v>98</v>
      </c>
      <c r="C7250" s="6" t="n">
        <f aca="false">Sens!C7230*Sens!C7248/1000</f>
        <v>22.5333845916667</v>
      </c>
      <c r="D7250" s="6" t="n">
        <f aca="false">Sens!D7230*Sens!D7248/1000</f>
        <v>34.0300093833333</v>
      </c>
      <c r="E7250" s="6" t="n">
        <f aca="false">Sens!E7230*Sens!E7248/1000</f>
        <v>67.600153775</v>
      </c>
      <c r="F7250" s="6" t="n">
        <f aca="false">(Sens!F7230+Sens!F7249)*Sens!F7248/1000</f>
        <v>130.923271871467</v>
      </c>
      <c r="G7250" s="6" t="n">
        <f aca="false">(Sens!G7230+Sens!G7249)*Sens!G7248/1000</f>
        <v>151.5545564832</v>
      </c>
      <c r="H7250" s="6" t="n">
        <f aca="false">(Sens!H7230+Sens!H7249)*Sens!H7248/1000</f>
        <v>156.0606619104</v>
      </c>
      <c r="I7250" s="6" t="n">
        <f aca="false">(Sens!I7230+Sens!I7249)*Sens!I7248/1000</f>
        <v>140.987889434245</v>
      </c>
      <c r="J7250" s="6" t="n">
        <f aca="false">(Sens!J7230+Sens!J7249)*Sens!J7248/1000</f>
        <v>113.309125559842</v>
      </c>
      <c r="K7250" s="6" t="n">
        <f aca="false">(Sens!K7230+Sens!K7249)*Sens!K7248/1000</f>
        <v>116.192591420959</v>
      </c>
    </row>
    <row r="7251" customFormat="false" ht="17.15" hidden="false" customHeight="false" outlineLevel="0" collapsed="false">
      <c r="A7251" s="0" t="s">
        <v>847</v>
      </c>
      <c r="B7251" s="0" t="s">
        <v>98</v>
      </c>
      <c r="C7251" s="6" t="n">
        <f aca="false">Sens!C7230*self_build*tk_cxfac/1000</f>
        <v>6.2083</v>
      </c>
      <c r="D7251" s="6" t="n">
        <f aca="false">Sens!D7230*self_build*tk_cxfac/1000</f>
        <v>9.3758</v>
      </c>
      <c r="E7251" s="6" t="n">
        <f aca="false">Sens!E7230*self_build*tk_cxfac/1000</f>
        <v>18.6249</v>
      </c>
      <c r="F7251" s="6" t="n">
        <f aca="false">Sens!F7230*self_build*tk_cxfac/1000</f>
        <v>29.409604</v>
      </c>
      <c r="G7251" s="6" t="n">
        <f aca="false">Sens!G7230*self_build*tk_cxfac/1000</f>
        <v>32.019624</v>
      </c>
      <c r="H7251" s="6" t="n">
        <f aca="false">Sens!H7230*self_build*tk_cxfac/1000</f>
        <v>32.019624</v>
      </c>
      <c r="I7251" s="6" t="n">
        <f aca="false">Sens!I7230*self_build*tk_cxfac/1000</f>
        <v>22.71877972</v>
      </c>
      <c r="J7251" s="6" t="n">
        <f aca="false">Sens!J7230*self_build*tk_cxfac/1000</f>
        <v>13.8723110344</v>
      </c>
      <c r="K7251" s="6" t="n">
        <f aca="false">Sens!K7230*self_build*tk_cxfac/1000</f>
        <v>5.214823882632</v>
      </c>
    </row>
    <row r="7252" customFormat="false" ht="17.15" hidden="false" customHeight="false" outlineLevel="0" collapsed="false">
      <c r="A7252" s="0" t="s">
        <v>848</v>
      </c>
      <c r="B7252" s="0" t="s">
        <v>98</v>
      </c>
      <c r="F7252" s="6" t="n">
        <f aca="false">MAX(0,capex_floor27-Sens!F7250-Sens!F7251-Sens!F7346)</f>
        <v>8.04777689897088</v>
      </c>
    </row>
    <row r="7253" customFormat="false" ht="17.15" hidden="false" customHeight="false" outlineLevel="0" collapsed="false">
      <c r="A7253" s="0" t="s">
        <v>849</v>
      </c>
      <c r="B7253" s="0" t="s">
        <v>98</v>
      </c>
      <c r="C7253" s="6" t="n">
        <f aca="false">Sens!C7250</f>
        <v>22.5333845916667</v>
      </c>
      <c r="D7253" s="6" t="n">
        <f aca="false">Sens!D7250</f>
        <v>34.0300093833333</v>
      </c>
      <c r="E7253" s="6" t="n">
        <f aca="false">Sens!E7250</f>
        <v>67.600153775</v>
      </c>
      <c r="F7253" s="6" t="n">
        <f aca="false">Sens!F7250</f>
        <v>130.923271871467</v>
      </c>
      <c r="G7253" s="6" t="n">
        <f aca="false">Sens!G7250</f>
        <v>151.5545564832</v>
      </c>
      <c r="H7253" s="6" t="n">
        <f aca="false">Sens!H7250</f>
        <v>156.0606619104</v>
      </c>
      <c r="I7253" s="6" t="n">
        <f aca="false">Sens!I7250</f>
        <v>140.987889434245</v>
      </c>
      <c r="J7253" s="6" t="n">
        <f aca="false">Sens!J7250</f>
        <v>113.309125559842</v>
      </c>
      <c r="K7253" s="6" t="n">
        <f aca="false">Sens!K7250</f>
        <v>116.192591420959</v>
      </c>
    </row>
    <row r="7254" customFormat="false" ht="17.15" hidden="false" customHeight="false" outlineLevel="0" collapsed="false">
      <c r="A7254" s="0" t="s">
        <v>850</v>
      </c>
      <c r="B7254" s="0" t="s">
        <v>98</v>
      </c>
      <c r="C7254" s="6" t="n">
        <f aca="false">Sens!C7253+Sens!C7251</f>
        <v>28.7416845916667</v>
      </c>
      <c r="D7254" s="6" t="n">
        <f aca="false">Sens!D7253+Sens!D7251</f>
        <v>43.4058093833333</v>
      </c>
      <c r="E7254" s="6" t="n">
        <f aca="false">Sens!E7253+Sens!E7251</f>
        <v>86.225053775</v>
      </c>
      <c r="F7254" s="6" t="n">
        <f aca="false">Sens!F7253+Sens!F7251</f>
        <v>160.332875871467</v>
      </c>
      <c r="G7254" s="6" t="n">
        <f aca="false">Sens!G7253+Sens!G7251</f>
        <v>183.5741804832</v>
      </c>
      <c r="H7254" s="6" t="n">
        <f aca="false">Sens!H7253+Sens!H7251</f>
        <v>188.0802859104</v>
      </c>
      <c r="I7254" s="6" t="n">
        <f aca="false">Sens!I7253+Sens!I7251</f>
        <v>163.706669154245</v>
      </c>
      <c r="J7254" s="6" t="n">
        <f aca="false">Sens!J7253+Sens!J7251</f>
        <v>127.181436594242</v>
      </c>
      <c r="K7254" s="6" t="n">
        <f aca="false">Sens!K7253+Sens!K7251</f>
        <v>121.407415303591</v>
      </c>
      <c r="L7254" s="11" t="s">
        <v>851</v>
      </c>
    </row>
    <row r="7255" customFormat="false" ht="17.15" hidden="false" customHeight="false" outlineLevel="0" collapsed="false">
      <c r="A7255" s="0" t="s">
        <v>852</v>
      </c>
      <c r="B7255" s="0" t="s">
        <v>98</v>
      </c>
      <c r="E7255" s="6" t="n">
        <f aca="false">(Sens!C7253*IF(2&lt;life_it,1,IF(2=life_it,0.5,0))+Sens!D7253*IF(1&lt;life_it,1,IF(1=life_it,0.5,0))+Sens!E7253*0.5)/life_it</f>
        <v>15.0605784770833</v>
      </c>
      <c r="F7255" s="6" t="n">
        <f aca="false">(Sens!C7253*IF(3&lt;life_it,1,IF(3=life_it,0.5,0))+Sens!D7253*IF(2&lt;life_it,1,IF(2=life_it,0.5,0))+Sens!E7253*IF(1&lt;life_it,1,IF(1=life_it,0.5,0))+Sens!F7253*0.5)/life_it</f>
        <v>31.6041972809556</v>
      </c>
      <c r="G7255" s="6" t="n">
        <f aca="false">(Sens!C7253*IF(4&lt;life_it,1,IF(4=life_it,0.5,0))+Sens!D7253*IF(3&lt;life_it,1,IF(3=life_it,0.5,0))+Sens!E7253*IF(2&lt;life_it,1,IF(2=life_it,0.5,0))+Sens!F7253*IF(1&lt;life_it,1,IF(1=life_it,0.5,0))+Sens!G7253*0.5)/life_it</f>
        <v>55.1440163105111</v>
      </c>
      <c r="H7255" s="6" t="n">
        <f aca="false">(Sens!C7253*IF(5&lt;life_it,1,IF(5=life_it,0.5,0))+Sens!D7253*IF(4&lt;life_it,1,IF(4=life_it,0.5,0))+Sens!E7253*IF(3&lt;life_it,1,IF(3=life_it,0.5,0))+Sens!F7253*IF(2&lt;life_it,1,IF(2=life_it,0.5,0))+Sens!G7253*IF(1&lt;life_it,1,IF(1=life_it,0.5,0))+Sens!H7253*0.5)/life_it</f>
        <v>80.7786178433111</v>
      </c>
      <c r="I7255" s="6" t="n">
        <f aca="false">(Sens!C7253*IF(6&lt;life_it,1,IF(6=life_it,0.5,0))+Sens!D7253*IF(5&lt;life_it,1,IF(5=life_it,0.5,0))+Sens!E7253*IF(4&lt;life_it,1,IF(4=life_it,0.5,0))+Sens!F7253*IF(3&lt;life_it,1,IF(3=life_it,0.5,0))+Sens!G7253*IF(2&lt;life_it,1,IF(2=life_it,0.5,0))+Sens!H7253*IF(1&lt;life_it,1,IF(1=life_it,0.5,0))+Sens!I7253*0.5)/life_it</f>
        <v>103.654881739393</v>
      </c>
      <c r="J7255" s="6" t="n">
        <f aca="false">(Sens!C7253*IF(7&lt;life_it,1,IF(7=life_it,0.5,0))+Sens!D7253*IF(6&lt;life_it,1,IF(6=life_it,0.5,0))+Sens!E7253*IF(5&lt;life_it,1,IF(5=life_it,0.5,0))+Sens!F7253*IF(4&lt;life_it,1,IF(4=life_it,0.5,0))+Sens!G7253*IF(3&lt;life_it,1,IF(3=life_it,0.5,0))+Sens!H7253*IF(2&lt;life_it,1,IF(2=life_it,0.5,0))+Sens!I7253*IF(1&lt;life_it,1,IF(1=life_it,0.5,0))+Sens!J7253*0.5)/life_it</f>
        <v>120.132683490983</v>
      </c>
      <c r="K7255" s="6" t="n">
        <f aca="false">(Sens!C7253*IF(8&lt;life_it,1,IF(8=life_it,0.5,0))+Sens!D7253*IF(7&lt;life_it,1,IF(7=life_it,0.5,0))+Sens!E7253*IF(6&lt;life_it,1,IF(6=life_it,0.5,0))+Sens!F7253*IF(5&lt;life_it,1,IF(5=life_it,0.5,0))+Sens!G7253*IF(4&lt;life_it,1,IF(4=life_it,0.5,0))+Sens!H7253*IF(3&lt;life_it,1,IF(3=life_it,0.5,0))+Sens!I7253*IF(2&lt;life_it,1,IF(2=life_it,0.5,0))+Sens!J7253*IF(1&lt;life_it,1,IF(1=life_it,0.5,0))+Sens!K7253*0.5)/life_it</f>
        <v>130.788646309522</v>
      </c>
    </row>
    <row r="7256" customFormat="false" ht="17.15" hidden="false" customHeight="false" outlineLevel="0" collapsed="false">
      <c r="A7256" s="0" t="s">
        <v>853</v>
      </c>
      <c r="B7256" s="0" t="s">
        <v>98</v>
      </c>
      <c r="E7256" s="6" t="n">
        <f aca="false">(Sens!C7251*IF(2&lt;life_fac,1,IF(2=life_fac,0.5,0))+Sens!D7251*IF(1&lt;life_fac,1,IF(1=life_fac,0.5,0))+Sens!E7251*0.5)/life_fac</f>
        <v>1.2448275</v>
      </c>
      <c r="F7256" s="6" t="n">
        <f aca="false">(Sens!C7251*IF(3&lt;life_fac,1,IF(3=life_fac,0.5,0))+Sens!D7251*IF(2&lt;life_fac,1,IF(2=life_fac,0.5,0))+Sens!E7251*IF(1&lt;life_fac,1,IF(1=life_fac,0.5,0))+Sens!F7251*0.5)/life_fac</f>
        <v>2.4456901</v>
      </c>
      <c r="G7256" s="6" t="n">
        <f aca="false">(Sens!C7251*IF(4&lt;life_fac,1,IF(4=life_fac,0.5,0))+Sens!D7251*IF(3&lt;life_fac,1,IF(3=life_fac,0.5,0))+Sens!E7251*IF(2&lt;life_fac,1,IF(2=life_fac,0.5,0))+Sens!F7251*IF(1&lt;life_fac,1,IF(1=life_fac,0.5,0))+Sens!G7251*0.5)/life_fac</f>
        <v>3.9814208</v>
      </c>
      <c r="H7256" s="6" t="n">
        <f aca="false">(Sens!C7251*IF(5&lt;life_fac,1,IF(5=life_fac,0.5,0))+Sens!D7251*IF(4&lt;life_fac,1,IF(4=life_fac,0.5,0))+Sens!E7251*IF(3&lt;life_fac,1,IF(3=life_fac,0.5,0))+Sens!F7251*IF(2&lt;life_fac,1,IF(2=life_fac,0.5,0))+Sens!G7251*IF(1&lt;life_fac,1,IF(1=life_fac,0.5,0))+Sens!H7251*0.5)/life_fac</f>
        <v>5.582402</v>
      </c>
      <c r="I7256" s="6" t="n">
        <f aca="false">(Sens!C7251*IF(6&lt;life_fac,1,IF(6=life_fac,0.5,0))+Sens!D7251*IF(5&lt;life_fac,1,IF(5=life_fac,0.5,0))+Sens!E7251*IF(4&lt;life_fac,1,IF(4=life_fac,0.5,0))+Sens!F7251*IF(3&lt;life_fac,1,IF(3=life_fac,0.5,0))+Sens!G7251*IF(2&lt;life_fac,1,IF(2=life_fac,0.5,0))+Sens!H7251*IF(1&lt;life_fac,1,IF(1=life_fac,0.5,0))+Sens!I7251*0.5)/life_fac</f>
        <v>6.950862093</v>
      </c>
      <c r="J7256" s="6" t="n">
        <f aca="false">(Sens!C7251*IF(7&lt;life_fac,1,IF(7=life_fac,0.5,0))+Sens!D7251*IF(6&lt;life_fac,1,IF(6=life_fac,0.5,0))+Sens!E7251*IF(5&lt;life_fac,1,IF(5=life_fac,0.5,0))+Sens!F7251*IF(4&lt;life_fac,1,IF(4=life_fac,0.5,0))+Sens!G7251*IF(3&lt;life_fac,1,IF(3=life_fac,0.5,0))+Sens!H7251*IF(2&lt;life_fac,1,IF(2=life_fac,0.5,0))+Sens!I7251*IF(1&lt;life_fac,1,IF(1=life_fac,0.5,0))+Sens!J7251*0.5)/life_fac</f>
        <v>7.86563936186</v>
      </c>
      <c r="K7256" s="6" t="n">
        <f aca="false">(Sens!C7251*IF(8&lt;life_fac,1,IF(8=life_fac,0.5,0))+Sens!D7251*IF(7&lt;life_fac,1,IF(7=life_fac,0.5,0))+Sens!E7251*IF(6&lt;life_fac,1,IF(6=life_fac,0.5,0))+Sens!F7251*IF(5&lt;life_fac,1,IF(5=life_fac,0.5,0))+Sens!G7251*IF(4&lt;life_fac,1,IF(4=life_fac,0.5,0))+Sens!H7251*IF(3&lt;life_fac,1,IF(3=life_fac,0.5,0))+Sens!I7251*IF(2&lt;life_fac,1,IF(2=life_fac,0.5,0))+Sens!J7251*IF(1&lt;life_fac,1,IF(1=life_fac,0.5,0))+Sens!K7251*0.5)/life_fac</f>
        <v>8.3428177347858</v>
      </c>
    </row>
    <row r="7257" customFormat="false" ht="17.15" hidden="false" customHeight="false" outlineLevel="0" collapsed="false">
      <c r="A7257" s="0" t="s">
        <v>854</v>
      </c>
      <c r="B7257" s="0" t="s">
        <v>98</v>
      </c>
      <c r="E7257" s="6" t="n">
        <f aca="false">Sens!E7255+Sens!E7256</f>
        <v>16.3054059770833</v>
      </c>
      <c r="F7257" s="6" t="n">
        <f aca="false">Sens!F7255+Sens!F7256</f>
        <v>34.0498873809555</v>
      </c>
      <c r="G7257" s="6" t="n">
        <f aca="false">Sens!G7255+Sens!G7256</f>
        <v>59.1254371105111</v>
      </c>
      <c r="H7257" s="6" t="n">
        <f aca="false">Sens!H7255+Sens!H7256</f>
        <v>86.3610198433111</v>
      </c>
      <c r="I7257" s="6" t="n">
        <f aca="false">Sens!I7255+Sens!I7256</f>
        <v>110.605743832393</v>
      </c>
      <c r="J7257" s="6" t="n">
        <f aca="false">Sens!J7255+Sens!J7256</f>
        <v>127.998322852843</v>
      </c>
      <c r="K7257" s="6" t="n">
        <f aca="false">Sens!K7255+Sens!K7256</f>
        <v>139.131464044308</v>
      </c>
    </row>
    <row r="7258" customFormat="false" ht="17.15" hidden="false" customHeight="false" outlineLevel="0" collapsed="false">
      <c r="A7258" s="0" t="s">
        <v>855</v>
      </c>
      <c r="B7258" s="0" t="s">
        <v>98</v>
      </c>
      <c r="E7258" s="6" t="n">
        <f aca="false">Sens!E7246-Sens!E7245*Sens!E7257</f>
        <v>8.92707889977379</v>
      </c>
      <c r="F7258" s="6" t="n">
        <f aca="false">Sens!F7246-Sens!F7245*Sens!F7257</f>
        <v>19.0295083206205</v>
      </c>
      <c r="G7258" s="6" t="n">
        <f aca="false">Sens!G7246-Sens!G7245*Sens!G7257</f>
        <v>31.0774922914994</v>
      </c>
      <c r="H7258" s="6" t="n">
        <f aca="false">Sens!H7246-Sens!H7245*Sens!H7257</f>
        <v>43.4030330778723</v>
      </c>
      <c r="I7258" s="6" t="n">
        <f aca="false">Sens!I7246-Sens!I7245*Sens!I7257</f>
        <v>54.3591447183526</v>
      </c>
      <c r="J7258" s="6" t="n">
        <f aca="false">Sens!J7246-Sens!J7245*Sens!J7257</f>
        <v>62.0539899656947</v>
      </c>
      <c r="K7258" s="6" t="n">
        <f aca="false">Sens!K7246-Sens!K7245*Sens!K7257</f>
        <v>67.5792921529812</v>
      </c>
    </row>
    <row r="7259" customFormat="false" ht="17.15" hidden="false" customHeight="false" outlineLevel="0" collapsed="false">
      <c r="A7259" s="3" t="s">
        <v>1448</v>
      </c>
    </row>
    <row r="7260" customFormat="false" ht="15" hidden="false" customHeight="false" outlineLevel="0" collapsed="false">
      <c r="A7260" s="4" t="s">
        <v>43</v>
      </c>
      <c r="B7260" s="4" t="s">
        <v>65</v>
      </c>
      <c r="C7260" s="20" t="s">
        <v>799</v>
      </c>
      <c r="D7260" s="20" t="s">
        <v>800</v>
      </c>
      <c r="E7260" s="20" t="s">
        <v>801</v>
      </c>
      <c r="F7260" s="20" t="s">
        <v>802</v>
      </c>
      <c r="G7260" s="20" t="s">
        <v>803</v>
      </c>
      <c r="H7260" s="20" t="s">
        <v>804</v>
      </c>
      <c r="I7260" s="20" t="s">
        <v>805</v>
      </c>
      <c r="J7260" s="20" t="s">
        <v>806</v>
      </c>
      <c r="K7260" s="20" t="s">
        <v>807</v>
      </c>
      <c r="L7260" s="4" t="s">
        <v>47</v>
      </c>
    </row>
    <row r="7261" customFormat="false" ht="17.15" hidden="false" customHeight="false" outlineLevel="0" collapsed="false">
      <c r="A7261" s="0" t="s">
        <v>874</v>
      </c>
      <c r="B7261" s="0" t="s">
        <v>98</v>
      </c>
      <c r="D7261" s="6" t="n">
        <f aca="false">Sens!D7240</f>
        <v>12.9359794422418</v>
      </c>
      <c r="E7261" s="6" t="n">
        <f aca="false">Sens!E7240</f>
        <v>27.8095064661409</v>
      </c>
      <c r="F7261" s="6" t="n">
        <f aca="false">Sens!F7240</f>
        <v>55.0640065749585</v>
      </c>
      <c r="G7261" s="6" t="n">
        <f aca="false">Sens!G7240</f>
        <v>89.4505413190538</v>
      </c>
      <c r="H7261" s="6" t="n">
        <f aca="false">Sens!H7240</f>
        <v>124.835630736874</v>
      </c>
      <c r="I7261" s="6" t="n">
        <f aca="false">Sens!I7240</f>
        <v>156.158460265485</v>
      </c>
      <c r="J7261" s="6" t="n">
        <f aca="false">Sens!J7240</f>
        <v>178.259285293112</v>
      </c>
      <c r="K7261" s="6" t="n">
        <f aca="false">Sens!K7240</f>
        <v>192.733290209798</v>
      </c>
    </row>
    <row r="7262" customFormat="false" ht="17.15" hidden="false" customHeight="false" outlineLevel="0" collapsed="false">
      <c r="A7262" s="0" t="s">
        <v>875</v>
      </c>
      <c r="B7262" s="0" t="s">
        <v>98</v>
      </c>
      <c r="D7262" s="6" t="n">
        <f aca="false">Q!L6-Sens!D7261</f>
        <v>59.6740205577583</v>
      </c>
      <c r="E7262" s="6" t="n">
        <f aca="false">Q!M6-Sens!E7261</f>
        <v>74.1284935338591</v>
      </c>
      <c r="F7262" s="6" t="n">
        <f aca="false">Sens!E7262*(1+Sens!F7263)</f>
        <v>90.0799497373663</v>
      </c>
      <c r="G7262" s="6" t="n">
        <f aca="false">Sens!F7262*(1+Sens!G7263)</f>
        <v>107.02842520331</v>
      </c>
      <c r="H7262" s="6" t="n">
        <f aca="false">Sens!G7262*(1+Sens!H7263)</f>
        <v>124.271982585636</v>
      </c>
      <c r="I7262" s="6" t="n">
        <f aca="false">Sens!H7262*(1+Sens!I7263)</f>
        <v>140.933702381855</v>
      </c>
      <c r="J7262" s="6" t="n">
        <f aca="false">Sens!I7262*(1+Sens!J7263)</f>
        <v>156.018867314332</v>
      </c>
      <c r="K7262" s="6" t="n">
        <f aca="false">Sens!J7262*(1+Sens!K7263)</f>
        <v>168.500376699478</v>
      </c>
    </row>
    <row r="7263" customFormat="false" ht="15" hidden="false" customHeight="false" outlineLevel="0" collapsed="false">
      <c r="A7263" s="1" t="s">
        <v>876</v>
      </c>
      <c r="B7263" s="0" t="s">
        <v>129</v>
      </c>
      <c r="E7263" s="7" t="n">
        <f aca="false">Sens!E7262/Sens!D7262-1</f>
        <v>0.242223883039864</v>
      </c>
      <c r="F7263" s="7" t="n">
        <f aca="false">Sens!$E$7263+(glt_azo-Sens!$E$7263)*MIN(1,(Sens!F7223-base_fy)/n_conv)</f>
        <v>0.215186569199887</v>
      </c>
      <c r="G7263" s="7" t="n">
        <f aca="false">Sens!$E$7263+(glt_azo-Sens!$E$7263)*MIN(1,(Sens!G7223-base_fy)/n_conv)</f>
        <v>0.18814925535991</v>
      </c>
      <c r="H7263" s="7" t="n">
        <f aca="false">Sens!$E$7263+(glt_azo-Sens!$E$7263)*MIN(1,(Sens!H7223-base_fy)/n_conv)</f>
        <v>0.161111941519932</v>
      </c>
      <c r="I7263" s="7" t="n">
        <f aca="false">Sens!$E$7263+(glt_azo-Sens!$E$7263)*MIN(1,(Sens!I7223-base_fy)/n_conv)</f>
        <v>0.134074627679955</v>
      </c>
      <c r="J7263" s="7" t="n">
        <f aca="false">Sens!$E$7263+(glt_azo-Sens!$E$7263)*MIN(1,(Sens!J7223-base_fy)/n_conv)</f>
        <v>0.107037313839977</v>
      </c>
      <c r="K7263" s="7" t="n">
        <f aca="false">Sens!$E$7263+(glt_azo-Sens!$E$7263)*MIN(1,(Sens!K7223-base_fy)/n_conv)</f>
        <v>0.08</v>
      </c>
    </row>
    <row r="7264" customFormat="false" ht="15" hidden="false" customHeight="false" outlineLevel="0" collapsed="false">
      <c r="A7264" s="0" t="s">
        <v>877</v>
      </c>
      <c r="B7264" s="0" t="s">
        <v>98</v>
      </c>
      <c r="D7264" s="6" t="n">
        <f aca="false">Sens!D7261+Sens!D7262</f>
        <v>72.61</v>
      </c>
      <c r="E7264" s="6" t="n">
        <f aca="false">Sens!E7261+Sens!E7262</f>
        <v>101.938</v>
      </c>
      <c r="F7264" s="6" t="n">
        <f aca="false">Sens!F7261+Sens!F7262</f>
        <v>145.143956312325</v>
      </c>
      <c r="G7264" s="6" t="n">
        <f aca="false">Sens!G7261+Sens!G7262</f>
        <v>196.478966522364</v>
      </c>
      <c r="H7264" s="6" t="n">
        <f aca="false">Sens!H7261+Sens!H7262</f>
        <v>249.10761332251</v>
      </c>
      <c r="I7264" s="6" t="n">
        <f aca="false">Sens!I7261+Sens!I7262</f>
        <v>297.09216264734</v>
      </c>
      <c r="J7264" s="6" t="n">
        <f aca="false">Sens!J7261+Sens!J7262</f>
        <v>334.278152607443</v>
      </c>
      <c r="K7264" s="6" t="n">
        <f aca="false">Sens!K7261+Sens!K7262</f>
        <v>361.233666909276</v>
      </c>
    </row>
    <row r="7265" customFormat="false" ht="17.15" hidden="false" customHeight="false" outlineLevel="0" collapsed="false">
      <c r="A7265" s="0" t="s">
        <v>878</v>
      </c>
      <c r="B7265" s="1" t="s">
        <v>528</v>
      </c>
      <c r="C7265" s="29" t="n">
        <f aca="false">cop_s24</f>
        <v>1</v>
      </c>
      <c r="D7265" s="29" t="n">
        <f aca="false">cop_s25</f>
        <v>5</v>
      </c>
      <c r="E7265" s="29" t="n">
        <f aca="false">cop_s26</f>
        <v>30</v>
      </c>
      <c r="F7265" s="29" t="n">
        <f aca="false">Sens!E7265+cop_add_B</f>
        <v>50</v>
      </c>
      <c r="G7265" s="29" t="n">
        <f aca="false">Sens!F7265+cop_add_B</f>
        <v>70</v>
      </c>
      <c r="H7265" s="29" t="n">
        <f aca="false">Sens!G7265+cop_add_B</f>
        <v>90</v>
      </c>
      <c r="I7265" s="29" t="n">
        <f aca="false">Sens!H7265+cop_add_B*cop_tail</f>
        <v>100</v>
      </c>
      <c r="J7265" s="29" t="n">
        <f aca="false">Sens!I7265+cop_add_B*cop_tail</f>
        <v>110</v>
      </c>
      <c r="K7265" s="29" t="n">
        <f aca="false">Sens!J7265+cop_add_B*cop_tail</f>
        <v>120</v>
      </c>
      <c r="L7265" s="11" t="s">
        <v>879</v>
      </c>
    </row>
    <row r="7266" customFormat="false" ht="17.15" hidden="false" customHeight="false" outlineLevel="0" collapsed="false">
      <c r="A7266" s="0" t="s">
        <v>880</v>
      </c>
      <c r="B7266" s="0" t="s">
        <v>98</v>
      </c>
      <c r="D7266" s="6" t="n">
        <f aca="false">(Sens!C7265+Sens!D7265)/2*cop_px*12/1000</f>
        <v>0.9</v>
      </c>
      <c r="E7266" s="6" t="n">
        <f aca="false">(Sens!D7265+Sens!E7265)/2*cop_px*12/1000</f>
        <v>5.25</v>
      </c>
      <c r="F7266" s="6" t="n">
        <f aca="false">(Sens!E7265+Sens!F7265)/2*cop_px_hi*12/1000</f>
        <v>14.4</v>
      </c>
      <c r="G7266" s="6" t="n">
        <f aca="false">(Sens!F7265+Sens!G7265)/2*cop_px_hi*12/1000</f>
        <v>21.6</v>
      </c>
      <c r="H7266" s="6" t="n">
        <f aca="false">(Sens!G7265+Sens!H7265)/2*cop_px_hi*12/1000</f>
        <v>28.8</v>
      </c>
      <c r="I7266" s="6" t="n">
        <f aca="false">(Sens!H7265+Sens!I7265)/2*cop_px_hi*12/1000</f>
        <v>34.2</v>
      </c>
      <c r="J7266" s="6" t="n">
        <f aca="false">(Sens!I7265+Sens!J7265)/2*cop_px_hi*12/1000</f>
        <v>37.8</v>
      </c>
      <c r="K7266" s="6" t="n">
        <f aca="false">(Sens!J7265+Sens!K7265)/2*cop_px_hi*12/1000</f>
        <v>41.4</v>
      </c>
      <c r="L7266" s="1" t="s">
        <v>881</v>
      </c>
    </row>
    <row r="7267" customFormat="false" ht="17.15" hidden="false" customHeight="false" outlineLevel="0" collapsed="false">
      <c r="A7267" s="0" t="s">
        <v>882</v>
      </c>
      <c r="B7267" s="0" t="s">
        <v>98</v>
      </c>
      <c r="D7267" s="6" t="n">
        <f aca="false">Q!L7-Sens!D7266</f>
        <v>83.705</v>
      </c>
      <c r="E7267" s="6" t="n">
        <f aca="false">Q!M7-Sens!E7266</f>
        <v>95.049</v>
      </c>
      <c r="F7267" s="6" t="n">
        <f aca="false">Sens!E7267*(1+Sens!F7268)</f>
        <v>106.89238776686</v>
      </c>
      <c r="G7267" s="6" t="n">
        <f aca="false">Sens!F7267*(1+Sens!G7268)</f>
        <v>119.044168448684</v>
      </c>
      <c r="H7267" s="6" t="n">
        <f aca="false">Sens!G7267*(1+Sens!H7268)</f>
        <v>131.277359388781</v>
      </c>
      <c r="I7267" s="6" t="n">
        <f aca="false">Sens!H7267*(1+Sens!I7268)</f>
        <v>143.334028071957</v>
      </c>
      <c r="J7267" s="6" t="n">
        <f aca="false">Sens!I7267*(1+Sens!J7268)</f>
        <v>154.932702785465</v>
      </c>
      <c r="K7267" s="6" t="n">
        <f aca="false">Sens!J7267*(1+Sens!K7268)</f>
        <v>165.777991980448</v>
      </c>
    </row>
    <row r="7268" customFormat="false" ht="15" hidden="false" customHeight="false" outlineLevel="0" collapsed="false">
      <c r="A7268" s="1" t="s">
        <v>876</v>
      </c>
      <c r="B7268" s="0" t="s">
        <v>129</v>
      </c>
      <c r="E7268" s="7" t="n">
        <f aca="false">Sens!E7267/Sens!D7267-1</f>
        <v>0.135523564900544</v>
      </c>
      <c r="F7268" s="7" t="n">
        <f aca="false">Sens!$E$7268+(glt_m365b-Sens!$E$7268)*MIN(1,(Sens!F7223-base_fy)/n_conv)</f>
        <v>0.124602970750453</v>
      </c>
      <c r="G7268" s="7" t="n">
        <f aca="false">Sens!$E$7268+(glt_m365b-Sens!$E$7268)*MIN(1,(Sens!G7223-base_fy)/n_conv)</f>
        <v>0.113682376600363</v>
      </c>
      <c r="H7268" s="7" t="n">
        <f aca="false">Sens!$E$7268+(glt_m365b-Sens!$E$7268)*MIN(1,(Sens!H7223-base_fy)/n_conv)</f>
        <v>0.102761782450272</v>
      </c>
      <c r="I7268" s="7" t="n">
        <f aca="false">Sens!$E$7268+(glt_m365b-Sens!$E$7268)*MIN(1,(Sens!I7223-base_fy)/n_conv)</f>
        <v>0.0918411883001813</v>
      </c>
      <c r="J7268" s="7" t="n">
        <f aca="false">Sens!$E$7268+(glt_m365b-Sens!$E$7268)*MIN(1,(Sens!J7223-base_fy)/n_conv)</f>
        <v>0.0809205941500906</v>
      </c>
      <c r="K7268" s="7" t="n">
        <f aca="false">Sens!$E$7268+(glt_m365b-Sens!$E$7268)*MIN(1,(Sens!K7223-base_fy)/n_conv)</f>
        <v>0.07</v>
      </c>
    </row>
    <row r="7269" customFormat="false" ht="15" hidden="false" customHeight="false" outlineLevel="0" collapsed="false">
      <c r="A7269" s="0" t="s">
        <v>883</v>
      </c>
      <c r="B7269" s="0" t="s">
        <v>98</v>
      </c>
      <c r="D7269" s="6" t="n">
        <f aca="false">Sens!D7267+Sens!D7266</f>
        <v>84.605</v>
      </c>
      <c r="E7269" s="6" t="n">
        <f aca="false">Sens!E7267+Sens!E7266</f>
        <v>100.299</v>
      </c>
      <c r="F7269" s="6" t="n">
        <f aca="false">Sens!F7267+Sens!F7266</f>
        <v>121.29238776686</v>
      </c>
      <c r="G7269" s="6" t="n">
        <f aca="false">Sens!G7267+Sens!G7266</f>
        <v>140.644168448684</v>
      </c>
      <c r="H7269" s="6" t="n">
        <f aca="false">Sens!H7267+Sens!H7266</f>
        <v>160.077359388781</v>
      </c>
      <c r="I7269" s="6" t="n">
        <f aca="false">Sens!I7267+Sens!I7266</f>
        <v>177.534028071957</v>
      </c>
      <c r="J7269" s="6" t="n">
        <f aca="false">Sens!J7267+Sens!J7266</f>
        <v>192.732702785465</v>
      </c>
      <c r="K7269" s="6" t="n">
        <f aca="false">Sens!K7267+Sens!K7266</f>
        <v>207.177991980448</v>
      </c>
    </row>
    <row r="7270" customFormat="false" ht="15" hidden="false" customHeight="false" outlineLevel="0" collapsed="false">
      <c r="A7270" s="0" t="s">
        <v>884</v>
      </c>
      <c r="B7270" s="0" t="s">
        <v>98</v>
      </c>
      <c r="D7270" s="6" t="n">
        <f aca="false">Q!L8</f>
        <v>35.391</v>
      </c>
      <c r="E7270" s="6" t="n">
        <f aca="false">Q!M8</f>
        <v>37.285</v>
      </c>
      <c r="F7270" s="6" t="n">
        <f aca="false">Sens!E7270*(1+Sens!F7271)</f>
        <v>39.0720834331704</v>
      </c>
      <c r="G7270" s="6" t="n">
        <f aca="false">Sens!F7270*(1+Sens!G7271)</f>
        <v>40.726562953769</v>
      </c>
      <c r="H7270" s="6" t="n">
        <f aca="false">Sens!G7270*(1+Sens!H7271)</f>
        <v>42.2235987259198</v>
      </c>
      <c r="I7270" s="6" t="n">
        <f aca="false">Sens!H7270*(1+Sens!I7271)</f>
        <v>43.5397988077414</v>
      </c>
      <c r="J7270" s="6" t="n">
        <f aca="false">Sens!I7270*(1+Sens!J7271)</f>
        <v>44.653811225693</v>
      </c>
      <c r="K7270" s="6" t="n">
        <f aca="false">Sens!J7270*(1+Sens!K7271)</f>
        <v>45.5468874502068</v>
      </c>
    </row>
    <row r="7271" customFormat="false" ht="15" hidden="false" customHeight="false" outlineLevel="0" collapsed="false">
      <c r="A7271" s="1" t="s">
        <v>876</v>
      </c>
      <c r="B7271" s="0" t="s">
        <v>129</v>
      </c>
      <c r="E7271" s="7" t="n">
        <f aca="false">Sens!E7270/Sens!D7270-1</f>
        <v>0.0535164307309768</v>
      </c>
      <c r="F7271" s="7" t="n">
        <f aca="false">Sens!$E$7271+(glt_lic-Sens!$E$7271)*MIN(1,(Sens!F7223-base_fy)/n_conv)</f>
        <v>0.0479303589424807</v>
      </c>
      <c r="G7271" s="7" t="n">
        <f aca="false">Sens!$E$7271+(glt_lic-Sens!$E$7271)*MIN(1,(Sens!G7223-base_fy)/n_conv)</f>
        <v>0.0423442871539845</v>
      </c>
      <c r="H7271" s="7" t="n">
        <f aca="false">Sens!$E$7271+(glt_lic-Sens!$E$7271)*MIN(1,(Sens!H7223-base_fy)/n_conv)</f>
        <v>0.0367582153654884</v>
      </c>
      <c r="I7271" s="7" t="n">
        <f aca="false">Sens!$E$7271+(glt_lic-Sens!$E$7271)*MIN(1,(Sens!I7223-base_fy)/n_conv)</f>
        <v>0.0311721435769923</v>
      </c>
      <c r="J7271" s="7" t="n">
        <f aca="false">Sens!$E$7271+(glt_lic-Sens!$E$7271)*MIN(1,(Sens!J7223-base_fy)/n_conv)</f>
        <v>0.0255860717884961</v>
      </c>
      <c r="K7271" s="7" t="n">
        <f aca="false">Sens!$E$7271+(glt_lic-Sens!$E$7271)*MIN(1,(Sens!K7223-base_fy)/n_conv)</f>
        <v>0.02</v>
      </c>
    </row>
    <row r="7272" customFormat="false" ht="15" hidden="false" customHeight="false" outlineLevel="0" collapsed="false">
      <c r="A7272" s="0" t="s">
        <v>885</v>
      </c>
      <c r="B7272" s="0" t="s">
        <v>98</v>
      </c>
      <c r="D7272" s="6" t="n">
        <f aca="false">Q!L9</f>
        <v>18.417</v>
      </c>
      <c r="E7272" s="6" t="n">
        <f aca="false">Q!M9</f>
        <v>20.345</v>
      </c>
      <c r="F7272" s="6" t="n">
        <f aca="false">Sens!E7272*(1+Sens!F7273)</f>
        <v>22.3572203267814</v>
      </c>
      <c r="G7272" s="6" t="n">
        <f aca="false">Sens!F7272*(1+Sens!G7273)</f>
        <v>24.4392124437232</v>
      </c>
      <c r="H7272" s="6" t="n">
        <f aca="false">Sens!G7272*(1+Sens!H7273)</f>
        <v>26.5738052080665</v>
      </c>
      <c r="I7272" s="6" t="n">
        <f aca="false">Sens!H7272*(1+Sens!I7273)</f>
        <v>28.7412169166967</v>
      </c>
      <c r="J7272" s="6" t="n">
        <f aca="false">Sens!I7272*(1+Sens!J7273)</f>
        <v>30.9192545395413</v>
      </c>
      <c r="K7272" s="6" t="n">
        <f aca="false">Sens!J7272*(1+Sens!K7273)</f>
        <v>33.0836023573092</v>
      </c>
    </row>
    <row r="7273" customFormat="false" ht="15" hidden="false" customHeight="false" outlineLevel="0" collapsed="false">
      <c r="A7273" s="1" t="s">
        <v>876</v>
      </c>
      <c r="B7273" s="0" t="s">
        <v>129</v>
      </c>
      <c r="E7273" s="7" t="n">
        <f aca="false">Sens!E7272/Sens!D7272-1</f>
        <v>0.104685888038225</v>
      </c>
      <c r="F7273" s="7" t="n">
        <f aca="false">Sens!$E$7273+(glt_ind-Sens!$E$7273)*MIN(1,(Sens!F7223-base_fy)/n_conv)</f>
        <v>0.0989049066985211</v>
      </c>
      <c r="G7273" s="7" t="n">
        <f aca="false">Sens!$E$7273+(glt_ind-Sens!$E$7273)*MIN(1,(Sens!G7223-base_fy)/n_conv)</f>
        <v>0.0931239253588169</v>
      </c>
      <c r="H7273" s="7" t="n">
        <f aca="false">Sens!$E$7273+(glt_ind-Sens!$E$7273)*MIN(1,(Sens!H7223-base_fy)/n_conv)</f>
        <v>0.0873429440191127</v>
      </c>
      <c r="I7273" s="7" t="n">
        <f aca="false">Sens!$E$7273+(glt_ind-Sens!$E$7273)*MIN(1,(Sens!I7223-base_fy)/n_conv)</f>
        <v>0.0815619626794085</v>
      </c>
      <c r="J7273" s="7" t="n">
        <f aca="false">Sens!$E$7273+(glt_ind-Sens!$E$7273)*MIN(1,(Sens!J7223-base_fy)/n_conv)</f>
        <v>0.0757809813397042</v>
      </c>
      <c r="K7273" s="7" t="n">
        <f aca="false">Sens!$E$7273+(glt_ind-Sens!$E$7273)*MIN(1,(Sens!K7223-base_fy)/n_conv)</f>
        <v>0.07</v>
      </c>
    </row>
    <row r="7274" customFormat="false" ht="15" hidden="false" customHeight="false" outlineLevel="0" collapsed="false">
      <c r="A7274" s="0" t="s">
        <v>886</v>
      </c>
      <c r="B7274" s="0" t="s">
        <v>98</v>
      </c>
      <c r="D7274" s="6" t="n">
        <f aca="false">Q!L10</f>
        <v>7.76</v>
      </c>
      <c r="E7274" s="6" t="n">
        <f aca="false">Q!M10</f>
        <v>8.26</v>
      </c>
      <c r="F7274" s="6" t="n">
        <f aca="false">Sens!E7274*(1+Sens!F7275)</f>
        <v>8.79988041237113</v>
      </c>
      <c r="G7274" s="6" t="n">
        <f aca="false">Sens!F7274*(1+Sens!G7275)</f>
        <v>9.38321269125306</v>
      </c>
      <c r="H7274" s="6" t="n">
        <f aca="false">Sens!G7274*(1+Sens!H7275)</f>
        <v>10.0139193587476</v>
      </c>
      <c r="I7274" s="6" t="n">
        <f aca="false">Sens!H7274*(1+Sens!I7275)</f>
        <v>10.6963111830911</v>
      </c>
      <c r="J7274" s="6" t="n">
        <f aca="false">Sens!I7274*(1+Sens!J7275)</f>
        <v>11.4351285534696</v>
      </c>
      <c r="K7274" s="6" t="n">
        <f aca="false">Sens!J7274*(1+Sens!K7275)</f>
        <v>12.2355875522124</v>
      </c>
    </row>
    <row r="7275" customFormat="false" ht="15" hidden="false" customHeight="false" outlineLevel="0" collapsed="false">
      <c r="A7275" s="1" t="s">
        <v>876</v>
      </c>
      <c r="B7275" s="0" t="s">
        <v>129</v>
      </c>
      <c r="E7275" s="7" t="n">
        <f aca="false">Sens!E7274/Sens!D7274-1</f>
        <v>0.0644329896907216</v>
      </c>
      <c r="F7275" s="7" t="n">
        <f aca="false">Sens!$E$7275+(glt_fro-Sens!$E$7275)*MIN(1,(Sens!F7223-base_fy)/n_conv)</f>
        <v>0.065360824742268</v>
      </c>
      <c r="G7275" s="7" t="n">
        <f aca="false">Sens!$E$7275+(glt_fro-Sens!$E$7275)*MIN(1,(Sens!G7223-base_fy)/n_conv)</f>
        <v>0.0662886597938144</v>
      </c>
      <c r="H7275" s="7" t="n">
        <f aca="false">Sens!$E$7275+(glt_fro-Sens!$E$7275)*MIN(1,(Sens!H7223-base_fy)/n_conv)</f>
        <v>0.0672164948453608</v>
      </c>
      <c r="I7275" s="7" t="n">
        <f aca="false">Sens!$E$7275+(glt_fro-Sens!$E$7275)*MIN(1,(Sens!I7223-base_fy)/n_conv)</f>
        <v>0.0681443298969072</v>
      </c>
      <c r="J7275" s="7" t="n">
        <f aca="false">Sens!$E$7275+(glt_fro-Sens!$E$7275)*MIN(1,(Sens!J7223-base_fy)/n_conv)</f>
        <v>0.0690721649484536</v>
      </c>
      <c r="K7275" s="7" t="n">
        <f aca="false">Sens!$E$7275+(glt_fro-Sens!$E$7275)*MIN(1,(Sens!K7223-base_fy)/n_conv)</f>
        <v>0.07</v>
      </c>
    </row>
    <row r="7276" customFormat="false" ht="15" hidden="false" customHeight="false" outlineLevel="0" collapsed="false">
      <c r="A7276" s="0" t="s">
        <v>715</v>
      </c>
      <c r="B7276" s="0" t="s">
        <v>98</v>
      </c>
      <c r="D7276" s="6" t="n">
        <f aca="false">Sens!D7264+Sens!D7269+Sens!D7270+Sens!D7272+Sens!D7274</f>
        <v>218.783</v>
      </c>
      <c r="E7276" s="6" t="n">
        <f aca="false">Sens!E7264+Sens!E7269+Sens!E7270+Sens!E7272+Sens!E7274</f>
        <v>268.127</v>
      </c>
      <c r="F7276" s="6" t="n">
        <f aca="false">Sens!F7264+Sens!F7269+Sens!F7270+Sens!F7272+Sens!F7274</f>
        <v>336.665528251508</v>
      </c>
      <c r="G7276" s="6" t="n">
        <f aca="false">Sens!G7264+Sens!G7269+Sens!G7270+Sens!G7272+Sens!G7274</f>
        <v>411.672123059793</v>
      </c>
      <c r="H7276" s="6" t="n">
        <f aca="false">Sens!H7264+Sens!H7269+Sens!H7270+Sens!H7272+Sens!H7274</f>
        <v>487.996296004025</v>
      </c>
      <c r="I7276" s="6" t="n">
        <f aca="false">Sens!I7264+Sens!I7269+Sens!I7270+Sens!I7272+Sens!I7274</f>
        <v>557.603517626826</v>
      </c>
      <c r="J7276" s="6" t="n">
        <f aca="false">Sens!J7264+Sens!J7269+Sens!J7270+Sens!J7272+Sens!J7274</f>
        <v>614.019049711612</v>
      </c>
      <c r="K7276" s="6" t="n">
        <f aca="false">Sens!K7264+Sens!K7269+Sens!K7270+Sens!K7272+Sens!K7274</f>
        <v>659.277736249452</v>
      </c>
    </row>
    <row r="7277" customFormat="false" ht="15" hidden="false" customHeight="false" outlineLevel="0" collapsed="false">
      <c r="A7277" s="0" t="s">
        <v>887</v>
      </c>
      <c r="B7277" s="0" t="s">
        <v>98</v>
      </c>
      <c r="D7277" s="6" t="n">
        <f aca="false">Q!L13</f>
        <v>22.171</v>
      </c>
      <c r="E7277" s="6" t="n">
        <f aca="false">Q!M13</f>
        <v>24.835</v>
      </c>
      <c r="F7277" s="6" t="n">
        <f aca="false">Sens!E7277*(1+Sens!F7278)</f>
        <v>27.6114901218559</v>
      </c>
      <c r="G7277" s="6" t="n">
        <f aca="false">Sens!F7277*(1+Sens!G7278)</f>
        <v>30.4675667338515</v>
      </c>
      <c r="H7277" s="6" t="n">
        <f aca="false">Sens!G7277*(1+Sens!H7278)</f>
        <v>33.3643766955789</v>
      </c>
      <c r="I7277" s="6" t="n">
        <f aca="false">Sens!H7277*(1+Sens!I7278)</f>
        <v>36.2577016533691</v>
      </c>
      <c r="J7277" s="6" t="n">
        <f aca="false">Sens!I7277*(1+Sens!J7278)</f>
        <v>39.0988367952171</v>
      </c>
      <c r="K7277" s="6" t="n">
        <f aca="false">Sens!J7277*(1+Sens!K7278)</f>
        <v>41.8357553708823</v>
      </c>
    </row>
    <row r="7278" customFormat="false" ht="15" hidden="false" customHeight="false" outlineLevel="0" collapsed="false">
      <c r="A7278" s="1" t="s">
        <v>876</v>
      </c>
      <c r="B7278" s="0" t="s">
        <v>129</v>
      </c>
      <c r="E7278" s="7" t="n">
        <f aca="false">Sens!E7277/Sens!D7277-1</f>
        <v>0.120156961796942</v>
      </c>
      <c r="F7278" s="7" t="n">
        <f aca="false">Sens!$E$7278+(glt_srch-Sens!$E$7278)*MIN(1,(Sens!F7223-base_fy)/n_conv)</f>
        <v>0.111797468164118</v>
      </c>
      <c r="G7278" s="7" t="n">
        <f aca="false">Sens!$E$7278+(glt_srch-Sens!$E$7278)*MIN(1,(Sens!G7223-base_fy)/n_conv)</f>
        <v>0.103437974531295</v>
      </c>
      <c r="H7278" s="7" t="n">
        <f aca="false">Sens!$E$7278+(glt_srch-Sens!$E$7278)*MIN(1,(Sens!H7223-base_fy)/n_conv)</f>
        <v>0.095078480898471</v>
      </c>
      <c r="I7278" s="7" t="n">
        <f aca="false">Sens!$E$7278+(glt_srch-Sens!$E$7278)*MIN(1,(Sens!I7223-base_fy)/n_conv)</f>
        <v>0.0867189872656474</v>
      </c>
      <c r="J7278" s="7" t="n">
        <f aca="false">Sens!$E$7278+(glt_srch-Sens!$E$7278)*MIN(1,(Sens!J7223-base_fy)/n_conv)</f>
        <v>0.0783594936328237</v>
      </c>
      <c r="K7278" s="7" t="n">
        <f aca="false">Sens!$E$7278+(glt_srch-Sens!$E$7278)*MIN(1,(Sens!K7223-base_fy)/n_conv)</f>
        <v>0.07</v>
      </c>
    </row>
    <row r="7279" customFormat="false" ht="15" hidden="false" customHeight="false" outlineLevel="0" collapsed="false">
      <c r="A7279" s="0" t="s">
        <v>888</v>
      </c>
      <c r="B7279" s="0" t="s">
        <v>98</v>
      </c>
      <c r="D7279" s="6" t="n">
        <f aca="false">Q!L14</f>
        <v>23.455</v>
      </c>
      <c r="E7279" s="6" t="n">
        <f aca="false">Q!M14</f>
        <v>21.79</v>
      </c>
      <c r="F7279" s="6" t="n">
        <f aca="false">Sens!E7279*(1+Sens!F7280)</f>
        <v>20.5736277908051</v>
      </c>
      <c r="G7279" s="6" t="n">
        <f aca="false">Sens!F7279*(1+Sens!G7280)</f>
        <v>19.7371452817919</v>
      </c>
      <c r="H7279" s="6" t="n">
        <f aca="false">Sens!G7279*(1+Sens!H7280)</f>
        <v>19.2339764043138</v>
      </c>
      <c r="I7279" s="6" t="n">
        <f aca="false">Sens!H7279*(1+Sens!I7280)</f>
        <v>19.0353086852681</v>
      </c>
      <c r="J7279" s="6" t="n">
        <f aca="false">Sens!I7279*(1+Sens!J7280)</f>
        <v>19.1273539319129</v>
      </c>
      <c r="K7279" s="6" t="n">
        <f aca="false">Sens!J7279*(1+Sens!K7280)</f>
        <v>19.5099010105511</v>
      </c>
    </row>
    <row r="7280" customFormat="false" ht="15" hidden="false" customHeight="false" outlineLevel="0" collapsed="false">
      <c r="A7280" s="1" t="s">
        <v>876</v>
      </c>
      <c r="B7280" s="0" t="s">
        <v>129</v>
      </c>
      <c r="E7280" s="7" t="n">
        <f aca="false">Sens!E7279/Sens!D7279-1</f>
        <v>-0.0709869963760392</v>
      </c>
      <c r="F7280" s="7" t="n">
        <f aca="false">Sens!$E$7280+(glt_xbox-Sens!$E$7280)*MIN(1,(Sens!F7223-base_fy)/n_conv)</f>
        <v>-0.0558224969800327</v>
      </c>
      <c r="G7280" s="7" t="n">
        <f aca="false">Sens!$E$7280+(glt_xbox-Sens!$E$7280)*MIN(1,(Sens!G7223-base_fy)/n_conv)</f>
        <v>-0.0406579975840262</v>
      </c>
      <c r="H7280" s="7" t="n">
        <f aca="false">Sens!$E$7280+(glt_xbox-Sens!$E$7280)*MIN(1,(Sens!H7223-base_fy)/n_conv)</f>
        <v>-0.0254934981880196</v>
      </c>
      <c r="I7280" s="7" t="n">
        <f aca="false">Sens!$E$7280+(glt_xbox-Sens!$E$7280)*MIN(1,(Sens!I7223-base_fy)/n_conv)</f>
        <v>-0.0103289987920131</v>
      </c>
      <c r="J7280" s="7" t="n">
        <f aca="false">Sens!$E$7280+(glt_xbox-Sens!$E$7280)*MIN(1,(Sens!J7223-base_fy)/n_conv)</f>
        <v>0.00483550060399347</v>
      </c>
      <c r="K7280" s="7" t="n">
        <f aca="false">Sens!$E$7280+(glt_xbox-Sens!$E$7280)*MIN(1,(Sens!K7223-base_fy)/n_conv)</f>
        <v>0.02</v>
      </c>
    </row>
    <row r="7281" customFormat="false" ht="15" hidden="false" customHeight="false" outlineLevel="0" collapsed="false">
      <c r="A7281" s="0" t="s">
        <v>889</v>
      </c>
      <c r="B7281" s="0" t="s">
        <v>98</v>
      </c>
      <c r="D7281" s="6" t="n">
        <f aca="false">Q!L15</f>
        <v>17.315</v>
      </c>
      <c r="E7281" s="6" t="n">
        <f aca="false">Q!M15</f>
        <v>17.087</v>
      </c>
      <c r="F7281" s="6" t="n">
        <f aca="false">Sens!E7281*(1+Sens!F7282)</f>
        <v>16.9564585436519</v>
      </c>
      <c r="G7281" s="6" t="n">
        <f aca="false">Sens!F7281*(1+Sens!G7282)</f>
        <v>16.9206490624268</v>
      </c>
      <c r="H7281" s="6" t="n">
        <f aca="false">Sens!G7281*(1+Sens!H7282)</f>
        <v>16.9784519149849</v>
      </c>
      <c r="I7281" s="6" t="n">
        <f aca="false">Sens!H7281*(1+Sens!I7282)</f>
        <v>17.1303084701817</v>
      </c>
      <c r="J7281" s="6" t="n">
        <f aca="false">Sens!I7281*(1+Sens!J7282)</f>
        <v>17.3782189407267</v>
      </c>
      <c r="K7281" s="6" t="n">
        <f aca="false">Sens!J7281*(1+Sens!K7282)</f>
        <v>17.7257833195413</v>
      </c>
    </row>
    <row r="7282" customFormat="false" ht="15" hidden="false" customHeight="false" outlineLevel="0" collapsed="false">
      <c r="A7282" s="1" t="s">
        <v>876</v>
      </c>
      <c r="B7282" s="0" t="s">
        <v>129</v>
      </c>
      <c r="E7282" s="7" t="n">
        <f aca="false">Sens!E7281/Sens!D7281-1</f>
        <v>-0.0131677736066995</v>
      </c>
      <c r="F7282" s="7" t="n">
        <f aca="false">Sens!$E$7282+(glt_win-Sens!$E$7282)*MIN(1,(Sens!F7223-base_fy)/n_conv)</f>
        <v>-0.00763981133891627</v>
      </c>
      <c r="G7282" s="7" t="n">
        <f aca="false">Sens!$E$7282+(glt_win-Sens!$E$7282)*MIN(1,(Sens!G7223-base_fy)/n_conv)</f>
        <v>-0.00211184907113301</v>
      </c>
      <c r="H7282" s="7" t="n">
        <f aca="false">Sens!$E$7282+(glt_win-Sens!$E$7282)*MIN(1,(Sens!H7223-base_fy)/n_conv)</f>
        <v>0.00341611319665024</v>
      </c>
      <c r="I7282" s="7" t="n">
        <f aca="false">Sens!$E$7282+(glt_win-Sens!$E$7282)*MIN(1,(Sens!I7223-base_fy)/n_conv)</f>
        <v>0.00894407546443349</v>
      </c>
      <c r="J7282" s="7" t="n">
        <f aca="false">Sens!$E$7282+(glt_win-Sens!$E$7282)*MIN(1,(Sens!J7223-base_fy)/n_conv)</f>
        <v>0.0144720377322168</v>
      </c>
      <c r="K7282" s="7" t="n">
        <f aca="false">Sens!$E$7282+(glt_win-Sens!$E$7282)*MIN(1,(Sens!K7223-base_fy)/n_conv)</f>
        <v>0.02</v>
      </c>
    </row>
    <row r="7283" customFormat="false" ht="15" hidden="false" customHeight="false" outlineLevel="0" collapsed="false">
      <c r="A7283" s="0" t="s">
        <v>729</v>
      </c>
      <c r="B7283" s="0" t="s">
        <v>98</v>
      </c>
      <c r="D7283" s="6" t="n">
        <f aca="false">Sens!D7277+Sens!D7279+Sens!D7281</f>
        <v>62.941</v>
      </c>
      <c r="E7283" s="6" t="n">
        <f aca="false">Sens!E7277+Sens!E7279+Sens!E7281</f>
        <v>63.712</v>
      </c>
      <c r="F7283" s="6" t="n">
        <f aca="false">Sens!F7277+Sens!F7279+Sens!F7281</f>
        <v>65.1415764563129</v>
      </c>
      <c r="G7283" s="6" t="n">
        <f aca="false">Sens!G7277+Sens!G7279+Sens!G7281</f>
        <v>67.1253610780702</v>
      </c>
      <c r="H7283" s="6" t="n">
        <f aca="false">Sens!H7277+Sens!H7279+Sens!H7281</f>
        <v>69.5768050148776</v>
      </c>
      <c r="I7283" s="6" t="n">
        <f aca="false">Sens!I7277+Sens!I7279+Sens!I7281</f>
        <v>72.4233188088189</v>
      </c>
      <c r="J7283" s="6" t="n">
        <f aca="false">Sens!J7277+Sens!J7279+Sens!J7281</f>
        <v>75.6044096678567</v>
      </c>
      <c r="K7283" s="6" t="n">
        <f aca="false">Sens!K7277+Sens!K7279+Sens!K7281</f>
        <v>79.0714397009747</v>
      </c>
    </row>
    <row r="7284" customFormat="false" ht="15" hidden="false" customHeight="false" outlineLevel="0" collapsed="false">
      <c r="A7284" s="1" t="s">
        <v>890</v>
      </c>
      <c r="B7284" s="0" t="s">
        <v>98</v>
      </c>
      <c r="D7284" s="6" t="n">
        <f aca="false">Sens!D7276+Sens!D7283</f>
        <v>281.724</v>
      </c>
      <c r="E7284" s="6" t="n">
        <f aca="false">Sens!E7276+Sens!E7283</f>
        <v>331.839</v>
      </c>
      <c r="F7284" s="6" t="n">
        <f aca="false">Sens!F7276+Sens!F7283</f>
        <v>401.807104707821</v>
      </c>
      <c r="G7284" s="6" t="n">
        <f aca="false">Sens!G7276+Sens!G7283</f>
        <v>478.797484137863</v>
      </c>
      <c r="H7284" s="6" t="n">
        <f aca="false">Sens!H7276+Sens!H7283</f>
        <v>557.573101018903</v>
      </c>
      <c r="I7284" s="6" t="n">
        <f aca="false">Sens!I7276+Sens!I7283</f>
        <v>630.026836435645</v>
      </c>
      <c r="J7284" s="6" t="n">
        <f aca="false">Sens!J7276+Sens!J7283</f>
        <v>689.623459379469</v>
      </c>
      <c r="K7284" s="6" t="n">
        <f aca="false">Sens!K7276+Sens!K7283</f>
        <v>738.349175950427</v>
      </c>
    </row>
    <row r="7285" customFormat="false" ht="15" hidden="false" customHeight="false" outlineLevel="0" collapsed="false">
      <c r="A7285" s="23" t="s">
        <v>891</v>
      </c>
      <c r="B7285" s="30" t="s">
        <v>98</v>
      </c>
      <c r="C7285" s="30"/>
      <c r="D7285" s="24" t="n">
        <f aca="false">(Sens!D7264+Sens!D7269+Sens!D7270+Sens!D7272+Sens!D7274-Sens!D7276)+(Sens!D7277+Sens!D7279+Sens!D7281-Sens!D7283)+(Sens!D7276-Q!L5)+(Sens!D7283-Q!L12)+(Sens!D7264-Q!L6)+(Sens!D7269-Q!L7)</f>
        <v>0</v>
      </c>
      <c r="E7285" s="24" t="n">
        <f aca="false">(Sens!E7264+Sens!E7269+Sens!E7270+Sens!E7272+Sens!E7274-Sens!E7276)+(Sens!E7277+Sens!E7279+Sens!E7281-Sens!E7283)+(Sens!E7276-Q!M5)+(Sens!E7283-Q!M12)+(Sens!E7264-Q!M6)+(Sens!E7269-Q!M7)</f>
        <v>0</v>
      </c>
      <c r="F7285" s="24" t="n">
        <f aca="false">(Sens!F7264+Sens!F7269+Sens!F7270+Sens!F7272+Sens!F7274-Sens!F7276)+(Sens!F7277+Sens!F7279+Sens!F7281-Sens!F7283)</f>
        <v>0</v>
      </c>
      <c r="G7285" s="24" t="n">
        <f aca="false">(Sens!G7264+Sens!G7269+Sens!G7270+Sens!G7272+Sens!G7274-Sens!G7276)+(Sens!G7277+Sens!G7279+Sens!G7281-Sens!G7283)</f>
        <v>0</v>
      </c>
      <c r="H7285" s="24" t="n">
        <f aca="false">(Sens!H7264+Sens!H7269+Sens!H7270+Sens!H7272+Sens!H7274-Sens!H7276)+(Sens!H7277+Sens!H7279+Sens!H7281-Sens!H7283)</f>
        <v>0</v>
      </c>
      <c r="I7285" s="24" t="n">
        <f aca="false">(Sens!I7264+Sens!I7269+Sens!I7270+Sens!I7272+Sens!I7274-Sens!I7276)+(Sens!I7277+Sens!I7279+Sens!I7281-Sens!I7283)</f>
        <v>0</v>
      </c>
      <c r="J7285" s="24" t="n">
        <f aca="false">(Sens!J7264+Sens!J7269+Sens!J7270+Sens!J7272+Sens!J7274-Sens!J7276)+(Sens!J7277+Sens!J7279+Sens!J7281-Sens!J7283)</f>
        <v>0</v>
      </c>
      <c r="K7285" s="24" t="n">
        <f aca="false">(Sens!K7264+Sens!K7269+Sens!K7270+Sens!K7272+Sens!K7274-Sens!K7276)+(Sens!K7277+Sens!K7279+Sens!K7281-Sens!K7283)</f>
        <v>0</v>
      </c>
    </row>
    <row r="7286" customFormat="false" ht="17.15" hidden="false" customHeight="false" outlineLevel="0" collapsed="false">
      <c r="A7286" s="3" t="s">
        <v>1449</v>
      </c>
    </row>
    <row r="7287" customFormat="false" ht="15" hidden="false" customHeight="false" outlineLevel="0" collapsed="false">
      <c r="A7287" s="4" t="s">
        <v>43</v>
      </c>
      <c r="B7287" s="4" t="s">
        <v>65</v>
      </c>
      <c r="C7287" s="20" t="s">
        <v>799</v>
      </c>
      <c r="D7287" s="20" t="s">
        <v>800</v>
      </c>
      <c r="E7287" s="20" t="s">
        <v>801</v>
      </c>
      <c r="F7287" s="20" t="s">
        <v>802</v>
      </c>
      <c r="G7287" s="20" t="s">
        <v>803</v>
      </c>
      <c r="H7287" s="20" t="s">
        <v>804</v>
      </c>
      <c r="I7287" s="20" t="s">
        <v>805</v>
      </c>
      <c r="J7287" s="20" t="s">
        <v>806</v>
      </c>
      <c r="K7287" s="20" t="s">
        <v>807</v>
      </c>
      <c r="L7287" s="4" t="s">
        <v>47</v>
      </c>
    </row>
    <row r="7288" customFormat="false" ht="15" hidden="false" customHeight="false" outlineLevel="0" collapsed="false">
      <c r="A7288" s="0" t="s">
        <v>877</v>
      </c>
      <c r="B7288" s="0" t="s">
        <v>98</v>
      </c>
      <c r="D7288" s="6" t="n">
        <f aca="false">Sens!D7264</f>
        <v>72.61</v>
      </c>
      <c r="E7288" s="6" t="n">
        <f aca="false">Sens!E7264</f>
        <v>101.938</v>
      </c>
      <c r="F7288" s="6" t="n">
        <f aca="false">Sens!F7264</f>
        <v>145.143956312325</v>
      </c>
      <c r="G7288" s="6" t="n">
        <f aca="false">Sens!G7264</f>
        <v>196.478966522364</v>
      </c>
      <c r="H7288" s="6" t="n">
        <f aca="false">Sens!H7264</f>
        <v>249.10761332251</v>
      </c>
      <c r="I7288" s="6" t="n">
        <f aca="false">Sens!I7264</f>
        <v>297.09216264734</v>
      </c>
      <c r="J7288" s="6" t="n">
        <f aca="false">Sens!J7264</f>
        <v>334.278152607443</v>
      </c>
      <c r="K7288" s="6" t="n">
        <f aca="false">Sens!K7264</f>
        <v>361.233666909276</v>
      </c>
    </row>
    <row r="7289" customFormat="false" ht="17.15" hidden="false" customHeight="false" outlineLevel="0" collapsed="false">
      <c r="A7289" s="0" t="s">
        <v>874</v>
      </c>
      <c r="B7289" s="0" t="s">
        <v>98</v>
      </c>
      <c r="D7289" s="6" t="n">
        <f aca="false">Sens!D7261</f>
        <v>12.9359794422418</v>
      </c>
      <c r="E7289" s="6" t="n">
        <f aca="false">Sens!E7261</f>
        <v>27.8095064661409</v>
      </c>
      <c r="F7289" s="6" t="n">
        <f aca="false">Sens!F7261</f>
        <v>55.0640065749585</v>
      </c>
      <c r="G7289" s="6" t="n">
        <f aca="false">Sens!G7261</f>
        <v>89.4505413190538</v>
      </c>
      <c r="H7289" s="6" t="n">
        <f aca="false">Sens!H7261</f>
        <v>124.835630736874</v>
      </c>
      <c r="I7289" s="6" t="n">
        <f aca="false">Sens!I7261</f>
        <v>156.158460265485</v>
      </c>
      <c r="J7289" s="6" t="n">
        <f aca="false">Sens!J7261</f>
        <v>178.259285293112</v>
      </c>
      <c r="K7289" s="6" t="n">
        <f aca="false">Sens!K7261</f>
        <v>192.733290209798</v>
      </c>
    </row>
    <row r="7290" customFormat="false" ht="17.15" hidden="false" customHeight="false" outlineLevel="0" collapsed="false">
      <c r="A7290" s="0" t="s">
        <v>902</v>
      </c>
      <c r="B7290" s="0" t="s">
        <v>98</v>
      </c>
      <c r="D7290" s="6" t="n">
        <f aca="false">Sens!D7262</f>
        <v>59.6740205577583</v>
      </c>
      <c r="E7290" s="6" t="n">
        <f aca="false">Sens!E7262</f>
        <v>74.1284935338591</v>
      </c>
      <c r="F7290" s="6" t="n">
        <f aca="false">Sens!F7262</f>
        <v>90.0799497373663</v>
      </c>
      <c r="G7290" s="6" t="n">
        <f aca="false">Sens!G7262</f>
        <v>107.02842520331</v>
      </c>
      <c r="H7290" s="6" t="n">
        <f aca="false">Sens!H7262</f>
        <v>124.271982585636</v>
      </c>
      <c r="I7290" s="6" t="n">
        <f aca="false">Sens!I7262</f>
        <v>140.933702381855</v>
      </c>
      <c r="J7290" s="6" t="n">
        <f aca="false">Sens!J7262</f>
        <v>156.018867314332</v>
      </c>
      <c r="K7290" s="6" t="n">
        <f aca="false">Sens!K7262</f>
        <v>168.500376699478</v>
      </c>
    </row>
    <row r="7291" customFormat="false" ht="15" hidden="false" customHeight="false" outlineLevel="0" collapsed="false">
      <c r="A7291" s="0" t="s">
        <v>883</v>
      </c>
      <c r="B7291" s="0" t="s">
        <v>98</v>
      </c>
      <c r="D7291" s="6" t="n">
        <f aca="false">Sens!D7269</f>
        <v>84.605</v>
      </c>
      <c r="E7291" s="6" t="n">
        <f aca="false">Sens!E7269</f>
        <v>100.299</v>
      </c>
      <c r="F7291" s="6" t="n">
        <f aca="false">Sens!F7269</f>
        <v>121.29238776686</v>
      </c>
      <c r="G7291" s="6" t="n">
        <f aca="false">Sens!G7269</f>
        <v>140.644168448684</v>
      </c>
      <c r="H7291" s="6" t="n">
        <f aca="false">Sens!H7269</f>
        <v>160.077359388781</v>
      </c>
      <c r="I7291" s="6" t="n">
        <f aca="false">Sens!I7269</f>
        <v>177.534028071957</v>
      </c>
      <c r="J7291" s="6" t="n">
        <f aca="false">Sens!J7269</f>
        <v>192.732702785465</v>
      </c>
      <c r="K7291" s="6" t="n">
        <f aca="false">Sens!K7269</f>
        <v>207.177991980448</v>
      </c>
    </row>
    <row r="7292" customFormat="false" ht="17.15" hidden="false" customHeight="false" outlineLevel="0" collapsed="false">
      <c r="A7292" s="0" t="s">
        <v>903</v>
      </c>
      <c r="B7292" s="0" t="s">
        <v>98</v>
      </c>
      <c r="D7292" s="6" t="n">
        <f aca="false">Sens!D7267</f>
        <v>83.705</v>
      </c>
      <c r="E7292" s="6" t="n">
        <f aca="false">Sens!E7267</f>
        <v>95.049</v>
      </c>
      <c r="F7292" s="6" t="n">
        <f aca="false">Sens!F7267</f>
        <v>106.89238776686</v>
      </c>
      <c r="G7292" s="6" t="n">
        <f aca="false">Sens!G7267</f>
        <v>119.044168448684</v>
      </c>
      <c r="H7292" s="6" t="n">
        <f aca="false">Sens!H7267</f>
        <v>131.277359388781</v>
      </c>
      <c r="I7292" s="6" t="n">
        <f aca="false">Sens!I7267</f>
        <v>143.334028071957</v>
      </c>
      <c r="J7292" s="6" t="n">
        <f aca="false">Sens!J7267</f>
        <v>154.932702785465</v>
      </c>
      <c r="K7292" s="6" t="n">
        <f aca="false">Sens!K7267</f>
        <v>165.777991980448</v>
      </c>
    </row>
    <row r="7293" customFormat="false" ht="17.15" hidden="false" customHeight="false" outlineLevel="0" collapsed="false">
      <c r="A7293" s="0" t="s">
        <v>904</v>
      </c>
      <c r="B7293" s="0" t="s">
        <v>98</v>
      </c>
      <c r="D7293" s="6" t="n">
        <f aca="false">Sens!D7266</f>
        <v>0.9</v>
      </c>
      <c r="E7293" s="6" t="n">
        <f aca="false">Sens!E7266</f>
        <v>5.25</v>
      </c>
      <c r="F7293" s="6" t="n">
        <f aca="false">Sens!F7266</f>
        <v>14.4</v>
      </c>
      <c r="G7293" s="6" t="n">
        <f aca="false">Sens!G7266</f>
        <v>21.6</v>
      </c>
      <c r="H7293" s="6" t="n">
        <f aca="false">Sens!H7266</f>
        <v>28.8</v>
      </c>
      <c r="I7293" s="6" t="n">
        <f aca="false">Sens!I7266</f>
        <v>34.2</v>
      </c>
      <c r="J7293" s="6" t="n">
        <f aca="false">Sens!J7266</f>
        <v>37.8</v>
      </c>
      <c r="K7293" s="6" t="n">
        <f aca="false">Sens!K7266</f>
        <v>41.4</v>
      </c>
    </row>
    <row r="7294" customFormat="false" ht="15" hidden="false" customHeight="false" outlineLevel="0" collapsed="false">
      <c r="A7294" s="0" t="s">
        <v>884</v>
      </c>
      <c r="B7294" s="0" t="s">
        <v>98</v>
      </c>
      <c r="D7294" s="6" t="n">
        <f aca="false">Sens!D7270</f>
        <v>35.391</v>
      </c>
      <c r="E7294" s="6" t="n">
        <f aca="false">Sens!E7270</f>
        <v>37.285</v>
      </c>
      <c r="F7294" s="6" t="n">
        <f aca="false">Sens!F7270</f>
        <v>39.0720834331704</v>
      </c>
      <c r="G7294" s="6" t="n">
        <f aca="false">Sens!G7270</f>
        <v>40.726562953769</v>
      </c>
      <c r="H7294" s="6" t="n">
        <f aca="false">Sens!H7270</f>
        <v>42.2235987259198</v>
      </c>
      <c r="I7294" s="6" t="n">
        <f aca="false">Sens!I7270</f>
        <v>43.5397988077414</v>
      </c>
      <c r="J7294" s="6" t="n">
        <f aca="false">Sens!J7270</f>
        <v>44.653811225693</v>
      </c>
      <c r="K7294" s="6" t="n">
        <f aca="false">Sens!K7270</f>
        <v>45.5468874502068</v>
      </c>
    </row>
    <row r="7295" customFormat="false" ht="15" hidden="false" customHeight="false" outlineLevel="0" collapsed="false">
      <c r="A7295" s="0" t="s">
        <v>885</v>
      </c>
      <c r="B7295" s="0" t="s">
        <v>98</v>
      </c>
      <c r="D7295" s="6" t="n">
        <f aca="false">Sens!D7272</f>
        <v>18.417</v>
      </c>
      <c r="E7295" s="6" t="n">
        <f aca="false">Sens!E7272</f>
        <v>20.345</v>
      </c>
      <c r="F7295" s="6" t="n">
        <f aca="false">Sens!F7272</f>
        <v>22.3572203267814</v>
      </c>
      <c r="G7295" s="6" t="n">
        <f aca="false">Sens!G7272</f>
        <v>24.4392124437232</v>
      </c>
      <c r="H7295" s="6" t="n">
        <f aca="false">Sens!H7272</f>
        <v>26.5738052080665</v>
      </c>
      <c r="I7295" s="6" t="n">
        <f aca="false">Sens!I7272</f>
        <v>28.7412169166967</v>
      </c>
      <c r="J7295" s="6" t="n">
        <f aca="false">Sens!J7272</f>
        <v>30.9192545395413</v>
      </c>
      <c r="K7295" s="6" t="n">
        <f aca="false">Sens!K7272</f>
        <v>33.0836023573092</v>
      </c>
    </row>
    <row r="7296" customFormat="false" ht="15" hidden="false" customHeight="false" outlineLevel="0" collapsed="false">
      <c r="A7296" s="0" t="s">
        <v>886</v>
      </c>
      <c r="B7296" s="0" t="s">
        <v>98</v>
      </c>
      <c r="D7296" s="6" t="n">
        <f aca="false">Sens!D7274</f>
        <v>7.76</v>
      </c>
      <c r="E7296" s="6" t="n">
        <f aca="false">Sens!E7274</f>
        <v>8.26</v>
      </c>
      <c r="F7296" s="6" t="n">
        <f aca="false">Sens!F7274</f>
        <v>8.79988041237113</v>
      </c>
      <c r="G7296" s="6" t="n">
        <f aca="false">Sens!G7274</f>
        <v>9.38321269125306</v>
      </c>
      <c r="H7296" s="6" t="n">
        <f aca="false">Sens!H7274</f>
        <v>10.0139193587476</v>
      </c>
      <c r="I7296" s="6" t="n">
        <f aca="false">Sens!I7274</f>
        <v>10.6963111830911</v>
      </c>
      <c r="J7296" s="6" t="n">
        <f aca="false">Sens!J7274</f>
        <v>11.4351285534696</v>
      </c>
      <c r="K7296" s="6" t="n">
        <f aca="false">Sens!K7274</f>
        <v>12.2355875522124</v>
      </c>
    </row>
    <row r="7297" customFormat="false" ht="15" hidden="false" customHeight="false" outlineLevel="0" collapsed="false">
      <c r="A7297" s="0" t="s">
        <v>715</v>
      </c>
      <c r="B7297" s="0" t="s">
        <v>98</v>
      </c>
      <c r="D7297" s="6" t="n">
        <f aca="false">Sens!D7276</f>
        <v>218.783</v>
      </c>
      <c r="E7297" s="6" t="n">
        <f aca="false">Sens!E7276</f>
        <v>268.127</v>
      </c>
      <c r="F7297" s="6" t="n">
        <f aca="false">Sens!F7276</f>
        <v>336.665528251508</v>
      </c>
      <c r="G7297" s="6" t="n">
        <f aca="false">Sens!G7276</f>
        <v>411.672123059793</v>
      </c>
      <c r="H7297" s="6" t="n">
        <f aca="false">Sens!H7276</f>
        <v>487.996296004025</v>
      </c>
      <c r="I7297" s="6" t="n">
        <f aca="false">Sens!I7276</f>
        <v>557.603517626826</v>
      </c>
      <c r="J7297" s="6" t="n">
        <f aca="false">Sens!J7276</f>
        <v>614.019049711612</v>
      </c>
      <c r="K7297" s="6" t="n">
        <f aca="false">Sens!K7276</f>
        <v>659.277736249452</v>
      </c>
    </row>
    <row r="7298" customFormat="false" ht="15" hidden="false" customHeight="false" outlineLevel="0" collapsed="false">
      <c r="A7298" s="0" t="s">
        <v>887</v>
      </c>
      <c r="B7298" s="0" t="s">
        <v>98</v>
      </c>
      <c r="D7298" s="6" t="n">
        <f aca="false">Sens!D7277</f>
        <v>22.171</v>
      </c>
      <c r="E7298" s="6" t="n">
        <f aca="false">Sens!E7277</f>
        <v>24.835</v>
      </c>
      <c r="F7298" s="6" t="n">
        <f aca="false">Sens!F7277</f>
        <v>27.6114901218559</v>
      </c>
      <c r="G7298" s="6" t="n">
        <f aca="false">Sens!G7277</f>
        <v>30.4675667338515</v>
      </c>
      <c r="H7298" s="6" t="n">
        <f aca="false">Sens!H7277</f>
        <v>33.3643766955789</v>
      </c>
      <c r="I7298" s="6" t="n">
        <f aca="false">Sens!I7277</f>
        <v>36.2577016533691</v>
      </c>
      <c r="J7298" s="6" t="n">
        <f aca="false">Sens!J7277</f>
        <v>39.0988367952171</v>
      </c>
      <c r="K7298" s="6" t="n">
        <f aca="false">Sens!K7277</f>
        <v>41.8357553708823</v>
      </c>
    </row>
    <row r="7299" customFormat="false" ht="15" hidden="false" customHeight="false" outlineLevel="0" collapsed="false">
      <c r="A7299" s="0" t="s">
        <v>888</v>
      </c>
      <c r="B7299" s="0" t="s">
        <v>98</v>
      </c>
      <c r="D7299" s="6" t="n">
        <f aca="false">Sens!D7279</f>
        <v>23.455</v>
      </c>
      <c r="E7299" s="6" t="n">
        <f aca="false">Sens!E7279</f>
        <v>21.79</v>
      </c>
      <c r="F7299" s="6" t="n">
        <f aca="false">Sens!F7279</f>
        <v>20.5736277908051</v>
      </c>
      <c r="G7299" s="6" t="n">
        <f aca="false">Sens!G7279</f>
        <v>19.7371452817919</v>
      </c>
      <c r="H7299" s="6" t="n">
        <f aca="false">Sens!H7279</f>
        <v>19.2339764043138</v>
      </c>
      <c r="I7299" s="6" t="n">
        <f aca="false">Sens!I7279</f>
        <v>19.0353086852681</v>
      </c>
      <c r="J7299" s="6" t="n">
        <f aca="false">Sens!J7279</f>
        <v>19.1273539319129</v>
      </c>
      <c r="K7299" s="6" t="n">
        <f aca="false">Sens!K7279</f>
        <v>19.5099010105511</v>
      </c>
    </row>
    <row r="7300" customFormat="false" ht="15" hidden="false" customHeight="false" outlineLevel="0" collapsed="false">
      <c r="A7300" s="0" t="s">
        <v>889</v>
      </c>
      <c r="B7300" s="0" t="s">
        <v>98</v>
      </c>
      <c r="D7300" s="6" t="n">
        <f aca="false">Sens!D7281</f>
        <v>17.315</v>
      </c>
      <c r="E7300" s="6" t="n">
        <f aca="false">Sens!E7281</f>
        <v>17.087</v>
      </c>
      <c r="F7300" s="6" t="n">
        <f aca="false">Sens!F7281</f>
        <v>16.9564585436519</v>
      </c>
      <c r="G7300" s="6" t="n">
        <f aca="false">Sens!G7281</f>
        <v>16.9206490624268</v>
      </c>
      <c r="H7300" s="6" t="n">
        <f aca="false">Sens!H7281</f>
        <v>16.9784519149849</v>
      </c>
      <c r="I7300" s="6" t="n">
        <f aca="false">Sens!I7281</f>
        <v>17.1303084701817</v>
      </c>
      <c r="J7300" s="6" t="n">
        <f aca="false">Sens!J7281</f>
        <v>17.3782189407267</v>
      </c>
      <c r="K7300" s="6" t="n">
        <f aca="false">Sens!K7281</f>
        <v>17.7257833195413</v>
      </c>
    </row>
    <row r="7301" customFormat="false" ht="15" hidden="false" customHeight="false" outlineLevel="0" collapsed="false">
      <c r="A7301" s="0" t="s">
        <v>729</v>
      </c>
      <c r="B7301" s="0" t="s">
        <v>98</v>
      </c>
      <c r="D7301" s="6" t="n">
        <f aca="false">Sens!D7283</f>
        <v>62.941</v>
      </c>
      <c r="E7301" s="6" t="n">
        <f aca="false">Sens!E7283</f>
        <v>63.712</v>
      </c>
      <c r="F7301" s="6" t="n">
        <f aca="false">Sens!F7283</f>
        <v>65.1415764563129</v>
      </c>
      <c r="G7301" s="6" t="n">
        <f aca="false">Sens!G7283</f>
        <v>67.1253610780702</v>
      </c>
      <c r="H7301" s="6" t="n">
        <f aca="false">Sens!H7283</f>
        <v>69.5768050148776</v>
      </c>
      <c r="I7301" s="6" t="n">
        <f aca="false">Sens!I7283</f>
        <v>72.4233188088189</v>
      </c>
      <c r="J7301" s="6" t="n">
        <f aca="false">Sens!J7283</f>
        <v>75.6044096678567</v>
      </c>
      <c r="K7301" s="6" t="n">
        <f aca="false">Sens!K7283</f>
        <v>79.0714397009747</v>
      </c>
    </row>
    <row r="7302" customFormat="false" ht="15" hidden="false" customHeight="false" outlineLevel="0" collapsed="false">
      <c r="A7302" s="1" t="s">
        <v>905</v>
      </c>
      <c r="B7302" s="0" t="s">
        <v>98</v>
      </c>
      <c r="D7302" s="6" t="n">
        <f aca="false">Sens!D7284</f>
        <v>281.724</v>
      </c>
      <c r="E7302" s="6" t="n">
        <f aca="false">Sens!E7284</f>
        <v>331.839</v>
      </c>
      <c r="F7302" s="6" t="n">
        <f aca="false">Sens!F7284</f>
        <v>401.807104707821</v>
      </c>
      <c r="G7302" s="6" t="n">
        <f aca="false">Sens!G7284</f>
        <v>478.797484137863</v>
      </c>
      <c r="H7302" s="6" t="n">
        <f aca="false">Sens!H7284</f>
        <v>557.573101018903</v>
      </c>
      <c r="I7302" s="6" t="n">
        <f aca="false">Sens!I7284</f>
        <v>630.026836435645</v>
      </c>
      <c r="J7302" s="6" t="n">
        <f aca="false">Sens!J7284</f>
        <v>689.623459379469</v>
      </c>
      <c r="K7302" s="6" t="n">
        <f aca="false">Sens!K7284</f>
        <v>738.349175950427</v>
      </c>
    </row>
    <row r="7303" customFormat="false" ht="15" hidden="false" customHeight="false" outlineLevel="0" collapsed="false">
      <c r="A7303" s="1" t="s">
        <v>906</v>
      </c>
      <c r="B7303" s="0" t="s">
        <v>129</v>
      </c>
      <c r="E7303" s="7" t="n">
        <f aca="false">Sens!E7302/Sens!D7302-1</f>
        <v>0.177886867998467</v>
      </c>
      <c r="F7303" s="7" t="n">
        <f aca="false">Sens!F7302/Sens!E7302-1</f>
        <v>0.210849552668072</v>
      </c>
      <c r="G7303" s="7" t="n">
        <f aca="false">Sens!G7302/Sens!F7302-1</f>
        <v>0.191610298892119</v>
      </c>
      <c r="H7303" s="7" t="n">
        <f aca="false">Sens!H7302/Sens!G7302-1</f>
        <v>0.16452805098357</v>
      </c>
      <c r="I7303" s="7" t="n">
        <f aca="false">Sens!I7302/Sens!H7302-1</f>
        <v>0.129944818507817</v>
      </c>
      <c r="J7303" s="7" t="n">
        <f aca="false">Sens!J7302/Sens!I7302-1</f>
        <v>0.0945937847362026</v>
      </c>
      <c r="K7303" s="7" t="n">
        <f aca="false">Sens!K7302/Sens!J7302-1</f>
        <v>0.0706555380450686</v>
      </c>
    </row>
    <row r="7304" customFormat="false" ht="17.15" hidden="false" customHeight="false" outlineLevel="0" collapsed="false">
      <c r="A7304" s="23" t="s">
        <v>907</v>
      </c>
      <c r="B7304" s="30" t="s">
        <v>98</v>
      </c>
      <c r="C7304" s="30"/>
      <c r="D7304" s="24" t="n">
        <f aca="false">(Sens!D7297+Sens!D7301-Sens!D7302)+(Sens!D7289+Sens!D7290-Sens!D7288)+(Sens!D7292+Sens!D7293-Sens!D7291)+(Sens!D7302-Q!L18)</f>
        <v>0</v>
      </c>
      <c r="E7304" s="24" t="n">
        <f aca="false">(Sens!E7297+Sens!E7301-Sens!E7302)+(Sens!E7289+Sens!E7290-Sens!E7288)+(Sens!E7292+Sens!E7293-Sens!E7291)+(Sens!E7302-Q!M18)</f>
        <v>0</v>
      </c>
      <c r="F7304" s="24" t="n">
        <f aca="false">(Sens!F7297+Sens!F7301-Sens!F7302)+(Sens!F7289+Sens!F7290-Sens!F7288)+(Sens!F7292+Sens!F7293-Sens!F7291)</f>
        <v>0</v>
      </c>
      <c r="G7304" s="24" t="n">
        <f aca="false">(Sens!G7297+Sens!G7301-Sens!G7302)+(Sens!G7289+Sens!G7290-Sens!G7288)+(Sens!G7292+Sens!G7293-Sens!G7291)</f>
        <v>0</v>
      </c>
      <c r="H7304" s="24" t="n">
        <f aca="false">(Sens!H7297+Sens!H7301-Sens!H7302)+(Sens!H7289+Sens!H7290-Sens!H7288)+(Sens!H7292+Sens!H7293-Sens!H7291)</f>
        <v>0</v>
      </c>
      <c r="I7304" s="24" t="n">
        <f aca="false">(Sens!I7297+Sens!I7301-Sens!I7302)+(Sens!I7289+Sens!I7290-Sens!I7288)+(Sens!I7292+Sens!I7293-Sens!I7291)</f>
        <v>0</v>
      </c>
      <c r="J7304" s="24" t="n">
        <f aca="false">(Sens!J7297+Sens!J7301-Sens!J7302)+(Sens!J7289+Sens!J7290-Sens!J7288)+(Sens!J7292+Sens!J7293-Sens!J7291)</f>
        <v>0</v>
      </c>
      <c r="K7304" s="24" t="n">
        <f aca="false">(Sens!K7297+Sens!K7301-Sens!K7302)+(Sens!K7289+Sens!K7290-Sens!K7288)+(Sens!K7292+Sens!K7293-Sens!K7291)</f>
        <v>0</v>
      </c>
    </row>
    <row r="7305" customFormat="false" ht="17.15" hidden="false" customHeight="false" outlineLevel="0" collapsed="false">
      <c r="A7305" s="0" t="s">
        <v>908</v>
      </c>
      <c r="B7305" s="0" t="s">
        <v>129</v>
      </c>
      <c r="E7305" s="7" t="n">
        <f aca="false">(Q!M21+Sens!E7242+Sens!E7243+Sens!E7244+Sens!E7257-Sens!E7240)/(Q!M5-Sens!E7240)</f>
        <v>0.570957350878296</v>
      </c>
      <c r="F7305" s="7" t="n">
        <f aca="false">Sens!$E$7305+dm_seg</f>
        <v>0.570957350878296</v>
      </c>
      <c r="G7305" s="7" t="n">
        <f aca="false">Sens!$E$7305+dm_seg</f>
        <v>0.570957350878296</v>
      </c>
      <c r="H7305" s="7" t="n">
        <f aca="false">Sens!$E$7305+dm_seg</f>
        <v>0.570957350878296</v>
      </c>
      <c r="I7305" s="7" t="n">
        <f aca="false">Sens!$E$7305+dm_seg</f>
        <v>0.570957350878296</v>
      </c>
      <c r="J7305" s="7" t="n">
        <f aca="false">Sens!$E$7305+dm_seg</f>
        <v>0.570957350878296</v>
      </c>
      <c r="K7305" s="7" t="n">
        <f aca="false">Sens!$E$7305+dm_seg</f>
        <v>0.570957350878296</v>
      </c>
      <c r="L7305" s="11" t="s">
        <v>909</v>
      </c>
    </row>
    <row r="7306" customFormat="false" ht="17.15" hidden="false" customHeight="false" outlineLevel="0" collapsed="false">
      <c r="A7306" s="0" t="s">
        <v>743</v>
      </c>
      <c r="B7306" s="0" t="s">
        <v>98</v>
      </c>
      <c r="D7306" s="6" t="n">
        <f aca="false">Q!L21</f>
        <v>110.814</v>
      </c>
      <c r="E7306" s="6" t="n">
        <f aca="false">Q!M21</f>
        <v>136.365</v>
      </c>
      <c r="F7306" s="6" t="n">
        <f aca="false">Sens!F7305*(Sens!F7276-Sens!F7240)+Sens!F7240-(Sens!F7242+Sens!F7243+Sens!F7244)-Sens!F7257-Sens!F7340</f>
        <v>158.854303947571</v>
      </c>
      <c r="G7306" s="6" t="n">
        <f aca="false">Sens!G7305*(Sens!G7276-Sens!G7240)+Sens!G7240-(Sens!G7242+Sens!G7243+Sens!G7244)-Sens!G7257-Sens!G7340</f>
        <v>179.893167058729</v>
      </c>
      <c r="H7306" s="6" t="n">
        <f aca="false">Sens!H7305*(Sens!H7276-Sens!H7240)+Sens!H7240-(Sens!H7242+Sens!H7243+Sens!H7244)-Sens!H7257-Sens!H7340</f>
        <v>200.292576093853</v>
      </c>
      <c r="I7306" s="6" t="n">
        <f aca="false">Sens!I7305*(Sens!I7276-Sens!I7240)+Sens!I7240-(Sens!I7242+Sens!I7243+Sens!I7244)-Sens!I7257-Sens!I7340</f>
        <v>219.59481789188</v>
      </c>
      <c r="J7306" s="6" t="n">
        <f aca="false">Sens!J7305*(Sens!J7276-Sens!J7240)+Sens!J7240-(Sens!J7242+Sens!J7243+Sens!J7244)-Sens!J7257-Sens!J7340</f>
        <v>237.336579150146</v>
      </c>
      <c r="K7306" s="6" t="n">
        <f aca="false">Sens!K7305*(Sens!K7276-Sens!K7240)+Sens!K7240-(Sens!K7242+Sens!K7243+Sens!K7244)-Sens!K7257-Sens!K7340</f>
        <v>254.525621248113</v>
      </c>
      <c r="L7306" s="1" t="s">
        <v>910</v>
      </c>
    </row>
    <row r="7307" customFormat="false" ht="17.15" hidden="false" customHeight="false" outlineLevel="0" collapsed="false">
      <c r="A7307" s="0" t="s">
        <v>911</v>
      </c>
      <c r="B7307" s="0" t="s">
        <v>129</v>
      </c>
      <c r="E7307" s="7" t="n">
        <f aca="false">Q!M22/Q!M12</f>
        <v>0.296207935710698</v>
      </c>
      <c r="F7307" s="7" t="n">
        <f aca="false">Sens!$E$7307+dm_seg</f>
        <v>0.296207935710698</v>
      </c>
      <c r="G7307" s="7" t="n">
        <f aca="false">Sens!$E$7307+dm_seg</f>
        <v>0.296207935710698</v>
      </c>
      <c r="H7307" s="7" t="n">
        <f aca="false">Sens!$E$7307+dm_seg</f>
        <v>0.296207935710698</v>
      </c>
      <c r="I7307" s="7" t="n">
        <f aca="false">Sens!$E$7307+dm_seg</f>
        <v>0.296207935710698</v>
      </c>
      <c r="J7307" s="7" t="n">
        <f aca="false">Sens!$E$7307+dm_seg</f>
        <v>0.296207935710698</v>
      </c>
      <c r="K7307" s="7" t="n">
        <f aca="false">Sens!$E$7307+dm_seg</f>
        <v>0.296207935710698</v>
      </c>
      <c r="L7307" s="11" t="s">
        <v>912</v>
      </c>
    </row>
    <row r="7308" customFormat="false" ht="17.15" hidden="false" customHeight="false" outlineLevel="0" collapsed="false">
      <c r="A7308" s="0" t="s">
        <v>745</v>
      </c>
      <c r="B7308" s="0" t="s">
        <v>98</v>
      </c>
      <c r="D7308" s="6" t="n">
        <f aca="false">Q!L22</f>
        <v>17.714</v>
      </c>
      <c r="E7308" s="6" t="n">
        <f aca="false">Q!M22</f>
        <v>18.872</v>
      </c>
      <c r="F7308" s="6" t="n">
        <f aca="false">Sens!F7283*Sens!F7307</f>
        <v>19.2954518910651</v>
      </c>
      <c r="G7308" s="6" t="n">
        <f aca="false">Sens!G7283*Sens!G7307</f>
        <v>19.8830646387704</v>
      </c>
      <c r="H7308" s="6" t="n">
        <f aca="false">Sens!H7283*Sens!H7307</f>
        <v>20.6092017868026</v>
      </c>
      <c r="I7308" s="6" t="n">
        <f aca="false">Sens!I7283*Sens!I7307</f>
        <v>21.452361761678</v>
      </c>
      <c r="J7308" s="6" t="n">
        <f aca="false">Sens!J7283*Sens!J7307</f>
        <v>22.3946261183418</v>
      </c>
      <c r="K7308" s="6" t="n">
        <f aca="false">Sens!K7283*Sens!K7307</f>
        <v>23.4215879274986</v>
      </c>
    </row>
    <row r="7309" customFormat="false" ht="15" hidden="false" customHeight="false" outlineLevel="0" collapsed="false">
      <c r="A7309" s="1" t="s">
        <v>913</v>
      </c>
      <c r="B7309" s="0" t="s">
        <v>98</v>
      </c>
      <c r="D7309" s="6" t="n">
        <f aca="false">Sens!D7306+Sens!D7308</f>
        <v>128.528</v>
      </c>
      <c r="E7309" s="6" t="n">
        <f aca="false">Sens!E7306+Sens!E7308</f>
        <v>155.237</v>
      </c>
      <c r="F7309" s="6" t="n">
        <f aca="false">Sens!F7306+Sens!F7308</f>
        <v>178.149755838636</v>
      </c>
      <c r="G7309" s="6" t="n">
        <f aca="false">Sens!G7306+Sens!G7308</f>
        <v>199.7762316975</v>
      </c>
      <c r="H7309" s="6" t="n">
        <f aca="false">Sens!H7306+Sens!H7308</f>
        <v>220.901777880656</v>
      </c>
      <c r="I7309" s="6" t="n">
        <f aca="false">Sens!I7306+Sens!I7308</f>
        <v>241.047179653558</v>
      </c>
      <c r="J7309" s="6" t="n">
        <f aca="false">Sens!J7306+Sens!J7308</f>
        <v>259.731205268488</v>
      </c>
      <c r="K7309" s="6" t="n">
        <f aca="false">Sens!K7306+Sens!K7308</f>
        <v>277.947209175611</v>
      </c>
    </row>
    <row r="7310" customFormat="false" ht="15" hidden="false" customHeight="false" outlineLevel="0" collapsed="false">
      <c r="A7310" s="23" t="s">
        <v>914</v>
      </c>
      <c r="B7310" s="30" t="s">
        <v>98</v>
      </c>
      <c r="C7310" s="30"/>
      <c r="D7310" s="24" t="n">
        <f aca="false">Sens!D7309-Q!L23</f>
        <v>0</v>
      </c>
      <c r="E7310" s="24" t="n">
        <f aca="false">Sens!E7309-Q!M23</f>
        <v>0</v>
      </c>
      <c r="F7310" s="30"/>
      <c r="G7310" s="30"/>
      <c r="H7310" s="30"/>
      <c r="I7310" s="30"/>
      <c r="J7310" s="30"/>
      <c r="K7310" s="30"/>
    </row>
    <row r="7311" customFormat="false" ht="15" hidden="false" customHeight="false" outlineLevel="0" collapsed="false">
      <c r="A7311" s="1" t="s">
        <v>915</v>
      </c>
      <c r="B7311" s="0" t="s">
        <v>129</v>
      </c>
      <c r="D7311" s="7" t="n">
        <f aca="false">Sens!D7309/Sens!D7302</f>
        <v>0.456219562408598</v>
      </c>
      <c r="E7311" s="7" t="n">
        <f aca="false">Sens!E7309/Sens!E7302</f>
        <v>0.467808184089272</v>
      </c>
      <c r="F7311" s="7" t="n">
        <f aca="false">Sens!F7309/Sens!F7302</f>
        <v>0.443371343491251</v>
      </c>
      <c r="G7311" s="7" t="n">
        <f aca="false">Sens!G7309/Sens!G7302</f>
        <v>0.417245784106871</v>
      </c>
      <c r="H7311" s="7" t="n">
        <f aca="false">Sens!H7309/Sens!H7302</f>
        <v>0.396184424027957</v>
      </c>
      <c r="I7311" s="7" t="n">
        <f aca="false">Sens!I7309/Sens!I7302</f>
        <v>0.382598273142258</v>
      </c>
      <c r="J7311" s="7" t="n">
        <f aca="false">Sens!J7309/Sens!J7302</f>
        <v>0.376627566443573</v>
      </c>
      <c r="K7311" s="7" t="n">
        <f aca="false">Sens!K7309/Sens!K7302</f>
        <v>0.376444124580797</v>
      </c>
    </row>
    <row r="7312" customFormat="false" ht="17.15" hidden="false" customHeight="false" outlineLevel="0" collapsed="false">
      <c r="A7312" s="1" t="s">
        <v>916</v>
      </c>
      <c r="B7312" s="0" t="s">
        <v>98</v>
      </c>
      <c r="F7312" s="6" t="n">
        <f aca="false">Sens!F7327</f>
        <v>7.92862283184735</v>
      </c>
      <c r="G7312" s="6" t="n">
        <f aca="false">Sens!G7327</f>
        <v>21.8791838975413</v>
      </c>
      <c r="H7312" s="6" t="n">
        <f aca="false">Sens!H7327</f>
        <v>37.363723913757</v>
      </c>
      <c r="I7312" s="6" t="n">
        <f aca="false">Sens!I7327</f>
        <v>51.6815614203049</v>
      </c>
      <c r="J7312" s="6" t="n">
        <f aca="false">Sens!J7327</f>
        <v>61.8585109507835</v>
      </c>
      <c r="K7312" s="6" t="n">
        <f aca="false">Sens!K7327</f>
        <v>67.5596102823183</v>
      </c>
      <c r="L7312" s="1" t="s">
        <v>917</v>
      </c>
    </row>
    <row r="7313" customFormat="false" ht="17.15" hidden="false" customHeight="false" outlineLevel="0" collapsed="false">
      <c r="A7313" s="1" t="s">
        <v>918</v>
      </c>
      <c r="B7313" s="0" t="s">
        <v>98</v>
      </c>
      <c r="D7313" s="6" t="n">
        <f aca="false">Sens!D7309</f>
        <v>128.528</v>
      </c>
      <c r="E7313" s="6" t="n">
        <f aca="false">Sens!E7309</f>
        <v>155.237</v>
      </c>
      <c r="F7313" s="6" t="n">
        <f aca="false">Sens!F7309+Sens!F7312</f>
        <v>186.078378670483</v>
      </c>
      <c r="G7313" s="6" t="n">
        <f aca="false">Sens!G7309+Sens!G7312</f>
        <v>221.655415595041</v>
      </c>
      <c r="H7313" s="6" t="n">
        <f aca="false">Sens!H7309+Sens!H7312</f>
        <v>258.265501794413</v>
      </c>
      <c r="I7313" s="6" t="n">
        <f aca="false">Sens!I7309+Sens!I7312</f>
        <v>292.728741073863</v>
      </c>
      <c r="J7313" s="6" t="n">
        <f aca="false">Sens!J7309+Sens!J7312</f>
        <v>321.589716219271</v>
      </c>
      <c r="K7313" s="6" t="n">
        <f aca="false">Sens!K7309+Sens!K7312</f>
        <v>345.50681945793</v>
      </c>
    </row>
    <row r="7314" customFormat="false" ht="17.15" hidden="false" customHeight="false" outlineLevel="0" collapsed="false">
      <c r="A7314" s="1" t="s">
        <v>919</v>
      </c>
      <c r="B7314" s="0" t="s">
        <v>98</v>
      </c>
      <c r="E7314" s="6" t="n">
        <f aca="false">Sens!E7257</f>
        <v>16.3054059770833</v>
      </c>
      <c r="F7314" s="6" t="n">
        <f aca="false">Sens!F7257</f>
        <v>34.0498873809555</v>
      </c>
      <c r="G7314" s="6" t="n">
        <f aca="false">Sens!G7257</f>
        <v>59.1254371105111</v>
      </c>
      <c r="H7314" s="6" t="n">
        <f aca="false">Sens!H7257</f>
        <v>86.3610198433111</v>
      </c>
      <c r="I7314" s="6" t="n">
        <f aca="false">Sens!I7257</f>
        <v>110.605743832393</v>
      </c>
      <c r="J7314" s="6" t="n">
        <f aca="false">Sens!J7257</f>
        <v>127.998322852843</v>
      </c>
      <c r="K7314" s="6" t="n">
        <f aca="false">Sens!K7257</f>
        <v>139.131464044308</v>
      </c>
    </row>
    <row r="7315" customFormat="false" ht="17.15" hidden="false" customHeight="false" outlineLevel="0" collapsed="false">
      <c r="A7315" s="1" t="s">
        <v>920</v>
      </c>
      <c r="B7315" s="0" t="s">
        <v>98</v>
      </c>
      <c r="E7315" s="6" t="n">
        <f aca="false">Sens!E7339</f>
        <v>22.2285940229167</v>
      </c>
      <c r="F7315" s="6" t="n">
        <f aca="false">Sens!F7339</f>
        <v>24.3924470334783</v>
      </c>
      <c r="G7315" s="6" t="n">
        <f aca="false">Sens!G7339</f>
        <v>26.1044916871694</v>
      </c>
      <c r="H7315" s="6" t="n">
        <f aca="false">Sens!H7339</f>
        <v>28.2231938828615</v>
      </c>
      <c r="I7315" s="6" t="n">
        <f aca="false">Sens!I7339</f>
        <v>30.6777145257397</v>
      </c>
      <c r="J7315" s="6" t="n">
        <f aca="false">Sens!J7339</f>
        <v>33.3810343982031</v>
      </c>
      <c r="K7315" s="6" t="n">
        <f aca="false">Sens!K7339</f>
        <v>36.2488012325822</v>
      </c>
    </row>
    <row r="7316" customFormat="false" ht="17.15" hidden="false" customHeight="false" outlineLevel="0" collapsed="false">
      <c r="A7316" s="1" t="s">
        <v>921</v>
      </c>
      <c r="B7316" s="0" t="s">
        <v>98</v>
      </c>
      <c r="D7316" s="6" t="n">
        <f aca="false">Q!L27</f>
        <v>-4.901</v>
      </c>
      <c r="E7316" s="6" t="n">
        <f aca="false">Q!M27</f>
        <v>10.697</v>
      </c>
      <c r="F7316" s="6" t="n">
        <f aca="false">oie_f</f>
        <v>-0.4</v>
      </c>
      <c r="G7316" s="6" t="n">
        <f aca="false">oie_f</f>
        <v>-0.4</v>
      </c>
      <c r="H7316" s="6" t="n">
        <f aca="false">oie_f</f>
        <v>-0.4</v>
      </c>
      <c r="I7316" s="6" t="n">
        <f aca="false">oie_f</f>
        <v>-0.4</v>
      </c>
      <c r="J7316" s="6" t="n">
        <f aca="false">oie_f</f>
        <v>-0.4</v>
      </c>
      <c r="K7316" s="6" t="n">
        <f aca="false">oie_f</f>
        <v>-0.4</v>
      </c>
      <c r="L7316" s="11" t="s">
        <v>922</v>
      </c>
    </row>
    <row r="7317" customFormat="false" ht="15" hidden="false" customHeight="false" outlineLevel="0" collapsed="false">
      <c r="A7317" s="1" t="s">
        <v>923</v>
      </c>
      <c r="B7317" s="0" t="s">
        <v>98</v>
      </c>
      <c r="D7317" s="6" t="n">
        <f aca="false">Sens!D7309+Sens!D7316</f>
        <v>123.627</v>
      </c>
      <c r="E7317" s="6" t="n">
        <f aca="false">Sens!E7309+Sens!E7316</f>
        <v>165.934</v>
      </c>
      <c r="F7317" s="6" t="n">
        <f aca="false">Sens!F7309+Sens!F7316</f>
        <v>177.749755838636</v>
      </c>
      <c r="G7317" s="6" t="n">
        <f aca="false">Sens!G7309+Sens!G7316</f>
        <v>199.3762316975</v>
      </c>
      <c r="H7317" s="6" t="n">
        <f aca="false">Sens!H7309+Sens!H7316</f>
        <v>220.501777880656</v>
      </c>
      <c r="I7317" s="6" t="n">
        <f aca="false">Sens!I7309+Sens!I7316</f>
        <v>240.647179653558</v>
      </c>
      <c r="J7317" s="6" t="n">
        <f aca="false">Sens!J7309+Sens!J7316</f>
        <v>259.331205268488</v>
      </c>
      <c r="K7317" s="6" t="n">
        <f aca="false">Sens!K7309+Sens!K7316</f>
        <v>277.547209175611</v>
      </c>
    </row>
    <row r="7318" customFormat="false" ht="15" hidden="false" customHeight="false" outlineLevel="0" collapsed="false">
      <c r="A7318" s="1" t="s">
        <v>924</v>
      </c>
      <c r="B7318" s="0" t="s">
        <v>98</v>
      </c>
      <c r="D7318" s="6" t="n">
        <f aca="false">Q!L29</f>
        <v>21.795</v>
      </c>
      <c r="E7318" s="6" t="n">
        <f aca="false">Q!M29</f>
        <v>32.185</v>
      </c>
      <c r="F7318" s="6" t="n">
        <f aca="false">Sens!F7317*tax_f</f>
        <v>35.5499511677272</v>
      </c>
      <c r="G7318" s="6" t="n">
        <f aca="false">Sens!G7317*tax_f</f>
        <v>39.8752463394999</v>
      </c>
      <c r="H7318" s="6" t="n">
        <f aca="false">Sens!H7317*tax_f</f>
        <v>44.1003555761312</v>
      </c>
      <c r="I7318" s="6" t="n">
        <f aca="false">Sens!I7317*tax_f</f>
        <v>48.1294359307115</v>
      </c>
      <c r="J7318" s="6" t="n">
        <f aca="false">Sens!J7317*tax_f</f>
        <v>51.8662410536976</v>
      </c>
      <c r="K7318" s="6" t="n">
        <f aca="false">Sens!K7317*tax_f</f>
        <v>55.5094418351223</v>
      </c>
    </row>
    <row r="7319" customFormat="false" ht="15" hidden="false" customHeight="false" outlineLevel="0" collapsed="false">
      <c r="A7319" s="1" t="s">
        <v>925</v>
      </c>
      <c r="B7319" s="0" t="s">
        <v>98</v>
      </c>
      <c r="D7319" s="6" t="n">
        <f aca="false">Sens!D7317-Sens!D7318</f>
        <v>101.832</v>
      </c>
      <c r="E7319" s="6" t="n">
        <f aca="false">Sens!E7317-Sens!E7318</f>
        <v>133.749</v>
      </c>
      <c r="F7319" s="6" t="n">
        <f aca="false">Sens!F7317-Sens!F7318</f>
        <v>142.199804670909</v>
      </c>
      <c r="G7319" s="6" t="n">
        <f aca="false">Sens!G7317-Sens!G7318</f>
        <v>159.500985358</v>
      </c>
      <c r="H7319" s="6" t="n">
        <f aca="false">Sens!H7317-Sens!H7318</f>
        <v>176.401422304525</v>
      </c>
      <c r="I7319" s="6" t="n">
        <f aca="false">Sens!I7317-Sens!I7318</f>
        <v>192.517743722846</v>
      </c>
      <c r="J7319" s="6" t="n">
        <f aca="false">Sens!J7317-Sens!J7318</f>
        <v>207.46496421479</v>
      </c>
      <c r="K7319" s="6" t="n">
        <f aca="false">Sens!K7317-Sens!K7318</f>
        <v>222.037767340489</v>
      </c>
    </row>
    <row r="7320" customFormat="false" ht="17.15" hidden="false" customHeight="false" outlineLevel="0" collapsed="false">
      <c r="A7320" s="1" t="s">
        <v>926</v>
      </c>
      <c r="B7320" s="1" t="s">
        <v>81</v>
      </c>
      <c r="D7320" s="14" t="n">
        <f aca="false">Q!L31</f>
        <v>7.465</v>
      </c>
      <c r="E7320" s="14" t="n">
        <f aca="false">Q!M31</f>
        <v>7.453</v>
      </c>
      <c r="F7320" s="14" t="n">
        <f aca="false">Sens!F7363</f>
        <v>7.4735</v>
      </c>
      <c r="G7320" s="14" t="n">
        <f aca="false">Sens!G7363</f>
        <v>7.51683457863605</v>
      </c>
      <c r="H7320" s="14" t="n">
        <f aca="false">Sens!H7363</f>
        <v>7.54292074312205</v>
      </c>
      <c r="I7320" s="14" t="n">
        <f aca="false">Sens!I7363</f>
        <v>7.55470157512936</v>
      </c>
      <c r="J7320" s="14" t="n">
        <f aca="false">Sens!J7363</f>
        <v>7.56894308624725</v>
      </c>
      <c r="K7320" s="14" t="n">
        <f aca="false">Sens!K7363</f>
        <v>7.58546300394899</v>
      </c>
    </row>
    <row r="7321" customFormat="false" ht="17.15" hidden="false" customHeight="false" outlineLevel="0" collapsed="false">
      <c r="A7321" s="0" t="s">
        <v>927</v>
      </c>
      <c r="B7321" s="0" t="s">
        <v>75</v>
      </c>
      <c r="D7321" s="8" t="n">
        <f aca="false">Sens!D7319/Sens!D7320</f>
        <v>13.641259209645</v>
      </c>
      <c r="E7321" s="8" t="n">
        <f aca="false">Sens!E7319/Sens!E7320</f>
        <v>17.9456594659869</v>
      </c>
      <c r="F7321" s="8" t="n">
        <f aca="false">Sens!F7319/Sens!F7320</f>
        <v>19.0272034081634</v>
      </c>
      <c r="G7321" s="8" t="n">
        <f aca="false">Sens!G7319/Sens!G7320</f>
        <v>21.2191692778932</v>
      </c>
      <c r="H7321" s="8" t="n">
        <f aca="false">Sens!H7319/Sens!H7320</f>
        <v>23.3863550091488</v>
      </c>
      <c r="I7321" s="8" t="n">
        <f aca="false">Sens!I7319/Sens!I7320</f>
        <v>25.4831698920615</v>
      </c>
      <c r="J7321" s="8" t="n">
        <f aca="false">Sens!J7319/Sens!J7320</f>
        <v>27.4100309449748</v>
      </c>
      <c r="K7321" s="8" t="n">
        <f aca="false">Sens!K7319/Sens!K7320</f>
        <v>29.2714851057736</v>
      </c>
      <c r="L7321" s="1" t="s">
        <v>928</v>
      </c>
    </row>
    <row r="7322" customFormat="false" ht="17.15" hidden="false" customHeight="false" outlineLevel="0" collapsed="false">
      <c r="A7322" s="1" t="s">
        <v>929</v>
      </c>
      <c r="B7322" s="0" t="s">
        <v>98</v>
      </c>
      <c r="D7322" s="6" t="n">
        <f aca="false">Sens!D7319</f>
        <v>101.832</v>
      </c>
      <c r="E7322" s="6" t="n">
        <f aca="false">Sens!E7319</f>
        <v>133.749</v>
      </c>
      <c r="F7322" s="6" t="n">
        <f aca="false">Sens!F7319+Sens!F7312*(1-tax_f)</f>
        <v>148.542702936387</v>
      </c>
      <c r="G7322" s="6" t="n">
        <f aca="false">Sens!G7319+Sens!G7312*(1-tax_f)</f>
        <v>177.004332476033</v>
      </c>
      <c r="H7322" s="6" t="n">
        <f aca="false">Sens!H7319+Sens!H7312*(1-tax_f)</f>
        <v>206.29240143553</v>
      </c>
      <c r="I7322" s="6" t="n">
        <f aca="false">Sens!I7319+Sens!I7312*(1-tax_f)</f>
        <v>233.86299285909</v>
      </c>
      <c r="J7322" s="6" t="n">
        <f aca="false">Sens!J7319+Sens!J7312*(1-tax_f)</f>
        <v>256.951772975417</v>
      </c>
      <c r="K7322" s="6" t="n">
        <f aca="false">Sens!K7319+Sens!K7312*(1-tax_f)</f>
        <v>276.085455566344</v>
      </c>
    </row>
    <row r="7323" customFormat="false" ht="17.15" hidden="false" customHeight="false" outlineLevel="0" collapsed="false">
      <c r="A7323" s="0" t="s">
        <v>930</v>
      </c>
      <c r="B7323" s="0" t="s">
        <v>75</v>
      </c>
      <c r="D7323" s="8" t="n">
        <f aca="false">Sens!D7322/Sens!D7320</f>
        <v>13.641259209645</v>
      </c>
      <c r="E7323" s="8" t="n">
        <f aca="false">Sens!E7322/Sens!E7320</f>
        <v>17.9456594659869</v>
      </c>
      <c r="F7323" s="8" t="n">
        <f aca="false">Sens!F7322/Sens!F7320</f>
        <v>19.8759219825231</v>
      </c>
      <c r="G7323" s="8" t="n">
        <f aca="false">Sens!G7322/Sens!G7320</f>
        <v>23.5477221993291</v>
      </c>
      <c r="H7323" s="8" t="n">
        <f aca="false">Sens!H7322/Sens!H7320</f>
        <v>27.3491407984946</v>
      </c>
      <c r="I7323" s="8" t="n">
        <f aca="false">Sens!I7322/Sens!I7320</f>
        <v>30.955953790284</v>
      </c>
      <c r="J7323" s="8" t="n">
        <f aca="false">Sens!J7322/Sens!J7320</f>
        <v>33.9481708406948</v>
      </c>
      <c r="K7323" s="8" t="n">
        <f aca="false">Sens!K7322/Sens!K7320</f>
        <v>36.3966517828396</v>
      </c>
      <c r="L7323" s="1" t="s">
        <v>931</v>
      </c>
    </row>
    <row r="7324" customFormat="false" ht="17.15" hidden="false" customHeight="false" outlineLevel="0" collapsed="false">
      <c r="A7324" s="0" t="s">
        <v>932</v>
      </c>
      <c r="B7324" s="0" t="s">
        <v>129</v>
      </c>
      <c r="E7324" s="7" t="n">
        <f aca="false">Sens!E7323/Sens!D7323-1</f>
        <v>0.315542736208578</v>
      </c>
      <c r="F7324" s="7" t="n">
        <f aca="false">Sens!F7323/Sens!E7323-1</f>
        <v>0.107561525960904</v>
      </c>
      <c r="G7324" s="7" t="n">
        <f aca="false">Sens!G7323/Sens!F7323-1</f>
        <v>0.184736095263131</v>
      </c>
      <c r="H7324" s="7" t="n">
        <f aca="false">Sens!H7323/Sens!G7323-1</f>
        <v>0.161434663063665</v>
      </c>
      <c r="I7324" s="7" t="n">
        <f aca="false">Sens!I7323/Sens!H7323-1</f>
        <v>0.131880303603099</v>
      </c>
      <c r="J7324" s="7" t="n">
        <f aca="false">Sens!J7323/Sens!I7323-1</f>
        <v>0.0966604702501517</v>
      </c>
      <c r="K7324" s="7" t="n">
        <f aca="false">Sens!K7323/Sens!J7323-1</f>
        <v>0.0721240903857401</v>
      </c>
    </row>
    <row r="7325" customFormat="false" ht="17.15" hidden="false" customHeight="false" outlineLevel="0" collapsed="false">
      <c r="A7325" s="0" t="s">
        <v>856</v>
      </c>
      <c r="B7325" s="0" t="s">
        <v>98</v>
      </c>
      <c r="E7325" s="6" t="n">
        <f aca="false">Sens!E7266</f>
        <v>5.25</v>
      </c>
      <c r="F7325" s="6" t="n">
        <f aca="false">Sens!F7266</f>
        <v>14.4</v>
      </c>
      <c r="G7325" s="6" t="n">
        <f aca="false">Sens!G7266</f>
        <v>21.6</v>
      </c>
      <c r="H7325" s="6" t="n">
        <f aca="false">Sens!H7266</f>
        <v>28.8</v>
      </c>
      <c r="I7325" s="6" t="n">
        <f aca="false">Sens!I7266</f>
        <v>34.2</v>
      </c>
      <c r="J7325" s="6" t="n">
        <f aca="false">Sens!J7266</f>
        <v>37.8</v>
      </c>
      <c r="K7325" s="6" t="n">
        <f aca="false">Sens!K7266</f>
        <v>41.4</v>
      </c>
    </row>
    <row r="7326" customFormat="false" ht="17.15" hidden="false" customHeight="false" outlineLevel="0" collapsed="false">
      <c r="A7326" s="1" t="s">
        <v>857</v>
      </c>
      <c r="B7326" s="0" t="s">
        <v>98</v>
      </c>
      <c r="F7326" s="6" t="n">
        <f aca="false">MAX(0,((Sens!E7229+Sens!F7229)/2-(shadow_base*(Sens!$D$7229+Sens!$E$7229)/2+(1-shadow_base)*Sens!$E$7229))*Sens!F7237/1000-(Sens!F7325-Sens!$E$7325)*Sens!F7305)</f>
        <v>7.92862283184735</v>
      </c>
      <c r="G7326" s="6" t="n">
        <f aca="false">MAX(0,((Sens!F7229+Sens!G7229)/2-(shadow_base*(Sens!$D$7229+Sens!$E$7229)/2+(1-shadow_base)*Sens!$E$7229))*Sens!G7237/1000-(Sens!G7325-Sens!$E$7325)*Sens!G7305)</f>
        <v>21.8791838975413</v>
      </c>
      <c r="H7326" s="6" t="n">
        <f aca="false">MAX(0,((Sens!G7229+Sens!H7229)/2-(shadow_base*(Sens!$D$7229+Sens!$E$7229)/2+(1-shadow_base)*Sens!$E$7229))*Sens!H7237/1000-(Sens!H7325-Sens!$E$7325)*Sens!H7305)</f>
        <v>37.363723913757</v>
      </c>
      <c r="I7326" s="6" t="n">
        <f aca="false">MAX(0,((Sens!H7229+Sens!I7229)/2-(shadow_base*(Sens!$D$7229+Sens!$E$7229)/2+(1-shadow_base)*Sens!$E$7229))*Sens!I7237/1000-(Sens!I7325-Sens!$E$7325)*Sens!I7305)</f>
        <v>51.6815614203049</v>
      </c>
      <c r="J7326" s="6" t="n">
        <f aca="false">MAX(0,((Sens!I7229+Sens!J7229)/2-(shadow_base*(Sens!$D$7229+Sens!$E$7229)/2+(1-shadow_base)*Sens!$E$7229))*Sens!J7237/1000-(Sens!J7325-Sens!$E$7325)*Sens!J7305)</f>
        <v>61.8585109507835</v>
      </c>
      <c r="K7326" s="6" t="n">
        <f aca="false">MAX(0,((Sens!J7229+Sens!K7229)/2-(shadow_base*(Sens!$D$7229+Sens!$E$7229)/2+(1-shadow_base)*Sens!$E$7229))*Sens!K7237/1000-(Sens!K7325-Sens!$E$7325)*Sens!K7305)</f>
        <v>67.5596102823183</v>
      </c>
      <c r="L7326" s="1" t="s">
        <v>858</v>
      </c>
    </row>
    <row r="7327" customFormat="false" ht="17.15" hidden="false" customHeight="false" outlineLevel="0" collapsed="false">
      <c r="A7327" s="1" t="s">
        <v>859</v>
      </c>
      <c r="B7327" s="0" t="s">
        <v>98</v>
      </c>
      <c r="F7327" s="6" t="n">
        <f aca="false">IF(internal_ai_reading=2,1,0)*Sens!F7326</f>
        <v>7.92862283184735</v>
      </c>
      <c r="G7327" s="6" t="n">
        <f aca="false">IF(internal_ai_reading=2,1,0)*Sens!G7326</f>
        <v>21.8791838975413</v>
      </c>
      <c r="H7327" s="6" t="n">
        <f aca="false">IF(internal_ai_reading=2,1,0)*Sens!H7326</f>
        <v>37.363723913757</v>
      </c>
      <c r="I7327" s="6" t="n">
        <f aca="false">IF(internal_ai_reading=2,1,0)*Sens!I7326</f>
        <v>51.6815614203049</v>
      </c>
      <c r="J7327" s="6" t="n">
        <f aca="false">IF(internal_ai_reading=2,1,0)*Sens!J7326</f>
        <v>61.8585109507835</v>
      </c>
      <c r="K7327" s="6" t="n">
        <f aca="false">IF(internal_ai_reading=2,1,0)*Sens!K7326</f>
        <v>67.5596102823183</v>
      </c>
    </row>
    <row r="7328" customFormat="false" ht="17.15" hidden="false" customHeight="false" outlineLevel="0" collapsed="false">
      <c r="A7328" s="0" t="s">
        <v>860</v>
      </c>
      <c r="B7328" s="0" t="s">
        <v>98</v>
      </c>
      <c r="F7328" s="6" t="n">
        <f aca="false">Sens!F7246+Sens!F7325*Sens!F7305+Sens!F7327-Sens!F7247-Sens!F7257</f>
        <v>15.0270315022233</v>
      </c>
      <c r="G7328" s="6" t="n">
        <f aca="false">Sens!G7246+Sens!G7325*Sens!G7305+Sens!G7327-Sens!G7247-Sens!G7257</f>
        <v>30.8545489496424</v>
      </c>
      <c r="H7328" s="6" t="n">
        <f aca="false">Sens!H7246+Sens!H7325*Sens!H7305+Sens!H7327-Sens!H7247-Sens!H7257</f>
        <v>47.4024902575898</v>
      </c>
      <c r="I7328" s="6" t="n">
        <f aca="false">Sens!I7246+Sens!I7325*Sens!I7305+Sens!I7327-Sens!I7247-Sens!I7257</f>
        <v>62.1817971739404</v>
      </c>
      <c r="J7328" s="6" t="n">
        <f aca="false">Sens!J7246+Sens!J7325*Sens!J7305+Sens!J7327-Sens!J7247-Sens!J7257</f>
        <v>72.5050518947331</v>
      </c>
      <c r="K7328" s="6" t="n">
        <f aca="false">Sens!K7246+Sens!K7325*Sens!K7305+Sens!K7327-Sens!K7247-Sens!K7257</f>
        <v>79.8210980571165</v>
      </c>
    </row>
    <row r="7329" customFormat="false" ht="17.15" hidden="false" customHeight="false" outlineLevel="0" collapsed="false">
      <c r="A7329" s="0" t="s">
        <v>861</v>
      </c>
      <c r="B7329" s="0" t="s">
        <v>98</v>
      </c>
      <c r="E7329" s="6" t="n">
        <f aca="false">Sens!E7228*(cxit_open+self_build*tk_cxfac)/1000*ai_net_open</f>
        <v>126.6980382</v>
      </c>
      <c r="F7329" s="6" t="n">
        <f aca="false">Sens!E7329+Sens!F7254-Sens!F7257</f>
        <v>252.981026690511</v>
      </c>
      <c r="G7329" s="6" t="n">
        <f aca="false">Sens!F7329+Sens!G7254-Sens!G7257</f>
        <v>377.4297700632</v>
      </c>
      <c r="H7329" s="6" t="n">
        <f aca="false">Sens!G7329+Sens!H7254-Sens!H7257</f>
        <v>479.149036130289</v>
      </c>
      <c r="I7329" s="6" t="n">
        <f aca="false">Sens!H7329+Sens!I7254-Sens!I7257</f>
        <v>532.249961452141</v>
      </c>
      <c r="J7329" s="6" t="n">
        <f aca="false">Sens!I7329+Sens!J7254-Sens!J7257</f>
        <v>531.43307519354</v>
      </c>
      <c r="K7329" s="6" t="n">
        <f aca="false">Sens!J7329+Sens!K7254-Sens!K7257</f>
        <v>513.709026452823</v>
      </c>
      <c r="L7329" s="1" t="s">
        <v>862</v>
      </c>
    </row>
    <row r="7330" customFormat="false" ht="17.15" hidden="false" customHeight="false" outlineLevel="0" collapsed="false">
      <c r="A7330" s="0" t="s">
        <v>863</v>
      </c>
      <c r="B7330" s="0" t="s">
        <v>129</v>
      </c>
      <c r="F7330" s="7" t="n">
        <f aca="false">Sens!F7328*(1-tax_f)/((Sens!E7329+Sens!F7329)/2)</f>
        <v>0.0633251938989334</v>
      </c>
      <c r="G7330" s="7" t="n">
        <f aca="false">Sens!G7328*(1-tax_f)/((Sens!F7329+Sens!G7329)/2)</f>
        <v>0.0783096967463813</v>
      </c>
      <c r="H7330" s="7" t="n">
        <f aca="false">Sens!H7328*(1-tax_f)/((Sens!G7329+Sens!H7329)/2)</f>
        <v>0.0885429149819656</v>
      </c>
      <c r="I7330" s="7" t="n">
        <f aca="false">Sens!I7328*(1-tax_f)/((Sens!H7329+Sens!I7329)/2)</f>
        <v>0.0983695610892634</v>
      </c>
      <c r="J7330" s="7" t="n">
        <f aca="false">Sens!J7328*(1-tax_f)/((Sens!I7329+Sens!J7329)/2)</f>
        <v>0.109062642756252</v>
      </c>
      <c r="K7330" s="7" t="n">
        <f aca="false">Sens!K7328*(1-tax_f)/((Sens!J7329+Sens!K7329)/2)</f>
        <v>0.122197504712713</v>
      </c>
    </row>
    <row r="7331" customFormat="false" ht="17.15" hidden="false" customHeight="false" outlineLevel="0" collapsed="false">
      <c r="A7331" s="1" t="s">
        <v>864</v>
      </c>
      <c r="B7331" s="0" t="s">
        <v>129</v>
      </c>
      <c r="F7331" s="7" t="n">
        <f aca="false">(Sens!F7328-Sens!F7327)*(1-tax_f)/((Sens!E7329+Sens!F7329)/2)</f>
        <v>0.0299133002655197</v>
      </c>
      <c r="G7331" s="7" t="n">
        <f aca="false">(Sens!G7328-Sens!G7327)*(1-tax_f)/((Sens!F7329+Sens!G7329)/2)</f>
        <v>0.0227797242009675</v>
      </c>
      <c r="H7331" s="7" t="n">
        <f aca="false">(Sens!H7328-Sens!H7327)*(1-tax_f)/((Sens!G7329+Sens!H7329)/2)</f>
        <v>0.0187513700245629</v>
      </c>
      <c r="I7331" s="7" t="n">
        <f aca="false">(Sens!I7328-Sens!I7327)*(1-tax_f)/((Sens!H7329+Sens!I7329)/2)</f>
        <v>0.01661102813625</v>
      </c>
      <c r="J7331" s="7" t="n">
        <f aca="false">(Sens!J7328-Sens!J7327)*(1-tax_f)/((Sens!I7329+Sens!J7329)/2)</f>
        <v>0.0160146067234817</v>
      </c>
      <c r="K7331" s="7" t="n">
        <f aca="false">(Sens!K7328-Sens!K7327)*(1-tax_f)/((Sens!J7329+Sens!K7329)/2)</f>
        <v>0.0187710172700662</v>
      </c>
    </row>
    <row r="7332" customFormat="false" ht="17.15" hidden="false" customHeight="false" outlineLevel="0" collapsed="false">
      <c r="A7332" s="1" t="s">
        <v>865</v>
      </c>
      <c r="B7332" s="0" t="s">
        <v>129</v>
      </c>
      <c r="F7332" s="7" t="n">
        <f aca="false">(Sens!F7328-Sens!F7327+Sens!F7326)*(1-tax_f)/((Sens!E7329+Sens!F7329)/2)</f>
        <v>0.0633251938989334</v>
      </c>
      <c r="G7332" s="7" t="n">
        <f aca="false">(Sens!G7328-Sens!G7327+Sens!G7326)*(1-tax_f)/((Sens!F7329+Sens!G7329)/2)</f>
        <v>0.0783096967463813</v>
      </c>
      <c r="H7332" s="7" t="n">
        <f aca="false">(Sens!H7328-Sens!H7327+Sens!H7326)*(1-tax_f)/((Sens!G7329+Sens!H7329)/2)</f>
        <v>0.0885429149819656</v>
      </c>
      <c r="I7332" s="7" t="n">
        <f aca="false">(Sens!I7328-Sens!I7327+Sens!I7326)*(1-tax_f)/((Sens!H7329+Sens!I7329)/2)</f>
        <v>0.0983695610892634</v>
      </c>
      <c r="J7332" s="7" t="n">
        <f aca="false">(Sens!J7328-Sens!J7327+Sens!J7326)*(1-tax_f)/((Sens!I7329+Sens!J7329)/2)</f>
        <v>0.109062642756252</v>
      </c>
      <c r="K7332" s="7" t="n">
        <f aca="false">(Sens!K7328-Sens!K7327+Sens!K7326)*(1-tax_f)/((Sens!J7329+Sens!K7329)/2)</f>
        <v>0.122197504712713</v>
      </c>
    </row>
    <row r="7333" customFormat="false" ht="17.15" hidden="false" customHeight="false" outlineLevel="0" collapsed="false">
      <c r="A7333" s="1" t="s">
        <v>866</v>
      </c>
      <c r="B7333" s="0" t="s">
        <v>129</v>
      </c>
      <c r="F7333" s="7" t="n">
        <f aca="false">Sens!F7258*(1-tax_f)/(Sens!F7245*(Sens!E7329+Sens!F7329)/2)</f>
        <v>0.133653288300971</v>
      </c>
      <c r="G7333" s="7" t="n">
        <f aca="false">Sens!G7258*(1-tax_f)/(Sens!G7245*(Sens!F7329+Sens!G7329)/2)</f>
        <v>0.131459221834535</v>
      </c>
      <c r="H7333" s="7" t="n">
        <f aca="false">Sens!H7258*(1-tax_f)/(Sens!H7245*(Sens!G7329+Sens!H7329)/2)</f>
        <v>0.135120575835084</v>
      </c>
      <c r="I7333" s="7" t="n">
        <f aca="false">Sens!I7258*(1-tax_f)/(Sens!I7245*(Sens!H7329+Sens!I7329)/2)</f>
        <v>0.143323969665222</v>
      </c>
      <c r="J7333" s="7" t="n">
        <f aca="false">Sens!J7258*(1-tax_f)/(Sens!J7245*(Sens!I7329+Sens!J7329)/2)</f>
        <v>0.155570128388075</v>
      </c>
      <c r="K7333" s="7" t="n">
        <f aca="false">Sens!K7258*(1-tax_f)/(Sens!K7245*(Sens!J7329+Sens!K7329)/2)</f>
        <v>0.172427697111622</v>
      </c>
    </row>
    <row r="7334" customFormat="false" ht="17.15" hidden="false" customHeight="false" outlineLevel="0" collapsed="false">
      <c r="A7334" s="0" t="s">
        <v>867</v>
      </c>
      <c r="B7334" s="0" t="s">
        <v>209</v>
      </c>
      <c r="F7334" s="7" t="n">
        <f aca="false">Sens!F7330-wacc</f>
        <v>-0.0396092261939423</v>
      </c>
      <c r="G7334" s="7" t="n">
        <f aca="false">Sens!G7330-wacc</f>
        <v>-0.0246247233464944</v>
      </c>
      <c r="H7334" s="7" t="n">
        <f aca="false">Sens!H7330-wacc</f>
        <v>-0.0143915051109101</v>
      </c>
      <c r="I7334" s="7" t="n">
        <f aca="false">Sens!I7330-wacc</f>
        <v>-0.00456485900361238</v>
      </c>
      <c r="J7334" s="7" t="n">
        <f aca="false">Sens!J7330-wacc</f>
        <v>0.00612822266337598</v>
      </c>
      <c r="K7334" s="7" t="n">
        <f aca="false">Sens!K7330-wacc</f>
        <v>0.0192630846198374</v>
      </c>
    </row>
    <row r="7335" customFormat="false" ht="17.15" hidden="false" customHeight="false" outlineLevel="0" collapsed="false">
      <c r="A7335" s="0" t="s">
        <v>868</v>
      </c>
      <c r="B7335" s="0" t="s">
        <v>98</v>
      </c>
      <c r="F7335" s="6" t="n">
        <f aca="false">Sens!F7328*(1-tax_f)-wacc*(Sens!E7329+Sens!F7329)/2</f>
        <v>-7.51939698117638</v>
      </c>
      <c r="G7335" s="6" t="n">
        <f aca="false">Sens!G7328*(1-tax_f)-wacc*(Sens!F7329+Sens!G7329)/2</f>
        <v>-7.76184573235162</v>
      </c>
      <c r="H7335" s="6" t="n">
        <f aca="false">Sens!H7328*(1-tax_f)-wacc*(Sens!G7329+Sens!H7329)/2</f>
        <v>-6.16372913361546</v>
      </c>
      <c r="I7335" s="6" t="n">
        <f aca="false">Sens!I7328*(1-tax_f)-wacc*(Sens!H7329+Sens!I7329)/2</f>
        <v>-2.30844691017934</v>
      </c>
      <c r="J7335" s="6" t="n">
        <f aca="false">Sens!J7328*(1-tax_f)-wacc*(Sens!I7329+Sens!J7329)/2</f>
        <v>3.25924324591032</v>
      </c>
      <c r="K7335" s="6" t="n">
        <f aca="false">Sens!K7328*(1-tax_f)-wacc*(Sens!J7329+Sens!K7329)/2</f>
        <v>10.0663303718843</v>
      </c>
    </row>
    <row r="7336" customFormat="false" ht="17.15" hidden="false" customHeight="false" outlineLevel="0" collapsed="false">
      <c r="A7336" s="3" t="s">
        <v>1450</v>
      </c>
    </row>
    <row r="7337" customFormat="false" ht="15" hidden="false" customHeight="false" outlineLevel="0" collapsed="false">
      <c r="A7337" s="4" t="s">
        <v>43</v>
      </c>
      <c r="B7337" s="4" t="s">
        <v>65</v>
      </c>
      <c r="C7337" s="20" t="s">
        <v>799</v>
      </c>
      <c r="D7337" s="20" t="s">
        <v>800</v>
      </c>
      <c r="E7337" s="20" t="s">
        <v>801</v>
      </c>
      <c r="F7337" s="20" t="s">
        <v>802</v>
      </c>
      <c r="G7337" s="20" t="s">
        <v>803</v>
      </c>
      <c r="H7337" s="20" t="s">
        <v>804</v>
      </c>
      <c r="I7337" s="20" t="s">
        <v>805</v>
      </c>
      <c r="J7337" s="20" t="s">
        <v>806</v>
      </c>
      <c r="K7337" s="20" t="s">
        <v>807</v>
      </c>
      <c r="L7337" s="4" t="s">
        <v>47</v>
      </c>
    </row>
    <row r="7338" customFormat="false" ht="15" hidden="false" customHeight="false" outlineLevel="0" collapsed="false">
      <c r="A7338" s="1" t="s">
        <v>925</v>
      </c>
      <c r="B7338" s="0" t="s">
        <v>98</v>
      </c>
      <c r="F7338" s="6" t="n">
        <f aca="false">Sens!F7319</f>
        <v>142.199804670909</v>
      </c>
      <c r="G7338" s="6" t="n">
        <f aca="false">Sens!G7319</f>
        <v>159.500985358</v>
      </c>
      <c r="H7338" s="6" t="n">
        <f aca="false">Sens!H7319</f>
        <v>176.401422304525</v>
      </c>
      <c r="I7338" s="6" t="n">
        <f aca="false">Sens!I7319</f>
        <v>192.517743722846</v>
      </c>
      <c r="J7338" s="6" t="n">
        <f aca="false">Sens!J7319</f>
        <v>207.46496421479</v>
      </c>
      <c r="K7338" s="6" t="n">
        <f aca="false">Sens!K7319</f>
        <v>222.037767340489</v>
      </c>
    </row>
    <row r="7339" customFormat="false" ht="17.15" hidden="false" customHeight="false" outlineLevel="0" collapsed="false">
      <c r="A7339" s="1" t="s">
        <v>947</v>
      </c>
      <c r="B7339" s="0" t="s">
        <v>98</v>
      </c>
      <c r="E7339" s="6" t="n">
        <f aca="false">Q!M38-Sens!E7257</f>
        <v>22.2285940229167</v>
      </c>
      <c r="F7339" s="6" t="n">
        <f aca="false">Sens!E7339*(1-1/life_nonai)+(Sens!F7346+Sens!F7347)/life_nonai</f>
        <v>24.3924470334783</v>
      </c>
      <c r="G7339" s="6" t="n">
        <f aca="false">Sens!F7339*(1-1/life_nonai)+(Sens!G7346)/life_nonai</f>
        <v>26.1044916871694</v>
      </c>
      <c r="H7339" s="6" t="n">
        <f aca="false">Sens!G7339*(1-1/life_nonai)+(Sens!H7346)/life_nonai</f>
        <v>28.2231938828615</v>
      </c>
      <c r="I7339" s="6" t="n">
        <f aca="false">Sens!H7339*(1-1/life_nonai)+(Sens!I7346)/life_nonai</f>
        <v>30.6777145257397</v>
      </c>
      <c r="J7339" s="6" t="n">
        <f aca="false">Sens!I7339*(1-1/life_nonai)+(Sens!J7346)/life_nonai</f>
        <v>33.3810343982031</v>
      </c>
      <c r="K7339" s="6" t="n">
        <f aca="false">Sens!J7339*(1-1/life_nonai)+(Sens!K7346)/life_nonai</f>
        <v>36.2488012325822</v>
      </c>
      <c r="L7339" s="11" t="s">
        <v>948</v>
      </c>
    </row>
    <row r="7340" customFormat="false" ht="17.15" hidden="false" customHeight="false" outlineLevel="0" collapsed="false">
      <c r="A7340" s="1" t="s">
        <v>949</v>
      </c>
      <c r="B7340" s="0" t="s">
        <v>98</v>
      </c>
      <c r="F7340" s="6" t="n">
        <f aca="false">Sens!$F$7347/life_nonai*(1-1/life_nonai)^(Sens!F7223-2027)</f>
        <v>0.804777689897088</v>
      </c>
      <c r="G7340" s="6" t="n">
        <f aca="false">Sens!$F$7347/life_nonai*(1-1/life_nonai)^(Sens!G7223-2027)</f>
        <v>0.724299920907379</v>
      </c>
      <c r="H7340" s="6" t="n">
        <f aca="false">Sens!$F$7347/life_nonai*(1-1/life_nonai)^(Sens!H7223-2027)</f>
        <v>0.651869928816641</v>
      </c>
      <c r="I7340" s="6" t="n">
        <f aca="false">Sens!$F$7347/life_nonai*(1-1/life_nonai)^(Sens!I7223-2027)</f>
        <v>0.586682935934977</v>
      </c>
      <c r="J7340" s="6" t="n">
        <f aca="false">Sens!$F$7347/life_nonai*(1-1/life_nonai)^(Sens!J7223-2027)</f>
        <v>0.52801464234148</v>
      </c>
      <c r="K7340" s="6" t="n">
        <f aca="false">Sens!$F$7347/life_nonai*(1-1/life_nonai)^(Sens!K7223-2027)</f>
        <v>0.475213178107332</v>
      </c>
      <c r="L7340" s="1" t="s">
        <v>950</v>
      </c>
    </row>
    <row r="7341" customFormat="false" ht="17.15" hidden="false" customHeight="false" outlineLevel="0" collapsed="false">
      <c r="A7341" s="1" t="s">
        <v>951</v>
      </c>
      <c r="B7341" s="0" t="s">
        <v>98</v>
      </c>
      <c r="E7341" s="6" t="n">
        <f aca="false">Sens!E7257+Sens!E7339</f>
        <v>38.534</v>
      </c>
      <c r="F7341" s="6" t="n">
        <f aca="false">Sens!F7257+Sens!F7339</f>
        <v>58.4423344144339</v>
      </c>
      <c r="G7341" s="6" t="n">
        <f aca="false">Sens!G7257+Sens!G7339</f>
        <v>85.2299287976805</v>
      </c>
      <c r="H7341" s="6" t="n">
        <f aca="false">Sens!H7257+Sens!H7339</f>
        <v>114.584213726173</v>
      </c>
      <c r="I7341" s="6" t="n">
        <f aca="false">Sens!I7257+Sens!I7339</f>
        <v>141.283458358132</v>
      </c>
      <c r="J7341" s="6" t="n">
        <f aca="false">Sens!J7257+Sens!J7339</f>
        <v>161.379357251046</v>
      </c>
      <c r="K7341" s="6" t="n">
        <f aca="false">Sens!K7257+Sens!K7339</f>
        <v>175.38026527689</v>
      </c>
    </row>
    <row r="7342" customFormat="false" ht="17.15" hidden="false" customHeight="false" outlineLevel="0" collapsed="false">
      <c r="A7342" s="1" t="s">
        <v>952</v>
      </c>
      <c r="B7342" s="0" t="s">
        <v>98</v>
      </c>
      <c r="F7342" s="6" t="n">
        <f aca="false">Sens!F7284*sbc_r</f>
        <v>15.0205887008474</v>
      </c>
      <c r="G7342" s="6" t="n">
        <f aca="false">Sens!G7284*sbc_r</f>
        <v>17.8986881913524</v>
      </c>
      <c r="H7342" s="6" t="n">
        <f aca="false">Sens!H7284*sbc_r</f>
        <v>20.8435244746383</v>
      </c>
      <c r="I7342" s="6" t="n">
        <f aca="false">Sens!I7284*sbc_r</f>
        <v>23.5520324795584</v>
      </c>
      <c r="J7342" s="6" t="n">
        <f aca="false">Sens!J7284*sbc_r</f>
        <v>25.7799083700298</v>
      </c>
      <c r="K7342" s="6" t="n">
        <f aca="false">Sens!K7284*sbc_r</f>
        <v>27.6014016666668</v>
      </c>
    </row>
    <row r="7343" customFormat="false" ht="17.15" hidden="false" customHeight="false" outlineLevel="0" collapsed="false">
      <c r="A7343" s="1" t="s">
        <v>953</v>
      </c>
      <c r="B7343" s="0" t="s">
        <v>98</v>
      </c>
      <c r="F7343" s="6" t="n">
        <f aca="false">wc27</f>
        <v>-4.895</v>
      </c>
      <c r="G7343" s="6" t="n">
        <f aca="false">wc_f</f>
        <v>0</v>
      </c>
      <c r="H7343" s="6" t="n">
        <f aca="false">wc_f</f>
        <v>0</v>
      </c>
      <c r="I7343" s="6" t="n">
        <f aca="false">wc_f</f>
        <v>0</v>
      </c>
      <c r="J7343" s="6" t="n">
        <f aca="false">wc_f</f>
        <v>0</v>
      </c>
      <c r="K7343" s="6" t="n">
        <f aca="false">wc_f</f>
        <v>0</v>
      </c>
      <c r="L7343" s="11" t="s">
        <v>954</v>
      </c>
    </row>
    <row r="7344" customFormat="false" ht="15" hidden="false" customHeight="false" outlineLevel="0" collapsed="false">
      <c r="A7344" s="1" t="s">
        <v>767</v>
      </c>
      <c r="B7344" s="0" t="s">
        <v>98</v>
      </c>
      <c r="E7344" s="6" t="n">
        <f aca="false">Q!M35</f>
        <v>182.935</v>
      </c>
      <c r="F7344" s="6" t="n">
        <f aca="false">Sens!F7338+Sens!F7341+Sens!F7342+Sens!F7343</f>
        <v>210.76772778619</v>
      </c>
      <c r="G7344" s="6" t="n">
        <f aca="false">Sens!G7338+Sens!G7341+Sens!G7342+Sens!G7343</f>
        <v>262.629602347033</v>
      </c>
      <c r="H7344" s="6" t="n">
        <f aca="false">Sens!H7338+Sens!H7341+Sens!H7342+Sens!H7343</f>
        <v>311.829160505336</v>
      </c>
      <c r="I7344" s="6" t="n">
        <f aca="false">Sens!I7338+Sens!I7341+Sens!I7342+Sens!I7343</f>
        <v>357.353234560537</v>
      </c>
      <c r="J7344" s="6" t="n">
        <f aca="false">Sens!J7338+Sens!J7341+Sens!J7342+Sens!J7343</f>
        <v>394.624229835866</v>
      </c>
      <c r="K7344" s="6" t="n">
        <f aca="false">Sens!K7338+Sens!K7341+Sens!K7342+Sens!K7343</f>
        <v>425.019434284046</v>
      </c>
    </row>
    <row r="7345" customFormat="false" ht="17.15" hidden="false" customHeight="false" outlineLevel="0" collapsed="false">
      <c r="A7345" s="0" t="s">
        <v>955</v>
      </c>
      <c r="B7345" s="0" t="s">
        <v>98</v>
      </c>
      <c r="F7345" s="6" t="n">
        <f aca="false">Sens!F7254</f>
        <v>160.332875871467</v>
      </c>
      <c r="G7345" s="6" t="n">
        <f aca="false">Sens!G7254</f>
        <v>183.5741804832</v>
      </c>
      <c r="H7345" s="6" t="n">
        <f aca="false">Sens!H7254</f>
        <v>188.0802859104</v>
      </c>
      <c r="I7345" s="6" t="n">
        <f aca="false">Sens!I7254</f>
        <v>163.706669154245</v>
      </c>
      <c r="J7345" s="6" t="n">
        <f aca="false">Sens!J7254</f>
        <v>127.181436594242</v>
      </c>
      <c r="K7345" s="6" t="n">
        <f aca="false">Sens!K7254</f>
        <v>121.407415303591</v>
      </c>
    </row>
    <row r="7346" customFormat="false" ht="17.15" hidden="false" customHeight="false" outlineLevel="0" collapsed="false">
      <c r="A7346" s="1" t="s">
        <v>956</v>
      </c>
      <c r="B7346" s="0" t="s">
        <v>98</v>
      </c>
      <c r="E7346" s="6" t="n">
        <f aca="false">Sens!E7262*cx_azo+Sens!E7269*cx_m365+Sens!E7270*cx_lic+(Sens!E7272+Sens!E7274)*cx_ind+Sens!E7277*cx_srch+(Sens!E7279+Sens!E7281)*cx_dev</f>
        <v>30.1846587067718</v>
      </c>
      <c r="F7346" s="6" t="n">
        <f aca="false">Sens!F7262*cx_azo+Sens!F7269*cx_m365+Sens!F7270*cx_lic+(Sens!F7272+Sens!F7274)*cx_ind+Sens!F7277*cx_srch+(Sens!F7279+Sens!F7281)*cx_dev</f>
        <v>35.8193472295625</v>
      </c>
      <c r="G7346" s="6" t="n">
        <f aca="false">Sens!G7262*cx_azo+Sens!G7269*cx_m365+Sens!G7270*cx_lic+(Sens!G7272+Sens!G7274)*cx_ind+Sens!G7277*cx_srch+(Sens!G7279+Sens!G7281)*cx_dev</f>
        <v>41.5128935703892</v>
      </c>
      <c r="H7346" s="6" t="n">
        <f aca="false">Sens!H7262*cx_azo+Sens!H7269*cx_m365+Sens!H7270*cx_lic+(Sens!H7272+Sens!H7274)*cx_ind+Sens!H7277*cx_srch+(Sens!H7279+Sens!H7281)*cx_dev</f>
        <v>47.2915136440897</v>
      </c>
      <c r="I7346" s="6" t="n">
        <f aca="false">Sens!I7262*cx_azo+Sens!I7269*cx_m365+Sens!I7270*cx_lic+(Sens!I7272+Sens!I7274)*cx_ind+Sens!I7277*cx_srch+(Sens!I7279+Sens!I7281)*cx_dev</f>
        <v>52.7684003116439</v>
      </c>
      <c r="J7346" s="6" t="n">
        <f aca="false">Sens!J7262*cx_azo+Sens!J7269*cx_m365+Sens!J7270*cx_lic+(Sens!J7272+Sens!J7274)*cx_ind+Sens!J7277*cx_srch+(Sens!J7279+Sens!J7281)*cx_dev</f>
        <v>57.7109132503738</v>
      </c>
      <c r="K7346" s="6" t="n">
        <f aca="false">Sens!K7262*cx_azo+Sens!K7269*cx_m365+Sens!K7270*cx_lic+(Sens!K7272+Sens!K7274)*cx_ind+Sens!K7277*cx_srch+(Sens!K7279+Sens!K7281)*cx_dev</f>
        <v>62.058702741994</v>
      </c>
    </row>
    <row r="7347" customFormat="false" ht="17.15" hidden="false" customHeight="false" outlineLevel="0" collapsed="false">
      <c r="A7347" s="0" t="s">
        <v>957</v>
      </c>
      <c r="B7347" s="0" t="s">
        <v>98</v>
      </c>
      <c r="F7347" s="6" t="n">
        <f aca="false">Sens!F7252</f>
        <v>8.04777689897088</v>
      </c>
      <c r="L7347" s="1" t="s">
        <v>958</v>
      </c>
    </row>
    <row r="7348" customFormat="false" ht="17.15" hidden="false" customHeight="false" outlineLevel="0" collapsed="false">
      <c r="A7348" s="1" t="s">
        <v>959</v>
      </c>
      <c r="B7348" s="0" t="s">
        <v>98</v>
      </c>
      <c r="E7348" s="6" t="n">
        <f aca="false">Q!M42</f>
        <v>145.3</v>
      </c>
      <c r="F7348" s="6" t="n">
        <f aca="false">Sens!F7345+Sens!F7346+Sens!F7347</f>
        <v>204.2</v>
      </c>
      <c r="G7348" s="6" t="n">
        <f aca="false">Sens!G7345+Sens!G7346</f>
        <v>225.087074053589</v>
      </c>
      <c r="H7348" s="6" t="n">
        <f aca="false">Sens!H7345+Sens!H7346</f>
        <v>235.37179955449</v>
      </c>
      <c r="I7348" s="6" t="n">
        <f aca="false">Sens!I7345+Sens!I7346</f>
        <v>216.475069465889</v>
      </c>
      <c r="J7348" s="6" t="n">
        <f aca="false">Sens!J7345+Sens!J7346</f>
        <v>184.892349844616</v>
      </c>
      <c r="K7348" s="6" t="n">
        <f aca="false">Sens!K7345+Sens!K7346</f>
        <v>183.466118045585</v>
      </c>
      <c r="L7348" s="1" t="s">
        <v>960</v>
      </c>
    </row>
    <row r="7349" customFormat="false" ht="15" hidden="false" customHeight="false" outlineLevel="0" collapsed="false">
      <c r="A7349" s="1" t="s">
        <v>961</v>
      </c>
      <c r="B7349" s="0" t="s">
        <v>98</v>
      </c>
      <c r="E7349" s="6" t="n">
        <f aca="false">fl_liab</f>
        <v>66.594</v>
      </c>
      <c r="F7349" s="6" t="n">
        <f aca="false">Sens!E7349-Sens!F7350</f>
        <v>62.46973</v>
      </c>
      <c r="G7349" s="6" t="n">
        <f aca="false">Sens!F7349-Sens!G7350</f>
        <v>57.98686785</v>
      </c>
      <c r="H7349" s="6" t="n">
        <f aca="false">Sens!G7349-Sens!H7350</f>
        <v>53.92827690325</v>
      </c>
      <c r="I7349" s="6" t="n">
        <f aca="false">Sens!H7349-Sens!I7350</f>
        <v>49.7850493638962</v>
      </c>
      <c r="J7349" s="6" t="n">
        <f aca="false">Sens!I7349-Sens!J7350</f>
        <v>45.4823765852716</v>
      </c>
      <c r="K7349" s="6" t="n">
        <f aca="false">Sens!J7349-Sens!K7350</f>
        <v>40.9860835316088</v>
      </c>
    </row>
    <row r="7350" customFormat="false" ht="15" hidden="false" customHeight="false" outlineLevel="0" collapsed="false">
      <c r="A7350" s="1" t="s">
        <v>962</v>
      </c>
      <c r="B7350" s="0" t="s">
        <v>98</v>
      </c>
      <c r="F7350" s="6" t="n">
        <f aca="false">fl_pay_27-Sens!E7349*fl_rate</f>
        <v>4.12427</v>
      </c>
      <c r="G7350" s="6" t="n">
        <f aca="false">fl_pay_28-Sens!F7349*fl_rate</f>
        <v>4.48286215</v>
      </c>
      <c r="H7350" s="6" t="n">
        <f aca="false">fl_pay_29-Sens!G7349*fl_rate</f>
        <v>4.05859094675</v>
      </c>
      <c r="I7350" s="6" t="n">
        <f aca="false">fl_pay_30-Sens!H7349*fl_rate</f>
        <v>4.14322753935375</v>
      </c>
      <c r="J7350" s="6" t="n">
        <f aca="false">fl_pay_31-Sens!I7349*fl_rate</f>
        <v>4.30267277862467</v>
      </c>
      <c r="K7350" s="6" t="n">
        <f aca="false">fl_pay_32-Sens!J7349*fl_rate</f>
        <v>4.49629305366278</v>
      </c>
    </row>
    <row r="7351" customFormat="false" ht="17.15" hidden="false" customHeight="false" outlineLevel="0" collapsed="false">
      <c r="A7351" s="1" t="s">
        <v>963</v>
      </c>
      <c r="B7351" s="0" t="s">
        <v>98</v>
      </c>
      <c r="E7351" s="6" t="n">
        <f aca="false">Q!M35-Q!M36-Q!M43</f>
        <v>63.886</v>
      </c>
      <c r="F7351" s="6" t="n">
        <f aca="false">Sens!F7344-Sens!F7348-Sens!F7350</f>
        <v>2.44345778619015</v>
      </c>
      <c r="G7351" s="6" t="n">
        <f aca="false">Sens!G7344-Sens!G7348-Sens!G7350</f>
        <v>33.0596661434434</v>
      </c>
      <c r="H7351" s="6" t="n">
        <f aca="false">Sens!H7344-Sens!H7348-Sens!H7350</f>
        <v>72.398770004096</v>
      </c>
      <c r="I7351" s="6" t="n">
        <f aca="false">Sens!I7344-Sens!I7348-Sens!I7350</f>
        <v>136.734937555294</v>
      </c>
      <c r="J7351" s="6" t="n">
        <f aca="false">Sens!J7344-Sens!J7348-Sens!J7350</f>
        <v>205.429207212626</v>
      </c>
      <c r="K7351" s="6" t="n">
        <f aca="false">Sens!K7344-Sens!K7348-Sens!K7350</f>
        <v>237.057023184799</v>
      </c>
      <c r="L7351" s="11" t="s">
        <v>964</v>
      </c>
    </row>
    <row r="7352" customFormat="false" ht="15" hidden="false" customHeight="false" outlineLevel="0" collapsed="false">
      <c r="A7352" s="1" t="s">
        <v>965</v>
      </c>
      <c r="B7352" s="0" t="s">
        <v>75</v>
      </c>
      <c r="F7352" s="8" t="n">
        <f aca="false">dps_27</f>
        <v>3.85</v>
      </c>
      <c r="G7352" s="8" t="n">
        <f aca="false">Sens!F7352*(1+dps_g)</f>
        <v>4.158</v>
      </c>
      <c r="H7352" s="8" t="n">
        <f aca="false">Sens!G7352*(1+dps_g)</f>
        <v>4.49064</v>
      </c>
      <c r="I7352" s="8" t="n">
        <f aca="false">Sens!H7352*(1+dps_g)</f>
        <v>4.8498912</v>
      </c>
      <c r="J7352" s="8" t="n">
        <f aca="false">Sens!I7352*(1+dps_g)</f>
        <v>5.237882496</v>
      </c>
      <c r="K7352" s="8" t="n">
        <f aca="false">Sens!J7352*(1+dps_g)</f>
        <v>5.65691309568</v>
      </c>
    </row>
    <row r="7353" customFormat="false" ht="17.15" hidden="false" customHeight="false" outlineLevel="0" collapsed="false">
      <c r="A7353" s="1" t="s">
        <v>966</v>
      </c>
      <c r="B7353" s="0" t="s">
        <v>98</v>
      </c>
      <c r="E7353" s="6" t="n">
        <f aca="false">Q!M41</f>
        <v>26.445</v>
      </c>
      <c r="F7353" s="6" t="n">
        <f aca="false">Sens!F7352*Sens!E7362</f>
        <v>28.59395</v>
      </c>
      <c r="G7353" s="6" t="n">
        <f aca="false">Sens!G7352*Sens!F7362</f>
        <v>31.068576</v>
      </c>
      <c r="H7353" s="6" t="n">
        <f aca="false">Sens!H7352*Sens!G7362</f>
        <v>33.7411832644124</v>
      </c>
      <c r="I7353" s="6" t="n">
        <f aca="false">Sens!I7352*Sens!H7362</f>
        <v>36.4914171655648</v>
      </c>
      <c r="J7353" s="6" t="n">
        <f aca="false">Sens!J7352*Sens!I7362</f>
        <v>39.4791293871295</v>
      </c>
      <c r="K7353" s="6" t="n">
        <f aca="false">Sens!K7352*Sens!J7362</f>
        <v>42.7247149634049</v>
      </c>
      <c r="L7353" s="1" t="s">
        <v>967</v>
      </c>
    </row>
    <row r="7354" customFormat="false" ht="15" hidden="false" customHeight="false" outlineLevel="0" collapsed="false">
      <c r="A7354" s="1" t="s">
        <v>968</v>
      </c>
      <c r="B7354" s="0" t="s">
        <v>98</v>
      </c>
      <c r="E7354" s="6" t="n">
        <f aca="false">Sens!E7351-Sens!E7353</f>
        <v>37.441</v>
      </c>
      <c r="F7354" s="6" t="n">
        <f aca="false">Sens!F7351-Sens!F7353</f>
        <v>-26.1504922138099</v>
      </c>
      <c r="G7354" s="6" t="n">
        <f aca="false">Sens!G7351-Sens!G7353</f>
        <v>1.99109014344338</v>
      </c>
      <c r="H7354" s="6" t="n">
        <f aca="false">Sens!H7351-Sens!H7353</f>
        <v>38.6575867396836</v>
      </c>
      <c r="I7354" s="6" t="n">
        <f aca="false">Sens!I7351-Sens!I7353</f>
        <v>100.243520389729</v>
      </c>
      <c r="J7354" s="6" t="n">
        <f aca="false">Sens!J7351-Sens!J7353</f>
        <v>165.950077825496</v>
      </c>
      <c r="K7354" s="6" t="n">
        <f aca="false">Sens!K7351-Sens!K7353</f>
        <v>194.332308221394</v>
      </c>
    </row>
    <row r="7355" customFormat="false" ht="15" hidden="false" customHeight="false" outlineLevel="0" collapsed="false">
      <c r="A7355" s="1" t="s">
        <v>969</v>
      </c>
      <c r="B7355" s="0" t="s">
        <v>98</v>
      </c>
      <c r="F7355" s="6" t="n">
        <f aca="false">debt_mat_27</f>
        <v>9.25</v>
      </c>
      <c r="G7355" s="6" t="n">
        <f aca="false">debt_mat_28</f>
        <v>0</v>
      </c>
      <c r="H7355" s="6" t="n">
        <f aca="false">debt_mat_29</f>
        <v>2.001</v>
      </c>
      <c r="I7355" s="6" t="n">
        <f aca="false">debt_mat_30</f>
        <v>0</v>
      </c>
      <c r="J7355" s="6" t="n">
        <f aca="false">debt_mat_31</f>
        <v>0.5</v>
      </c>
      <c r="K7355" s="6" t="n">
        <f aca="false">debt_mat_32</f>
        <v>0</v>
      </c>
    </row>
    <row r="7356" customFormat="false" ht="15" hidden="false" customHeight="false" outlineLevel="0" collapsed="false">
      <c r="A7356" s="1" t="s">
        <v>970</v>
      </c>
      <c r="B7356" s="0" t="s">
        <v>98</v>
      </c>
      <c r="E7356" s="6" t="n">
        <f aca="false">Q!M40</f>
        <v>22.271</v>
      </c>
      <c r="F7356" s="6" t="n">
        <f aca="false">MAX(0,MIN(bb_target,Sens!E7358+Sens!F7354-Sens!F7355-min_cash))</f>
        <v>0</v>
      </c>
      <c r="G7356" s="6" t="n">
        <f aca="false">MAX(0,MIN(bb_target,Sens!F7358+Sens!G7354-Sens!G7355-min_cash))</f>
        <v>1.99109014344338</v>
      </c>
      <c r="H7356" s="6" t="n">
        <f aca="false">MAX(0,MIN(bb_target,Sens!G7358+Sens!H7354-Sens!H7355-min_cash))</f>
        <v>22.271</v>
      </c>
      <c r="I7356" s="6" t="n">
        <f aca="false">MAX(0,MIN(bb_target,Sens!H7358+Sens!I7354-Sens!I7355-min_cash))</f>
        <v>22.271</v>
      </c>
      <c r="J7356" s="6" t="n">
        <f aca="false">MAX(0,MIN(bb_target,Sens!I7358+Sens!J7354-Sens!J7355-min_cash))</f>
        <v>22.271</v>
      </c>
      <c r="K7356" s="6" t="n">
        <f aca="false">MAX(0,MIN(bb_target,Sens!J7358+Sens!K7354-Sens!K7355-min_cash))</f>
        <v>22.271</v>
      </c>
    </row>
    <row r="7357" customFormat="false" ht="15" hidden="false" customHeight="false" outlineLevel="0" collapsed="false">
      <c r="A7357" s="1" t="s">
        <v>971</v>
      </c>
      <c r="B7357" s="0" t="s">
        <v>98</v>
      </c>
      <c r="F7357" s="6" t="n">
        <f aca="false">MAX(0,min_cash-(Sens!E7358+Sens!F7354-Sens!F7355-Sens!F7356))</f>
        <v>8.55749221380985</v>
      </c>
      <c r="G7357" s="6" t="n">
        <f aca="false">MAX(0,min_cash-(Sens!F7358+Sens!G7354-Sens!G7355-Sens!G7356))</f>
        <v>0</v>
      </c>
      <c r="H7357" s="6" t="n">
        <f aca="false">MAX(0,min_cash-(Sens!G7358+Sens!H7354-Sens!H7355-Sens!H7356))</f>
        <v>0</v>
      </c>
      <c r="I7357" s="6" t="n">
        <f aca="false">MAX(0,min_cash-(Sens!H7358+Sens!I7354-Sens!I7355-Sens!I7356))</f>
        <v>0</v>
      </c>
      <c r="J7357" s="6" t="n">
        <f aca="false">MAX(0,min_cash-(Sens!I7358+Sens!J7354-Sens!J7355-Sens!J7356))</f>
        <v>0</v>
      </c>
      <c r="K7357" s="6" t="n">
        <f aca="false">MAX(0,min_cash-(Sens!J7358+Sens!K7354-Sens!K7355-Sens!K7356))</f>
        <v>0</v>
      </c>
    </row>
    <row r="7358" customFormat="false" ht="15" hidden="false" customHeight="false" outlineLevel="0" collapsed="false">
      <c r="A7358" s="1" t="s">
        <v>972</v>
      </c>
      <c r="B7358" s="0" t="s">
        <v>98</v>
      </c>
      <c r="E7358" s="6" t="n">
        <f aca="false">cash_open</f>
        <v>76.843</v>
      </c>
      <c r="F7358" s="6" t="n">
        <f aca="false">Sens!E7358+Sens!F7354-Sens!F7355-Sens!F7356+Sens!F7357</f>
        <v>50</v>
      </c>
      <c r="G7358" s="6" t="n">
        <f aca="false">Sens!F7358+Sens!G7354-Sens!G7355-Sens!G7356+Sens!G7357</f>
        <v>50</v>
      </c>
      <c r="H7358" s="6" t="n">
        <f aca="false">Sens!G7358+Sens!H7354-Sens!H7355-Sens!H7356+Sens!H7357</f>
        <v>64.3855867396836</v>
      </c>
      <c r="I7358" s="6" t="n">
        <f aca="false">Sens!H7358+Sens!I7354-Sens!I7355-Sens!I7356+Sens!I7357</f>
        <v>142.358107129413</v>
      </c>
      <c r="J7358" s="6" t="n">
        <f aca="false">Sens!I7358+Sens!J7354-Sens!J7355-Sens!J7356+Sens!J7357</f>
        <v>285.537184954909</v>
      </c>
      <c r="K7358" s="6" t="n">
        <f aca="false">Sens!J7358+Sens!K7354-Sens!K7355-Sens!K7356+Sens!K7357</f>
        <v>457.598493176303</v>
      </c>
    </row>
    <row r="7359" customFormat="false" ht="15" hidden="false" customHeight="false" outlineLevel="0" collapsed="false">
      <c r="A7359" s="1" t="s">
        <v>973</v>
      </c>
      <c r="B7359" s="0" t="s">
        <v>98</v>
      </c>
      <c r="E7359" s="6" t="n">
        <f aca="false">debt_face</f>
        <v>46.136</v>
      </c>
      <c r="F7359" s="6" t="n">
        <f aca="false">Sens!E7359-Sens!F7355+Sens!F7357</f>
        <v>45.4434922138099</v>
      </c>
      <c r="G7359" s="6" t="n">
        <f aca="false">Sens!F7359-Sens!G7355+Sens!G7357</f>
        <v>45.4434922138099</v>
      </c>
      <c r="H7359" s="6" t="n">
        <f aca="false">Sens!G7359-Sens!H7355+Sens!H7357</f>
        <v>43.4424922138099</v>
      </c>
      <c r="I7359" s="6" t="n">
        <f aca="false">Sens!H7359-Sens!I7355+Sens!I7357</f>
        <v>43.4424922138099</v>
      </c>
      <c r="J7359" s="6" t="n">
        <f aca="false">Sens!I7359-Sens!J7355+Sens!J7357</f>
        <v>42.9424922138099</v>
      </c>
      <c r="K7359" s="6" t="n">
        <f aca="false">Sens!J7359-Sens!K7355+Sens!K7357</f>
        <v>42.9424922138099</v>
      </c>
    </row>
    <row r="7360" customFormat="false" ht="15" hidden="false" customHeight="false" outlineLevel="0" collapsed="false">
      <c r="A7360" s="1" t="s">
        <v>974</v>
      </c>
      <c r="B7360" s="0" t="s">
        <v>98</v>
      </c>
      <c r="E7360" s="6" t="n">
        <f aca="false">Sens!E7358-Sens!E7359</f>
        <v>30.707</v>
      </c>
      <c r="F7360" s="6" t="n">
        <f aca="false">Sens!F7358-Sens!F7359</f>
        <v>4.55650778619015</v>
      </c>
      <c r="G7360" s="6" t="n">
        <f aca="false">Sens!G7358-Sens!G7359</f>
        <v>4.55650778619015</v>
      </c>
      <c r="H7360" s="6" t="n">
        <f aca="false">Sens!H7358-Sens!H7359</f>
        <v>20.9430945258738</v>
      </c>
      <c r="I7360" s="6" t="n">
        <f aca="false">Sens!I7358-Sens!I7359</f>
        <v>98.9156149156027</v>
      </c>
      <c r="J7360" s="6" t="n">
        <f aca="false">Sens!J7358-Sens!J7359</f>
        <v>242.594692741099</v>
      </c>
      <c r="K7360" s="6" t="n">
        <f aca="false">Sens!K7358-Sens!K7359</f>
        <v>414.656000962493</v>
      </c>
    </row>
    <row r="7361" customFormat="false" ht="15" hidden="false" customHeight="false" outlineLevel="0" collapsed="false">
      <c r="A7361" s="1" t="s">
        <v>975</v>
      </c>
      <c r="B7361" s="0" t="s">
        <v>75</v>
      </c>
      <c r="F7361" s="29" t="n">
        <f aca="false">px*(1+bb_g)^(Sens!F7223-base_fy-mid_yr)</f>
        <v>553.494156066711</v>
      </c>
      <c r="G7361" s="29" t="n">
        <f aca="false">px*(1+bb_g)^(Sens!G7223-base_fy-mid_yr)</f>
        <v>597.773688552047</v>
      </c>
      <c r="H7361" s="29" t="n">
        <f aca="false">px*(1+bb_g)^(Sens!H7223-base_fy-mid_yr)</f>
        <v>645.595583636211</v>
      </c>
      <c r="I7361" s="29" t="n">
        <f aca="false">px*(1+bb_g)^(Sens!I7223-base_fy-mid_yr)</f>
        <v>697.243230327108</v>
      </c>
      <c r="J7361" s="29" t="n">
        <f aca="false">px*(1+bb_g)^(Sens!J7223-base_fy-mid_yr)</f>
        <v>753.022688753277</v>
      </c>
      <c r="K7361" s="29" t="n">
        <f aca="false">px*(1+bb_g)^(Sens!K7223-base_fy-mid_yr)</f>
        <v>813.264503853539</v>
      </c>
    </row>
    <row r="7362" customFormat="false" ht="15" hidden="false" customHeight="false" outlineLevel="0" collapsed="false">
      <c r="A7362" s="1" t="s">
        <v>976</v>
      </c>
      <c r="B7362" s="1" t="s">
        <v>81</v>
      </c>
      <c r="E7362" s="14" t="n">
        <f aca="false">sh_out26</f>
        <v>7.427</v>
      </c>
      <c r="F7362" s="14" t="n">
        <f aca="false">Sens!E7362+sh_iss-Sens!F7356/Sens!F7361</f>
        <v>7.472</v>
      </c>
      <c r="G7362" s="14" t="n">
        <f aca="false">Sens!F7362+sh_iss-Sens!G7356/Sens!G7361</f>
        <v>7.5136691572721</v>
      </c>
      <c r="H7362" s="14" t="n">
        <f aca="false">Sens!G7362+sh_iss-Sens!H7356/Sens!H7361</f>
        <v>7.524172328972</v>
      </c>
      <c r="I7362" s="14" t="n">
        <f aca="false">Sens!H7362+sh_iss-Sens!I7356/Sens!I7361</f>
        <v>7.53723082128673</v>
      </c>
      <c r="J7362" s="14" t="n">
        <f aca="false">Sens!I7362+sh_iss-Sens!J7356/Sens!J7361</f>
        <v>7.55265535120777</v>
      </c>
      <c r="K7362" s="14" t="n">
        <f aca="false">Sens!J7362+sh_iss-Sens!K7356/Sens!K7361</f>
        <v>7.57027065669021</v>
      </c>
    </row>
    <row r="7363" customFormat="false" ht="15" hidden="false" customHeight="false" outlineLevel="0" collapsed="false">
      <c r="A7363" s="1" t="s">
        <v>977</v>
      </c>
      <c r="B7363" s="1" t="s">
        <v>81</v>
      </c>
      <c r="E7363" s="14" t="n">
        <f aca="false">sh_dil26</f>
        <v>7.453</v>
      </c>
      <c r="F7363" s="14" t="n">
        <f aca="false">(Sens!E7362+Sens!F7362)/2+dil_gap</f>
        <v>7.4735</v>
      </c>
      <c r="G7363" s="14" t="n">
        <f aca="false">(Sens!F7362+Sens!G7362)/2+dil_gap</f>
        <v>7.51683457863605</v>
      </c>
      <c r="H7363" s="14" t="n">
        <f aca="false">(Sens!G7362+Sens!H7362)/2+dil_gap</f>
        <v>7.54292074312205</v>
      </c>
      <c r="I7363" s="14" t="n">
        <f aca="false">(Sens!H7362+Sens!I7362)/2+dil_gap</f>
        <v>7.55470157512936</v>
      </c>
      <c r="J7363" s="14" t="n">
        <f aca="false">(Sens!I7362+Sens!J7362)/2+dil_gap</f>
        <v>7.56894308624725</v>
      </c>
      <c r="K7363" s="14" t="n">
        <f aca="false">(Sens!J7362+Sens!K7362)/2+dil_gap</f>
        <v>7.58546300394899</v>
      </c>
    </row>
    <row r="7364" customFormat="false" ht="17.15" hidden="false" customHeight="false" outlineLevel="0" collapsed="false">
      <c r="A7364" s="1" t="s">
        <v>978</v>
      </c>
      <c r="B7364" s="0" t="s">
        <v>98</v>
      </c>
      <c r="C7364" s="6" t="n">
        <f aca="false">SUM(Sens!F7354:J7354)</f>
        <v>280.691782884542</v>
      </c>
    </row>
    <row r="7365" customFormat="false" ht="15" hidden="false" customHeight="false" outlineLevel="0" collapsed="false">
      <c r="A7365" s="23" t="s">
        <v>945</v>
      </c>
      <c r="B7365" s="30" t="s">
        <v>98</v>
      </c>
      <c r="C7365" s="24" t="n">
        <f aca="false">Sens!$C$7364-(Sens!F7354+Sens!G7354+Sens!H7354+Sens!I7354+Sens!J7354)</f>
        <v>0</v>
      </c>
      <c r="D7365" s="30"/>
      <c r="E7365" s="30"/>
      <c r="F7365" s="30"/>
      <c r="G7365" s="30"/>
      <c r="H7365" s="30"/>
      <c r="I7365" s="30"/>
      <c r="J7365" s="30"/>
      <c r="K7365" s="30"/>
    </row>
    <row r="7366" customFormat="false" ht="17.15" hidden="false" customHeight="false" outlineLevel="0" collapsed="false">
      <c r="A7366" s="1" t="s">
        <v>939</v>
      </c>
      <c r="B7366" s="1" t="s">
        <v>979</v>
      </c>
      <c r="C7366" s="32" t="str">
        <f aca="false">IF(SUM(Sens!F7357:J7357)&gt;0.05,"需要舉債 "&amp;TEXT(SUM(Sens!F7357:J7357),"0.0")&amp;" 十億美元","不需舉債")&amp;"；"&amp;IF(SUM(Sens!F7356:J7356)&lt;COUNT(Sens!F7356:J7356)*bb_target-0.05,"回購較每年 "&amp;TEXT(bb_target,"0.0")&amp;" 的目標少 "&amp;TEXT(COUNT(Sens!F7356:J7356)*bb_target-SUM(Sens!F7356:J7356),"0.0")&amp;" 十億美元（"&amp;TEXT(COUNTIF(Sens!F7356:J7356,"&lt;"&amp;(bb_target-0.05)),"0")&amp;" 年減少）","回購不減")</f>
        <v>需要舉債 8.6 十億美元；回購較每年 22.3 的目標少 42.6 十億美元（2 年減少）</v>
      </c>
    </row>
    <row r="7367" customFormat="false" ht="17.15" hidden="false" customHeight="false" outlineLevel="0" collapsed="false">
      <c r="A7367" s="3" t="s">
        <v>1451</v>
      </c>
    </row>
    <row r="7368" customFormat="false" ht="15" hidden="false" customHeight="false" outlineLevel="0" collapsed="false">
      <c r="A7368" s="4" t="s">
        <v>43</v>
      </c>
      <c r="B7368" s="4" t="s">
        <v>65</v>
      </c>
      <c r="C7368" s="20" t="s">
        <v>799</v>
      </c>
      <c r="D7368" s="20" t="s">
        <v>800</v>
      </c>
      <c r="E7368" s="20" t="s">
        <v>801</v>
      </c>
      <c r="F7368" s="20" t="s">
        <v>802</v>
      </c>
      <c r="G7368" s="20" t="s">
        <v>803</v>
      </c>
      <c r="H7368" s="20" t="s">
        <v>804</v>
      </c>
      <c r="I7368" s="20" t="s">
        <v>805</v>
      </c>
      <c r="J7368" s="20" t="s">
        <v>806</v>
      </c>
      <c r="K7368" s="20" t="s">
        <v>807</v>
      </c>
      <c r="L7368" s="4" t="s">
        <v>47</v>
      </c>
    </row>
    <row r="7369" customFormat="false" ht="15" hidden="false" customHeight="false" outlineLevel="0" collapsed="false">
      <c r="A7369" s="1" t="s">
        <v>1057</v>
      </c>
      <c r="B7369" s="1" t="s">
        <v>235</v>
      </c>
      <c r="F7369" s="36" t="n">
        <f aca="false">Sens!F7223-base_fy-mid_yr</f>
        <v>0.5</v>
      </c>
      <c r="G7369" s="36" t="n">
        <f aca="false">Sens!G7223-base_fy-mid_yr</f>
        <v>1.5</v>
      </c>
      <c r="H7369" s="36" t="n">
        <f aca="false">Sens!H7223-base_fy-mid_yr</f>
        <v>2.5</v>
      </c>
      <c r="I7369" s="36" t="n">
        <f aca="false">Sens!I7223-base_fy-mid_yr</f>
        <v>3.5</v>
      </c>
      <c r="J7369" s="36" t="n">
        <f aca="false">Sens!J7223-base_fy-mid_yr</f>
        <v>4.5</v>
      </c>
      <c r="K7369" s="36" t="n">
        <f aca="false">Sens!K7223-base_fy-mid_yr</f>
        <v>5.5</v>
      </c>
    </row>
    <row r="7370" customFormat="false" ht="15" hidden="false" customHeight="false" outlineLevel="0" collapsed="false">
      <c r="A7370" s="1" t="s">
        <v>1058</v>
      </c>
      <c r="B7370" s="0" t="s">
        <v>185</v>
      </c>
      <c r="F7370" s="14" t="n">
        <f aca="false">1/(1+wacc)^Sens!F7369</f>
        <v>0.952193373608246</v>
      </c>
      <c r="G7370" s="14" t="n">
        <f aca="false">1/(1+wacc)^Sens!G7369</f>
        <v>0.863327280626589</v>
      </c>
      <c r="H7370" s="14" t="n">
        <f aca="false">1/(1+wacc)^Sens!H7369</f>
        <v>0.782754862754115</v>
      </c>
      <c r="I7370" s="14" t="n">
        <f aca="false">1/(1+wacc)^Sens!I7369</f>
        <v>0.709702089711011</v>
      </c>
      <c r="J7370" s="14" t="n">
        <f aca="false">1/(1+wacc)^Sens!J7369</f>
        <v>0.643467169744551</v>
      </c>
      <c r="K7370" s="14" t="n">
        <f aca="false">1/(1+wacc)^Sens!K7369</f>
        <v>0.583413807767797</v>
      </c>
    </row>
    <row r="7371" customFormat="false" ht="17.15" hidden="false" customHeight="false" outlineLevel="0" collapsed="false">
      <c r="A7371" s="1" t="s">
        <v>1059</v>
      </c>
      <c r="B7371" s="0" t="s">
        <v>98</v>
      </c>
      <c r="F7371" s="6" t="n">
        <f aca="false">Sens!F7344-Sens!F7342-Sens!F7348+Sens!F7327*(1-tax_f)</f>
        <v>-2.10996264917942</v>
      </c>
      <c r="G7371" s="6" t="n">
        <f aca="false">Sens!G7344-Sens!G7342-Sens!G7348+Sens!G7327*(1-tax_f)</f>
        <v>37.147187220124</v>
      </c>
      <c r="H7371" s="6" t="n">
        <f aca="false">Sens!H7344-Sens!H7342-Sens!H7348+Sens!H7327*(1-tax_f)</f>
        <v>85.5048156072134</v>
      </c>
      <c r="I7371" s="6" t="n">
        <f aca="false">Sens!I7344-Sens!I7342-Sens!I7348+Sens!I7327*(1-tax_f)</f>
        <v>158.671381751333</v>
      </c>
      <c r="J7371" s="6" t="n">
        <f aca="false">Sens!J7344-Sens!J7342-Sens!J7348+Sens!J7327*(1-tax_f)</f>
        <v>233.438780381847</v>
      </c>
      <c r="K7371" s="6" t="n">
        <f aca="false">Sens!K7344-Sens!K7342-Sens!K7348+Sens!K7327*(1-tax_f)</f>
        <v>267.999602797649</v>
      </c>
      <c r="L7371" s="1" t="s">
        <v>1060</v>
      </c>
    </row>
    <row r="7372" customFormat="false" ht="15" hidden="false" customHeight="false" outlineLevel="0" collapsed="false">
      <c r="A7372" s="1" t="s">
        <v>1061</v>
      </c>
      <c r="B7372" s="0" t="s">
        <v>98</v>
      </c>
      <c r="F7372" s="6" t="n">
        <f aca="false">Sens!F7371*Sens!F7370</f>
        <v>-2.00909245310954</v>
      </c>
      <c r="G7372" s="6" t="n">
        <f aca="false">Sens!G7371*Sens!G7370</f>
        <v>32.0701801256764</v>
      </c>
      <c r="H7372" s="6" t="n">
        <f aca="false">Sens!H7371*Sens!H7370</f>
        <v>66.9293102054403</v>
      </c>
      <c r="I7372" s="6" t="n">
        <f aca="false">Sens!I7371*Sens!I7370</f>
        <v>112.609411206255</v>
      </c>
      <c r="J7372" s="6" t="n">
        <f aca="false">Sens!J7371*Sens!J7370</f>
        <v>150.210191320927</v>
      </c>
      <c r="K7372" s="6" t="n">
        <f aca="false">Sens!K7371*Sens!K7370</f>
        <v>156.354668748434</v>
      </c>
    </row>
    <row r="7373" customFormat="false" ht="17.15" hidden="false" customHeight="false" outlineLevel="0" collapsed="false">
      <c r="A7373" s="1" t="s">
        <v>1062</v>
      </c>
      <c r="B7373" s="0" t="s">
        <v>98</v>
      </c>
      <c r="C7373" s="6" t="n">
        <f aca="false">SUM(Sens!F7372:K7372)</f>
        <v>516.164669153623</v>
      </c>
    </row>
    <row r="7374" customFormat="false" ht="17.15" hidden="false" customHeight="false" outlineLevel="0" collapsed="false">
      <c r="A7374" s="1" t="s">
        <v>1063</v>
      </c>
      <c r="B7374" s="0" t="s">
        <v>98</v>
      </c>
      <c r="C7374" s="6" t="n">
        <f aca="false">Sens!K7313*(1+g_tv)*(1-tax_f)</f>
        <v>284.697619233334</v>
      </c>
    </row>
    <row r="7375" customFormat="false" ht="17.15" hidden="false" customHeight="false" outlineLevel="0" collapsed="false">
      <c r="A7375" s="1" t="s">
        <v>1064</v>
      </c>
      <c r="B7375" s="0" t="s">
        <v>98</v>
      </c>
      <c r="C7375" s="6" t="n">
        <f aca="false">Sens!$C$7374*(1-g_tv/(wacc+ronic_prem))</f>
        <v>201.723152876078</v>
      </c>
    </row>
    <row r="7376" customFormat="false" ht="17.15" hidden="false" customHeight="false" outlineLevel="0" collapsed="false">
      <c r="A7376" s="1" t="s">
        <v>1065</v>
      </c>
      <c r="B7376" s="0" t="s">
        <v>98</v>
      </c>
      <c r="C7376" s="6" t="n">
        <f aca="false">Sens!$C$7375/(wacc-g_tv)</f>
        <v>2765.81554524188</v>
      </c>
    </row>
    <row r="7377" customFormat="false" ht="15" hidden="false" customHeight="false" outlineLevel="0" collapsed="false">
      <c r="A7377" s="1" t="s">
        <v>1066</v>
      </c>
      <c r="B7377" s="0" t="s">
        <v>98</v>
      </c>
      <c r="C7377" s="6" t="n">
        <f aca="false">Sens!$C$7376/(1+wacc)^(Sens!K7369+mid_yr)</f>
        <v>1536.47349039973</v>
      </c>
    </row>
    <row r="7378" customFormat="false" ht="17.15" hidden="false" customHeight="false" outlineLevel="0" collapsed="false">
      <c r="A7378" s="0" t="s">
        <v>986</v>
      </c>
      <c r="B7378" s="0" t="s">
        <v>98</v>
      </c>
      <c r="C7378" s="6" t="n">
        <f aca="false">Sens!$C$7373+Sens!$C$7377</f>
        <v>2052.63815955335</v>
      </c>
    </row>
    <row r="7379" customFormat="false" ht="15" hidden="false" customHeight="false" outlineLevel="0" collapsed="false">
      <c r="A7379" s="1" t="s">
        <v>987</v>
      </c>
      <c r="B7379" s="0" t="s">
        <v>129</v>
      </c>
      <c r="C7379" s="7" t="n">
        <f aca="false">Sens!$C$7377/Sens!$C$7378</f>
        <v>0.748535967359226</v>
      </c>
    </row>
    <row r="7380" customFormat="false" ht="17.15" hidden="false" customHeight="false" outlineLevel="0" collapsed="false">
      <c r="A7380" s="1" t="s">
        <v>1067</v>
      </c>
      <c r="B7380" s="0" t="s">
        <v>98</v>
      </c>
      <c r="C7380" s="6" t="n">
        <f aca="false">Sens!$C$7378+Sens!E7360-Sens!E7349+oai_v</f>
        <v>2187.15115955335</v>
      </c>
    </row>
    <row r="7381" customFormat="false" ht="17.15" hidden="false" customHeight="false" outlineLevel="0" collapsed="false">
      <c r="A7381" s="0" t="s">
        <v>994</v>
      </c>
      <c r="B7381" s="0" t="s">
        <v>75</v>
      </c>
      <c r="C7381" s="5" t="n">
        <f aca="false">Sens!$C$7380/sh_dil26</f>
        <v>293.459165376808</v>
      </c>
    </row>
    <row r="7382" customFormat="false" ht="15" hidden="false" customHeight="false" outlineLevel="0" collapsed="false">
      <c r="A7382" s="1" t="s">
        <v>1068</v>
      </c>
      <c r="B7382" s="0" t="s">
        <v>75</v>
      </c>
      <c r="C7382" s="8" t="n">
        <f aca="false">dps_27+Sens!G7352*roll_div_q/q_per_yr</f>
        <v>4.8895</v>
      </c>
    </row>
    <row r="7383" customFormat="false" ht="17.15" hidden="false" customHeight="false" outlineLevel="0" collapsed="false">
      <c r="A7383" s="0" t="s">
        <v>1069</v>
      </c>
      <c r="B7383" s="0" t="s">
        <v>75</v>
      </c>
      <c r="C7383" s="5" t="n">
        <f aca="false">Sens!$C$7381*(1+wacc)^t_roll-Sens!$C$7382</f>
        <v>329.282250076928</v>
      </c>
    </row>
    <row r="7384" customFormat="false" ht="17.15" hidden="false" customHeight="false" outlineLevel="0" collapsed="false">
      <c r="A7384" s="1" t="s">
        <v>1070</v>
      </c>
      <c r="B7384" s="0" t="s">
        <v>129</v>
      </c>
      <c r="F7384" s="7" t="n">
        <f aca="false">Sens!F7339/(Sens!F7284-Sens!F7240)</f>
        <v>0.070347318129262</v>
      </c>
      <c r="G7384" s="7" t="n">
        <f aca="false">Sens!G7339/(Sens!G7284-Sens!G7240)</f>
        <v>0.0670468644191145</v>
      </c>
      <c r="H7384" s="7" t="n">
        <f aca="false">Sens!H7339/(Sens!H7284-Sens!H7240)</f>
        <v>0.0652201295729429</v>
      </c>
      <c r="I7384" s="7" t="n">
        <f aca="false">Sens!I7339/(Sens!I7284-Sens!I7240)</f>
        <v>0.0647388938964008</v>
      </c>
      <c r="J7384" s="7" t="n">
        <f aca="false">Sens!J7339/(Sens!J7284-Sens!J7240)</f>
        <v>0.0652783986243155</v>
      </c>
      <c r="K7384" s="7" t="n">
        <f aca="false">Sens!K7339/(Sens!K7284-Sens!K7240)</f>
        <v>0.0664364843105281</v>
      </c>
    </row>
    <row r="7385" customFormat="false" ht="17.15" hidden="false" customHeight="false" outlineLevel="0" collapsed="false">
      <c r="A7385" s="0" t="s">
        <v>1071</v>
      </c>
      <c r="B7385" s="0" t="s">
        <v>98</v>
      </c>
      <c r="F7385" s="6" t="n">
        <f aca="false">Sens!F7269*(al_m365+Sens!F7384+sbc_r)</f>
        <v>85.8422499820581</v>
      </c>
      <c r="G7385" s="6" t="n">
        <f aca="false">Sens!G7269*(al_m365+Sens!G7384+sbc_r)</f>
        <v>99.0738943037551</v>
      </c>
      <c r="H7385" s="6" t="n">
        <f aca="false">Sens!H7269*(al_m365+Sens!H7384+sbc_r)</f>
        <v>112.470787429696</v>
      </c>
      <c r="I7385" s="6" t="n">
        <f aca="false">Sens!I7269*(al_m365+Sens!I7384+sbc_r)</f>
        <v>124.650454545577</v>
      </c>
      <c r="J7385" s="6" t="n">
        <f aca="false">Sens!J7269*(al_m365+Sens!J7384+sbc_r)</f>
        <v>135.425750734297</v>
      </c>
      <c r="K7385" s="6" t="n">
        <f aca="false">Sens!K7269*(al_m365+Sens!K7384+sbc_r)</f>
        <v>145.815821732167</v>
      </c>
      <c r="L7385" s="11" t="s">
        <v>1072</v>
      </c>
    </row>
    <row r="7386" customFormat="false" ht="17.15" hidden="false" customHeight="false" outlineLevel="0" collapsed="false">
      <c r="A7386" s="0" t="s">
        <v>1073</v>
      </c>
      <c r="B7386" s="0" t="s">
        <v>98</v>
      </c>
      <c r="F7386" s="6" t="n">
        <f aca="false">Sens!F7270*(al_lic+Sens!F7384+sbc_r)</f>
        <v>33.5132943824852</v>
      </c>
      <c r="G7386" s="6" t="n">
        <f aca="false">Sens!G7270*(al_lic+Sens!G7384+sbc_r)</f>
        <v>34.7979748074909</v>
      </c>
      <c r="H7386" s="6" t="n">
        <f aca="false">Sens!H7270*(al_lic+Sens!H7384+sbc_r)</f>
        <v>35.9999549406241</v>
      </c>
      <c r="I7386" s="6" t="n">
        <f aca="false">Sens!I7270*(al_lic+Sens!I7384+sbc_r)</f>
        <v>37.1011978002627</v>
      </c>
      <c r="J7386" s="6" t="n">
        <f aca="false">Sens!J7270*(al_lic+Sens!J7384+sbc_r)</f>
        <v>38.0745626528951</v>
      </c>
      <c r="K7386" s="6" t="n">
        <f aca="false">Sens!K7270*(al_lic+Sens!K7384+sbc_r)</f>
        <v>38.8888011043606</v>
      </c>
    </row>
    <row r="7387" customFormat="false" ht="17.15" hidden="false" customHeight="false" outlineLevel="0" collapsed="false">
      <c r="A7387" s="0" t="s">
        <v>1074</v>
      </c>
      <c r="B7387" s="0" t="s">
        <v>98</v>
      </c>
      <c r="F7387" s="6" t="n">
        <f aca="false">Sens!F7272*(al_ind+Sens!F7384+sbc_r)</f>
        <v>9.11570730342312</v>
      </c>
      <c r="G7387" s="6" t="n">
        <f aca="false">Sens!G7272*(al_ind+Sens!G7384+sbc_r)</f>
        <v>9.88393726055695</v>
      </c>
      <c r="H7387" s="6" t="n">
        <f aca="false">Sens!H7272*(al_ind+Sens!H7384+sbc_r)</f>
        <v>10.6986861434253</v>
      </c>
      <c r="I7387" s="6" t="n">
        <f aca="false">Sens!I7272*(al_ind+Sens!I7384+sbc_r)</f>
        <v>11.5574606844065</v>
      </c>
      <c r="J7387" s="6" t="n">
        <f aca="false">Sens!J7272*(al_ind+Sens!J7384+sbc_r)</f>
        <v>12.4499774808735</v>
      </c>
      <c r="K7387" s="6" t="n">
        <f aca="false">Sens!K7272*(al_ind+Sens!K7384+sbc_r)</f>
        <v>13.359789550873</v>
      </c>
    </row>
    <row r="7388" customFormat="false" ht="17.15" hidden="false" customHeight="false" outlineLevel="0" collapsed="false">
      <c r="A7388" s="0" t="s">
        <v>1075</v>
      </c>
      <c r="B7388" s="0" t="s">
        <v>98</v>
      </c>
      <c r="F7388" s="6" t="n">
        <f aca="false">Sens!F7274*(al_fro+Sens!F7384+sbc_r)</f>
        <v>3.58797439806104</v>
      </c>
      <c r="G7388" s="6" t="n">
        <f aca="false">Sens!G7274*(al_fro+Sens!G7384+sbc_r)</f>
        <v>3.79484755314308</v>
      </c>
      <c r="H7388" s="6" t="n">
        <f aca="false">Sens!H7274*(al_fro+Sens!H7384+sbc_r)</f>
        <v>4.03163112869848</v>
      </c>
      <c r="I7388" s="6" t="n">
        <f aca="false">Sens!I7274*(al_fro+Sens!I7384+sbc_r)</f>
        <v>4.30121648380644</v>
      </c>
      <c r="J7388" s="6" t="n">
        <f aca="false">Sens!J7274*(al_fro+Sens!J7384+sbc_r)</f>
        <v>4.60448012417384</v>
      </c>
      <c r="K7388" s="6" t="n">
        <f aca="false">Sens!K7274*(al_fro+Sens!K7384+sbc_r)</f>
        <v>4.94096359167263</v>
      </c>
    </row>
    <row r="7389" customFormat="false" ht="17.15" hidden="false" customHeight="false" outlineLevel="0" collapsed="false">
      <c r="A7389" s="0" t="s">
        <v>1076</v>
      </c>
      <c r="B7389" s="0" t="s">
        <v>98</v>
      </c>
      <c r="F7389" s="6" t="n">
        <f aca="false">Sens!F7277*(al_srch+Sens!F7384+sbc_r)</f>
        <v>11.2580302239403</v>
      </c>
      <c r="G7389" s="6" t="n">
        <f aca="false">Sens!G7277*(al_srch+Sens!G7384+sbc_r)</f>
        <v>12.3219812738509</v>
      </c>
      <c r="H7389" s="6" t="n">
        <f aca="false">Sens!H7277*(al_srch+Sens!H7384+sbc_r)</f>
        <v>13.4325886654974</v>
      </c>
      <c r="I7389" s="6" t="n">
        <f aca="false">Sens!I7277*(al_srch+Sens!I7384+sbc_r)</f>
        <v>14.5800006513403</v>
      </c>
      <c r="J7389" s="6" t="n">
        <f aca="false">Sens!J7277*(al_srch+Sens!J7384+sbc_r)</f>
        <v>15.7435761268526</v>
      </c>
      <c r="K7389" s="6" t="n">
        <f aca="false">Sens!K7277*(al_srch+Sens!K7384+sbc_r)</f>
        <v>16.8940758451992</v>
      </c>
    </row>
    <row r="7390" customFormat="false" ht="17.15" hidden="false" customHeight="false" outlineLevel="0" collapsed="false">
      <c r="A7390" s="0" t="s">
        <v>1077</v>
      </c>
      <c r="B7390" s="0" t="s">
        <v>98</v>
      </c>
      <c r="F7390" s="6" t="n">
        <f aca="false">Sens!F7246-Sens!F7247+Sens!F7327</f>
        <v>40.8551330305314</v>
      </c>
      <c r="G7390" s="6" t="n">
        <f aca="false">Sens!G7246-Sens!G7247+Sens!G7327</f>
        <v>77.6473072811823</v>
      </c>
      <c r="H7390" s="6" t="n">
        <f aca="false">Sens!H7246-Sens!H7247+Sens!H7327</f>
        <v>117.319938395606</v>
      </c>
      <c r="I7390" s="6" t="n">
        <f aca="false">Sens!I7246-Sens!I7247+Sens!I7327</f>
        <v>153.260799606295</v>
      </c>
      <c r="J7390" s="6" t="n">
        <f aca="false">Sens!J7246-Sens!J7247+Sens!J7327</f>
        <v>178.921186884377</v>
      </c>
      <c r="K7390" s="6" t="n">
        <f aca="false">Sens!K7246-Sens!K7247+Sens!K7327</f>
        <v>195.314927775063</v>
      </c>
    </row>
    <row r="7391" customFormat="false" ht="17.15" hidden="false" customHeight="false" outlineLevel="0" collapsed="false">
      <c r="A7391" s="0" t="s">
        <v>1078</v>
      </c>
      <c r="B7391" s="0" t="s">
        <v>98</v>
      </c>
      <c r="F7391" s="6" t="n">
        <f aca="false">Sens!F7306+Sens!F7327+Sens!F7257+Sens!F7384*(Sens!F7276-Sens!F7240)+sbc_r*Sens!F7276</f>
        <v>233.228154099527</v>
      </c>
      <c r="G7391" s="6" t="n">
        <f aca="false">Sens!G7306+Sens!G7327+Sens!G7257+Sens!G7384*(Sens!G7276-Sens!G7240)+sbc_r*Sens!G7276</f>
        <v>297.891103369765</v>
      </c>
      <c r="H7391" s="6" t="n">
        <f aca="false">Sens!H7306+Sens!H7327+Sens!H7257+Sens!H7384*(Sens!H7276-Sens!H7240)+sbc_r*Sens!H7276</f>
        <v>365.945269063708</v>
      </c>
      <c r="I7391" s="6" t="n">
        <f aca="false">Sens!I7306+Sens!I7327+Sens!I7257+Sens!I7384*(Sens!I7276-Sens!I7240)+sbc_r*Sens!I7276</f>
        <v>428.715893644431</v>
      </c>
      <c r="J7391" s="6" t="n">
        <f aca="false">Sens!J7306+Sens!J7327+Sens!J7257+Sens!J7384*(Sens!J7276-Sens!J7240)+sbc_r*Sens!J7276</f>
        <v>478.59273257346</v>
      </c>
      <c r="K7391" s="6" t="n">
        <f aca="false">Sens!K7306+Sens!K7327+Sens!K7257+Sens!K7384*(Sens!K7276-Sens!K7240)+sbc_r*Sens!K7276</f>
        <v>516.857775105551</v>
      </c>
    </row>
    <row r="7392" customFormat="false" ht="17.15" hidden="false" customHeight="false" outlineLevel="0" collapsed="false">
      <c r="A7392" s="0" t="s">
        <v>1079</v>
      </c>
      <c r="B7392" s="0" t="s">
        <v>98</v>
      </c>
      <c r="F7392" s="6" t="n">
        <f aca="false">Sens!F7391-Sens!F7385-Sens!F7386-Sens!F7387-Sens!F7388-Sens!F7390</f>
        <v>60.3137950029678</v>
      </c>
      <c r="G7392" s="6" t="n">
        <f aca="false">Sens!G7391-Sens!G7385-Sens!G7386-Sens!G7387-Sens!G7388-Sens!G7390</f>
        <v>72.6931421636372</v>
      </c>
      <c r="H7392" s="6" t="n">
        <f aca="false">Sens!H7391-Sens!H7385-Sens!H7386-Sens!H7387-Sens!H7388-Sens!H7390</f>
        <v>85.424271025658</v>
      </c>
      <c r="I7392" s="6" t="n">
        <f aca="false">Sens!I7391-Sens!I7385-Sens!I7386-Sens!I7387-Sens!I7388-Sens!I7390</f>
        <v>97.8447645240838</v>
      </c>
      <c r="J7392" s="6" t="n">
        <f aca="false">Sens!J7391-Sens!J7385-Sens!J7386-Sens!J7387-Sens!J7388-Sens!J7390</f>
        <v>109.116774696844</v>
      </c>
      <c r="K7392" s="6" t="n">
        <f aca="false">Sens!K7391-Sens!K7385-Sens!K7386-Sens!K7387-Sens!K7388-Sens!K7390</f>
        <v>118.537471351414</v>
      </c>
    </row>
    <row r="7393" customFormat="false" ht="17.15" hidden="false" customHeight="false" outlineLevel="0" collapsed="false">
      <c r="A7393" s="0" t="s">
        <v>1080</v>
      </c>
      <c r="B7393" s="0" t="s">
        <v>98</v>
      </c>
      <c r="F7393" s="6" t="n">
        <f aca="false">Sens!F7308+Sens!F7384*Sens!F7283+sbc_r*Sens!F7283</f>
        <v>26.313147686238</v>
      </c>
      <c r="G7393" s="6" t="n">
        <f aca="false">Sens!G7308+Sens!G7384*Sens!G7283+sbc_r*Sens!G7283</f>
        <v>26.8929292143083</v>
      </c>
      <c r="H7393" s="6" t="n">
        <f aca="false">Sens!H7308+Sens!H7384*Sens!H7283+sbc_r*Sens!H7283</f>
        <v>27.7479709315163</v>
      </c>
      <c r="I7393" s="6" t="n">
        <f aca="false">Sens!I7308+Sens!I7384*Sens!I7283+sbc_r*Sens!I7283</f>
        <v>28.8483382671219</v>
      </c>
      <c r="J7393" s="6" t="n">
        <f aca="false">Sens!J7308+Sens!J7384*Sens!J7283+sbc_r*Sens!J7283</f>
        <v>30.1562492668876</v>
      </c>
      <c r="K7393" s="6" t="n">
        <f aca="false">Sens!K7308+Sens!K7384*Sens!K7283+sbc_r*Sens!K7283</f>
        <v>31.6307112959357</v>
      </c>
    </row>
    <row r="7394" customFormat="false" ht="17.15" hidden="false" customHeight="false" outlineLevel="0" collapsed="false">
      <c r="A7394" s="0" t="s">
        <v>1081</v>
      </c>
      <c r="B7394" s="0" t="s">
        <v>98</v>
      </c>
      <c r="F7394" s="6" t="n">
        <f aca="false">(Sens!F7393-Sens!F7389)*Sens!F7279/(Sens!F7279+Sens!F7281)</f>
        <v>8.25306875811225</v>
      </c>
      <c r="G7394" s="6" t="n">
        <f aca="false">(Sens!G7393-Sens!G7389)*Sens!G7279/(Sens!G7279+Sens!G7281)</f>
        <v>7.84523241343328</v>
      </c>
      <c r="H7394" s="6" t="n">
        <f aca="false">(Sens!H7393-Sens!H7389)*Sens!H7279/(Sens!H7279+Sens!H7281)</f>
        <v>7.60351452533224</v>
      </c>
      <c r="I7394" s="6" t="n">
        <f aca="false">(Sens!I7393-Sens!I7389)*Sens!I7279/(Sens!I7279+Sens!I7281)</f>
        <v>7.50995648089185</v>
      </c>
      <c r="J7394" s="6" t="n">
        <f aca="false">(Sens!J7393-Sens!J7389)*Sens!J7279/(Sens!J7279+Sens!J7281)</f>
        <v>7.55162235684404</v>
      </c>
      <c r="K7394" s="6" t="n">
        <f aca="false">(Sens!K7393-Sens!K7389)*Sens!K7279/(Sens!K7279+Sens!K7281)</f>
        <v>7.72136470821067</v>
      </c>
    </row>
    <row r="7395" customFormat="false" ht="17.15" hidden="false" customHeight="false" outlineLevel="0" collapsed="false">
      <c r="A7395" s="0" t="s">
        <v>1082</v>
      </c>
      <c r="B7395" s="0" t="s">
        <v>98</v>
      </c>
      <c r="F7395" s="6" t="n">
        <f aca="false">Sens!F7393-Sens!F7389-Sens!F7394</f>
        <v>6.80204870418544</v>
      </c>
      <c r="G7395" s="6" t="n">
        <f aca="false">Sens!G7393-Sens!G7389-Sens!G7394</f>
        <v>6.72571552702421</v>
      </c>
      <c r="H7395" s="6" t="n">
        <f aca="false">Sens!H7393-Sens!H7389-Sens!H7394</f>
        <v>6.71186774068665</v>
      </c>
      <c r="I7395" s="6" t="n">
        <f aca="false">Sens!I7393-Sens!I7389-Sens!I7394</f>
        <v>6.75838113488971</v>
      </c>
      <c r="J7395" s="6" t="n">
        <f aca="false">Sens!J7393-Sens!J7389-Sens!J7394</f>
        <v>6.861050783191</v>
      </c>
      <c r="K7395" s="6" t="n">
        <f aca="false">Sens!K7393-Sens!K7389-Sens!K7394</f>
        <v>7.01527074252586</v>
      </c>
    </row>
    <row r="7396" customFormat="false" ht="17.15" hidden="false" customHeight="false" outlineLevel="0" collapsed="false">
      <c r="A7396" s="0" t="s">
        <v>1083</v>
      </c>
      <c r="B7396" s="0" t="s">
        <v>98</v>
      </c>
      <c r="F7396" s="6" t="n">
        <f aca="false">Sens!F7390-tax_f*(Sens!F7390-Sens!F7257)-Sens!F7254</f>
        <v>-120.83879197085</v>
      </c>
      <c r="G7396" s="6" t="n">
        <f aca="false">Sens!G7390-tax_f*(Sens!G7390-Sens!G7257)-Sens!G7254</f>
        <v>-109.631247236152</v>
      </c>
      <c r="H7396" s="6" t="n">
        <f aca="false">Sens!H7390-tax_f*(Sens!H7390-Sens!H7257)-Sens!H7254</f>
        <v>-76.9521312252529</v>
      </c>
      <c r="I7396" s="6" t="n">
        <f aca="false">Sens!I7390-tax_f*(Sens!I7390-Sens!I7257)-Sens!I7254</f>
        <v>-18.9768807027306</v>
      </c>
      <c r="J7396" s="6" t="n">
        <f aca="false">Sens!J7390-tax_f*(Sens!J7390-Sens!J7257)-Sens!J7254</f>
        <v>41.555177483828</v>
      </c>
      <c r="K7396" s="6" t="n">
        <f aca="false">Sens!K7390-tax_f*(Sens!K7390-Sens!K7257)-Sens!K7254</f>
        <v>62.6708197253215</v>
      </c>
    </row>
    <row r="7397" customFormat="false" ht="17.15" hidden="false" customHeight="false" outlineLevel="0" collapsed="false">
      <c r="A7397" s="0" t="s">
        <v>1084</v>
      </c>
      <c r="B7397" s="0" t="s">
        <v>98</v>
      </c>
      <c r="G7397" s="6" t="n">
        <f aca="false">Sens!G7396/(1+wacc)^(Sens!G7369-(Sens!F7369+mid_yr))</f>
        <v>-104.390147158671</v>
      </c>
      <c r="H7397" s="6" t="n">
        <f aca="false">Sens!H7396/(1+wacc)^(Sens!H7369-(Sens!F7369+mid_yr))</f>
        <v>-66.434874189118</v>
      </c>
      <c r="I7397" s="6" t="n">
        <f aca="false">Sens!I7396/(1+wacc)^(Sens!I7369-(Sens!F7369+mid_yr))</f>
        <v>-14.8542456499671</v>
      </c>
      <c r="J7397" s="6" t="n">
        <f aca="false">Sens!J7396/(1+wacc)^(Sens!J7369-(Sens!F7369+mid_yr))</f>
        <v>29.4917962985846</v>
      </c>
      <c r="K7397" s="6" t="n">
        <f aca="false">Sens!K7396/(1+wacc)^(Sens!K7369-(Sens!F7369+mid_yr))</f>
        <v>40.3266149942236</v>
      </c>
      <c r="L7397" s="1" t="s">
        <v>1085</v>
      </c>
    </row>
    <row r="7398" customFormat="false" ht="17.15" hidden="false" customHeight="false" outlineLevel="0" collapsed="false">
      <c r="A7398" s="0" t="s">
        <v>1086</v>
      </c>
      <c r="B7398" s="0" t="s">
        <v>98</v>
      </c>
      <c r="C7398" s="6" t="n">
        <f aca="false">(Sens!K7390-Sens!K7257)*(1-tax_f)*(1+g_tv)*(1-g_tv/(wacc+ronic_prem))/(wacc-g_tv)/(1+wacc)^(Sens!K7369+mid_yr-(Sens!F7369+mid_yr))</f>
        <v>275.56664465896</v>
      </c>
    </row>
    <row r="7399" customFormat="false" ht="17.15" hidden="false" customHeight="false" outlineLevel="0" collapsed="false">
      <c r="A7399" s="1" t="s">
        <v>1087</v>
      </c>
      <c r="B7399" s="0" t="s">
        <v>98</v>
      </c>
      <c r="C7399" s="6" t="n">
        <f aca="false">(SUM(Sens!G7397:K7397)+Sens!$C$7398)*(1+wacc)^(t_roll-(Sens!F7369+mid_yr))</f>
        <v>164.889508450711</v>
      </c>
      <c r="L7399" s="11" t="s">
        <v>1088</v>
      </c>
    </row>
    <row r="7400" customFormat="false" ht="17.15" hidden="false" customHeight="false" outlineLevel="0" collapsed="false">
      <c r="A7400" s="1" t="s">
        <v>1089</v>
      </c>
      <c r="B7400" s="0" t="s">
        <v>98</v>
      </c>
      <c r="C7400" s="6" t="n">
        <f aca="false">(w_ntm28*Sens!G7246+(1-w_ntm28)*Sens!H7246)*m_ai</f>
        <v>454.922440830797</v>
      </c>
    </row>
    <row r="7401" customFormat="false" ht="17.15" hidden="false" customHeight="false" outlineLevel="0" collapsed="false">
      <c r="A7401" s="1" t="s">
        <v>1090</v>
      </c>
      <c r="B7401" s="0" t="s">
        <v>98</v>
      </c>
      <c r="C7401" s="6" t="n">
        <f aca="false">(w_ntm28*Sens!G7392+(1-w_ntm28)*Sens!H7392)*m_cloud</f>
        <v>1061.49981566867</v>
      </c>
    </row>
    <row r="7402" customFormat="false" ht="17.15" hidden="false" customHeight="false" outlineLevel="0" collapsed="false">
      <c r="A7402" s="1" t="s">
        <v>1091</v>
      </c>
      <c r="B7402" s="0" t="s">
        <v>98</v>
      </c>
      <c r="C7402" s="6" t="n">
        <f aca="false">(w_ntm28*Sens!G7385+(1-w_ntm28)*Sens!H7385)*m_sw</f>
        <v>1116.77340258932</v>
      </c>
    </row>
    <row r="7403" customFormat="false" ht="17.15" hidden="false" customHeight="false" outlineLevel="0" collapsed="false">
      <c r="A7403" s="1" t="s">
        <v>1092</v>
      </c>
      <c r="B7403" s="0" t="s">
        <v>98</v>
      </c>
      <c r="C7403" s="6" t="n">
        <f aca="false">(w_ntm28*Sens!G7386+(1-w_ntm28)*Sens!H7386)*m_sw</f>
        <v>380.014849788477</v>
      </c>
    </row>
    <row r="7404" customFormat="false" ht="17.15" hidden="false" customHeight="false" outlineLevel="0" collapsed="false">
      <c r="A7404" s="1" t="s">
        <v>1093</v>
      </c>
      <c r="B7404" s="0" t="s">
        <v>98</v>
      </c>
      <c r="C7404" s="6" t="n">
        <f aca="false">(w_ntm28*Sens!G7387+(1-w_ntm28)*Sens!H7387)*m_sw</f>
        <v>109.591223719022</v>
      </c>
    </row>
    <row r="7405" customFormat="false" ht="17.15" hidden="false" customHeight="false" outlineLevel="0" collapsed="false">
      <c r="A7405" s="1" t="s">
        <v>1094</v>
      </c>
      <c r="B7405" s="0" t="s">
        <v>98</v>
      </c>
      <c r="C7405" s="6" t="n">
        <f aca="false">(w_ntm28*Sens!G7388+(1-w_ntm28)*Sens!H7388)*m_sw</f>
        <v>41.8110850498022</v>
      </c>
    </row>
    <row r="7406" customFormat="false" ht="17.15" hidden="false" customHeight="false" outlineLevel="0" collapsed="false">
      <c r="A7406" s="1" t="s">
        <v>1095</v>
      </c>
      <c r="B7406" s="0" t="s">
        <v>98</v>
      </c>
      <c r="C7406" s="6" t="n">
        <f aca="false">(w_ntm28*Sens!G7389+(1-w_ntm28)*Sens!H7389)*m_ads</f>
        <v>115.524155524979</v>
      </c>
    </row>
    <row r="7407" customFormat="false" ht="17.15" hidden="false" customHeight="false" outlineLevel="0" collapsed="false">
      <c r="A7407" s="1" t="s">
        <v>1096</v>
      </c>
      <c r="B7407" s="0" t="s">
        <v>98</v>
      </c>
      <c r="C7407" s="6" t="n">
        <f aca="false">(w_ntm28*Sens!G7394+(1-w_ntm28)*Sens!H7394)*m_game</f>
        <v>98.0983214437102</v>
      </c>
    </row>
    <row r="7408" customFormat="false" ht="17.15" hidden="false" customHeight="false" outlineLevel="0" collapsed="false">
      <c r="A7408" s="1" t="s">
        <v>1097</v>
      </c>
      <c r="B7408" s="0" t="s">
        <v>98</v>
      </c>
      <c r="C7408" s="6" t="n">
        <f aca="false">(w_ntm28*Sens!G7395+(1-w_ntm28)*Sens!H7395)*m_pc</f>
        <v>97.2563241109446</v>
      </c>
    </row>
    <row r="7409" customFormat="false" ht="17.15" hidden="false" customHeight="false" outlineLevel="0" collapsed="false">
      <c r="A7409" s="1" t="s">
        <v>1098</v>
      </c>
      <c r="B7409" s="0" t="s">
        <v>98</v>
      </c>
      <c r="C7409" s="6" t="n">
        <f aca="false">Sens!$C$7399+Sens!$C$7401+Sens!$C$7402+Sens!$C$7403+Sens!$C$7404+Sens!$C$7405+Sens!$C$7406+Sens!$C$7407+Sens!$C$7408</f>
        <v>3185.45868634563</v>
      </c>
    </row>
    <row r="7410" customFormat="false" ht="17.15" hidden="false" customHeight="false" outlineLevel="0" collapsed="false">
      <c r="A7410" s="1" t="s">
        <v>1099</v>
      </c>
      <c r="B7410" s="0" t="s">
        <v>98</v>
      </c>
      <c r="C7410" s="6" t="n">
        <f aca="false">(Sens!G7371-Sens!G7396)*t_stub</f>
        <v>47.8537909597174</v>
      </c>
      <c r="L7410" s="1" t="s">
        <v>1100</v>
      </c>
    </row>
    <row r="7411" customFormat="false" ht="17.15" hidden="false" customHeight="false" outlineLevel="0" collapsed="false">
      <c r="A7411" s="1" t="s">
        <v>1014</v>
      </c>
      <c r="B7411" s="0" t="s">
        <v>98</v>
      </c>
      <c r="C7411" s="6" t="n">
        <f aca="false">Sens!F7360+oai_v-Sens!F7349+Sens!$C$7410</f>
        <v>160.340568745908</v>
      </c>
      <c r="L7411" s="1" t="s">
        <v>1101</v>
      </c>
    </row>
    <row r="7412" customFormat="false" ht="17.15" hidden="false" customHeight="false" outlineLevel="0" collapsed="false">
      <c r="A7412" s="1" t="s">
        <v>1102</v>
      </c>
      <c r="B7412" s="0" t="s">
        <v>75</v>
      </c>
      <c r="C7412" s="5" t="n">
        <f aca="false">(Sens!$C$7409+Sens!$C$7411)/(Sens!F7362+dil_gap)-Sens!G7352*roll_div_q/q_per_yr</f>
        <v>445.30511780837</v>
      </c>
      <c r="L7412" s="1" t="s">
        <v>1103</v>
      </c>
    </row>
    <row r="7413" customFormat="false" ht="17.15" hidden="false" customHeight="false" outlineLevel="0" collapsed="false">
      <c r="A7413" s="1" t="s">
        <v>1104</v>
      </c>
      <c r="B7413" s="0" t="s">
        <v>75</v>
      </c>
      <c r="C7413" s="5" t="n">
        <f aca="false">w_dcf*Sens!$C$7383+(1-w_dcf)*Sens!$C$7412</f>
        <v>387.293683942649</v>
      </c>
    </row>
    <row r="7414" customFormat="false" ht="17.15" hidden="false" customHeight="false" outlineLevel="0" collapsed="false">
      <c r="A7414" s="3" t="s">
        <v>1452</v>
      </c>
    </row>
    <row r="7415" customFormat="false" ht="15" hidden="false" customHeight="false" outlineLevel="0" collapsed="false">
      <c r="A7415" s="4" t="s">
        <v>43</v>
      </c>
      <c r="B7415" s="4" t="s">
        <v>65</v>
      </c>
      <c r="C7415" s="20" t="s">
        <v>799</v>
      </c>
      <c r="D7415" s="20" t="s">
        <v>800</v>
      </c>
      <c r="E7415" s="20" t="s">
        <v>801</v>
      </c>
      <c r="F7415" s="20" t="s">
        <v>802</v>
      </c>
      <c r="G7415" s="20" t="s">
        <v>803</v>
      </c>
      <c r="H7415" s="20" t="s">
        <v>804</v>
      </c>
      <c r="I7415" s="20" t="s">
        <v>805</v>
      </c>
      <c r="J7415" s="20" t="s">
        <v>806</v>
      </c>
      <c r="K7415" s="20" t="s">
        <v>807</v>
      </c>
      <c r="L7415" s="4" t="s">
        <v>47</v>
      </c>
    </row>
    <row r="7416" customFormat="false" ht="17.15" hidden="false" customHeight="false" outlineLevel="0" collapsed="false">
      <c r="A7416" s="1" t="s">
        <v>808</v>
      </c>
      <c r="B7416" s="1" t="s">
        <v>235</v>
      </c>
      <c r="C7416" s="28" t="n">
        <v>2024</v>
      </c>
      <c r="D7416" s="28" t="n">
        <v>2025</v>
      </c>
      <c r="E7416" s="28" t="n">
        <v>2026</v>
      </c>
      <c r="F7416" s="28" t="n">
        <v>2027</v>
      </c>
      <c r="G7416" s="28" t="n">
        <v>2028</v>
      </c>
      <c r="H7416" s="28" t="n">
        <v>2029</v>
      </c>
      <c r="I7416" s="28" t="n">
        <v>2030</v>
      </c>
      <c r="J7416" s="28" t="n">
        <v>2031</v>
      </c>
      <c r="K7416" s="28" t="n">
        <v>2032</v>
      </c>
    </row>
    <row r="7417" customFormat="false" ht="17.15" hidden="false" customHeight="false" outlineLevel="0" collapsed="false">
      <c r="A7417" s="1" t="s">
        <v>809</v>
      </c>
      <c r="B7417" s="0" t="s">
        <v>399</v>
      </c>
      <c r="F7417" s="29" t="n">
        <f aca="false">pace</f>
        <v>2527.2</v>
      </c>
      <c r="G7417" s="29" t="n">
        <f aca="false">pace</f>
        <v>2527.2</v>
      </c>
      <c r="H7417" s="29" t="n">
        <f aca="false">pace</f>
        <v>2527.2</v>
      </c>
      <c r="I7417" s="29" t="n">
        <f aca="false">pace+(g_tv*Sens!H7418-pace)*MIN(1,(Sens!I7416-pace_y0)/(pace_y1-pace_y0))</f>
        <v>1793.116</v>
      </c>
      <c r="J7417" s="29" t="n">
        <f aca="false">pace+(g_tv*Sens!I7418-pace)*MIN(1,(Sens!J7416-pace_y0)/(pace_y1-pace_y0))</f>
        <v>1094.89432</v>
      </c>
      <c r="K7417" s="29" t="n">
        <f aca="false">pace+(g_tv*Sens!J7418-pace)*MIN(1,(Sens!K7416-pace_y0)/(pace_y1-pace_y0))</f>
        <v>411.5883096</v>
      </c>
      <c r="L7417" s="11" t="s">
        <v>810</v>
      </c>
    </row>
    <row r="7418" customFormat="false" ht="17.15" hidden="false" customHeight="false" outlineLevel="0" collapsed="false">
      <c r="A7418" s="1" t="s">
        <v>811</v>
      </c>
      <c r="B7418" s="0" t="s">
        <v>399</v>
      </c>
      <c r="C7418" s="29" t="n">
        <f aca="false">mw_ext_24</f>
        <v>640</v>
      </c>
      <c r="D7418" s="29" t="n">
        <f aca="false">mw_ext_25</f>
        <v>1630</v>
      </c>
      <c r="E7418" s="29" t="n">
        <f aca="false">mw_ext_26</f>
        <v>3250</v>
      </c>
      <c r="F7418" s="29" t="n">
        <f aca="false">Sens!E7418+Sens!F7417</f>
        <v>5777.2</v>
      </c>
      <c r="G7418" s="29" t="n">
        <f aca="false">Sens!F7418+Sens!G7417</f>
        <v>8304.4</v>
      </c>
      <c r="H7418" s="29" t="n">
        <f aca="false">Sens!G7418+Sens!H7417</f>
        <v>10831.6</v>
      </c>
      <c r="I7418" s="29" t="n">
        <f aca="false">Sens!H7418+Sens!I7417</f>
        <v>12624.716</v>
      </c>
      <c r="J7418" s="29" t="n">
        <f aca="false">Sens!I7418+Sens!J7417</f>
        <v>13719.61032</v>
      </c>
      <c r="K7418" s="29" t="n">
        <f aca="false">Sens!J7418+Sens!K7417</f>
        <v>14131.1986296</v>
      </c>
      <c r="L7418" s="1" t="s">
        <v>812</v>
      </c>
    </row>
    <row r="7419" customFormat="false" ht="17.15" hidden="false" customHeight="false" outlineLevel="0" collapsed="false">
      <c r="A7419" s="1" t="s">
        <v>813</v>
      </c>
      <c r="B7419" s="0" t="s">
        <v>399</v>
      </c>
      <c r="C7419" s="29" t="n">
        <f aca="false">rent_ext_24</f>
        <v>150</v>
      </c>
      <c r="D7419" s="29" t="n">
        <f aca="false">rent_ext_25</f>
        <v>400</v>
      </c>
      <c r="E7419" s="29" t="n">
        <f aca="false">rent_ext_26</f>
        <v>550</v>
      </c>
      <c r="F7419" s="29" t="n">
        <f aca="false">rent_ext_f</f>
        <v>756</v>
      </c>
      <c r="G7419" s="29" t="n">
        <f aca="false">rent_ext_f</f>
        <v>756</v>
      </c>
      <c r="H7419" s="29" t="n">
        <f aca="false">rent_ext_f</f>
        <v>756</v>
      </c>
      <c r="I7419" s="29" t="n">
        <f aca="false">rent_ext_f</f>
        <v>756</v>
      </c>
      <c r="J7419" s="29" t="n">
        <f aca="false">rent_ext_f</f>
        <v>756</v>
      </c>
      <c r="K7419" s="29" t="n">
        <f aca="false">rent_ext_f</f>
        <v>756</v>
      </c>
      <c r="L7419" s="1" t="s">
        <v>814</v>
      </c>
    </row>
    <row r="7420" customFormat="false" ht="17.15" hidden="false" customHeight="false" outlineLevel="0" collapsed="false">
      <c r="A7420" s="1" t="s">
        <v>815</v>
      </c>
      <c r="B7420" s="0" t="s">
        <v>399</v>
      </c>
      <c r="C7420" s="29" t="n">
        <f aca="false">Sens!C7418-Sens!C7419</f>
        <v>490</v>
      </c>
      <c r="D7420" s="29" t="n">
        <f aca="false">Sens!D7418-Sens!D7419</f>
        <v>1230</v>
      </c>
      <c r="E7420" s="29" t="n">
        <f aca="false">Sens!E7418-Sens!E7419</f>
        <v>2700</v>
      </c>
      <c r="F7420" s="29" t="n">
        <f aca="false">Sens!F7418-Sens!F7419</f>
        <v>5021.2</v>
      </c>
      <c r="G7420" s="29" t="n">
        <f aca="false">Sens!G7418-Sens!G7419</f>
        <v>7548.4</v>
      </c>
      <c r="H7420" s="29" t="n">
        <f aca="false">Sens!H7418-Sens!H7419</f>
        <v>10075.6</v>
      </c>
      <c r="I7420" s="29" t="n">
        <f aca="false">Sens!I7418-Sens!I7419</f>
        <v>11868.716</v>
      </c>
      <c r="J7420" s="29" t="n">
        <f aca="false">Sens!J7418-Sens!J7419</f>
        <v>12963.61032</v>
      </c>
      <c r="K7420" s="29" t="n">
        <f aca="false">Sens!K7418-Sens!K7419</f>
        <v>13375.1986296</v>
      </c>
    </row>
    <row r="7421" customFormat="false" ht="17.15" hidden="false" customHeight="false" outlineLevel="0" collapsed="false">
      <c r="A7421" s="1" t="s">
        <v>816</v>
      </c>
      <c r="B7421" s="0" t="s">
        <v>399</v>
      </c>
      <c r="C7421" s="29" t="n">
        <f aca="false">Sens!C7420/ext_sh</f>
        <v>816.666666666667</v>
      </c>
      <c r="D7421" s="29" t="n">
        <f aca="false">Sens!D7420/ext_sh</f>
        <v>2050</v>
      </c>
      <c r="E7421" s="29" t="n">
        <f aca="false">Sens!E7420/ext_sh</f>
        <v>4500</v>
      </c>
      <c r="F7421" s="29" t="n">
        <f aca="false">Sens!F7420/ext_sh</f>
        <v>8368.66666666667</v>
      </c>
      <c r="G7421" s="29" t="n">
        <f aca="false">Sens!G7420/ext_sh</f>
        <v>12580.6666666667</v>
      </c>
      <c r="H7421" s="29" t="n">
        <f aca="false">Sens!H7420/ext_sh</f>
        <v>16792.6666666667</v>
      </c>
      <c r="I7421" s="29" t="n">
        <f aca="false">Sens!I7420/ext_sh</f>
        <v>19781.1933333333</v>
      </c>
      <c r="J7421" s="29" t="n">
        <f aca="false">Sens!J7420/ext_sh</f>
        <v>21606.0172</v>
      </c>
      <c r="K7421" s="29" t="n">
        <f aca="false">Sens!K7420/ext_sh</f>
        <v>22291.997716</v>
      </c>
      <c r="L7421" s="1" t="s">
        <v>817</v>
      </c>
    </row>
    <row r="7422" customFormat="false" ht="17.15" hidden="false" customHeight="false" outlineLevel="0" collapsed="false">
      <c r="A7422" s="1" t="s">
        <v>818</v>
      </c>
      <c r="B7422" s="0" t="s">
        <v>399</v>
      </c>
      <c r="C7422" s="29" t="n">
        <f aca="false">Sens!C7421-Sens!C7420</f>
        <v>326.666666666667</v>
      </c>
      <c r="D7422" s="29" t="n">
        <f aca="false">Sens!D7421-Sens!D7420</f>
        <v>820</v>
      </c>
      <c r="E7422" s="29" t="n">
        <f aca="false">Sens!E7421-Sens!E7420</f>
        <v>1800</v>
      </c>
      <c r="F7422" s="29" t="n">
        <f aca="false">Sens!F7421-Sens!F7420</f>
        <v>3347.46666666667</v>
      </c>
      <c r="G7422" s="29" t="n">
        <f aca="false">Sens!G7421-Sens!G7420</f>
        <v>5032.26666666667</v>
      </c>
      <c r="H7422" s="29" t="n">
        <f aca="false">Sens!H7421-Sens!H7420</f>
        <v>6717.06666666667</v>
      </c>
      <c r="I7422" s="29" t="n">
        <f aca="false">Sens!I7421-Sens!I7420</f>
        <v>7912.47733333333</v>
      </c>
      <c r="J7422" s="29" t="n">
        <f aca="false">Sens!J7421-Sens!J7420</f>
        <v>8642.40688</v>
      </c>
      <c r="K7422" s="29" t="n">
        <f aca="false">Sens!K7421-Sens!K7420</f>
        <v>8916.7990864</v>
      </c>
    </row>
    <row r="7423" customFormat="false" ht="17.15" hidden="false" customHeight="false" outlineLevel="0" collapsed="false">
      <c r="A7423" s="1" t="s">
        <v>819</v>
      </c>
      <c r="B7423" s="0" t="s">
        <v>399</v>
      </c>
      <c r="C7423" s="29" t="n">
        <f aca="false">Sens!C7421</f>
        <v>816.666666666667</v>
      </c>
      <c r="D7423" s="29" t="n">
        <f aca="false">Sens!D7421-Sens!C7421</f>
        <v>1233.33333333333</v>
      </c>
      <c r="E7423" s="29" t="n">
        <f aca="false">Sens!E7421-Sens!D7421</f>
        <v>2450</v>
      </c>
      <c r="F7423" s="29" t="n">
        <f aca="false">Sens!F7421-Sens!E7421</f>
        <v>3868.66666666667</v>
      </c>
      <c r="G7423" s="29" t="n">
        <f aca="false">Sens!G7421-Sens!F7421</f>
        <v>4212</v>
      </c>
      <c r="H7423" s="29" t="n">
        <f aca="false">Sens!H7421-Sens!G7421</f>
        <v>4212</v>
      </c>
      <c r="I7423" s="29" t="n">
        <f aca="false">Sens!I7421-Sens!H7421</f>
        <v>2988.52666666667</v>
      </c>
      <c r="J7423" s="29" t="n">
        <f aca="false">Sens!J7421-Sens!I7421</f>
        <v>1824.82386666667</v>
      </c>
      <c r="K7423" s="29" t="n">
        <f aca="false">Sens!K7421-Sens!J7421</f>
        <v>685.980516</v>
      </c>
    </row>
    <row r="7424" customFormat="false" ht="17.15" hidden="false" customHeight="false" outlineLevel="0" collapsed="false">
      <c r="A7424" s="1" t="s">
        <v>820</v>
      </c>
      <c r="B7424" s="0" t="s">
        <v>399</v>
      </c>
      <c r="D7424" s="29" t="n">
        <f aca="false">Sens!D7418-Sens!C7418</f>
        <v>990</v>
      </c>
      <c r="E7424" s="29" t="n">
        <f aca="false">Sens!E7418-Sens!D7418</f>
        <v>1620</v>
      </c>
      <c r="F7424" s="29" t="n">
        <f aca="false">Sens!F7418-Sens!E7418</f>
        <v>2527.2</v>
      </c>
      <c r="G7424" s="29" t="n">
        <f aca="false">Sens!G7418-Sens!F7418</f>
        <v>2527.2</v>
      </c>
      <c r="H7424" s="29" t="n">
        <f aca="false">Sens!H7418-Sens!G7418</f>
        <v>2527.2</v>
      </c>
      <c r="I7424" s="29" t="n">
        <f aca="false">Sens!I7418-Sens!H7418</f>
        <v>1793.116</v>
      </c>
      <c r="J7424" s="29" t="n">
        <f aca="false">Sens!J7418-Sens!I7418</f>
        <v>1094.89432</v>
      </c>
      <c r="K7424" s="29" t="n">
        <f aca="false">Sens!K7418-Sens!J7418</f>
        <v>411.5883096</v>
      </c>
    </row>
    <row r="7425" customFormat="false" ht="17.15" hidden="false" customHeight="false" outlineLevel="0" collapsed="false">
      <c r="A7425" s="1" t="s">
        <v>821</v>
      </c>
      <c r="B7425" s="0" t="s">
        <v>399</v>
      </c>
      <c r="F7425" s="29" t="n">
        <f aca="false">Sens!F7442*ext_sh</f>
        <v>0</v>
      </c>
      <c r="G7425" s="29" t="n">
        <f aca="false">Sens!G7442*ext_sh</f>
        <v>0</v>
      </c>
      <c r="H7425" s="29" t="n">
        <f aca="false">Sens!H7442*ext_sh</f>
        <v>0</v>
      </c>
      <c r="I7425" s="29" t="n">
        <f aca="false">Sens!I7442*ext_sh</f>
        <v>490</v>
      </c>
      <c r="J7425" s="29" t="n">
        <f aca="false">Sens!J7442*ext_sh</f>
        <v>740</v>
      </c>
      <c r="K7425" s="29" t="n">
        <f aca="false">Sens!K7442*ext_sh</f>
        <v>1470</v>
      </c>
      <c r="L7425" s="1" t="s">
        <v>822</v>
      </c>
    </row>
    <row r="7426" customFormat="false" ht="17.15" hidden="false" customHeight="false" outlineLevel="0" collapsed="false">
      <c r="A7426" s="1" t="s">
        <v>823</v>
      </c>
      <c r="B7426" s="0" t="s">
        <v>399</v>
      </c>
      <c r="C7426" s="29" t="n">
        <f aca="false">mix_h*Sens!C7418</f>
        <v>128</v>
      </c>
      <c r="D7426" s="29" t="n">
        <f aca="false">mix_h*Sens!D7418</f>
        <v>326</v>
      </c>
      <c r="E7426" s="29" t="n">
        <f aca="false">mix_h*Sens!E7418</f>
        <v>650</v>
      </c>
      <c r="F7426" s="29" t="n">
        <f aca="false">Sens!E7426-Sens!F7425*mix_h</f>
        <v>650</v>
      </c>
      <c r="G7426" s="29" t="n">
        <f aca="false">Sens!F7426-Sens!G7425*mix_h</f>
        <v>650</v>
      </c>
      <c r="H7426" s="29" t="n">
        <f aca="false">Sens!G7426-Sens!H7425*mix_h</f>
        <v>650</v>
      </c>
      <c r="I7426" s="29" t="n">
        <f aca="false">Sens!H7426-Sens!I7425*mix_h</f>
        <v>552</v>
      </c>
      <c r="J7426" s="29" t="n">
        <f aca="false">Sens!I7426-Sens!J7425*mix_h</f>
        <v>404</v>
      </c>
      <c r="K7426" s="29" t="n">
        <f aca="false">Sens!J7426-Sens!K7425*mix_h</f>
        <v>110</v>
      </c>
    </row>
    <row r="7427" customFormat="false" ht="17.15" hidden="false" customHeight="false" outlineLevel="0" collapsed="false">
      <c r="A7427" s="1" t="s">
        <v>824</v>
      </c>
      <c r="B7427" s="0" t="s">
        <v>399</v>
      </c>
      <c r="C7427" s="29" t="n">
        <f aca="false">mix_g2*Sens!C7418</f>
        <v>288</v>
      </c>
      <c r="D7427" s="29" t="n">
        <f aca="false">mix_g2*Sens!D7418</f>
        <v>733.5</v>
      </c>
      <c r="E7427" s="29" t="n">
        <f aca="false">mix_g2*Sens!E7418</f>
        <v>1462.5</v>
      </c>
      <c r="F7427" s="29" t="n">
        <f aca="false">Sens!E7427-Sens!F7425*mix_g2</f>
        <v>1462.5</v>
      </c>
      <c r="G7427" s="29" t="n">
        <f aca="false">Sens!F7427-Sens!G7425*mix_g2</f>
        <v>1462.5</v>
      </c>
      <c r="H7427" s="29" t="n">
        <f aca="false">Sens!G7427-Sens!H7425*mix_g2</f>
        <v>1462.5</v>
      </c>
      <c r="I7427" s="29" t="n">
        <f aca="false">Sens!H7427-Sens!I7425*mix_g2</f>
        <v>1242</v>
      </c>
      <c r="J7427" s="29" t="n">
        <f aca="false">Sens!I7427-Sens!J7425*mix_g2</f>
        <v>909</v>
      </c>
      <c r="K7427" s="29" t="n">
        <f aca="false">Sens!J7427-Sens!K7425*mix_g2</f>
        <v>247.5</v>
      </c>
    </row>
    <row r="7428" customFormat="false" ht="17.15" hidden="false" customHeight="false" outlineLevel="0" collapsed="false">
      <c r="A7428" s="1" t="s">
        <v>825</v>
      </c>
      <c r="B7428" s="0" t="s">
        <v>399</v>
      </c>
      <c r="C7428" s="29" t="n">
        <f aca="false">mix_g3*Sens!C7418</f>
        <v>224</v>
      </c>
      <c r="D7428" s="29" t="n">
        <f aca="false">mix_g3*Sens!D7418</f>
        <v>570.5</v>
      </c>
      <c r="E7428" s="29" t="n">
        <f aca="false">mix_g3*Sens!E7418</f>
        <v>1137.5</v>
      </c>
      <c r="F7428" s="29" t="n">
        <f aca="false">Sens!E7428+(Sens!F7424+Sens!F7425)*a_g3_27-Sens!F7425*mix_g3</f>
        <v>2906.54</v>
      </c>
      <c r="G7428" s="29" t="n">
        <f aca="false">Sens!F7428+(Sens!G7424+Sens!G7425)*a_g3_28-Sens!G7425*mix_g3</f>
        <v>3664.7</v>
      </c>
      <c r="H7428" s="29" t="n">
        <f aca="false">Sens!G7428+(Sens!H7424+Sens!H7425)*a_g3_29-Sens!H7425*mix_g3</f>
        <v>3917.42</v>
      </c>
      <c r="I7428" s="29" t="n">
        <f aca="false">Sens!H7428+(Sens!I7424+Sens!I7425)*a_g3_29-Sens!I7425*mix_g3</f>
        <v>3974.2316</v>
      </c>
      <c r="J7428" s="29" t="n">
        <f aca="false">Sens!I7428+(Sens!J7424+Sens!J7425)*a_g3_29-Sens!J7425*mix_g3</f>
        <v>3898.721032</v>
      </c>
      <c r="K7428" s="29" t="n">
        <f aca="false">Sens!J7428+(Sens!K7424+Sens!K7425)*a_g3_29-Sens!K7425*mix_g3</f>
        <v>3572.37986296</v>
      </c>
    </row>
    <row r="7429" customFormat="false" ht="17.15" hidden="false" customHeight="false" outlineLevel="0" collapsed="false">
      <c r="A7429" s="1" t="s">
        <v>826</v>
      </c>
      <c r="B7429" s="0" t="s">
        <v>399</v>
      </c>
      <c r="C7429" s="29" t="n">
        <v>0</v>
      </c>
      <c r="D7429" s="29" t="n">
        <v>0</v>
      </c>
      <c r="E7429" s="29" t="n">
        <v>0</v>
      </c>
      <c r="F7429" s="29" t="n">
        <f aca="false">Sens!E7429+(Sens!F7424+Sens!F7425)*(1-a_g3_27)</f>
        <v>758.16</v>
      </c>
      <c r="G7429" s="29" t="n">
        <f aca="false">Sens!F7429+(Sens!G7424+Sens!G7425)*(1-a_g3_28)</f>
        <v>2527.2</v>
      </c>
      <c r="H7429" s="29" t="n">
        <f aca="false">Sens!G7429+(Sens!H7424+Sens!H7425)*(1-a_g3_29)</f>
        <v>4801.68</v>
      </c>
      <c r="I7429" s="29" t="n">
        <f aca="false">Sens!H7429+(Sens!I7424+Sens!I7425)*(1-a_g3_29)</f>
        <v>6856.4844</v>
      </c>
      <c r="J7429" s="29" t="n">
        <f aca="false">Sens!I7429+(Sens!J7424+Sens!J7425)*(1-a_g3_29)</f>
        <v>8507.889288</v>
      </c>
      <c r="K7429" s="29" t="n">
        <f aca="false">Sens!J7429+(Sens!K7424+Sens!K7425)*(1-a_g3_29)</f>
        <v>10201.31876664</v>
      </c>
    </row>
    <row r="7430" customFormat="false" ht="17.15" hidden="false" customHeight="false" outlineLevel="0" collapsed="false">
      <c r="A7430" s="1" t="s">
        <v>827</v>
      </c>
      <c r="B7430" s="0" t="s">
        <v>346</v>
      </c>
      <c r="C7430" s="14" t="n">
        <f aca="false">(Sens!C7426*tk_hold_h100+Sens!C7427*tk_hold_gb200+Sens!C7428*tk_hold_gb300+Sens!C7429*tk_hold_vr200)/Sens!C7418</f>
        <v>9.7235358126469</v>
      </c>
      <c r="D7430" s="14" t="n">
        <f aca="false">(Sens!D7426*tk_hold_h100+Sens!D7427*tk_hold_gb200+Sens!D7428*tk_hold_gb300+Sens!D7429*tk_hold_vr200)/Sens!D7418</f>
        <v>9.7235358126469</v>
      </c>
      <c r="E7430" s="14" t="n">
        <f aca="false">(Sens!E7426*tk_hold_h100+Sens!E7427*tk_hold_gb200+Sens!E7428*tk_hold_gb300+Sens!E7429*tk_hold_vr200)/Sens!E7418</f>
        <v>9.7235358126469</v>
      </c>
      <c r="F7430" s="14" t="n">
        <f aca="false">(Sens!F7426*tk_hold_h100+Sens!F7427*tk_hold_gb200+Sens!F7428*tk_hold_gb300+Sens!F7429*tk_hold_vr200)/Sens!F7418</f>
        <v>10.4079573161931</v>
      </c>
      <c r="G7430" s="14" t="n">
        <f aca="false">(Sens!G7426*tk_hold_h100+Sens!G7427*tk_hold_gb200+Sens!G7428*tk_hold_gb300+Sens!G7429*tk_hold_vr200)/Sens!G7418</f>
        <v>10.8388131109316</v>
      </c>
      <c r="H7430" s="14" t="n">
        <f aca="false">(Sens!H7426*tk_hold_h100+Sens!H7427*tk_hold_gb200+Sens!H7428*tk_hold_gb300+Sens!H7429*tk_hold_vr200)/Sens!H7418</f>
        <v>11.1311018388216</v>
      </c>
      <c r="I7430" s="14" t="n">
        <f aca="false">(Sens!I7426*tk_hold_h100+Sens!I7427*tk_hold_gb200+Sens!I7428*tk_hold_gb300+Sens!I7429*tk_hold_vr200)/Sens!I7418</f>
        <v>11.3594282560989</v>
      </c>
      <c r="J7430" s="14" t="n">
        <f aca="false">(Sens!J7426*tk_hold_h100+Sens!J7427*tk_hold_gb200+Sens!J7428*tk_hold_gb300+Sens!J7429*tk_hold_vr200)/Sens!J7418</f>
        <v>11.5455817917599</v>
      </c>
      <c r="K7430" s="14" t="n">
        <f aca="false">(Sens!K7426*tk_hold_h100+Sens!K7427*tk_hold_gb200+Sens!K7428*tk_hold_gb300+Sens!K7429*tk_hold_vr200)/Sens!K7418</f>
        <v>11.8078187977246</v>
      </c>
    </row>
    <row r="7431" customFormat="false" ht="17.15" hidden="false" customHeight="false" outlineLevel="0" collapsed="false">
      <c r="A7431" s="0" t="s">
        <v>828</v>
      </c>
      <c r="B7431" s="0" t="s">
        <v>185</v>
      </c>
      <c r="C7431" s="14" t="n">
        <f aca="false">k_B</f>
        <v>1.17213932619116</v>
      </c>
      <c r="D7431" s="14" t="n">
        <f aca="false">k_B</f>
        <v>1.17213932619116</v>
      </c>
      <c r="E7431" s="14" t="n">
        <f aca="false">k_B</f>
        <v>1.17213932619116</v>
      </c>
      <c r="F7431" s="14" t="n">
        <f aca="false">(k_B+((ls_C*k_long+(1-ls_C)*k_spot)-k_B)*MIN(1,(Sens!F7416-base_fy)/k_ramp))</f>
        <v>1.07843258004497</v>
      </c>
      <c r="G7431" s="14" t="n">
        <f aca="false">(k_B+((ls_C*k_long+(1-ls_C)*k_spot)-k_B)*MIN(1,(Sens!G7416-base_fy)/k_ramp))</f>
        <v>0.984725833898784</v>
      </c>
      <c r="H7431" s="14" t="n">
        <f aca="false">(k_B+((ls_C*k_long+(1-ls_C)*k_spot)-k_B)*MIN(1,(Sens!H7416-base_fy)/k_ramp))</f>
        <v>0.891019087752599</v>
      </c>
      <c r="I7431" s="14" t="n">
        <f aca="false">(k_B+((ls_C*k_long+(1-ls_C)*k_spot)-k_B)*MIN(1,(Sens!I7416-base_fy)/k_ramp))</f>
        <v>0.891019087752599</v>
      </c>
      <c r="J7431" s="14" t="n">
        <f aca="false">(k_B+((ls_C*k_long+(1-ls_C)*k_spot)-k_B)*MIN(1,(Sens!J7416-base_fy)/k_ramp))</f>
        <v>0.891019087752599</v>
      </c>
      <c r="K7431" s="14" t="n">
        <f aca="false">(k_B+((ls_C*k_long+(1-ls_C)*k_spot)-k_B)*MIN(1,(Sens!K7416-base_fy)/k_ramp))</f>
        <v>0.891019087752599</v>
      </c>
      <c r="L7431" s="1" t="s">
        <v>829</v>
      </c>
    </row>
    <row r="7432" customFormat="false" ht="17.15" hidden="false" customHeight="false" outlineLevel="0" collapsed="false">
      <c r="A7432" s="1" t="s">
        <v>830</v>
      </c>
      <c r="B7432" s="0" t="s">
        <v>346</v>
      </c>
      <c r="C7432" s="14" t="n">
        <f aca="false">Sens!C7430*Sens!C7431*chip_f</f>
        <v>11.3973387156315</v>
      </c>
      <c r="D7432" s="14" t="n">
        <f aca="false">Sens!D7430*Sens!D7431*chip_f</f>
        <v>11.3973387156315</v>
      </c>
      <c r="E7432" s="14" t="n">
        <f aca="false">Sens!E7430*Sens!E7431*chip_f</f>
        <v>11.3973387156315</v>
      </c>
      <c r="F7432" s="14" t="n">
        <f aca="false">Sens!F7430*Sens!F7431*chip_f</f>
        <v>11.2242802615</v>
      </c>
      <c r="G7432" s="14" t="n">
        <f aca="false">Sens!G7430*Sens!G7431*chip_f</f>
        <v>10.6732592791352</v>
      </c>
      <c r="H7432" s="14" t="n">
        <f aca="false">Sens!H7430*Sens!H7431*chip_f</f>
        <v>9.91802420610807</v>
      </c>
      <c r="I7432" s="14" t="n">
        <f aca="false">Sens!I7430*Sens!I7431*chip_f</f>
        <v>10.1214674021403</v>
      </c>
      <c r="J7432" s="14" t="n">
        <f aca="false">Sens!J7430*Sens!J7431*chip_f</f>
        <v>10.2873337556669</v>
      </c>
      <c r="K7432" s="14" t="n">
        <f aca="false">Sens!K7430*Sens!K7431*chip_f</f>
        <v>10.5209919334966</v>
      </c>
      <c r="L7432" s="1" t="s">
        <v>831</v>
      </c>
    </row>
    <row r="7433" customFormat="false" ht="17.15" hidden="false" customHeight="false" outlineLevel="0" collapsed="false">
      <c r="A7433" s="0" t="s">
        <v>832</v>
      </c>
      <c r="B7433" s="0" t="s">
        <v>98</v>
      </c>
      <c r="D7433" s="6" t="n">
        <f aca="false">(Sens!C7418+Sens!D7418)/2*Sens!D7432/1000</f>
        <v>12.9359794422418</v>
      </c>
      <c r="E7433" s="6" t="n">
        <f aca="false">(Sens!D7418+Sens!E7418)/2*Sens!E7432/1000</f>
        <v>27.8095064661409</v>
      </c>
      <c r="F7433" s="6" t="n">
        <f aca="false">(Sens!E7418+Sens!F7418)/2*Sens!F7432/1000</f>
        <v>50.6619113883066</v>
      </c>
      <c r="G7433" s="6" t="n">
        <f aca="false">(Sens!F7418+Sens!G7418)/2*Sens!G7432/1000</f>
        <v>75.1482839325348</v>
      </c>
      <c r="H7433" s="6" t="n">
        <f aca="false">(Sens!G7418+Sens!H7418)/2*Sens!H7432/1000</f>
        <v>94.895655604042</v>
      </c>
      <c r="I7433" s="6" t="n">
        <f aca="false">(Sens!H7418+Sens!I7418)/2*Sens!I7432/1000</f>
        <v>118.706168884151</v>
      </c>
      <c r="J7433" s="6" t="n">
        <f aca="false">(Sens!I7418+Sens!J7418)/2*Sens!J7432/1000</f>
        <v>135.50643871102</v>
      </c>
      <c r="K7433" s="6" t="n">
        <f aca="false">(Sens!J7418+Sens!K7418)/2*Sens!K7432/1000</f>
        <v>146.509068150048</v>
      </c>
      <c r="L7433" s="11" t="s">
        <v>833</v>
      </c>
    </row>
    <row r="7434" customFormat="false" ht="17.15" hidden="false" customHeight="false" outlineLevel="0" collapsed="false">
      <c r="A7434" s="1" t="s">
        <v>834</v>
      </c>
      <c r="B7434" s="0" t="s">
        <v>346</v>
      </c>
      <c r="C7434" s="14" t="n">
        <f aca="false">(Sens!C7426*tk_opex_h100+Sens!C7427*tk_opex_gb200+Sens!C7428*tk_opex_gb300+Sens!C7429*tk_opex_vr200)/Sens!C7418</f>
        <v>1.88636041306092</v>
      </c>
      <c r="D7434" s="14" t="n">
        <f aca="false">(Sens!D7426*tk_opex_h100+Sens!D7427*tk_opex_gb200+Sens!D7428*tk_opex_gb300+Sens!D7429*tk_opex_vr200)/Sens!D7418</f>
        <v>1.88636041306092</v>
      </c>
      <c r="E7434" s="14" t="n">
        <f aca="false">(Sens!E7426*tk_opex_h100+Sens!E7427*tk_opex_gb200+Sens!E7428*tk_opex_gb300+Sens!E7429*tk_opex_vr200)/Sens!E7418</f>
        <v>1.88636041306092</v>
      </c>
      <c r="F7434" s="14" t="n">
        <f aca="false">(Sens!F7426*tk_opex_h100+Sens!F7427*tk_opex_gb200+Sens!F7428*tk_opex_gb300+Sens!F7429*tk_opex_vr200)/Sens!F7418</f>
        <v>1.9430236476499</v>
      </c>
      <c r="G7434" s="14" t="n">
        <f aca="false">(Sens!G7426*tk_opex_h100+Sens!G7427*tk_opex_gb200+Sens!G7428*tk_opex_gb300+Sens!G7429*tk_opex_vr200)/Sens!G7418</f>
        <v>1.9786941852423</v>
      </c>
      <c r="H7434" s="14" t="n">
        <f aca="false">(Sens!H7426*tk_opex_h100+Sens!H7427*tk_opex_gb200+Sens!H7428*tk_opex_gb300+Sens!H7429*tk_opex_vr200)/Sens!H7418</f>
        <v>2.00289275976156</v>
      </c>
      <c r="I7434" s="14" t="n">
        <f aca="false">(Sens!I7426*tk_opex_h100+Sens!I7427*tk_opex_gb200+Sens!I7428*tk_opex_gb300+Sens!I7429*tk_opex_vr200)/Sens!I7418</f>
        <v>2.02179589661219</v>
      </c>
      <c r="J7434" s="14" t="n">
        <f aca="false">(Sens!J7426*tk_opex_h100+Sens!J7427*tk_opex_gb200+Sens!J7428*tk_opex_gb300+Sens!J7429*tk_opex_vr200)/Sens!J7418</f>
        <v>2.03720754193029</v>
      </c>
      <c r="K7434" s="14" t="n">
        <f aca="false">(Sens!K7426*tk_opex_h100+Sens!K7427*tk_opex_gb200+Sens!K7428*tk_opex_gb300+Sens!K7429*tk_opex_vr200)/Sens!K7418</f>
        <v>2.0589181353437</v>
      </c>
    </row>
    <row r="7435" customFormat="false" ht="17.15" hidden="false" customHeight="false" outlineLevel="0" collapsed="false">
      <c r="A7435" s="0" t="s">
        <v>835</v>
      </c>
      <c r="B7435" s="0" t="s">
        <v>98</v>
      </c>
      <c r="D7435" s="6" t="n">
        <f aca="false">(Sens!C7421+Sens!D7421)/2*Sens!D7434/1000</f>
        <v>2.70378325872065</v>
      </c>
      <c r="E7435" s="6" t="n">
        <f aca="false">(Sens!D7421+Sens!E7421)/2*Sens!E7434/1000</f>
        <v>6.17783035277451</v>
      </c>
      <c r="F7435" s="6" t="n">
        <f aca="false">(Sens!E7421+Sens!F7421)/2*Sens!F7434/1000</f>
        <v>12.5020618235287</v>
      </c>
      <c r="G7435" s="6" t="n">
        <f aca="false">(Sens!F7421+Sens!G7421)/2*Sens!G7434/1000</f>
        <v>20.7261620256847</v>
      </c>
      <c r="H7435" s="6" t="n">
        <f aca="false">(Sens!G7421+Sens!H7421)/2*Sens!H7434/1000</f>
        <v>29.4158183316982</v>
      </c>
      <c r="I7435" s="6" t="n">
        <f aca="false">(Sens!H7421+Sens!I7421)/2*Sens!I7434/1000</f>
        <v>36.9724400356344</v>
      </c>
      <c r="J7435" s="6" t="n">
        <f aca="false">(Sens!I7421+Sens!J7421)/2*Sens!J7434/1000</f>
        <v>42.1571687189816</v>
      </c>
      <c r="K7435" s="6" t="n">
        <f aca="false">(Sens!J7421+Sens!K7421)/2*Sens!K7434/1000</f>
        <v>45.1912095080704</v>
      </c>
    </row>
    <row r="7436" customFormat="false" ht="17.15" hidden="false" customHeight="false" outlineLevel="0" collapsed="false">
      <c r="A7436" s="0" t="s">
        <v>836</v>
      </c>
      <c r="B7436" s="0" t="s">
        <v>98</v>
      </c>
      <c r="D7436" s="6" t="n">
        <f aca="false">(Sens!C7419+Sens!D7419)/2*rent_mw/1000</f>
        <v>2.44475</v>
      </c>
      <c r="E7436" s="6" t="n">
        <f aca="false">(Sens!D7419+Sens!E7419)/2*rent_mw/1000</f>
        <v>4.22275</v>
      </c>
      <c r="F7436" s="6" t="n">
        <f aca="false">(Sens!E7419+Sens!F7419)/2*rent_mw/1000</f>
        <v>5.80517</v>
      </c>
      <c r="G7436" s="6" t="n">
        <f aca="false">(Sens!F7419+Sens!G7419)/2*rent_mw/1000</f>
        <v>6.72084</v>
      </c>
      <c r="H7436" s="6" t="n">
        <f aca="false">(Sens!G7419+Sens!H7419)/2*rent_mw/1000</f>
        <v>6.72084</v>
      </c>
      <c r="I7436" s="6" t="n">
        <f aca="false">(Sens!H7419+Sens!I7419)/2*rent_mw/1000</f>
        <v>6.72084</v>
      </c>
      <c r="J7436" s="6" t="n">
        <f aca="false">(Sens!I7419+Sens!J7419)/2*rent_mw/1000</f>
        <v>6.72084</v>
      </c>
      <c r="K7436" s="6" t="n">
        <f aca="false">(Sens!J7419+Sens!K7419)/2*rent_mw/1000</f>
        <v>6.72084</v>
      </c>
    </row>
    <row r="7437" customFormat="false" ht="17.15" hidden="false" customHeight="false" outlineLevel="0" collapsed="false">
      <c r="A7437" s="0" t="s">
        <v>837</v>
      </c>
      <c r="B7437" s="0" t="s">
        <v>98</v>
      </c>
      <c r="D7437" s="6" t="n">
        <f aca="false">(Sens!C7421+Sens!D7421)/2*(1-self_build)*fac_rent/1000</f>
        <v>0.853242375631075</v>
      </c>
      <c r="E7437" s="6" t="n">
        <f aca="false">(Sens!D7421+Sens!E7421)/2*(1-self_build)*fac_rent/1000</f>
        <v>1.94955961408728</v>
      </c>
      <c r="F7437" s="6" t="n">
        <f aca="false">(Sens!E7421+Sens!F7421)/2*(1-self_build)*fac_rent/1000</f>
        <v>3.83026455274573</v>
      </c>
      <c r="G7437" s="6" t="n">
        <f aca="false">(Sens!F7421+Sens!G7421)/2*(1-self_build)*fac_rent/1000</f>
        <v>6.23541590972812</v>
      </c>
      <c r="H7437" s="6" t="n">
        <f aca="false">(Sens!G7421+Sens!H7421)/2*(1-self_build)*fac_rent/1000</f>
        <v>8.74275792332679</v>
      </c>
      <c r="I7437" s="6" t="n">
        <f aca="false">(Sens!H7421+Sens!I7421)/2*(1-self_build)*fac_rent/1000</f>
        <v>10.8859420438599</v>
      </c>
      <c r="J7437" s="6" t="n">
        <f aca="false">(Sens!I7421+Sens!J7421)/2*(1-self_build)*fac_rent/1000</f>
        <v>12.3186006405366</v>
      </c>
      <c r="K7437" s="6" t="n">
        <f aca="false">(Sens!J7421+Sens!K7421)/2*(1-self_build)*fac_rent/1000</f>
        <v>13.0659232089824</v>
      </c>
      <c r="L7437" s="11" t="s">
        <v>838</v>
      </c>
    </row>
    <row r="7438" customFormat="false" ht="17.15" hidden="false" customHeight="false" outlineLevel="0" collapsed="false">
      <c r="A7438" s="1" t="s">
        <v>839</v>
      </c>
      <c r="B7438" s="0" t="s">
        <v>129</v>
      </c>
      <c r="D7438" s="7" t="n">
        <f aca="false">(Sens!C7420+Sens!D7420)/(Sens!C7421+Sens!D7421)</f>
        <v>0.6</v>
      </c>
      <c r="E7438" s="7" t="n">
        <f aca="false">(Sens!D7420+Sens!E7420)/(Sens!D7421+Sens!E7421)</f>
        <v>0.6</v>
      </c>
      <c r="F7438" s="7" t="n">
        <f aca="false">(Sens!E7420+Sens!F7420)/(Sens!E7421+Sens!F7421)</f>
        <v>0.6</v>
      </c>
      <c r="G7438" s="7" t="n">
        <f aca="false">(Sens!F7420+Sens!G7420)/(Sens!F7421+Sens!G7421)</f>
        <v>0.6</v>
      </c>
      <c r="H7438" s="7" t="n">
        <f aca="false">(Sens!G7420+Sens!H7420)/(Sens!G7421+Sens!H7421)</f>
        <v>0.6</v>
      </c>
      <c r="I7438" s="7" t="n">
        <f aca="false">(Sens!H7420+Sens!I7420)/(Sens!H7421+Sens!I7421)</f>
        <v>0.6</v>
      </c>
      <c r="J7438" s="7" t="n">
        <f aca="false">(Sens!I7420+Sens!J7420)/(Sens!I7421+Sens!J7421)</f>
        <v>0.6</v>
      </c>
      <c r="K7438" s="7" t="n">
        <f aca="false">(Sens!J7420+Sens!K7420)/(Sens!J7421+Sens!K7421)</f>
        <v>0.6</v>
      </c>
    </row>
    <row r="7439" customFormat="false" ht="17.15" hidden="false" customHeight="false" outlineLevel="0" collapsed="false">
      <c r="A7439" s="0" t="s">
        <v>840</v>
      </c>
      <c r="B7439" s="0" t="s">
        <v>98</v>
      </c>
      <c r="D7439" s="6" t="n">
        <f aca="false">Sens!D7433-Sens!D7438*(Sens!D7435+Sens!D7437)-Sens!D7436</f>
        <v>8.35701406163072</v>
      </c>
      <c r="E7439" s="6" t="n">
        <f aca="false">Sens!E7433-Sens!E7438*(Sens!E7435+Sens!E7437)-Sens!E7436</f>
        <v>18.7103224860238</v>
      </c>
      <c r="F7439" s="6" t="n">
        <f aca="false">Sens!F7433-Sens!F7438*(Sens!F7435+Sens!F7437)-Sens!F7436</f>
        <v>35.0573455625419</v>
      </c>
      <c r="G7439" s="6" t="n">
        <f aca="false">Sens!G7433-Sens!G7438*(Sens!G7435+Sens!G7437)-Sens!G7436</f>
        <v>52.2504971712871</v>
      </c>
      <c r="H7439" s="6" t="n">
        <f aca="false">Sens!H7433-Sens!H7438*(Sens!H7435+Sens!H7437)-Sens!H7436</f>
        <v>65.2796698510271</v>
      </c>
      <c r="I7439" s="6" t="n">
        <f aca="false">Sens!I7433-Sens!I7438*(Sens!I7435+Sens!I7437)-Sens!I7436</f>
        <v>83.2702996364549</v>
      </c>
      <c r="J7439" s="6" t="n">
        <f aca="false">Sens!J7433-Sens!J7438*(Sens!J7435+Sens!J7437)-Sens!J7436</f>
        <v>96.1001370953095</v>
      </c>
      <c r="K7439" s="6" t="n">
        <f aca="false">Sens!K7433-Sens!K7438*(Sens!K7435+Sens!K7437)-Sens!K7436</f>
        <v>104.833948519816</v>
      </c>
    </row>
    <row r="7440" customFormat="false" ht="17.15" hidden="false" customHeight="false" outlineLevel="0" collapsed="false">
      <c r="A7440" s="1" t="s">
        <v>841</v>
      </c>
      <c r="B7440" s="0" t="s">
        <v>98</v>
      </c>
      <c r="D7440" s="6" t="n">
        <f aca="false">(1-Sens!D7438)*(Sens!D7435+Sens!D7437)</f>
        <v>1.42281025374069</v>
      </c>
      <c r="E7440" s="6" t="n">
        <f aca="false">(1-Sens!E7438)*(Sens!E7435+Sens!E7437)</f>
        <v>3.25095598674472</v>
      </c>
      <c r="F7440" s="6" t="n">
        <f aca="false">(1-Sens!F7438)*(Sens!F7435+Sens!F7437)</f>
        <v>6.53293055050977</v>
      </c>
      <c r="G7440" s="6" t="n">
        <f aca="false">(1-Sens!G7438)*(Sens!G7435+Sens!G7437)</f>
        <v>10.7846311741651</v>
      </c>
      <c r="H7440" s="6" t="n">
        <f aca="false">(1-Sens!H7438)*(Sens!H7435+Sens!H7437)</f>
        <v>15.26343050201</v>
      </c>
      <c r="I7440" s="6" t="n">
        <f aca="false">(1-Sens!I7438)*(Sens!I7435+Sens!I7437)</f>
        <v>19.1433528317977</v>
      </c>
      <c r="J7440" s="6" t="n">
        <f aca="false">(1-Sens!J7438)*(Sens!J7435+Sens!J7437)</f>
        <v>21.7903077438073</v>
      </c>
      <c r="K7440" s="6" t="n">
        <f aca="false">(1-Sens!K7438)*(Sens!K7435+Sens!K7437)</f>
        <v>23.3028530868211</v>
      </c>
    </row>
    <row r="7441" customFormat="false" ht="17.15" hidden="false" customHeight="false" outlineLevel="0" collapsed="false">
      <c r="A7441" s="1" t="s">
        <v>842</v>
      </c>
      <c r="B7441" s="0" t="s">
        <v>357</v>
      </c>
      <c r="C7441" s="8" t="n">
        <f aca="false">cxit_open</f>
        <v>27.5918995</v>
      </c>
      <c r="D7441" s="8" t="n">
        <f aca="false">cxit_open</f>
        <v>27.5918995</v>
      </c>
      <c r="E7441" s="8" t="n">
        <f aca="false">cxit_open</f>
        <v>27.5918995</v>
      </c>
      <c r="F7441" s="8" t="n">
        <f aca="false">(a_g3_27*tk_cxit_gb300+(1-a_g3_27)*tk_cxit_vr200)</f>
        <v>33.8419624</v>
      </c>
      <c r="G7441" s="8" t="n">
        <f aca="false">(a_g3_28*tk_cxit_gb300+(1-a_g3_28)*tk_cxit_vr200)</f>
        <v>35.9816136</v>
      </c>
      <c r="H7441" s="8" t="n">
        <f aca="false">(a_g3_29*tk_cxit_gb300+(1-a_g3_29)*tk_cxit_vr200)</f>
        <v>37.0514392</v>
      </c>
      <c r="I7441" s="8" t="n">
        <f aca="false">(a_g3_29*tk_cxit_gb300+(1-a_g3_29)*tk_cxit_vr200)</f>
        <v>37.0514392</v>
      </c>
      <c r="J7441" s="8" t="n">
        <f aca="false">(a_g3_29*tk_cxit_gb300+(1-a_g3_29)*tk_cxit_vr200)</f>
        <v>37.0514392</v>
      </c>
      <c r="K7441" s="8" t="n">
        <f aca="false">(a_g3_29*tk_cxit_gb300+(1-a_g3_29)*tk_cxit_vr200)</f>
        <v>37.0514392</v>
      </c>
      <c r="L7441" s="11" t="s">
        <v>843</v>
      </c>
    </row>
    <row r="7442" customFormat="false" ht="17.15" hidden="false" customHeight="false" outlineLevel="0" collapsed="false">
      <c r="A7442" s="0" t="s">
        <v>844</v>
      </c>
      <c r="B7442" s="0" t="s">
        <v>399</v>
      </c>
      <c r="F7442" s="29" t="n">
        <f aca="false">Sens!C7423*IF(Sens!F7416-Sens!C7416=life_it,1,0)+Sens!D7423*IF(Sens!F7416-Sens!D7416=life_it,1,0)+Sens!E7423*IF(Sens!F7416-Sens!E7416=life_it,1,0)</f>
        <v>0</v>
      </c>
      <c r="G7442" s="29" t="n">
        <f aca="false">Sens!C7423*IF(Sens!G7416-Sens!C7416=life_it,1,0)+Sens!D7423*IF(Sens!G7416-Sens!D7416=life_it,1,0)+Sens!E7423*IF(Sens!G7416-Sens!E7416=life_it,1,0)+Sens!F7423*IF(Sens!G7416-Sens!F7416=life_it,1,0)</f>
        <v>0</v>
      </c>
      <c r="H7442" s="29" t="n">
        <f aca="false">Sens!C7423*IF(Sens!H7416-Sens!C7416=life_it,1,0)+Sens!D7423*IF(Sens!H7416-Sens!D7416=life_it,1,0)+Sens!E7423*IF(Sens!H7416-Sens!E7416=life_it,1,0)+Sens!F7423*IF(Sens!H7416-Sens!F7416=life_it,1,0)+Sens!G7423*IF(Sens!H7416-Sens!G7416=life_it,1,0)</f>
        <v>0</v>
      </c>
      <c r="I7442" s="29" t="n">
        <f aca="false">Sens!C7423*IF(Sens!I7416-Sens!C7416=life_it,1,0)+Sens!D7423*IF(Sens!I7416-Sens!D7416=life_it,1,0)+Sens!E7423*IF(Sens!I7416-Sens!E7416=life_it,1,0)+Sens!F7423*IF(Sens!I7416-Sens!F7416=life_it,1,0)+Sens!G7423*IF(Sens!I7416-Sens!G7416=life_it,1,0)+Sens!H7423*IF(Sens!I7416-Sens!H7416=life_it,1,0)</f>
        <v>816.666666666667</v>
      </c>
      <c r="J7442" s="29" t="n">
        <f aca="false">Sens!C7423*IF(Sens!J7416-Sens!C7416=life_it,1,0)+Sens!D7423*IF(Sens!J7416-Sens!D7416=life_it,1,0)+Sens!E7423*IF(Sens!J7416-Sens!E7416=life_it,1,0)+Sens!F7423*IF(Sens!J7416-Sens!F7416=life_it,1,0)+Sens!G7423*IF(Sens!J7416-Sens!G7416=life_it,1,0)+Sens!H7423*IF(Sens!J7416-Sens!H7416=life_it,1,0)+Sens!I7423*IF(Sens!J7416-Sens!I7416=life_it,1,0)</f>
        <v>1233.33333333333</v>
      </c>
      <c r="K7442" s="29" t="n">
        <f aca="false">Sens!C7423*IF(Sens!K7416-Sens!C7416=life_it,1,0)+Sens!D7423*IF(Sens!K7416-Sens!D7416=life_it,1,0)+Sens!E7423*IF(Sens!K7416-Sens!E7416=life_it,1,0)+Sens!F7423*IF(Sens!K7416-Sens!F7416=life_it,1,0)+Sens!G7423*IF(Sens!K7416-Sens!G7416=life_it,1,0)+Sens!H7423*IF(Sens!K7416-Sens!H7416=life_it,1,0)+Sens!I7423*IF(Sens!K7416-Sens!I7416=life_it,1,0)+Sens!J7423*IF(Sens!K7416-Sens!J7416=life_it,1,0)</f>
        <v>2450</v>
      </c>
      <c r="L7442" s="1" t="s">
        <v>845</v>
      </c>
    </row>
    <row r="7443" customFormat="false" ht="17.15" hidden="false" customHeight="false" outlineLevel="0" collapsed="false">
      <c r="A7443" s="0" t="s">
        <v>846</v>
      </c>
      <c r="B7443" s="0" t="s">
        <v>98</v>
      </c>
      <c r="C7443" s="6" t="n">
        <f aca="false">Sens!C7423*Sens!C7441/1000</f>
        <v>22.5333845916667</v>
      </c>
      <c r="D7443" s="6" t="n">
        <f aca="false">Sens!D7423*Sens!D7441/1000</f>
        <v>34.0300093833333</v>
      </c>
      <c r="E7443" s="6" t="n">
        <f aca="false">Sens!E7423*Sens!E7441/1000</f>
        <v>67.600153775</v>
      </c>
      <c r="F7443" s="6" t="n">
        <f aca="false">(Sens!F7423+Sens!F7442)*Sens!F7441/1000</f>
        <v>130.923271871467</v>
      </c>
      <c r="G7443" s="6" t="n">
        <f aca="false">(Sens!G7423+Sens!G7442)*Sens!G7441/1000</f>
        <v>151.5545564832</v>
      </c>
      <c r="H7443" s="6" t="n">
        <f aca="false">(Sens!H7423+Sens!H7442)*Sens!H7441/1000</f>
        <v>156.0606619104</v>
      </c>
      <c r="I7443" s="6" t="n">
        <f aca="false">(Sens!I7423+Sens!I7442)*Sens!I7441/1000</f>
        <v>140.987889434245</v>
      </c>
      <c r="J7443" s="6" t="n">
        <f aca="false">(Sens!J7423+Sens!J7442)*Sens!J7441/1000</f>
        <v>113.309125559842</v>
      </c>
      <c r="K7443" s="6" t="n">
        <f aca="false">(Sens!K7423+Sens!K7442)*Sens!K7441/1000</f>
        <v>116.192591420959</v>
      </c>
    </row>
    <row r="7444" customFormat="false" ht="17.15" hidden="false" customHeight="false" outlineLevel="0" collapsed="false">
      <c r="A7444" s="0" t="s">
        <v>847</v>
      </c>
      <c r="B7444" s="0" t="s">
        <v>98</v>
      </c>
      <c r="C7444" s="6" t="n">
        <f aca="false">Sens!C7423*self_build*tk_cxfac/1000</f>
        <v>6.2083</v>
      </c>
      <c r="D7444" s="6" t="n">
        <f aca="false">Sens!D7423*self_build*tk_cxfac/1000</f>
        <v>9.3758</v>
      </c>
      <c r="E7444" s="6" t="n">
        <f aca="false">Sens!E7423*self_build*tk_cxfac/1000</f>
        <v>18.6249</v>
      </c>
      <c r="F7444" s="6" t="n">
        <f aca="false">Sens!F7423*self_build*tk_cxfac/1000</f>
        <v>29.409604</v>
      </c>
      <c r="G7444" s="6" t="n">
        <f aca="false">Sens!G7423*self_build*tk_cxfac/1000</f>
        <v>32.019624</v>
      </c>
      <c r="H7444" s="6" t="n">
        <f aca="false">Sens!H7423*self_build*tk_cxfac/1000</f>
        <v>32.019624</v>
      </c>
      <c r="I7444" s="6" t="n">
        <f aca="false">Sens!I7423*self_build*tk_cxfac/1000</f>
        <v>22.71877972</v>
      </c>
      <c r="J7444" s="6" t="n">
        <f aca="false">Sens!J7423*self_build*tk_cxfac/1000</f>
        <v>13.8723110344</v>
      </c>
      <c r="K7444" s="6" t="n">
        <f aca="false">Sens!K7423*self_build*tk_cxfac/1000</f>
        <v>5.214823882632</v>
      </c>
    </row>
    <row r="7445" customFormat="false" ht="17.15" hidden="false" customHeight="false" outlineLevel="0" collapsed="false">
      <c r="A7445" s="0" t="s">
        <v>848</v>
      </c>
      <c r="B7445" s="0" t="s">
        <v>98</v>
      </c>
      <c r="F7445" s="6" t="n">
        <f aca="false">MAX(0,capex_floor27-Sens!F7443-Sens!F7444-Sens!F7539)</f>
        <v>8.22777689897089</v>
      </c>
    </row>
    <row r="7446" customFormat="false" ht="17.15" hidden="false" customHeight="false" outlineLevel="0" collapsed="false">
      <c r="A7446" s="0" t="s">
        <v>849</v>
      </c>
      <c r="B7446" s="0" t="s">
        <v>98</v>
      </c>
      <c r="C7446" s="6" t="n">
        <f aca="false">Sens!C7443</f>
        <v>22.5333845916667</v>
      </c>
      <c r="D7446" s="6" t="n">
        <f aca="false">Sens!D7443</f>
        <v>34.0300093833333</v>
      </c>
      <c r="E7446" s="6" t="n">
        <f aca="false">Sens!E7443</f>
        <v>67.600153775</v>
      </c>
      <c r="F7446" s="6" t="n">
        <f aca="false">Sens!F7443</f>
        <v>130.923271871467</v>
      </c>
      <c r="G7446" s="6" t="n">
        <f aca="false">Sens!G7443</f>
        <v>151.5545564832</v>
      </c>
      <c r="H7446" s="6" t="n">
        <f aca="false">Sens!H7443</f>
        <v>156.0606619104</v>
      </c>
      <c r="I7446" s="6" t="n">
        <f aca="false">Sens!I7443</f>
        <v>140.987889434245</v>
      </c>
      <c r="J7446" s="6" t="n">
        <f aca="false">Sens!J7443</f>
        <v>113.309125559842</v>
      </c>
      <c r="K7446" s="6" t="n">
        <f aca="false">Sens!K7443</f>
        <v>116.192591420959</v>
      </c>
    </row>
    <row r="7447" customFormat="false" ht="17.15" hidden="false" customHeight="false" outlineLevel="0" collapsed="false">
      <c r="A7447" s="0" t="s">
        <v>850</v>
      </c>
      <c r="B7447" s="0" t="s">
        <v>98</v>
      </c>
      <c r="C7447" s="6" t="n">
        <f aca="false">Sens!C7446+Sens!C7444</f>
        <v>28.7416845916667</v>
      </c>
      <c r="D7447" s="6" t="n">
        <f aca="false">Sens!D7446+Sens!D7444</f>
        <v>43.4058093833333</v>
      </c>
      <c r="E7447" s="6" t="n">
        <f aca="false">Sens!E7446+Sens!E7444</f>
        <v>86.225053775</v>
      </c>
      <c r="F7447" s="6" t="n">
        <f aca="false">Sens!F7446+Sens!F7444</f>
        <v>160.332875871467</v>
      </c>
      <c r="G7447" s="6" t="n">
        <f aca="false">Sens!G7446+Sens!G7444</f>
        <v>183.5741804832</v>
      </c>
      <c r="H7447" s="6" t="n">
        <f aca="false">Sens!H7446+Sens!H7444</f>
        <v>188.0802859104</v>
      </c>
      <c r="I7447" s="6" t="n">
        <f aca="false">Sens!I7446+Sens!I7444</f>
        <v>163.706669154245</v>
      </c>
      <c r="J7447" s="6" t="n">
        <f aca="false">Sens!J7446+Sens!J7444</f>
        <v>127.181436594242</v>
      </c>
      <c r="K7447" s="6" t="n">
        <f aca="false">Sens!K7446+Sens!K7444</f>
        <v>121.407415303591</v>
      </c>
      <c r="L7447" s="11" t="s">
        <v>851</v>
      </c>
    </row>
    <row r="7448" customFormat="false" ht="17.15" hidden="false" customHeight="false" outlineLevel="0" collapsed="false">
      <c r="A7448" s="0" t="s">
        <v>852</v>
      </c>
      <c r="B7448" s="0" t="s">
        <v>98</v>
      </c>
      <c r="E7448" s="6" t="n">
        <f aca="false">(Sens!C7446*IF(2&lt;life_it,1,IF(2=life_it,0.5,0))+Sens!D7446*IF(1&lt;life_it,1,IF(1=life_it,0.5,0))+Sens!E7446*0.5)/life_it</f>
        <v>15.0605784770833</v>
      </c>
      <c r="F7448" s="6" t="n">
        <f aca="false">(Sens!C7446*IF(3&lt;life_it,1,IF(3=life_it,0.5,0))+Sens!D7446*IF(2&lt;life_it,1,IF(2=life_it,0.5,0))+Sens!E7446*IF(1&lt;life_it,1,IF(1=life_it,0.5,0))+Sens!F7446*0.5)/life_it</f>
        <v>31.6041972809556</v>
      </c>
      <c r="G7448" s="6" t="n">
        <f aca="false">(Sens!C7446*IF(4&lt;life_it,1,IF(4=life_it,0.5,0))+Sens!D7446*IF(3&lt;life_it,1,IF(3=life_it,0.5,0))+Sens!E7446*IF(2&lt;life_it,1,IF(2=life_it,0.5,0))+Sens!F7446*IF(1&lt;life_it,1,IF(1=life_it,0.5,0))+Sens!G7446*0.5)/life_it</f>
        <v>55.1440163105111</v>
      </c>
      <c r="H7448" s="6" t="n">
        <f aca="false">(Sens!C7446*IF(5&lt;life_it,1,IF(5=life_it,0.5,0))+Sens!D7446*IF(4&lt;life_it,1,IF(4=life_it,0.5,0))+Sens!E7446*IF(3&lt;life_it,1,IF(3=life_it,0.5,0))+Sens!F7446*IF(2&lt;life_it,1,IF(2=life_it,0.5,0))+Sens!G7446*IF(1&lt;life_it,1,IF(1=life_it,0.5,0))+Sens!H7446*0.5)/life_it</f>
        <v>80.7786178433111</v>
      </c>
      <c r="I7448" s="6" t="n">
        <f aca="false">(Sens!C7446*IF(6&lt;life_it,1,IF(6=life_it,0.5,0))+Sens!D7446*IF(5&lt;life_it,1,IF(5=life_it,0.5,0))+Sens!E7446*IF(4&lt;life_it,1,IF(4=life_it,0.5,0))+Sens!F7446*IF(3&lt;life_it,1,IF(3=life_it,0.5,0))+Sens!G7446*IF(2&lt;life_it,1,IF(2=life_it,0.5,0))+Sens!H7446*IF(1&lt;life_it,1,IF(1=life_it,0.5,0))+Sens!I7446*0.5)/life_it</f>
        <v>103.654881739393</v>
      </c>
      <c r="J7448" s="6" t="n">
        <f aca="false">(Sens!C7446*IF(7&lt;life_it,1,IF(7=life_it,0.5,0))+Sens!D7446*IF(6&lt;life_it,1,IF(6=life_it,0.5,0))+Sens!E7446*IF(5&lt;life_it,1,IF(5=life_it,0.5,0))+Sens!F7446*IF(4&lt;life_it,1,IF(4=life_it,0.5,0))+Sens!G7446*IF(3&lt;life_it,1,IF(3=life_it,0.5,0))+Sens!H7446*IF(2&lt;life_it,1,IF(2=life_it,0.5,0))+Sens!I7446*IF(1&lt;life_it,1,IF(1=life_it,0.5,0))+Sens!J7446*0.5)/life_it</f>
        <v>120.132683490983</v>
      </c>
      <c r="K7448" s="6" t="n">
        <f aca="false">(Sens!C7446*IF(8&lt;life_it,1,IF(8=life_it,0.5,0))+Sens!D7446*IF(7&lt;life_it,1,IF(7=life_it,0.5,0))+Sens!E7446*IF(6&lt;life_it,1,IF(6=life_it,0.5,0))+Sens!F7446*IF(5&lt;life_it,1,IF(5=life_it,0.5,0))+Sens!G7446*IF(4&lt;life_it,1,IF(4=life_it,0.5,0))+Sens!H7446*IF(3&lt;life_it,1,IF(3=life_it,0.5,0))+Sens!I7446*IF(2&lt;life_it,1,IF(2=life_it,0.5,0))+Sens!J7446*IF(1&lt;life_it,1,IF(1=life_it,0.5,0))+Sens!K7446*0.5)/life_it</f>
        <v>130.788646309522</v>
      </c>
    </row>
    <row r="7449" customFormat="false" ht="17.15" hidden="false" customHeight="false" outlineLevel="0" collapsed="false">
      <c r="A7449" s="0" t="s">
        <v>853</v>
      </c>
      <c r="B7449" s="0" t="s">
        <v>98</v>
      </c>
      <c r="E7449" s="6" t="n">
        <f aca="false">(Sens!C7444*IF(2&lt;life_fac,1,IF(2=life_fac,0.5,0))+Sens!D7444*IF(1&lt;life_fac,1,IF(1=life_fac,0.5,0))+Sens!E7444*0.5)/life_fac</f>
        <v>1.2448275</v>
      </c>
      <c r="F7449" s="6" t="n">
        <f aca="false">(Sens!C7444*IF(3&lt;life_fac,1,IF(3=life_fac,0.5,0))+Sens!D7444*IF(2&lt;life_fac,1,IF(2=life_fac,0.5,0))+Sens!E7444*IF(1&lt;life_fac,1,IF(1=life_fac,0.5,0))+Sens!F7444*0.5)/life_fac</f>
        <v>2.4456901</v>
      </c>
      <c r="G7449" s="6" t="n">
        <f aca="false">(Sens!C7444*IF(4&lt;life_fac,1,IF(4=life_fac,0.5,0))+Sens!D7444*IF(3&lt;life_fac,1,IF(3=life_fac,0.5,0))+Sens!E7444*IF(2&lt;life_fac,1,IF(2=life_fac,0.5,0))+Sens!F7444*IF(1&lt;life_fac,1,IF(1=life_fac,0.5,0))+Sens!G7444*0.5)/life_fac</f>
        <v>3.9814208</v>
      </c>
      <c r="H7449" s="6" t="n">
        <f aca="false">(Sens!C7444*IF(5&lt;life_fac,1,IF(5=life_fac,0.5,0))+Sens!D7444*IF(4&lt;life_fac,1,IF(4=life_fac,0.5,0))+Sens!E7444*IF(3&lt;life_fac,1,IF(3=life_fac,0.5,0))+Sens!F7444*IF(2&lt;life_fac,1,IF(2=life_fac,0.5,0))+Sens!G7444*IF(1&lt;life_fac,1,IF(1=life_fac,0.5,0))+Sens!H7444*0.5)/life_fac</f>
        <v>5.582402</v>
      </c>
      <c r="I7449" s="6" t="n">
        <f aca="false">(Sens!C7444*IF(6&lt;life_fac,1,IF(6=life_fac,0.5,0))+Sens!D7444*IF(5&lt;life_fac,1,IF(5=life_fac,0.5,0))+Sens!E7444*IF(4&lt;life_fac,1,IF(4=life_fac,0.5,0))+Sens!F7444*IF(3&lt;life_fac,1,IF(3=life_fac,0.5,0))+Sens!G7444*IF(2&lt;life_fac,1,IF(2=life_fac,0.5,0))+Sens!H7444*IF(1&lt;life_fac,1,IF(1=life_fac,0.5,0))+Sens!I7444*0.5)/life_fac</f>
        <v>6.950862093</v>
      </c>
      <c r="J7449" s="6" t="n">
        <f aca="false">(Sens!C7444*IF(7&lt;life_fac,1,IF(7=life_fac,0.5,0))+Sens!D7444*IF(6&lt;life_fac,1,IF(6=life_fac,0.5,0))+Sens!E7444*IF(5&lt;life_fac,1,IF(5=life_fac,0.5,0))+Sens!F7444*IF(4&lt;life_fac,1,IF(4=life_fac,0.5,0))+Sens!G7444*IF(3&lt;life_fac,1,IF(3=life_fac,0.5,0))+Sens!H7444*IF(2&lt;life_fac,1,IF(2=life_fac,0.5,0))+Sens!I7444*IF(1&lt;life_fac,1,IF(1=life_fac,0.5,0))+Sens!J7444*0.5)/life_fac</f>
        <v>7.86563936186</v>
      </c>
      <c r="K7449" s="6" t="n">
        <f aca="false">(Sens!C7444*IF(8&lt;life_fac,1,IF(8=life_fac,0.5,0))+Sens!D7444*IF(7&lt;life_fac,1,IF(7=life_fac,0.5,0))+Sens!E7444*IF(6&lt;life_fac,1,IF(6=life_fac,0.5,0))+Sens!F7444*IF(5&lt;life_fac,1,IF(5=life_fac,0.5,0))+Sens!G7444*IF(4&lt;life_fac,1,IF(4=life_fac,0.5,0))+Sens!H7444*IF(3&lt;life_fac,1,IF(3=life_fac,0.5,0))+Sens!I7444*IF(2&lt;life_fac,1,IF(2=life_fac,0.5,0))+Sens!J7444*IF(1&lt;life_fac,1,IF(1=life_fac,0.5,0))+Sens!K7444*0.5)/life_fac</f>
        <v>8.3428177347858</v>
      </c>
    </row>
    <row r="7450" customFormat="false" ht="17.15" hidden="false" customHeight="false" outlineLevel="0" collapsed="false">
      <c r="A7450" s="0" t="s">
        <v>854</v>
      </c>
      <c r="B7450" s="0" t="s">
        <v>98</v>
      </c>
      <c r="E7450" s="6" t="n">
        <f aca="false">Sens!E7448+Sens!E7449</f>
        <v>16.3054059770833</v>
      </c>
      <c r="F7450" s="6" t="n">
        <f aca="false">Sens!F7448+Sens!F7449</f>
        <v>34.0498873809555</v>
      </c>
      <c r="G7450" s="6" t="n">
        <f aca="false">Sens!G7448+Sens!G7449</f>
        <v>59.1254371105111</v>
      </c>
      <c r="H7450" s="6" t="n">
        <f aca="false">Sens!H7448+Sens!H7449</f>
        <v>86.3610198433111</v>
      </c>
      <c r="I7450" s="6" t="n">
        <f aca="false">Sens!I7448+Sens!I7449</f>
        <v>110.605743832393</v>
      </c>
      <c r="J7450" s="6" t="n">
        <f aca="false">Sens!J7448+Sens!J7449</f>
        <v>127.998322852843</v>
      </c>
      <c r="K7450" s="6" t="n">
        <f aca="false">Sens!K7448+Sens!K7449</f>
        <v>139.131464044308</v>
      </c>
    </row>
    <row r="7451" customFormat="false" ht="17.15" hidden="false" customHeight="false" outlineLevel="0" collapsed="false">
      <c r="A7451" s="0" t="s">
        <v>855</v>
      </c>
      <c r="B7451" s="0" t="s">
        <v>98</v>
      </c>
      <c r="E7451" s="6" t="n">
        <f aca="false">Sens!E7439-Sens!E7438*Sens!E7450</f>
        <v>8.92707889977379</v>
      </c>
      <c r="F7451" s="6" t="n">
        <f aca="false">Sens!F7439-Sens!F7438*Sens!F7450</f>
        <v>14.6274131339686</v>
      </c>
      <c r="G7451" s="6" t="n">
        <f aca="false">Sens!G7439-Sens!G7438*Sens!G7450</f>
        <v>16.7752349049804</v>
      </c>
      <c r="H7451" s="6" t="n">
        <f aca="false">Sens!H7439-Sens!H7438*Sens!H7450</f>
        <v>13.4630579450404</v>
      </c>
      <c r="I7451" s="6" t="n">
        <f aca="false">Sens!I7439-Sens!I7438*Sens!I7450</f>
        <v>16.9068533370192</v>
      </c>
      <c r="J7451" s="6" t="n">
        <f aca="false">Sens!J7439-Sens!J7438*Sens!J7450</f>
        <v>19.3011433836036</v>
      </c>
      <c r="K7451" s="6" t="n">
        <f aca="false">Sens!K7439-Sens!K7438*Sens!K7450</f>
        <v>21.3550700932312</v>
      </c>
    </row>
    <row r="7452" customFormat="false" ht="17.15" hidden="false" customHeight="false" outlineLevel="0" collapsed="false">
      <c r="A7452" s="3" t="s">
        <v>1453</v>
      </c>
    </row>
    <row r="7453" customFormat="false" ht="15" hidden="false" customHeight="false" outlineLevel="0" collapsed="false">
      <c r="A7453" s="4" t="s">
        <v>43</v>
      </c>
      <c r="B7453" s="4" t="s">
        <v>65</v>
      </c>
      <c r="C7453" s="20" t="s">
        <v>799</v>
      </c>
      <c r="D7453" s="20" t="s">
        <v>800</v>
      </c>
      <c r="E7453" s="20" t="s">
        <v>801</v>
      </c>
      <c r="F7453" s="20" t="s">
        <v>802</v>
      </c>
      <c r="G7453" s="20" t="s">
        <v>803</v>
      </c>
      <c r="H7453" s="20" t="s">
        <v>804</v>
      </c>
      <c r="I7453" s="20" t="s">
        <v>805</v>
      </c>
      <c r="J7453" s="20" t="s">
        <v>806</v>
      </c>
      <c r="K7453" s="20" t="s">
        <v>807</v>
      </c>
      <c r="L7453" s="4" t="s">
        <v>47</v>
      </c>
    </row>
    <row r="7454" customFormat="false" ht="17.15" hidden="false" customHeight="false" outlineLevel="0" collapsed="false">
      <c r="A7454" s="0" t="s">
        <v>874</v>
      </c>
      <c r="B7454" s="0" t="s">
        <v>98</v>
      </c>
      <c r="D7454" s="6" t="n">
        <f aca="false">Sens!D7433</f>
        <v>12.9359794422418</v>
      </c>
      <c r="E7454" s="6" t="n">
        <f aca="false">Sens!E7433</f>
        <v>27.8095064661409</v>
      </c>
      <c r="F7454" s="6" t="n">
        <f aca="false">Sens!F7433</f>
        <v>50.6619113883066</v>
      </c>
      <c r="G7454" s="6" t="n">
        <f aca="false">Sens!G7433</f>
        <v>75.1482839325348</v>
      </c>
      <c r="H7454" s="6" t="n">
        <f aca="false">Sens!H7433</f>
        <v>94.895655604042</v>
      </c>
      <c r="I7454" s="6" t="n">
        <f aca="false">Sens!I7433</f>
        <v>118.706168884151</v>
      </c>
      <c r="J7454" s="6" t="n">
        <f aca="false">Sens!J7433</f>
        <v>135.50643871102</v>
      </c>
      <c r="K7454" s="6" t="n">
        <f aca="false">Sens!K7433</f>
        <v>146.509068150048</v>
      </c>
    </row>
    <row r="7455" customFormat="false" ht="17.15" hidden="false" customHeight="false" outlineLevel="0" collapsed="false">
      <c r="A7455" s="0" t="s">
        <v>875</v>
      </c>
      <c r="B7455" s="0" t="s">
        <v>98</v>
      </c>
      <c r="D7455" s="6" t="n">
        <f aca="false">Q!L6-Sens!D7454</f>
        <v>59.6740205577583</v>
      </c>
      <c r="E7455" s="6" t="n">
        <f aca="false">Q!M6-Sens!E7454</f>
        <v>74.1284935338591</v>
      </c>
      <c r="F7455" s="6" t="n">
        <f aca="false">Sens!E7455*(1+Sens!F7456)</f>
        <v>90.0799497373663</v>
      </c>
      <c r="G7455" s="6" t="n">
        <f aca="false">Sens!F7455*(1+Sens!G7456)</f>
        <v>107.02842520331</v>
      </c>
      <c r="H7455" s="6" t="n">
        <f aca="false">Sens!G7455*(1+Sens!H7456)</f>
        <v>124.271982585636</v>
      </c>
      <c r="I7455" s="6" t="n">
        <f aca="false">Sens!H7455*(1+Sens!I7456)</f>
        <v>140.933702381855</v>
      </c>
      <c r="J7455" s="6" t="n">
        <f aca="false">Sens!I7455*(1+Sens!J7456)</f>
        <v>156.018867314332</v>
      </c>
      <c r="K7455" s="6" t="n">
        <f aca="false">Sens!J7455*(1+Sens!K7456)</f>
        <v>168.500376699478</v>
      </c>
    </row>
    <row r="7456" customFormat="false" ht="15" hidden="false" customHeight="false" outlineLevel="0" collapsed="false">
      <c r="A7456" s="1" t="s">
        <v>876</v>
      </c>
      <c r="B7456" s="0" t="s">
        <v>129</v>
      </c>
      <c r="E7456" s="7" t="n">
        <f aca="false">Sens!E7455/Sens!D7455-1</f>
        <v>0.242223883039864</v>
      </c>
      <c r="F7456" s="7" t="n">
        <f aca="false">Sens!$E$7456+(glt_azo-Sens!$E$7456)*MIN(1,(Sens!F7416-base_fy)/n_conv)</f>
        <v>0.215186569199887</v>
      </c>
      <c r="G7456" s="7" t="n">
        <f aca="false">Sens!$E$7456+(glt_azo-Sens!$E$7456)*MIN(1,(Sens!G7416-base_fy)/n_conv)</f>
        <v>0.18814925535991</v>
      </c>
      <c r="H7456" s="7" t="n">
        <f aca="false">Sens!$E$7456+(glt_azo-Sens!$E$7456)*MIN(1,(Sens!H7416-base_fy)/n_conv)</f>
        <v>0.161111941519932</v>
      </c>
      <c r="I7456" s="7" t="n">
        <f aca="false">Sens!$E$7456+(glt_azo-Sens!$E$7456)*MIN(1,(Sens!I7416-base_fy)/n_conv)</f>
        <v>0.134074627679955</v>
      </c>
      <c r="J7456" s="7" t="n">
        <f aca="false">Sens!$E$7456+(glt_azo-Sens!$E$7456)*MIN(1,(Sens!J7416-base_fy)/n_conv)</f>
        <v>0.107037313839977</v>
      </c>
      <c r="K7456" s="7" t="n">
        <f aca="false">Sens!$E$7456+(glt_azo-Sens!$E$7456)*MIN(1,(Sens!K7416-base_fy)/n_conv)</f>
        <v>0.08</v>
      </c>
    </row>
    <row r="7457" customFormat="false" ht="15" hidden="false" customHeight="false" outlineLevel="0" collapsed="false">
      <c r="A7457" s="0" t="s">
        <v>877</v>
      </c>
      <c r="B7457" s="0" t="s">
        <v>98</v>
      </c>
      <c r="D7457" s="6" t="n">
        <f aca="false">Sens!D7454+Sens!D7455</f>
        <v>72.61</v>
      </c>
      <c r="E7457" s="6" t="n">
        <f aca="false">Sens!E7454+Sens!E7455</f>
        <v>101.938</v>
      </c>
      <c r="F7457" s="6" t="n">
        <f aca="false">Sens!F7454+Sens!F7455</f>
        <v>140.741861125673</v>
      </c>
      <c r="G7457" s="6" t="n">
        <f aca="false">Sens!G7454+Sens!G7455</f>
        <v>182.176709135845</v>
      </c>
      <c r="H7457" s="6" t="n">
        <f aca="false">Sens!H7454+Sens!H7455</f>
        <v>219.167638189678</v>
      </c>
      <c r="I7457" s="6" t="n">
        <f aca="false">Sens!I7454+Sens!I7455</f>
        <v>259.639871266006</v>
      </c>
      <c r="J7457" s="6" t="n">
        <f aca="false">Sens!J7454+Sens!J7455</f>
        <v>291.525306025352</v>
      </c>
      <c r="K7457" s="6" t="n">
        <f aca="false">Sens!K7454+Sens!K7455</f>
        <v>315.009444849526</v>
      </c>
    </row>
    <row r="7458" customFormat="false" ht="17.15" hidden="false" customHeight="false" outlineLevel="0" collapsed="false">
      <c r="A7458" s="0" t="s">
        <v>878</v>
      </c>
      <c r="B7458" s="1" t="s">
        <v>528</v>
      </c>
      <c r="C7458" s="29" t="n">
        <f aca="false">cop_s24</f>
        <v>1</v>
      </c>
      <c r="D7458" s="29" t="n">
        <f aca="false">cop_s25</f>
        <v>5</v>
      </c>
      <c r="E7458" s="29" t="n">
        <f aca="false">cop_s26</f>
        <v>30</v>
      </c>
      <c r="F7458" s="29" t="n">
        <f aca="false">Sens!E7458+cop_add_C</f>
        <v>40</v>
      </c>
      <c r="G7458" s="29" t="n">
        <f aca="false">Sens!F7458+cop_add_C</f>
        <v>50</v>
      </c>
      <c r="H7458" s="29" t="n">
        <f aca="false">Sens!G7458+cop_add_C</f>
        <v>60</v>
      </c>
      <c r="I7458" s="29" t="n">
        <f aca="false">Sens!H7458+cop_add_C*cop_tail</f>
        <v>65</v>
      </c>
      <c r="J7458" s="29" t="n">
        <f aca="false">Sens!I7458+cop_add_C*cop_tail</f>
        <v>70</v>
      </c>
      <c r="K7458" s="29" t="n">
        <f aca="false">Sens!J7458+cop_add_C*cop_tail</f>
        <v>75</v>
      </c>
      <c r="L7458" s="11" t="s">
        <v>879</v>
      </c>
    </row>
    <row r="7459" customFormat="false" ht="17.15" hidden="false" customHeight="false" outlineLevel="0" collapsed="false">
      <c r="A7459" s="0" t="s">
        <v>880</v>
      </c>
      <c r="B7459" s="0" t="s">
        <v>98</v>
      </c>
      <c r="D7459" s="6" t="n">
        <f aca="false">(Sens!C7458+Sens!D7458)/2*cop_px*12/1000</f>
        <v>0.9</v>
      </c>
      <c r="E7459" s="6" t="n">
        <f aca="false">(Sens!D7458+Sens!E7458)/2*cop_px*12/1000</f>
        <v>5.25</v>
      </c>
      <c r="F7459" s="6" t="n">
        <f aca="false">(Sens!E7458+Sens!F7458)/2*cop_px_hi*12/1000</f>
        <v>12.6</v>
      </c>
      <c r="G7459" s="6" t="n">
        <f aca="false">(Sens!F7458+Sens!G7458)/2*cop_px_hi*12/1000</f>
        <v>16.2</v>
      </c>
      <c r="H7459" s="6" t="n">
        <f aca="false">(Sens!G7458+Sens!H7458)/2*cop_px_hi*12/1000</f>
        <v>19.8</v>
      </c>
      <c r="I7459" s="6" t="n">
        <f aca="false">(Sens!H7458+Sens!I7458)/2*cop_px_hi*12/1000</f>
        <v>22.5</v>
      </c>
      <c r="J7459" s="6" t="n">
        <f aca="false">(Sens!I7458+Sens!J7458)/2*cop_px_hi*12/1000</f>
        <v>24.3</v>
      </c>
      <c r="K7459" s="6" t="n">
        <f aca="false">(Sens!J7458+Sens!K7458)/2*cop_px_hi*12/1000</f>
        <v>26.1</v>
      </c>
      <c r="L7459" s="1" t="s">
        <v>881</v>
      </c>
    </row>
    <row r="7460" customFormat="false" ht="17.15" hidden="false" customHeight="false" outlineLevel="0" collapsed="false">
      <c r="A7460" s="0" t="s">
        <v>882</v>
      </c>
      <c r="B7460" s="0" t="s">
        <v>98</v>
      </c>
      <c r="D7460" s="6" t="n">
        <f aca="false">Q!L7-Sens!D7459</f>
        <v>83.705</v>
      </c>
      <c r="E7460" s="6" t="n">
        <f aca="false">Q!M7-Sens!E7459</f>
        <v>95.049</v>
      </c>
      <c r="F7460" s="6" t="n">
        <f aca="false">Sens!E7460*(1+Sens!F7461)</f>
        <v>106.89238776686</v>
      </c>
      <c r="G7460" s="6" t="n">
        <f aca="false">Sens!F7460*(1+Sens!G7461)</f>
        <v>119.044168448684</v>
      </c>
      <c r="H7460" s="6" t="n">
        <f aca="false">Sens!G7460*(1+Sens!H7461)</f>
        <v>131.277359388781</v>
      </c>
      <c r="I7460" s="6" t="n">
        <f aca="false">Sens!H7460*(1+Sens!I7461)</f>
        <v>143.334028071957</v>
      </c>
      <c r="J7460" s="6" t="n">
        <f aca="false">Sens!I7460*(1+Sens!J7461)</f>
        <v>154.932702785465</v>
      </c>
      <c r="K7460" s="6" t="n">
        <f aca="false">Sens!J7460*(1+Sens!K7461)</f>
        <v>165.777991980448</v>
      </c>
    </row>
    <row r="7461" customFormat="false" ht="15" hidden="false" customHeight="false" outlineLevel="0" collapsed="false">
      <c r="A7461" s="1" t="s">
        <v>876</v>
      </c>
      <c r="B7461" s="0" t="s">
        <v>129</v>
      </c>
      <c r="E7461" s="7" t="n">
        <f aca="false">Sens!E7460/Sens!D7460-1</f>
        <v>0.135523564900544</v>
      </c>
      <c r="F7461" s="7" t="n">
        <f aca="false">Sens!$E$7461+(glt_m365b-Sens!$E$7461)*MIN(1,(Sens!F7416-base_fy)/n_conv)</f>
        <v>0.124602970750453</v>
      </c>
      <c r="G7461" s="7" t="n">
        <f aca="false">Sens!$E$7461+(glt_m365b-Sens!$E$7461)*MIN(1,(Sens!G7416-base_fy)/n_conv)</f>
        <v>0.113682376600363</v>
      </c>
      <c r="H7461" s="7" t="n">
        <f aca="false">Sens!$E$7461+(glt_m365b-Sens!$E$7461)*MIN(1,(Sens!H7416-base_fy)/n_conv)</f>
        <v>0.102761782450272</v>
      </c>
      <c r="I7461" s="7" t="n">
        <f aca="false">Sens!$E$7461+(glt_m365b-Sens!$E$7461)*MIN(1,(Sens!I7416-base_fy)/n_conv)</f>
        <v>0.0918411883001813</v>
      </c>
      <c r="J7461" s="7" t="n">
        <f aca="false">Sens!$E$7461+(glt_m365b-Sens!$E$7461)*MIN(1,(Sens!J7416-base_fy)/n_conv)</f>
        <v>0.0809205941500906</v>
      </c>
      <c r="K7461" s="7" t="n">
        <f aca="false">Sens!$E$7461+(glt_m365b-Sens!$E$7461)*MIN(1,(Sens!K7416-base_fy)/n_conv)</f>
        <v>0.07</v>
      </c>
    </row>
    <row r="7462" customFormat="false" ht="15" hidden="false" customHeight="false" outlineLevel="0" collapsed="false">
      <c r="A7462" s="0" t="s">
        <v>883</v>
      </c>
      <c r="B7462" s="0" t="s">
        <v>98</v>
      </c>
      <c r="D7462" s="6" t="n">
        <f aca="false">Sens!D7460+Sens!D7459</f>
        <v>84.605</v>
      </c>
      <c r="E7462" s="6" t="n">
        <f aca="false">Sens!E7460+Sens!E7459</f>
        <v>100.299</v>
      </c>
      <c r="F7462" s="6" t="n">
        <f aca="false">Sens!F7460+Sens!F7459</f>
        <v>119.49238776686</v>
      </c>
      <c r="G7462" s="6" t="n">
        <f aca="false">Sens!G7460+Sens!G7459</f>
        <v>135.244168448684</v>
      </c>
      <c r="H7462" s="6" t="n">
        <f aca="false">Sens!H7460+Sens!H7459</f>
        <v>151.077359388781</v>
      </c>
      <c r="I7462" s="6" t="n">
        <f aca="false">Sens!I7460+Sens!I7459</f>
        <v>165.834028071957</v>
      </c>
      <c r="J7462" s="6" t="n">
        <f aca="false">Sens!J7460+Sens!J7459</f>
        <v>179.232702785465</v>
      </c>
      <c r="K7462" s="6" t="n">
        <f aca="false">Sens!K7460+Sens!K7459</f>
        <v>191.877991980448</v>
      </c>
    </row>
    <row r="7463" customFormat="false" ht="15" hidden="false" customHeight="false" outlineLevel="0" collapsed="false">
      <c r="A7463" s="0" t="s">
        <v>884</v>
      </c>
      <c r="B7463" s="0" t="s">
        <v>98</v>
      </c>
      <c r="D7463" s="6" t="n">
        <f aca="false">Q!L8</f>
        <v>35.391</v>
      </c>
      <c r="E7463" s="6" t="n">
        <f aca="false">Q!M8</f>
        <v>37.285</v>
      </c>
      <c r="F7463" s="6" t="n">
        <f aca="false">Sens!E7463*(1+Sens!F7464)</f>
        <v>39.0720834331704</v>
      </c>
      <c r="G7463" s="6" t="n">
        <f aca="false">Sens!F7463*(1+Sens!G7464)</f>
        <v>40.726562953769</v>
      </c>
      <c r="H7463" s="6" t="n">
        <f aca="false">Sens!G7463*(1+Sens!H7464)</f>
        <v>42.2235987259198</v>
      </c>
      <c r="I7463" s="6" t="n">
        <f aca="false">Sens!H7463*(1+Sens!I7464)</f>
        <v>43.5397988077414</v>
      </c>
      <c r="J7463" s="6" t="n">
        <f aca="false">Sens!I7463*(1+Sens!J7464)</f>
        <v>44.653811225693</v>
      </c>
      <c r="K7463" s="6" t="n">
        <f aca="false">Sens!J7463*(1+Sens!K7464)</f>
        <v>45.5468874502068</v>
      </c>
    </row>
    <row r="7464" customFormat="false" ht="15" hidden="false" customHeight="false" outlineLevel="0" collapsed="false">
      <c r="A7464" s="1" t="s">
        <v>876</v>
      </c>
      <c r="B7464" s="0" t="s">
        <v>129</v>
      </c>
      <c r="E7464" s="7" t="n">
        <f aca="false">Sens!E7463/Sens!D7463-1</f>
        <v>0.0535164307309768</v>
      </c>
      <c r="F7464" s="7" t="n">
        <f aca="false">Sens!$E$7464+(glt_lic-Sens!$E$7464)*MIN(1,(Sens!F7416-base_fy)/n_conv)</f>
        <v>0.0479303589424807</v>
      </c>
      <c r="G7464" s="7" t="n">
        <f aca="false">Sens!$E$7464+(glt_lic-Sens!$E$7464)*MIN(1,(Sens!G7416-base_fy)/n_conv)</f>
        <v>0.0423442871539845</v>
      </c>
      <c r="H7464" s="7" t="n">
        <f aca="false">Sens!$E$7464+(glt_lic-Sens!$E$7464)*MIN(1,(Sens!H7416-base_fy)/n_conv)</f>
        <v>0.0367582153654884</v>
      </c>
      <c r="I7464" s="7" t="n">
        <f aca="false">Sens!$E$7464+(glt_lic-Sens!$E$7464)*MIN(1,(Sens!I7416-base_fy)/n_conv)</f>
        <v>0.0311721435769923</v>
      </c>
      <c r="J7464" s="7" t="n">
        <f aca="false">Sens!$E$7464+(glt_lic-Sens!$E$7464)*MIN(1,(Sens!J7416-base_fy)/n_conv)</f>
        <v>0.0255860717884961</v>
      </c>
      <c r="K7464" s="7" t="n">
        <f aca="false">Sens!$E$7464+(glt_lic-Sens!$E$7464)*MIN(1,(Sens!K7416-base_fy)/n_conv)</f>
        <v>0.02</v>
      </c>
    </row>
    <row r="7465" customFormat="false" ht="15" hidden="false" customHeight="false" outlineLevel="0" collapsed="false">
      <c r="A7465" s="0" t="s">
        <v>885</v>
      </c>
      <c r="B7465" s="0" t="s">
        <v>98</v>
      </c>
      <c r="D7465" s="6" t="n">
        <f aca="false">Q!L9</f>
        <v>18.417</v>
      </c>
      <c r="E7465" s="6" t="n">
        <f aca="false">Q!M9</f>
        <v>20.345</v>
      </c>
      <c r="F7465" s="6" t="n">
        <f aca="false">Sens!E7465*(1+Sens!F7466)</f>
        <v>22.3572203267814</v>
      </c>
      <c r="G7465" s="6" t="n">
        <f aca="false">Sens!F7465*(1+Sens!G7466)</f>
        <v>24.4392124437232</v>
      </c>
      <c r="H7465" s="6" t="n">
        <f aca="false">Sens!G7465*(1+Sens!H7466)</f>
        <v>26.5738052080665</v>
      </c>
      <c r="I7465" s="6" t="n">
        <f aca="false">Sens!H7465*(1+Sens!I7466)</f>
        <v>28.7412169166967</v>
      </c>
      <c r="J7465" s="6" t="n">
        <f aca="false">Sens!I7465*(1+Sens!J7466)</f>
        <v>30.9192545395413</v>
      </c>
      <c r="K7465" s="6" t="n">
        <f aca="false">Sens!J7465*(1+Sens!K7466)</f>
        <v>33.0836023573092</v>
      </c>
    </row>
    <row r="7466" customFormat="false" ht="15" hidden="false" customHeight="false" outlineLevel="0" collapsed="false">
      <c r="A7466" s="1" t="s">
        <v>876</v>
      </c>
      <c r="B7466" s="0" t="s">
        <v>129</v>
      </c>
      <c r="E7466" s="7" t="n">
        <f aca="false">Sens!E7465/Sens!D7465-1</f>
        <v>0.104685888038225</v>
      </c>
      <c r="F7466" s="7" t="n">
        <f aca="false">Sens!$E$7466+(glt_ind-Sens!$E$7466)*MIN(1,(Sens!F7416-base_fy)/n_conv)</f>
        <v>0.0989049066985211</v>
      </c>
      <c r="G7466" s="7" t="n">
        <f aca="false">Sens!$E$7466+(glt_ind-Sens!$E$7466)*MIN(1,(Sens!G7416-base_fy)/n_conv)</f>
        <v>0.0931239253588169</v>
      </c>
      <c r="H7466" s="7" t="n">
        <f aca="false">Sens!$E$7466+(glt_ind-Sens!$E$7466)*MIN(1,(Sens!H7416-base_fy)/n_conv)</f>
        <v>0.0873429440191127</v>
      </c>
      <c r="I7466" s="7" t="n">
        <f aca="false">Sens!$E$7466+(glt_ind-Sens!$E$7466)*MIN(1,(Sens!I7416-base_fy)/n_conv)</f>
        <v>0.0815619626794085</v>
      </c>
      <c r="J7466" s="7" t="n">
        <f aca="false">Sens!$E$7466+(glt_ind-Sens!$E$7466)*MIN(1,(Sens!J7416-base_fy)/n_conv)</f>
        <v>0.0757809813397042</v>
      </c>
      <c r="K7466" s="7" t="n">
        <f aca="false">Sens!$E$7466+(glt_ind-Sens!$E$7466)*MIN(1,(Sens!K7416-base_fy)/n_conv)</f>
        <v>0.07</v>
      </c>
    </row>
    <row r="7467" customFormat="false" ht="15" hidden="false" customHeight="false" outlineLevel="0" collapsed="false">
      <c r="A7467" s="0" t="s">
        <v>886</v>
      </c>
      <c r="B7467" s="0" t="s">
        <v>98</v>
      </c>
      <c r="D7467" s="6" t="n">
        <f aca="false">Q!L10</f>
        <v>7.76</v>
      </c>
      <c r="E7467" s="6" t="n">
        <f aca="false">Q!M10</f>
        <v>8.26</v>
      </c>
      <c r="F7467" s="6" t="n">
        <f aca="false">Sens!E7467*(1+Sens!F7468)</f>
        <v>8.79988041237113</v>
      </c>
      <c r="G7467" s="6" t="n">
        <f aca="false">Sens!F7467*(1+Sens!G7468)</f>
        <v>9.38321269125306</v>
      </c>
      <c r="H7467" s="6" t="n">
        <f aca="false">Sens!G7467*(1+Sens!H7468)</f>
        <v>10.0139193587476</v>
      </c>
      <c r="I7467" s="6" t="n">
        <f aca="false">Sens!H7467*(1+Sens!I7468)</f>
        <v>10.6963111830911</v>
      </c>
      <c r="J7467" s="6" t="n">
        <f aca="false">Sens!I7467*(1+Sens!J7468)</f>
        <v>11.4351285534696</v>
      </c>
      <c r="K7467" s="6" t="n">
        <f aca="false">Sens!J7467*(1+Sens!K7468)</f>
        <v>12.2355875522124</v>
      </c>
    </row>
    <row r="7468" customFormat="false" ht="15" hidden="false" customHeight="false" outlineLevel="0" collapsed="false">
      <c r="A7468" s="1" t="s">
        <v>876</v>
      </c>
      <c r="B7468" s="0" t="s">
        <v>129</v>
      </c>
      <c r="E7468" s="7" t="n">
        <f aca="false">Sens!E7467/Sens!D7467-1</f>
        <v>0.0644329896907216</v>
      </c>
      <c r="F7468" s="7" t="n">
        <f aca="false">Sens!$E$7468+(glt_fro-Sens!$E$7468)*MIN(1,(Sens!F7416-base_fy)/n_conv)</f>
        <v>0.065360824742268</v>
      </c>
      <c r="G7468" s="7" t="n">
        <f aca="false">Sens!$E$7468+(glt_fro-Sens!$E$7468)*MIN(1,(Sens!G7416-base_fy)/n_conv)</f>
        <v>0.0662886597938144</v>
      </c>
      <c r="H7468" s="7" t="n">
        <f aca="false">Sens!$E$7468+(glt_fro-Sens!$E$7468)*MIN(1,(Sens!H7416-base_fy)/n_conv)</f>
        <v>0.0672164948453608</v>
      </c>
      <c r="I7468" s="7" t="n">
        <f aca="false">Sens!$E$7468+(glt_fro-Sens!$E$7468)*MIN(1,(Sens!I7416-base_fy)/n_conv)</f>
        <v>0.0681443298969072</v>
      </c>
      <c r="J7468" s="7" t="n">
        <f aca="false">Sens!$E$7468+(glt_fro-Sens!$E$7468)*MIN(1,(Sens!J7416-base_fy)/n_conv)</f>
        <v>0.0690721649484536</v>
      </c>
      <c r="K7468" s="7" t="n">
        <f aca="false">Sens!$E$7468+(glt_fro-Sens!$E$7468)*MIN(1,(Sens!K7416-base_fy)/n_conv)</f>
        <v>0.07</v>
      </c>
    </row>
    <row r="7469" customFormat="false" ht="15" hidden="false" customHeight="false" outlineLevel="0" collapsed="false">
      <c r="A7469" s="0" t="s">
        <v>715</v>
      </c>
      <c r="B7469" s="0" t="s">
        <v>98</v>
      </c>
      <c r="D7469" s="6" t="n">
        <f aca="false">Sens!D7457+Sens!D7462+Sens!D7463+Sens!D7465+Sens!D7467</f>
        <v>218.783</v>
      </c>
      <c r="E7469" s="6" t="n">
        <f aca="false">Sens!E7457+Sens!E7462+Sens!E7463+Sens!E7465+Sens!E7467</f>
        <v>268.127</v>
      </c>
      <c r="F7469" s="6" t="n">
        <f aca="false">Sens!F7457+Sens!F7462+Sens!F7463+Sens!F7465+Sens!F7467</f>
        <v>330.463433064856</v>
      </c>
      <c r="G7469" s="6" t="n">
        <f aca="false">Sens!G7457+Sens!G7462+Sens!G7463+Sens!G7465+Sens!G7467</f>
        <v>391.969865673274</v>
      </c>
      <c r="H7469" s="6" t="n">
        <f aca="false">Sens!H7457+Sens!H7462+Sens!H7463+Sens!H7465+Sens!H7467</f>
        <v>449.056320871193</v>
      </c>
      <c r="I7469" s="6" t="n">
        <f aca="false">Sens!I7457+Sens!I7462+Sens!I7463+Sens!I7465+Sens!I7467</f>
        <v>508.451226245492</v>
      </c>
      <c r="J7469" s="6" t="n">
        <f aca="false">Sens!J7457+Sens!J7462+Sens!J7463+Sens!J7465+Sens!J7467</f>
        <v>557.766203129521</v>
      </c>
      <c r="K7469" s="6" t="n">
        <f aca="false">Sens!K7457+Sens!K7462+Sens!K7463+Sens!K7465+Sens!K7467</f>
        <v>597.753514189702</v>
      </c>
    </row>
    <row r="7470" customFormat="false" ht="15" hidden="false" customHeight="false" outlineLevel="0" collapsed="false">
      <c r="A7470" s="0" t="s">
        <v>887</v>
      </c>
      <c r="B7470" s="0" t="s">
        <v>98</v>
      </c>
      <c r="D7470" s="6" t="n">
        <f aca="false">Q!L13</f>
        <v>22.171</v>
      </c>
      <c r="E7470" s="6" t="n">
        <f aca="false">Q!M13</f>
        <v>24.835</v>
      </c>
      <c r="F7470" s="6" t="n">
        <f aca="false">Sens!E7470*(1+Sens!F7471)</f>
        <v>27.6114901218559</v>
      </c>
      <c r="G7470" s="6" t="n">
        <f aca="false">Sens!F7470*(1+Sens!G7471)</f>
        <v>30.4675667338515</v>
      </c>
      <c r="H7470" s="6" t="n">
        <f aca="false">Sens!G7470*(1+Sens!H7471)</f>
        <v>33.3643766955789</v>
      </c>
      <c r="I7470" s="6" t="n">
        <f aca="false">Sens!H7470*(1+Sens!I7471)</f>
        <v>36.2577016533691</v>
      </c>
      <c r="J7470" s="6" t="n">
        <f aca="false">Sens!I7470*(1+Sens!J7471)</f>
        <v>39.0988367952171</v>
      </c>
      <c r="K7470" s="6" t="n">
        <f aca="false">Sens!J7470*(1+Sens!K7471)</f>
        <v>41.8357553708823</v>
      </c>
    </row>
    <row r="7471" customFormat="false" ht="15" hidden="false" customHeight="false" outlineLevel="0" collapsed="false">
      <c r="A7471" s="1" t="s">
        <v>876</v>
      </c>
      <c r="B7471" s="0" t="s">
        <v>129</v>
      </c>
      <c r="E7471" s="7" t="n">
        <f aca="false">Sens!E7470/Sens!D7470-1</f>
        <v>0.120156961796942</v>
      </c>
      <c r="F7471" s="7" t="n">
        <f aca="false">Sens!$E$7471+(glt_srch-Sens!$E$7471)*MIN(1,(Sens!F7416-base_fy)/n_conv)</f>
        <v>0.111797468164118</v>
      </c>
      <c r="G7471" s="7" t="n">
        <f aca="false">Sens!$E$7471+(glt_srch-Sens!$E$7471)*MIN(1,(Sens!G7416-base_fy)/n_conv)</f>
        <v>0.103437974531295</v>
      </c>
      <c r="H7471" s="7" t="n">
        <f aca="false">Sens!$E$7471+(glt_srch-Sens!$E$7471)*MIN(1,(Sens!H7416-base_fy)/n_conv)</f>
        <v>0.095078480898471</v>
      </c>
      <c r="I7471" s="7" t="n">
        <f aca="false">Sens!$E$7471+(glt_srch-Sens!$E$7471)*MIN(1,(Sens!I7416-base_fy)/n_conv)</f>
        <v>0.0867189872656474</v>
      </c>
      <c r="J7471" s="7" t="n">
        <f aca="false">Sens!$E$7471+(glt_srch-Sens!$E$7471)*MIN(1,(Sens!J7416-base_fy)/n_conv)</f>
        <v>0.0783594936328237</v>
      </c>
      <c r="K7471" s="7" t="n">
        <f aca="false">Sens!$E$7471+(glt_srch-Sens!$E$7471)*MIN(1,(Sens!K7416-base_fy)/n_conv)</f>
        <v>0.07</v>
      </c>
    </row>
    <row r="7472" customFormat="false" ht="15" hidden="false" customHeight="false" outlineLevel="0" collapsed="false">
      <c r="A7472" s="0" t="s">
        <v>888</v>
      </c>
      <c r="B7472" s="0" t="s">
        <v>98</v>
      </c>
      <c r="D7472" s="6" t="n">
        <f aca="false">Q!L14</f>
        <v>23.455</v>
      </c>
      <c r="E7472" s="6" t="n">
        <f aca="false">Q!M14</f>
        <v>21.79</v>
      </c>
      <c r="F7472" s="6" t="n">
        <f aca="false">Sens!E7472*(1+Sens!F7473)</f>
        <v>20.5736277908051</v>
      </c>
      <c r="G7472" s="6" t="n">
        <f aca="false">Sens!F7472*(1+Sens!G7473)</f>
        <v>19.7371452817919</v>
      </c>
      <c r="H7472" s="6" t="n">
        <f aca="false">Sens!G7472*(1+Sens!H7473)</f>
        <v>19.2339764043138</v>
      </c>
      <c r="I7472" s="6" t="n">
        <f aca="false">Sens!H7472*(1+Sens!I7473)</f>
        <v>19.0353086852681</v>
      </c>
      <c r="J7472" s="6" t="n">
        <f aca="false">Sens!I7472*(1+Sens!J7473)</f>
        <v>19.1273539319129</v>
      </c>
      <c r="K7472" s="6" t="n">
        <f aca="false">Sens!J7472*(1+Sens!K7473)</f>
        <v>19.5099010105511</v>
      </c>
    </row>
    <row r="7473" customFormat="false" ht="15" hidden="false" customHeight="false" outlineLevel="0" collapsed="false">
      <c r="A7473" s="1" t="s">
        <v>876</v>
      </c>
      <c r="B7473" s="0" t="s">
        <v>129</v>
      </c>
      <c r="E7473" s="7" t="n">
        <f aca="false">Sens!E7472/Sens!D7472-1</f>
        <v>-0.0709869963760392</v>
      </c>
      <c r="F7473" s="7" t="n">
        <f aca="false">Sens!$E$7473+(glt_xbox-Sens!$E$7473)*MIN(1,(Sens!F7416-base_fy)/n_conv)</f>
        <v>-0.0558224969800327</v>
      </c>
      <c r="G7473" s="7" t="n">
        <f aca="false">Sens!$E$7473+(glt_xbox-Sens!$E$7473)*MIN(1,(Sens!G7416-base_fy)/n_conv)</f>
        <v>-0.0406579975840262</v>
      </c>
      <c r="H7473" s="7" t="n">
        <f aca="false">Sens!$E$7473+(glt_xbox-Sens!$E$7473)*MIN(1,(Sens!H7416-base_fy)/n_conv)</f>
        <v>-0.0254934981880196</v>
      </c>
      <c r="I7473" s="7" t="n">
        <f aca="false">Sens!$E$7473+(glt_xbox-Sens!$E$7473)*MIN(1,(Sens!I7416-base_fy)/n_conv)</f>
        <v>-0.0103289987920131</v>
      </c>
      <c r="J7473" s="7" t="n">
        <f aca="false">Sens!$E$7473+(glt_xbox-Sens!$E$7473)*MIN(1,(Sens!J7416-base_fy)/n_conv)</f>
        <v>0.00483550060399347</v>
      </c>
      <c r="K7473" s="7" t="n">
        <f aca="false">Sens!$E$7473+(glt_xbox-Sens!$E$7473)*MIN(1,(Sens!K7416-base_fy)/n_conv)</f>
        <v>0.02</v>
      </c>
    </row>
    <row r="7474" customFormat="false" ht="15" hidden="false" customHeight="false" outlineLevel="0" collapsed="false">
      <c r="A7474" s="0" t="s">
        <v>889</v>
      </c>
      <c r="B7474" s="0" t="s">
        <v>98</v>
      </c>
      <c r="D7474" s="6" t="n">
        <f aca="false">Q!L15</f>
        <v>17.315</v>
      </c>
      <c r="E7474" s="6" t="n">
        <f aca="false">Q!M15</f>
        <v>17.087</v>
      </c>
      <c r="F7474" s="6" t="n">
        <f aca="false">Sens!E7474*(1+Sens!F7475)</f>
        <v>16.9564585436519</v>
      </c>
      <c r="G7474" s="6" t="n">
        <f aca="false">Sens!F7474*(1+Sens!G7475)</f>
        <v>16.9206490624268</v>
      </c>
      <c r="H7474" s="6" t="n">
        <f aca="false">Sens!G7474*(1+Sens!H7475)</f>
        <v>16.9784519149849</v>
      </c>
      <c r="I7474" s="6" t="n">
        <f aca="false">Sens!H7474*(1+Sens!I7475)</f>
        <v>17.1303084701817</v>
      </c>
      <c r="J7474" s="6" t="n">
        <f aca="false">Sens!I7474*(1+Sens!J7475)</f>
        <v>17.3782189407267</v>
      </c>
      <c r="K7474" s="6" t="n">
        <f aca="false">Sens!J7474*(1+Sens!K7475)</f>
        <v>17.7257833195413</v>
      </c>
    </row>
    <row r="7475" customFormat="false" ht="15" hidden="false" customHeight="false" outlineLevel="0" collapsed="false">
      <c r="A7475" s="1" t="s">
        <v>876</v>
      </c>
      <c r="B7475" s="0" t="s">
        <v>129</v>
      </c>
      <c r="E7475" s="7" t="n">
        <f aca="false">Sens!E7474/Sens!D7474-1</f>
        <v>-0.0131677736066995</v>
      </c>
      <c r="F7475" s="7" t="n">
        <f aca="false">Sens!$E$7475+(glt_win-Sens!$E$7475)*MIN(1,(Sens!F7416-base_fy)/n_conv)</f>
        <v>-0.00763981133891627</v>
      </c>
      <c r="G7475" s="7" t="n">
        <f aca="false">Sens!$E$7475+(glt_win-Sens!$E$7475)*MIN(1,(Sens!G7416-base_fy)/n_conv)</f>
        <v>-0.00211184907113301</v>
      </c>
      <c r="H7475" s="7" t="n">
        <f aca="false">Sens!$E$7475+(glt_win-Sens!$E$7475)*MIN(1,(Sens!H7416-base_fy)/n_conv)</f>
        <v>0.00341611319665024</v>
      </c>
      <c r="I7475" s="7" t="n">
        <f aca="false">Sens!$E$7475+(glt_win-Sens!$E$7475)*MIN(1,(Sens!I7416-base_fy)/n_conv)</f>
        <v>0.00894407546443349</v>
      </c>
      <c r="J7475" s="7" t="n">
        <f aca="false">Sens!$E$7475+(glt_win-Sens!$E$7475)*MIN(1,(Sens!J7416-base_fy)/n_conv)</f>
        <v>0.0144720377322168</v>
      </c>
      <c r="K7475" s="7" t="n">
        <f aca="false">Sens!$E$7475+(glt_win-Sens!$E$7475)*MIN(1,(Sens!K7416-base_fy)/n_conv)</f>
        <v>0.02</v>
      </c>
    </row>
    <row r="7476" customFormat="false" ht="15" hidden="false" customHeight="false" outlineLevel="0" collapsed="false">
      <c r="A7476" s="0" t="s">
        <v>729</v>
      </c>
      <c r="B7476" s="0" t="s">
        <v>98</v>
      </c>
      <c r="D7476" s="6" t="n">
        <f aca="false">Sens!D7470+Sens!D7472+Sens!D7474</f>
        <v>62.941</v>
      </c>
      <c r="E7476" s="6" t="n">
        <f aca="false">Sens!E7470+Sens!E7472+Sens!E7474</f>
        <v>63.712</v>
      </c>
      <c r="F7476" s="6" t="n">
        <f aca="false">Sens!F7470+Sens!F7472+Sens!F7474</f>
        <v>65.1415764563129</v>
      </c>
      <c r="G7476" s="6" t="n">
        <f aca="false">Sens!G7470+Sens!G7472+Sens!G7474</f>
        <v>67.1253610780702</v>
      </c>
      <c r="H7476" s="6" t="n">
        <f aca="false">Sens!H7470+Sens!H7472+Sens!H7474</f>
        <v>69.5768050148776</v>
      </c>
      <c r="I7476" s="6" t="n">
        <f aca="false">Sens!I7470+Sens!I7472+Sens!I7474</f>
        <v>72.4233188088189</v>
      </c>
      <c r="J7476" s="6" t="n">
        <f aca="false">Sens!J7470+Sens!J7472+Sens!J7474</f>
        <v>75.6044096678567</v>
      </c>
      <c r="K7476" s="6" t="n">
        <f aca="false">Sens!K7470+Sens!K7472+Sens!K7474</f>
        <v>79.0714397009747</v>
      </c>
    </row>
    <row r="7477" customFormat="false" ht="15" hidden="false" customHeight="false" outlineLevel="0" collapsed="false">
      <c r="A7477" s="1" t="s">
        <v>890</v>
      </c>
      <c r="B7477" s="0" t="s">
        <v>98</v>
      </c>
      <c r="D7477" s="6" t="n">
        <f aca="false">Sens!D7469+Sens!D7476</f>
        <v>281.724</v>
      </c>
      <c r="E7477" s="6" t="n">
        <f aca="false">Sens!E7469+Sens!E7476</f>
        <v>331.839</v>
      </c>
      <c r="F7477" s="6" t="n">
        <f aca="false">Sens!F7469+Sens!F7476</f>
        <v>395.605009521169</v>
      </c>
      <c r="G7477" s="6" t="n">
        <f aca="false">Sens!G7469+Sens!G7476</f>
        <v>459.095226751344</v>
      </c>
      <c r="H7477" s="6" t="n">
        <f aca="false">Sens!H7469+Sens!H7476</f>
        <v>518.633125886071</v>
      </c>
      <c r="I7477" s="6" t="n">
        <f aca="false">Sens!I7469+Sens!I7476</f>
        <v>580.874545054311</v>
      </c>
      <c r="J7477" s="6" t="n">
        <f aca="false">Sens!J7469+Sens!J7476</f>
        <v>633.370612797378</v>
      </c>
      <c r="K7477" s="6" t="n">
        <f aca="false">Sens!K7469+Sens!K7476</f>
        <v>676.824953890677</v>
      </c>
    </row>
    <row r="7478" customFormat="false" ht="15" hidden="false" customHeight="false" outlineLevel="0" collapsed="false">
      <c r="A7478" s="23" t="s">
        <v>891</v>
      </c>
      <c r="B7478" s="30" t="s">
        <v>98</v>
      </c>
      <c r="C7478" s="30"/>
      <c r="D7478" s="24" t="n">
        <f aca="false">(Sens!D7457+Sens!D7462+Sens!D7463+Sens!D7465+Sens!D7467-Sens!D7469)+(Sens!D7470+Sens!D7472+Sens!D7474-Sens!D7476)+(Sens!D7469-Q!L5)+(Sens!D7476-Q!L12)+(Sens!D7457-Q!L6)+(Sens!D7462-Q!L7)</f>
        <v>0</v>
      </c>
      <c r="E7478" s="24" t="n">
        <f aca="false">(Sens!E7457+Sens!E7462+Sens!E7463+Sens!E7465+Sens!E7467-Sens!E7469)+(Sens!E7470+Sens!E7472+Sens!E7474-Sens!E7476)+(Sens!E7469-Q!M5)+(Sens!E7476-Q!M12)+(Sens!E7457-Q!M6)+(Sens!E7462-Q!M7)</f>
        <v>0</v>
      </c>
      <c r="F7478" s="24" t="n">
        <f aca="false">(Sens!F7457+Sens!F7462+Sens!F7463+Sens!F7465+Sens!F7467-Sens!F7469)+(Sens!F7470+Sens!F7472+Sens!F7474-Sens!F7476)</f>
        <v>0</v>
      </c>
      <c r="G7478" s="24" t="n">
        <f aca="false">(Sens!G7457+Sens!G7462+Sens!G7463+Sens!G7465+Sens!G7467-Sens!G7469)+(Sens!G7470+Sens!G7472+Sens!G7474-Sens!G7476)</f>
        <v>0</v>
      </c>
      <c r="H7478" s="24" t="n">
        <f aca="false">(Sens!H7457+Sens!H7462+Sens!H7463+Sens!H7465+Sens!H7467-Sens!H7469)+(Sens!H7470+Sens!H7472+Sens!H7474-Sens!H7476)</f>
        <v>0</v>
      </c>
      <c r="I7478" s="24" t="n">
        <f aca="false">(Sens!I7457+Sens!I7462+Sens!I7463+Sens!I7465+Sens!I7467-Sens!I7469)+(Sens!I7470+Sens!I7472+Sens!I7474-Sens!I7476)</f>
        <v>0</v>
      </c>
      <c r="J7478" s="24" t="n">
        <f aca="false">(Sens!J7457+Sens!J7462+Sens!J7463+Sens!J7465+Sens!J7467-Sens!J7469)+(Sens!J7470+Sens!J7472+Sens!J7474-Sens!J7476)</f>
        <v>0</v>
      </c>
      <c r="K7478" s="24" t="n">
        <f aca="false">(Sens!K7457+Sens!K7462+Sens!K7463+Sens!K7465+Sens!K7467-Sens!K7469)+(Sens!K7470+Sens!K7472+Sens!K7474-Sens!K7476)</f>
        <v>0</v>
      </c>
    </row>
    <row r="7479" customFormat="false" ht="17.15" hidden="false" customHeight="false" outlineLevel="0" collapsed="false">
      <c r="A7479" s="3" t="s">
        <v>1454</v>
      </c>
    </row>
    <row r="7480" customFormat="false" ht="15" hidden="false" customHeight="false" outlineLevel="0" collapsed="false">
      <c r="A7480" s="4" t="s">
        <v>43</v>
      </c>
      <c r="B7480" s="4" t="s">
        <v>65</v>
      </c>
      <c r="C7480" s="20" t="s">
        <v>799</v>
      </c>
      <c r="D7480" s="20" t="s">
        <v>800</v>
      </c>
      <c r="E7480" s="20" t="s">
        <v>801</v>
      </c>
      <c r="F7480" s="20" t="s">
        <v>802</v>
      </c>
      <c r="G7480" s="20" t="s">
        <v>803</v>
      </c>
      <c r="H7480" s="20" t="s">
        <v>804</v>
      </c>
      <c r="I7480" s="20" t="s">
        <v>805</v>
      </c>
      <c r="J7480" s="20" t="s">
        <v>806</v>
      </c>
      <c r="K7480" s="20" t="s">
        <v>807</v>
      </c>
      <c r="L7480" s="4" t="s">
        <v>47</v>
      </c>
    </row>
    <row r="7481" customFormat="false" ht="15" hidden="false" customHeight="false" outlineLevel="0" collapsed="false">
      <c r="A7481" s="0" t="s">
        <v>877</v>
      </c>
      <c r="B7481" s="0" t="s">
        <v>98</v>
      </c>
      <c r="D7481" s="6" t="n">
        <f aca="false">Sens!D7457</f>
        <v>72.61</v>
      </c>
      <c r="E7481" s="6" t="n">
        <f aca="false">Sens!E7457</f>
        <v>101.938</v>
      </c>
      <c r="F7481" s="6" t="n">
        <f aca="false">Sens!F7457</f>
        <v>140.741861125673</v>
      </c>
      <c r="G7481" s="6" t="n">
        <f aca="false">Sens!G7457</f>
        <v>182.176709135845</v>
      </c>
      <c r="H7481" s="6" t="n">
        <f aca="false">Sens!H7457</f>
        <v>219.167638189678</v>
      </c>
      <c r="I7481" s="6" t="n">
        <f aca="false">Sens!I7457</f>
        <v>259.639871266006</v>
      </c>
      <c r="J7481" s="6" t="n">
        <f aca="false">Sens!J7457</f>
        <v>291.525306025352</v>
      </c>
      <c r="K7481" s="6" t="n">
        <f aca="false">Sens!K7457</f>
        <v>315.009444849526</v>
      </c>
    </row>
    <row r="7482" customFormat="false" ht="17.15" hidden="false" customHeight="false" outlineLevel="0" collapsed="false">
      <c r="A7482" s="0" t="s">
        <v>874</v>
      </c>
      <c r="B7482" s="0" t="s">
        <v>98</v>
      </c>
      <c r="D7482" s="6" t="n">
        <f aca="false">Sens!D7454</f>
        <v>12.9359794422418</v>
      </c>
      <c r="E7482" s="6" t="n">
        <f aca="false">Sens!E7454</f>
        <v>27.8095064661409</v>
      </c>
      <c r="F7482" s="6" t="n">
        <f aca="false">Sens!F7454</f>
        <v>50.6619113883066</v>
      </c>
      <c r="G7482" s="6" t="n">
        <f aca="false">Sens!G7454</f>
        <v>75.1482839325348</v>
      </c>
      <c r="H7482" s="6" t="n">
        <f aca="false">Sens!H7454</f>
        <v>94.895655604042</v>
      </c>
      <c r="I7482" s="6" t="n">
        <f aca="false">Sens!I7454</f>
        <v>118.706168884151</v>
      </c>
      <c r="J7482" s="6" t="n">
        <f aca="false">Sens!J7454</f>
        <v>135.50643871102</v>
      </c>
      <c r="K7482" s="6" t="n">
        <f aca="false">Sens!K7454</f>
        <v>146.509068150048</v>
      </c>
    </row>
    <row r="7483" customFormat="false" ht="17.15" hidden="false" customHeight="false" outlineLevel="0" collapsed="false">
      <c r="A7483" s="0" t="s">
        <v>902</v>
      </c>
      <c r="B7483" s="0" t="s">
        <v>98</v>
      </c>
      <c r="D7483" s="6" t="n">
        <f aca="false">Sens!D7455</f>
        <v>59.6740205577583</v>
      </c>
      <c r="E7483" s="6" t="n">
        <f aca="false">Sens!E7455</f>
        <v>74.1284935338591</v>
      </c>
      <c r="F7483" s="6" t="n">
        <f aca="false">Sens!F7455</f>
        <v>90.0799497373663</v>
      </c>
      <c r="G7483" s="6" t="n">
        <f aca="false">Sens!G7455</f>
        <v>107.02842520331</v>
      </c>
      <c r="H7483" s="6" t="n">
        <f aca="false">Sens!H7455</f>
        <v>124.271982585636</v>
      </c>
      <c r="I7483" s="6" t="n">
        <f aca="false">Sens!I7455</f>
        <v>140.933702381855</v>
      </c>
      <c r="J7483" s="6" t="n">
        <f aca="false">Sens!J7455</f>
        <v>156.018867314332</v>
      </c>
      <c r="K7483" s="6" t="n">
        <f aca="false">Sens!K7455</f>
        <v>168.500376699478</v>
      </c>
    </row>
    <row r="7484" customFormat="false" ht="15" hidden="false" customHeight="false" outlineLevel="0" collapsed="false">
      <c r="A7484" s="0" t="s">
        <v>883</v>
      </c>
      <c r="B7484" s="0" t="s">
        <v>98</v>
      </c>
      <c r="D7484" s="6" t="n">
        <f aca="false">Sens!D7462</f>
        <v>84.605</v>
      </c>
      <c r="E7484" s="6" t="n">
        <f aca="false">Sens!E7462</f>
        <v>100.299</v>
      </c>
      <c r="F7484" s="6" t="n">
        <f aca="false">Sens!F7462</f>
        <v>119.49238776686</v>
      </c>
      <c r="G7484" s="6" t="n">
        <f aca="false">Sens!G7462</f>
        <v>135.244168448684</v>
      </c>
      <c r="H7484" s="6" t="n">
        <f aca="false">Sens!H7462</f>
        <v>151.077359388781</v>
      </c>
      <c r="I7484" s="6" t="n">
        <f aca="false">Sens!I7462</f>
        <v>165.834028071957</v>
      </c>
      <c r="J7484" s="6" t="n">
        <f aca="false">Sens!J7462</f>
        <v>179.232702785465</v>
      </c>
      <c r="K7484" s="6" t="n">
        <f aca="false">Sens!K7462</f>
        <v>191.877991980448</v>
      </c>
    </row>
    <row r="7485" customFormat="false" ht="17.15" hidden="false" customHeight="false" outlineLevel="0" collapsed="false">
      <c r="A7485" s="0" t="s">
        <v>903</v>
      </c>
      <c r="B7485" s="0" t="s">
        <v>98</v>
      </c>
      <c r="D7485" s="6" t="n">
        <f aca="false">Sens!D7460</f>
        <v>83.705</v>
      </c>
      <c r="E7485" s="6" t="n">
        <f aca="false">Sens!E7460</f>
        <v>95.049</v>
      </c>
      <c r="F7485" s="6" t="n">
        <f aca="false">Sens!F7460</f>
        <v>106.89238776686</v>
      </c>
      <c r="G7485" s="6" t="n">
        <f aca="false">Sens!G7460</f>
        <v>119.044168448684</v>
      </c>
      <c r="H7485" s="6" t="n">
        <f aca="false">Sens!H7460</f>
        <v>131.277359388781</v>
      </c>
      <c r="I7485" s="6" t="n">
        <f aca="false">Sens!I7460</f>
        <v>143.334028071957</v>
      </c>
      <c r="J7485" s="6" t="n">
        <f aca="false">Sens!J7460</f>
        <v>154.932702785465</v>
      </c>
      <c r="K7485" s="6" t="n">
        <f aca="false">Sens!K7460</f>
        <v>165.777991980448</v>
      </c>
    </row>
    <row r="7486" customFormat="false" ht="17.15" hidden="false" customHeight="false" outlineLevel="0" collapsed="false">
      <c r="A7486" s="0" t="s">
        <v>904</v>
      </c>
      <c r="B7486" s="0" t="s">
        <v>98</v>
      </c>
      <c r="D7486" s="6" t="n">
        <f aca="false">Sens!D7459</f>
        <v>0.9</v>
      </c>
      <c r="E7486" s="6" t="n">
        <f aca="false">Sens!E7459</f>
        <v>5.25</v>
      </c>
      <c r="F7486" s="6" t="n">
        <f aca="false">Sens!F7459</f>
        <v>12.6</v>
      </c>
      <c r="G7486" s="6" t="n">
        <f aca="false">Sens!G7459</f>
        <v>16.2</v>
      </c>
      <c r="H7486" s="6" t="n">
        <f aca="false">Sens!H7459</f>
        <v>19.8</v>
      </c>
      <c r="I7486" s="6" t="n">
        <f aca="false">Sens!I7459</f>
        <v>22.5</v>
      </c>
      <c r="J7486" s="6" t="n">
        <f aca="false">Sens!J7459</f>
        <v>24.3</v>
      </c>
      <c r="K7486" s="6" t="n">
        <f aca="false">Sens!K7459</f>
        <v>26.1</v>
      </c>
    </row>
    <row r="7487" customFormat="false" ht="15" hidden="false" customHeight="false" outlineLevel="0" collapsed="false">
      <c r="A7487" s="0" t="s">
        <v>884</v>
      </c>
      <c r="B7487" s="0" t="s">
        <v>98</v>
      </c>
      <c r="D7487" s="6" t="n">
        <f aca="false">Sens!D7463</f>
        <v>35.391</v>
      </c>
      <c r="E7487" s="6" t="n">
        <f aca="false">Sens!E7463</f>
        <v>37.285</v>
      </c>
      <c r="F7487" s="6" t="n">
        <f aca="false">Sens!F7463</f>
        <v>39.0720834331704</v>
      </c>
      <c r="G7487" s="6" t="n">
        <f aca="false">Sens!G7463</f>
        <v>40.726562953769</v>
      </c>
      <c r="H7487" s="6" t="n">
        <f aca="false">Sens!H7463</f>
        <v>42.2235987259198</v>
      </c>
      <c r="I7487" s="6" t="n">
        <f aca="false">Sens!I7463</f>
        <v>43.5397988077414</v>
      </c>
      <c r="J7487" s="6" t="n">
        <f aca="false">Sens!J7463</f>
        <v>44.653811225693</v>
      </c>
      <c r="K7487" s="6" t="n">
        <f aca="false">Sens!K7463</f>
        <v>45.5468874502068</v>
      </c>
    </row>
    <row r="7488" customFormat="false" ht="15" hidden="false" customHeight="false" outlineLevel="0" collapsed="false">
      <c r="A7488" s="0" t="s">
        <v>885</v>
      </c>
      <c r="B7488" s="0" t="s">
        <v>98</v>
      </c>
      <c r="D7488" s="6" t="n">
        <f aca="false">Sens!D7465</f>
        <v>18.417</v>
      </c>
      <c r="E7488" s="6" t="n">
        <f aca="false">Sens!E7465</f>
        <v>20.345</v>
      </c>
      <c r="F7488" s="6" t="n">
        <f aca="false">Sens!F7465</f>
        <v>22.3572203267814</v>
      </c>
      <c r="G7488" s="6" t="n">
        <f aca="false">Sens!G7465</f>
        <v>24.4392124437232</v>
      </c>
      <c r="H7488" s="6" t="n">
        <f aca="false">Sens!H7465</f>
        <v>26.5738052080665</v>
      </c>
      <c r="I7488" s="6" t="n">
        <f aca="false">Sens!I7465</f>
        <v>28.7412169166967</v>
      </c>
      <c r="J7488" s="6" t="n">
        <f aca="false">Sens!J7465</f>
        <v>30.9192545395413</v>
      </c>
      <c r="K7488" s="6" t="n">
        <f aca="false">Sens!K7465</f>
        <v>33.0836023573092</v>
      </c>
    </row>
    <row r="7489" customFormat="false" ht="15" hidden="false" customHeight="false" outlineLevel="0" collapsed="false">
      <c r="A7489" s="0" t="s">
        <v>886</v>
      </c>
      <c r="B7489" s="0" t="s">
        <v>98</v>
      </c>
      <c r="D7489" s="6" t="n">
        <f aca="false">Sens!D7467</f>
        <v>7.76</v>
      </c>
      <c r="E7489" s="6" t="n">
        <f aca="false">Sens!E7467</f>
        <v>8.26</v>
      </c>
      <c r="F7489" s="6" t="n">
        <f aca="false">Sens!F7467</f>
        <v>8.79988041237113</v>
      </c>
      <c r="G7489" s="6" t="n">
        <f aca="false">Sens!G7467</f>
        <v>9.38321269125306</v>
      </c>
      <c r="H7489" s="6" t="n">
        <f aca="false">Sens!H7467</f>
        <v>10.0139193587476</v>
      </c>
      <c r="I7489" s="6" t="n">
        <f aca="false">Sens!I7467</f>
        <v>10.6963111830911</v>
      </c>
      <c r="J7489" s="6" t="n">
        <f aca="false">Sens!J7467</f>
        <v>11.4351285534696</v>
      </c>
      <c r="K7489" s="6" t="n">
        <f aca="false">Sens!K7467</f>
        <v>12.2355875522124</v>
      </c>
    </row>
    <row r="7490" customFormat="false" ht="15" hidden="false" customHeight="false" outlineLevel="0" collapsed="false">
      <c r="A7490" s="0" t="s">
        <v>715</v>
      </c>
      <c r="B7490" s="0" t="s">
        <v>98</v>
      </c>
      <c r="D7490" s="6" t="n">
        <f aca="false">Sens!D7469</f>
        <v>218.783</v>
      </c>
      <c r="E7490" s="6" t="n">
        <f aca="false">Sens!E7469</f>
        <v>268.127</v>
      </c>
      <c r="F7490" s="6" t="n">
        <f aca="false">Sens!F7469</f>
        <v>330.463433064856</v>
      </c>
      <c r="G7490" s="6" t="n">
        <f aca="false">Sens!G7469</f>
        <v>391.969865673274</v>
      </c>
      <c r="H7490" s="6" t="n">
        <f aca="false">Sens!H7469</f>
        <v>449.056320871193</v>
      </c>
      <c r="I7490" s="6" t="n">
        <f aca="false">Sens!I7469</f>
        <v>508.451226245492</v>
      </c>
      <c r="J7490" s="6" t="n">
        <f aca="false">Sens!J7469</f>
        <v>557.766203129521</v>
      </c>
      <c r="K7490" s="6" t="n">
        <f aca="false">Sens!K7469</f>
        <v>597.753514189702</v>
      </c>
    </row>
    <row r="7491" customFormat="false" ht="15" hidden="false" customHeight="false" outlineLevel="0" collapsed="false">
      <c r="A7491" s="0" t="s">
        <v>887</v>
      </c>
      <c r="B7491" s="0" t="s">
        <v>98</v>
      </c>
      <c r="D7491" s="6" t="n">
        <f aca="false">Sens!D7470</f>
        <v>22.171</v>
      </c>
      <c r="E7491" s="6" t="n">
        <f aca="false">Sens!E7470</f>
        <v>24.835</v>
      </c>
      <c r="F7491" s="6" t="n">
        <f aca="false">Sens!F7470</f>
        <v>27.6114901218559</v>
      </c>
      <c r="G7491" s="6" t="n">
        <f aca="false">Sens!G7470</f>
        <v>30.4675667338515</v>
      </c>
      <c r="H7491" s="6" t="n">
        <f aca="false">Sens!H7470</f>
        <v>33.3643766955789</v>
      </c>
      <c r="I7491" s="6" t="n">
        <f aca="false">Sens!I7470</f>
        <v>36.2577016533691</v>
      </c>
      <c r="J7491" s="6" t="n">
        <f aca="false">Sens!J7470</f>
        <v>39.0988367952171</v>
      </c>
      <c r="K7491" s="6" t="n">
        <f aca="false">Sens!K7470</f>
        <v>41.8357553708823</v>
      </c>
    </row>
    <row r="7492" customFormat="false" ht="15" hidden="false" customHeight="false" outlineLevel="0" collapsed="false">
      <c r="A7492" s="0" t="s">
        <v>888</v>
      </c>
      <c r="B7492" s="0" t="s">
        <v>98</v>
      </c>
      <c r="D7492" s="6" t="n">
        <f aca="false">Sens!D7472</f>
        <v>23.455</v>
      </c>
      <c r="E7492" s="6" t="n">
        <f aca="false">Sens!E7472</f>
        <v>21.79</v>
      </c>
      <c r="F7492" s="6" t="n">
        <f aca="false">Sens!F7472</f>
        <v>20.5736277908051</v>
      </c>
      <c r="G7492" s="6" t="n">
        <f aca="false">Sens!G7472</f>
        <v>19.7371452817919</v>
      </c>
      <c r="H7492" s="6" t="n">
        <f aca="false">Sens!H7472</f>
        <v>19.2339764043138</v>
      </c>
      <c r="I7492" s="6" t="n">
        <f aca="false">Sens!I7472</f>
        <v>19.0353086852681</v>
      </c>
      <c r="J7492" s="6" t="n">
        <f aca="false">Sens!J7472</f>
        <v>19.1273539319129</v>
      </c>
      <c r="K7492" s="6" t="n">
        <f aca="false">Sens!K7472</f>
        <v>19.5099010105511</v>
      </c>
    </row>
    <row r="7493" customFormat="false" ht="15" hidden="false" customHeight="false" outlineLevel="0" collapsed="false">
      <c r="A7493" s="0" t="s">
        <v>889</v>
      </c>
      <c r="B7493" s="0" t="s">
        <v>98</v>
      </c>
      <c r="D7493" s="6" t="n">
        <f aca="false">Sens!D7474</f>
        <v>17.315</v>
      </c>
      <c r="E7493" s="6" t="n">
        <f aca="false">Sens!E7474</f>
        <v>17.087</v>
      </c>
      <c r="F7493" s="6" t="n">
        <f aca="false">Sens!F7474</f>
        <v>16.9564585436519</v>
      </c>
      <c r="G7493" s="6" t="n">
        <f aca="false">Sens!G7474</f>
        <v>16.9206490624268</v>
      </c>
      <c r="H7493" s="6" t="n">
        <f aca="false">Sens!H7474</f>
        <v>16.9784519149849</v>
      </c>
      <c r="I7493" s="6" t="n">
        <f aca="false">Sens!I7474</f>
        <v>17.1303084701817</v>
      </c>
      <c r="J7493" s="6" t="n">
        <f aca="false">Sens!J7474</f>
        <v>17.3782189407267</v>
      </c>
      <c r="K7493" s="6" t="n">
        <f aca="false">Sens!K7474</f>
        <v>17.7257833195413</v>
      </c>
    </row>
    <row r="7494" customFormat="false" ht="15" hidden="false" customHeight="false" outlineLevel="0" collapsed="false">
      <c r="A7494" s="0" t="s">
        <v>729</v>
      </c>
      <c r="B7494" s="0" t="s">
        <v>98</v>
      </c>
      <c r="D7494" s="6" t="n">
        <f aca="false">Sens!D7476</f>
        <v>62.941</v>
      </c>
      <c r="E7494" s="6" t="n">
        <f aca="false">Sens!E7476</f>
        <v>63.712</v>
      </c>
      <c r="F7494" s="6" t="n">
        <f aca="false">Sens!F7476</f>
        <v>65.1415764563129</v>
      </c>
      <c r="G7494" s="6" t="n">
        <f aca="false">Sens!G7476</f>
        <v>67.1253610780702</v>
      </c>
      <c r="H7494" s="6" t="n">
        <f aca="false">Sens!H7476</f>
        <v>69.5768050148776</v>
      </c>
      <c r="I7494" s="6" t="n">
        <f aca="false">Sens!I7476</f>
        <v>72.4233188088189</v>
      </c>
      <c r="J7494" s="6" t="n">
        <f aca="false">Sens!J7476</f>
        <v>75.6044096678567</v>
      </c>
      <c r="K7494" s="6" t="n">
        <f aca="false">Sens!K7476</f>
        <v>79.0714397009747</v>
      </c>
    </row>
    <row r="7495" customFormat="false" ht="15" hidden="false" customHeight="false" outlineLevel="0" collapsed="false">
      <c r="A7495" s="1" t="s">
        <v>905</v>
      </c>
      <c r="B7495" s="0" t="s">
        <v>98</v>
      </c>
      <c r="D7495" s="6" t="n">
        <f aca="false">Sens!D7477</f>
        <v>281.724</v>
      </c>
      <c r="E7495" s="6" t="n">
        <f aca="false">Sens!E7477</f>
        <v>331.839</v>
      </c>
      <c r="F7495" s="6" t="n">
        <f aca="false">Sens!F7477</f>
        <v>395.605009521169</v>
      </c>
      <c r="G7495" s="6" t="n">
        <f aca="false">Sens!G7477</f>
        <v>459.095226751344</v>
      </c>
      <c r="H7495" s="6" t="n">
        <f aca="false">Sens!H7477</f>
        <v>518.633125886071</v>
      </c>
      <c r="I7495" s="6" t="n">
        <f aca="false">Sens!I7477</f>
        <v>580.874545054311</v>
      </c>
      <c r="J7495" s="6" t="n">
        <f aca="false">Sens!J7477</f>
        <v>633.370612797378</v>
      </c>
      <c r="K7495" s="6" t="n">
        <f aca="false">Sens!K7477</f>
        <v>676.824953890677</v>
      </c>
    </row>
    <row r="7496" customFormat="false" ht="15" hidden="false" customHeight="false" outlineLevel="0" collapsed="false">
      <c r="A7496" s="1" t="s">
        <v>906</v>
      </c>
      <c r="B7496" s="0" t="s">
        <v>129</v>
      </c>
      <c r="E7496" s="7" t="n">
        <f aca="false">Sens!E7495/Sens!D7495-1</f>
        <v>0.177886867998467</v>
      </c>
      <c r="F7496" s="7" t="n">
        <f aca="false">Sens!F7495/Sens!E7495-1</f>
        <v>0.19215947951015</v>
      </c>
      <c r="G7496" s="7" t="n">
        <f aca="false">Sens!G7495/Sens!F7495-1</f>
        <v>0.160488911166779</v>
      </c>
      <c r="H7496" s="7" t="n">
        <f aca="false">Sens!H7495/Sens!G7495-1</f>
        <v>0.129685293301848</v>
      </c>
      <c r="I7496" s="7" t="n">
        <f aca="false">Sens!I7495/Sens!H7495-1</f>
        <v>0.120010496942136</v>
      </c>
      <c r="J7496" s="7" t="n">
        <f aca="false">Sens!J7495/Sens!I7495-1</f>
        <v>0.0903741921384387</v>
      </c>
      <c r="K7496" s="7" t="n">
        <f aca="false">Sens!K7495/Sens!J7495-1</f>
        <v>0.0686080790856027</v>
      </c>
    </row>
    <row r="7497" customFormat="false" ht="17.15" hidden="false" customHeight="false" outlineLevel="0" collapsed="false">
      <c r="A7497" s="23" t="s">
        <v>907</v>
      </c>
      <c r="B7497" s="30" t="s">
        <v>98</v>
      </c>
      <c r="C7497" s="30"/>
      <c r="D7497" s="24" t="n">
        <f aca="false">(Sens!D7490+Sens!D7494-Sens!D7495)+(Sens!D7482+Sens!D7483-Sens!D7481)+(Sens!D7485+Sens!D7486-Sens!D7484)+(Sens!D7495-Q!L18)</f>
        <v>0</v>
      </c>
      <c r="E7497" s="24" t="n">
        <f aca="false">(Sens!E7490+Sens!E7494-Sens!E7495)+(Sens!E7482+Sens!E7483-Sens!E7481)+(Sens!E7485+Sens!E7486-Sens!E7484)+(Sens!E7495-Q!M18)</f>
        <v>0</v>
      </c>
      <c r="F7497" s="24" t="n">
        <f aca="false">(Sens!F7490+Sens!F7494-Sens!F7495)+(Sens!F7482+Sens!F7483-Sens!F7481)+(Sens!F7485+Sens!F7486-Sens!F7484)</f>
        <v>0</v>
      </c>
      <c r="G7497" s="24" t="n">
        <f aca="false">(Sens!G7490+Sens!G7494-Sens!G7495)+(Sens!G7482+Sens!G7483-Sens!G7481)+(Sens!G7485+Sens!G7486-Sens!G7484)</f>
        <v>0</v>
      </c>
      <c r="H7497" s="24" t="n">
        <f aca="false">(Sens!H7490+Sens!H7494-Sens!H7495)+(Sens!H7482+Sens!H7483-Sens!H7481)+(Sens!H7485+Sens!H7486-Sens!H7484)</f>
        <v>0</v>
      </c>
      <c r="I7497" s="24" t="n">
        <f aca="false">(Sens!I7490+Sens!I7494-Sens!I7495)+(Sens!I7482+Sens!I7483-Sens!I7481)+(Sens!I7485+Sens!I7486-Sens!I7484)</f>
        <v>0</v>
      </c>
      <c r="J7497" s="24" t="n">
        <f aca="false">(Sens!J7490+Sens!J7494-Sens!J7495)+(Sens!J7482+Sens!J7483-Sens!J7481)+(Sens!J7485+Sens!J7486-Sens!J7484)</f>
        <v>0</v>
      </c>
      <c r="K7497" s="24" t="n">
        <f aca="false">(Sens!K7490+Sens!K7494-Sens!K7495)+(Sens!K7482+Sens!K7483-Sens!K7481)+(Sens!K7485+Sens!K7486-Sens!K7484)</f>
        <v>0</v>
      </c>
    </row>
    <row r="7498" customFormat="false" ht="17.15" hidden="false" customHeight="false" outlineLevel="0" collapsed="false">
      <c r="A7498" s="0" t="s">
        <v>908</v>
      </c>
      <c r="B7498" s="0" t="s">
        <v>129</v>
      </c>
      <c r="E7498" s="7" t="n">
        <f aca="false">(Q!M21+Sens!E7435+Sens!E7436+Sens!E7437+Sens!E7450-Sens!E7433)/(Q!M5-Sens!E7433)</f>
        <v>0.570957350878296</v>
      </c>
      <c r="F7498" s="7" t="n">
        <f aca="false">Sens!$E$7498+dm_seg</f>
        <v>0.570957350878296</v>
      </c>
      <c r="G7498" s="7" t="n">
        <f aca="false">Sens!$E$7498+dm_seg</f>
        <v>0.570957350878296</v>
      </c>
      <c r="H7498" s="7" t="n">
        <f aca="false">Sens!$E$7498+dm_seg</f>
        <v>0.570957350878296</v>
      </c>
      <c r="I7498" s="7" t="n">
        <f aca="false">Sens!$E$7498+dm_seg</f>
        <v>0.570957350878296</v>
      </c>
      <c r="J7498" s="7" t="n">
        <f aca="false">Sens!$E$7498+dm_seg</f>
        <v>0.570957350878296</v>
      </c>
      <c r="K7498" s="7" t="n">
        <f aca="false">Sens!$E$7498+dm_seg</f>
        <v>0.570957350878296</v>
      </c>
      <c r="L7498" s="11" t="s">
        <v>909</v>
      </c>
    </row>
    <row r="7499" customFormat="false" ht="17.15" hidden="false" customHeight="false" outlineLevel="0" collapsed="false">
      <c r="A7499" s="0" t="s">
        <v>743</v>
      </c>
      <c r="B7499" s="0" t="s">
        <v>98</v>
      </c>
      <c r="D7499" s="6" t="n">
        <f aca="false">Q!L21</f>
        <v>110.814</v>
      </c>
      <c r="E7499" s="6" t="n">
        <f aca="false">Q!M21</f>
        <v>136.365</v>
      </c>
      <c r="F7499" s="6" t="n">
        <f aca="false">Sens!F7498*(Sens!F7469-Sens!F7433)+Sens!F7433-(Sens!F7435+Sens!F7436+Sens!F7437)-Sens!F7450-Sens!F7533</f>
        <v>153.406485529338</v>
      </c>
      <c r="G7499" s="6" t="n">
        <f aca="false">Sens!G7498*(Sens!G7469-Sens!G7433)+Sens!G7433-(Sens!G7435+Sens!G7436+Sens!G7437)-Sens!G7450-Sens!G7533</f>
        <v>162.491539977467</v>
      </c>
      <c r="H7499" s="6" t="n">
        <f aca="false">Sens!H7498*(Sens!H7469-Sens!H7433)+Sens!H7433-(Sens!H7435+Sens!H7436+Sens!H7437)-Sens!H7450-Sens!H7533</f>
        <v>165.199404803117</v>
      </c>
      <c r="I7499" s="6" t="n">
        <f aca="false">Sens!I7498*(Sens!I7469-Sens!I7433)+Sens!I7433-(Sens!I7435+Sens!I7436+Sens!I7437)-Sens!I7450-Sens!I7533</f>
        <v>175.44920350527</v>
      </c>
      <c r="J7499" s="6" t="n">
        <f aca="false">Sens!J7498*(Sens!J7469-Sens!J7433)+Sens!J7433-(Sens!J7435+Sens!J7436+Sens!J7437)-Sens!J7450-Sens!J7533</f>
        <v>186.863998531198</v>
      </c>
      <c r="K7499" s="6" t="n">
        <f aca="false">Sens!K7498*(Sens!K7469-Sens!K7433)+Sens!K7433-(Sens!K7435+Sens!K7436+Sens!K7437)-Sens!K7450-Sens!K7533</f>
        <v>199.555122899925</v>
      </c>
      <c r="L7499" s="1" t="s">
        <v>910</v>
      </c>
    </row>
    <row r="7500" customFormat="false" ht="17.15" hidden="false" customHeight="false" outlineLevel="0" collapsed="false">
      <c r="A7500" s="0" t="s">
        <v>911</v>
      </c>
      <c r="B7500" s="0" t="s">
        <v>129</v>
      </c>
      <c r="E7500" s="7" t="n">
        <f aca="false">Q!M22/Q!M12</f>
        <v>0.296207935710698</v>
      </c>
      <c r="F7500" s="7" t="n">
        <f aca="false">Sens!$E$7500+dm_seg</f>
        <v>0.296207935710698</v>
      </c>
      <c r="G7500" s="7" t="n">
        <f aca="false">Sens!$E$7500+dm_seg</f>
        <v>0.296207935710698</v>
      </c>
      <c r="H7500" s="7" t="n">
        <f aca="false">Sens!$E$7500+dm_seg</f>
        <v>0.296207935710698</v>
      </c>
      <c r="I7500" s="7" t="n">
        <f aca="false">Sens!$E$7500+dm_seg</f>
        <v>0.296207935710698</v>
      </c>
      <c r="J7500" s="7" t="n">
        <f aca="false">Sens!$E$7500+dm_seg</f>
        <v>0.296207935710698</v>
      </c>
      <c r="K7500" s="7" t="n">
        <f aca="false">Sens!$E$7500+dm_seg</f>
        <v>0.296207935710698</v>
      </c>
      <c r="L7500" s="11" t="s">
        <v>912</v>
      </c>
    </row>
    <row r="7501" customFormat="false" ht="17.15" hidden="false" customHeight="false" outlineLevel="0" collapsed="false">
      <c r="A7501" s="0" t="s">
        <v>745</v>
      </c>
      <c r="B7501" s="0" t="s">
        <v>98</v>
      </c>
      <c r="D7501" s="6" t="n">
        <f aca="false">Q!L22</f>
        <v>17.714</v>
      </c>
      <c r="E7501" s="6" t="n">
        <f aca="false">Q!M22</f>
        <v>18.872</v>
      </c>
      <c r="F7501" s="6" t="n">
        <f aca="false">Sens!F7476*Sens!F7500</f>
        <v>19.2954518910651</v>
      </c>
      <c r="G7501" s="6" t="n">
        <f aca="false">Sens!G7476*Sens!G7500</f>
        <v>19.8830646387704</v>
      </c>
      <c r="H7501" s="6" t="n">
        <f aca="false">Sens!H7476*Sens!H7500</f>
        <v>20.6092017868026</v>
      </c>
      <c r="I7501" s="6" t="n">
        <f aca="false">Sens!I7476*Sens!I7500</f>
        <v>21.452361761678</v>
      </c>
      <c r="J7501" s="6" t="n">
        <f aca="false">Sens!J7476*Sens!J7500</f>
        <v>22.3946261183418</v>
      </c>
      <c r="K7501" s="6" t="n">
        <f aca="false">Sens!K7476*Sens!K7500</f>
        <v>23.4215879274986</v>
      </c>
    </row>
    <row r="7502" customFormat="false" ht="15" hidden="false" customHeight="false" outlineLevel="0" collapsed="false">
      <c r="A7502" s="1" t="s">
        <v>913</v>
      </c>
      <c r="B7502" s="0" t="s">
        <v>98</v>
      </c>
      <c r="D7502" s="6" t="n">
        <f aca="false">Sens!D7499+Sens!D7501</f>
        <v>128.528</v>
      </c>
      <c r="E7502" s="6" t="n">
        <f aca="false">Sens!E7499+Sens!E7501</f>
        <v>155.237</v>
      </c>
      <c r="F7502" s="6" t="n">
        <f aca="false">Sens!F7499+Sens!F7501</f>
        <v>172.701937420403</v>
      </c>
      <c r="G7502" s="6" t="n">
        <f aca="false">Sens!G7499+Sens!G7501</f>
        <v>182.374604616238</v>
      </c>
      <c r="H7502" s="6" t="n">
        <f aca="false">Sens!H7499+Sens!H7501</f>
        <v>185.808606589919</v>
      </c>
      <c r="I7502" s="6" t="n">
        <f aca="false">Sens!I7499+Sens!I7501</f>
        <v>196.901565266948</v>
      </c>
      <c r="J7502" s="6" t="n">
        <f aca="false">Sens!J7499+Sens!J7501</f>
        <v>209.25862464954</v>
      </c>
      <c r="K7502" s="6" t="n">
        <f aca="false">Sens!K7499+Sens!K7501</f>
        <v>222.976710827423</v>
      </c>
    </row>
    <row r="7503" customFormat="false" ht="15" hidden="false" customHeight="false" outlineLevel="0" collapsed="false">
      <c r="A7503" s="23" t="s">
        <v>914</v>
      </c>
      <c r="B7503" s="30" t="s">
        <v>98</v>
      </c>
      <c r="C7503" s="30"/>
      <c r="D7503" s="24" t="n">
        <f aca="false">Sens!D7502-Q!L23</f>
        <v>0</v>
      </c>
      <c r="E7503" s="24" t="n">
        <f aca="false">Sens!E7502-Q!M23</f>
        <v>0</v>
      </c>
      <c r="F7503" s="30"/>
      <c r="G7503" s="30"/>
      <c r="H7503" s="30"/>
      <c r="I7503" s="30"/>
      <c r="J7503" s="30"/>
      <c r="K7503" s="30"/>
    </row>
    <row r="7504" customFormat="false" ht="15" hidden="false" customHeight="false" outlineLevel="0" collapsed="false">
      <c r="A7504" s="1" t="s">
        <v>915</v>
      </c>
      <c r="B7504" s="0" t="s">
        <v>129</v>
      </c>
      <c r="D7504" s="7" t="n">
        <f aca="false">Sens!D7502/Sens!D7495</f>
        <v>0.456219562408598</v>
      </c>
      <c r="E7504" s="7" t="n">
        <f aca="false">Sens!E7502/Sens!E7495</f>
        <v>0.467808184089272</v>
      </c>
      <c r="F7504" s="7" t="n">
        <f aca="false">Sens!F7502/Sens!F7495</f>
        <v>0.436551442130214</v>
      </c>
      <c r="G7504" s="7" t="n">
        <f aca="false">Sens!G7502/Sens!G7495</f>
        <v>0.397247877976775</v>
      </c>
      <c r="H7504" s="7" t="n">
        <f aca="false">Sens!H7502/Sens!H7495</f>
        <v>0.358265982861142</v>
      </c>
      <c r="I7504" s="7" t="n">
        <f aca="false">Sens!I7502/Sens!I7495</f>
        <v>0.338974339542694</v>
      </c>
      <c r="J7504" s="7" t="n">
        <f aca="false">Sens!J7502/Sens!J7495</f>
        <v>0.330388907254975</v>
      </c>
      <c r="K7504" s="7" t="n">
        <f aca="false">Sens!K7502/Sens!K7495</f>
        <v>0.329445168275281</v>
      </c>
    </row>
    <row r="7505" customFormat="false" ht="17.15" hidden="false" customHeight="false" outlineLevel="0" collapsed="false">
      <c r="A7505" s="1" t="s">
        <v>916</v>
      </c>
      <c r="B7505" s="0" t="s">
        <v>98</v>
      </c>
      <c r="F7505" s="6" t="n">
        <f aca="false">Sens!F7520</f>
        <v>8.95634606342828</v>
      </c>
      <c r="G7505" s="6" t="n">
        <f aca="false">Sens!G7520</f>
        <v>24.9623535922841</v>
      </c>
      <c r="H7505" s="6" t="n">
        <f aca="false">Sens!H7520</f>
        <v>42.5023400716616</v>
      </c>
      <c r="I7505" s="6" t="n">
        <f aca="false">Sens!I7520</f>
        <v>58.3617624255809</v>
      </c>
      <c r="J7505" s="6" t="n">
        <f aca="false">Sens!J7520</f>
        <v>69.5664351876405</v>
      </c>
      <c r="K7505" s="6" t="n">
        <f aca="false">Sens!K7520</f>
        <v>76.2952577507562</v>
      </c>
      <c r="L7505" s="1" t="s">
        <v>917</v>
      </c>
    </row>
    <row r="7506" customFormat="false" ht="17.15" hidden="false" customHeight="false" outlineLevel="0" collapsed="false">
      <c r="A7506" s="1" t="s">
        <v>918</v>
      </c>
      <c r="B7506" s="0" t="s">
        <v>98</v>
      </c>
      <c r="D7506" s="6" t="n">
        <f aca="false">Sens!D7502</f>
        <v>128.528</v>
      </c>
      <c r="E7506" s="6" t="n">
        <f aca="false">Sens!E7502</f>
        <v>155.237</v>
      </c>
      <c r="F7506" s="6" t="n">
        <f aca="false">Sens!F7502+Sens!F7505</f>
        <v>181.658283483831</v>
      </c>
      <c r="G7506" s="6" t="n">
        <f aca="false">Sens!G7502+Sens!G7505</f>
        <v>207.336958208522</v>
      </c>
      <c r="H7506" s="6" t="n">
        <f aca="false">Sens!H7502+Sens!H7505</f>
        <v>228.310946661581</v>
      </c>
      <c r="I7506" s="6" t="n">
        <f aca="false">Sens!I7502+Sens!I7505</f>
        <v>255.263327692529</v>
      </c>
      <c r="J7506" s="6" t="n">
        <f aca="false">Sens!J7502+Sens!J7505</f>
        <v>278.82505983718</v>
      </c>
      <c r="K7506" s="6" t="n">
        <f aca="false">Sens!K7502+Sens!K7505</f>
        <v>299.27196857818</v>
      </c>
    </row>
    <row r="7507" customFormat="false" ht="17.15" hidden="false" customHeight="false" outlineLevel="0" collapsed="false">
      <c r="A7507" s="1" t="s">
        <v>919</v>
      </c>
      <c r="B7507" s="0" t="s">
        <v>98</v>
      </c>
      <c r="E7507" s="6" t="n">
        <f aca="false">Sens!E7450</f>
        <v>16.3054059770833</v>
      </c>
      <c r="F7507" s="6" t="n">
        <f aca="false">Sens!F7450</f>
        <v>34.0498873809555</v>
      </c>
      <c r="G7507" s="6" t="n">
        <f aca="false">Sens!G7450</f>
        <v>59.1254371105111</v>
      </c>
      <c r="H7507" s="6" t="n">
        <f aca="false">Sens!H7450</f>
        <v>86.3610198433111</v>
      </c>
      <c r="I7507" s="6" t="n">
        <f aca="false">Sens!I7450</f>
        <v>110.605743832393</v>
      </c>
      <c r="J7507" s="6" t="n">
        <f aca="false">Sens!J7450</f>
        <v>127.998322852843</v>
      </c>
      <c r="K7507" s="6" t="n">
        <f aca="false">Sens!K7450</f>
        <v>139.131464044308</v>
      </c>
    </row>
    <row r="7508" customFormat="false" ht="17.15" hidden="false" customHeight="false" outlineLevel="0" collapsed="false">
      <c r="A7508" s="1" t="s">
        <v>920</v>
      </c>
      <c r="B7508" s="0" t="s">
        <v>98</v>
      </c>
      <c r="E7508" s="6" t="n">
        <f aca="false">Sens!E7532</f>
        <v>22.2285940229167</v>
      </c>
      <c r="F7508" s="6" t="n">
        <f aca="false">Sens!F7532</f>
        <v>24.3924470334783</v>
      </c>
      <c r="G7508" s="6" t="n">
        <f aca="false">Sens!G7532</f>
        <v>26.0504916871694</v>
      </c>
      <c r="H7508" s="6" t="n">
        <f aca="false">Sens!H7532</f>
        <v>28.0845938828615</v>
      </c>
      <c r="I7508" s="6" t="n">
        <f aca="false">Sens!I7532</f>
        <v>30.4359745257397</v>
      </c>
      <c r="J7508" s="6" t="n">
        <f aca="false">Sens!J7532</f>
        <v>33.0284683982031</v>
      </c>
      <c r="K7508" s="6" t="n">
        <f aca="false">Sens!K7532</f>
        <v>35.7784918325822</v>
      </c>
    </row>
    <row r="7509" customFormat="false" ht="17.15" hidden="false" customHeight="false" outlineLevel="0" collapsed="false">
      <c r="A7509" s="1" t="s">
        <v>921</v>
      </c>
      <c r="B7509" s="0" t="s">
        <v>98</v>
      </c>
      <c r="D7509" s="6" t="n">
        <f aca="false">Q!L27</f>
        <v>-4.901</v>
      </c>
      <c r="E7509" s="6" t="n">
        <f aca="false">Q!M27</f>
        <v>10.697</v>
      </c>
      <c r="F7509" s="6" t="n">
        <f aca="false">oie_f</f>
        <v>-0.4</v>
      </c>
      <c r="G7509" s="6" t="n">
        <f aca="false">oie_f</f>
        <v>-0.4</v>
      </c>
      <c r="H7509" s="6" t="n">
        <f aca="false">oie_f</f>
        <v>-0.4</v>
      </c>
      <c r="I7509" s="6" t="n">
        <f aca="false">oie_f</f>
        <v>-0.4</v>
      </c>
      <c r="J7509" s="6" t="n">
        <f aca="false">oie_f</f>
        <v>-0.4</v>
      </c>
      <c r="K7509" s="6" t="n">
        <f aca="false">oie_f</f>
        <v>-0.4</v>
      </c>
      <c r="L7509" s="11" t="s">
        <v>922</v>
      </c>
    </row>
    <row r="7510" customFormat="false" ht="15" hidden="false" customHeight="false" outlineLevel="0" collapsed="false">
      <c r="A7510" s="1" t="s">
        <v>923</v>
      </c>
      <c r="B7510" s="0" t="s">
        <v>98</v>
      </c>
      <c r="D7510" s="6" t="n">
        <f aca="false">Sens!D7502+Sens!D7509</f>
        <v>123.627</v>
      </c>
      <c r="E7510" s="6" t="n">
        <f aca="false">Sens!E7502+Sens!E7509</f>
        <v>165.934</v>
      </c>
      <c r="F7510" s="6" t="n">
        <f aca="false">Sens!F7502+Sens!F7509</f>
        <v>172.301937420403</v>
      </c>
      <c r="G7510" s="6" t="n">
        <f aca="false">Sens!G7502+Sens!G7509</f>
        <v>181.974604616238</v>
      </c>
      <c r="H7510" s="6" t="n">
        <f aca="false">Sens!H7502+Sens!H7509</f>
        <v>185.408606589919</v>
      </c>
      <c r="I7510" s="6" t="n">
        <f aca="false">Sens!I7502+Sens!I7509</f>
        <v>196.501565266948</v>
      </c>
      <c r="J7510" s="6" t="n">
        <f aca="false">Sens!J7502+Sens!J7509</f>
        <v>208.85862464954</v>
      </c>
      <c r="K7510" s="6" t="n">
        <f aca="false">Sens!K7502+Sens!K7509</f>
        <v>222.576710827423</v>
      </c>
    </row>
    <row r="7511" customFormat="false" ht="15" hidden="false" customHeight="false" outlineLevel="0" collapsed="false">
      <c r="A7511" s="1" t="s">
        <v>924</v>
      </c>
      <c r="B7511" s="0" t="s">
        <v>98</v>
      </c>
      <c r="D7511" s="6" t="n">
        <f aca="false">Q!L29</f>
        <v>21.795</v>
      </c>
      <c r="E7511" s="6" t="n">
        <f aca="false">Q!M29</f>
        <v>32.185</v>
      </c>
      <c r="F7511" s="6" t="n">
        <f aca="false">Sens!F7510*tax_f</f>
        <v>34.4603874840806</v>
      </c>
      <c r="G7511" s="6" t="n">
        <f aca="false">Sens!G7510*tax_f</f>
        <v>36.3949209232476</v>
      </c>
      <c r="H7511" s="6" t="n">
        <f aca="false">Sens!H7510*tax_f</f>
        <v>37.0817213179839</v>
      </c>
      <c r="I7511" s="6" t="n">
        <f aca="false">Sens!I7510*tax_f</f>
        <v>39.3003130533896</v>
      </c>
      <c r="J7511" s="6" t="n">
        <f aca="false">Sens!J7510*tax_f</f>
        <v>41.7717249299079</v>
      </c>
      <c r="K7511" s="6" t="n">
        <f aca="false">Sens!K7510*tax_f</f>
        <v>44.5153421654847</v>
      </c>
    </row>
    <row r="7512" customFormat="false" ht="15" hidden="false" customHeight="false" outlineLevel="0" collapsed="false">
      <c r="A7512" s="1" t="s">
        <v>925</v>
      </c>
      <c r="B7512" s="0" t="s">
        <v>98</v>
      </c>
      <c r="D7512" s="6" t="n">
        <f aca="false">Sens!D7510-Sens!D7511</f>
        <v>101.832</v>
      </c>
      <c r="E7512" s="6" t="n">
        <f aca="false">Sens!E7510-Sens!E7511</f>
        <v>133.749</v>
      </c>
      <c r="F7512" s="6" t="n">
        <f aca="false">Sens!F7510-Sens!F7511</f>
        <v>137.841549936323</v>
      </c>
      <c r="G7512" s="6" t="n">
        <f aca="false">Sens!G7510-Sens!G7511</f>
        <v>145.57968369299</v>
      </c>
      <c r="H7512" s="6" t="n">
        <f aca="false">Sens!H7510-Sens!H7511</f>
        <v>148.326885271936</v>
      </c>
      <c r="I7512" s="6" t="n">
        <f aca="false">Sens!I7510-Sens!I7511</f>
        <v>157.201252213559</v>
      </c>
      <c r="J7512" s="6" t="n">
        <f aca="false">Sens!J7510-Sens!J7511</f>
        <v>167.086899719632</v>
      </c>
      <c r="K7512" s="6" t="n">
        <f aca="false">Sens!K7510-Sens!K7511</f>
        <v>178.061368661939</v>
      </c>
    </row>
    <row r="7513" customFormat="false" ht="17.15" hidden="false" customHeight="false" outlineLevel="0" collapsed="false">
      <c r="A7513" s="1" t="s">
        <v>926</v>
      </c>
      <c r="B7513" s="1" t="s">
        <v>81</v>
      </c>
      <c r="D7513" s="14" t="n">
        <f aca="false">Q!L31</f>
        <v>7.465</v>
      </c>
      <c r="E7513" s="14" t="n">
        <f aca="false">Q!M31</f>
        <v>7.453</v>
      </c>
      <c r="F7513" s="14" t="n">
        <f aca="false">Sens!F7556</f>
        <v>7.4735</v>
      </c>
      <c r="G7513" s="14" t="n">
        <f aca="false">Sens!G7556</f>
        <v>7.5185</v>
      </c>
      <c r="H7513" s="14" t="n">
        <f aca="false">Sens!H7556</f>
        <v>7.5574026727284</v>
      </c>
      <c r="I7513" s="14" t="n">
        <f aca="false">Sens!I7556</f>
        <v>7.58033459161416</v>
      </c>
      <c r="J7513" s="14" t="n">
        <f aca="false">Sens!J7556</f>
        <v>7.59457610273204</v>
      </c>
      <c r="K7513" s="14" t="n">
        <f aca="false">Sens!K7556</f>
        <v>7.61109602043378</v>
      </c>
    </row>
    <row r="7514" customFormat="false" ht="17.15" hidden="false" customHeight="false" outlineLevel="0" collapsed="false">
      <c r="A7514" s="0" t="s">
        <v>927</v>
      </c>
      <c r="B7514" s="0" t="s">
        <v>75</v>
      </c>
      <c r="D7514" s="8" t="n">
        <f aca="false">Sens!D7512/Sens!D7513</f>
        <v>13.641259209645</v>
      </c>
      <c r="E7514" s="8" t="n">
        <f aca="false">Sens!E7512/Sens!E7513</f>
        <v>17.9456594659869</v>
      </c>
      <c r="F7514" s="8" t="n">
        <f aca="false">Sens!F7512/Sens!F7513</f>
        <v>18.4440422742119</v>
      </c>
      <c r="G7514" s="8" t="n">
        <f aca="false">Sens!G7512/Sens!G7513</f>
        <v>19.3628627642469</v>
      </c>
      <c r="H7514" s="8" t="n">
        <f aca="false">Sens!H7512/Sens!H7513</f>
        <v>19.6267013543141</v>
      </c>
      <c r="I7514" s="8" t="n">
        <f aca="false">Sens!I7512/Sens!I7513</f>
        <v>20.738036073957</v>
      </c>
      <c r="J7514" s="8" t="n">
        <f aca="false">Sens!J7512/Sens!J7513</f>
        <v>22.0008197244247</v>
      </c>
      <c r="K7514" s="8" t="n">
        <f aca="false">Sens!K7512/Sens!K7513</f>
        <v>23.3949707353436</v>
      </c>
      <c r="L7514" s="1" t="s">
        <v>928</v>
      </c>
    </row>
    <row r="7515" customFormat="false" ht="17.15" hidden="false" customHeight="false" outlineLevel="0" collapsed="false">
      <c r="A7515" s="1" t="s">
        <v>929</v>
      </c>
      <c r="B7515" s="0" t="s">
        <v>98</v>
      </c>
      <c r="D7515" s="6" t="n">
        <f aca="false">Sens!D7512</f>
        <v>101.832</v>
      </c>
      <c r="E7515" s="6" t="n">
        <f aca="false">Sens!E7512</f>
        <v>133.749</v>
      </c>
      <c r="F7515" s="6" t="n">
        <f aca="false">Sens!F7512+Sens!F7505*(1-tax_f)</f>
        <v>145.006626787065</v>
      </c>
      <c r="G7515" s="6" t="n">
        <f aca="false">Sens!G7512+Sens!G7505*(1-tax_f)</f>
        <v>165.549566566818</v>
      </c>
      <c r="H7515" s="6" t="n">
        <f aca="false">Sens!H7512+Sens!H7505*(1-tax_f)</f>
        <v>182.328757329265</v>
      </c>
      <c r="I7515" s="6" t="n">
        <f aca="false">Sens!I7512+Sens!I7505*(1-tax_f)</f>
        <v>203.890662154023</v>
      </c>
      <c r="J7515" s="6" t="n">
        <f aca="false">Sens!J7512+Sens!J7505*(1-tax_f)</f>
        <v>222.740047869744</v>
      </c>
      <c r="K7515" s="6" t="n">
        <f aca="false">Sens!K7512+Sens!K7505*(1-tax_f)</f>
        <v>239.097574862544</v>
      </c>
    </row>
    <row r="7516" customFormat="false" ht="17.15" hidden="false" customHeight="false" outlineLevel="0" collapsed="false">
      <c r="A7516" s="0" t="s">
        <v>930</v>
      </c>
      <c r="B7516" s="0" t="s">
        <v>75</v>
      </c>
      <c r="D7516" s="8" t="n">
        <f aca="false">Sens!D7515/Sens!D7513</f>
        <v>13.641259209645</v>
      </c>
      <c r="E7516" s="8" t="n">
        <f aca="false">Sens!E7515/Sens!E7513</f>
        <v>17.9456594659869</v>
      </c>
      <c r="F7516" s="8" t="n">
        <f aca="false">Sens!F7515/Sens!F7513</f>
        <v>19.4027733708524</v>
      </c>
      <c r="G7516" s="8" t="n">
        <f aca="false">Sens!G7515/Sens!G7513</f>
        <v>22.0189621023898</v>
      </c>
      <c r="H7516" s="8" t="n">
        <f aca="false">Sens!H7515/Sens!H7513</f>
        <v>24.1258492136744</v>
      </c>
      <c r="I7516" s="8" t="n">
        <f aca="false">Sens!I7515/Sens!I7513</f>
        <v>26.8973169574309</v>
      </c>
      <c r="J7516" s="8" t="n">
        <f aca="false">Sens!J7515/Sens!J7513</f>
        <v>29.3288321634721</v>
      </c>
      <c r="K7516" s="8" t="n">
        <f aca="false">Sens!K7515/Sens!K7513</f>
        <v>31.4143421946892</v>
      </c>
      <c r="L7516" s="1" t="s">
        <v>931</v>
      </c>
    </row>
    <row r="7517" customFormat="false" ht="17.15" hidden="false" customHeight="false" outlineLevel="0" collapsed="false">
      <c r="A7517" s="0" t="s">
        <v>932</v>
      </c>
      <c r="B7517" s="0" t="s">
        <v>129</v>
      </c>
      <c r="E7517" s="7" t="n">
        <f aca="false">Sens!E7516/Sens!D7516-1</f>
        <v>0.315542736208578</v>
      </c>
      <c r="F7517" s="7" t="n">
        <f aca="false">Sens!F7516/Sens!E7516-1</f>
        <v>0.0811958962905339</v>
      </c>
      <c r="G7517" s="7" t="n">
        <f aca="false">Sens!G7516/Sens!F7516-1</f>
        <v>0.134835813496</v>
      </c>
      <c r="H7517" s="7" t="n">
        <f aca="false">Sens!H7516/Sens!G7516-1</f>
        <v>0.0956851236442211</v>
      </c>
      <c r="I7517" s="7" t="n">
        <f aca="false">Sens!I7516/Sens!H7516-1</f>
        <v>0.114875448288289</v>
      </c>
      <c r="J7517" s="7" t="n">
        <f aca="false">Sens!J7516/Sens!I7516-1</f>
        <v>0.0903999164633957</v>
      </c>
      <c r="K7517" s="7" t="n">
        <f aca="false">Sens!K7516/Sens!J7516-1</f>
        <v>0.0711078443080482</v>
      </c>
    </row>
    <row r="7518" customFormat="false" ht="17.15" hidden="false" customHeight="false" outlineLevel="0" collapsed="false">
      <c r="A7518" s="0" t="s">
        <v>856</v>
      </c>
      <c r="B7518" s="0" t="s">
        <v>98</v>
      </c>
      <c r="E7518" s="6" t="n">
        <f aca="false">Sens!E7459</f>
        <v>5.25</v>
      </c>
      <c r="F7518" s="6" t="n">
        <f aca="false">Sens!F7459</f>
        <v>12.6</v>
      </c>
      <c r="G7518" s="6" t="n">
        <f aca="false">Sens!G7459</f>
        <v>16.2</v>
      </c>
      <c r="H7518" s="6" t="n">
        <f aca="false">Sens!H7459</f>
        <v>19.8</v>
      </c>
      <c r="I7518" s="6" t="n">
        <f aca="false">Sens!I7459</f>
        <v>22.5</v>
      </c>
      <c r="J7518" s="6" t="n">
        <f aca="false">Sens!J7459</f>
        <v>24.3</v>
      </c>
      <c r="K7518" s="6" t="n">
        <f aca="false">Sens!K7459</f>
        <v>26.1</v>
      </c>
    </row>
    <row r="7519" customFormat="false" ht="17.15" hidden="false" customHeight="false" outlineLevel="0" collapsed="false">
      <c r="A7519" s="1" t="s">
        <v>857</v>
      </c>
      <c r="B7519" s="0" t="s">
        <v>98</v>
      </c>
      <c r="F7519" s="6" t="n">
        <f aca="false">MAX(0,((Sens!E7422+Sens!F7422)/2-(shadow_base*(Sens!$D$7422+Sens!$E$7422)/2+(1-shadow_base)*Sens!$E$7422))*Sens!F7430/1000-(Sens!F7518-Sens!$E$7518)*Sens!F7498)</f>
        <v>8.95634606342828</v>
      </c>
      <c r="G7519" s="6" t="n">
        <f aca="false">MAX(0,((Sens!F7422+Sens!G7422)/2-(shadow_base*(Sens!$D$7422+Sens!$E$7422)/2+(1-shadow_base)*Sens!$E$7422))*Sens!G7430/1000-(Sens!G7518-Sens!$E$7518)*Sens!G7498)</f>
        <v>24.9623535922841</v>
      </c>
      <c r="H7519" s="6" t="n">
        <f aca="false">MAX(0,((Sens!G7422+Sens!H7422)/2-(shadow_base*(Sens!$D$7422+Sens!$E$7422)/2+(1-shadow_base)*Sens!$E$7422))*Sens!H7430/1000-(Sens!H7518-Sens!$E$7518)*Sens!H7498)</f>
        <v>42.5023400716616</v>
      </c>
      <c r="I7519" s="6" t="n">
        <f aca="false">MAX(0,((Sens!H7422+Sens!I7422)/2-(shadow_base*(Sens!$D$7422+Sens!$E$7422)/2+(1-shadow_base)*Sens!$E$7422))*Sens!I7430/1000-(Sens!I7518-Sens!$E$7518)*Sens!I7498)</f>
        <v>58.3617624255809</v>
      </c>
      <c r="J7519" s="6" t="n">
        <f aca="false">MAX(0,((Sens!I7422+Sens!J7422)/2-(shadow_base*(Sens!$D$7422+Sens!$E$7422)/2+(1-shadow_base)*Sens!$E$7422))*Sens!J7430/1000-(Sens!J7518-Sens!$E$7518)*Sens!J7498)</f>
        <v>69.5664351876405</v>
      </c>
      <c r="K7519" s="6" t="n">
        <f aca="false">MAX(0,((Sens!J7422+Sens!K7422)/2-(shadow_base*(Sens!$D$7422+Sens!$E$7422)/2+(1-shadow_base)*Sens!$E$7422))*Sens!K7430/1000-(Sens!K7518-Sens!$E$7518)*Sens!K7498)</f>
        <v>76.2952577507562</v>
      </c>
      <c r="L7519" s="1" t="s">
        <v>858</v>
      </c>
    </row>
    <row r="7520" customFormat="false" ht="17.15" hidden="false" customHeight="false" outlineLevel="0" collapsed="false">
      <c r="A7520" s="1" t="s">
        <v>859</v>
      </c>
      <c r="B7520" s="0" t="s">
        <v>98</v>
      </c>
      <c r="F7520" s="6" t="n">
        <f aca="false">IF(internal_ai_reading=2,1,0)*Sens!F7519</f>
        <v>8.95634606342828</v>
      </c>
      <c r="G7520" s="6" t="n">
        <f aca="false">IF(internal_ai_reading=2,1,0)*Sens!G7519</f>
        <v>24.9623535922841</v>
      </c>
      <c r="H7520" s="6" t="n">
        <f aca="false">IF(internal_ai_reading=2,1,0)*Sens!H7519</f>
        <v>42.5023400716616</v>
      </c>
      <c r="I7520" s="6" t="n">
        <f aca="false">IF(internal_ai_reading=2,1,0)*Sens!I7519</f>
        <v>58.3617624255809</v>
      </c>
      <c r="J7520" s="6" t="n">
        <f aca="false">IF(internal_ai_reading=2,1,0)*Sens!J7519</f>
        <v>69.5664351876405</v>
      </c>
      <c r="K7520" s="6" t="n">
        <f aca="false">IF(internal_ai_reading=2,1,0)*Sens!K7519</f>
        <v>76.2952577507562</v>
      </c>
    </row>
    <row r="7521" customFormat="false" ht="17.15" hidden="false" customHeight="false" outlineLevel="0" collapsed="false">
      <c r="A7521" s="0" t="s">
        <v>860</v>
      </c>
      <c r="B7521" s="0" t="s">
        <v>98</v>
      </c>
      <c r="F7521" s="6" t="n">
        <f aca="false">Sens!F7439+Sens!F7518*Sens!F7498+Sens!F7520-Sens!F7440-Sens!F7450</f>
        <v>10.6249363155714</v>
      </c>
      <c r="G7521" s="6" t="n">
        <f aca="false">Sens!G7439+Sens!G7518*Sens!G7498+Sens!G7520-Sens!G7440-Sens!G7450</f>
        <v>16.5522915631233</v>
      </c>
      <c r="H7521" s="6" t="n">
        <f aca="false">Sens!H7439+Sens!H7518*Sens!H7498+Sens!H7520-Sens!H7440-Sens!H7450</f>
        <v>17.4625151247579</v>
      </c>
      <c r="I7521" s="6" t="n">
        <f aca="false">Sens!I7439+Sens!I7518*Sens!I7498+Sens!I7520-Sens!I7440-Sens!I7450</f>
        <v>24.729505792607</v>
      </c>
      <c r="J7521" s="6" t="n">
        <f aca="false">Sens!J7439+Sens!J7518*Sens!J7498+Sens!J7520-Sens!J7440-Sens!J7450</f>
        <v>29.752205312642</v>
      </c>
      <c r="K7521" s="6" t="n">
        <f aca="false">Sens!K7439+Sens!K7518*Sens!K7498+Sens!K7520-Sens!K7440-Sens!K7450</f>
        <v>33.5968759973665</v>
      </c>
    </row>
    <row r="7522" customFormat="false" ht="17.15" hidden="false" customHeight="false" outlineLevel="0" collapsed="false">
      <c r="A7522" s="0" t="s">
        <v>861</v>
      </c>
      <c r="B7522" s="0" t="s">
        <v>98</v>
      </c>
      <c r="E7522" s="6" t="n">
        <f aca="false">Sens!E7421*(cxit_open+self_build*tk_cxfac)/1000*ai_net_open</f>
        <v>126.6980382</v>
      </c>
      <c r="F7522" s="6" t="n">
        <f aca="false">Sens!E7522+Sens!F7447-Sens!F7450</f>
        <v>252.981026690511</v>
      </c>
      <c r="G7522" s="6" t="n">
        <f aca="false">Sens!F7522+Sens!G7447-Sens!G7450</f>
        <v>377.4297700632</v>
      </c>
      <c r="H7522" s="6" t="n">
        <f aca="false">Sens!G7522+Sens!H7447-Sens!H7450</f>
        <v>479.149036130289</v>
      </c>
      <c r="I7522" s="6" t="n">
        <f aca="false">Sens!H7522+Sens!I7447-Sens!I7450</f>
        <v>532.249961452141</v>
      </c>
      <c r="J7522" s="6" t="n">
        <f aca="false">Sens!I7522+Sens!J7447-Sens!J7450</f>
        <v>531.43307519354</v>
      </c>
      <c r="K7522" s="6" t="n">
        <f aca="false">Sens!J7522+Sens!K7447-Sens!K7450</f>
        <v>513.709026452823</v>
      </c>
      <c r="L7522" s="1" t="s">
        <v>862</v>
      </c>
    </row>
    <row r="7523" customFormat="false" ht="17.15" hidden="false" customHeight="false" outlineLevel="0" collapsed="false">
      <c r="A7523" s="0" t="s">
        <v>863</v>
      </c>
      <c r="B7523" s="0" t="s">
        <v>129</v>
      </c>
      <c r="F7523" s="7" t="n">
        <f aca="false">Sens!F7521*(1-tax_f)/((Sens!E7522+Sens!F7522)/2)</f>
        <v>0.0447743888903028</v>
      </c>
      <c r="G7523" s="7" t="n">
        <f aca="false">Sens!G7521*(1-tax_f)/((Sens!F7522+Sens!G7522)/2)</f>
        <v>0.0420101727910983</v>
      </c>
      <c r="H7523" s="7" t="n">
        <f aca="false">Sens!H7521*(1-tax_f)/((Sens!G7522+Sens!H7522)/2)</f>
        <v>0.0326181595874103</v>
      </c>
      <c r="I7523" s="7" t="n">
        <f aca="false">Sens!I7521*(1-tax_f)/((Sens!H7522+Sens!I7522)/2)</f>
        <v>0.0391212660510339</v>
      </c>
      <c r="J7523" s="7" t="n">
        <f aca="false">Sens!J7521*(1-tax_f)/((Sens!I7522+Sens!J7522)/2)</f>
        <v>0.0447534903351892</v>
      </c>
      <c r="K7523" s="7" t="n">
        <f aca="false">Sens!K7521*(1-tax_f)/((Sens!J7522+Sens!K7522)/2)</f>
        <v>0.0514331989029135</v>
      </c>
    </row>
    <row r="7524" customFormat="false" ht="17.15" hidden="false" customHeight="false" outlineLevel="0" collapsed="false">
      <c r="A7524" s="1" t="s">
        <v>864</v>
      </c>
      <c r="B7524" s="0" t="s">
        <v>129</v>
      </c>
      <c r="F7524" s="7" t="n">
        <f aca="false">(Sens!F7521-Sens!F7520)*(1-tax_f)/((Sens!E7522+Sens!F7522)/2)</f>
        <v>0.00703158180238066</v>
      </c>
      <c r="G7524" s="7" t="n">
        <f aca="false">(Sens!G7521-Sens!G7520)*(1-tax_f)/((Sens!F7522+Sens!G7522)/2)</f>
        <v>-0.0213449695277256</v>
      </c>
      <c r="H7524" s="7" t="n">
        <f aca="false">(Sens!H7521-Sens!H7520)*(1-tax_f)/((Sens!G7522+Sens!H7522)/2)</f>
        <v>-0.0467717851823621</v>
      </c>
      <c r="I7524" s="7" t="n">
        <f aca="false">(Sens!I7521-Sens!I7520)*(1-tax_f)/((Sens!H7522+Sens!I7522)/2)</f>
        <v>-0.0532051255156326</v>
      </c>
      <c r="J7524" s="7" t="n">
        <f aca="false">(Sens!J7521-Sens!J7520)*(1-tax_f)/((Sens!I7522+Sens!J7522)/2)</f>
        <v>-0.0598888631343449</v>
      </c>
      <c r="K7524" s="7" t="n">
        <f aca="false">(Sens!K7521-Sens!K7520)*(1-tax_f)/((Sens!J7522+Sens!K7522)/2)</f>
        <v>-0.0653666240196488</v>
      </c>
    </row>
    <row r="7525" customFormat="false" ht="17.15" hidden="false" customHeight="false" outlineLevel="0" collapsed="false">
      <c r="A7525" s="1" t="s">
        <v>865</v>
      </c>
      <c r="B7525" s="0" t="s">
        <v>129</v>
      </c>
      <c r="F7525" s="7" t="n">
        <f aca="false">(Sens!F7521-Sens!F7520+Sens!F7519)*(1-tax_f)/((Sens!E7522+Sens!F7522)/2)</f>
        <v>0.0447743888903028</v>
      </c>
      <c r="G7525" s="7" t="n">
        <f aca="false">(Sens!G7521-Sens!G7520+Sens!G7519)*(1-tax_f)/((Sens!F7522+Sens!G7522)/2)</f>
        <v>0.0420101727910983</v>
      </c>
      <c r="H7525" s="7" t="n">
        <f aca="false">(Sens!H7521-Sens!H7520+Sens!H7519)*(1-tax_f)/((Sens!G7522+Sens!H7522)/2)</f>
        <v>0.0326181595874103</v>
      </c>
      <c r="I7525" s="7" t="n">
        <f aca="false">(Sens!I7521-Sens!I7520+Sens!I7519)*(1-tax_f)/((Sens!H7522+Sens!I7522)/2)</f>
        <v>0.0391212660510339</v>
      </c>
      <c r="J7525" s="7" t="n">
        <f aca="false">(Sens!J7521-Sens!J7520+Sens!J7519)*(1-tax_f)/((Sens!I7522+Sens!J7522)/2)</f>
        <v>0.0447534903351892</v>
      </c>
      <c r="K7525" s="7" t="n">
        <f aca="false">(Sens!K7521-Sens!K7520+Sens!K7519)*(1-tax_f)/((Sens!J7522+Sens!K7522)/2)</f>
        <v>0.0514331989029135</v>
      </c>
    </row>
    <row r="7526" customFormat="false" ht="17.15" hidden="false" customHeight="false" outlineLevel="0" collapsed="false">
      <c r="A7526" s="1" t="s">
        <v>866</v>
      </c>
      <c r="B7526" s="0" t="s">
        <v>129</v>
      </c>
      <c r="F7526" s="7" t="n">
        <f aca="false">Sens!F7451*(1-tax_f)/(Sens!F7438*(Sens!E7522+Sens!F7522)/2)</f>
        <v>0.102735279953254</v>
      </c>
      <c r="G7526" s="7" t="n">
        <f aca="false">Sens!G7451*(1-tax_f)/(Sens!G7438*(Sens!F7522+Sens!G7522)/2)</f>
        <v>0.0709600152423962</v>
      </c>
      <c r="H7526" s="7" t="n">
        <f aca="false">Sens!H7451*(1-tax_f)/(Sens!H7438*(Sens!G7522+Sens!H7522)/2)</f>
        <v>0.0419126501774916</v>
      </c>
      <c r="I7526" s="7" t="n">
        <f aca="false">Sens!I7451*(1-tax_f)/(Sens!I7438*(Sens!H7522+Sens!I7522)/2)</f>
        <v>0.044576811268173</v>
      </c>
      <c r="J7526" s="7" t="n">
        <f aca="false">Sens!J7451*(1-tax_f)/(Sens!J7438*(Sens!I7522+Sens!J7522)/2)</f>
        <v>0.0483882076863038</v>
      </c>
      <c r="K7526" s="7" t="n">
        <f aca="false">Sens!K7451*(1-tax_f)/(Sens!K7438*(Sens!J7522+Sens!K7522)/2)</f>
        <v>0.0544871874286225</v>
      </c>
    </row>
    <row r="7527" customFormat="false" ht="17.15" hidden="false" customHeight="false" outlineLevel="0" collapsed="false">
      <c r="A7527" s="0" t="s">
        <v>867</v>
      </c>
      <c r="B7527" s="0" t="s">
        <v>209</v>
      </c>
      <c r="F7527" s="7" t="n">
        <f aca="false">Sens!F7523-wacc</f>
        <v>-0.0581600312025729</v>
      </c>
      <c r="G7527" s="7" t="n">
        <f aca="false">Sens!G7523-wacc</f>
        <v>-0.0609242473017775</v>
      </c>
      <c r="H7527" s="7" t="n">
        <f aca="false">Sens!H7523-wacc</f>
        <v>-0.0703162605054654</v>
      </c>
      <c r="I7527" s="7" t="n">
        <f aca="false">Sens!I7523-wacc</f>
        <v>-0.0638131540418418</v>
      </c>
      <c r="J7527" s="7" t="n">
        <f aca="false">Sens!J7523-wacc</f>
        <v>-0.0581809297576865</v>
      </c>
      <c r="K7527" s="7" t="n">
        <f aca="false">Sens!K7523-wacc</f>
        <v>-0.0515012211899622</v>
      </c>
    </row>
    <row r="7528" customFormat="false" ht="17.15" hidden="false" customHeight="false" outlineLevel="0" collapsed="false">
      <c r="A7528" s="0" t="s">
        <v>868</v>
      </c>
      <c r="B7528" s="0" t="s">
        <v>98</v>
      </c>
      <c r="F7528" s="6" t="n">
        <f aca="false">Sens!F7521*(1-tax_f)-wacc*(Sens!E7522+Sens!F7522)/2</f>
        <v>-11.0410731304979</v>
      </c>
      <c r="G7528" s="6" t="n">
        <f aca="false">Sens!G7521*(1-tax_f)-wacc*(Sens!F7522+Sens!G7522)/2</f>
        <v>-19.2036516415668</v>
      </c>
      <c r="H7528" s="6" t="n">
        <f aca="false">Sens!H7521*(1-tax_f)-wacc*(Sens!G7522+Sens!H7522)/2</f>
        <v>-30.115709239881</v>
      </c>
      <c r="I7528" s="6" t="n">
        <f aca="false">Sens!I7521*(1-tax_f)-wacc*(Sens!H7522+Sens!I7522)/2</f>
        <v>-32.270280015246</v>
      </c>
      <c r="J7528" s="6" t="n">
        <f aca="false">Sens!J7521*(1-tax_f)-wacc*(Sens!I7522+Sens!J7522)/2</f>
        <v>-30.9430340197625</v>
      </c>
      <c r="K7528" s="6" t="n">
        <f aca="false">Sens!K7521*(1-tax_f)-wacc*(Sens!J7522+Sens!K7522)/2</f>
        <v>-26.9130472759157</v>
      </c>
    </row>
    <row r="7529" customFormat="false" ht="17.15" hidden="false" customHeight="false" outlineLevel="0" collapsed="false">
      <c r="A7529" s="3" t="s">
        <v>1455</v>
      </c>
    </row>
    <row r="7530" customFormat="false" ht="15" hidden="false" customHeight="false" outlineLevel="0" collapsed="false">
      <c r="A7530" s="4" t="s">
        <v>43</v>
      </c>
      <c r="B7530" s="4" t="s">
        <v>65</v>
      </c>
      <c r="C7530" s="20" t="s">
        <v>799</v>
      </c>
      <c r="D7530" s="20" t="s">
        <v>800</v>
      </c>
      <c r="E7530" s="20" t="s">
        <v>801</v>
      </c>
      <c r="F7530" s="20" t="s">
        <v>802</v>
      </c>
      <c r="G7530" s="20" t="s">
        <v>803</v>
      </c>
      <c r="H7530" s="20" t="s">
        <v>804</v>
      </c>
      <c r="I7530" s="20" t="s">
        <v>805</v>
      </c>
      <c r="J7530" s="20" t="s">
        <v>806</v>
      </c>
      <c r="K7530" s="20" t="s">
        <v>807</v>
      </c>
      <c r="L7530" s="4" t="s">
        <v>47</v>
      </c>
    </row>
    <row r="7531" customFormat="false" ht="15" hidden="false" customHeight="false" outlineLevel="0" collapsed="false">
      <c r="A7531" s="1" t="s">
        <v>925</v>
      </c>
      <c r="B7531" s="0" t="s">
        <v>98</v>
      </c>
      <c r="F7531" s="6" t="n">
        <f aca="false">Sens!F7512</f>
        <v>137.841549936323</v>
      </c>
      <c r="G7531" s="6" t="n">
        <f aca="false">Sens!G7512</f>
        <v>145.57968369299</v>
      </c>
      <c r="H7531" s="6" t="n">
        <f aca="false">Sens!H7512</f>
        <v>148.326885271936</v>
      </c>
      <c r="I7531" s="6" t="n">
        <f aca="false">Sens!I7512</f>
        <v>157.201252213559</v>
      </c>
      <c r="J7531" s="6" t="n">
        <f aca="false">Sens!J7512</f>
        <v>167.086899719632</v>
      </c>
      <c r="K7531" s="6" t="n">
        <f aca="false">Sens!K7512</f>
        <v>178.061368661939</v>
      </c>
    </row>
    <row r="7532" customFormat="false" ht="17.15" hidden="false" customHeight="false" outlineLevel="0" collapsed="false">
      <c r="A7532" s="1" t="s">
        <v>947</v>
      </c>
      <c r="B7532" s="0" t="s">
        <v>98</v>
      </c>
      <c r="E7532" s="6" t="n">
        <f aca="false">Q!M38-Sens!E7450</f>
        <v>22.2285940229167</v>
      </c>
      <c r="F7532" s="6" t="n">
        <f aca="false">Sens!E7532*(1-1/life_nonai)+(Sens!F7539+Sens!F7540)/life_nonai</f>
        <v>24.3924470334783</v>
      </c>
      <c r="G7532" s="6" t="n">
        <f aca="false">Sens!F7532*(1-1/life_nonai)+(Sens!G7539)/life_nonai</f>
        <v>26.0504916871694</v>
      </c>
      <c r="H7532" s="6" t="n">
        <f aca="false">Sens!G7532*(1-1/life_nonai)+(Sens!H7539)/life_nonai</f>
        <v>28.0845938828615</v>
      </c>
      <c r="I7532" s="6" t="n">
        <f aca="false">Sens!H7532*(1-1/life_nonai)+(Sens!I7539)/life_nonai</f>
        <v>30.4359745257397</v>
      </c>
      <c r="J7532" s="6" t="n">
        <f aca="false">Sens!I7532*(1-1/life_nonai)+(Sens!J7539)/life_nonai</f>
        <v>33.0284683982031</v>
      </c>
      <c r="K7532" s="6" t="n">
        <f aca="false">Sens!J7532*(1-1/life_nonai)+(Sens!K7539)/life_nonai</f>
        <v>35.7784918325822</v>
      </c>
      <c r="L7532" s="11" t="s">
        <v>948</v>
      </c>
    </row>
    <row r="7533" customFormat="false" ht="17.15" hidden="false" customHeight="false" outlineLevel="0" collapsed="false">
      <c r="A7533" s="1" t="s">
        <v>949</v>
      </c>
      <c r="B7533" s="0" t="s">
        <v>98</v>
      </c>
      <c r="F7533" s="6" t="n">
        <f aca="false">Sens!$F$7540/life_nonai*(1-1/life_nonai)^(Sens!F7416-2027)</f>
        <v>0.822777689897089</v>
      </c>
      <c r="G7533" s="6" t="n">
        <f aca="false">Sens!$F$7540/life_nonai*(1-1/life_nonai)^(Sens!G7416-2027)</f>
        <v>0.74049992090738</v>
      </c>
      <c r="H7533" s="6" t="n">
        <f aca="false">Sens!$F$7540/life_nonai*(1-1/life_nonai)^(Sens!H7416-2027)</f>
        <v>0.666449928816642</v>
      </c>
      <c r="I7533" s="6" t="n">
        <f aca="false">Sens!$F$7540/life_nonai*(1-1/life_nonai)^(Sens!I7416-2027)</f>
        <v>0.599804935934978</v>
      </c>
      <c r="J7533" s="6" t="n">
        <f aca="false">Sens!$F$7540/life_nonai*(1-1/life_nonai)^(Sens!J7416-2027)</f>
        <v>0.53982444234148</v>
      </c>
      <c r="K7533" s="6" t="n">
        <f aca="false">Sens!$F$7540/life_nonai*(1-1/life_nonai)^(Sens!K7416-2027)</f>
        <v>0.485841998107332</v>
      </c>
      <c r="L7533" s="1" t="s">
        <v>950</v>
      </c>
    </row>
    <row r="7534" customFormat="false" ht="17.15" hidden="false" customHeight="false" outlineLevel="0" collapsed="false">
      <c r="A7534" s="1" t="s">
        <v>951</v>
      </c>
      <c r="B7534" s="0" t="s">
        <v>98</v>
      </c>
      <c r="E7534" s="6" t="n">
        <f aca="false">Sens!E7450+Sens!E7532</f>
        <v>38.534</v>
      </c>
      <c r="F7534" s="6" t="n">
        <f aca="false">Sens!F7450+Sens!F7532</f>
        <v>58.4423344144339</v>
      </c>
      <c r="G7534" s="6" t="n">
        <f aca="false">Sens!G7450+Sens!G7532</f>
        <v>85.1759287976805</v>
      </c>
      <c r="H7534" s="6" t="n">
        <f aca="false">Sens!H7450+Sens!H7532</f>
        <v>114.445613726173</v>
      </c>
      <c r="I7534" s="6" t="n">
        <f aca="false">Sens!I7450+Sens!I7532</f>
        <v>141.041718358132</v>
      </c>
      <c r="J7534" s="6" t="n">
        <f aca="false">Sens!J7450+Sens!J7532</f>
        <v>161.026791251046</v>
      </c>
      <c r="K7534" s="6" t="n">
        <f aca="false">Sens!K7450+Sens!K7532</f>
        <v>174.90995587689</v>
      </c>
    </row>
    <row r="7535" customFormat="false" ht="17.15" hidden="false" customHeight="false" outlineLevel="0" collapsed="false">
      <c r="A7535" s="1" t="s">
        <v>952</v>
      </c>
      <c r="B7535" s="0" t="s">
        <v>98</v>
      </c>
      <c r="F7535" s="6" t="n">
        <f aca="false">Sens!F7477*sbc_r</f>
        <v>14.7887383433234</v>
      </c>
      <c r="G7535" s="6" t="n">
        <f aca="false">Sens!G7477*sbc_r</f>
        <v>17.1621668575738</v>
      </c>
      <c r="H7535" s="6" t="n">
        <f aca="false">Sens!H7477*sbc_r</f>
        <v>19.3878475001935</v>
      </c>
      <c r="I7535" s="6" t="n">
        <f aca="false">Sens!I7477*sbc_r</f>
        <v>21.71459271333</v>
      </c>
      <c r="J7535" s="6" t="n">
        <f aca="false">Sens!J7477*sbc_r</f>
        <v>23.6770314874125</v>
      </c>
      <c r="K7535" s="6" t="n">
        <f aca="false">Sens!K7477*sbc_r</f>
        <v>25.3014671362132</v>
      </c>
    </row>
    <row r="7536" customFormat="false" ht="17.15" hidden="false" customHeight="false" outlineLevel="0" collapsed="false">
      <c r="A7536" s="1" t="s">
        <v>953</v>
      </c>
      <c r="B7536" s="0" t="s">
        <v>98</v>
      </c>
      <c r="F7536" s="6" t="n">
        <f aca="false">wc27</f>
        <v>-4.895</v>
      </c>
      <c r="G7536" s="6" t="n">
        <f aca="false">wc_f</f>
        <v>0</v>
      </c>
      <c r="H7536" s="6" t="n">
        <f aca="false">wc_f</f>
        <v>0</v>
      </c>
      <c r="I7536" s="6" t="n">
        <f aca="false">wc_f</f>
        <v>0</v>
      </c>
      <c r="J7536" s="6" t="n">
        <f aca="false">wc_f</f>
        <v>0</v>
      </c>
      <c r="K7536" s="6" t="n">
        <f aca="false">wc_f</f>
        <v>0</v>
      </c>
      <c r="L7536" s="11" t="s">
        <v>954</v>
      </c>
    </row>
    <row r="7537" customFormat="false" ht="15" hidden="false" customHeight="false" outlineLevel="0" collapsed="false">
      <c r="A7537" s="1" t="s">
        <v>767</v>
      </c>
      <c r="B7537" s="0" t="s">
        <v>98</v>
      </c>
      <c r="E7537" s="6" t="n">
        <f aca="false">Q!M35</f>
        <v>182.935</v>
      </c>
      <c r="F7537" s="6" t="n">
        <f aca="false">Sens!F7531+Sens!F7534+Sens!F7535+Sens!F7536</f>
        <v>206.17762269408</v>
      </c>
      <c r="G7537" s="6" t="n">
        <f aca="false">Sens!G7531+Sens!G7534+Sens!G7535+Sens!G7536</f>
        <v>247.917779348245</v>
      </c>
      <c r="H7537" s="6" t="n">
        <f aca="false">Sens!H7531+Sens!H7534+Sens!H7535+Sens!H7536</f>
        <v>282.160346498302</v>
      </c>
      <c r="I7537" s="6" t="n">
        <f aca="false">Sens!I7531+Sens!I7534+Sens!I7535+Sens!I7536</f>
        <v>319.957563285021</v>
      </c>
      <c r="J7537" s="6" t="n">
        <f aca="false">Sens!J7531+Sens!J7534+Sens!J7535+Sens!J7536</f>
        <v>351.790722458091</v>
      </c>
      <c r="K7537" s="6" t="n">
        <f aca="false">Sens!K7531+Sens!K7534+Sens!K7535+Sens!K7536</f>
        <v>378.272791675042</v>
      </c>
    </row>
    <row r="7538" customFormat="false" ht="17.15" hidden="false" customHeight="false" outlineLevel="0" collapsed="false">
      <c r="A7538" s="0" t="s">
        <v>955</v>
      </c>
      <c r="B7538" s="0" t="s">
        <v>98</v>
      </c>
      <c r="F7538" s="6" t="n">
        <f aca="false">Sens!F7447</f>
        <v>160.332875871467</v>
      </c>
      <c r="G7538" s="6" t="n">
        <f aca="false">Sens!G7447</f>
        <v>183.5741804832</v>
      </c>
      <c r="H7538" s="6" t="n">
        <f aca="false">Sens!H7447</f>
        <v>188.0802859104</v>
      </c>
      <c r="I7538" s="6" t="n">
        <f aca="false">Sens!I7447</f>
        <v>163.706669154245</v>
      </c>
      <c r="J7538" s="6" t="n">
        <f aca="false">Sens!J7447</f>
        <v>127.181436594242</v>
      </c>
      <c r="K7538" s="6" t="n">
        <f aca="false">Sens!K7447</f>
        <v>121.407415303591</v>
      </c>
    </row>
    <row r="7539" customFormat="false" ht="17.15" hidden="false" customHeight="false" outlineLevel="0" collapsed="false">
      <c r="A7539" s="1" t="s">
        <v>956</v>
      </c>
      <c r="B7539" s="0" t="s">
        <v>98</v>
      </c>
      <c r="E7539" s="6" t="n">
        <f aca="false">Sens!E7455*cx_azo+Sens!E7462*cx_m365+Sens!E7463*cx_lic+(Sens!E7465+Sens!E7467)*cx_ind+Sens!E7470*cx_srch+(Sens!E7472+Sens!E7474)*cx_dev</f>
        <v>30.1846587067718</v>
      </c>
      <c r="F7539" s="6" t="n">
        <f aca="false">Sens!F7455*cx_azo+Sens!F7462*cx_m365+Sens!F7463*cx_lic+(Sens!F7465+Sens!F7467)*cx_ind+Sens!F7470*cx_srch+(Sens!F7472+Sens!F7474)*cx_dev</f>
        <v>35.6393472295625</v>
      </c>
      <c r="G7539" s="6" t="n">
        <f aca="false">Sens!G7455*cx_azo+Sens!G7462*cx_m365+Sens!G7463*cx_lic+(Sens!G7465+Sens!G7467)*cx_ind+Sens!G7470*cx_srch+(Sens!G7472+Sens!G7474)*cx_dev</f>
        <v>40.9728935703892</v>
      </c>
      <c r="H7539" s="6" t="n">
        <f aca="false">Sens!H7455*cx_azo+Sens!H7462*cx_m365+Sens!H7463*cx_lic+(Sens!H7465+Sens!H7467)*cx_ind+Sens!H7470*cx_srch+(Sens!H7472+Sens!H7474)*cx_dev</f>
        <v>46.3915136440897</v>
      </c>
      <c r="I7539" s="6" t="n">
        <f aca="false">Sens!I7455*cx_azo+Sens!I7462*cx_m365+Sens!I7463*cx_lic+(Sens!I7465+Sens!I7467)*cx_ind+Sens!I7470*cx_srch+(Sens!I7472+Sens!I7474)*cx_dev</f>
        <v>51.5984003116439</v>
      </c>
      <c r="J7539" s="6" t="n">
        <f aca="false">Sens!J7455*cx_azo+Sens!J7462*cx_m365+Sens!J7463*cx_lic+(Sens!J7465+Sens!J7467)*cx_ind+Sens!J7470*cx_srch+(Sens!J7472+Sens!J7474)*cx_dev</f>
        <v>56.3609132503738</v>
      </c>
      <c r="K7539" s="6" t="n">
        <f aca="false">Sens!K7455*cx_azo+Sens!K7462*cx_m365+Sens!K7463*cx_lic+(Sens!K7465+Sens!K7467)*cx_ind+Sens!K7470*cx_srch+(Sens!K7472+Sens!K7474)*cx_dev</f>
        <v>60.528702741994</v>
      </c>
    </row>
    <row r="7540" customFormat="false" ht="17.15" hidden="false" customHeight="false" outlineLevel="0" collapsed="false">
      <c r="A7540" s="0" t="s">
        <v>957</v>
      </c>
      <c r="B7540" s="0" t="s">
        <v>98</v>
      </c>
      <c r="F7540" s="6" t="n">
        <f aca="false">Sens!F7445</f>
        <v>8.22777689897089</v>
      </c>
      <c r="L7540" s="1" t="s">
        <v>958</v>
      </c>
    </row>
    <row r="7541" customFormat="false" ht="17.15" hidden="false" customHeight="false" outlineLevel="0" collapsed="false">
      <c r="A7541" s="1" t="s">
        <v>959</v>
      </c>
      <c r="B7541" s="0" t="s">
        <v>98</v>
      </c>
      <c r="E7541" s="6" t="n">
        <f aca="false">Q!M42</f>
        <v>145.3</v>
      </c>
      <c r="F7541" s="6" t="n">
        <f aca="false">Sens!F7538+Sens!F7539+Sens!F7540</f>
        <v>204.2</v>
      </c>
      <c r="G7541" s="6" t="n">
        <f aca="false">Sens!G7538+Sens!G7539</f>
        <v>224.547074053589</v>
      </c>
      <c r="H7541" s="6" t="n">
        <f aca="false">Sens!H7538+Sens!H7539</f>
        <v>234.47179955449</v>
      </c>
      <c r="I7541" s="6" t="n">
        <f aca="false">Sens!I7538+Sens!I7539</f>
        <v>215.305069465889</v>
      </c>
      <c r="J7541" s="6" t="n">
        <f aca="false">Sens!J7538+Sens!J7539</f>
        <v>183.542349844616</v>
      </c>
      <c r="K7541" s="6" t="n">
        <f aca="false">Sens!K7538+Sens!K7539</f>
        <v>181.936118045585</v>
      </c>
      <c r="L7541" s="1" t="s">
        <v>960</v>
      </c>
    </row>
    <row r="7542" customFormat="false" ht="15" hidden="false" customHeight="false" outlineLevel="0" collapsed="false">
      <c r="A7542" s="1" t="s">
        <v>961</v>
      </c>
      <c r="B7542" s="0" t="s">
        <v>98</v>
      </c>
      <c r="E7542" s="6" t="n">
        <f aca="false">fl_liab</f>
        <v>66.594</v>
      </c>
      <c r="F7542" s="6" t="n">
        <f aca="false">Sens!E7542-Sens!F7543</f>
        <v>62.46973</v>
      </c>
      <c r="G7542" s="6" t="n">
        <f aca="false">Sens!F7542-Sens!G7543</f>
        <v>57.98686785</v>
      </c>
      <c r="H7542" s="6" t="n">
        <f aca="false">Sens!G7542-Sens!H7543</f>
        <v>53.92827690325</v>
      </c>
      <c r="I7542" s="6" t="n">
        <f aca="false">Sens!H7542-Sens!I7543</f>
        <v>49.7850493638962</v>
      </c>
      <c r="J7542" s="6" t="n">
        <f aca="false">Sens!I7542-Sens!J7543</f>
        <v>45.4823765852716</v>
      </c>
      <c r="K7542" s="6" t="n">
        <f aca="false">Sens!J7542-Sens!K7543</f>
        <v>40.9860835316088</v>
      </c>
    </row>
    <row r="7543" customFormat="false" ht="15" hidden="false" customHeight="false" outlineLevel="0" collapsed="false">
      <c r="A7543" s="1" t="s">
        <v>962</v>
      </c>
      <c r="B7543" s="0" t="s">
        <v>98</v>
      </c>
      <c r="F7543" s="6" t="n">
        <f aca="false">fl_pay_27-Sens!E7542*fl_rate</f>
        <v>4.12427</v>
      </c>
      <c r="G7543" s="6" t="n">
        <f aca="false">fl_pay_28-Sens!F7542*fl_rate</f>
        <v>4.48286215</v>
      </c>
      <c r="H7543" s="6" t="n">
        <f aca="false">fl_pay_29-Sens!G7542*fl_rate</f>
        <v>4.05859094675</v>
      </c>
      <c r="I7543" s="6" t="n">
        <f aca="false">fl_pay_30-Sens!H7542*fl_rate</f>
        <v>4.14322753935375</v>
      </c>
      <c r="J7543" s="6" t="n">
        <f aca="false">fl_pay_31-Sens!I7542*fl_rate</f>
        <v>4.30267277862467</v>
      </c>
      <c r="K7543" s="6" t="n">
        <f aca="false">fl_pay_32-Sens!J7542*fl_rate</f>
        <v>4.49629305366278</v>
      </c>
    </row>
    <row r="7544" customFormat="false" ht="17.15" hidden="false" customHeight="false" outlineLevel="0" collapsed="false">
      <c r="A7544" s="1" t="s">
        <v>963</v>
      </c>
      <c r="B7544" s="0" t="s">
        <v>98</v>
      </c>
      <c r="E7544" s="6" t="n">
        <f aca="false">Q!M35-Q!M36-Q!M43</f>
        <v>63.886</v>
      </c>
      <c r="F7544" s="6" t="n">
        <f aca="false">Sens!F7537-Sens!F7541-Sens!F7543</f>
        <v>-2.14664730592017</v>
      </c>
      <c r="G7544" s="6" t="n">
        <f aca="false">Sens!G7537-Sens!G7541-Sens!G7543</f>
        <v>18.8878431446553</v>
      </c>
      <c r="H7544" s="6" t="n">
        <f aca="false">Sens!H7537-Sens!H7541-Sens!H7543</f>
        <v>43.629955997062</v>
      </c>
      <c r="I7544" s="6" t="n">
        <f aca="false">Sens!I7537-Sens!I7541-Sens!I7543</f>
        <v>100.509266279778</v>
      </c>
      <c r="J7544" s="6" t="n">
        <f aca="false">Sens!J7537-Sens!J7541-Sens!J7543</f>
        <v>163.94569983485</v>
      </c>
      <c r="K7544" s="6" t="n">
        <f aca="false">Sens!K7537-Sens!K7541-Sens!K7543</f>
        <v>191.840380575795</v>
      </c>
      <c r="L7544" s="11" t="s">
        <v>964</v>
      </c>
    </row>
    <row r="7545" customFormat="false" ht="15" hidden="false" customHeight="false" outlineLevel="0" collapsed="false">
      <c r="A7545" s="1" t="s">
        <v>965</v>
      </c>
      <c r="B7545" s="0" t="s">
        <v>75</v>
      </c>
      <c r="F7545" s="8" t="n">
        <f aca="false">dps_27</f>
        <v>3.85</v>
      </c>
      <c r="G7545" s="8" t="n">
        <f aca="false">Sens!F7545*(1+dps_g)</f>
        <v>4.158</v>
      </c>
      <c r="H7545" s="8" t="n">
        <f aca="false">Sens!G7545*(1+dps_g)</f>
        <v>4.49064</v>
      </c>
      <c r="I7545" s="8" t="n">
        <f aca="false">Sens!H7545*(1+dps_g)</f>
        <v>4.8498912</v>
      </c>
      <c r="J7545" s="8" t="n">
        <f aca="false">Sens!I7545*(1+dps_g)</f>
        <v>5.237882496</v>
      </c>
      <c r="K7545" s="8" t="n">
        <f aca="false">Sens!J7545*(1+dps_g)</f>
        <v>5.65691309568</v>
      </c>
    </row>
    <row r="7546" customFormat="false" ht="17.15" hidden="false" customHeight="false" outlineLevel="0" collapsed="false">
      <c r="A7546" s="1" t="s">
        <v>966</v>
      </c>
      <c r="B7546" s="0" t="s">
        <v>98</v>
      </c>
      <c r="E7546" s="6" t="n">
        <f aca="false">Q!M41</f>
        <v>26.445</v>
      </c>
      <c r="F7546" s="6" t="n">
        <f aca="false">Sens!F7545*Sens!E7555</f>
        <v>28.59395</v>
      </c>
      <c r="G7546" s="6" t="n">
        <f aca="false">Sens!G7545*Sens!F7555</f>
        <v>31.068576</v>
      </c>
      <c r="H7546" s="6" t="n">
        <f aca="false">Sens!H7545*Sens!G7555</f>
        <v>33.75614088</v>
      </c>
      <c r="I7546" s="6" t="n">
        <f aca="false">Sens!I7545*Sens!H7555</f>
        <v>36.6157345066439</v>
      </c>
      <c r="J7546" s="6" t="n">
        <f aca="false">Sens!J7545*Sens!I7555</f>
        <v>39.6133921154948</v>
      </c>
      <c r="K7546" s="6" t="n">
        <f aca="false">Sens!K7545*Sens!J7555</f>
        <v>42.8697187100395</v>
      </c>
      <c r="L7546" s="1" t="s">
        <v>967</v>
      </c>
    </row>
    <row r="7547" customFormat="false" ht="15" hidden="false" customHeight="false" outlineLevel="0" collapsed="false">
      <c r="A7547" s="1" t="s">
        <v>968</v>
      </c>
      <c r="B7547" s="0" t="s">
        <v>98</v>
      </c>
      <c r="E7547" s="6" t="n">
        <f aca="false">Sens!E7544-Sens!E7546</f>
        <v>37.441</v>
      </c>
      <c r="F7547" s="6" t="n">
        <f aca="false">Sens!F7544-Sens!F7546</f>
        <v>-30.7405973059202</v>
      </c>
      <c r="G7547" s="6" t="n">
        <f aca="false">Sens!G7544-Sens!G7546</f>
        <v>-12.1807328553447</v>
      </c>
      <c r="H7547" s="6" t="n">
        <f aca="false">Sens!H7544-Sens!H7546</f>
        <v>9.87381511706198</v>
      </c>
      <c r="I7547" s="6" t="n">
        <f aca="false">Sens!I7544-Sens!I7546</f>
        <v>63.893531773134</v>
      </c>
      <c r="J7547" s="6" t="n">
        <f aca="false">Sens!J7544-Sens!J7546</f>
        <v>124.332307719355</v>
      </c>
      <c r="K7547" s="6" t="n">
        <f aca="false">Sens!K7544-Sens!K7546</f>
        <v>148.970661865755</v>
      </c>
    </row>
    <row r="7548" customFormat="false" ht="15" hidden="false" customHeight="false" outlineLevel="0" collapsed="false">
      <c r="A7548" s="1" t="s">
        <v>969</v>
      </c>
      <c r="B7548" s="0" t="s">
        <v>98</v>
      </c>
      <c r="F7548" s="6" t="n">
        <f aca="false">debt_mat_27</f>
        <v>9.25</v>
      </c>
      <c r="G7548" s="6" t="n">
        <f aca="false">debt_mat_28</f>
        <v>0</v>
      </c>
      <c r="H7548" s="6" t="n">
        <f aca="false">debt_mat_29</f>
        <v>2.001</v>
      </c>
      <c r="I7548" s="6" t="n">
        <f aca="false">debt_mat_30</f>
        <v>0</v>
      </c>
      <c r="J7548" s="6" t="n">
        <f aca="false">debt_mat_31</f>
        <v>0.5</v>
      </c>
      <c r="K7548" s="6" t="n">
        <f aca="false">debt_mat_32</f>
        <v>0</v>
      </c>
    </row>
    <row r="7549" customFormat="false" ht="15" hidden="false" customHeight="false" outlineLevel="0" collapsed="false">
      <c r="A7549" s="1" t="s">
        <v>970</v>
      </c>
      <c r="B7549" s="0" t="s">
        <v>98</v>
      </c>
      <c r="E7549" s="6" t="n">
        <f aca="false">Q!M40</f>
        <v>22.271</v>
      </c>
      <c r="F7549" s="6" t="n">
        <f aca="false">MAX(0,MIN(bb_target,Sens!E7551+Sens!F7547-Sens!F7548-min_cash))</f>
        <v>0</v>
      </c>
      <c r="G7549" s="6" t="n">
        <f aca="false">MAX(0,MIN(bb_target,Sens!F7551+Sens!G7547-Sens!G7548-min_cash))</f>
        <v>0</v>
      </c>
      <c r="H7549" s="6" t="n">
        <f aca="false">MAX(0,MIN(bb_target,Sens!G7551+Sens!H7547-Sens!H7548-min_cash))</f>
        <v>7.87281511706198</v>
      </c>
      <c r="I7549" s="6" t="n">
        <f aca="false">MAX(0,MIN(bb_target,Sens!H7551+Sens!I7547-Sens!I7548-min_cash))</f>
        <v>22.271</v>
      </c>
      <c r="J7549" s="6" t="n">
        <f aca="false">MAX(0,MIN(bb_target,Sens!I7551+Sens!J7547-Sens!J7548-min_cash))</f>
        <v>22.271</v>
      </c>
      <c r="K7549" s="6" t="n">
        <f aca="false">MAX(0,MIN(bb_target,Sens!J7551+Sens!K7547-Sens!K7548-min_cash))</f>
        <v>22.271</v>
      </c>
    </row>
    <row r="7550" customFormat="false" ht="15" hidden="false" customHeight="false" outlineLevel="0" collapsed="false">
      <c r="A7550" s="1" t="s">
        <v>971</v>
      </c>
      <c r="B7550" s="0" t="s">
        <v>98</v>
      </c>
      <c r="F7550" s="6" t="n">
        <f aca="false">MAX(0,min_cash-(Sens!E7551+Sens!F7547-Sens!F7548-Sens!F7549))</f>
        <v>13.1475973059202</v>
      </c>
      <c r="G7550" s="6" t="n">
        <f aca="false">MAX(0,min_cash-(Sens!F7551+Sens!G7547-Sens!G7548-Sens!G7549))</f>
        <v>12.1807328553447</v>
      </c>
      <c r="H7550" s="6" t="n">
        <f aca="false">MAX(0,min_cash-(Sens!G7551+Sens!H7547-Sens!H7548-Sens!H7549))</f>
        <v>0</v>
      </c>
      <c r="I7550" s="6" t="n">
        <f aca="false">MAX(0,min_cash-(Sens!H7551+Sens!I7547-Sens!I7548-Sens!I7549))</f>
        <v>0</v>
      </c>
      <c r="J7550" s="6" t="n">
        <f aca="false">MAX(0,min_cash-(Sens!I7551+Sens!J7547-Sens!J7548-Sens!J7549))</f>
        <v>0</v>
      </c>
      <c r="K7550" s="6" t="n">
        <f aca="false">MAX(0,min_cash-(Sens!J7551+Sens!K7547-Sens!K7548-Sens!K7549))</f>
        <v>0</v>
      </c>
    </row>
    <row r="7551" customFormat="false" ht="15" hidden="false" customHeight="false" outlineLevel="0" collapsed="false">
      <c r="A7551" s="1" t="s">
        <v>972</v>
      </c>
      <c r="B7551" s="0" t="s">
        <v>98</v>
      </c>
      <c r="E7551" s="6" t="n">
        <f aca="false">cash_open</f>
        <v>76.843</v>
      </c>
      <c r="F7551" s="6" t="n">
        <f aca="false">Sens!E7551+Sens!F7547-Sens!F7548-Sens!F7549+Sens!F7550</f>
        <v>50</v>
      </c>
      <c r="G7551" s="6" t="n">
        <f aca="false">Sens!F7551+Sens!G7547-Sens!G7548-Sens!G7549+Sens!G7550</f>
        <v>50</v>
      </c>
      <c r="H7551" s="6" t="n">
        <f aca="false">Sens!G7551+Sens!H7547-Sens!H7548-Sens!H7549+Sens!H7550</f>
        <v>50</v>
      </c>
      <c r="I7551" s="6" t="n">
        <f aca="false">Sens!H7551+Sens!I7547-Sens!I7548-Sens!I7549+Sens!I7550</f>
        <v>91.622531773134</v>
      </c>
      <c r="J7551" s="6" t="n">
        <f aca="false">Sens!I7551+Sens!J7547-Sens!J7548-Sens!J7549+Sens!J7550</f>
        <v>193.183839492489</v>
      </c>
      <c r="K7551" s="6" t="n">
        <f aca="false">Sens!J7551+Sens!K7547-Sens!K7548-Sens!K7549+Sens!K7550</f>
        <v>319.883501358245</v>
      </c>
    </row>
    <row r="7552" customFormat="false" ht="15" hidden="false" customHeight="false" outlineLevel="0" collapsed="false">
      <c r="A7552" s="1" t="s">
        <v>973</v>
      </c>
      <c r="B7552" s="0" t="s">
        <v>98</v>
      </c>
      <c r="E7552" s="6" t="n">
        <f aca="false">debt_face</f>
        <v>46.136</v>
      </c>
      <c r="F7552" s="6" t="n">
        <f aca="false">Sens!E7552-Sens!F7548+Sens!F7550</f>
        <v>50.0335973059202</v>
      </c>
      <c r="G7552" s="6" t="n">
        <f aca="false">Sens!F7552-Sens!G7548+Sens!G7550</f>
        <v>62.2143301612649</v>
      </c>
      <c r="H7552" s="6" t="n">
        <f aca="false">Sens!G7552-Sens!H7548+Sens!H7550</f>
        <v>60.2133301612649</v>
      </c>
      <c r="I7552" s="6" t="n">
        <f aca="false">Sens!H7552-Sens!I7548+Sens!I7550</f>
        <v>60.2133301612649</v>
      </c>
      <c r="J7552" s="6" t="n">
        <f aca="false">Sens!I7552-Sens!J7548+Sens!J7550</f>
        <v>59.7133301612649</v>
      </c>
      <c r="K7552" s="6" t="n">
        <f aca="false">Sens!J7552-Sens!K7548+Sens!K7550</f>
        <v>59.7133301612649</v>
      </c>
    </row>
    <row r="7553" customFormat="false" ht="15" hidden="false" customHeight="false" outlineLevel="0" collapsed="false">
      <c r="A7553" s="1" t="s">
        <v>974</v>
      </c>
      <c r="B7553" s="0" t="s">
        <v>98</v>
      </c>
      <c r="E7553" s="6" t="n">
        <f aca="false">Sens!E7551-Sens!E7552</f>
        <v>30.707</v>
      </c>
      <c r="F7553" s="6" t="n">
        <f aca="false">Sens!F7551-Sens!F7552</f>
        <v>-0.0335973059201749</v>
      </c>
      <c r="G7553" s="6" t="n">
        <f aca="false">Sens!G7551-Sens!G7552</f>
        <v>-12.2143301612649</v>
      </c>
      <c r="H7553" s="6" t="n">
        <f aca="false">Sens!H7551-Sens!H7552</f>
        <v>-10.2133301612649</v>
      </c>
      <c r="I7553" s="6" t="n">
        <f aca="false">Sens!I7551-Sens!I7552</f>
        <v>31.4092016118692</v>
      </c>
      <c r="J7553" s="6" t="n">
        <f aca="false">Sens!J7551-Sens!J7552</f>
        <v>133.470509331224</v>
      </c>
      <c r="K7553" s="6" t="n">
        <f aca="false">Sens!K7551-Sens!K7552</f>
        <v>260.17017119698</v>
      </c>
    </row>
    <row r="7554" customFormat="false" ht="15" hidden="false" customHeight="false" outlineLevel="0" collapsed="false">
      <c r="A7554" s="1" t="s">
        <v>975</v>
      </c>
      <c r="B7554" s="0" t="s">
        <v>75</v>
      </c>
      <c r="F7554" s="29" t="n">
        <f aca="false">px*(1+bb_g)^(Sens!F7416-base_fy-mid_yr)</f>
        <v>553.494156066711</v>
      </c>
      <c r="G7554" s="29" t="n">
        <f aca="false">px*(1+bb_g)^(Sens!G7416-base_fy-mid_yr)</f>
        <v>597.773688552047</v>
      </c>
      <c r="H7554" s="29" t="n">
        <f aca="false">px*(1+bb_g)^(Sens!H7416-base_fy-mid_yr)</f>
        <v>645.595583636211</v>
      </c>
      <c r="I7554" s="29" t="n">
        <f aca="false">px*(1+bb_g)^(Sens!I7416-base_fy-mid_yr)</f>
        <v>697.243230327108</v>
      </c>
      <c r="J7554" s="29" t="n">
        <f aca="false">px*(1+bb_g)^(Sens!J7416-base_fy-mid_yr)</f>
        <v>753.022688753277</v>
      </c>
      <c r="K7554" s="29" t="n">
        <f aca="false">px*(1+bb_g)^(Sens!K7416-base_fy-mid_yr)</f>
        <v>813.264503853539</v>
      </c>
    </row>
    <row r="7555" customFormat="false" ht="15" hidden="false" customHeight="false" outlineLevel="0" collapsed="false">
      <c r="A7555" s="1" t="s">
        <v>976</v>
      </c>
      <c r="B7555" s="1" t="s">
        <v>81</v>
      </c>
      <c r="E7555" s="14" t="n">
        <f aca="false">sh_out26</f>
        <v>7.427</v>
      </c>
      <c r="F7555" s="14" t="n">
        <f aca="false">Sens!E7555+sh_iss-Sens!F7549/Sens!F7554</f>
        <v>7.472</v>
      </c>
      <c r="G7555" s="14" t="n">
        <f aca="false">Sens!F7555+sh_iss-Sens!G7549/Sens!G7554</f>
        <v>7.517</v>
      </c>
      <c r="H7555" s="14" t="n">
        <f aca="false">Sens!G7555+sh_iss-Sens!H7549/Sens!H7554</f>
        <v>7.5498053454568</v>
      </c>
      <c r="I7555" s="14" t="n">
        <f aca="false">Sens!H7555+sh_iss-Sens!I7549/Sens!I7554</f>
        <v>7.56286383777152</v>
      </c>
      <c r="J7555" s="14" t="n">
        <f aca="false">Sens!I7555+sh_iss-Sens!J7549/Sens!J7554</f>
        <v>7.57828836769256</v>
      </c>
      <c r="K7555" s="14" t="n">
        <f aca="false">Sens!J7555+sh_iss-Sens!K7549/Sens!K7554</f>
        <v>7.595903673175</v>
      </c>
    </row>
    <row r="7556" customFormat="false" ht="15" hidden="false" customHeight="false" outlineLevel="0" collapsed="false">
      <c r="A7556" s="1" t="s">
        <v>977</v>
      </c>
      <c r="B7556" s="1" t="s">
        <v>81</v>
      </c>
      <c r="E7556" s="14" t="n">
        <f aca="false">sh_dil26</f>
        <v>7.453</v>
      </c>
      <c r="F7556" s="14" t="n">
        <f aca="false">(Sens!E7555+Sens!F7555)/2+dil_gap</f>
        <v>7.4735</v>
      </c>
      <c r="G7556" s="14" t="n">
        <f aca="false">(Sens!F7555+Sens!G7555)/2+dil_gap</f>
        <v>7.5185</v>
      </c>
      <c r="H7556" s="14" t="n">
        <f aca="false">(Sens!G7555+Sens!H7555)/2+dil_gap</f>
        <v>7.5574026727284</v>
      </c>
      <c r="I7556" s="14" t="n">
        <f aca="false">(Sens!H7555+Sens!I7555)/2+dil_gap</f>
        <v>7.58033459161416</v>
      </c>
      <c r="J7556" s="14" t="n">
        <f aca="false">(Sens!I7555+Sens!J7555)/2+dil_gap</f>
        <v>7.59457610273204</v>
      </c>
      <c r="K7556" s="14" t="n">
        <f aca="false">(Sens!J7555+Sens!K7555)/2+dil_gap</f>
        <v>7.61109602043378</v>
      </c>
    </row>
    <row r="7557" customFormat="false" ht="17.15" hidden="false" customHeight="false" outlineLevel="0" collapsed="false">
      <c r="A7557" s="1" t="s">
        <v>978</v>
      </c>
      <c r="B7557" s="0" t="s">
        <v>98</v>
      </c>
      <c r="C7557" s="6" t="n">
        <f aca="false">SUM(Sens!F7547:J7547)</f>
        <v>155.178324448286</v>
      </c>
    </row>
    <row r="7558" customFormat="false" ht="15" hidden="false" customHeight="false" outlineLevel="0" collapsed="false">
      <c r="A7558" s="23" t="s">
        <v>945</v>
      </c>
      <c r="B7558" s="30" t="s">
        <v>98</v>
      </c>
      <c r="C7558" s="24" t="n">
        <f aca="false">Sens!$C$7557-(Sens!F7547+Sens!G7547+Sens!H7547+Sens!I7547+Sens!J7547)</f>
        <v>0</v>
      </c>
      <c r="D7558" s="30"/>
      <c r="E7558" s="30"/>
      <c r="F7558" s="30"/>
      <c r="G7558" s="30"/>
      <c r="H7558" s="30"/>
      <c r="I7558" s="30"/>
      <c r="J7558" s="30"/>
      <c r="K7558" s="30"/>
    </row>
    <row r="7559" customFormat="false" ht="17.15" hidden="false" customHeight="false" outlineLevel="0" collapsed="false">
      <c r="A7559" s="1" t="s">
        <v>939</v>
      </c>
      <c r="B7559" s="1" t="s">
        <v>979</v>
      </c>
      <c r="C7559" s="32" t="str">
        <f aca="false">IF(SUM(Sens!F7550:J7550)&gt;0.05,"需要舉債 "&amp;TEXT(SUM(Sens!F7550:J7550),"0.0")&amp;" 十億美元","不需舉債")&amp;"；"&amp;IF(SUM(Sens!F7549:J7549)&lt;COUNT(Sens!F7549:J7549)*bb_target-0.05,"回購較每年 "&amp;TEXT(bb_target,"0.0")&amp;" 的目標少 "&amp;TEXT(COUNT(Sens!F7549:J7549)*bb_target-SUM(Sens!F7549:J7549),"0.0")&amp;" 十億美元（"&amp;TEXT(COUNTIF(Sens!F7549:J7549,"&lt;"&amp;(bb_target-0.05)),"0")&amp;" 年減少）","回購不減")</f>
        <v>需要舉債 25.3 十億美元；回購較每年 22.3 的目標少 58.9 十億美元（3 年減少）</v>
      </c>
    </row>
    <row r="7560" customFormat="false" ht="17.15" hidden="false" customHeight="false" outlineLevel="0" collapsed="false">
      <c r="A7560" s="3" t="s">
        <v>1456</v>
      </c>
    </row>
    <row r="7561" customFormat="false" ht="15" hidden="false" customHeight="false" outlineLevel="0" collapsed="false">
      <c r="A7561" s="4" t="s">
        <v>43</v>
      </c>
      <c r="B7561" s="4" t="s">
        <v>65</v>
      </c>
      <c r="C7561" s="20" t="s">
        <v>799</v>
      </c>
      <c r="D7561" s="20" t="s">
        <v>800</v>
      </c>
      <c r="E7561" s="20" t="s">
        <v>801</v>
      </c>
      <c r="F7561" s="20" t="s">
        <v>802</v>
      </c>
      <c r="G7561" s="20" t="s">
        <v>803</v>
      </c>
      <c r="H7561" s="20" t="s">
        <v>804</v>
      </c>
      <c r="I7561" s="20" t="s">
        <v>805</v>
      </c>
      <c r="J7561" s="20" t="s">
        <v>806</v>
      </c>
      <c r="K7561" s="20" t="s">
        <v>807</v>
      </c>
      <c r="L7561" s="4" t="s">
        <v>47</v>
      </c>
    </row>
    <row r="7562" customFormat="false" ht="15" hidden="false" customHeight="false" outlineLevel="0" collapsed="false">
      <c r="A7562" s="1" t="s">
        <v>1057</v>
      </c>
      <c r="B7562" s="1" t="s">
        <v>235</v>
      </c>
      <c r="F7562" s="36" t="n">
        <f aca="false">Sens!F7416-base_fy-mid_yr</f>
        <v>0.5</v>
      </c>
      <c r="G7562" s="36" t="n">
        <f aca="false">Sens!G7416-base_fy-mid_yr</f>
        <v>1.5</v>
      </c>
      <c r="H7562" s="36" t="n">
        <f aca="false">Sens!H7416-base_fy-mid_yr</f>
        <v>2.5</v>
      </c>
      <c r="I7562" s="36" t="n">
        <f aca="false">Sens!I7416-base_fy-mid_yr</f>
        <v>3.5</v>
      </c>
      <c r="J7562" s="36" t="n">
        <f aca="false">Sens!J7416-base_fy-mid_yr</f>
        <v>4.5</v>
      </c>
      <c r="K7562" s="36" t="n">
        <f aca="false">Sens!K7416-base_fy-mid_yr</f>
        <v>5.5</v>
      </c>
    </row>
    <row r="7563" customFormat="false" ht="15" hidden="false" customHeight="false" outlineLevel="0" collapsed="false">
      <c r="A7563" s="1" t="s">
        <v>1058</v>
      </c>
      <c r="B7563" s="0" t="s">
        <v>185</v>
      </c>
      <c r="F7563" s="14" t="n">
        <f aca="false">1/(1+wacc)^Sens!F7562</f>
        <v>0.952193373608246</v>
      </c>
      <c r="G7563" s="14" t="n">
        <f aca="false">1/(1+wacc)^Sens!G7562</f>
        <v>0.863327280626589</v>
      </c>
      <c r="H7563" s="14" t="n">
        <f aca="false">1/(1+wacc)^Sens!H7562</f>
        <v>0.782754862754115</v>
      </c>
      <c r="I7563" s="14" t="n">
        <f aca="false">1/(1+wacc)^Sens!I7562</f>
        <v>0.709702089711011</v>
      </c>
      <c r="J7563" s="14" t="n">
        <f aca="false">1/(1+wacc)^Sens!J7562</f>
        <v>0.643467169744551</v>
      </c>
      <c r="K7563" s="14" t="n">
        <f aca="false">1/(1+wacc)^Sens!K7562</f>
        <v>0.583413807767797</v>
      </c>
    </row>
    <row r="7564" customFormat="false" ht="17.15" hidden="false" customHeight="false" outlineLevel="0" collapsed="false">
      <c r="A7564" s="1" t="s">
        <v>1059</v>
      </c>
      <c r="B7564" s="0" t="s">
        <v>98</v>
      </c>
      <c r="F7564" s="6" t="n">
        <f aca="false">Sens!F7537-Sens!F7535-Sens!F7541+Sens!F7520*(1-tax_f)</f>
        <v>-5.64603879850097</v>
      </c>
      <c r="G7564" s="6" t="n">
        <f aca="false">Sens!G7537-Sens!G7535-Sens!G7541+Sens!G7520*(1-tax_f)</f>
        <v>26.1784213109088</v>
      </c>
      <c r="H7564" s="6" t="n">
        <f aca="false">Sens!H7537-Sens!H7535-Sens!H7541+Sens!H7520*(1-tax_f)</f>
        <v>62.3025715009478</v>
      </c>
      <c r="I7564" s="6" t="n">
        <f aca="false">Sens!I7537-Sens!I7535-Sens!I7541+Sens!I7520*(1-tax_f)</f>
        <v>129.627311046266</v>
      </c>
      <c r="J7564" s="6" t="n">
        <f aca="false">Sens!J7537-Sens!J7535-Sens!J7541+Sens!J7520*(1-tax_f)</f>
        <v>200.224489276174</v>
      </c>
      <c r="K7564" s="6" t="n">
        <f aca="false">Sens!K7537-Sens!K7535-Sens!K7541+Sens!K7520*(1-tax_f)</f>
        <v>232.071412693849</v>
      </c>
      <c r="L7564" s="1" t="s">
        <v>1060</v>
      </c>
    </row>
    <row r="7565" customFormat="false" ht="15" hidden="false" customHeight="false" outlineLevel="0" collapsed="false">
      <c r="A7565" s="1" t="s">
        <v>1061</v>
      </c>
      <c r="B7565" s="0" t="s">
        <v>98</v>
      </c>
      <c r="F7565" s="6" t="n">
        <f aca="false">Sens!F7564*Sens!F7563</f>
        <v>-5.37612073106769</v>
      </c>
      <c r="G7565" s="6" t="n">
        <f aca="false">Sens!G7564*Sens!G7563</f>
        <v>22.600545281444</v>
      </c>
      <c r="H7565" s="6" t="n">
        <f aca="false">Sens!H7564*Sens!H7563</f>
        <v>48.7676408044529</v>
      </c>
      <c r="I7565" s="6" t="n">
        <f aca="false">Sens!I7564*Sens!I7563</f>
        <v>91.9967735331544</v>
      </c>
      <c r="J7565" s="6" t="n">
        <f aca="false">Sens!J7564*Sens!J7563</f>
        <v>128.837885428088</v>
      </c>
      <c r="K7565" s="6" t="n">
        <f aca="false">Sens!K7564*Sens!K7563</f>
        <v>135.39366655377</v>
      </c>
    </row>
    <row r="7566" customFormat="false" ht="17.15" hidden="false" customHeight="false" outlineLevel="0" collapsed="false">
      <c r="A7566" s="1" t="s">
        <v>1062</v>
      </c>
      <c r="B7566" s="0" t="s">
        <v>98</v>
      </c>
      <c r="C7566" s="6" t="n">
        <f aca="false">SUM(Sens!F7565:K7565)</f>
        <v>422.220390869842</v>
      </c>
    </row>
    <row r="7567" customFormat="false" ht="17.15" hidden="false" customHeight="false" outlineLevel="0" collapsed="false">
      <c r="A7567" s="1" t="s">
        <v>1063</v>
      </c>
      <c r="B7567" s="0" t="s">
        <v>98</v>
      </c>
      <c r="C7567" s="6" t="n">
        <f aca="false">Sens!K7506*(1+g_tv)*(1-tax_f)</f>
        <v>246.60010210842</v>
      </c>
    </row>
    <row r="7568" customFormat="false" ht="17.15" hidden="false" customHeight="false" outlineLevel="0" collapsed="false">
      <c r="A7568" s="1" t="s">
        <v>1064</v>
      </c>
      <c r="B7568" s="0" t="s">
        <v>98</v>
      </c>
      <c r="C7568" s="6" t="n">
        <f aca="false">Sens!$C$7567*(1-g_tv/(wacc+ronic_prem))</f>
        <v>174.729069497778</v>
      </c>
    </row>
    <row r="7569" customFormat="false" ht="17.15" hidden="false" customHeight="false" outlineLevel="0" collapsed="false">
      <c r="A7569" s="1" t="s">
        <v>1065</v>
      </c>
      <c r="B7569" s="0" t="s">
        <v>98</v>
      </c>
      <c r="C7569" s="6" t="n">
        <f aca="false">Sens!$C$7568/(wacc-g_tv)</f>
        <v>2395.7010870214</v>
      </c>
    </row>
    <row r="7570" customFormat="false" ht="15" hidden="false" customHeight="false" outlineLevel="0" collapsed="false">
      <c r="A7570" s="1" t="s">
        <v>1066</v>
      </c>
      <c r="B7570" s="0" t="s">
        <v>98</v>
      </c>
      <c r="C7570" s="6" t="n">
        <f aca="false">Sens!$C$7569/(1+wacc)^(Sens!K7562+mid_yr)</f>
        <v>1330.86648437659</v>
      </c>
    </row>
    <row r="7571" customFormat="false" ht="17.15" hidden="false" customHeight="false" outlineLevel="0" collapsed="false">
      <c r="A7571" s="0" t="s">
        <v>986</v>
      </c>
      <c r="B7571" s="0" t="s">
        <v>98</v>
      </c>
      <c r="C7571" s="6" t="n">
        <f aca="false">Sens!$C$7566+Sens!$C$7570</f>
        <v>1753.08687524644</v>
      </c>
    </row>
    <row r="7572" customFormat="false" ht="15" hidden="false" customHeight="false" outlineLevel="0" collapsed="false">
      <c r="A7572" s="1" t="s">
        <v>987</v>
      </c>
      <c r="B7572" s="0" t="s">
        <v>129</v>
      </c>
      <c r="C7572" s="7" t="n">
        <f aca="false">Sens!$C$7570/Sens!$C$7571</f>
        <v>0.759156036799095</v>
      </c>
    </row>
    <row r="7573" customFormat="false" ht="17.15" hidden="false" customHeight="false" outlineLevel="0" collapsed="false">
      <c r="A7573" s="1" t="s">
        <v>1067</v>
      </c>
      <c r="B7573" s="0" t="s">
        <v>98</v>
      </c>
      <c r="C7573" s="6" t="n">
        <f aca="false">Sens!$C$7571+Sens!E7553-Sens!E7542+oai_v</f>
        <v>1887.59987524644</v>
      </c>
    </row>
    <row r="7574" customFormat="false" ht="17.15" hidden="false" customHeight="false" outlineLevel="0" collapsed="false">
      <c r="A7574" s="0" t="s">
        <v>994</v>
      </c>
      <c r="B7574" s="0" t="s">
        <v>75</v>
      </c>
      <c r="C7574" s="5" t="n">
        <f aca="false">Sens!$C$7573/sh_dil26</f>
        <v>253.267124009987</v>
      </c>
    </row>
    <row r="7575" customFormat="false" ht="15" hidden="false" customHeight="false" outlineLevel="0" collapsed="false">
      <c r="A7575" s="1" t="s">
        <v>1068</v>
      </c>
      <c r="B7575" s="0" t="s">
        <v>75</v>
      </c>
      <c r="C7575" s="8" t="n">
        <f aca="false">dps_27+Sens!G7545*roll_div_q/q_per_yr</f>
        <v>4.8895</v>
      </c>
    </row>
    <row r="7576" customFormat="false" ht="17.15" hidden="false" customHeight="false" outlineLevel="0" collapsed="false">
      <c r="A7576" s="0" t="s">
        <v>1069</v>
      </c>
      <c r="B7576" s="0" t="s">
        <v>75</v>
      </c>
      <c r="C7576" s="5" t="n">
        <f aca="false">Sens!$C$7574*(1+wacc)^t_roll-Sens!$C$7575</f>
        <v>283.51423057933</v>
      </c>
    </row>
    <row r="7577" customFormat="false" ht="17.15" hidden="false" customHeight="false" outlineLevel="0" collapsed="false">
      <c r="A7577" s="1" t="s">
        <v>1070</v>
      </c>
      <c r="B7577" s="0" t="s">
        <v>129</v>
      </c>
      <c r="F7577" s="7" t="n">
        <f aca="false">Sens!F7532/(Sens!F7477-Sens!F7433)</f>
        <v>0.0707144081603949</v>
      </c>
      <c r="G7577" s="7" t="n">
        <f aca="false">Sens!G7532/(Sens!G7477-Sens!G7433)</f>
        <v>0.067849196808068</v>
      </c>
      <c r="H7577" s="7" t="n">
        <f aca="false">Sens!H7532/(Sens!H7477-Sens!H7433)</f>
        <v>0.0662782875070479</v>
      </c>
      <c r="I7577" s="7" t="n">
        <f aca="false">Sens!I7532/(Sens!I7477-Sens!I7433)</f>
        <v>0.06585473194413</v>
      </c>
      <c r="J7577" s="7" t="n">
        <f aca="false">Sens!J7532/(Sens!J7477-Sens!J7433)</f>
        <v>0.0663403195436074</v>
      </c>
      <c r="K7577" s="7" t="n">
        <f aca="false">Sens!K7532/(Sens!K7477-Sens!K7433)</f>
        <v>0.0674663776715167</v>
      </c>
    </row>
    <row r="7578" customFormat="false" ht="17.15" hidden="false" customHeight="false" outlineLevel="0" collapsed="false">
      <c r="A7578" s="0" t="s">
        <v>1071</v>
      </c>
      <c r="B7578" s="0" t="s">
        <v>98</v>
      </c>
      <c r="F7578" s="6" t="n">
        <f aca="false">Sens!F7462*(al_m365+Sens!F7577+sbc_r)</f>
        <v>84.6122006187304</v>
      </c>
      <c r="G7578" s="6" t="n">
        <f aca="false">Sens!G7462*(al_m365+Sens!G7577+sbc_r)</f>
        <v>95.3784860475337</v>
      </c>
      <c r="H7578" s="6" t="n">
        <f aca="false">Sens!H7462*(al_m365+Sens!H7577+sbc_r)</f>
        <v>106.307226694837</v>
      </c>
      <c r="I7578" s="6" t="n">
        <f aca="false">Sens!I7462*(al_m365+Sens!I7577+sbc_r)</f>
        <v>116.620677147356</v>
      </c>
      <c r="J7578" s="6" t="n">
        <f aca="false">Sens!J7462*(al_m365+Sens!J7577+sbc_r)</f>
        <v>126.130158396574</v>
      </c>
      <c r="K7578" s="6" t="n">
        <f aca="false">Sens!K7462*(al_m365+Sens!K7577+sbc_r)</f>
        <v>135.245003824432</v>
      </c>
      <c r="L7578" s="11" t="s">
        <v>1072</v>
      </c>
    </row>
    <row r="7579" customFormat="false" ht="17.15" hidden="false" customHeight="false" outlineLevel="0" collapsed="false">
      <c r="A7579" s="0" t="s">
        <v>1073</v>
      </c>
      <c r="B7579" s="0" t="s">
        <v>98</v>
      </c>
      <c r="F7579" s="6" t="n">
        <f aca="false">Sens!F7463*(al_lic+Sens!F7577+sbc_r)</f>
        <v>33.5276373548092</v>
      </c>
      <c r="G7579" s="6" t="n">
        <f aca="false">Sens!G7463*(al_lic+Sens!G7577+sbc_r)</f>
        <v>34.8306510480395</v>
      </c>
      <c r="H7579" s="6" t="n">
        <f aca="false">Sens!H7463*(al_lic+Sens!H7577+sbc_r)</f>
        <v>36.0446341766224</v>
      </c>
      <c r="I7579" s="6" t="n">
        <f aca="false">Sens!I7463*(al_lic+Sens!I7577+sbc_r)</f>
        <v>37.1497811643629</v>
      </c>
      <c r="J7579" s="6" t="n">
        <f aca="false">Sens!J7463*(al_lic+Sens!J7577+sbc_r)</f>
        <v>38.1219814691618</v>
      </c>
      <c r="K7579" s="6" t="n">
        <f aca="false">Sens!K7463*(al_lic+Sens!K7577+sbc_r)</f>
        <v>38.9357095413593</v>
      </c>
    </row>
    <row r="7580" customFormat="false" ht="17.15" hidden="false" customHeight="false" outlineLevel="0" collapsed="false">
      <c r="A7580" s="0" t="s">
        <v>1074</v>
      </c>
      <c r="B7580" s="0" t="s">
        <v>98</v>
      </c>
      <c r="F7580" s="6" t="n">
        <f aca="false">Sens!F7465*(al_ind+Sens!F7577+sbc_r)</f>
        <v>9.12391441612893</v>
      </c>
      <c r="G7580" s="6" t="n">
        <f aca="false">Sens!G7465*(al_ind+Sens!G7577+sbc_r)</f>
        <v>9.90354563226107</v>
      </c>
      <c r="H7580" s="6" t="n">
        <f aca="false">Sens!H7465*(al_ind+Sens!H7577+sbc_r)</f>
        <v>10.7268054262455</v>
      </c>
      <c r="I7580" s="6" t="n">
        <f aca="false">Sens!I7465*(al_ind+Sens!I7577+sbc_r)</f>
        <v>11.5895312277801</v>
      </c>
      <c r="J7580" s="6" t="n">
        <f aca="false">Sens!J7465*(al_ind+Sens!J7577+sbc_r)</f>
        <v>12.482811284078</v>
      </c>
      <c r="K7580" s="6" t="n">
        <f aca="false">Sens!K7465*(al_ind+Sens!K7577+sbc_r)</f>
        <v>13.3938621332984</v>
      </c>
    </row>
    <row r="7581" customFormat="false" ht="17.15" hidden="false" customHeight="false" outlineLevel="0" collapsed="false">
      <c r="A7581" s="0" t="s">
        <v>1075</v>
      </c>
      <c r="B7581" s="0" t="s">
        <v>98</v>
      </c>
      <c r="F7581" s="6" t="n">
        <f aca="false">Sens!F7467*(al_fro+Sens!F7577+sbc_r)</f>
        <v>3.59120474643559</v>
      </c>
      <c r="G7581" s="6" t="n">
        <f aca="false">Sens!G7467*(al_fro+Sens!G7577+sbc_r)</f>
        <v>3.80237600859771</v>
      </c>
      <c r="H7581" s="6" t="n">
        <f aca="false">Sens!H7467*(al_fro+Sens!H7577+sbc_r)</f>
        <v>4.04222743691942</v>
      </c>
      <c r="I7581" s="6" t="n">
        <f aca="false">Sens!I7467*(al_fro+Sens!I7577+sbc_r)</f>
        <v>4.31315183479489</v>
      </c>
      <c r="J7581" s="6" t="n">
        <f aca="false">Sens!J7467*(al_fro+Sens!J7577+sbc_r)</f>
        <v>4.61662332639956</v>
      </c>
      <c r="K7581" s="6" t="n">
        <f aca="false">Sens!K7467*(al_fro+Sens!K7577+sbc_r)</f>
        <v>4.95356494206045</v>
      </c>
    </row>
    <row r="7582" customFormat="false" ht="17.15" hidden="false" customHeight="false" outlineLevel="0" collapsed="false">
      <c r="A7582" s="0" t="s">
        <v>1076</v>
      </c>
      <c r="B7582" s="0" t="s">
        <v>98</v>
      </c>
      <c r="F7582" s="6" t="n">
        <f aca="false">Sens!F7470*(al_srch+Sens!F7577+sbc_r)</f>
        <v>11.2681661267087</v>
      </c>
      <c r="G7582" s="6" t="n">
        <f aca="false">Sens!G7470*(al_srch+Sens!G7577+sbc_r)</f>
        <v>12.346426389454</v>
      </c>
      <c r="H7582" s="6" t="n">
        <f aca="false">Sens!H7470*(al_srch+Sens!H7577+sbc_r)</f>
        <v>13.4678934454143</v>
      </c>
      <c r="I7582" s="6" t="n">
        <f aca="false">Sens!I7470*(al_srch+Sens!I7577+sbc_r)</f>
        <v>14.6204583743684</v>
      </c>
      <c r="J7582" s="6" t="n">
        <f aca="false">Sens!J7470*(al_srch+Sens!J7577+sbc_r)</f>
        <v>15.7850959995654</v>
      </c>
      <c r="K7582" s="6" t="n">
        <f aca="false">Sens!K7470*(al_srch+Sens!K7577+sbc_r)</f>
        <v>16.9371622119076</v>
      </c>
    </row>
    <row r="7583" customFormat="false" ht="17.15" hidden="false" customHeight="false" outlineLevel="0" collapsed="false">
      <c r="A7583" s="0" t="s">
        <v>1077</v>
      </c>
      <c r="B7583" s="0" t="s">
        <v>98</v>
      </c>
      <c r="F7583" s="6" t="n">
        <f aca="false">Sens!F7439-Sens!F7440+Sens!F7520</f>
        <v>37.4807610754604</v>
      </c>
      <c r="G7583" s="6" t="n">
        <f aca="false">Sens!G7439-Sens!G7440+Sens!G7520</f>
        <v>66.4282195894061</v>
      </c>
      <c r="H7583" s="6" t="n">
        <f aca="false">Sens!H7439-Sens!H7440+Sens!H7520</f>
        <v>92.5185794206787</v>
      </c>
      <c r="I7583" s="6" t="n">
        <f aca="false">Sens!I7439-Sens!I7440+Sens!I7520</f>
        <v>122.488709230238</v>
      </c>
      <c r="J7583" s="6" t="n">
        <f aca="false">Sens!J7439-Sens!J7440+Sens!J7520</f>
        <v>143.876264539143</v>
      </c>
      <c r="K7583" s="6" t="n">
        <f aca="false">Sens!K7439-Sens!K7440+Sens!K7520</f>
        <v>157.826353183751</v>
      </c>
    </row>
    <row r="7584" customFormat="false" ht="17.15" hidden="false" customHeight="false" outlineLevel="0" collapsed="false">
      <c r="A7584" s="0" t="s">
        <v>1078</v>
      </c>
      <c r="B7584" s="0" t="s">
        <v>98</v>
      </c>
      <c r="F7584" s="6" t="n">
        <f aca="false">Sens!F7499+Sens!F7520+Sens!F7450+Sens!F7577*(Sens!F7469-Sens!F7433)+sbc_r*Sens!F7469</f>
        <v>228.552295732021</v>
      </c>
      <c r="G7584" s="6" t="n">
        <f aca="false">Sens!G7499+Sens!G7520+Sens!G7450+Sens!G7577*(Sens!G7469-Sens!G7433)+sbc_r*Sens!G7469</f>
        <v>282.728267798155</v>
      </c>
      <c r="H7584" s="6" t="n">
        <f aca="false">Sens!H7499+Sens!H7520+Sens!H7450+Sens!H7577*(Sens!H7469-Sens!H7433)+sbc_r*Sens!H7469</f>
        <v>334.322813708175</v>
      </c>
      <c r="I7584" s="6" t="n">
        <f aca="false">Sens!I7499+Sens!I7520+Sens!I7450+Sens!I7577*(Sens!I7469-Sens!I7433)+sbc_r*Sens!I7469</f>
        <v>389.0904878022</v>
      </c>
      <c r="J7584" s="6" t="n">
        <f aca="false">Sens!J7499+Sens!J7520+Sens!J7450+Sens!J7577*(Sens!J7469-Sens!J7433)+sbc_r*Sens!J7469</f>
        <v>433.292347404534</v>
      </c>
      <c r="K7584" s="6" t="n">
        <f aca="false">Sens!K7499+Sens!K7520+Sens!K7450+Sens!K7577*(Sens!K7469-Sens!K7433)+sbc_r*Sens!K7469</f>
        <v>467.771245144556</v>
      </c>
    </row>
    <row r="7585" customFormat="false" ht="17.15" hidden="false" customHeight="false" outlineLevel="0" collapsed="false">
      <c r="A7585" s="0" t="s">
        <v>1079</v>
      </c>
      <c r="B7585" s="0" t="s">
        <v>98</v>
      </c>
      <c r="F7585" s="6" t="n">
        <f aca="false">Sens!F7584-Sens!F7578-Sens!F7579-Sens!F7580-Sens!F7581-Sens!F7583</f>
        <v>60.2165775204568</v>
      </c>
      <c r="G7585" s="6" t="n">
        <f aca="false">Sens!G7584-Sens!G7578-Sens!G7579-Sens!G7580-Sens!G7581-Sens!G7583</f>
        <v>72.3849894723168</v>
      </c>
      <c r="H7585" s="6" t="n">
        <f aca="false">Sens!H7584-Sens!H7578-Sens!H7579-Sens!H7580-Sens!H7581-Sens!H7583</f>
        <v>84.6833405528712</v>
      </c>
      <c r="I7585" s="6" t="n">
        <f aca="false">Sens!I7584-Sens!I7578-Sens!I7579-Sens!I7580-Sens!I7581-Sens!I7583</f>
        <v>96.928637197668</v>
      </c>
      <c r="J7585" s="6" t="n">
        <f aca="false">Sens!J7584-Sens!J7578-Sens!J7579-Sens!J7580-Sens!J7581-Sens!J7583</f>
        <v>108.064508389179</v>
      </c>
      <c r="K7585" s="6" t="n">
        <f aca="false">Sens!K7584-Sens!K7578-Sens!K7579-Sens!K7580-Sens!K7581-Sens!K7583</f>
        <v>117.416751519654</v>
      </c>
    </row>
    <row r="7586" customFormat="false" ht="17.15" hidden="false" customHeight="false" outlineLevel="0" collapsed="false">
      <c r="A7586" s="0" t="s">
        <v>1080</v>
      </c>
      <c r="B7586" s="0" t="s">
        <v>98</v>
      </c>
      <c r="F7586" s="6" t="n">
        <f aca="false">Sens!F7501+Sens!F7577*Sens!F7476+sbc_r*Sens!F7476</f>
        <v>26.3370605095674</v>
      </c>
      <c r="G7586" s="6" t="n">
        <f aca="false">Sens!G7501+Sens!G7577*Sens!G7476+sbc_r*Sens!G7476</f>
        <v>26.9467860656215</v>
      </c>
      <c r="H7586" s="6" t="n">
        <f aca="false">Sens!H7501+Sens!H7577*Sens!H7476+sbc_r*Sens!H7476</f>
        <v>27.8215941797724</v>
      </c>
      <c r="I7586" s="6" t="n">
        <f aca="false">Sens!I7501+Sens!I7577*Sens!I7476+sbc_r*Sens!I7476</f>
        <v>28.9291509617916</v>
      </c>
      <c r="J7586" s="6" t="n">
        <f aca="false">Sens!J7501+Sens!J7577*Sens!J7476+sbc_r*Sens!J7476</f>
        <v>30.2365351711046</v>
      </c>
      <c r="K7586" s="6" t="n">
        <f aca="false">Sens!K7501+Sens!K7577*Sens!K7476+sbc_r*Sens!K7476</f>
        <v>31.7121464467275</v>
      </c>
    </row>
    <row r="7587" customFormat="false" ht="17.15" hidden="false" customHeight="false" outlineLevel="0" collapsed="false">
      <c r="A7587" s="0" t="s">
        <v>1081</v>
      </c>
      <c r="B7587" s="0" t="s">
        <v>98</v>
      </c>
      <c r="F7587" s="6" t="n">
        <f aca="false">(Sens!F7586-Sens!F7582)*Sens!F7472/(Sens!F7472+Sens!F7474)</f>
        <v>8.26062113177849</v>
      </c>
      <c r="G7587" s="6" t="n">
        <f aca="false">(Sens!G7586-Sens!G7582)*Sens!G7472/(Sens!G7472+Sens!G7474)</f>
        <v>7.86106816435834</v>
      </c>
      <c r="H7587" s="6" t="n">
        <f aca="false">(Sens!H7586-Sens!H7582)*Sens!H7472/(Sens!H7472+Sens!H7474)</f>
        <v>7.62386711006885</v>
      </c>
      <c r="I7587" s="6" t="n">
        <f aca="false">(Sens!I7586-Sens!I7582)*Sens!I7472/(Sens!I7472+Sens!I7474)</f>
        <v>7.53119680257314</v>
      </c>
      <c r="J7587" s="6" t="n">
        <f aca="false">(Sens!J7586-Sens!J7582)*Sens!J7472/(Sens!J7472+Sens!J7474)</f>
        <v>7.57193409411504</v>
      </c>
      <c r="K7587" s="6" t="n">
        <f aca="false">(Sens!K7586-Sens!K7582)*Sens!K7472/(Sens!K7472+Sens!K7474)</f>
        <v>7.74145782573498</v>
      </c>
    </row>
    <row r="7588" customFormat="false" ht="17.15" hidden="false" customHeight="false" outlineLevel="0" collapsed="false">
      <c r="A7588" s="0" t="s">
        <v>1082</v>
      </c>
      <c r="B7588" s="0" t="s">
        <v>98</v>
      </c>
      <c r="F7588" s="6" t="n">
        <f aca="false">Sens!F7586-Sens!F7582-Sens!F7587</f>
        <v>6.80827325108013</v>
      </c>
      <c r="G7588" s="6" t="n">
        <f aca="false">Sens!G7586-Sens!G7582-Sens!G7587</f>
        <v>6.73929151180911</v>
      </c>
      <c r="H7588" s="6" t="n">
        <f aca="false">Sens!H7586-Sens!H7582-Sens!H7587</f>
        <v>6.72983362428931</v>
      </c>
      <c r="I7588" s="6" t="n">
        <f aca="false">Sens!I7586-Sens!I7582-Sens!I7587</f>
        <v>6.77749578485007</v>
      </c>
      <c r="J7588" s="6" t="n">
        <f aca="false">Sens!J7586-Sens!J7582-Sens!J7587</f>
        <v>6.8795050774242</v>
      </c>
      <c r="K7588" s="6" t="n">
        <f aca="false">Sens!K7586-Sens!K7582-Sens!K7587</f>
        <v>7.03352640908498</v>
      </c>
    </row>
    <row r="7589" customFormat="false" ht="17.15" hidden="false" customHeight="false" outlineLevel="0" collapsed="false">
      <c r="A7589" s="0" t="s">
        <v>1083</v>
      </c>
      <c r="B7589" s="0" t="s">
        <v>98</v>
      </c>
      <c r="F7589" s="6" t="n">
        <f aca="false">Sens!F7583-tax_f*(Sens!F7583-Sens!F7450)-Sens!F7447</f>
        <v>-123.538289534907</v>
      </c>
      <c r="G7589" s="6" t="n">
        <f aca="false">Sens!G7583-tax_f*(Sens!G7583-Sens!G7450)-Sens!G7447</f>
        <v>-118.606517389573</v>
      </c>
      <c r="H7589" s="6" t="n">
        <f aca="false">Sens!H7583-tax_f*(Sens!H7583-Sens!H7450)-Sens!H7447</f>
        <v>-96.7932184051947</v>
      </c>
      <c r="I7589" s="6" t="n">
        <f aca="false">Sens!I7583-tax_f*(Sens!I7583-Sens!I7450)-Sens!I7447</f>
        <v>-43.5945530035765</v>
      </c>
      <c r="J7589" s="6" t="n">
        <f aca="false">Sens!J7583-tax_f*(Sens!J7583-Sens!J7450)-Sens!J7447</f>
        <v>13.5192396076407</v>
      </c>
      <c r="K7589" s="6" t="n">
        <f aca="false">Sens!K7583-tax_f*(Sens!K7583-Sens!K7450)-Sens!K7447</f>
        <v>32.6799600522719</v>
      </c>
    </row>
    <row r="7590" customFormat="false" ht="17.15" hidden="false" customHeight="false" outlineLevel="0" collapsed="false">
      <c r="A7590" s="0" t="s">
        <v>1084</v>
      </c>
      <c r="B7590" s="0" t="s">
        <v>98</v>
      </c>
      <c r="G7590" s="6" t="n">
        <f aca="false">Sens!G7589/(1+wacc)^(Sens!G7562-(Sens!F7562+mid_yr))</f>
        <v>-112.936339925103</v>
      </c>
      <c r="H7590" s="6" t="n">
        <f aca="false">Sens!H7589/(1+wacc)^(Sens!H7562-(Sens!F7562+mid_yr))</f>
        <v>-83.5642260288522</v>
      </c>
      <c r="I7590" s="6" t="n">
        <f aca="false">Sens!I7589/(1+wacc)^(Sens!I7562-(Sens!F7562+mid_yr))</f>
        <v>-34.1238483531415</v>
      </c>
      <c r="J7590" s="6" t="n">
        <f aca="false">Sens!J7589/(1+wacc)^(Sens!J7562-(Sens!F7562+mid_yr))</f>
        <v>9.59463260084646</v>
      </c>
      <c r="K7590" s="6" t="n">
        <f aca="false">Sens!K7589/(1+wacc)^(Sens!K7562-(Sens!F7562+mid_yr))</f>
        <v>21.0284814022004</v>
      </c>
      <c r="L7590" s="1" t="s">
        <v>1085</v>
      </c>
    </row>
    <row r="7591" customFormat="false" ht="17.15" hidden="false" customHeight="false" outlineLevel="0" collapsed="false">
      <c r="A7591" s="0" t="s">
        <v>1086</v>
      </c>
      <c r="B7591" s="0" t="s">
        <v>98</v>
      </c>
      <c r="C7591" s="6" t="n">
        <f aca="false">(Sens!K7583-Sens!K7450)*(1-tax_f)*(1+g_tv)*(1-g_tv/(wacc+ronic_prem))/(wacc-g_tv)/(1+wacc)^(Sens!K7562+mid_yr-(Sens!F7562+mid_yr))</f>
        <v>91.6940240123978</v>
      </c>
    </row>
    <row r="7592" customFormat="false" ht="17.15" hidden="false" customHeight="false" outlineLevel="0" collapsed="false">
      <c r="A7592" s="1" t="s">
        <v>1087</v>
      </c>
      <c r="B7592" s="0" t="s">
        <v>98</v>
      </c>
      <c r="C7592" s="6" t="n">
        <f aca="false">(SUM(Sens!G7590:K7590)+Sens!$C$7591)*(1+wacc)^(t_roll-(Sens!F7562+mid_yr))</f>
        <v>-111.82270640489</v>
      </c>
      <c r="L7592" s="11" t="s">
        <v>1088</v>
      </c>
    </row>
    <row r="7593" customFormat="false" ht="17.15" hidden="false" customHeight="false" outlineLevel="0" collapsed="false">
      <c r="A7593" s="1" t="s">
        <v>1089</v>
      </c>
      <c r="B7593" s="0" t="s">
        <v>98</v>
      </c>
      <c r="C7593" s="6" t="n">
        <f aca="false">(w_ntm28*Sens!G7439+(1-w_ntm28)*Sens!H7439)*m_ai</f>
        <v>338.776008390068</v>
      </c>
    </row>
    <row r="7594" customFormat="false" ht="17.15" hidden="false" customHeight="false" outlineLevel="0" collapsed="false">
      <c r="A7594" s="1" t="s">
        <v>1090</v>
      </c>
      <c r="B7594" s="0" t="s">
        <v>98</v>
      </c>
      <c r="C7594" s="6" t="n">
        <f aca="false">(w_ntm28*Sens!G7585+(1-w_ntm28)*Sens!H7585)*m_cloud</f>
        <v>1055.30756548858</v>
      </c>
    </row>
    <row r="7595" customFormat="false" ht="17.15" hidden="false" customHeight="false" outlineLevel="0" collapsed="false">
      <c r="A7595" s="1" t="s">
        <v>1091</v>
      </c>
      <c r="B7595" s="0" t="s">
        <v>98</v>
      </c>
      <c r="C7595" s="6" t="n">
        <f aca="false">(w_ntm28*Sens!G7578+(1-w_ntm28)*Sens!H7578)*m_sw</f>
        <v>1068.24542213781</v>
      </c>
    </row>
    <row r="7596" customFormat="false" ht="17.15" hidden="false" customHeight="false" outlineLevel="0" collapsed="false">
      <c r="A7596" s="1" t="s">
        <v>1092</v>
      </c>
      <c r="B7596" s="0" t="s">
        <v>98</v>
      </c>
      <c r="C7596" s="6" t="n">
        <f aca="false">(w_ntm28*Sens!G7579+(1-w_ntm28)*Sens!H7579)*m_sw</f>
        <v>380.409661727226</v>
      </c>
    </row>
    <row r="7597" customFormat="false" ht="17.15" hidden="false" customHeight="false" outlineLevel="0" collapsed="false">
      <c r="A7597" s="1" t="s">
        <v>1093</v>
      </c>
      <c r="B7597" s="0" t="s">
        <v>98</v>
      </c>
      <c r="C7597" s="6" t="n">
        <f aca="false">(w_ntm28*Sens!G7580+(1-w_ntm28)*Sens!H7580)*m_sw</f>
        <v>109.832710037882</v>
      </c>
    </row>
    <row r="7598" customFormat="false" ht="17.15" hidden="false" customHeight="false" outlineLevel="0" collapsed="false">
      <c r="A7598" s="1" t="s">
        <v>1094</v>
      </c>
      <c r="B7598" s="0" t="s">
        <v>98</v>
      </c>
      <c r="C7598" s="6" t="n">
        <f aca="false">(w_ntm28*Sens!G7581+(1-w_ntm28)*Sens!H7581)*m_sw</f>
        <v>41.9031037976585</v>
      </c>
    </row>
    <row r="7599" customFormat="false" ht="17.15" hidden="false" customHeight="false" outlineLevel="0" collapsed="false">
      <c r="A7599" s="1" t="s">
        <v>1095</v>
      </c>
      <c r="B7599" s="0" t="s">
        <v>98</v>
      </c>
      <c r="C7599" s="6" t="n">
        <f aca="false">(w_ntm28*Sens!G7582+(1-w_ntm28)*Sens!H7582)*m_ads</f>
        <v>115.778833875916</v>
      </c>
    </row>
    <row r="7600" customFormat="false" ht="17.15" hidden="false" customHeight="false" outlineLevel="0" collapsed="false">
      <c r="A7600" s="1" t="s">
        <v>1096</v>
      </c>
      <c r="B7600" s="0" t="s">
        <v>98</v>
      </c>
      <c r="C7600" s="6" t="n">
        <f aca="false">(w_ntm28*Sens!G7587+(1-w_ntm28)*Sens!H7587)*m_game</f>
        <v>98.3167697672162</v>
      </c>
    </row>
    <row r="7601" customFormat="false" ht="17.15" hidden="false" customHeight="false" outlineLevel="0" collapsed="false">
      <c r="A7601" s="1" t="s">
        <v>1097</v>
      </c>
      <c r="B7601" s="0" t="s">
        <v>98</v>
      </c>
      <c r="C7601" s="6" t="n">
        <f aca="false">(w_ntm28*Sens!G7588+(1-w_ntm28)*Sens!H7588)*m_pc</f>
        <v>97.4733044371804</v>
      </c>
    </row>
    <row r="7602" customFormat="false" ht="17.15" hidden="false" customHeight="false" outlineLevel="0" collapsed="false">
      <c r="A7602" s="1" t="s">
        <v>1098</v>
      </c>
      <c r="B7602" s="0" t="s">
        <v>98</v>
      </c>
      <c r="C7602" s="6" t="n">
        <f aca="false">Sens!$C$7592+Sens!$C$7594+Sens!$C$7595+Sens!$C$7596+Sens!$C$7597+Sens!$C$7598+Sens!$C$7599+Sens!$C$7600+Sens!$C$7601</f>
        <v>2855.44466486458</v>
      </c>
    </row>
    <row r="7603" customFormat="false" ht="17.15" hidden="false" customHeight="false" outlineLevel="0" collapsed="false">
      <c r="A7603" s="1" t="s">
        <v>1099</v>
      </c>
      <c r="B7603" s="0" t="s">
        <v>98</v>
      </c>
      <c r="C7603" s="6" t="n">
        <f aca="false">(Sens!G7564-Sens!G7589)*t_stub</f>
        <v>47.2038567270064</v>
      </c>
      <c r="L7603" s="1" t="s">
        <v>1100</v>
      </c>
    </row>
    <row r="7604" customFormat="false" ht="17.15" hidden="false" customHeight="false" outlineLevel="0" collapsed="false">
      <c r="A7604" s="1" t="s">
        <v>1014</v>
      </c>
      <c r="B7604" s="0" t="s">
        <v>98</v>
      </c>
      <c r="C7604" s="6" t="n">
        <f aca="false">Sens!F7553+oai_v-Sens!F7542+Sens!$C$7603</f>
        <v>155.100529421086</v>
      </c>
      <c r="L7604" s="1" t="s">
        <v>1101</v>
      </c>
    </row>
    <row r="7605" customFormat="false" ht="17.15" hidden="false" customHeight="false" outlineLevel="0" collapsed="false">
      <c r="A7605" s="1" t="s">
        <v>1102</v>
      </c>
      <c r="B7605" s="0" t="s">
        <v>75</v>
      </c>
      <c r="C7605" s="5" t="n">
        <f aca="false">(Sens!$C$7602+Sens!$C$7604)/(Sens!F7555+dil_gap)-Sens!G7545*roll_div_q/q_per_yr</f>
        <v>400.580723357213</v>
      </c>
      <c r="L7605" s="1" t="s">
        <v>1103</v>
      </c>
    </row>
    <row r="7606" customFormat="false" ht="17.15" hidden="false" customHeight="false" outlineLevel="0" collapsed="false">
      <c r="A7606" s="1" t="s">
        <v>1104</v>
      </c>
      <c r="B7606" s="0" t="s">
        <v>75</v>
      </c>
      <c r="C7606" s="5" t="n">
        <f aca="false">w_dcf*Sens!$C$7576+(1-w_dcf)*Sens!$C$7605</f>
        <v>342.047476968271</v>
      </c>
    </row>
    <row r="7607" customFormat="false" ht="17.15" hidden="false" customHeight="false" outlineLevel="0" collapsed="false">
      <c r="A7607" s="3" t="s">
        <v>1457</v>
      </c>
    </row>
    <row r="7608" customFormat="false" ht="15" hidden="false" customHeight="false" outlineLevel="0" collapsed="false">
      <c r="A7608" s="4" t="s">
        <v>43</v>
      </c>
      <c r="B7608" s="4" t="s">
        <v>65</v>
      </c>
      <c r="C7608" s="20" t="s">
        <v>799</v>
      </c>
      <c r="D7608" s="20" t="s">
        <v>800</v>
      </c>
      <c r="E7608" s="20" t="s">
        <v>801</v>
      </c>
      <c r="F7608" s="20" t="s">
        <v>802</v>
      </c>
      <c r="G7608" s="20" t="s">
        <v>803</v>
      </c>
      <c r="H7608" s="20" t="s">
        <v>804</v>
      </c>
      <c r="I7608" s="20" t="s">
        <v>805</v>
      </c>
      <c r="J7608" s="20" t="s">
        <v>806</v>
      </c>
      <c r="K7608" s="20" t="s">
        <v>807</v>
      </c>
      <c r="L7608" s="4" t="s">
        <v>47</v>
      </c>
    </row>
    <row r="7609" customFormat="false" ht="17.15" hidden="false" customHeight="false" outlineLevel="0" collapsed="false">
      <c r="A7609" s="1" t="s">
        <v>808</v>
      </c>
      <c r="B7609" s="1" t="s">
        <v>235</v>
      </c>
      <c r="C7609" s="28" t="n">
        <v>2024</v>
      </c>
      <c r="D7609" s="28" t="n">
        <v>2025</v>
      </c>
      <c r="E7609" s="28" t="n">
        <v>2026</v>
      </c>
      <c r="F7609" s="28" t="n">
        <v>2027</v>
      </c>
      <c r="G7609" s="28" t="n">
        <v>2028</v>
      </c>
      <c r="H7609" s="28" t="n">
        <v>2029</v>
      </c>
      <c r="I7609" s="28" t="n">
        <v>2030</v>
      </c>
      <c r="J7609" s="28" t="n">
        <v>2031</v>
      </c>
      <c r="K7609" s="28" t="n">
        <v>2032</v>
      </c>
    </row>
    <row r="7610" customFormat="false" ht="17.15" hidden="false" customHeight="false" outlineLevel="0" collapsed="false">
      <c r="A7610" s="1" t="s">
        <v>809</v>
      </c>
      <c r="B7610" s="0" t="s">
        <v>399</v>
      </c>
      <c r="F7610" s="29" t="n">
        <f aca="false">pace</f>
        <v>2527.2</v>
      </c>
      <c r="G7610" s="29" t="n">
        <f aca="false">pace</f>
        <v>2527.2</v>
      </c>
      <c r="H7610" s="29" t="n">
        <f aca="false">pace</f>
        <v>2527.2</v>
      </c>
      <c r="I7610" s="29" t="n">
        <f aca="false">pace+(g_tv*Sens!H7611-pace)*MIN(1,(Sens!I7609-pace_y0)/(pace_y1-pace_y0))</f>
        <v>1793.116</v>
      </c>
      <c r="J7610" s="29" t="n">
        <f aca="false">pace+(g_tv*Sens!I7611-pace)*MIN(1,(Sens!J7609-pace_y0)/(pace_y1-pace_y0))</f>
        <v>1094.89432</v>
      </c>
      <c r="K7610" s="29" t="n">
        <f aca="false">pace+(g_tv*Sens!J7611-pace)*MIN(1,(Sens!K7609-pace_y0)/(pace_y1-pace_y0))</f>
        <v>411.5883096</v>
      </c>
      <c r="L7610" s="11" t="s">
        <v>810</v>
      </c>
    </row>
    <row r="7611" customFormat="false" ht="17.15" hidden="false" customHeight="false" outlineLevel="0" collapsed="false">
      <c r="A7611" s="1" t="s">
        <v>811</v>
      </c>
      <c r="B7611" s="0" t="s">
        <v>399</v>
      </c>
      <c r="C7611" s="29" t="n">
        <f aca="false">mw_ext_24</f>
        <v>640</v>
      </c>
      <c r="D7611" s="29" t="n">
        <f aca="false">mw_ext_25</f>
        <v>1630</v>
      </c>
      <c r="E7611" s="29" t="n">
        <f aca="false">mw_ext_26</f>
        <v>3250</v>
      </c>
      <c r="F7611" s="29" t="n">
        <f aca="false">Sens!E7611+Sens!F7610</f>
        <v>5777.2</v>
      </c>
      <c r="G7611" s="29" t="n">
        <f aca="false">Sens!F7611+Sens!G7610</f>
        <v>8304.4</v>
      </c>
      <c r="H7611" s="29" t="n">
        <f aca="false">Sens!G7611+Sens!H7610</f>
        <v>10831.6</v>
      </c>
      <c r="I7611" s="29" t="n">
        <f aca="false">Sens!H7611+Sens!I7610</f>
        <v>12624.716</v>
      </c>
      <c r="J7611" s="29" t="n">
        <f aca="false">Sens!I7611+Sens!J7610</f>
        <v>13719.61032</v>
      </c>
      <c r="K7611" s="29" t="n">
        <f aca="false">Sens!J7611+Sens!K7610</f>
        <v>14131.1986296</v>
      </c>
      <c r="L7611" s="1" t="s">
        <v>812</v>
      </c>
    </row>
    <row r="7612" customFormat="false" ht="17.15" hidden="false" customHeight="false" outlineLevel="0" collapsed="false">
      <c r="A7612" s="1" t="s">
        <v>813</v>
      </c>
      <c r="B7612" s="0" t="s">
        <v>399</v>
      </c>
      <c r="C7612" s="29" t="n">
        <f aca="false">rent_ext_24</f>
        <v>150</v>
      </c>
      <c r="D7612" s="29" t="n">
        <f aca="false">rent_ext_25</f>
        <v>400</v>
      </c>
      <c r="E7612" s="29" t="n">
        <f aca="false">rent_ext_26</f>
        <v>550</v>
      </c>
      <c r="F7612" s="29" t="n">
        <f aca="false">rent_ext_f</f>
        <v>756</v>
      </c>
      <c r="G7612" s="29" t="n">
        <f aca="false">rent_ext_f</f>
        <v>756</v>
      </c>
      <c r="H7612" s="29" t="n">
        <f aca="false">rent_ext_f</f>
        <v>756</v>
      </c>
      <c r="I7612" s="29" t="n">
        <f aca="false">rent_ext_f</f>
        <v>756</v>
      </c>
      <c r="J7612" s="29" t="n">
        <f aca="false">rent_ext_f</f>
        <v>756</v>
      </c>
      <c r="K7612" s="29" t="n">
        <f aca="false">rent_ext_f</f>
        <v>756</v>
      </c>
      <c r="L7612" s="1" t="s">
        <v>814</v>
      </c>
    </row>
    <row r="7613" customFormat="false" ht="17.15" hidden="false" customHeight="false" outlineLevel="0" collapsed="false">
      <c r="A7613" s="1" t="s">
        <v>815</v>
      </c>
      <c r="B7613" s="0" t="s">
        <v>399</v>
      </c>
      <c r="C7613" s="29" t="n">
        <f aca="false">Sens!C7611-Sens!C7612</f>
        <v>490</v>
      </c>
      <c r="D7613" s="29" t="n">
        <f aca="false">Sens!D7611-Sens!D7612</f>
        <v>1230</v>
      </c>
      <c r="E7613" s="29" t="n">
        <f aca="false">Sens!E7611-Sens!E7612</f>
        <v>2700</v>
      </c>
      <c r="F7613" s="29" t="n">
        <f aca="false">Sens!F7611-Sens!F7612</f>
        <v>5021.2</v>
      </c>
      <c r="G7613" s="29" t="n">
        <f aca="false">Sens!G7611-Sens!G7612</f>
        <v>7548.4</v>
      </c>
      <c r="H7613" s="29" t="n">
        <f aca="false">Sens!H7611-Sens!H7612</f>
        <v>10075.6</v>
      </c>
      <c r="I7613" s="29" t="n">
        <f aca="false">Sens!I7611-Sens!I7612</f>
        <v>11868.716</v>
      </c>
      <c r="J7613" s="29" t="n">
        <f aca="false">Sens!J7611-Sens!J7612</f>
        <v>12963.61032</v>
      </c>
      <c r="K7613" s="29" t="n">
        <f aca="false">Sens!K7611-Sens!K7612</f>
        <v>13375.1986296</v>
      </c>
    </row>
    <row r="7614" customFormat="false" ht="17.15" hidden="false" customHeight="false" outlineLevel="0" collapsed="false">
      <c r="A7614" s="1" t="s">
        <v>816</v>
      </c>
      <c r="B7614" s="0" t="s">
        <v>399</v>
      </c>
      <c r="C7614" s="29" t="n">
        <f aca="false">Sens!C7613/ext_sh</f>
        <v>816.666666666667</v>
      </c>
      <c r="D7614" s="29" t="n">
        <f aca="false">Sens!D7613/ext_sh</f>
        <v>2050</v>
      </c>
      <c r="E7614" s="29" t="n">
        <f aca="false">Sens!E7613/ext_sh</f>
        <v>4500</v>
      </c>
      <c r="F7614" s="29" t="n">
        <f aca="false">Sens!F7613/ext_sh</f>
        <v>8368.66666666667</v>
      </c>
      <c r="G7614" s="29" t="n">
        <f aca="false">Sens!G7613/ext_sh</f>
        <v>12580.6666666667</v>
      </c>
      <c r="H7614" s="29" t="n">
        <f aca="false">Sens!H7613/ext_sh</f>
        <v>16792.6666666667</v>
      </c>
      <c r="I7614" s="29" t="n">
        <f aca="false">Sens!I7613/ext_sh</f>
        <v>19781.1933333333</v>
      </c>
      <c r="J7614" s="29" t="n">
        <f aca="false">Sens!J7613/ext_sh</f>
        <v>21606.0172</v>
      </c>
      <c r="K7614" s="29" t="n">
        <f aca="false">Sens!K7613/ext_sh</f>
        <v>22291.997716</v>
      </c>
      <c r="L7614" s="1" t="s">
        <v>817</v>
      </c>
    </row>
    <row r="7615" customFormat="false" ht="17.15" hidden="false" customHeight="false" outlineLevel="0" collapsed="false">
      <c r="A7615" s="1" t="s">
        <v>818</v>
      </c>
      <c r="B7615" s="0" t="s">
        <v>399</v>
      </c>
      <c r="C7615" s="29" t="n">
        <f aca="false">Sens!C7614-Sens!C7613</f>
        <v>326.666666666667</v>
      </c>
      <c r="D7615" s="29" t="n">
        <f aca="false">Sens!D7614-Sens!D7613</f>
        <v>820</v>
      </c>
      <c r="E7615" s="29" t="n">
        <f aca="false">Sens!E7614-Sens!E7613</f>
        <v>1800</v>
      </c>
      <c r="F7615" s="29" t="n">
        <f aca="false">Sens!F7614-Sens!F7613</f>
        <v>3347.46666666667</v>
      </c>
      <c r="G7615" s="29" t="n">
        <f aca="false">Sens!G7614-Sens!G7613</f>
        <v>5032.26666666667</v>
      </c>
      <c r="H7615" s="29" t="n">
        <f aca="false">Sens!H7614-Sens!H7613</f>
        <v>6717.06666666667</v>
      </c>
      <c r="I7615" s="29" t="n">
        <f aca="false">Sens!I7614-Sens!I7613</f>
        <v>7912.47733333333</v>
      </c>
      <c r="J7615" s="29" t="n">
        <f aca="false">Sens!J7614-Sens!J7613</f>
        <v>8642.40688</v>
      </c>
      <c r="K7615" s="29" t="n">
        <f aca="false">Sens!K7614-Sens!K7613</f>
        <v>8916.7990864</v>
      </c>
    </row>
    <row r="7616" customFormat="false" ht="17.15" hidden="false" customHeight="false" outlineLevel="0" collapsed="false">
      <c r="A7616" s="1" t="s">
        <v>819</v>
      </c>
      <c r="B7616" s="0" t="s">
        <v>399</v>
      </c>
      <c r="C7616" s="29" t="n">
        <f aca="false">Sens!C7614</f>
        <v>816.666666666667</v>
      </c>
      <c r="D7616" s="29" t="n">
        <f aca="false">Sens!D7614-Sens!C7614</f>
        <v>1233.33333333333</v>
      </c>
      <c r="E7616" s="29" t="n">
        <f aca="false">Sens!E7614-Sens!D7614</f>
        <v>2450</v>
      </c>
      <c r="F7616" s="29" t="n">
        <f aca="false">Sens!F7614-Sens!E7614</f>
        <v>3868.66666666667</v>
      </c>
      <c r="G7616" s="29" t="n">
        <f aca="false">Sens!G7614-Sens!F7614</f>
        <v>4212</v>
      </c>
      <c r="H7616" s="29" t="n">
        <f aca="false">Sens!H7614-Sens!G7614</f>
        <v>4212</v>
      </c>
      <c r="I7616" s="29" t="n">
        <f aca="false">Sens!I7614-Sens!H7614</f>
        <v>2988.52666666667</v>
      </c>
      <c r="J7616" s="29" t="n">
        <f aca="false">Sens!J7614-Sens!I7614</f>
        <v>1824.82386666667</v>
      </c>
      <c r="K7616" s="29" t="n">
        <f aca="false">Sens!K7614-Sens!J7614</f>
        <v>685.980516</v>
      </c>
    </row>
    <row r="7617" customFormat="false" ht="17.15" hidden="false" customHeight="false" outlineLevel="0" collapsed="false">
      <c r="A7617" s="1" t="s">
        <v>820</v>
      </c>
      <c r="B7617" s="0" t="s">
        <v>399</v>
      </c>
      <c r="D7617" s="29" t="n">
        <f aca="false">Sens!D7611-Sens!C7611</f>
        <v>990</v>
      </c>
      <c r="E7617" s="29" t="n">
        <f aca="false">Sens!E7611-Sens!D7611</f>
        <v>1620</v>
      </c>
      <c r="F7617" s="29" t="n">
        <f aca="false">Sens!F7611-Sens!E7611</f>
        <v>2527.2</v>
      </c>
      <c r="G7617" s="29" t="n">
        <f aca="false">Sens!G7611-Sens!F7611</f>
        <v>2527.2</v>
      </c>
      <c r="H7617" s="29" t="n">
        <f aca="false">Sens!H7611-Sens!G7611</f>
        <v>2527.2</v>
      </c>
      <c r="I7617" s="29" t="n">
        <f aca="false">Sens!I7611-Sens!H7611</f>
        <v>1793.116</v>
      </c>
      <c r="J7617" s="29" t="n">
        <f aca="false">Sens!J7611-Sens!I7611</f>
        <v>1094.89432</v>
      </c>
      <c r="K7617" s="29" t="n">
        <f aca="false">Sens!K7611-Sens!J7611</f>
        <v>411.5883096</v>
      </c>
    </row>
    <row r="7618" customFormat="false" ht="17.15" hidden="false" customHeight="false" outlineLevel="0" collapsed="false">
      <c r="A7618" s="1" t="s">
        <v>821</v>
      </c>
      <c r="B7618" s="0" t="s">
        <v>399</v>
      </c>
      <c r="F7618" s="29" t="n">
        <f aca="false">Sens!F7635*ext_sh</f>
        <v>0</v>
      </c>
      <c r="G7618" s="29" t="n">
        <f aca="false">Sens!G7635*ext_sh</f>
        <v>0</v>
      </c>
      <c r="H7618" s="29" t="n">
        <f aca="false">Sens!H7635*ext_sh</f>
        <v>0</v>
      </c>
      <c r="I7618" s="29" t="n">
        <f aca="false">Sens!I7635*ext_sh</f>
        <v>490</v>
      </c>
      <c r="J7618" s="29" t="n">
        <f aca="false">Sens!J7635*ext_sh</f>
        <v>740</v>
      </c>
      <c r="K7618" s="29" t="n">
        <f aca="false">Sens!K7635*ext_sh</f>
        <v>1470</v>
      </c>
      <c r="L7618" s="1" t="s">
        <v>822</v>
      </c>
    </row>
    <row r="7619" customFormat="false" ht="17.15" hidden="false" customHeight="false" outlineLevel="0" collapsed="false">
      <c r="A7619" s="1" t="s">
        <v>823</v>
      </c>
      <c r="B7619" s="0" t="s">
        <v>399</v>
      </c>
      <c r="C7619" s="29" t="n">
        <f aca="false">mix_h*Sens!C7611</f>
        <v>128</v>
      </c>
      <c r="D7619" s="29" t="n">
        <f aca="false">mix_h*Sens!D7611</f>
        <v>326</v>
      </c>
      <c r="E7619" s="29" t="n">
        <f aca="false">mix_h*Sens!E7611</f>
        <v>650</v>
      </c>
      <c r="F7619" s="29" t="n">
        <f aca="false">Sens!E7619-Sens!F7618*mix_h</f>
        <v>650</v>
      </c>
      <c r="G7619" s="29" t="n">
        <f aca="false">Sens!F7619-Sens!G7618*mix_h</f>
        <v>650</v>
      </c>
      <c r="H7619" s="29" t="n">
        <f aca="false">Sens!G7619-Sens!H7618*mix_h</f>
        <v>650</v>
      </c>
      <c r="I7619" s="29" t="n">
        <f aca="false">Sens!H7619-Sens!I7618*mix_h</f>
        <v>552</v>
      </c>
      <c r="J7619" s="29" t="n">
        <f aca="false">Sens!I7619-Sens!J7618*mix_h</f>
        <v>404</v>
      </c>
      <c r="K7619" s="29" t="n">
        <f aca="false">Sens!J7619-Sens!K7618*mix_h</f>
        <v>110</v>
      </c>
    </row>
    <row r="7620" customFormat="false" ht="17.15" hidden="false" customHeight="false" outlineLevel="0" collapsed="false">
      <c r="A7620" s="1" t="s">
        <v>824</v>
      </c>
      <c r="B7620" s="0" t="s">
        <v>399</v>
      </c>
      <c r="C7620" s="29" t="n">
        <f aca="false">mix_g2*Sens!C7611</f>
        <v>288</v>
      </c>
      <c r="D7620" s="29" t="n">
        <f aca="false">mix_g2*Sens!D7611</f>
        <v>733.5</v>
      </c>
      <c r="E7620" s="29" t="n">
        <f aca="false">mix_g2*Sens!E7611</f>
        <v>1462.5</v>
      </c>
      <c r="F7620" s="29" t="n">
        <f aca="false">Sens!E7620-Sens!F7618*mix_g2</f>
        <v>1462.5</v>
      </c>
      <c r="G7620" s="29" t="n">
        <f aca="false">Sens!F7620-Sens!G7618*mix_g2</f>
        <v>1462.5</v>
      </c>
      <c r="H7620" s="29" t="n">
        <f aca="false">Sens!G7620-Sens!H7618*mix_g2</f>
        <v>1462.5</v>
      </c>
      <c r="I7620" s="29" t="n">
        <f aca="false">Sens!H7620-Sens!I7618*mix_g2</f>
        <v>1242</v>
      </c>
      <c r="J7620" s="29" t="n">
        <f aca="false">Sens!I7620-Sens!J7618*mix_g2</f>
        <v>909</v>
      </c>
      <c r="K7620" s="29" t="n">
        <f aca="false">Sens!J7620-Sens!K7618*mix_g2</f>
        <v>247.5</v>
      </c>
    </row>
    <row r="7621" customFormat="false" ht="17.15" hidden="false" customHeight="false" outlineLevel="0" collapsed="false">
      <c r="A7621" s="1" t="s">
        <v>825</v>
      </c>
      <c r="B7621" s="0" t="s">
        <v>399</v>
      </c>
      <c r="C7621" s="29" t="n">
        <f aca="false">mix_g3*Sens!C7611</f>
        <v>224</v>
      </c>
      <c r="D7621" s="29" t="n">
        <f aca="false">mix_g3*Sens!D7611</f>
        <v>570.5</v>
      </c>
      <c r="E7621" s="29" t="n">
        <f aca="false">mix_g3*Sens!E7611</f>
        <v>1137.5</v>
      </c>
      <c r="F7621" s="29" t="n">
        <f aca="false">Sens!E7621+(Sens!F7617+Sens!F7618)*a_g3_27-Sens!F7618*mix_g3</f>
        <v>2906.54</v>
      </c>
      <c r="G7621" s="29" t="n">
        <f aca="false">Sens!F7621+(Sens!G7617+Sens!G7618)*a_g3_28-Sens!G7618*mix_g3</f>
        <v>3664.7</v>
      </c>
      <c r="H7621" s="29" t="n">
        <f aca="false">Sens!G7621+(Sens!H7617+Sens!H7618)*a_g3_29-Sens!H7618*mix_g3</f>
        <v>3917.42</v>
      </c>
      <c r="I7621" s="29" t="n">
        <f aca="false">Sens!H7621+(Sens!I7617+Sens!I7618)*a_g3_29-Sens!I7618*mix_g3</f>
        <v>3974.2316</v>
      </c>
      <c r="J7621" s="29" t="n">
        <f aca="false">Sens!I7621+(Sens!J7617+Sens!J7618)*a_g3_29-Sens!J7618*mix_g3</f>
        <v>3898.721032</v>
      </c>
      <c r="K7621" s="29" t="n">
        <f aca="false">Sens!J7621+(Sens!K7617+Sens!K7618)*a_g3_29-Sens!K7618*mix_g3</f>
        <v>3572.37986296</v>
      </c>
    </row>
    <row r="7622" customFormat="false" ht="17.15" hidden="false" customHeight="false" outlineLevel="0" collapsed="false">
      <c r="A7622" s="1" t="s">
        <v>826</v>
      </c>
      <c r="B7622" s="0" t="s">
        <v>399</v>
      </c>
      <c r="C7622" s="29" t="n">
        <v>0</v>
      </c>
      <c r="D7622" s="29" t="n">
        <v>0</v>
      </c>
      <c r="E7622" s="29" t="n">
        <v>0</v>
      </c>
      <c r="F7622" s="29" t="n">
        <f aca="false">Sens!E7622+(Sens!F7617+Sens!F7618)*(1-a_g3_27)</f>
        <v>758.16</v>
      </c>
      <c r="G7622" s="29" t="n">
        <f aca="false">Sens!F7622+(Sens!G7617+Sens!G7618)*(1-a_g3_28)</f>
        <v>2527.2</v>
      </c>
      <c r="H7622" s="29" t="n">
        <f aca="false">Sens!G7622+(Sens!H7617+Sens!H7618)*(1-a_g3_29)</f>
        <v>4801.68</v>
      </c>
      <c r="I7622" s="29" t="n">
        <f aca="false">Sens!H7622+(Sens!I7617+Sens!I7618)*(1-a_g3_29)</f>
        <v>6856.4844</v>
      </c>
      <c r="J7622" s="29" t="n">
        <f aca="false">Sens!I7622+(Sens!J7617+Sens!J7618)*(1-a_g3_29)</f>
        <v>8507.889288</v>
      </c>
      <c r="K7622" s="29" t="n">
        <f aca="false">Sens!J7622+(Sens!K7617+Sens!K7618)*(1-a_g3_29)</f>
        <v>10201.31876664</v>
      </c>
    </row>
    <row r="7623" customFormat="false" ht="17.15" hidden="false" customHeight="false" outlineLevel="0" collapsed="false">
      <c r="A7623" s="1" t="s">
        <v>827</v>
      </c>
      <c r="B7623" s="0" t="s">
        <v>346</v>
      </c>
      <c r="C7623" s="14" t="n">
        <f aca="false">(Sens!C7619*tk_hold_h100+Sens!C7620*tk_hold_gb200+Sens!C7621*tk_hold_gb300+Sens!C7622*tk_hold_vr200)/Sens!C7611</f>
        <v>9.7235358126469</v>
      </c>
      <c r="D7623" s="14" t="n">
        <f aca="false">(Sens!D7619*tk_hold_h100+Sens!D7620*tk_hold_gb200+Sens!D7621*tk_hold_gb300+Sens!D7622*tk_hold_vr200)/Sens!D7611</f>
        <v>9.7235358126469</v>
      </c>
      <c r="E7623" s="14" t="n">
        <f aca="false">(Sens!E7619*tk_hold_h100+Sens!E7620*tk_hold_gb200+Sens!E7621*tk_hold_gb300+Sens!E7622*tk_hold_vr200)/Sens!E7611</f>
        <v>9.7235358126469</v>
      </c>
      <c r="F7623" s="14" t="n">
        <f aca="false">(Sens!F7619*tk_hold_h100+Sens!F7620*tk_hold_gb200+Sens!F7621*tk_hold_gb300+Sens!F7622*tk_hold_vr200)/Sens!F7611</f>
        <v>10.4079573161931</v>
      </c>
      <c r="G7623" s="14" t="n">
        <f aca="false">(Sens!G7619*tk_hold_h100+Sens!G7620*tk_hold_gb200+Sens!G7621*tk_hold_gb300+Sens!G7622*tk_hold_vr200)/Sens!G7611</f>
        <v>10.8388131109316</v>
      </c>
      <c r="H7623" s="14" t="n">
        <f aca="false">(Sens!H7619*tk_hold_h100+Sens!H7620*tk_hold_gb200+Sens!H7621*tk_hold_gb300+Sens!H7622*tk_hold_vr200)/Sens!H7611</f>
        <v>11.1311018388216</v>
      </c>
      <c r="I7623" s="14" t="n">
        <f aca="false">(Sens!I7619*tk_hold_h100+Sens!I7620*tk_hold_gb200+Sens!I7621*tk_hold_gb300+Sens!I7622*tk_hold_vr200)/Sens!I7611</f>
        <v>11.3594282560989</v>
      </c>
      <c r="J7623" s="14" t="n">
        <f aca="false">(Sens!J7619*tk_hold_h100+Sens!J7620*tk_hold_gb200+Sens!J7621*tk_hold_gb300+Sens!J7622*tk_hold_vr200)/Sens!J7611</f>
        <v>11.5455817917599</v>
      </c>
      <c r="K7623" s="14" t="n">
        <f aca="false">(Sens!K7619*tk_hold_h100+Sens!K7620*tk_hold_gb200+Sens!K7621*tk_hold_gb300+Sens!K7622*tk_hold_vr200)/Sens!K7611</f>
        <v>11.8078187977246</v>
      </c>
    </row>
    <row r="7624" customFormat="false" ht="17.15" hidden="false" customHeight="false" outlineLevel="0" collapsed="false">
      <c r="A7624" s="0" t="s">
        <v>828</v>
      </c>
      <c r="B7624" s="0" t="s">
        <v>185</v>
      </c>
      <c r="C7624" s="14" t="n">
        <f aca="false">k_B</f>
        <v>1.17213932619116</v>
      </c>
      <c r="D7624" s="14" t="n">
        <f aca="false">k_B</f>
        <v>1.17213932619116</v>
      </c>
      <c r="E7624" s="14" t="n">
        <f aca="false">k_B</f>
        <v>1.17213932619116</v>
      </c>
      <c r="F7624" s="14" t="n">
        <f aca="false">(k_B+((ls_A*k_long+(1-ls_A)*k_spot)-k_B)*MIN(1,(Sens!F7609-base_fy)/k_ramp))</f>
        <v>1.25022828131298</v>
      </c>
      <c r="G7624" s="14" t="n">
        <f aca="false">(k_B+((ls_A*k_long+(1-ls_A)*k_spot)-k_B)*MIN(1,(Sens!G7609-base_fy)/k_ramp))</f>
        <v>1.3283172364348</v>
      </c>
      <c r="H7624" s="14" t="n">
        <f aca="false">(k_B+((ls_A*k_long+(1-ls_A)*k_spot)-k_B)*MIN(1,(Sens!H7609-base_fy)/k_ramp))</f>
        <v>1.40640619155662</v>
      </c>
      <c r="I7624" s="14" t="n">
        <f aca="false">(k_B+((ls_A*k_long+(1-ls_A)*k_spot)-k_B)*MIN(1,(Sens!I7609-base_fy)/k_ramp))</f>
        <v>1.40640619155662</v>
      </c>
      <c r="J7624" s="14" t="n">
        <f aca="false">(k_B+((ls_A*k_long+(1-ls_A)*k_spot)-k_B)*MIN(1,(Sens!J7609-base_fy)/k_ramp))</f>
        <v>1.40640619155662</v>
      </c>
      <c r="K7624" s="14" t="n">
        <f aca="false">(k_B+((ls_A*k_long+(1-ls_A)*k_spot)-k_B)*MIN(1,(Sens!K7609-base_fy)/k_ramp))</f>
        <v>1.40640619155662</v>
      </c>
      <c r="L7624" s="1" t="s">
        <v>829</v>
      </c>
    </row>
    <row r="7625" customFormat="false" ht="17.15" hidden="false" customHeight="false" outlineLevel="0" collapsed="false">
      <c r="A7625" s="1" t="s">
        <v>830</v>
      </c>
      <c r="B7625" s="0" t="s">
        <v>346</v>
      </c>
      <c r="C7625" s="14" t="n">
        <f aca="false">Sens!C7623*Sens!C7624*chip_f</f>
        <v>11.3973387156315</v>
      </c>
      <c r="D7625" s="14" t="n">
        <f aca="false">Sens!D7623*Sens!D7624*chip_f</f>
        <v>11.3973387156315</v>
      </c>
      <c r="E7625" s="14" t="n">
        <f aca="false">Sens!E7623*Sens!E7624*chip_f</f>
        <v>11.3973387156315</v>
      </c>
      <c r="F7625" s="14" t="n">
        <f aca="false">Sens!F7623*Sens!F7624*chip_f</f>
        <v>13.0123225874029</v>
      </c>
      <c r="G7625" s="14" t="n">
        <f aca="false">Sens!G7623*Sens!G7624*chip_f</f>
        <v>14.3973822777458</v>
      </c>
      <c r="H7625" s="14" t="n">
        <f aca="false">Sens!H7623*Sens!H7624*chip_f</f>
        <v>15.6548505449659</v>
      </c>
      <c r="I7625" s="14" t="n">
        <f aca="false">Sens!I7623*Sens!I7624*chip_f</f>
        <v>15.9759702319207</v>
      </c>
      <c r="J7625" s="14" t="n">
        <f aca="false">Sens!J7623*Sens!J7624*chip_f</f>
        <v>16.2377777170545</v>
      </c>
      <c r="K7625" s="14" t="n">
        <f aca="false">Sens!K7623*Sens!K7624*chip_f</f>
        <v>16.6065894658985</v>
      </c>
      <c r="L7625" s="1" t="s">
        <v>831</v>
      </c>
    </row>
    <row r="7626" customFormat="false" ht="17.15" hidden="false" customHeight="false" outlineLevel="0" collapsed="false">
      <c r="A7626" s="0" t="s">
        <v>832</v>
      </c>
      <c r="B7626" s="0" t="s">
        <v>98</v>
      </c>
      <c r="D7626" s="6" t="n">
        <f aca="false">(Sens!C7611+Sens!D7611)/2*Sens!D7625/1000</f>
        <v>12.9359794422418</v>
      </c>
      <c r="E7626" s="6" t="n">
        <f aca="false">(Sens!D7611+Sens!E7611)/2*Sens!E7625/1000</f>
        <v>27.8095064661409</v>
      </c>
      <c r="F7626" s="6" t="n">
        <f aca="false">(Sens!E7611+Sens!F7611)/2*Sens!F7625/1000</f>
        <v>58.7324192305018</v>
      </c>
      <c r="G7626" s="6" t="n">
        <f aca="false">(Sens!F7611+Sens!G7611)/2*Sens!G7625/1000</f>
        <v>101.369089141153</v>
      </c>
      <c r="H7626" s="6" t="n">
        <f aca="false">(Sens!G7611+Sens!H7611)/2*Sens!H7625/1000</f>
        <v>149.785610014234</v>
      </c>
      <c r="I7626" s="6" t="n">
        <f aca="false">(Sens!H7611+Sens!I7611)/2*Sens!I7625/1000</f>
        <v>187.368703083263</v>
      </c>
      <c r="J7626" s="6" t="n">
        <f aca="false">(Sens!I7611+Sens!J7611)/2*Sens!J7625/1000</f>
        <v>213.886657444854</v>
      </c>
      <c r="K7626" s="6" t="n">
        <f aca="false">(Sens!J7611+Sens!K7611)/2*Sens!K7625/1000</f>
        <v>231.253475259589</v>
      </c>
      <c r="L7626" s="11" t="s">
        <v>833</v>
      </c>
    </row>
    <row r="7627" customFormat="false" ht="17.15" hidden="false" customHeight="false" outlineLevel="0" collapsed="false">
      <c r="A7627" s="1" t="s">
        <v>834</v>
      </c>
      <c r="B7627" s="0" t="s">
        <v>346</v>
      </c>
      <c r="C7627" s="14" t="n">
        <f aca="false">(Sens!C7619*tk_opex_h100+Sens!C7620*tk_opex_gb200+Sens!C7621*tk_opex_gb300+Sens!C7622*tk_opex_vr200)/Sens!C7611</f>
        <v>1.88636041306092</v>
      </c>
      <c r="D7627" s="14" t="n">
        <f aca="false">(Sens!D7619*tk_opex_h100+Sens!D7620*tk_opex_gb200+Sens!D7621*tk_opex_gb300+Sens!D7622*tk_opex_vr200)/Sens!D7611</f>
        <v>1.88636041306092</v>
      </c>
      <c r="E7627" s="14" t="n">
        <f aca="false">(Sens!E7619*tk_opex_h100+Sens!E7620*tk_opex_gb200+Sens!E7621*tk_opex_gb300+Sens!E7622*tk_opex_vr200)/Sens!E7611</f>
        <v>1.88636041306092</v>
      </c>
      <c r="F7627" s="14" t="n">
        <f aca="false">(Sens!F7619*tk_opex_h100+Sens!F7620*tk_opex_gb200+Sens!F7621*tk_opex_gb300+Sens!F7622*tk_opex_vr200)/Sens!F7611</f>
        <v>1.9430236476499</v>
      </c>
      <c r="G7627" s="14" t="n">
        <f aca="false">(Sens!G7619*tk_opex_h100+Sens!G7620*tk_opex_gb200+Sens!G7621*tk_opex_gb300+Sens!G7622*tk_opex_vr200)/Sens!G7611</f>
        <v>1.9786941852423</v>
      </c>
      <c r="H7627" s="14" t="n">
        <f aca="false">(Sens!H7619*tk_opex_h100+Sens!H7620*tk_opex_gb200+Sens!H7621*tk_opex_gb300+Sens!H7622*tk_opex_vr200)/Sens!H7611</f>
        <v>2.00289275976156</v>
      </c>
      <c r="I7627" s="14" t="n">
        <f aca="false">(Sens!I7619*tk_opex_h100+Sens!I7620*tk_opex_gb200+Sens!I7621*tk_opex_gb300+Sens!I7622*tk_opex_vr200)/Sens!I7611</f>
        <v>2.02179589661219</v>
      </c>
      <c r="J7627" s="14" t="n">
        <f aca="false">(Sens!J7619*tk_opex_h100+Sens!J7620*tk_opex_gb200+Sens!J7621*tk_opex_gb300+Sens!J7622*tk_opex_vr200)/Sens!J7611</f>
        <v>2.03720754193029</v>
      </c>
      <c r="K7627" s="14" t="n">
        <f aca="false">(Sens!K7619*tk_opex_h100+Sens!K7620*tk_opex_gb200+Sens!K7621*tk_opex_gb300+Sens!K7622*tk_opex_vr200)/Sens!K7611</f>
        <v>2.0589181353437</v>
      </c>
    </row>
    <row r="7628" customFormat="false" ht="17.15" hidden="false" customHeight="false" outlineLevel="0" collapsed="false">
      <c r="A7628" s="0" t="s">
        <v>835</v>
      </c>
      <c r="B7628" s="0" t="s">
        <v>98</v>
      </c>
      <c r="D7628" s="6" t="n">
        <f aca="false">(Sens!C7614+Sens!D7614)/2*Sens!D7627/1000</f>
        <v>2.70378325872065</v>
      </c>
      <c r="E7628" s="6" t="n">
        <f aca="false">(Sens!D7614+Sens!E7614)/2*Sens!E7627/1000</f>
        <v>6.17783035277451</v>
      </c>
      <c r="F7628" s="6" t="n">
        <f aca="false">(Sens!E7614+Sens!F7614)/2*Sens!F7627/1000</f>
        <v>12.5020618235287</v>
      </c>
      <c r="G7628" s="6" t="n">
        <f aca="false">(Sens!F7614+Sens!G7614)/2*Sens!G7627/1000</f>
        <v>20.7261620256847</v>
      </c>
      <c r="H7628" s="6" t="n">
        <f aca="false">(Sens!G7614+Sens!H7614)/2*Sens!H7627/1000</f>
        <v>29.4158183316982</v>
      </c>
      <c r="I7628" s="6" t="n">
        <f aca="false">(Sens!H7614+Sens!I7614)/2*Sens!I7627/1000</f>
        <v>36.9724400356344</v>
      </c>
      <c r="J7628" s="6" t="n">
        <f aca="false">(Sens!I7614+Sens!J7614)/2*Sens!J7627/1000</f>
        <v>42.1571687189816</v>
      </c>
      <c r="K7628" s="6" t="n">
        <f aca="false">(Sens!J7614+Sens!K7614)/2*Sens!K7627/1000</f>
        <v>45.1912095080704</v>
      </c>
    </row>
    <row r="7629" customFormat="false" ht="17.15" hidden="false" customHeight="false" outlineLevel="0" collapsed="false">
      <c r="A7629" s="0" t="s">
        <v>836</v>
      </c>
      <c r="B7629" s="0" t="s">
        <v>98</v>
      </c>
      <c r="D7629" s="6" t="n">
        <f aca="false">(Sens!C7612+Sens!D7612)/2*rent_mw/1000</f>
        <v>2.44475</v>
      </c>
      <c r="E7629" s="6" t="n">
        <f aca="false">(Sens!D7612+Sens!E7612)/2*rent_mw/1000</f>
        <v>4.22275</v>
      </c>
      <c r="F7629" s="6" t="n">
        <f aca="false">(Sens!E7612+Sens!F7612)/2*rent_mw/1000</f>
        <v>5.80517</v>
      </c>
      <c r="G7629" s="6" t="n">
        <f aca="false">(Sens!F7612+Sens!G7612)/2*rent_mw/1000</f>
        <v>6.72084</v>
      </c>
      <c r="H7629" s="6" t="n">
        <f aca="false">(Sens!G7612+Sens!H7612)/2*rent_mw/1000</f>
        <v>6.72084</v>
      </c>
      <c r="I7629" s="6" t="n">
        <f aca="false">(Sens!H7612+Sens!I7612)/2*rent_mw/1000</f>
        <v>6.72084</v>
      </c>
      <c r="J7629" s="6" t="n">
        <f aca="false">(Sens!I7612+Sens!J7612)/2*rent_mw/1000</f>
        <v>6.72084</v>
      </c>
      <c r="K7629" s="6" t="n">
        <f aca="false">(Sens!J7612+Sens!K7612)/2*rent_mw/1000</f>
        <v>6.72084</v>
      </c>
    </row>
    <row r="7630" customFormat="false" ht="17.15" hidden="false" customHeight="false" outlineLevel="0" collapsed="false">
      <c r="A7630" s="0" t="s">
        <v>837</v>
      </c>
      <c r="B7630" s="0" t="s">
        <v>98</v>
      </c>
      <c r="D7630" s="6" t="n">
        <f aca="false">(Sens!C7614+Sens!D7614)/2*(1-self_build)*fac_rent/1000</f>
        <v>0.853242375631075</v>
      </c>
      <c r="E7630" s="6" t="n">
        <f aca="false">(Sens!D7614+Sens!E7614)/2*(1-self_build)*fac_rent/1000</f>
        <v>1.94955961408728</v>
      </c>
      <c r="F7630" s="6" t="n">
        <f aca="false">(Sens!E7614+Sens!F7614)/2*(1-self_build)*fac_rent/1000</f>
        <v>3.83026455274573</v>
      </c>
      <c r="G7630" s="6" t="n">
        <f aca="false">(Sens!F7614+Sens!G7614)/2*(1-self_build)*fac_rent/1000</f>
        <v>6.23541590972812</v>
      </c>
      <c r="H7630" s="6" t="n">
        <f aca="false">(Sens!G7614+Sens!H7614)/2*(1-self_build)*fac_rent/1000</f>
        <v>8.74275792332679</v>
      </c>
      <c r="I7630" s="6" t="n">
        <f aca="false">(Sens!H7614+Sens!I7614)/2*(1-self_build)*fac_rent/1000</f>
        <v>10.8859420438599</v>
      </c>
      <c r="J7630" s="6" t="n">
        <f aca="false">(Sens!I7614+Sens!J7614)/2*(1-self_build)*fac_rent/1000</f>
        <v>12.3186006405366</v>
      </c>
      <c r="K7630" s="6" t="n">
        <f aca="false">(Sens!J7614+Sens!K7614)/2*(1-self_build)*fac_rent/1000</f>
        <v>13.0659232089824</v>
      </c>
      <c r="L7630" s="11" t="s">
        <v>838</v>
      </c>
    </row>
    <row r="7631" customFormat="false" ht="17.15" hidden="false" customHeight="false" outlineLevel="0" collapsed="false">
      <c r="A7631" s="1" t="s">
        <v>839</v>
      </c>
      <c r="B7631" s="0" t="s">
        <v>129</v>
      </c>
      <c r="D7631" s="7" t="n">
        <f aca="false">(Sens!C7613+Sens!D7613)/(Sens!C7614+Sens!D7614)</f>
        <v>0.6</v>
      </c>
      <c r="E7631" s="7" t="n">
        <f aca="false">(Sens!D7613+Sens!E7613)/(Sens!D7614+Sens!E7614)</f>
        <v>0.6</v>
      </c>
      <c r="F7631" s="7" t="n">
        <f aca="false">(Sens!E7613+Sens!F7613)/(Sens!E7614+Sens!F7614)</f>
        <v>0.6</v>
      </c>
      <c r="G7631" s="7" t="n">
        <f aca="false">(Sens!F7613+Sens!G7613)/(Sens!F7614+Sens!G7614)</f>
        <v>0.6</v>
      </c>
      <c r="H7631" s="7" t="n">
        <f aca="false">(Sens!G7613+Sens!H7613)/(Sens!G7614+Sens!H7614)</f>
        <v>0.6</v>
      </c>
      <c r="I7631" s="7" t="n">
        <f aca="false">(Sens!H7613+Sens!I7613)/(Sens!H7614+Sens!I7614)</f>
        <v>0.6</v>
      </c>
      <c r="J7631" s="7" t="n">
        <f aca="false">(Sens!I7613+Sens!J7613)/(Sens!I7614+Sens!J7614)</f>
        <v>0.6</v>
      </c>
      <c r="K7631" s="7" t="n">
        <f aca="false">(Sens!J7613+Sens!K7613)/(Sens!J7614+Sens!K7614)</f>
        <v>0.6</v>
      </c>
    </row>
    <row r="7632" customFormat="false" ht="17.15" hidden="false" customHeight="false" outlineLevel="0" collapsed="false">
      <c r="A7632" s="0" t="s">
        <v>840</v>
      </c>
      <c r="B7632" s="0" t="s">
        <v>98</v>
      </c>
      <c r="D7632" s="6" t="n">
        <f aca="false">Sens!D7626-Sens!D7631*(Sens!D7628+Sens!D7630)-Sens!D7629</f>
        <v>8.35701406163072</v>
      </c>
      <c r="E7632" s="6" t="n">
        <f aca="false">Sens!E7626-Sens!E7631*(Sens!E7628+Sens!E7630)-Sens!E7629</f>
        <v>18.7103224860238</v>
      </c>
      <c r="F7632" s="6" t="n">
        <f aca="false">Sens!F7626-Sens!F7631*(Sens!F7628+Sens!F7630)-Sens!F7629</f>
        <v>43.1278534047371</v>
      </c>
      <c r="G7632" s="6" t="n">
        <f aca="false">Sens!G7626-Sens!G7631*(Sens!G7628+Sens!G7630)-Sens!G7629</f>
        <v>78.4713023799053</v>
      </c>
      <c r="H7632" s="6" t="n">
        <f aca="false">Sens!H7626-Sens!H7631*(Sens!H7628+Sens!H7630)-Sens!H7629</f>
        <v>120.169624261219</v>
      </c>
      <c r="I7632" s="6" t="n">
        <f aca="false">Sens!I7626-Sens!I7631*(Sens!I7628+Sens!I7630)-Sens!I7629</f>
        <v>151.932833835566</v>
      </c>
      <c r="J7632" s="6" t="n">
        <f aca="false">Sens!J7626-Sens!J7631*(Sens!J7628+Sens!J7630)-Sens!J7629</f>
        <v>174.480355829143</v>
      </c>
      <c r="K7632" s="6" t="n">
        <f aca="false">Sens!K7626-Sens!K7631*(Sens!K7628+Sens!K7630)-Sens!K7629</f>
        <v>189.578355629358</v>
      </c>
    </row>
    <row r="7633" customFormat="false" ht="17.15" hidden="false" customHeight="false" outlineLevel="0" collapsed="false">
      <c r="A7633" s="1" t="s">
        <v>841</v>
      </c>
      <c r="B7633" s="0" t="s">
        <v>98</v>
      </c>
      <c r="D7633" s="6" t="n">
        <f aca="false">(1-Sens!D7631)*(Sens!D7628+Sens!D7630)</f>
        <v>1.42281025374069</v>
      </c>
      <c r="E7633" s="6" t="n">
        <f aca="false">(1-Sens!E7631)*(Sens!E7628+Sens!E7630)</f>
        <v>3.25095598674472</v>
      </c>
      <c r="F7633" s="6" t="n">
        <f aca="false">(1-Sens!F7631)*(Sens!F7628+Sens!F7630)</f>
        <v>6.53293055050977</v>
      </c>
      <c r="G7633" s="6" t="n">
        <f aca="false">(1-Sens!G7631)*(Sens!G7628+Sens!G7630)</f>
        <v>10.7846311741651</v>
      </c>
      <c r="H7633" s="6" t="n">
        <f aca="false">(1-Sens!H7631)*(Sens!H7628+Sens!H7630)</f>
        <v>15.26343050201</v>
      </c>
      <c r="I7633" s="6" t="n">
        <f aca="false">(1-Sens!I7631)*(Sens!I7628+Sens!I7630)</f>
        <v>19.1433528317977</v>
      </c>
      <c r="J7633" s="6" t="n">
        <f aca="false">(1-Sens!J7631)*(Sens!J7628+Sens!J7630)</f>
        <v>21.7903077438073</v>
      </c>
      <c r="K7633" s="6" t="n">
        <f aca="false">(1-Sens!K7631)*(Sens!K7628+Sens!K7630)</f>
        <v>23.3028530868211</v>
      </c>
    </row>
    <row r="7634" customFormat="false" ht="17.15" hidden="false" customHeight="false" outlineLevel="0" collapsed="false">
      <c r="A7634" s="1" t="s">
        <v>842</v>
      </c>
      <c r="B7634" s="0" t="s">
        <v>357</v>
      </c>
      <c r="C7634" s="8" t="n">
        <f aca="false">cxit_open</f>
        <v>27.5918995</v>
      </c>
      <c r="D7634" s="8" t="n">
        <f aca="false">cxit_open</f>
        <v>27.5918995</v>
      </c>
      <c r="E7634" s="8" t="n">
        <f aca="false">cxit_open</f>
        <v>27.5918995</v>
      </c>
      <c r="F7634" s="8" t="n">
        <f aca="false">(a_g3_27*tk_cxit_gb300+(1-a_g3_27)*tk_cxit_vr200)</f>
        <v>33.8419624</v>
      </c>
      <c r="G7634" s="8" t="n">
        <f aca="false">(a_g3_28*tk_cxit_gb300+(1-a_g3_28)*tk_cxit_vr200)</f>
        <v>35.9816136</v>
      </c>
      <c r="H7634" s="8" t="n">
        <f aca="false">(a_g3_29*tk_cxit_gb300+(1-a_g3_29)*tk_cxit_vr200)</f>
        <v>37.0514392</v>
      </c>
      <c r="I7634" s="8" t="n">
        <f aca="false">(a_g3_29*tk_cxit_gb300+(1-a_g3_29)*tk_cxit_vr200)</f>
        <v>37.0514392</v>
      </c>
      <c r="J7634" s="8" t="n">
        <f aca="false">(a_g3_29*tk_cxit_gb300+(1-a_g3_29)*tk_cxit_vr200)</f>
        <v>37.0514392</v>
      </c>
      <c r="K7634" s="8" t="n">
        <f aca="false">(a_g3_29*tk_cxit_gb300+(1-a_g3_29)*tk_cxit_vr200)</f>
        <v>37.0514392</v>
      </c>
      <c r="L7634" s="11" t="s">
        <v>843</v>
      </c>
    </row>
    <row r="7635" customFormat="false" ht="17.15" hidden="false" customHeight="false" outlineLevel="0" collapsed="false">
      <c r="A7635" s="0" t="s">
        <v>844</v>
      </c>
      <c r="B7635" s="0" t="s">
        <v>399</v>
      </c>
      <c r="F7635" s="29" t="n">
        <f aca="false">Sens!C7616*IF(Sens!F7609-Sens!C7609=life_it,1,0)+Sens!D7616*IF(Sens!F7609-Sens!D7609=life_it,1,0)+Sens!E7616*IF(Sens!F7609-Sens!E7609=life_it,1,0)</f>
        <v>0</v>
      </c>
      <c r="G7635" s="29" t="n">
        <f aca="false">Sens!C7616*IF(Sens!G7609-Sens!C7609=life_it,1,0)+Sens!D7616*IF(Sens!G7609-Sens!D7609=life_it,1,0)+Sens!E7616*IF(Sens!G7609-Sens!E7609=life_it,1,0)+Sens!F7616*IF(Sens!G7609-Sens!F7609=life_it,1,0)</f>
        <v>0</v>
      </c>
      <c r="H7635" s="29" t="n">
        <f aca="false">Sens!C7616*IF(Sens!H7609-Sens!C7609=life_it,1,0)+Sens!D7616*IF(Sens!H7609-Sens!D7609=life_it,1,0)+Sens!E7616*IF(Sens!H7609-Sens!E7609=life_it,1,0)+Sens!F7616*IF(Sens!H7609-Sens!F7609=life_it,1,0)+Sens!G7616*IF(Sens!H7609-Sens!G7609=life_it,1,0)</f>
        <v>0</v>
      </c>
      <c r="I7635" s="29" t="n">
        <f aca="false">Sens!C7616*IF(Sens!I7609-Sens!C7609=life_it,1,0)+Sens!D7616*IF(Sens!I7609-Sens!D7609=life_it,1,0)+Sens!E7616*IF(Sens!I7609-Sens!E7609=life_it,1,0)+Sens!F7616*IF(Sens!I7609-Sens!F7609=life_it,1,0)+Sens!G7616*IF(Sens!I7609-Sens!G7609=life_it,1,0)+Sens!H7616*IF(Sens!I7609-Sens!H7609=life_it,1,0)</f>
        <v>816.666666666667</v>
      </c>
      <c r="J7635" s="29" t="n">
        <f aca="false">Sens!C7616*IF(Sens!J7609-Sens!C7609=life_it,1,0)+Sens!D7616*IF(Sens!J7609-Sens!D7609=life_it,1,0)+Sens!E7616*IF(Sens!J7609-Sens!E7609=life_it,1,0)+Sens!F7616*IF(Sens!J7609-Sens!F7609=life_it,1,0)+Sens!G7616*IF(Sens!J7609-Sens!G7609=life_it,1,0)+Sens!H7616*IF(Sens!J7609-Sens!H7609=life_it,1,0)+Sens!I7616*IF(Sens!J7609-Sens!I7609=life_it,1,0)</f>
        <v>1233.33333333333</v>
      </c>
      <c r="K7635" s="29" t="n">
        <f aca="false">Sens!C7616*IF(Sens!K7609-Sens!C7609=life_it,1,0)+Sens!D7616*IF(Sens!K7609-Sens!D7609=life_it,1,0)+Sens!E7616*IF(Sens!K7609-Sens!E7609=life_it,1,0)+Sens!F7616*IF(Sens!K7609-Sens!F7609=life_it,1,0)+Sens!G7616*IF(Sens!K7609-Sens!G7609=life_it,1,0)+Sens!H7616*IF(Sens!K7609-Sens!H7609=life_it,1,0)+Sens!I7616*IF(Sens!K7609-Sens!I7609=life_it,1,0)+Sens!J7616*IF(Sens!K7609-Sens!J7609=life_it,1,0)</f>
        <v>2450</v>
      </c>
      <c r="L7635" s="1" t="s">
        <v>845</v>
      </c>
    </row>
    <row r="7636" customFormat="false" ht="17.15" hidden="false" customHeight="false" outlineLevel="0" collapsed="false">
      <c r="A7636" s="0" t="s">
        <v>846</v>
      </c>
      <c r="B7636" s="0" t="s">
        <v>98</v>
      </c>
      <c r="C7636" s="6" t="n">
        <f aca="false">Sens!C7616*Sens!C7634/1000</f>
        <v>22.5333845916667</v>
      </c>
      <c r="D7636" s="6" t="n">
        <f aca="false">Sens!D7616*Sens!D7634/1000</f>
        <v>34.0300093833333</v>
      </c>
      <c r="E7636" s="6" t="n">
        <f aca="false">Sens!E7616*Sens!E7634/1000</f>
        <v>67.600153775</v>
      </c>
      <c r="F7636" s="6" t="n">
        <f aca="false">(Sens!F7616+Sens!F7635)*Sens!F7634/1000</f>
        <v>130.923271871467</v>
      </c>
      <c r="G7636" s="6" t="n">
        <f aca="false">(Sens!G7616+Sens!G7635)*Sens!G7634/1000</f>
        <v>151.5545564832</v>
      </c>
      <c r="H7636" s="6" t="n">
        <f aca="false">(Sens!H7616+Sens!H7635)*Sens!H7634/1000</f>
        <v>156.0606619104</v>
      </c>
      <c r="I7636" s="6" t="n">
        <f aca="false">(Sens!I7616+Sens!I7635)*Sens!I7634/1000</f>
        <v>140.987889434245</v>
      </c>
      <c r="J7636" s="6" t="n">
        <f aca="false">(Sens!J7616+Sens!J7635)*Sens!J7634/1000</f>
        <v>113.309125559842</v>
      </c>
      <c r="K7636" s="6" t="n">
        <f aca="false">(Sens!K7616+Sens!K7635)*Sens!K7634/1000</f>
        <v>116.192591420959</v>
      </c>
    </row>
    <row r="7637" customFormat="false" ht="17.15" hidden="false" customHeight="false" outlineLevel="0" collapsed="false">
      <c r="A7637" s="0" t="s">
        <v>847</v>
      </c>
      <c r="B7637" s="0" t="s">
        <v>98</v>
      </c>
      <c r="C7637" s="6" t="n">
        <f aca="false">Sens!C7616*self_build*tk_cxfac/1000</f>
        <v>6.2083</v>
      </c>
      <c r="D7637" s="6" t="n">
        <f aca="false">Sens!D7616*self_build*tk_cxfac/1000</f>
        <v>9.3758</v>
      </c>
      <c r="E7637" s="6" t="n">
        <f aca="false">Sens!E7616*self_build*tk_cxfac/1000</f>
        <v>18.6249</v>
      </c>
      <c r="F7637" s="6" t="n">
        <f aca="false">Sens!F7616*self_build*tk_cxfac/1000</f>
        <v>29.409604</v>
      </c>
      <c r="G7637" s="6" t="n">
        <f aca="false">Sens!G7616*self_build*tk_cxfac/1000</f>
        <v>32.019624</v>
      </c>
      <c r="H7637" s="6" t="n">
        <f aca="false">Sens!H7616*self_build*tk_cxfac/1000</f>
        <v>32.019624</v>
      </c>
      <c r="I7637" s="6" t="n">
        <f aca="false">Sens!I7616*self_build*tk_cxfac/1000</f>
        <v>22.71877972</v>
      </c>
      <c r="J7637" s="6" t="n">
        <f aca="false">Sens!J7616*self_build*tk_cxfac/1000</f>
        <v>13.8723110344</v>
      </c>
      <c r="K7637" s="6" t="n">
        <f aca="false">Sens!K7616*self_build*tk_cxfac/1000</f>
        <v>5.214823882632</v>
      </c>
    </row>
    <row r="7638" customFormat="false" ht="17.15" hidden="false" customHeight="false" outlineLevel="0" collapsed="false">
      <c r="A7638" s="0" t="s">
        <v>848</v>
      </c>
      <c r="B7638" s="0" t="s">
        <v>98</v>
      </c>
      <c r="F7638" s="6" t="n">
        <f aca="false">MAX(0,capex_floor27-Sens!F7636-Sens!F7637-Sens!F7732)</f>
        <v>8.21190539250474</v>
      </c>
    </row>
    <row r="7639" customFormat="false" ht="17.15" hidden="false" customHeight="false" outlineLevel="0" collapsed="false">
      <c r="A7639" s="0" t="s">
        <v>849</v>
      </c>
      <c r="B7639" s="0" t="s">
        <v>98</v>
      </c>
      <c r="C7639" s="6" t="n">
        <f aca="false">Sens!C7636</f>
        <v>22.5333845916667</v>
      </c>
      <c r="D7639" s="6" t="n">
        <f aca="false">Sens!D7636</f>
        <v>34.0300093833333</v>
      </c>
      <c r="E7639" s="6" t="n">
        <f aca="false">Sens!E7636</f>
        <v>67.600153775</v>
      </c>
      <c r="F7639" s="6" t="n">
        <f aca="false">Sens!F7636</f>
        <v>130.923271871467</v>
      </c>
      <c r="G7639" s="6" t="n">
        <f aca="false">Sens!G7636</f>
        <v>151.5545564832</v>
      </c>
      <c r="H7639" s="6" t="n">
        <f aca="false">Sens!H7636</f>
        <v>156.0606619104</v>
      </c>
      <c r="I7639" s="6" t="n">
        <f aca="false">Sens!I7636</f>
        <v>140.987889434245</v>
      </c>
      <c r="J7639" s="6" t="n">
        <f aca="false">Sens!J7636</f>
        <v>113.309125559842</v>
      </c>
      <c r="K7639" s="6" t="n">
        <f aca="false">Sens!K7636</f>
        <v>116.192591420959</v>
      </c>
    </row>
    <row r="7640" customFormat="false" ht="17.15" hidden="false" customHeight="false" outlineLevel="0" collapsed="false">
      <c r="A7640" s="0" t="s">
        <v>850</v>
      </c>
      <c r="B7640" s="0" t="s">
        <v>98</v>
      </c>
      <c r="C7640" s="6" t="n">
        <f aca="false">Sens!C7639+Sens!C7637</f>
        <v>28.7416845916667</v>
      </c>
      <c r="D7640" s="6" t="n">
        <f aca="false">Sens!D7639+Sens!D7637</f>
        <v>43.4058093833333</v>
      </c>
      <c r="E7640" s="6" t="n">
        <f aca="false">Sens!E7639+Sens!E7637</f>
        <v>86.225053775</v>
      </c>
      <c r="F7640" s="6" t="n">
        <f aca="false">Sens!F7639+Sens!F7637</f>
        <v>160.332875871467</v>
      </c>
      <c r="G7640" s="6" t="n">
        <f aca="false">Sens!G7639+Sens!G7637</f>
        <v>183.5741804832</v>
      </c>
      <c r="H7640" s="6" t="n">
        <f aca="false">Sens!H7639+Sens!H7637</f>
        <v>188.0802859104</v>
      </c>
      <c r="I7640" s="6" t="n">
        <f aca="false">Sens!I7639+Sens!I7637</f>
        <v>163.706669154245</v>
      </c>
      <c r="J7640" s="6" t="n">
        <f aca="false">Sens!J7639+Sens!J7637</f>
        <v>127.181436594242</v>
      </c>
      <c r="K7640" s="6" t="n">
        <f aca="false">Sens!K7639+Sens!K7637</f>
        <v>121.407415303591</v>
      </c>
      <c r="L7640" s="11" t="s">
        <v>851</v>
      </c>
    </row>
    <row r="7641" customFormat="false" ht="17.15" hidden="false" customHeight="false" outlineLevel="0" collapsed="false">
      <c r="A7641" s="0" t="s">
        <v>852</v>
      </c>
      <c r="B7641" s="0" t="s">
        <v>98</v>
      </c>
      <c r="E7641" s="6" t="n">
        <f aca="false">(Sens!C7639*IF(2&lt;life_it,1,IF(2=life_it,0.5,0))+Sens!D7639*IF(1&lt;life_it,1,IF(1=life_it,0.5,0))+Sens!E7639*0.5)/life_it</f>
        <v>15.0605784770833</v>
      </c>
      <c r="F7641" s="6" t="n">
        <f aca="false">(Sens!C7639*IF(3&lt;life_it,1,IF(3=life_it,0.5,0))+Sens!D7639*IF(2&lt;life_it,1,IF(2=life_it,0.5,0))+Sens!E7639*IF(1&lt;life_it,1,IF(1=life_it,0.5,0))+Sens!F7639*0.5)/life_it</f>
        <v>31.6041972809556</v>
      </c>
      <c r="G7641" s="6" t="n">
        <f aca="false">(Sens!C7639*IF(4&lt;life_it,1,IF(4=life_it,0.5,0))+Sens!D7639*IF(3&lt;life_it,1,IF(3=life_it,0.5,0))+Sens!E7639*IF(2&lt;life_it,1,IF(2=life_it,0.5,0))+Sens!F7639*IF(1&lt;life_it,1,IF(1=life_it,0.5,0))+Sens!G7639*0.5)/life_it</f>
        <v>55.1440163105111</v>
      </c>
      <c r="H7641" s="6" t="n">
        <f aca="false">(Sens!C7639*IF(5&lt;life_it,1,IF(5=life_it,0.5,0))+Sens!D7639*IF(4&lt;life_it,1,IF(4=life_it,0.5,0))+Sens!E7639*IF(3&lt;life_it,1,IF(3=life_it,0.5,0))+Sens!F7639*IF(2&lt;life_it,1,IF(2=life_it,0.5,0))+Sens!G7639*IF(1&lt;life_it,1,IF(1=life_it,0.5,0))+Sens!H7639*0.5)/life_it</f>
        <v>80.7786178433111</v>
      </c>
      <c r="I7641" s="6" t="n">
        <f aca="false">(Sens!C7639*IF(6&lt;life_it,1,IF(6=life_it,0.5,0))+Sens!D7639*IF(5&lt;life_it,1,IF(5=life_it,0.5,0))+Sens!E7639*IF(4&lt;life_it,1,IF(4=life_it,0.5,0))+Sens!F7639*IF(3&lt;life_it,1,IF(3=life_it,0.5,0))+Sens!G7639*IF(2&lt;life_it,1,IF(2=life_it,0.5,0))+Sens!H7639*IF(1&lt;life_it,1,IF(1=life_it,0.5,0))+Sens!I7639*0.5)/life_it</f>
        <v>103.654881739393</v>
      </c>
      <c r="J7641" s="6" t="n">
        <f aca="false">(Sens!C7639*IF(7&lt;life_it,1,IF(7=life_it,0.5,0))+Sens!D7639*IF(6&lt;life_it,1,IF(6=life_it,0.5,0))+Sens!E7639*IF(5&lt;life_it,1,IF(5=life_it,0.5,0))+Sens!F7639*IF(4&lt;life_it,1,IF(4=life_it,0.5,0))+Sens!G7639*IF(3&lt;life_it,1,IF(3=life_it,0.5,0))+Sens!H7639*IF(2&lt;life_it,1,IF(2=life_it,0.5,0))+Sens!I7639*IF(1&lt;life_it,1,IF(1=life_it,0.5,0))+Sens!J7639*0.5)/life_it</f>
        <v>120.132683490983</v>
      </c>
      <c r="K7641" s="6" t="n">
        <f aca="false">(Sens!C7639*IF(8&lt;life_it,1,IF(8=life_it,0.5,0))+Sens!D7639*IF(7&lt;life_it,1,IF(7=life_it,0.5,0))+Sens!E7639*IF(6&lt;life_it,1,IF(6=life_it,0.5,0))+Sens!F7639*IF(5&lt;life_it,1,IF(5=life_it,0.5,0))+Sens!G7639*IF(4&lt;life_it,1,IF(4=life_it,0.5,0))+Sens!H7639*IF(3&lt;life_it,1,IF(3=life_it,0.5,0))+Sens!I7639*IF(2&lt;life_it,1,IF(2=life_it,0.5,0))+Sens!J7639*IF(1&lt;life_it,1,IF(1=life_it,0.5,0))+Sens!K7639*0.5)/life_it</f>
        <v>130.788646309522</v>
      </c>
    </row>
    <row r="7642" customFormat="false" ht="17.15" hidden="false" customHeight="false" outlineLevel="0" collapsed="false">
      <c r="A7642" s="0" t="s">
        <v>853</v>
      </c>
      <c r="B7642" s="0" t="s">
        <v>98</v>
      </c>
      <c r="E7642" s="6" t="n">
        <f aca="false">(Sens!C7637*IF(2&lt;life_fac,1,IF(2=life_fac,0.5,0))+Sens!D7637*IF(1&lt;life_fac,1,IF(1=life_fac,0.5,0))+Sens!E7637*0.5)/life_fac</f>
        <v>1.2448275</v>
      </c>
      <c r="F7642" s="6" t="n">
        <f aca="false">(Sens!C7637*IF(3&lt;life_fac,1,IF(3=life_fac,0.5,0))+Sens!D7637*IF(2&lt;life_fac,1,IF(2=life_fac,0.5,0))+Sens!E7637*IF(1&lt;life_fac,1,IF(1=life_fac,0.5,0))+Sens!F7637*0.5)/life_fac</f>
        <v>2.4456901</v>
      </c>
      <c r="G7642" s="6" t="n">
        <f aca="false">(Sens!C7637*IF(4&lt;life_fac,1,IF(4=life_fac,0.5,0))+Sens!D7637*IF(3&lt;life_fac,1,IF(3=life_fac,0.5,0))+Sens!E7637*IF(2&lt;life_fac,1,IF(2=life_fac,0.5,0))+Sens!F7637*IF(1&lt;life_fac,1,IF(1=life_fac,0.5,0))+Sens!G7637*0.5)/life_fac</f>
        <v>3.9814208</v>
      </c>
      <c r="H7642" s="6" t="n">
        <f aca="false">(Sens!C7637*IF(5&lt;life_fac,1,IF(5=life_fac,0.5,0))+Sens!D7637*IF(4&lt;life_fac,1,IF(4=life_fac,0.5,0))+Sens!E7637*IF(3&lt;life_fac,1,IF(3=life_fac,0.5,0))+Sens!F7637*IF(2&lt;life_fac,1,IF(2=life_fac,0.5,0))+Sens!G7637*IF(1&lt;life_fac,1,IF(1=life_fac,0.5,0))+Sens!H7637*0.5)/life_fac</f>
        <v>5.582402</v>
      </c>
      <c r="I7642" s="6" t="n">
        <f aca="false">(Sens!C7637*IF(6&lt;life_fac,1,IF(6=life_fac,0.5,0))+Sens!D7637*IF(5&lt;life_fac,1,IF(5=life_fac,0.5,0))+Sens!E7637*IF(4&lt;life_fac,1,IF(4=life_fac,0.5,0))+Sens!F7637*IF(3&lt;life_fac,1,IF(3=life_fac,0.5,0))+Sens!G7637*IF(2&lt;life_fac,1,IF(2=life_fac,0.5,0))+Sens!H7637*IF(1&lt;life_fac,1,IF(1=life_fac,0.5,0))+Sens!I7637*0.5)/life_fac</f>
        <v>6.950862093</v>
      </c>
      <c r="J7642" s="6" t="n">
        <f aca="false">(Sens!C7637*IF(7&lt;life_fac,1,IF(7=life_fac,0.5,0))+Sens!D7637*IF(6&lt;life_fac,1,IF(6=life_fac,0.5,0))+Sens!E7637*IF(5&lt;life_fac,1,IF(5=life_fac,0.5,0))+Sens!F7637*IF(4&lt;life_fac,1,IF(4=life_fac,0.5,0))+Sens!G7637*IF(3&lt;life_fac,1,IF(3=life_fac,0.5,0))+Sens!H7637*IF(2&lt;life_fac,1,IF(2=life_fac,0.5,0))+Sens!I7637*IF(1&lt;life_fac,1,IF(1=life_fac,0.5,0))+Sens!J7637*0.5)/life_fac</f>
        <v>7.86563936186</v>
      </c>
      <c r="K7642" s="6" t="n">
        <f aca="false">(Sens!C7637*IF(8&lt;life_fac,1,IF(8=life_fac,0.5,0))+Sens!D7637*IF(7&lt;life_fac,1,IF(7=life_fac,0.5,0))+Sens!E7637*IF(6&lt;life_fac,1,IF(6=life_fac,0.5,0))+Sens!F7637*IF(5&lt;life_fac,1,IF(5=life_fac,0.5,0))+Sens!G7637*IF(4&lt;life_fac,1,IF(4=life_fac,0.5,0))+Sens!H7637*IF(3&lt;life_fac,1,IF(3=life_fac,0.5,0))+Sens!I7637*IF(2&lt;life_fac,1,IF(2=life_fac,0.5,0))+Sens!J7637*IF(1&lt;life_fac,1,IF(1=life_fac,0.5,0))+Sens!K7637*0.5)/life_fac</f>
        <v>8.3428177347858</v>
      </c>
    </row>
    <row r="7643" customFormat="false" ht="17.15" hidden="false" customHeight="false" outlineLevel="0" collapsed="false">
      <c r="A7643" s="0" t="s">
        <v>854</v>
      </c>
      <c r="B7643" s="0" t="s">
        <v>98</v>
      </c>
      <c r="E7643" s="6" t="n">
        <f aca="false">Sens!E7641+Sens!E7642</f>
        <v>16.3054059770833</v>
      </c>
      <c r="F7643" s="6" t="n">
        <f aca="false">Sens!F7641+Sens!F7642</f>
        <v>34.0498873809555</v>
      </c>
      <c r="G7643" s="6" t="n">
        <f aca="false">Sens!G7641+Sens!G7642</f>
        <v>59.1254371105111</v>
      </c>
      <c r="H7643" s="6" t="n">
        <f aca="false">Sens!H7641+Sens!H7642</f>
        <v>86.3610198433111</v>
      </c>
      <c r="I7643" s="6" t="n">
        <f aca="false">Sens!I7641+Sens!I7642</f>
        <v>110.605743832393</v>
      </c>
      <c r="J7643" s="6" t="n">
        <f aca="false">Sens!J7641+Sens!J7642</f>
        <v>127.998322852843</v>
      </c>
      <c r="K7643" s="6" t="n">
        <f aca="false">Sens!K7641+Sens!K7642</f>
        <v>139.131464044308</v>
      </c>
    </row>
    <row r="7644" customFormat="false" ht="17.15" hidden="false" customHeight="false" outlineLevel="0" collapsed="false">
      <c r="A7644" s="0" t="s">
        <v>855</v>
      </c>
      <c r="B7644" s="0" t="s">
        <v>98</v>
      </c>
      <c r="E7644" s="6" t="n">
        <f aca="false">Sens!E7632-Sens!E7631*Sens!E7643</f>
        <v>8.92707889977379</v>
      </c>
      <c r="F7644" s="6" t="n">
        <f aca="false">Sens!F7632-Sens!F7631*Sens!F7643</f>
        <v>22.6979209761638</v>
      </c>
      <c r="G7644" s="6" t="n">
        <f aca="false">Sens!G7632-Sens!G7631*Sens!G7643</f>
        <v>42.9960401135986</v>
      </c>
      <c r="H7644" s="6" t="n">
        <f aca="false">Sens!H7632-Sens!H7631*Sens!H7643</f>
        <v>68.3530123552322</v>
      </c>
      <c r="I7644" s="6" t="n">
        <f aca="false">Sens!I7632-Sens!I7631*Sens!I7643</f>
        <v>85.5693875361303</v>
      </c>
      <c r="J7644" s="6" t="n">
        <f aca="false">Sens!J7632-Sens!J7631*Sens!J7643</f>
        <v>97.6813621174372</v>
      </c>
      <c r="K7644" s="6" t="n">
        <f aca="false">Sens!K7632-Sens!K7631*Sens!K7643</f>
        <v>106.099477202773</v>
      </c>
    </row>
    <row r="7645" customFormat="false" ht="17.15" hidden="false" customHeight="false" outlineLevel="0" collapsed="false">
      <c r="A7645" s="3" t="s">
        <v>1458</v>
      </c>
    </row>
    <row r="7646" customFormat="false" ht="15" hidden="false" customHeight="false" outlineLevel="0" collapsed="false">
      <c r="A7646" s="4" t="s">
        <v>43</v>
      </c>
      <c r="B7646" s="4" t="s">
        <v>65</v>
      </c>
      <c r="C7646" s="20" t="s">
        <v>799</v>
      </c>
      <c r="D7646" s="20" t="s">
        <v>800</v>
      </c>
      <c r="E7646" s="20" t="s">
        <v>801</v>
      </c>
      <c r="F7646" s="20" t="s">
        <v>802</v>
      </c>
      <c r="G7646" s="20" t="s">
        <v>803</v>
      </c>
      <c r="H7646" s="20" t="s">
        <v>804</v>
      </c>
      <c r="I7646" s="20" t="s">
        <v>805</v>
      </c>
      <c r="J7646" s="20" t="s">
        <v>806</v>
      </c>
      <c r="K7646" s="20" t="s">
        <v>807</v>
      </c>
      <c r="L7646" s="4" t="s">
        <v>47</v>
      </c>
    </row>
    <row r="7647" customFormat="false" ht="17.15" hidden="false" customHeight="false" outlineLevel="0" collapsed="false">
      <c r="A7647" s="0" t="s">
        <v>874</v>
      </c>
      <c r="B7647" s="0" t="s">
        <v>98</v>
      </c>
      <c r="D7647" s="6" t="n">
        <f aca="false">Sens!D7626</f>
        <v>12.9359794422418</v>
      </c>
      <c r="E7647" s="6" t="n">
        <f aca="false">Sens!E7626</f>
        <v>27.8095064661409</v>
      </c>
      <c r="F7647" s="6" t="n">
        <f aca="false">Sens!F7626</f>
        <v>58.7324192305018</v>
      </c>
      <c r="G7647" s="6" t="n">
        <f aca="false">Sens!G7626</f>
        <v>101.369089141153</v>
      </c>
      <c r="H7647" s="6" t="n">
        <f aca="false">Sens!H7626</f>
        <v>149.785610014234</v>
      </c>
      <c r="I7647" s="6" t="n">
        <f aca="false">Sens!I7626</f>
        <v>187.368703083263</v>
      </c>
      <c r="J7647" s="6" t="n">
        <f aca="false">Sens!J7626</f>
        <v>213.886657444854</v>
      </c>
      <c r="K7647" s="6" t="n">
        <f aca="false">Sens!K7626</f>
        <v>231.253475259589</v>
      </c>
    </row>
    <row r="7648" customFormat="false" ht="17.15" hidden="false" customHeight="false" outlineLevel="0" collapsed="false">
      <c r="A7648" s="0" t="s">
        <v>875</v>
      </c>
      <c r="B7648" s="0" t="s">
        <v>98</v>
      </c>
      <c r="D7648" s="6" t="n">
        <f aca="false">Q!L6-Sens!D7647</f>
        <v>59.6740205577583</v>
      </c>
      <c r="E7648" s="6" t="n">
        <f aca="false">Q!M6-Sens!E7647</f>
        <v>74.1284935338591</v>
      </c>
      <c r="F7648" s="6" t="n">
        <f aca="false">Sens!E7648*(1+Sens!F7649)</f>
        <v>89.709307269697</v>
      </c>
      <c r="G7648" s="6" t="n">
        <f aca="false">Sens!F7648*(1+Sens!G7649)</f>
        <v>105.690953558647</v>
      </c>
      <c r="H7648" s="6" t="n">
        <f aca="false">Sens!G7648*(1+Sens!H7649)</f>
        <v>121.133663984194</v>
      </c>
      <c r="I7648" s="6" t="n">
        <f aca="false">Sens!H7648*(1+Sens!I7649)</f>
        <v>134.951941602699</v>
      </c>
      <c r="J7648" s="6" t="n">
        <f aca="false">Sens!I7648*(1+Sens!J7649)</f>
        <v>146.023036389274</v>
      </c>
      <c r="K7648" s="6" t="n">
        <f aca="false">Sens!J7648*(1+Sens!K7649)</f>
        <v>153.324188208738</v>
      </c>
    </row>
    <row r="7649" customFormat="false" ht="15" hidden="false" customHeight="false" outlineLevel="0" collapsed="false">
      <c r="A7649" s="1" t="s">
        <v>876</v>
      </c>
      <c r="B7649" s="0" t="s">
        <v>129</v>
      </c>
      <c r="E7649" s="7" t="n">
        <f aca="false">Sens!E7648/Sens!D7648-1</f>
        <v>0.242223883039864</v>
      </c>
      <c r="F7649" s="7" t="n">
        <f aca="false">Sens!$E$7649+(glt_azo_lo-Sens!$E$7649)*MIN(1,(Sens!F7609-base_fy)/n_conv)</f>
        <v>0.210186569199887</v>
      </c>
      <c r="G7649" s="7" t="n">
        <f aca="false">Sens!$E$7649+(glt_azo_lo-Sens!$E$7649)*MIN(1,(Sens!G7609-base_fy)/n_conv)</f>
        <v>0.17814925535991</v>
      </c>
      <c r="H7649" s="7" t="n">
        <f aca="false">Sens!$E$7649+(glt_azo_lo-Sens!$E$7649)*MIN(1,(Sens!H7609-base_fy)/n_conv)</f>
        <v>0.146111941519932</v>
      </c>
      <c r="I7649" s="7" t="n">
        <f aca="false">Sens!$E$7649+(glt_azo_lo-Sens!$E$7649)*MIN(1,(Sens!I7609-base_fy)/n_conv)</f>
        <v>0.114074627679955</v>
      </c>
      <c r="J7649" s="7" t="n">
        <f aca="false">Sens!$E$7649+(glt_azo_lo-Sens!$E$7649)*MIN(1,(Sens!J7609-base_fy)/n_conv)</f>
        <v>0.0820373138399774</v>
      </c>
      <c r="K7649" s="7" t="n">
        <f aca="false">Sens!$E$7649+(glt_azo_lo-Sens!$E$7649)*MIN(1,(Sens!K7609-base_fy)/n_conv)</f>
        <v>0.05</v>
      </c>
    </row>
    <row r="7650" customFormat="false" ht="15" hidden="false" customHeight="false" outlineLevel="0" collapsed="false">
      <c r="A7650" s="0" t="s">
        <v>877</v>
      </c>
      <c r="B7650" s="0" t="s">
        <v>98</v>
      </c>
      <c r="D7650" s="6" t="n">
        <f aca="false">Sens!D7647+Sens!D7648</f>
        <v>72.61</v>
      </c>
      <c r="E7650" s="6" t="n">
        <f aca="false">Sens!E7647+Sens!E7648</f>
        <v>101.938</v>
      </c>
      <c r="F7650" s="6" t="n">
        <f aca="false">Sens!F7647+Sens!F7648</f>
        <v>148.441726500199</v>
      </c>
      <c r="G7650" s="6" t="n">
        <f aca="false">Sens!G7647+Sens!G7648</f>
        <v>207.0600426998</v>
      </c>
      <c r="H7650" s="6" t="n">
        <f aca="false">Sens!H7647+Sens!H7648</f>
        <v>270.919273998428</v>
      </c>
      <c r="I7650" s="6" t="n">
        <f aca="false">Sens!I7647+Sens!I7648</f>
        <v>322.320644685962</v>
      </c>
      <c r="J7650" s="6" t="n">
        <f aca="false">Sens!J7647+Sens!J7648</f>
        <v>359.909693834128</v>
      </c>
      <c r="K7650" s="6" t="n">
        <f aca="false">Sens!K7647+Sens!K7648</f>
        <v>384.577663468327</v>
      </c>
    </row>
    <row r="7651" customFormat="false" ht="17.15" hidden="false" customHeight="false" outlineLevel="0" collapsed="false">
      <c r="A7651" s="0" t="s">
        <v>878</v>
      </c>
      <c r="B7651" s="1" t="s">
        <v>528</v>
      </c>
      <c r="C7651" s="29" t="n">
        <f aca="false">cop_s24</f>
        <v>1</v>
      </c>
      <c r="D7651" s="29" t="n">
        <f aca="false">cop_s25</f>
        <v>5</v>
      </c>
      <c r="E7651" s="29" t="n">
        <f aca="false">cop_s26</f>
        <v>30</v>
      </c>
      <c r="F7651" s="29" t="n">
        <f aca="false">Sens!E7651+cop_add_A</f>
        <v>60</v>
      </c>
      <c r="G7651" s="29" t="n">
        <f aca="false">Sens!F7651+cop_add_A</f>
        <v>90</v>
      </c>
      <c r="H7651" s="29" t="n">
        <f aca="false">Sens!G7651+cop_add_A</f>
        <v>120</v>
      </c>
      <c r="I7651" s="29" t="n">
        <f aca="false">Sens!H7651+cop_add_A*cop_tail</f>
        <v>135</v>
      </c>
      <c r="J7651" s="29" t="n">
        <f aca="false">Sens!I7651+cop_add_A*cop_tail</f>
        <v>150</v>
      </c>
      <c r="K7651" s="29" t="n">
        <f aca="false">Sens!J7651+cop_add_A*cop_tail</f>
        <v>165</v>
      </c>
      <c r="L7651" s="11" t="s">
        <v>879</v>
      </c>
    </row>
    <row r="7652" customFormat="false" ht="17.15" hidden="false" customHeight="false" outlineLevel="0" collapsed="false">
      <c r="A7652" s="0" t="s">
        <v>880</v>
      </c>
      <c r="B7652" s="0" t="s">
        <v>98</v>
      </c>
      <c r="D7652" s="6" t="n">
        <f aca="false">(Sens!C7651+Sens!D7651)/2*cop_px*12/1000</f>
        <v>0.9</v>
      </c>
      <c r="E7652" s="6" t="n">
        <f aca="false">(Sens!D7651+Sens!E7651)/2*cop_px*12/1000</f>
        <v>5.25</v>
      </c>
      <c r="F7652" s="6" t="n">
        <f aca="false">(Sens!E7651+Sens!F7651)/2*cop_px*12/1000</f>
        <v>13.5</v>
      </c>
      <c r="G7652" s="6" t="n">
        <f aca="false">(Sens!F7651+Sens!G7651)/2*cop_px*12/1000</f>
        <v>22.5</v>
      </c>
      <c r="H7652" s="6" t="n">
        <f aca="false">(Sens!G7651+Sens!H7651)/2*cop_px*12/1000</f>
        <v>31.5</v>
      </c>
      <c r="I7652" s="6" t="n">
        <f aca="false">(Sens!H7651+Sens!I7651)/2*cop_px*12/1000</f>
        <v>38.25</v>
      </c>
      <c r="J7652" s="6" t="n">
        <f aca="false">(Sens!I7651+Sens!J7651)/2*cop_px*12/1000</f>
        <v>42.75</v>
      </c>
      <c r="K7652" s="6" t="n">
        <f aca="false">(Sens!J7651+Sens!K7651)/2*cop_px*12/1000</f>
        <v>47.25</v>
      </c>
      <c r="L7652" s="1" t="s">
        <v>881</v>
      </c>
    </row>
    <row r="7653" customFormat="false" ht="17.15" hidden="false" customHeight="false" outlineLevel="0" collapsed="false">
      <c r="A7653" s="0" t="s">
        <v>882</v>
      </c>
      <c r="B7653" s="0" t="s">
        <v>98</v>
      </c>
      <c r="D7653" s="6" t="n">
        <f aca="false">Q!L7-Sens!D7652</f>
        <v>83.705</v>
      </c>
      <c r="E7653" s="6" t="n">
        <f aca="false">Q!M7-Sens!E7652</f>
        <v>95.049</v>
      </c>
      <c r="F7653" s="6" t="n">
        <f aca="false">Sens!E7653*(1+Sens!F7654)</f>
        <v>106.89238776686</v>
      </c>
      <c r="G7653" s="6" t="n">
        <f aca="false">Sens!F7653*(1+Sens!G7654)</f>
        <v>119.044168448684</v>
      </c>
      <c r="H7653" s="6" t="n">
        <f aca="false">Sens!G7653*(1+Sens!H7654)</f>
        <v>131.277359388781</v>
      </c>
      <c r="I7653" s="6" t="n">
        <f aca="false">Sens!H7653*(1+Sens!I7654)</f>
        <v>143.334028071957</v>
      </c>
      <c r="J7653" s="6" t="n">
        <f aca="false">Sens!I7653*(1+Sens!J7654)</f>
        <v>154.932702785465</v>
      </c>
      <c r="K7653" s="6" t="n">
        <f aca="false">Sens!J7653*(1+Sens!K7654)</f>
        <v>165.777991980448</v>
      </c>
    </row>
    <row r="7654" customFormat="false" ht="15" hidden="false" customHeight="false" outlineLevel="0" collapsed="false">
      <c r="A7654" s="1" t="s">
        <v>876</v>
      </c>
      <c r="B7654" s="0" t="s">
        <v>129</v>
      </c>
      <c r="E7654" s="7" t="n">
        <f aca="false">Sens!E7653/Sens!D7653-1</f>
        <v>0.135523564900544</v>
      </c>
      <c r="F7654" s="7" t="n">
        <f aca="false">Sens!$E$7654+(glt_m365b-Sens!$E$7654)*MIN(1,(Sens!F7609-base_fy)/n_conv)</f>
        <v>0.124602970750453</v>
      </c>
      <c r="G7654" s="7" t="n">
        <f aca="false">Sens!$E$7654+(glt_m365b-Sens!$E$7654)*MIN(1,(Sens!G7609-base_fy)/n_conv)</f>
        <v>0.113682376600363</v>
      </c>
      <c r="H7654" s="7" t="n">
        <f aca="false">Sens!$E$7654+(glt_m365b-Sens!$E$7654)*MIN(1,(Sens!H7609-base_fy)/n_conv)</f>
        <v>0.102761782450272</v>
      </c>
      <c r="I7654" s="7" t="n">
        <f aca="false">Sens!$E$7654+(glt_m365b-Sens!$E$7654)*MIN(1,(Sens!I7609-base_fy)/n_conv)</f>
        <v>0.0918411883001813</v>
      </c>
      <c r="J7654" s="7" t="n">
        <f aca="false">Sens!$E$7654+(glt_m365b-Sens!$E$7654)*MIN(1,(Sens!J7609-base_fy)/n_conv)</f>
        <v>0.0809205941500906</v>
      </c>
      <c r="K7654" s="7" t="n">
        <f aca="false">Sens!$E$7654+(glt_m365b-Sens!$E$7654)*MIN(1,(Sens!K7609-base_fy)/n_conv)</f>
        <v>0.07</v>
      </c>
    </row>
    <row r="7655" customFormat="false" ht="15" hidden="false" customHeight="false" outlineLevel="0" collapsed="false">
      <c r="A7655" s="0" t="s">
        <v>883</v>
      </c>
      <c r="B7655" s="0" t="s">
        <v>98</v>
      </c>
      <c r="D7655" s="6" t="n">
        <f aca="false">Sens!D7653+Sens!D7652</f>
        <v>84.605</v>
      </c>
      <c r="E7655" s="6" t="n">
        <f aca="false">Sens!E7653+Sens!E7652</f>
        <v>100.299</v>
      </c>
      <c r="F7655" s="6" t="n">
        <f aca="false">Sens!F7653+Sens!F7652</f>
        <v>120.39238776686</v>
      </c>
      <c r="G7655" s="6" t="n">
        <f aca="false">Sens!G7653+Sens!G7652</f>
        <v>141.544168448684</v>
      </c>
      <c r="H7655" s="6" t="n">
        <f aca="false">Sens!H7653+Sens!H7652</f>
        <v>162.777359388781</v>
      </c>
      <c r="I7655" s="6" t="n">
        <f aca="false">Sens!I7653+Sens!I7652</f>
        <v>181.584028071957</v>
      </c>
      <c r="J7655" s="6" t="n">
        <f aca="false">Sens!J7653+Sens!J7652</f>
        <v>197.682702785465</v>
      </c>
      <c r="K7655" s="6" t="n">
        <f aca="false">Sens!K7653+Sens!K7652</f>
        <v>213.027991980448</v>
      </c>
    </row>
    <row r="7656" customFormat="false" ht="15" hidden="false" customHeight="false" outlineLevel="0" collapsed="false">
      <c r="A7656" s="0" t="s">
        <v>884</v>
      </c>
      <c r="B7656" s="0" t="s">
        <v>98</v>
      </c>
      <c r="D7656" s="6" t="n">
        <f aca="false">Q!L8</f>
        <v>35.391</v>
      </c>
      <c r="E7656" s="6" t="n">
        <f aca="false">Q!M8</f>
        <v>37.285</v>
      </c>
      <c r="F7656" s="6" t="n">
        <f aca="false">Sens!E7656*(1+Sens!F7657)</f>
        <v>39.0720834331704</v>
      </c>
      <c r="G7656" s="6" t="n">
        <f aca="false">Sens!F7656*(1+Sens!G7657)</f>
        <v>40.726562953769</v>
      </c>
      <c r="H7656" s="6" t="n">
        <f aca="false">Sens!G7656*(1+Sens!H7657)</f>
        <v>42.2235987259198</v>
      </c>
      <c r="I7656" s="6" t="n">
        <f aca="false">Sens!H7656*(1+Sens!I7657)</f>
        <v>43.5397988077414</v>
      </c>
      <c r="J7656" s="6" t="n">
        <f aca="false">Sens!I7656*(1+Sens!J7657)</f>
        <v>44.653811225693</v>
      </c>
      <c r="K7656" s="6" t="n">
        <f aca="false">Sens!J7656*(1+Sens!K7657)</f>
        <v>45.5468874502068</v>
      </c>
    </row>
    <row r="7657" customFormat="false" ht="15" hidden="false" customHeight="false" outlineLevel="0" collapsed="false">
      <c r="A7657" s="1" t="s">
        <v>876</v>
      </c>
      <c r="B7657" s="0" t="s">
        <v>129</v>
      </c>
      <c r="E7657" s="7" t="n">
        <f aca="false">Sens!E7656/Sens!D7656-1</f>
        <v>0.0535164307309768</v>
      </c>
      <c r="F7657" s="7" t="n">
        <f aca="false">Sens!$E$7657+(glt_lic-Sens!$E$7657)*MIN(1,(Sens!F7609-base_fy)/n_conv)</f>
        <v>0.0479303589424807</v>
      </c>
      <c r="G7657" s="7" t="n">
        <f aca="false">Sens!$E$7657+(glt_lic-Sens!$E$7657)*MIN(1,(Sens!G7609-base_fy)/n_conv)</f>
        <v>0.0423442871539845</v>
      </c>
      <c r="H7657" s="7" t="n">
        <f aca="false">Sens!$E$7657+(glt_lic-Sens!$E$7657)*MIN(1,(Sens!H7609-base_fy)/n_conv)</f>
        <v>0.0367582153654884</v>
      </c>
      <c r="I7657" s="7" t="n">
        <f aca="false">Sens!$E$7657+(glt_lic-Sens!$E$7657)*MIN(1,(Sens!I7609-base_fy)/n_conv)</f>
        <v>0.0311721435769923</v>
      </c>
      <c r="J7657" s="7" t="n">
        <f aca="false">Sens!$E$7657+(glt_lic-Sens!$E$7657)*MIN(1,(Sens!J7609-base_fy)/n_conv)</f>
        <v>0.0255860717884961</v>
      </c>
      <c r="K7657" s="7" t="n">
        <f aca="false">Sens!$E$7657+(glt_lic-Sens!$E$7657)*MIN(1,(Sens!K7609-base_fy)/n_conv)</f>
        <v>0.02</v>
      </c>
    </row>
    <row r="7658" customFormat="false" ht="15" hidden="false" customHeight="false" outlineLevel="0" collapsed="false">
      <c r="A7658" s="0" t="s">
        <v>885</v>
      </c>
      <c r="B7658" s="0" t="s">
        <v>98</v>
      </c>
      <c r="D7658" s="6" t="n">
        <f aca="false">Q!L9</f>
        <v>18.417</v>
      </c>
      <c r="E7658" s="6" t="n">
        <f aca="false">Q!M9</f>
        <v>20.345</v>
      </c>
      <c r="F7658" s="6" t="n">
        <f aca="false">Sens!E7658*(1+Sens!F7659)</f>
        <v>22.3572203267814</v>
      </c>
      <c r="G7658" s="6" t="n">
        <f aca="false">Sens!F7658*(1+Sens!G7659)</f>
        <v>24.4392124437232</v>
      </c>
      <c r="H7658" s="6" t="n">
        <f aca="false">Sens!G7658*(1+Sens!H7659)</f>
        <v>26.5738052080665</v>
      </c>
      <c r="I7658" s="6" t="n">
        <f aca="false">Sens!H7658*(1+Sens!I7659)</f>
        <v>28.7412169166967</v>
      </c>
      <c r="J7658" s="6" t="n">
        <f aca="false">Sens!I7658*(1+Sens!J7659)</f>
        <v>30.9192545395413</v>
      </c>
      <c r="K7658" s="6" t="n">
        <f aca="false">Sens!J7658*(1+Sens!K7659)</f>
        <v>33.0836023573092</v>
      </c>
    </row>
    <row r="7659" customFormat="false" ht="15" hidden="false" customHeight="false" outlineLevel="0" collapsed="false">
      <c r="A7659" s="1" t="s">
        <v>876</v>
      </c>
      <c r="B7659" s="0" t="s">
        <v>129</v>
      </c>
      <c r="E7659" s="7" t="n">
        <f aca="false">Sens!E7658/Sens!D7658-1</f>
        <v>0.104685888038225</v>
      </c>
      <c r="F7659" s="7" t="n">
        <f aca="false">Sens!$E$7659+(glt_ind-Sens!$E$7659)*MIN(1,(Sens!F7609-base_fy)/n_conv)</f>
        <v>0.0989049066985211</v>
      </c>
      <c r="G7659" s="7" t="n">
        <f aca="false">Sens!$E$7659+(glt_ind-Sens!$E$7659)*MIN(1,(Sens!G7609-base_fy)/n_conv)</f>
        <v>0.0931239253588169</v>
      </c>
      <c r="H7659" s="7" t="n">
        <f aca="false">Sens!$E$7659+(glt_ind-Sens!$E$7659)*MIN(1,(Sens!H7609-base_fy)/n_conv)</f>
        <v>0.0873429440191127</v>
      </c>
      <c r="I7659" s="7" t="n">
        <f aca="false">Sens!$E$7659+(glt_ind-Sens!$E$7659)*MIN(1,(Sens!I7609-base_fy)/n_conv)</f>
        <v>0.0815619626794085</v>
      </c>
      <c r="J7659" s="7" t="n">
        <f aca="false">Sens!$E$7659+(glt_ind-Sens!$E$7659)*MIN(1,(Sens!J7609-base_fy)/n_conv)</f>
        <v>0.0757809813397042</v>
      </c>
      <c r="K7659" s="7" t="n">
        <f aca="false">Sens!$E$7659+(glt_ind-Sens!$E$7659)*MIN(1,(Sens!K7609-base_fy)/n_conv)</f>
        <v>0.07</v>
      </c>
    </row>
    <row r="7660" customFormat="false" ht="15" hidden="false" customHeight="false" outlineLevel="0" collapsed="false">
      <c r="A7660" s="0" t="s">
        <v>886</v>
      </c>
      <c r="B7660" s="0" t="s">
        <v>98</v>
      </c>
      <c r="D7660" s="6" t="n">
        <f aca="false">Q!L10</f>
        <v>7.76</v>
      </c>
      <c r="E7660" s="6" t="n">
        <f aca="false">Q!M10</f>
        <v>8.26</v>
      </c>
      <c r="F7660" s="6" t="n">
        <f aca="false">Sens!E7660*(1+Sens!F7661)</f>
        <v>8.79988041237113</v>
      </c>
      <c r="G7660" s="6" t="n">
        <f aca="false">Sens!F7660*(1+Sens!G7661)</f>
        <v>9.38321269125306</v>
      </c>
      <c r="H7660" s="6" t="n">
        <f aca="false">Sens!G7660*(1+Sens!H7661)</f>
        <v>10.0139193587476</v>
      </c>
      <c r="I7660" s="6" t="n">
        <f aca="false">Sens!H7660*(1+Sens!I7661)</f>
        <v>10.6963111830911</v>
      </c>
      <c r="J7660" s="6" t="n">
        <f aca="false">Sens!I7660*(1+Sens!J7661)</f>
        <v>11.4351285534696</v>
      </c>
      <c r="K7660" s="6" t="n">
        <f aca="false">Sens!J7660*(1+Sens!K7661)</f>
        <v>12.2355875522124</v>
      </c>
    </row>
    <row r="7661" customFormat="false" ht="15" hidden="false" customHeight="false" outlineLevel="0" collapsed="false">
      <c r="A7661" s="1" t="s">
        <v>876</v>
      </c>
      <c r="B7661" s="0" t="s">
        <v>129</v>
      </c>
      <c r="E7661" s="7" t="n">
        <f aca="false">Sens!E7660/Sens!D7660-1</f>
        <v>0.0644329896907216</v>
      </c>
      <c r="F7661" s="7" t="n">
        <f aca="false">Sens!$E$7661+(glt_fro-Sens!$E$7661)*MIN(1,(Sens!F7609-base_fy)/n_conv)</f>
        <v>0.065360824742268</v>
      </c>
      <c r="G7661" s="7" t="n">
        <f aca="false">Sens!$E$7661+(glt_fro-Sens!$E$7661)*MIN(1,(Sens!G7609-base_fy)/n_conv)</f>
        <v>0.0662886597938144</v>
      </c>
      <c r="H7661" s="7" t="n">
        <f aca="false">Sens!$E$7661+(glt_fro-Sens!$E$7661)*MIN(1,(Sens!H7609-base_fy)/n_conv)</f>
        <v>0.0672164948453608</v>
      </c>
      <c r="I7661" s="7" t="n">
        <f aca="false">Sens!$E$7661+(glt_fro-Sens!$E$7661)*MIN(1,(Sens!I7609-base_fy)/n_conv)</f>
        <v>0.0681443298969072</v>
      </c>
      <c r="J7661" s="7" t="n">
        <f aca="false">Sens!$E$7661+(glt_fro-Sens!$E$7661)*MIN(1,(Sens!J7609-base_fy)/n_conv)</f>
        <v>0.0690721649484536</v>
      </c>
      <c r="K7661" s="7" t="n">
        <f aca="false">Sens!$E$7661+(glt_fro-Sens!$E$7661)*MIN(1,(Sens!K7609-base_fy)/n_conv)</f>
        <v>0.07</v>
      </c>
    </row>
    <row r="7662" customFormat="false" ht="15" hidden="false" customHeight="false" outlineLevel="0" collapsed="false">
      <c r="A7662" s="0" t="s">
        <v>715</v>
      </c>
      <c r="B7662" s="0" t="s">
        <v>98</v>
      </c>
      <c r="D7662" s="6" t="n">
        <f aca="false">Sens!D7650+Sens!D7655+Sens!D7656+Sens!D7658+Sens!D7660</f>
        <v>218.783</v>
      </c>
      <c r="E7662" s="6" t="n">
        <f aca="false">Sens!E7650+Sens!E7655+Sens!E7656+Sens!E7658+Sens!E7660</f>
        <v>268.127</v>
      </c>
      <c r="F7662" s="6" t="n">
        <f aca="false">Sens!F7650+Sens!F7655+Sens!F7656+Sens!F7658+Sens!F7660</f>
        <v>339.063298439382</v>
      </c>
      <c r="G7662" s="6" t="n">
        <f aca="false">Sens!G7650+Sens!G7655+Sens!G7656+Sens!G7658+Sens!G7660</f>
        <v>423.153199237229</v>
      </c>
      <c r="H7662" s="6" t="n">
        <f aca="false">Sens!H7650+Sens!H7655+Sens!H7656+Sens!H7658+Sens!H7660</f>
        <v>512.507956679943</v>
      </c>
      <c r="I7662" s="6" t="n">
        <f aca="false">Sens!I7650+Sens!I7655+Sens!I7656+Sens!I7658+Sens!I7660</f>
        <v>586.881999665448</v>
      </c>
      <c r="J7662" s="6" t="n">
        <f aca="false">Sens!J7650+Sens!J7655+Sens!J7656+Sens!J7658+Sens!J7660</f>
        <v>644.600590938298</v>
      </c>
      <c r="K7662" s="6" t="n">
        <f aca="false">Sens!K7650+Sens!K7655+Sens!K7656+Sens!K7658+Sens!K7660</f>
        <v>688.471732808504</v>
      </c>
    </row>
    <row r="7663" customFormat="false" ht="15" hidden="false" customHeight="false" outlineLevel="0" collapsed="false">
      <c r="A7663" s="0" t="s">
        <v>887</v>
      </c>
      <c r="B7663" s="0" t="s">
        <v>98</v>
      </c>
      <c r="D7663" s="6" t="n">
        <f aca="false">Q!L13</f>
        <v>22.171</v>
      </c>
      <c r="E7663" s="6" t="n">
        <f aca="false">Q!M13</f>
        <v>24.835</v>
      </c>
      <c r="F7663" s="6" t="n">
        <f aca="false">Sens!E7663*(1+Sens!F7664)</f>
        <v>27.6114901218559</v>
      </c>
      <c r="G7663" s="6" t="n">
        <f aca="false">Sens!F7663*(1+Sens!G7664)</f>
        <v>30.4675667338515</v>
      </c>
      <c r="H7663" s="6" t="n">
        <f aca="false">Sens!G7663*(1+Sens!H7664)</f>
        <v>33.3643766955789</v>
      </c>
      <c r="I7663" s="6" t="n">
        <f aca="false">Sens!H7663*(1+Sens!I7664)</f>
        <v>36.2577016533691</v>
      </c>
      <c r="J7663" s="6" t="n">
        <f aca="false">Sens!I7663*(1+Sens!J7664)</f>
        <v>39.0988367952171</v>
      </c>
      <c r="K7663" s="6" t="n">
        <f aca="false">Sens!J7663*(1+Sens!K7664)</f>
        <v>41.8357553708823</v>
      </c>
    </row>
    <row r="7664" customFormat="false" ht="15" hidden="false" customHeight="false" outlineLevel="0" collapsed="false">
      <c r="A7664" s="1" t="s">
        <v>876</v>
      </c>
      <c r="B7664" s="0" t="s">
        <v>129</v>
      </c>
      <c r="E7664" s="7" t="n">
        <f aca="false">Sens!E7663/Sens!D7663-1</f>
        <v>0.120156961796942</v>
      </c>
      <c r="F7664" s="7" t="n">
        <f aca="false">Sens!$E$7664+(glt_srch-Sens!$E$7664)*MIN(1,(Sens!F7609-base_fy)/n_conv)</f>
        <v>0.111797468164118</v>
      </c>
      <c r="G7664" s="7" t="n">
        <f aca="false">Sens!$E$7664+(glt_srch-Sens!$E$7664)*MIN(1,(Sens!G7609-base_fy)/n_conv)</f>
        <v>0.103437974531295</v>
      </c>
      <c r="H7664" s="7" t="n">
        <f aca="false">Sens!$E$7664+(glt_srch-Sens!$E$7664)*MIN(1,(Sens!H7609-base_fy)/n_conv)</f>
        <v>0.095078480898471</v>
      </c>
      <c r="I7664" s="7" t="n">
        <f aca="false">Sens!$E$7664+(glt_srch-Sens!$E$7664)*MIN(1,(Sens!I7609-base_fy)/n_conv)</f>
        <v>0.0867189872656474</v>
      </c>
      <c r="J7664" s="7" t="n">
        <f aca="false">Sens!$E$7664+(glt_srch-Sens!$E$7664)*MIN(1,(Sens!J7609-base_fy)/n_conv)</f>
        <v>0.0783594936328237</v>
      </c>
      <c r="K7664" s="7" t="n">
        <f aca="false">Sens!$E$7664+(glt_srch-Sens!$E$7664)*MIN(1,(Sens!K7609-base_fy)/n_conv)</f>
        <v>0.07</v>
      </c>
    </row>
    <row r="7665" customFormat="false" ht="15" hidden="false" customHeight="false" outlineLevel="0" collapsed="false">
      <c r="A7665" s="0" t="s">
        <v>888</v>
      </c>
      <c r="B7665" s="0" t="s">
        <v>98</v>
      </c>
      <c r="D7665" s="6" t="n">
        <f aca="false">Q!L14</f>
        <v>23.455</v>
      </c>
      <c r="E7665" s="6" t="n">
        <f aca="false">Q!M14</f>
        <v>21.79</v>
      </c>
      <c r="F7665" s="6" t="n">
        <f aca="false">Sens!E7665*(1+Sens!F7666)</f>
        <v>20.5736277908051</v>
      </c>
      <c r="G7665" s="6" t="n">
        <f aca="false">Sens!F7665*(1+Sens!G7666)</f>
        <v>19.7371452817919</v>
      </c>
      <c r="H7665" s="6" t="n">
        <f aca="false">Sens!G7665*(1+Sens!H7666)</f>
        <v>19.2339764043138</v>
      </c>
      <c r="I7665" s="6" t="n">
        <f aca="false">Sens!H7665*(1+Sens!I7666)</f>
        <v>19.0353086852681</v>
      </c>
      <c r="J7665" s="6" t="n">
        <f aca="false">Sens!I7665*(1+Sens!J7666)</f>
        <v>19.1273539319129</v>
      </c>
      <c r="K7665" s="6" t="n">
        <f aca="false">Sens!J7665*(1+Sens!K7666)</f>
        <v>19.5099010105511</v>
      </c>
    </row>
    <row r="7666" customFormat="false" ht="15" hidden="false" customHeight="false" outlineLevel="0" collapsed="false">
      <c r="A7666" s="1" t="s">
        <v>876</v>
      </c>
      <c r="B7666" s="0" t="s">
        <v>129</v>
      </c>
      <c r="E7666" s="7" t="n">
        <f aca="false">Sens!E7665/Sens!D7665-1</f>
        <v>-0.0709869963760392</v>
      </c>
      <c r="F7666" s="7" t="n">
        <f aca="false">Sens!$E$7666+(glt_xbox-Sens!$E$7666)*MIN(1,(Sens!F7609-base_fy)/n_conv)</f>
        <v>-0.0558224969800327</v>
      </c>
      <c r="G7666" s="7" t="n">
        <f aca="false">Sens!$E$7666+(glt_xbox-Sens!$E$7666)*MIN(1,(Sens!G7609-base_fy)/n_conv)</f>
        <v>-0.0406579975840262</v>
      </c>
      <c r="H7666" s="7" t="n">
        <f aca="false">Sens!$E$7666+(glt_xbox-Sens!$E$7666)*MIN(1,(Sens!H7609-base_fy)/n_conv)</f>
        <v>-0.0254934981880196</v>
      </c>
      <c r="I7666" s="7" t="n">
        <f aca="false">Sens!$E$7666+(glt_xbox-Sens!$E$7666)*MIN(1,(Sens!I7609-base_fy)/n_conv)</f>
        <v>-0.0103289987920131</v>
      </c>
      <c r="J7666" s="7" t="n">
        <f aca="false">Sens!$E$7666+(glt_xbox-Sens!$E$7666)*MIN(1,(Sens!J7609-base_fy)/n_conv)</f>
        <v>0.00483550060399347</v>
      </c>
      <c r="K7666" s="7" t="n">
        <f aca="false">Sens!$E$7666+(glt_xbox-Sens!$E$7666)*MIN(1,(Sens!K7609-base_fy)/n_conv)</f>
        <v>0.02</v>
      </c>
    </row>
    <row r="7667" customFormat="false" ht="15" hidden="false" customHeight="false" outlineLevel="0" collapsed="false">
      <c r="A7667" s="0" t="s">
        <v>889</v>
      </c>
      <c r="B7667" s="0" t="s">
        <v>98</v>
      </c>
      <c r="D7667" s="6" t="n">
        <f aca="false">Q!L15</f>
        <v>17.315</v>
      </c>
      <c r="E7667" s="6" t="n">
        <f aca="false">Q!M15</f>
        <v>17.087</v>
      </c>
      <c r="F7667" s="6" t="n">
        <f aca="false">Sens!E7667*(1+Sens!F7668)</f>
        <v>16.9564585436519</v>
      </c>
      <c r="G7667" s="6" t="n">
        <f aca="false">Sens!F7667*(1+Sens!G7668)</f>
        <v>16.9206490624268</v>
      </c>
      <c r="H7667" s="6" t="n">
        <f aca="false">Sens!G7667*(1+Sens!H7668)</f>
        <v>16.9784519149849</v>
      </c>
      <c r="I7667" s="6" t="n">
        <f aca="false">Sens!H7667*(1+Sens!I7668)</f>
        <v>17.1303084701817</v>
      </c>
      <c r="J7667" s="6" t="n">
        <f aca="false">Sens!I7667*(1+Sens!J7668)</f>
        <v>17.3782189407267</v>
      </c>
      <c r="K7667" s="6" t="n">
        <f aca="false">Sens!J7667*(1+Sens!K7668)</f>
        <v>17.7257833195413</v>
      </c>
    </row>
    <row r="7668" customFormat="false" ht="15" hidden="false" customHeight="false" outlineLevel="0" collapsed="false">
      <c r="A7668" s="1" t="s">
        <v>876</v>
      </c>
      <c r="B7668" s="0" t="s">
        <v>129</v>
      </c>
      <c r="E7668" s="7" t="n">
        <f aca="false">Sens!E7667/Sens!D7667-1</f>
        <v>-0.0131677736066995</v>
      </c>
      <c r="F7668" s="7" t="n">
        <f aca="false">Sens!$E$7668+(glt_win-Sens!$E$7668)*MIN(1,(Sens!F7609-base_fy)/n_conv)</f>
        <v>-0.00763981133891627</v>
      </c>
      <c r="G7668" s="7" t="n">
        <f aca="false">Sens!$E$7668+(glt_win-Sens!$E$7668)*MIN(1,(Sens!G7609-base_fy)/n_conv)</f>
        <v>-0.00211184907113301</v>
      </c>
      <c r="H7668" s="7" t="n">
        <f aca="false">Sens!$E$7668+(glt_win-Sens!$E$7668)*MIN(1,(Sens!H7609-base_fy)/n_conv)</f>
        <v>0.00341611319665024</v>
      </c>
      <c r="I7668" s="7" t="n">
        <f aca="false">Sens!$E$7668+(glt_win-Sens!$E$7668)*MIN(1,(Sens!I7609-base_fy)/n_conv)</f>
        <v>0.00894407546443349</v>
      </c>
      <c r="J7668" s="7" t="n">
        <f aca="false">Sens!$E$7668+(glt_win-Sens!$E$7668)*MIN(1,(Sens!J7609-base_fy)/n_conv)</f>
        <v>0.0144720377322168</v>
      </c>
      <c r="K7668" s="7" t="n">
        <f aca="false">Sens!$E$7668+(glt_win-Sens!$E$7668)*MIN(1,(Sens!K7609-base_fy)/n_conv)</f>
        <v>0.02</v>
      </c>
    </row>
    <row r="7669" customFormat="false" ht="15" hidden="false" customHeight="false" outlineLevel="0" collapsed="false">
      <c r="A7669" s="0" t="s">
        <v>729</v>
      </c>
      <c r="B7669" s="0" t="s">
        <v>98</v>
      </c>
      <c r="D7669" s="6" t="n">
        <f aca="false">Sens!D7663+Sens!D7665+Sens!D7667</f>
        <v>62.941</v>
      </c>
      <c r="E7669" s="6" t="n">
        <f aca="false">Sens!E7663+Sens!E7665+Sens!E7667</f>
        <v>63.712</v>
      </c>
      <c r="F7669" s="6" t="n">
        <f aca="false">Sens!F7663+Sens!F7665+Sens!F7667</f>
        <v>65.1415764563129</v>
      </c>
      <c r="G7669" s="6" t="n">
        <f aca="false">Sens!G7663+Sens!G7665+Sens!G7667</f>
        <v>67.1253610780702</v>
      </c>
      <c r="H7669" s="6" t="n">
        <f aca="false">Sens!H7663+Sens!H7665+Sens!H7667</f>
        <v>69.5768050148776</v>
      </c>
      <c r="I7669" s="6" t="n">
        <f aca="false">Sens!I7663+Sens!I7665+Sens!I7667</f>
        <v>72.4233188088189</v>
      </c>
      <c r="J7669" s="6" t="n">
        <f aca="false">Sens!J7663+Sens!J7665+Sens!J7667</f>
        <v>75.6044096678567</v>
      </c>
      <c r="K7669" s="6" t="n">
        <f aca="false">Sens!K7663+Sens!K7665+Sens!K7667</f>
        <v>79.0714397009747</v>
      </c>
    </row>
    <row r="7670" customFormat="false" ht="15" hidden="false" customHeight="false" outlineLevel="0" collapsed="false">
      <c r="A7670" s="1" t="s">
        <v>890</v>
      </c>
      <c r="B7670" s="0" t="s">
        <v>98</v>
      </c>
      <c r="D7670" s="6" t="n">
        <f aca="false">Sens!D7662+Sens!D7669</f>
        <v>281.724</v>
      </c>
      <c r="E7670" s="6" t="n">
        <f aca="false">Sens!E7662+Sens!E7669</f>
        <v>331.839</v>
      </c>
      <c r="F7670" s="6" t="n">
        <f aca="false">Sens!F7662+Sens!F7669</f>
        <v>404.204874895694</v>
      </c>
      <c r="G7670" s="6" t="n">
        <f aca="false">Sens!G7662+Sens!G7669</f>
        <v>490.278560315299</v>
      </c>
      <c r="H7670" s="6" t="n">
        <f aca="false">Sens!H7662+Sens!H7669</f>
        <v>582.08476169482</v>
      </c>
      <c r="I7670" s="6" t="n">
        <f aca="false">Sens!I7662+Sens!I7669</f>
        <v>659.305318474267</v>
      </c>
      <c r="J7670" s="6" t="n">
        <f aca="false">Sens!J7662+Sens!J7669</f>
        <v>720.205000606154</v>
      </c>
      <c r="K7670" s="6" t="n">
        <f aca="false">Sens!K7662+Sens!K7669</f>
        <v>767.543172509479</v>
      </c>
    </row>
    <row r="7671" customFormat="false" ht="15" hidden="false" customHeight="false" outlineLevel="0" collapsed="false">
      <c r="A7671" s="23" t="s">
        <v>891</v>
      </c>
      <c r="B7671" s="30" t="s">
        <v>98</v>
      </c>
      <c r="C7671" s="30"/>
      <c r="D7671" s="24" t="n">
        <f aca="false">(Sens!D7650+Sens!D7655+Sens!D7656+Sens!D7658+Sens!D7660-Sens!D7662)+(Sens!D7663+Sens!D7665+Sens!D7667-Sens!D7669)+(Sens!D7662-Q!L5)+(Sens!D7669-Q!L12)+(Sens!D7650-Q!L6)+(Sens!D7655-Q!L7)</f>
        <v>0</v>
      </c>
      <c r="E7671" s="24" t="n">
        <f aca="false">(Sens!E7650+Sens!E7655+Sens!E7656+Sens!E7658+Sens!E7660-Sens!E7662)+(Sens!E7663+Sens!E7665+Sens!E7667-Sens!E7669)+(Sens!E7662-Q!M5)+(Sens!E7669-Q!M12)+(Sens!E7650-Q!M6)+(Sens!E7655-Q!M7)</f>
        <v>0</v>
      </c>
      <c r="F7671" s="24" t="n">
        <f aca="false">(Sens!F7650+Sens!F7655+Sens!F7656+Sens!F7658+Sens!F7660-Sens!F7662)+(Sens!F7663+Sens!F7665+Sens!F7667-Sens!F7669)</f>
        <v>0</v>
      </c>
      <c r="G7671" s="24" t="n">
        <f aca="false">(Sens!G7650+Sens!G7655+Sens!G7656+Sens!G7658+Sens!G7660-Sens!G7662)+(Sens!G7663+Sens!G7665+Sens!G7667-Sens!G7669)</f>
        <v>0</v>
      </c>
      <c r="H7671" s="24" t="n">
        <f aca="false">(Sens!H7650+Sens!H7655+Sens!H7656+Sens!H7658+Sens!H7660-Sens!H7662)+(Sens!H7663+Sens!H7665+Sens!H7667-Sens!H7669)</f>
        <v>0</v>
      </c>
      <c r="I7671" s="24" t="n">
        <f aca="false">(Sens!I7650+Sens!I7655+Sens!I7656+Sens!I7658+Sens!I7660-Sens!I7662)+(Sens!I7663+Sens!I7665+Sens!I7667-Sens!I7669)</f>
        <v>0</v>
      </c>
      <c r="J7671" s="24" t="n">
        <f aca="false">(Sens!J7650+Sens!J7655+Sens!J7656+Sens!J7658+Sens!J7660-Sens!J7662)+(Sens!J7663+Sens!J7665+Sens!J7667-Sens!J7669)</f>
        <v>0</v>
      </c>
      <c r="K7671" s="24" t="n">
        <f aca="false">(Sens!K7650+Sens!K7655+Sens!K7656+Sens!K7658+Sens!K7660-Sens!K7662)+(Sens!K7663+Sens!K7665+Sens!K7667-Sens!K7669)</f>
        <v>0</v>
      </c>
    </row>
    <row r="7672" customFormat="false" ht="17.15" hidden="false" customHeight="false" outlineLevel="0" collapsed="false">
      <c r="A7672" s="3" t="s">
        <v>1459</v>
      </c>
    </row>
    <row r="7673" customFormat="false" ht="15" hidden="false" customHeight="false" outlineLevel="0" collapsed="false">
      <c r="A7673" s="4" t="s">
        <v>43</v>
      </c>
      <c r="B7673" s="4" t="s">
        <v>65</v>
      </c>
      <c r="C7673" s="20" t="s">
        <v>799</v>
      </c>
      <c r="D7673" s="20" t="s">
        <v>800</v>
      </c>
      <c r="E7673" s="20" t="s">
        <v>801</v>
      </c>
      <c r="F7673" s="20" t="s">
        <v>802</v>
      </c>
      <c r="G7673" s="20" t="s">
        <v>803</v>
      </c>
      <c r="H7673" s="20" t="s">
        <v>804</v>
      </c>
      <c r="I7673" s="20" t="s">
        <v>805</v>
      </c>
      <c r="J7673" s="20" t="s">
        <v>806</v>
      </c>
      <c r="K7673" s="20" t="s">
        <v>807</v>
      </c>
      <c r="L7673" s="4" t="s">
        <v>47</v>
      </c>
    </row>
    <row r="7674" customFormat="false" ht="15" hidden="false" customHeight="false" outlineLevel="0" collapsed="false">
      <c r="A7674" s="0" t="s">
        <v>877</v>
      </c>
      <c r="B7674" s="0" t="s">
        <v>98</v>
      </c>
      <c r="D7674" s="6" t="n">
        <f aca="false">Sens!D7650</f>
        <v>72.61</v>
      </c>
      <c r="E7674" s="6" t="n">
        <f aca="false">Sens!E7650</f>
        <v>101.938</v>
      </c>
      <c r="F7674" s="6" t="n">
        <f aca="false">Sens!F7650</f>
        <v>148.441726500199</v>
      </c>
      <c r="G7674" s="6" t="n">
        <f aca="false">Sens!G7650</f>
        <v>207.0600426998</v>
      </c>
      <c r="H7674" s="6" t="n">
        <f aca="false">Sens!H7650</f>
        <v>270.919273998428</v>
      </c>
      <c r="I7674" s="6" t="n">
        <f aca="false">Sens!I7650</f>
        <v>322.320644685962</v>
      </c>
      <c r="J7674" s="6" t="n">
        <f aca="false">Sens!J7650</f>
        <v>359.909693834128</v>
      </c>
      <c r="K7674" s="6" t="n">
        <f aca="false">Sens!K7650</f>
        <v>384.577663468327</v>
      </c>
    </row>
    <row r="7675" customFormat="false" ht="17.15" hidden="false" customHeight="false" outlineLevel="0" collapsed="false">
      <c r="A7675" s="0" t="s">
        <v>874</v>
      </c>
      <c r="B7675" s="0" t="s">
        <v>98</v>
      </c>
      <c r="D7675" s="6" t="n">
        <f aca="false">Sens!D7647</f>
        <v>12.9359794422418</v>
      </c>
      <c r="E7675" s="6" t="n">
        <f aca="false">Sens!E7647</f>
        <v>27.8095064661409</v>
      </c>
      <c r="F7675" s="6" t="n">
        <f aca="false">Sens!F7647</f>
        <v>58.7324192305018</v>
      </c>
      <c r="G7675" s="6" t="n">
        <f aca="false">Sens!G7647</f>
        <v>101.369089141153</v>
      </c>
      <c r="H7675" s="6" t="n">
        <f aca="false">Sens!H7647</f>
        <v>149.785610014234</v>
      </c>
      <c r="I7675" s="6" t="n">
        <f aca="false">Sens!I7647</f>
        <v>187.368703083263</v>
      </c>
      <c r="J7675" s="6" t="n">
        <f aca="false">Sens!J7647</f>
        <v>213.886657444854</v>
      </c>
      <c r="K7675" s="6" t="n">
        <f aca="false">Sens!K7647</f>
        <v>231.253475259589</v>
      </c>
    </row>
    <row r="7676" customFormat="false" ht="17.15" hidden="false" customHeight="false" outlineLevel="0" collapsed="false">
      <c r="A7676" s="0" t="s">
        <v>902</v>
      </c>
      <c r="B7676" s="0" t="s">
        <v>98</v>
      </c>
      <c r="D7676" s="6" t="n">
        <f aca="false">Sens!D7648</f>
        <v>59.6740205577583</v>
      </c>
      <c r="E7676" s="6" t="n">
        <f aca="false">Sens!E7648</f>
        <v>74.1284935338591</v>
      </c>
      <c r="F7676" s="6" t="n">
        <f aca="false">Sens!F7648</f>
        <v>89.709307269697</v>
      </c>
      <c r="G7676" s="6" t="n">
        <f aca="false">Sens!G7648</f>
        <v>105.690953558647</v>
      </c>
      <c r="H7676" s="6" t="n">
        <f aca="false">Sens!H7648</f>
        <v>121.133663984194</v>
      </c>
      <c r="I7676" s="6" t="n">
        <f aca="false">Sens!I7648</f>
        <v>134.951941602699</v>
      </c>
      <c r="J7676" s="6" t="n">
        <f aca="false">Sens!J7648</f>
        <v>146.023036389274</v>
      </c>
      <c r="K7676" s="6" t="n">
        <f aca="false">Sens!K7648</f>
        <v>153.324188208738</v>
      </c>
    </row>
    <row r="7677" customFormat="false" ht="15" hidden="false" customHeight="false" outlineLevel="0" collapsed="false">
      <c r="A7677" s="0" t="s">
        <v>883</v>
      </c>
      <c r="B7677" s="0" t="s">
        <v>98</v>
      </c>
      <c r="D7677" s="6" t="n">
        <f aca="false">Sens!D7655</f>
        <v>84.605</v>
      </c>
      <c r="E7677" s="6" t="n">
        <f aca="false">Sens!E7655</f>
        <v>100.299</v>
      </c>
      <c r="F7677" s="6" t="n">
        <f aca="false">Sens!F7655</f>
        <v>120.39238776686</v>
      </c>
      <c r="G7677" s="6" t="n">
        <f aca="false">Sens!G7655</f>
        <v>141.544168448684</v>
      </c>
      <c r="H7677" s="6" t="n">
        <f aca="false">Sens!H7655</f>
        <v>162.777359388781</v>
      </c>
      <c r="I7677" s="6" t="n">
        <f aca="false">Sens!I7655</f>
        <v>181.584028071957</v>
      </c>
      <c r="J7677" s="6" t="n">
        <f aca="false">Sens!J7655</f>
        <v>197.682702785465</v>
      </c>
      <c r="K7677" s="6" t="n">
        <f aca="false">Sens!K7655</f>
        <v>213.027991980448</v>
      </c>
    </row>
    <row r="7678" customFormat="false" ht="17.15" hidden="false" customHeight="false" outlineLevel="0" collapsed="false">
      <c r="A7678" s="0" t="s">
        <v>903</v>
      </c>
      <c r="B7678" s="0" t="s">
        <v>98</v>
      </c>
      <c r="D7678" s="6" t="n">
        <f aca="false">Sens!D7653</f>
        <v>83.705</v>
      </c>
      <c r="E7678" s="6" t="n">
        <f aca="false">Sens!E7653</f>
        <v>95.049</v>
      </c>
      <c r="F7678" s="6" t="n">
        <f aca="false">Sens!F7653</f>
        <v>106.89238776686</v>
      </c>
      <c r="G7678" s="6" t="n">
        <f aca="false">Sens!G7653</f>
        <v>119.044168448684</v>
      </c>
      <c r="H7678" s="6" t="n">
        <f aca="false">Sens!H7653</f>
        <v>131.277359388781</v>
      </c>
      <c r="I7678" s="6" t="n">
        <f aca="false">Sens!I7653</f>
        <v>143.334028071957</v>
      </c>
      <c r="J7678" s="6" t="n">
        <f aca="false">Sens!J7653</f>
        <v>154.932702785465</v>
      </c>
      <c r="K7678" s="6" t="n">
        <f aca="false">Sens!K7653</f>
        <v>165.777991980448</v>
      </c>
    </row>
    <row r="7679" customFormat="false" ht="17.15" hidden="false" customHeight="false" outlineLevel="0" collapsed="false">
      <c r="A7679" s="0" t="s">
        <v>904</v>
      </c>
      <c r="B7679" s="0" t="s">
        <v>98</v>
      </c>
      <c r="D7679" s="6" t="n">
        <f aca="false">Sens!D7652</f>
        <v>0.9</v>
      </c>
      <c r="E7679" s="6" t="n">
        <f aca="false">Sens!E7652</f>
        <v>5.25</v>
      </c>
      <c r="F7679" s="6" t="n">
        <f aca="false">Sens!F7652</f>
        <v>13.5</v>
      </c>
      <c r="G7679" s="6" t="n">
        <f aca="false">Sens!G7652</f>
        <v>22.5</v>
      </c>
      <c r="H7679" s="6" t="n">
        <f aca="false">Sens!H7652</f>
        <v>31.5</v>
      </c>
      <c r="I7679" s="6" t="n">
        <f aca="false">Sens!I7652</f>
        <v>38.25</v>
      </c>
      <c r="J7679" s="6" t="n">
        <f aca="false">Sens!J7652</f>
        <v>42.75</v>
      </c>
      <c r="K7679" s="6" t="n">
        <f aca="false">Sens!K7652</f>
        <v>47.25</v>
      </c>
    </row>
    <row r="7680" customFormat="false" ht="15" hidden="false" customHeight="false" outlineLevel="0" collapsed="false">
      <c r="A7680" s="0" t="s">
        <v>884</v>
      </c>
      <c r="B7680" s="0" t="s">
        <v>98</v>
      </c>
      <c r="D7680" s="6" t="n">
        <f aca="false">Sens!D7656</f>
        <v>35.391</v>
      </c>
      <c r="E7680" s="6" t="n">
        <f aca="false">Sens!E7656</f>
        <v>37.285</v>
      </c>
      <c r="F7680" s="6" t="n">
        <f aca="false">Sens!F7656</f>
        <v>39.0720834331704</v>
      </c>
      <c r="G7680" s="6" t="n">
        <f aca="false">Sens!G7656</f>
        <v>40.726562953769</v>
      </c>
      <c r="H7680" s="6" t="n">
        <f aca="false">Sens!H7656</f>
        <v>42.2235987259198</v>
      </c>
      <c r="I7680" s="6" t="n">
        <f aca="false">Sens!I7656</f>
        <v>43.5397988077414</v>
      </c>
      <c r="J7680" s="6" t="n">
        <f aca="false">Sens!J7656</f>
        <v>44.653811225693</v>
      </c>
      <c r="K7680" s="6" t="n">
        <f aca="false">Sens!K7656</f>
        <v>45.5468874502068</v>
      </c>
    </row>
    <row r="7681" customFormat="false" ht="15" hidden="false" customHeight="false" outlineLevel="0" collapsed="false">
      <c r="A7681" s="0" t="s">
        <v>885</v>
      </c>
      <c r="B7681" s="0" t="s">
        <v>98</v>
      </c>
      <c r="D7681" s="6" t="n">
        <f aca="false">Sens!D7658</f>
        <v>18.417</v>
      </c>
      <c r="E7681" s="6" t="n">
        <f aca="false">Sens!E7658</f>
        <v>20.345</v>
      </c>
      <c r="F7681" s="6" t="n">
        <f aca="false">Sens!F7658</f>
        <v>22.3572203267814</v>
      </c>
      <c r="G7681" s="6" t="n">
        <f aca="false">Sens!G7658</f>
        <v>24.4392124437232</v>
      </c>
      <c r="H7681" s="6" t="n">
        <f aca="false">Sens!H7658</f>
        <v>26.5738052080665</v>
      </c>
      <c r="I7681" s="6" t="n">
        <f aca="false">Sens!I7658</f>
        <v>28.7412169166967</v>
      </c>
      <c r="J7681" s="6" t="n">
        <f aca="false">Sens!J7658</f>
        <v>30.9192545395413</v>
      </c>
      <c r="K7681" s="6" t="n">
        <f aca="false">Sens!K7658</f>
        <v>33.0836023573092</v>
      </c>
    </row>
    <row r="7682" customFormat="false" ht="15" hidden="false" customHeight="false" outlineLevel="0" collapsed="false">
      <c r="A7682" s="0" t="s">
        <v>886</v>
      </c>
      <c r="B7682" s="0" t="s">
        <v>98</v>
      </c>
      <c r="D7682" s="6" t="n">
        <f aca="false">Sens!D7660</f>
        <v>7.76</v>
      </c>
      <c r="E7682" s="6" t="n">
        <f aca="false">Sens!E7660</f>
        <v>8.26</v>
      </c>
      <c r="F7682" s="6" t="n">
        <f aca="false">Sens!F7660</f>
        <v>8.79988041237113</v>
      </c>
      <c r="G7682" s="6" t="n">
        <f aca="false">Sens!G7660</f>
        <v>9.38321269125306</v>
      </c>
      <c r="H7682" s="6" t="n">
        <f aca="false">Sens!H7660</f>
        <v>10.0139193587476</v>
      </c>
      <c r="I7682" s="6" t="n">
        <f aca="false">Sens!I7660</f>
        <v>10.6963111830911</v>
      </c>
      <c r="J7682" s="6" t="n">
        <f aca="false">Sens!J7660</f>
        <v>11.4351285534696</v>
      </c>
      <c r="K7682" s="6" t="n">
        <f aca="false">Sens!K7660</f>
        <v>12.2355875522124</v>
      </c>
    </row>
    <row r="7683" customFormat="false" ht="15" hidden="false" customHeight="false" outlineLevel="0" collapsed="false">
      <c r="A7683" s="0" t="s">
        <v>715</v>
      </c>
      <c r="B7683" s="0" t="s">
        <v>98</v>
      </c>
      <c r="D7683" s="6" t="n">
        <f aca="false">Sens!D7662</f>
        <v>218.783</v>
      </c>
      <c r="E7683" s="6" t="n">
        <f aca="false">Sens!E7662</f>
        <v>268.127</v>
      </c>
      <c r="F7683" s="6" t="n">
        <f aca="false">Sens!F7662</f>
        <v>339.063298439382</v>
      </c>
      <c r="G7683" s="6" t="n">
        <f aca="false">Sens!G7662</f>
        <v>423.153199237229</v>
      </c>
      <c r="H7683" s="6" t="n">
        <f aca="false">Sens!H7662</f>
        <v>512.507956679943</v>
      </c>
      <c r="I7683" s="6" t="n">
        <f aca="false">Sens!I7662</f>
        <v>586.881999665448</v>
      </c>
      <c r="J7683" s="6" t="n">
        <f aca="false">Sens!J7662</f>
        <v>644.600590938298</v>
      </c>
      <c r="K7683" s="6" t="n">
        <f aca="false">Sens!K7662</f>
        <v>688.471732808504</v>
      </c>
    </row>
    <row r="7684" customFormat="false" ht="15" hidden="false" customHeight="false" outlineLevel="0" collapsed="false">
      <c r="A7684" s="0" t="s">
        <v>887</v>
      </c>
      <c r="B7684" s="0" t="s">
        <v>98</v>
      </c>
      <c r="D7684" s="6" t="n">
        <f aca="false">Sens!D7663</f>
        <v>22.171</v>
      </c>
      <c r="E7684" s="6" t="n">
        <f aca="false">Sens!E7663</f>
        <v>24.835</v>
      </c>
      <c r="F7684" s="6" t="n">
        <f aca="false">Sens!F7663</f>
        <v>27.6114901218559</v>
      </c>
      <c r="G7684" s="6" t="n">
        <f aca="false">Sens!G7663</f>
        <v>30.4675667338515</v>
      </c>
      <c r="H7684" s="6" t="n">
        <f aca="false">Sens!H7663</f>
        <v>33.3643766955789</v>
      </c>
      <c r="I7684" s="6" t="n">
        <f aca="false">Sens!I7663</f>
        <v>36.2577016533691</v>
      </c>
      <c r="J7684" s="6" t="n">
        <f aca="false">Sens!J7663</f>
        <v>39.0988367952171</v>
      </c>
      <c r="K7684" s="6" t="n">
        <f aca="false">Sens!K7663</f>
        <v>41.8357553708823</v>
      </c>
    </row>
    <row r="7685" customFormat="false" ht="15" hidden="false" customHeight="false" outlineLevel="0" collapsed="false">
      <c r="A7685" s="0" t="s">
        <v>888</v>
      </c>
      <c r="B7685" s="0" t="s">
        <v>98</v>
      </c>
      <c r="D7685" s="6" t="n">
        <f aca="false">Sens!D7665</f>
        <v>23.455</v>
      </c>
      <c r="E7685" s="6" t="n">
        <f aca="false">Sens!E7665</f>
        <v>21.79</v>
      </c>
      <c r="F7685" s="6" t="n">
        <f aca="false">Sens!F7665</f>
        <v>20.5736277908051</v>
      </c>
      <c r="G7685" s="6" t="n">
        <f aca="false">Sens!G7665</f>
        <v>19.7371452817919</v>
      </c>
      <c r="H7685" s="6" t="n">
        <f aca="false">Sens!H7665</f>
        <v>19.2339764043138</v>
      </c>
      <c r="I7685" s="6" t="n">
        <f aca="false">Sens!I7665</f>
        <v>19.0353086852681</v>
      </c>
      <c r="J7685" s="6" t="n">
        <f aca="false">Sens!J7665</f>
        <v>19.1273539319129</v>
      </c>
      <c r="K7685" s="6" t="n">
        <f aca="false">Sens!K7665</f>
        <v>19.5099010105511</v>
      </c>
    </row>
    <row r="7686" customFormat="false" ht="15" hidden="false" customHeight="false" outlineLevel="0" collapsed="false">
      <c r="A7686" s="0" t="s">
        <v>889</v>
      </c>
      <c r="B7686" s="0" t="s">
        <v>98</v>
      </c>
      <c r="D7686" s="6" t="n">
        <f aca="false">Sens!D7667</f>
        <v>17.315</v>
      </c>
      <c r="E7686" s="6" t="n">
        <f aca="false">Sens!E7667</f>
        <v>17.087</v>
      </c>
      <c r="F7686" s="6" t="n">
        <f aca="false">Sens!F7667</f>
        <v>16.9564585436519</v>
      </c>
      <c r="G7686" s="6" t="n">
        <f aca="false">Sens!G7667</f>
        <v>16.9206490624268</v>
      </c>
      <c r="H7686" s="6" t="n">
        <f aca="false">Sens!H7667</f>
        <v>16.9784519149849</v>
      </c>
      <c r="I7686" s="6" t="n">
        <f aca="false">Sens!I7667</f>
        <v>17.1303084701817</v>
      </c>
      <c r="J7686" s="6" t="n">
        <f aca="false">Sens!J7667</f>
        <v>17.3782189407267</v>
      </c>
      <c r="K7686" s="6" t="n">
        <f aca="false">Sens!K7667</f>
        <v>17.7257833195413</v>
      </c>
    </row>
    <row r="7687" customFormat="false" ht="15" hidden="false" customHeight="false" outlineLevel="0" collapsed="false">
      <c r="A7687" s="0" t="s">
        <v>729</v>
      </c>
      <c r="B7687" s="0" t="s">
        <v>98</v>
      </c>
      <c r="D7687" s="6" t="n">
        <f aca="false">Sens!D7669</f>
        <v>62.941</v>
      </c>
      <c r="E7687" s="6" t="n">
        <f aca="false">Sens!E7669</f>
        <v>63.712</v>
      </c>
      <c r="F7687" s="6" t="n">
        <f aca="false">Sens!F7669</f>
        <v>65.1415764563129</v>
      </c>
      <c r="G7687" s="6" t="n">
        <f aca="false">Sens!G7669</f>
        <v>67.1253610780702</v>
      </c>
      <c r="H7687" s="6" t="n">
        <f aca="false">Sens!H7669</f>
        <v>69.5768050148776</v>
      </c>
      <c r="I7687" s="6" t="n">
        <f aca="false">Sens!I7669</f>
        <v>72.4233188088189</v>
      </c>
      <c r="J7687" s="6" t="n">
        <f aca="false">Sens!J7669</f>
        <v>75.6044096678567</v>
      </c>
      <c r="K7687" s="6" t="n">
        <f aca="false">Sens!K7669</f>
        <v>79.0714397009747</v>
      </c>
    </row>
    <row r="7688" customFormat="false" ht="15" hidden="false" customHeight="false" outlineLevel="0" collapsed="false">
      <c r="A7688" s="1" t="s">
        <v>905</v>
      </c>
      <c r="B7688" s="0" t="s">
        <v>98</v>
      </c>
      <c r="D7688" s="6" t="n">
        <f aca="false">Sens!D7670</f>
        <v>281.724</v>
      </c>
      <c r="E7688" s="6" t="n">
        <f aca="false">Sens!E7670</f>
        <v>331.839</v>
      </c>
      <c r="F7688" s="6" t="n">
        <f aca="false">Sens!F7670</f>
        <v>404.204874895694</v>
      </c>
      <c r="G7688" s="6" t="n">
        <f aca="false">Sens!G7670</f>
        <v>490.278560315299</v>
      </c>
      <c r="H7688" s="6" t="n">
        <f aca="false">Sens!H7670</f>
        <v>582.08476169482</v>
      </c>
      <c r="I7688" s="6" t="n">
        <f aca="false">Sens!I7670</f>
        <v>659.305318474267</v>
      </c>
      <c r="J7688" s="6" t="n">
        <f aca="false">Sens!J7670</f>
        <v>720.205000606154</v>
      </c>
      <c r="K7688" s="6" t="n">
        <f aca="false">Sens!K7670</f>
        <v>767.543172509479</v>
      </c>
    </row>
    <row r="7689" customFormat="false" ht="15" hidden="false" customHeight="false" outlineLevel="0" collapsed="false">
      <c r="A7689" s="1" t="s">
        <v>906</v>
      </c>
      <c r="B7689" s="0" t="s">
        <v>129</v>
      </c>
      <c r="E7689" s="7" t="n">
        <f aca="false">Sens!E7688/Sens!D7688-1</f>
        <v>0.177886867998467</v>
      </c>
      <c r="F7689" s="7" t="n">
        <f aca="false">Sens!F7688/Sens!E7688-1</f>
        <v>0.21807525606</v>
      </c>
      <c r="G7689" s="7" t="n">
        <f aca="false">Sens!G7688/Sens!F7688-1</f>
        <v>0.212945688598674</v>
      </c>
      <c r="H7689" s="7" t="n">
        <f aca="false">Sens!H7688/Sens!G7688-1</f>
        <v>0.187253143030526</v>
      </c>
      <c r="I7689" s="7" t="n">
        <f aca="false">Sens!I7688/Sens!H7688-1</f>
        <v>0.132662048315109</v>
      </c>
      <c r="J7689" s="7" t="n">
        <f aca="false">Sens!J7688/Sens!I7688-1</f>
        <v>0.0923694689325705</v>
      </c>
      <c r="K7689" s="7" t="n">
        <f aca="false">Sens!K7688/Sens!J7688-1</f>
        <v>0.06572874648674</v>
      </c>
    </row>
    <row r="7690" customFormat="false" ht="17.15" hidden="false" customHeight="false" outlineLevel="0" collapsed="false">
      <c r="A7690" s="23" t="s">
        <v>907</v>
      </c>
      <c r="B7690" s="30" t="s">
        <v>98</v>
      </c>
      <c r="C7690" s="30"/>
      <c r="D7690" s="24" t="n">
        <f aca="false">(Sens!D7683+Sens!D7687-Sens!D7688)+(Sens!D7675+Sens!D7676-Sens!D7674)+(Sens!D7678+Sens!D7679-Sens!D7677)+(Sens!D7688-Q!L18)</f>
        <v>0</v>
      </c>
      <c r="E7690" s="24" t="n">
        <f aca="false">(Sens!E7683+Sens!E7687-Sens!E7688)+(Sens!E7675+Sens!E7676-Sens!E7674)+(Sens!E7678+Sens!E7679-Sens!E7677)+(Sens!E7688-Q!M18)</f>
        <v>0</v>
      </c>
      <c r="F7690" s="24" t="n">
        <f aca="false">(Sens!F7683+Sens!F7687-Sens!F7688)+(Sens!F7675+Sens!F7676-Sens!F7674)+(Sens!F7678+Sens!F7679-Sens!F7677)</f>
        <v>0</v>
      </c>
      <c r="G7690" s="24" t="n">
        <f aca="false">(Sens!G7683+Sens!G7687-Sens!G7688)+(Sens!G7675+Sens!G7676-Sens!G7674)+(Sens!G7678+Sens!G7679-Sens!G7677)</f>
        <v>0</v>
      </c>
      <c r="H7690" s="24" t="n">
        <f aca="false">(Sens!H7683+Sens!H7687-Sens!H7688)+(Sens!H7675+Sens!H7676-Sens!H7674)+(Sens!H7678+Sens!H7679-Sens!H7677)</f>
        <v>0</v>
      </c>
      <c r="I7690" s="24" t="n">
        <f aca="false">(Sens!I7683+Sens!I7687-Sens!I7688)+(Sens!I7675+Sens!I7676-Sens!I7674)+(Sens!I7678+Sens!I7679-Sens!I7677)</f>
        <v>0</v>
      </c>
      <c r="J7690" s="24" t="n">
        <f aca="false">(Sens!J7683+Sens!J7687-Sens!J7688)+(Sens!J7675+Sens!J7676-Sens!J7674)+(Sens!J7678+Sens!J7679-Sens!J7677)</f>
        <v>0</v>
      </c>
      <c r="K7690" s="24" t="n">
        <f aca="false">(Sens!K7683+Sens!K7687-Sens!K7688)+(Sens!K7675+Sens!K7676-Sens!K7674)+(Sens!K7678+Sens!K7679-Sens!K7677)</f>
        <v>0</v>
      </c>
    </row>
    <row r="7691" customFormat="false" ht="17.15" hidden="false" customHeight="false" outlineLevel="0" collapsed="false">
      <c r="A7691" s="0" t="s">
        <v>908</v>
      </c>
      <c r="B7691" s="0" t="s">
        <v>129</v>
      </c>
      <c r="E7691" s="7" t="n">
        <f aca="false">(Q!M21+Sens!E7628+Sens!E7629+Sens!E7630+Sens!E7643-Sens!E7626)/(Q!M5-Sens!E7626)</f>
        <v>0.570957350878296</v>
      </c>
      <c r="F7691" s="7" t="n">
        <f aca="false">Sens!$E$7691+dm_seg</f>
        <v>0.570957350878296</v>
      </c>
      <c r="G7691" s="7" t="n">
        <f aca="false">Sens!$E$7691+dm_seg</f>
        <v>0.570957350878296</v>
      </c>
      <c r="H7691" s="7" t="n">
        <f aca="false">Sens!$E$7691+dm_seg</f>
        <v>0.570957350878296</v>
      </c>
      <c r="I7691" s="7" t="n">
        <f aca="false">Sens!$E$7691+dm_seg</f>
        <v>0.570957350878296</v>
      </c>
      <c r="J7691" s="7" t="n">
        <f aca="false">Sens!$E$7691+dm_seg</f>
        <v>0.570957350878296</v>
      </c>
      <c r="K7691" s="7" t="n">
        <f aca="false">Sens!$E$7691+dm_seg</f>
        <v>0.570957350878296</v>
      </c>
      <c r="L7691" s="11" t="s">
        <v>909</v>
      </c>
    </row>
    <row r="7692" customFormat="false" ht="17.15" hidden="false" customHeight="false" outlineLevel="0" collapsed="false">
      <c r="A7692" s="0" t="s">
        <v>743</v>
      </c>
      <c r="B7692" s="0" t="s">
        <v>98</v>
      </c>
      <c r="D7692" s="6" t="n">
        <f aca="false">Q!L21</f>
        <v>110.814</v>
      </c>
      <c r="E7692" s="6" t="n">
        <f aca="false">Q!M21</f>
        <v>136.365</v>
      </c>
      <c r="F7692" s="6" t="n">
        <f aca="false">Sens!F7691*(Sens!F7662-Sens!F7626)+Sens!F7626-(Sens!F7628+Sens!F7629+Sens!F7630)-Sens!F7643-Sens!F7726</f>
        <v>161.780821096507</v>
      </c>
      <c r="G7692" s="6" t="n">
        <f aca="false">Sens!G7691*(Sens!G7662-Sens!G7626)+Sens!G7626-(Sens!G7628+Sens!G7629+Sens!G7630)-Sens!G7643-Sens!G7726</f>
        <v>191.547165665089</v>
      </c>
      <c r="H7692" s="6" t="n">
        <f aca="false">Sens!H7691*(Sens!H7662-Sens!H7626)+Sens!H7626-(Sens!H7628+Sens!H7629+Sens!H7630)-Sens!H7643-Sens!H7726</f>
        <v>224.978999735717</v>
      </c>
      <c r="I7692" s="6" t="n">
        <f aca="false">Sens!I7691*(Sens!I7662-Sens!I7626)+Sens!I7626-(Sens!I7628+Sens!I7629+Sens!I7630)-Sens!I7643-Sens!I7726</f>
        <v>249.690142725481</v>
      </c>
      <c r="J7692" s="6" t="n">
        <f aca="false">Sens!J7691*(Sens!J7662-Sens!J7626)+Sens!J7626-(Sens!J7628+Sens!J7629+Sens!J7630)-Sens!J7643-Sens!J7726</f>
        <v>270.072228573477</v>
      </c>
      <c r="K7692" s="6" t="n">
        <f aca="false">Sens!K7691*(Sens!K7662-Sens!K7626)+Sens!K7626-(Sens!K7628+Sens!K7629+Sens!K7630)-Sens!K7643-Sens!K7726</f>
        <v>287.711258800025</v>
      </c>
      <c r="L7692" s="1" t="s">
        <v>910</v>
      </c>
    </row>
    <row r="7693" customFormat="false" ht="17.15" hidden="false" customHeight="false" outlineLevel="0" collapsed="false">
      <c r="A7693" s="0" t="s">
        <v>911</v>
      </c>
      <c r="B7693" s="0" t="s">
        <v>129</v>
      </c>
      <c r="E7693" s="7" t="n">
        <f aca="false">Q!M22/Q!M12</f>
        <v>0.296207935710698</v>
      </c>
      <c r="F7693" s="7" t="n">
        <f aca="false">Sens!$E$7693+dm_seg</f>
        <v>0.296207935710698</v>
      </c>
      <c r="G7693" s="7" t="n">
        <f aca="false">Sens!$E$7693+dm_seg</f>
        <v>0.296207935710698</v>
      </c>
      <c r="H7693" s="7" t="n">
        <f aca="false">Sens!$E$7693+dm_seg</f>
        <v>0.296207935710698</v>
      </c>
      <c r="I7693" s="7" t="n">
        <f aca="false">Sens!$E$7693+dm_seg</f>
        <v>0.296207935710698</v>
      </c>
      <c r="J7693" s="7" t="n">
        <f aca="false">Sens!$E$7693+dm_seg</f>
        <v>0.296207935710698</v>
      </c>
      <c r="K7693" s="7" t="n">
        <f aca="false">Sens!$E$7693+dm_seg</f>
        <v>0.296207935710698</v>
      </c>
      <c r="L7693" s="11" t="s">
        <v>912</v>
      </c>
    </row>
    <row r="7694" customFormat="false" ht="17.15" hidden="false" customHeight="false" outlineLevel="0" collapsed="false">
      <c r="A7694" s="0" t="s">
        <v>745</v>
      </c>
      <c r="B7694" s="0" t="s">
        <v>98</v>
      </c>
      <c r="D7694" s="6" t="n">
        <f aca="false">Q!L22</f>
        <v>17.714</v>
      </c>
      <c r="E7694" s="6" t="n">
        <f aca="false">Q!M22</f>
        <v>18.872</v>
      </c>
      <c r="F7694" s="6" t="n">
        <f aca="false">Sens!F7669*Sens!F7693</f>
        <v>19.2954518910651</v>
      </c>
      <c r="G7694" s="6" t="n">
        <f aca="false">Sens!G7669*Sens!G7693</f>
        <v>19.8830646387704</v>
      </c>
      <c r="H7694" s="6" t="n">
        <f aca="false">Sens!H7669*Sens!H7693</f>
        <v>20.6092017868026</v>
      </c>
      <c r="I7694" s="6" t="n">
        <f aca="false">Sens!I7669*Sens!I7693</f>
        <v>21.452361761678</v>
      </c>
      <c r="J7694" s="6" t="n">
        <f aca="false">Sens!J7669*Sens!J7693</f>
        <v>22.3946261183418</v>
      </c>
      <c r="K7694" s="6" t="n">
        <f aca="false">Sens!K7669*Sens!K7693</f>
        <v>23.4215879274986</v>
      </c>
    </row>
    <row r="7695" customFormat="false" ht="15" hidden="false" customHeight="false" outlineLevel="0" collapsed="false">
      <c r="A7695" s="1" t="s">
        <v>913</v>
      </c>
      <c r="B7695" s="0" t="s">
        <v>98</v>
      </c>
      <c r="D7695" s="6" t="n">
        <f aca="false">Sens!D7692+Sens!D7694</f>
        <v>128.528</v>
      </c>
      <c r="E7695" s="6" t="n">
        <f aca="false">Sens!E7692+Sens!E7694</f>
        <v>155.237</v>
      </c>
      <c r="F7695" s="6" t="n">
        <f aca="false">Sens!F7692+Sens!F7694</f>
        <v>181.076272987572</v>
      </c>
      <c r="G7695" s="6" t="n">
        <f aca="false">Sens!G7692+Sens!G7694</f>
        <v>211.43023030386</v>
      </c>
      <c r="H7695" s="6" t="n">
        <f aca="false">Sens!H7692+Sens!H7694</f>
        <v>245.58820152252</v>
      </c>
      <c r="I7695" s="6" t="n">
        <f aca="false">Sens!I7692+Sens!I7694</f>
        <v>271.14250448716</v>
      </c>
      <c r="J7695" s="6" t="n">
        <f aca="false">Sens!J7692+Sens!J7694</f>
        <v>292.466854691819</v>
      </c>
      <c r="K7695" s="6" t="n">
        <f aca="false">Sens!K7692+Sens!K7694</f>
        <v>311.132846727524</v>
      </c>
    </row>
    <row r="7696" customFormat="false" ht="15" hidden="false" customHeight="false" outlineLevel="0" collapsed="false">
      <c r="A7696" s="23" t="s">
        <v>914</v>
      </c>
      <c r="B7696" s="30" t="s">
        <v>98</v>
      </c>
      <c r="C7696" s="30"/>
      <c r="D7696" s="24" t="n">
        <f aca="false">Sens!D7695-Q!L23</f>
        <v>0</v>
      </c>
      <c r="E7696" s="24" t="n">
        <f aca="false">Sens!E7695-Q!M23</f>
        <v>0</v>
      </c>
      <c r="F7696" s="30"/>
      <c r="G7696" s="30"/>
      <c r="H7696" s="30"/>
      <c r="I7696" s="30"/>
      <c r="J7696" s="30"/>
      <c r="K7696" s="30"/>
    </row>
    <row r="7697" customFormat="false" ht="15" hidden="false" customHeight="false" outlineLevel="0" collapsed="false">
      <c r="A7697" s="1" t="s">
        <v>915</v>
      </c>
      <c r="B7697" s="0" t="s">
        <v>129</v>
      </c>
      <c r="D7697" s="7" t="n">
        <f aca="false">Sens!D7695/Sens!D7688</f>
        <v>0.456219562408598</v>
      </c>
      <c r="E7697" s="7" t="n">
        <f aca="false">Sens!E7695/Sens!E7688</f>
        <v>0.467808184089272</v>
      </c>
      <c r="F7697" s="7" t="n">
        <f aca="false">Sens!F7695/Sens!F7688</f>
        <v>0.447981417924014</v>
      </c>
      <c r="G7697" s="7" t="n">
        <f aca="false">Sens!G7695/Sens!G7688</f>
        <v>0.431245107205766</v>
      </c>
      <c r="H7697" s="7" t="n">
        <f aca="false">Sens!H7695/Sens!H7688</f>
        <v>0.421911408241397</v>
      </c>
      <c r="I7697" s="7" t="n">
        <f aca="false">Sens!I7695/Sens!I7688</f>
        <v>0.411254841860861</v>
      </c>
      <c r="J7697" s="7" t="n">
        <f aca="false">Sens!J7695/Sens!J7688</f>
        <v>0.40608834213268</v>
      </c>
      <c r="K7697" s="7" t="n">
        <f aca="false">Sens!K7695/Sens!K7688</f>
        <v>0.405362014634664</v>
      </c>
    </row>
    <row r="7698" customFormat="false" ht="17.15" hidden="false" customHeight="false" outlineLevel="0" collapsed="false">
      <c r="A7698" s="1" t="s">
        <v>916</v>
      </c>
      <c r="B7698" s="0" t="s">
        <v>98</v>
      </c>
      <c r="F7698" s="6" t="n">
        <f aca="false">Sens!F7713</f>
        <v>8.44248444763781</v>
      </c>
      <c r="G7698" s="6" t="n">
        <f aca="false">Sens!G7713</f>
        <v>21.3653222817508</v>
      </c>
      <c r="H7698" s="6" t="n">
        <f aca="false">Sens!H7713</f>
        <v>35.8221390663856</v>
      </c>
      <c r="I7698" s="6" t="n">
        <f aca="false">Sens!I7713</f>
        <v>49.3691841492478</v>
      </c>
      <c r="J7698" s="6" t="n">
        <f aca="false">Sens!J7713</f>
        <v>59.0322720639359</v>
      </c>
      <c r="K7698" s="6" t="n">
        <f aca="false">Sens!K7713</f>
        <v>64.2195097796802</v>
      </c>
      <c r="L7698" s="1" t="s">
        <v>917</v>
      </c>
    </row>
    <row r="7699" customFormat="false" ht="17.15" hidden="false" customHeight="false" outlineLevel="0" collapsed="false">
      <c r="A7699" s="1" t="s">
        <v>918</v>
      </c>
      <c r="B7699" s="0" t="s">
        <v>98</v>
      </c>
      <c r="D7699" s="6" t="n">
        <f aca="false">Sens!D7695</f>
        <v>128.528</v>
      </c>
      <c r="E7699" s="6" t="n">
        <f aca="false">Sens!E7695</f>
        <v>155.237</v>
      </c>
      <c r="F7699" s="6" t="n">
        <f aca="false">Sens!F7695+Sens!F7698</f>
        <v>189.51875743521</v>
      </c>
      <c r="G7699" s="6" t="n">
        <f aca="false">Sens!G7695+Sens!G7698</f>
        <v>232.79555258561</v>
      </c>
      <c r="H7699" s="6" t="n">
        <f aca="false">Sens!H7695+Sens!H7698</f>
        <v>281.410340588905</v>
      </c>
      <c r="I7699" s="6" t="n">
        <f aca="false">Sens!I7695+Sens!I7698</f>
        <v>320.511688636407</v>
      </c>
      <c r="J7699" s="6" t="n">
        <f aca="false">Sens!J7695+Sens!J7698</f>
        <v>351.499126755755</v>
      </c>
      <c r="K7699" s="6" t="n">
        <f aca="false">Sens!K7695+Sens!K7698</f>
        <v>375.352356507204</v>
      </c>
    </row>
    <row r="7700" customFormat="false" ht="17.15" hidden="false" customHeight="false" outlineLevel="0" collapsed="false">
      <c r="A7700" s="1" t="s">
        <v>919</v>
      </c>
      <c r="B7700" s="0" t="s">
        <v>98</v>
      </c>
      <c r="E7700" s="6" t="n">
        <f aca="false">Sens!E7643</f>
        <v>16.3054059770833</v>
      </c>
      <c r="F7700" s="6" t="n">
        <f aca="false">Sens!F7643</f>
        <v>34.0498873809555</v>
      </c>
      <c r="G7700" s="6" t="n">
        <f aca="false">Sens!G7643</f>
        <v>59.1254371105111</v>
      </c>
      <c r="H7700" s="6" t="n">
        <f aca="false">Sens!H7643</f>
        <v>86.3610198433111</v>
      </c>
      <c r="I7700" s="6" t="n">
        <f aca="false">Sens!I7643</f>
        <v>110.605743832393</v>
      </c>
      <c r="J7700" s="6" t="n">
        <f aca="false">Sens!J7643</f>
        <v>127.998322852843</v>
      </c>
      <c r="K7700" s="6" t="n">
        <f aca="false">Sens!K7643</f>
        <v>139.131464044308</v>
      </c>
    </row>
    <row r="7701" customFormat="false" ht="17.15" hidden="false" customHeight="false" outlineLevel="0" collapsed="false">
      <c r="A7701" s="1" t="s">
        <v>920</v>
      </c>
      <c r="B7701" s="0" t="s">
        <v>98</v>
      </c>
      <c r="E7701" s="6" t="n">
        <f aca="false">Sens!E7725</f>
        <v>22.2285940229167</v>
      </c>
      <c r="F7701" s="6" t="n">
        <f aca="false">Sens!F7725</f>
        <v>24.3924470334783</v>
      </c>
      <c r="G7701" s="6" t="n">
        <f aca="false">Sens!G7725</f>
        <v>26.0867422542762</v>
      </c>
      <c r="H7701" s="6" t="n">
        <f aca="false">Sens!H7725</f>
        <v>28.1714530212287</v>
      </c>
      <c r="I7701" s="6" t="n">
        <f aca="false">Sens!I7725</f>
        <v>30.5520125346871</v>
      </c>
      <c r="J7701" s="6" t="n">
        <f aca="false">Sens!J7725</f>
        <v>33.1174859877546</v>
      </c>
      <c r="K7701" s="6" t="n">
        <f aca="false">Sens!K7725</f>
        <v>35.7665838933638</v>
      </c>
    </row>
    <row r="7702" customFormat="false" ht="17.15" hidden="false" customHeight="false" outlineLevel="0" collapsed="false">
      <c r="A7702" s="1" t="s">
        <v>921</v>
      </c>
      <c r="B7702" s="0" t="s">
        <v>98</v>
      </c>
      <c r="D7702" s="6" t="n">
        <f aca="false">Q!L27</f>
        <v>-4.901</v>
      </c>
      <c r="E7702" s="6" t="n">
        <f aca="false">Q!M27</f>
        <v>10.697</v>
      </c>
      <c r="F7702" s="6" t="n">
        <f aca="false">oie_f</f>
        <v>-0.4</v>
      </c>
      <c r="G7702" s="6" t="n">
        <f aca="false">oie_f</f>
        <v>-0.4</v>
      </c>
      <c r="H7702" s="6" t="n">
        <f aca="false">oie_f</f>
        <v>-0.4</v>
      </c>
      <c r="I7702" s="6" t="n">
        <f aca="false">oie_f</f>
        <v>-0.4</v>
      </c>
      <c r="J7702" s="6" t="n">
        <f aca="false">oie_f</f>
        <v>-0.4</v>
      </c>
      <c r="K7702" s="6" t="n">
        <f aca="false">oie_f</f>
        <v>-0.4</v>
      </c>
      <c r="L7702" s="11" t="s">
        <v>922</v>
      </c>
    </row>
    <row r="7703" customFormat="false" ht="15" hidden="false" customHeight="false" outlineLevel="0" collapsed="false">
      <c r="A7703" s="1" t="s">
        <v>923</v>
      </c>
      <c r="B7703" s="0" t="s">
        <v>98</v>
      </c>
      <c r="D7703" s="6" t="n">
        <f aca="false">Sens!D7695+Sens!D7702</f>
        <v>123.627</v>
      </c>
      <c r="E7703" s="6" t="n">
        <f aca="false">Sens!E7695+Sens!E7702</f>
        <v>165.934</v>
      </c>
      <c r="F7703" s="6" t="n">
        <f aca="false">Sens!F7695+Sens!F7702</f>
        <v>180.676272987572</v>
      </c>
      <c r="G7703" s="6" t="n">
        <f aca="false">Sens!G7695+Sens!G7702</f>
        <v>211.03023030386</v>
      </c>
      <c r="H7703" s="6" t="n">
        <f aca="false">Sens!H7695+Sens!H7702</f>
        <v>245.18820152252</v>
      </c>
      <c r="I7703" s="6" t="n">
        <f aca="false">Sens!I7695+Sens!I7702</f>
        <v>270.74250448716</v>
      </c>
      <c r="J7703" s="6" t="n">
        <f aca="false">Sens!J7695+Sens!J7702</f>
        <v>292.066854691819</v>
      </c>
      <c r="K7703" s="6" t="n">
        <f aca="false">Sens!K7695+Sens!K7702</f>
        <v>310.732846727524</v>
      </c>
    </row>
    <row r="7704" customFormat="false" ht="15" hidden="false" customHeight="false" outlineLevel="0" collapsed="false">
      <c r="A7704" s="1" t="s">
        <v>924</v>
      </c>
      <c r="B7704" s="0" t="s">
        <v>98</v>
      </c>
      <c r="D7704" s="6" t="n">
        <f aca="false">Q!L29</f>
        <v>21.795</v>
      </c>
      <c r="E7704" s="6" t="n">
        <f aca="false">Q!M29</f>
        <v>32.185</v>
      </c>
      <c r="F7704" s="6" t="n">
        <f aca="false">Sens!F7703*tax_f</f>
        <v>36.1352545975144</v>
      </c>
      <c r="G7704" s="6" t="n">
        <f aca="false">Sens!G7703*tax_f</f>
        <v>42.2060460607719</v>
      </c>
      <c r="H7704" s="6" t="n">
        <f aca="false">Sens!H7703*tax_f</f>
        <v>49.0376403045039</v>
      </c>
      <c r="I7704" s="6" t="n">
        <f aca="false">Sens!I7703*tax_f</f>
        <v>54.1485008974319</v>
      </c>
      <c r="J7704" s="6" t="n">
        <f aca="false">Sens!J7703*tax_f</f>
        <v>58.4133709383638</v>
      </c>
      <c r="K7704" s="6" t="n">
        <f aca="false">Sens!K7703*tax_f</f>
        <v>62.1465693455048</v>
      </c>
    </row>
    <row r="7705" customFormat="false" ht="15" hidden="false" customHeight="false" outlineLevel="0" collapsed="false">
      <c r="A7705" s="1" t="s">
        <v>925</v>
      </c>
      <c r="B7705" s="0" t="s">
        <v>98</v>
      </c>
      <c r="D7705" s="6" t="n">
        <f aca="false">Sens!D7703-Sens!D7704</f>
        <v>101.832</v>
      </c>
      <c r="E7705" s="6" t="n">
        <f aca="false">Sens!E7703-Sens!E7704</f>
        <v>133.749</v>
      </c>
      <c r="F7705" s="6" t="n">
        <f aca="false">Sens!F7703-Sens!F7704</f>
        <v>144.541018390058</v>
      </c>
      <c r="G7705" s="6" t="n">
        <f aca="false">Sens!G7703-Sens!G7704</f>
        <v>168.824184243088</v>
      </c>
      <c r="H7705" s="6" t="n">
        <f aca="false">Sens!H7703-Sens!H7704</f>
        <v>196.150561218016</v>
      </c>
      <c r="I7705" s="6" t="n">
        <f aca="false">Sens!I7703-Sens!I7704</f>
        <v>216.594003589728</v>
      </c>
      <c r="J7705" s="6" t="n">
        <f aca="false">Sens!J7703-Sens!J7704</f>
        <v>233.653483753455</v>
      </c>
      <c r="K7705" s="6" t="n">
        <f aca="false">Sens!K7703-Sens!K7704</f>
        <v>248.586277382019</v>
      </c>
    </row>
    <row r="7706" customFormat="false" ht="17.15" hidden="false" customHeight="false" outlineLevel="0" collapsed="false">
      <c r="A7706" s="1" t="s">
        <v>926</v>
      </c>
      <c r="B7706" s="1" t="s">
        <v>81</v>
      </c>
      <c r="D7706" s="14" t="n">
        <f aca="false">Q!L31</f>
        <v>7.465</v>
      </c>
      <c r="E7706" s="14" t="n">
        <f aca="false">Q!M31</f>
        <v>7.453</v>
      </c>
      <c r="F7706" s="14" t="n">
        <f aca="false">Sens!F7749</f>
        <v>7.4735</v>
      </c>
      <c r="G7706" s="14" t="n">
        <f aca="false">Sens!G7749</f>
        <v>7.50854370176236</v>
      </c>
      <c r="H7706" s="14" t="n">
        <f aca="false">Sens!H7749</f>
        <v>7.52633898937466</v>
      </c>
      <c r="I7706" s="14" t="n">
        <f aca="false">Sens!I7749</f>
        <v>7.53811982138198</v>
      </c>
      <c r="J7706" s="14" t="n">
        <f aca="false">Sens!J7749</f>
        <v>7.55236133249986</v>
      </c>
      <c r="K7706" s="14" t="n">
        <f aca="false">Sens!K7749</f>
        <v>7.5688812502016</v>
      </c>
    </row>
    <row r="7707" customFormat="false" ht="17.15" hidden="false" customHeight="false" outlineLevel="0" collapsed="false">
      <c r="A7707" s="0" t="s">
        <v>927</v>
      </c>
      <c r="B7707" s="0" t="s">
        <v>75</v>
      </c>
      <c r="D7707" s="8" t="n">
        <f aca="false">Sens!D7705/Sens!D7706</f>
        <v>13.641259209645</v>
      </c>
      <c r="E7707" s="8" t="n">
        <f aca="false">Sens!E7705/Sens!E7706</f>
        <v>17.9456594659869</v>
      </c>
      <c r="F7707" s="8" t="n">
        <f aca="false">Sens!F7705/Sens!F7706</f>
        <v>19.3404721201656</v>
      </c>
      <c r="G7707" s="8" t="n">
        <f aca="false">Sens!G7705/Sens!G7706</f>
        <v>22.4842780369597</v>
      </c>
      <c r="H7707" s="8" t="n">
        <f aca="false">Sens!H7705/Sens!H7706</f>
        <v>26.0618823434517</v>
      </c>
      <c r="I7707" s="8" t="n">
        <f aca="false">Sens!I7705/Sens!I7706</f>
        <v>28.7331600879248</v>
      </c>
      <c r="J7707" s="8" t="n">
        <f aca="false">Sens!J7705/Sens!J7706</f>
        <v>30.9378052064301</v>
      </c>
      <c r="K7707" s="8" t="n">
        <f aca="false">Sens!K7705/Sens!K7706</f>
        <v>32.8431995647174</v>
      </c>
      <c r="L7707" s="1" t="s">
        <v>928</v>
      </c>
    </row>
    <row r="7708" customFormat="false" ht="17.15" hidden="false" customHeight="false" outlineLevel="0" collapsed="false">
      <c r="A7708" s="1" t="s">
        <v>929</v>
      </c>
      <c r="B7708" s="0" t="s">
        <v>98</v>
      </c>
      <c r="D7708" s="6" t="n">
        <f aca="false">Sens!D7705</f>
        <v>101.832</v>
      </c>
      <c r="E7708" s="6" t="n">
        <f aca="false">Sens!E7705</f>
        <v>133.749</v>
      </c>
      <c r="F7708" s="6" t="n">
        <f aca="false">Sens!F7705+Sens!F7698*(1-tax_f)</f>
        <v>151.295005948168</v>
      </c>
      <c r="G7708" s="6" t="n">
        <f aca="false">Sens!G7705+Sens!G7698*(1-tax_f)</f>
        <v>185.916442068488</v>
      </c>
      <c r="H7708" s="6" t="n">
        <f aca="false">Sens!H7705+Sens!H7698*(1-tax_f)</f>
        <v>224.808272471124</v>
      </c>
      <c r="I7708" s="6" t="n">
        <f aca="false">Sens!I7705+Sens!I7698*(1-tax_f)</f>
        <v>256.089350909126</v>
      </c>
      <c r="J7708" s="6" t="n">
        <f aca="false">Sens!J7705+Sens!J7698*(1-tax_f)</f>
        <v>280.879301404604</v>
      </c>
      <c r="K7708" s="6" t="n">
        <f aca="false">Sens!K7705+Sens!K7698*(1-tax_f)</f>
        <v>299.961885205763</v>
      </c>
    </row>
    <row r="7709" customFormat="false" ht="17.15" hidden="false" customHeight="false" outlineLevel="0" collapsed="false">
      <c r="A7709" s="0" t="s">
        <v>930</v>
      </c>
      <c r="B7709" s="0" t="s">
        <v>75</v>
      </c>
      <c r="D7709" s="8" t="n">
        <f aca="false">Sens!D7708/Sens!D7706</f>
        <v>13.641259209645</v>
      </c>
      <c r="E7709" s="8" t="n">
        <f aca="false">Sens!E7708/Sens!E7706</f>
        <v>17.9456594659869</v>
      </c>
      <c r="F7709" s="8" t="n">
        <f aca="false">Sens!F7708/Sens!F7706</f>
        <v>20.2441969556657</v>
      </c>
      <c r="G7709" s="8" t="n">
        <f aca="false">Sens!G7708/Sens!G7706</f>
        <v>24.7606525916405</v>
      </c>
      <c r="H7709" s="8" t="n">
        <f aca="false">Sens!H7708/Sens!H7706</f>
        <v>29.8695385350697</v>
      </c>
      <c r="I7709" s="8" t="n">
        <f aca="false">Sens!I7708/Sens!I7706</f>
        <v>33.9725763157445</v>
      </c>
      <c r="J7709" s="8" t="n">
        <f aca="false">Sens!J7708/Sens!J7706</f>
        <v>37.1909246709243</v>
      </c>
      <c r="K7709" s="8" t="n">
        <f aca="false">Sens!K7708/Sens!K7706</f>
        <v>39.6309408603515</v>
      </c>
      <c r="L7709" s="1" t="s">
        <v>931</v>
      </c>
    </row>
    <row r="7710" customFormat="false" ht="17.15" hidden="false" customHeight="false" outlineLevel="0" collapsed="false">
      <c r="A7710" s="0" t="s">
        <v>932</v>
      </c>
      <c r="B7710" s="0" t="s">
        <v>129</v>
      </c>
      <c r="E7710" s="7" t="n">
        <f aca="false">Sens!E7709/Sens!D7709-1</f>
        <v>0.315542736208578</v>
      </c>
      <c r="F7710" s="7" t="n">
        <f aca="false">Sens!F7709/Sens!E7709-1</f>
        <v>0.12808319995347</v>
      </c>
      <c r="G7710" s="7" t="n">
        <f aca="false">Sens!G7709/Sens!F7709-1</f>
        <v>0.223098779658473</v>
      </c>
      <c r="H7710" s="7" t="n">
        <f aca="false">Sens!H7709/Sens!G7709-1</f>
        <v>0.206330827692078</v>
      </c>
      <c r="I7710" s="7" t="n">
        <f aca="false">Sens!I7709/Sens!H7709-1</f>
        <v>0.137365288581793</v>
      </c>
      <c r="J7710" s="7" t="n">
        <f aca="false">Sens!J7709/Sens!I7709-1</f>
        <v>0.0947337147841878</v>
      </c>
      <c r="K7710" s="7" t="n">
        <f aca="false">Sens!K7709/Sens!J7709-1</f>
        <v>0.0656078387675794</v>
      </c>
    </row>
    <row r="7711" customFormat="false" ht="17.15" hidden="false" customHeight="false" outlineLevel="0" collapsed="false">
      <c r="A7711" s="0" t="s">
        <v>856</v>
      </c>
      <c r="B7711" s="0" t="s">
        <v>98</v>
      </c>
      <c r="E7711" s="6" t="n">
        <f aca="false">Sens!E7652</f>
        <v>5.25</v>
      </c>
      <c r="F7711" s="6" t="n">
        <f aca="false">Sens!F7652</f>
        <v>13.5</v>
      </c>
      <c r="G7711" s="6" t="n">
        <f aca="false">Sens!G7652</f>
        <v>22.5</v>
      </c>
      <c r="H7711" s="6" t="n">
        <f aca="false">Sens!H7652</f>
        <v>31.5</v>
      </c>
      <c r="I7711" s="6" t="n">
        <f aca="false">Sens!I7652</f>
        <v>38.25</v>
      </c>
      <c r="J7711" s="6" t="n">
        <f aca="false">Sens!J7652</f>
        <v>42.75</v>
      </c>
      <c r="K7711" s="6" t="n">
        <f aca="false">Sens!K7652</f>
        <v>47.25</v>
      </c>
    </row>
    <row r="7712" customFormat="false" ht="17.15" hidden="false" customHeight="false" outlineLevel="0" collapsed="false">
      <c r="A7712" s="1" t="s">
        <v>857</v>
      </c>
      <c r="B7712" s="0" t="s">
        <v>98</v>
      </c>
      <c r="F7712" s="6" t="n">
        <f aca="false">MAX(0,((Sens!E7615+Sens!F7615)/2-(shadow_base*(Sens!$D$7615+Sens!$E$7615)/2+(1-shadow_base)*Sens!$E$7615))*Sens!F7623/1000-(Sens!F7711-Sens!$E$7711)*Sens!F7691)</f>
        <v>8.44248444763781</v>
      </c>
      <c r="G7712" s="6" t="n">
        <f aca="false">MAX(0,((Sens!F7615+Sens!G7615)/2-(shadow_base*(Sens!$D$7615+Sens!$E$7615)/2+(1-shadow_base)*Sens!$E$7615))*Sens!G7623/1000-(Sens!G7711-Sens!$E$7711)*Sens!G7691)</f>
        <v>21.3653222817508</v>
      </c>
      <c r="H7712" s="6" t="n">
        <f aca="false">MAX(0,((Sens!G7615+Sens!H7615)/2-(shadow_base*(Sens!$D$7615+Sens!$E$7615)/2+(1-shadow_base)*Sens!$E$7615))*Sens!H7623/1000-(Sens!H7711-Sens!$E$7711)*Sens!H7691)</f>
        <v>35.8221390663856</v>
      </c>
      <c r="I7712" s="6" t="n">
        <f aca="false">MAX(0,((Sens!H7615+Sens!I7615)/2-(shadow_base*(Sens!$D$7615+Sens!$E$7615)/2+(1-shadow_base)*Sens!$E$7615))*Sens!I7623/1000-(Sens!I7711-Sens!$E$7711)*Sens!I7691)</f>
        <v>49.3691841492478</v>
      </c>
      <c r="J7712" s="6" t="n">
        <f aca="false">MAX(0,((Sens!I7615+Sens!J7615)/2-(shadow_base*(Sens!$D$7615+Sens!$E$7615)/2+(1-shadow_base)*Sens!$E$7615))*Sens!J7623/1000-(Sens!J7711-Sens!$E$7711)*Sens!J7691)</f>
        <v>59.0322720639359</v>
      </c>
      <c r="K7712" s="6" t="n">
        <f aca="false">MAX(0,((Sens!J7615+Sens!K7615)/2-(shadow_base*(Sens!$D$7615+Sens!$E$7615)/2+(1-shadow_base)*Sens!$E$7615))*Sens!K7623/1000-(Sens!K7711-Sens!$E$7711)*Sens!K7691)</f>
        <v>64.2195097796802</v>
      </c>
      <c r="L7712" s="1" t="s">
        <v>858</v>
      </c>
    </row>
    <row r="7713" customFormat="false" ht="17.15" hidden="false" customHeight="false" outlineLevel="0" collapsed="false">
      <c r="A7713" s="1" t="s">
        <v>859</v>
      </c>
      <c r="B7713" s="0" t="s">
        <v>98</v>
      </c>
      <c r="F7713" s="6" t="n">
        <f aca="false">IF(internal_ai_reading=2,1,0)*Sens!F7712</f>
        <v>8.44248444763781</v>
      </c>
      <c r="G7713" s="6" t="n">
        <f aca="false">IF(internal_ai_reading=2,1,0)*Sens!G7712</f>
        <v>21.3653222817508</v>
      </c>
      <c r="H7713" s="6" t="n">
        <f aca="false">IF(internal_ai_reading=2,1,0)*Sens!H7712</f>
        <v>35.8221390663856</v>
      </c>
      <c r="I7713" s="6" t="n">
        <f aca="false">IF(internal_ai_reading=2,1,0)*Sens!I7712</f>
        <v>49.3691841492478</v>
      </c>
      <c r="J7713" s="6" t="n">
        <f aca="false">IF(internal_ai_reading=2,1,0)*Sens!J7712</f>
        <v>59.0322720639359</v>
      </c>
      <c r="K7713" s="6" t="n">
        <f aca="false">IF(internal_ai_reading=2,1,0)*Sens!K7712</f>
        <v>64.2195097796802</v>
      </c>
    </row>
    <row r="7714" customFormat="false" ht="17.15" hidden="false" customHeight="false" outlineLevel="0" collapsed="false">
      <c r="A7714" s="0" t="s">
        <v>860</v>
      </c>
      <c r="B7714" s="0" t="s">
        <v>98</v>
      </c>
      <c r="F7714" s="6" t="n">
        <f aca="false">Sens!F7632+Sens!F7711*Sens!F7691+Sens!F7713-Sens!F7633-Sens!F7643</f>
        <v>18.6954441577666</v>
      </c>
      <c r="G7714" s="6" t="n">
        <f aca="false">Sens!G7632+Sens!G7711*Sens!G7691+Sens!G7713-Sens!G7633-Sens!G7643</f>
        <v>42.7730967717415</v>
      </c>
      <c r="H7714" s="6" t="n">
        <f aca="false">Sens!H7632+Sens!H7711*Sens!H7691+Sens!H7713-Sens!H7633-Sens!H7643</f>
        <v>72.3524695349497</v>
      </c>
      <c r="I7714" s="6" t="n">
        <f aca="false">Sens!I7632+Sens!I7711*Sens!I7691+Sens!I7713-Sens!I7633-Sens!I7643</f>
        <v>93.3920399917181</v>
      </c>
      <c r="J7714" s="6" t="n">
        <f aca="false">Sens!J7632+Sens!J7711*Sens!J7691+Sens!J7713-Sens!J7633-Sens!J7643</f>
        <v>108.132424046476</v>
      </c>
      <c r="K7714" s="6" t="n">
        <f aca="false">Sens!K7632+Sens!K7711*Sens!K7691+Sens!K7713-Sens!K7633-Sens!K7643</f>
        <v>118.341283106908</v>
      </c>
    </row>
    <row r="7715" customFormat="false" ht="17.15" hidden="false" customHeight="false" outlineLevel="0" collapsed="false">
      <c r="A7715" s="0" t="s">
        <v>861</v>
      </c>
      <c r="B7715" s="0" t="s">
        <v>98</v>
      </c>
      <c r="E7715" s="6" t="n">
        <f aca="false">Sens!E7614*(cxit_open+self_build*tk_cxfac)/1000*ai_net_open</f>
        <v>126.6980382</v>
      </c>
      <c r="F7715" s="6" t="n">
        <f aca="false">Sens!E7715+Sens!F7640-Sens!F7643</f>
        <v>252.981026690511</v>
      </c>
      <c r="G7715" s="6" t="n">
        <f aca="false">Sens!F7715+Sens!G7640-Sens!G7643</f>
        <v>377.4297700632</v>
      </c>
      <c r="H7715" s="6" t="n">
        <f aca="false">Sens!G7715+Sens!H7640-Sens!H7643</f>
        <v>479.149036130289</v>
      </c>
      <c r="I7715" s="6" t="n">
        <f aca="false">Sens!H7715+Sens!I7640-Sens!I7643</f>
        <v>532.249961452141</v>
      </c>
      <c r="J7715" s="6" t="n">
        <f aca="false">Sens!I7715+Sens!J7640-Sens!J7643</f>
        <v>531.43307519354</v>
      </c>
      <c r="K7715" s="6" t="n">
        <f aca="false">Sens!J7715+Sens!K7640-Sens!K7643</f>
        <v>513.709026452823</v>
      </c>
      <c r="L7715" s="1" t="s">
        <v>862</v>
      </c>
    </row>
    <row r="7716" customFormat="false" ht="17.15" hidden="false" customHeight="false" outlineLevel="0" collapsed="false">
      <c r="A7716" s="0" t="s">
        <v>863</v>
      </c>
      <c r="B7716" s="0" t="s">
        <v>129</v>
      </c>
      <c r="F7716" s="7" t="n">
        <f aca="false">Sens!F7714*(1-tax_f)/((Sens!E7715+Sens!F7715)/2)</f>
        <v>0.0787841980727922</v>
      </c>
      <c r="G7716" s="7" t="n">
        <f aca="false">Sens!G7714*(1-tax_f)/((Sens!F7715+Sens!G7715)/2)</f>
        <v>0.108559300042451</v>
      </c>
      <c r="H7716" s="7" t="n">
        <f aca="false">Sens!H7714*(1-tax_f)/((Sens!G7715+Sens!H7715)/2)</f>
        <v>0.135146877810762</v>
      </c>
      <c r="I7716" s="7" t="n">
        <f aca="false">Sens!I7714*(1-tax_f)/((Sens!H7715+Sens!I7715)/2)</f>
        <v>0.147743140287788</v>
      </c>
      <c r="J7716" s="7" t="n">
        <f aca="false">Sens!J7714*(1-tax_f)/((Sens!I7715+Sens!J7715)/2)</f>
        <v>0.162653603107137</v>
      </c>
      <c r="K7716" s="7" t="n">
        <f aca="false">Sens!K7714*(1-tax_f)/((Sens!J7715+Sens!K7715)/2)</f>
        <v>0.181167759554213</v>
      </c>
    </row>
    <row r="7717" customFormat="false" ht="17.15" hidden="false" customHeight="false" outlineLevel="0" collapsed="false">
      <c r="A7717" s="1" t="s">
        <v>864</v>
      </c>
      <c r="B7717" s="0" t="s">
        <v>129</v>
      </c>
      <c r="F7717" s="7" t="n">
        <f aca="false">(Sens!F7714-Sens!F7713)*(1-tax_f)/((Sens!E7715+Sens!F7715)/2)</f>
        <v>0.0432068477121243</v>
      </c>
      <c r="G7717" s="7" t="n">
        <f aca="false">(Sens!G7714-Sens!G7713)*(1-tax_f)/((Sens!F7715+Sens!G7715)/2)</f>
        <v>0.0543335224592717</v>
      </c>
      <c r="H7717" s="7" t="n">
        <f aca="false">(Sens!H7714-Sens!H7713)*(1-tax_f)/((Sens!G7715+Sens!H7715)/2)</f>
        <v>0.0682348527970699</v>
      </c>
      <c r="I7717" s="7" t="n">
        <f aca="false">(Sens!I7714-Sens!I7713)*(1-tax_f)/((Sens!H7715+Sens!I7715)/2)</f>
        <v>0.0696427122395006</v>
      </c>
      <c r="J7717" s="7" t="n">
        <f aca="false">(Sens!J7714-Sens!J7713)*(1-tax_f)/((Sens!I7715+Sens!J7715)/2)</f>
        <v>0.0738568168011806</v>
      </c>
      <c r="K7717" s="7" t="n">
        <f aca="false">(Sens!K7714-Sens!K7713)*(1-tax_f)/((Sens!J7715+Sens!K7715)/2)</f>
        <v>0.0828546062656513</v>
      </c>
    </row>
    <row r="7718" customFormat="false" ht="17.15" hidden="false" customHeight="false" outlineLevel="0" collapsed="false">
      <c r="A7718" s="1" t="s">
        <v>865</v>
      </c>
      <c r="B7718" s="0" t="s">
        <v>129</v>
      </c>
      <c r="F7718" s="7" t="n">
        <f aca="false">(Sens!F7714-Sens!F7713+Sens!F7712)*(1-tax_f)/((Sens!E7715+Sens!F7715)/2)</f>
        <v>0.0787841980727922</v>
      </c>
      <c r="G7718" s="7" t="n">
        <f aca="false">(Sens!G7714-Sens!G7713+Sens!G7712)*(1-tax_f)/((Sens!F7715+Sens!G7715)/2)</f>
        <v>0.108559300042451</v>
      </c>
      <c r="H7718" s="7" t="n">
        <f aca="false">(Sens!H7714-Sens!H7713+Sens!H7712)*(1-tax_f)/((Sens!G7715+Sens!H7715)/2)</f>
        <v>0.135146877810762</v>
      </c>
      <c r="I7718" s="7" t="n">
        <f aca="false">(Sens!I7714-Sens!I7713+Sens!I7712)*(1-tax_f)/((Sens!H7715+Sens!I7715)/2)</f>
        <v>0.147743140287788</v>
      </c>
      <c r="J7718" s="7" t="n">
        <f aca="false">(Sens!J7714-Sens!J7713+Sens!J7712)*(1-tax_f)/((Sens!I7715+Sens!J7715)/2)</f>
        <v>0.162653603107137</v>
      </c>
      <c r="K7718" s="7" t="n">
        <f aca="false">(Sens!K7714-Sens!K7713+Sens!K7712)*(1-tax_f)/((Sens!J7715+Sens!K7715)/2)</f>
        <v>0.181167759554213</v>
      </c>
    </row>
    <row r="7719" customFormat="false" ht="17.15" hidden="false" customHeight="false" outlineLevel="0" collapsed="false">
      <c r="A7719" s="1" t="s">
        <v>866</v>
      </c>
      <c r="B7719" s="0" t="s">
        <v>129</v>
      </c>
      <c r="F7719" s="7" t="n">
        <f aca="false">Sens!F7644*(1-tax_f)/(Sens!F7631*(Sens!E7715+Sens!F7715)/2)</f>
        <v>0.159418295257403</v>
      </c>
      <c r="G7719" s="7" t="n">
        <f aca="false">Sens!G7644*(1-tax_f)/(Sens!G7631*(Sens!F7715+Sens!G7715)/2)</f>
        <v>0.181875227327983</v>
      </c>
      <c r="H7719" s="7" t="n">
        <f aca="false">Sens!H7644*(1-tax_f)/(Sens!H7631*(Sens!G7715+Sens!H7715)/2)</f>
        <v>0.212793847216411</v>
      </c>
      <c r="I7719" s="7" t="n">
        <f aca="false">Sens!I7644*(1-tax_f)/(Sens!I7631*(Sens!H7715+Sens!I7715)/2)</f>
        <v>0.225613268329429</v>
      </c>
      <c r="J7719" s="7" t="n">
        <f aca="false">Sens!J7644*(1-tax_f)/(Sens!J7631*(Sens!I7715+Sens!J7715)/2)</f>
        <v>0.24488839563955</v>
      </c>
      <c r="K7719" s="7" t="n">
        <f aca="false">Sens!K7644*(1-tax_f)/(Sens!K7631*(Sens!J7715+Sens!K7715)/2)</f>
        <v>0.270711455180788</v>
      </c>
    </row>
    <row r="7720" customFormat="false" ht="17.15" hidden="false" customHeight="false" outlineLevel="0" collapsed="false">
      <c r="A7720" s="0" t="s">
        <v>867</v>
      </c>
      <c r="B7720" s="0" t="s">
        <v>209</v>
      </c>
      <c r="F7720" s="7" t="n">
        <f aca="false">Sens!F7716-wacc</f>
        <v>-0.0241502220200835</v>
      </c>
      <c r="G7720" s="7" t="n">
        <f aca="false">Sens!G7716-wacc</f>
        <v>0.00562487994957479</v>
      </c>
      <c r="H7720" s="7" t="n">
        <f aca="false">Sens!H7716-wacc</f>
        <v>0.0322124577178859</v>
      </c>
      <c r="I7720" s="7" t="n">
        <f aca="false">Sens!I7716-wacc</f>
        <v>0.0448087201949121</v>
      </c>
      <c r="J7720" s="7" t="n">
        <f aca="false">Sens!J7716-wacc</f>
        <v>0.0597191830142614</v>
      </c>
      <c r="K7720" s="7" t="n">
        <f aca="false">Sens!K7716-wacc</f>
        <v>0.0782333394613372</v>
      </c>
    </row>
    <row r="7721" customFormat="false" ht="17.15" hidden="false" customHeight="false" outlineLevel="0" collapsed="false">
      <c r="A7721" s="0" t="s">
        <v>868</v>
      </c>
      <c r="B7721" s="0" t="s">
        <v>98</v>
      </c>
      <c r="F7721" s="6" t="n">
        <f aca="false">Sens!F7714*(1-tax_f)-wacc*(Sens!E7715+Sens!F7715)/2</f>
        <v>-4.58466685674177</v>
      </c>
      <c r="G7721" s="6" t="n">
        <f aca="false">Sens!G7714*(1-tax_f)-wacc*(Sens!F7715+Sens!G7715)/2</f>
        <v>1.77299252532771</v>
      </c>
      <c r="H7721" s="6" t="n">
        <f aca="false">Sens!H7714*(1-tax_f)-wacc*(Sens!G7715+Sens!H7715)/2</f>
        <v>13.7962542882725</v>
      </c>
      <c r="I7721" s="6" t="n">
        <f aca="false">Sens!I7714*(1-tax_f)-wacc*(Sens!H7715+Sens!I7715)/2</f>
        <v>22.6597473440428</v>
      </c>
      <c r="J7721" s="6" t="n">
        <f aca="false">Sens!J7714*(1-tax_f)-wacc*(Sens!I7715+Sens!J7715)/2</f>
        <v>31.7611409673044</v>
      </c>
      <c r="K7721" s="6" t="n">
        <f aca="false">Sens!K7714*(1-tax_f)-wacc*(Sens!J7715+Sens!K7715)/2</f>
        <v>40.8824784117176</v>
      </c>
    </row>
    <row r="7722" customFormat="false" ht="17.15" hidden="false" customHeight="false" outlineLevel="0" collapsed="false">
      <c r="A7722" s="3" t="s">
        <v>1460</v>
      </c>
    </row>
    <row r="7723" customFormat="false" ht="15" hidden="false" customHeight="false" outlineLevel="0" collapsed="false">
      <c r="A7723" s="4" t="s">
        <v>43</v>
      </c>
      <c r="B7723" s="4" t="s">
        <v>65</v>
      </c>
      <c r="C7723" s="20" t="s">
        <v>799</v>
      </c>
      <c r="D7723" s="20" t="s">
        <v>800</v>
      </c>
      <c r="E7723" s="20" t="s">
        <v>801</v>
      </c>
      <c r="F7723" s="20" t="s">
        <v>802</v>
      </c>
      <c r="G7723" s="20" t="s">
        <v>803</v>
      </c>
      <c r="H7723" s="20" t="s">
        <v>804</v>
      </c>
      <c r="I7723" s="20" t="s">
        <v>805</v>
      </c>
      <c r="J7723" s="20" t="s">
        <v>806</v>
      </c>
      <c r="K7723" s="20" t="s">
        <v>807</v>
      </c>
      <c r="L7723" s="4" t="s">
        <v>47</v>
      </c>
    </row>
    <row r="7724" customFormat="false" ht="15" hidden="false" customHeight="false" outlineLevel="0" collapsed="false">
      <c r="A7724" s="1" t="s">
        <v>925</v>
      </c>
      <c r="B7724" s="0" t="s">
        <v>98</v>
      </c>
      <c r="F7724" s="6" t="n">
        <f aca="false">Sens!F7705</f>
        <v>144.541018390058</v>
      </c>
      <c r="G7724" s="6" t="n">
        <f aca="false">Sens!G7705</f>
        <v>168.824184243088</v>
      </c>
      <c r="H7724" s="6" t="n">
        <f aca="false">Sens!H7705</f>
        <v>196.150561218016</v>
      </c>
      <c r="I7724" s="6" t="n">
        <f aca="false">Sens!I7705</f>
        <v>216.594003589728</v>
      </c>
      <c r="J7724" s="6" t="n">
        <f aca="false">Sens!J7705</f>
        <v>233.653483753455</v>
      </c>
      <c r="K7724" s="6" t="n">
        <f aca="false">Sens!K7705</f>
        <v>248.586277382019</v>
      </c>
    </row>
    <row r="7725" customFormat="false" ht="17.15" hidden="false" customHeight="false" outlineLevel="0" collapsed="false">
      <c r="A7725" s="1" t="s">
        <v>947</v>
      </c>
      <c r="B7725" s="0" t="s">
        <v>98</v>
      </c>
      <c r="E7725" s="6" t="n">
        <f aca="false">Q!M38-Sens!E7643</f>
        <v>22.2285940229167</v>
      </c>
      <c r="F7725" s="6" t="n">
        <f aca="false">Sens!E7725*(1-1/life_nonai)+(Sens!F7732+Sens!F7733)/life_nonai</f>
        <v>24.3924470334783</v>
      </c>
      <c r="G7725" s="6" t="n">
        <f aca="false">Sens!F7725*(1-1/life_nonai)+(Sens!G7732)/life_nonai</f>
        <v>26.0867422542762</v>
      </c>
      <c r="H7725" s="6" t="n">
        <f aca="false">Sens!G7725*(1-1/life_nonai)+(Sens!H7732)/life_nonai</f>
        <v>28.1714530212287</v>
      </c>
      <c r="I7725" s="6" t="n">
        <f aca="false">Sens!H7725*(1-1/life_nonai)+(Sens!I7732)/life_nonai</f>
        <v>30.5520125346871</v>
      </c>
      <c r="J7725" s="6" t="n">
        <f aca="false">Sens!I7725*(1-1/life_nonai)+(Sens!J7732)/life_nonai</f>
        <v>33.1174859877546</v>
      </c>
      <c r="K7725" s="6" t="n">
        <f aca="false">Sens!J7725*(1-1/life_nonai)+(Sens!K7732)/life_nonai</f>
        <v>35.7665838933638</v>
      </c>
      <c r="L7725" s="11" t="s">
        <v>948</v>
      </c>
    </row>
    <row r="7726" customFormat="false" ht="17.15" hidden="false" customHeight="false" outlineLevel="0" collapsed="false">
      <c r="A7726" s="1" t="s">
        <v>949</v>
      </c>
      <c r="B7726" s="0" t="s">
        <v>98</v>
      </c>
      <c r="F7726" s="6" t="n">
        <f aca="false">Sens!$F$7733/life_nonai*(1-1/life_nonai)^(Sens!F7609-2027)</f>
        <v>0.821190539250474</v>
      </c>
      <c r="G7726" s="6" t="n">
        <f aca="false">Sens!$F$7733/life_nonai*(1-1/life_nonai)^(Sens!G7609-2027)</f>
        <v>0.739071485325427</v>
      </c>
      <c r="H7726" s="6" t="n">
        <f aca="false">Sens!$F$7733/life_nonai*(1-1/life_nonai)^(Sens!H7609-2027)</f>
        <v>0.665164336792884</v>
      </c>
      <c r="I7726" s="6" t="n">
        <f aca="false">Sens!$F$7733/life_nonai*(1-1/life_nonai)^(Sens!I7609-2027)</f>
        <v>0.598647903113596</v>
      </c>
      <c r="J7726" s="6" t="n">
        <f aca="false">Sens!$F$7733/life_nonai*(1-1/life_nonai)^(Sens!J7609-2027)</f>
        <v>0.538783112802236</v>
      </c>
      <c r="K7726" s="6" t="n">
        <f aca="false">Sens!$F$7733/life_nonai*(1-1/life_nonai)^(Sens!K7609-2027)</f>
        <v>0.484904801522012</v>
      </c>
      <c r="L7726" s="1" t="s">
        <v>950</v>
      </c>
    </row>
    <row r="7727" customFormat="false" ht="17.15" hidden="false" customHeight="false" outlineLevel="0" collapsed="false">
      <c r="A7727" s="1" t="s">
        <v>951</v>
      </c>
      <c r="B7727" s="0" t="s">
        <v>98</v>
      </c>
      <c r="E7727" s="6" t="n">
        <f aca="false">Sens!E7643+Sens!E7725</f>
        <v>38.534</v>
      </c>
      <c r="F7727" s="6" t="n">
        <f aca="false">Sens!F7643+Sens!F7725</f>
        <v>58.4423344144339</v>
      </c>
      <c r="G7727" s="6" t="n">
        <f aca="false">Sens!G7643+Sens!G7725</f>
        <v>85.2121793647873</v>
      </c>
      <c r="H7727" s="6" t="n">
        <f aca="false">Sens!H7643+Sens!H7725</f>
        <v>114.53247286454</v>
      </c>
      <c r="I7727" s="6" t="n">
        <f aca="false">Sens!I7643+Sens!I7725</f>
        <v>141.15775636708</v>
      </c>
      <c r="J7727" s="6" t="n">
        <f aca="false">Sens!J7643+Sens!J7725</f>
        <v>161.115808840598</v>
      </c>
      <c r="K7727" s="6" t="n">
        <f aca="false">Sens!K7643+Sens!K7725</f>
        <v>174.898047937672</v>
      </c>
    </row>
    <row r="7728" customFormat="false" ht="17.15" hidden="false" customHeight="false" outlineLevel="0" collapsed="false">
      <c r="A7728" s="1" t="s">
        <v>952</v>
      </c>
      <c r="B7728" s="0" t="s">
        <v>98</v>
      </c>
      <c r="F7728" s="6" t="n">
        <f aca="false">Sens!F7670*sbc_r</f>
        <v>15.1102235514243</v>
      </c>
      <c r="G7728" s="6" t="n">
        <f aca="false">Sens!G7670*sbc_r</f>
        <v>18.3278805104623</v>
      </c>
      <c r="H7728" s="6" t="n">
        <f aca="false">Sens!H7670*sbc_r</f>
        <v>21.7598337411342</v>
      </c>
      <c r="I7728" s="6" t="n">
        <f aca="false">Sens!I7670*sbc_r</f>
        <v>24.6465378562293</v>
      </c>
      <c r="J7728" s="6" t="n">
        <f aca="false">Sens!J7670*sbc_r</f>
        <v>26.9231254690357</v>
      </c>
      <c r="K7728" s="6" t="n">
        <f aca="false">Sens!K7670*sbc_r</f>
        <v>28.6927487576207</v>
      </c>
    </row>
    <row r="7729" customFormat="false" ht="17.15" hidden="false" customHeight="false" outlineLevel="0" collapsed="false">
      <c r="A7729" s="1" t="s">
        <v>953</v>
      </c>
      <c r="B7729" s="0" t="s">
        <v>98</v>
      </c>
      <c r="F7729" s="6" t="n">
        <f aca="false">wc27</f>
        <v>-4.895</v>
      </c>
      <c r="G7729" s="6" t="n">
        <f aca="false">wc_f</f>
        <v>0</v>
      </c>
      <c r="H7729" s="6" t="n">
        <f aca="false">wc_f</f>
        <v>0</v>
      </c>
      <c r="I7729" s="6" t="n">
        <f aca="false">wc_f</f>
        <v>0</v>
      </c>
      <c r="J7729" s="6" t="n">
        <f aca="false">wc_f</f>
        <v>0</v>
      </c>
      <c r="K7729" s="6" t="n">
        <f aca="false">wc_f</f>
        <v>0</v>
      </c>
      <c r="L7729" s="11" t="s">
        <v>954</v>
      </c>
    </row>
    <row r="7730" customFormat="false" ht="15" hidden="false" customHeight="false" outlineLevel="0" collapsed="false">
      <c r="A7730" s="1" t="s">
        <v>767</v>
      </c>
      <c r="B7730" s="0" t="s">
        <v>98</v>
      </c>
      <c r="E7730" s="6" t="n">
        <f aca="false">Q!M35</f>
        <v>182.935</v>
      </c>
      <c r="F7730" s="6" t="n">
        <f aca="false">Sens!F7724+Sens!F7727+Sens!F7728+Sens!F7729</f>
        <v>213.198576355916</v>
      </c>
      <c r="G7730" s="6" t="n">
        <f aca="false">Sens!G7724+Sens!G7727+Sens!G7728+Sens!G7729</f>
        <v>272.364244118337</v>
      </c>
      <c r="H7730" s="6" t="n">
        <f aca="false">Sens!H7724+Sens!H7727+Sens!H7728+Sens!H7729</f>
        <v>332.44286782369</v>
      </c>
      <c r="I7730" s="6" t="n">
        <f aca="false">Sens!I7724+Sens!I7727+Sens!I7728+Sens!I7729</f>
        <v>382.398297813037</v>
      </c>
      <c r="J7730" s="6" t="n">
        <f aca="false">Sens!J7724+Sens!J7727+Sens!J7728+Sens!J7729</f>
        <v>421.692418063089</v>
      </c>
      <c r="K7730" s="6" t="n">
        <f aca="false">Sens!K7724+Sens!K7727+Sens!K7728+Sens!K7729</f>
        <v>452.177074077312</v>
      </c>
    </row>
    <row r="7731" customFormat="false" ht="17.15" hidden="false" customHeight="false" outlineLevel="0" collapsed="false">
      <c r="A7731" s="0" t="s">
        <v>955</v>
      </c>
      <c r="B7731" s="0" t="s">
        <v>98</v>
      </c>
      <c r="F7731" s="6" t="n">
        <f aca="false">Sens!F7640</f>
        <v>160.332875871467</v>
      </c>
      <c r="G7731" s="6" t="n">
        <f aca="false">Sens!G7640</f>
        <v>183.5741804832</v>
      </c>
      <c r="H7731" s="6" t="n">
        <f aca="false">Sens!H7640</f>
        <v>188.0802859104</v>
      </c>
      <c r="I7731" s="6" t="n">
        <f aca="false">Sens!I7640</f>
        <v>163.706669154245</v>
      </c>
      <c r="J7731" s="6" t="n">
        <f aca="false">Sens!J7640</f>
        <v>127.181436594242</v>
      </c>
      <c r="K7731" s="6" t="n">
        <f aca="false">Sens!K7640</f>
        <v>121.407415303591</v>
      </c>
    </row>
    <row r="7732" customFormat="false" ht="17.15" hidden="false" customHeight="false" outlineLevel="0" collapsed="false">
      <c r="A7732" s="1" t="s">
        <v>956</v>
      </c>
      <c r="B7732" s="0" t="s">
        <v>98</v>
      </c>
      <c r="E7732" s="6" t="n">
        <f aca="false">Sens!E7648*cx_azo+Sens!E7655*cx_m365+Sens!E7656*cx_lic+(Sens!E7658+Sens!E7660)*cx_ind+Sens!E7663*cx_srch+(Sens!E7665+Sens!E7667)*cx_dev</f>
        <v>30.1846587067718</v>
      </c>
      <c r="F7732" s="6" t="n">
        <f aca="false">Sens!F7648*cx_azo+Sens!F7655*cx_m365+Sens!F7656*cx_lic+(Sens!F7658+Sens!F7660)*cx_ind+Sens!F7663*cx_srch+(Sens!F7665+Sens!F7667)*cx_dev</f>
        <v>35.6552187360286</v>
      </c>
      <c r="G7732" s="6" t="n">
        <f aca="false">Sens!G7648*cx_azo+Sens!G7655*cx_m365+Sens!G7656*cx_lic+(Sens!G7658+Sens!G7660)*cx_ind+Sens!G7663*cx_srch+(Sens!G7665+Sens!G7667)*cx_dev</f>
        <v>41.3353992414566</v>
      </c>
      <c r="H7732" s="6" t="n">
        <f aca="false">Sens!H7648*cx_azo+Sens!H7655*cx_m365+Sens!H7656*cx_lic+(Sens!H7658+Sens!H7660)*cx_ind+Sens!H7663*cx_srch+(Sens!H7665+Sens!H7667)*cx_dev</f>
        <v>46.9338499238012</v>
      </c>
      <c r="I7732" s="6" t="n">
        <f aca="false">Sens!I7648*cx_azo+Sens!I7655*cx_m365+Sens!I7656*cx_lic+(Sens!I7658+Sens!I7660)*cx_ind+Sens!I7663*cx_srch+(Sens!I7665+Sens!I7667)*cx_dev</f>
        <v>51.9770481558128</v>
      </c>
      <c r="J7732" s="6" t="n">
        <f aca="false">Sens!J7648*cx_azo+Sens!J7655*cx_m365+Sens!J7656*cx_lic+(Sens!J7658+Sens!J7660)*cx_ind+Sens!J7663*cx_srch+(Sens!J7665+Sens!J7667)*cx_dev</f>
        <v>56.2067470653624</v>
      </c>
      <c r="K7732" s="6" t="n">
        <f aca="false">Sens!K7648*cx_azo+Sens!K7655*cx_m365+Sens!K7656*cx_lic+(Sens!K7658+Sens!K7660)*cx_ind+Sens!K7663*cx_srch+(Sens!K7665+Sens!K7667)*cx_dev</f>
        <v>59.608465043846</v>
      </c>
    </row>
    <row r="7733" customFormat="false" ht="17.15" hidden="false" customHeight="false" outlineLevel="0" collapsed="false">
      <c r="A7733" s="0" t="s">
        <v>957</v>
      </c>
      <c r="B7733" s="0" t="s">
        <v>98</v>
      </c>
      <c r="F7733" s="6" t="n">
        <f aca="false">Sens!F7638</f>
        <v>8.21190539250474</v>
      </c>
      <c r="L7733" s="1" t="s">
        <v>958</v>
      </c>
    </row>
    <row r="7734" customFormat="false" ht="17.15" hidden="false" customHeight="false" outlineLevel="0" collapsed="false">
      <c r="A7734" s="1" t="s">
        <v>959</v>
      </c>
      <c r="B7734" s="0" t="s">
        <v>98</v>
      </c>
      <c r="E7734" s="6" t="n">
        <f aca="false">Q!M42</f>
        <v>145.3</v>
      </c>
      <c r="F7734" s="6" t="n">
        <f aca="false">Sens!F7731+Sens!F7732+Sens!F7733</f>
        <v>204.2</v>
      </c>
      <c r="G7734" s="6" t="n">
        <f aca="false">Sens!G7731+Sens!G7732</f>
        <v>224.909579724657</v>
      </c>
      <c r="H7734" s="6" t="n">
        <f aca="false">Sens!H7731+Sens!H7732</f>
        <v>235.014135834201</v>
      </c>
      <c r="I7734" s="6" t="n">
        <f aca="false">Sens!I7731+Sens!I7732</f>
        <v>215.683717310058</v>
      </c>
      <c r="J7734" s="6" t="n">
        <f aca="false">Sens!J7731+Sens!J7732</f>
        <v>183.388183659605</v>
      </c>
      <c r="K7734" s="6" t="n">
        <f aca="false">Sens!K7731+Sens!K7732</f>
        <v>181.015880347437</v>
      </c>
      <c r="L7734" s="1" t="s">
        <v>960</v>
      </c>
    </row>
    <row r="7735" customFormat="false" ht="15" hidden="false" customHeight="false" outlineLevel="0" collapsed="false">
      <c r="A7735" s="1" t="s">
        <v>961</v>
      </c>
      <c r="B7735" s="0" t="s">
        <v>98</v>
      </c>
      <c r="E7735" s="6" t="n">
        <f aca="false">fl_liab</f>
        <v>66.594</v>
      </c>
      <c r="F7735" s="6" t="n">
        <f aca="false">Sens!E7735-Sens!F7736</f>
        <v>62.46973</v>
      </c>
      <c r="G7735" s="6" t="n">
        <f aca="false">Sens!F7735-Sens!G7736</f>
        <v>57.98686785</v>
      </c>
      <c r="H7735" s="6" t="n">
        <f aca="false">Sens!G7735-Sens!H7736</f>
        <v>53.92827690325</v>
      </c>
      <c r="I7735" s="6" t="n">
        <f aca="false">Sens!H7735-Sens!I7736</f>
        <v>49.7850493638962</v>
      </c>
      <c r="J7735" s="6" t="n">
        <f aca="false">Sens!I7735-Sens!J7736</f>
        <v>45.4823765852716</v>
      </c>
      <c r="K7735" s="6" t="n">
        <f aca="false">Sens!J7735-Sens!K7736</f>
        <v>40.9860835316088</v>
      </c>
    </row>
    <row r="7736" customFormat="false" ht="15" hidden="false" customHeight="false" outlineLevel="0" collapsed="false">
      <c r="A7736" s="1" t="s">
        <v>962</v>
      </c>
      <c r="B7736" s="0" t="s">
        <v>98</v>
      </c>
      <c r="F7736" s="6" t="n">
        <f aca="false">fl_pay_27-Sens!E7735*fl_rate</f>
        <v>4.12427</v>
      </c>
      <c r="G7736" s="6" t="n">
        <f aca="false">fl_pay_28-Sens!F7735*fl_rate</f>
        <v>4.48286215</v>
      </c>
      <c r="H7736" s="6" t="n">
        <f aca="false">fl_pay_29-Sens!G7735*fl_rate</f>
        <v>4.05859094675</v>
      </c>
      <c r="I7736" s="6" t="n">
        <f aca="false">fl_pay_30-Sens!H7735*fl_rate</f>
        <v>4.14322753935375</v>
      </c>
      <c r="J7736" s="6" t="n">
        <f aca="false">fl_pay_31-Sens!I7735*fl_rate</f>
        <v>4.30267277862467</v>
      </c>
      <c r="K7736" s="6" t="n">
        <f aca="false">fl_pay_32-Sens!J7735*fl_rate</f>
        <v>4.49629305366278</v>
      </c>
    </row>
    <row r="7737" customFormat="false" ht="17.15" hidden="false" customHeight="false" outlineLevel="0" collapsed="false">
      <c r="A7737" s="1" t="s">
        <v>963</v>
      </c>
      <c r="B7737" s="0" t="s">
        <v>98</v>
      </c>
      <c r="E7737" s="6" t="n">
        <f aca="false">Q!M35-Q!M36-Q!M43</f>
        <v>63.886</v>
      </c>
      <c r="F7737" s="6" t="n">
        <f aca="false">Sens!F7730-Sens!F7734-Sens!F7736</f>
        <v>4.87430635591573</v>
      </c>
      <c r="G7737" s="6" t="n">
        <f aca="false">Sens!G7730-Sens!G7734-Sens!G7736</f>
        <v>42.9718022436806</v>
      </c>
      <c r="H7737" s="6" t="n">
        <f aca="false">Sens!H7730-Sens!H7734-Sens!H7736</f>
        <v>93.3701410427385</v>
      </c>
      <c r="I7737" s="6" t="n">
        <f aca="false">Sens!I7730-Sens!I7734-Sens!I7736</f>
        <v>162.571352963625</v>
      </c>
      <c r="J7737" s="6" t="n">
        <f aca="false">Sens!J7730-Sens!J7734-Sens!J7736</f>
        <v>234.00156162486</v>
      </c>
      <c r="K7737" s="6" t="n">
        <f aca="false">Sens!K7730-Sens!K7734-Sens!K7736</f>
        <v>266.664900676212</v>
      </c>
      <c r="L7737" s="11" t="s">
        <v>964</v>
      </c>
    </row>
    <row r="7738" customFormat="false" ht="15" hidden="false" customHeight="false" outlineLevel="0" collapsed="false">
      <c r="A7738" s="1" t="s">
        <v>965</v>
      </c>
      <c r="B7738" s="0" t="s">
        <v>75</v>
      </c>
      <c r="F7738" s="8" t="n">
        <f aca="false">dps_27</f>
        <v>3.85</v>
      </c>
      <c r="G7738" s="8" t="n">
        <f aca="false">Sens!F7738*(1+dps_g)</f>
        <v>4.158</v>
      </c>
      <c r="H7738" s="8" t="n">
        <f aca="false">Sens!G7738*(1+dps_g)</f>
        <v>4.49064</v>
      </c>
      <c r="I7738" s="8" t="n">
        <f aca="false">Sens!H7738*(1+dps_g)</f>
        <v>4.8498912</v>
      </c>
      <c r="J7738" s="8" t="n">
        <f aca="false">Sens!I7738*(1+dps_g)</f>
        <v>5.237882496</v>
      </c>
      <c r="K7738" s="8" t="n">
        <f aca="false">Sens!J7738*(1+dps_g)</f>
        <v>5.65691309568</v>
      </c>
    </row>
    <row r="7739" customFormat="false" ht="17.15" hidden="false" customHeight="false" outlineLevel="0" collapsed="false">
      <c r="A7739" s="1" t="s">
        <v>966</v>
      </c>
      <c r="B7739" s="0" t="s">
        <v>98</v>
      </c>
      <c r="E7739" s="6" t="n">
        <f aca="false">Q!M41</f>
        <v>26.445</v>
      </c>
      <c r="F7739" s="6" t="n">
        <f aca="false">Sens!F7738*Sens!E7748</f>
        <v>28.59395</v>
      </c>
      <c r="G7739" s="6" t="n">
        <f aca="false">Sens!G7738*Sens!F7748</f>
        <v>31.068576</v>
      </c>
      <c r="H7739" s="6" t="n">
        <f aca="false">Sens!H7738*Sens!G7748</f>
        <v>33.6667205777642</v>
      </c>
      <c r="I7739" s="6" t="n">
        <f aca="false">Sens!I7738*Sens!H7748</f>
        <v>36.4109974639848</v>
      </c>
      <c r="J7739" s="6" t="n">
        <f aca="false">Sens!J7738*Sens!I7748</f>
        <v>39.392276109423</v>
      </c>
      <c r="K7739" s="6" t="n">
        <f aca="false">Sens!K7738*Sens!J7748</f>
        <v>42.6309134234819</v>
      </c>
      <c r="L7739" s="1" t="s">
        <v>967</v>
      </c>
    </row>
    <row r="7740" customFormat="false" ht="15" hidden="false" customHeight="false" outlineLevel="0" collapsed="false">
      <c r="A7740" s="1" t="s">
        <v>968</v>
      </c>
      <c r="B7740" s="0" t="s">
        <v>98</v>
      </c>
      <c r="E7740" s="6" t="n">
        <f aca="false">Sens!E7737-Sens!E7739</f>
        <v>37.441</v>
      </c>
      <c r="F7740" s="6" t="n">
        <f aca="false">Sens!F7737-Sens!F7739</f>
        <v>-23.7196436440843</v>
      </c>
      <c r="G7740" s="6" t="n">
        <f aca="false">Sens!G7737-Sens!G7739</f>
        <v>11.9032262436806</v>
      </c>
      <c r="H7740" s="6" t="n">
        <f aca="false">Sens!H7737-Sens!H7739</f>
        <v>59.7034204649743</v>
      </c>
      <c r="I7740" s="6" t="n">
        <f aca="false">Sens!I7737-Sens!I7739</f>
        <v>126.16035549964</v>
      </c>
      <c r="J7740" s="6" t="n">
        <f aca="false">Sens!J7737-Sens!J7739</f>
        <v>194.609285515437</v>
      </c>
      <c r="K7740" s="6" t="n">
        <f aca="false">Sens!K7737-Sens!K7739</f>
        <v>224.03398725273</v>
      </c>
    </row>
    <row r="7741" customFormat="false" ht="15" hidden="false" customHeight="false" outlineLevel="0" collapsed="false">
      <c r="A7741" s="1" t="s">
        <v>969</v>
      </c>
      <c r="B7741" s="0" t="s">
        <v>98</v>
      </c>
      <c r="F7741" s="6" t="n">
        <f aca="false">debt_mat_27</f>
        <v>9.25</v>
      </c>
      <c r="G7741" s="6" t="n">
        <f aca="false">debt_mat_28</f>
        <v>0</v>
      </c>
      <c r="H7741" s="6" t="n">
        <f aca="false">debt_mat_29</f>
        <v>2.001</v>
      </c>
      <c r="I7741" s="6" t="n">
        <f aca="false">debt_mat_30</f>
        <v>0</v>
      </c>
      <c r="J7741" s="6" t="n">
        <f aca="false">debt_mat_31</f>
        <v>0.5</v>
      </c>
      <c r="K7741" s="6" t="n">
        <f aca="false">debt_mat_32</f>
        <v>0</v>
      </c>
    </row>
    <row r="7742" customFormat="false" ht="15" hidden="false" customHeight="false" outlineLevel="0" collapsed="false">
      <c r="A7742" s="1" t="s">
        <v>970</v>
      </c>
      <c r="B7742" s="0" t="s">
        <v>98</v>
      </c>
      <c r="E7742" s="6" t="n">
        <f aca="false">Q!M40</f>
        <v>22.271</v>
      </c>
      <c r="F7742" s="6" t="n">
        <f aca="false">MAX(0,MIN(bb_target,Sens!E7744+Sens!F7740-Sens!F7741-min_cash))</f>
        <v>0</v>
      </c>
      <c r="G7742" s="6" t="n">
        <f aca="false">MAX(0,MIN(bb_target,Sens!F7744+Sens!G7740-Sens!G7741-min_cash))</f>
        <v>11.9032262436806</v>
      </c>
      <c r="H7742" s="6" t="n">
        <f aca="false">MAX(0,MIN(bb_target,Sens!G7744+Sens!H7740-Sens!H7741-min_cash))</f>
        <v>22.271</v>
      </c>
      <c r="I7742" s="6" t="n">
        <f aca="false">MAX(0,MIN(bb_target,Sens!H7744+Sens!I7740-Sens!I7741-min_cash))</f>
        <v>22.271</v>
      </c>
      <c r="J7742" s="6" t="n">
        <f aca="false">MAX(0,MIN(bb_target,Sens!I7744+Sens!J7740-Sens!J7741-min_cash))</f>
        <v>22.271</v>
      </c>
      <c r="K7742" s="6" t="n">
        <f aca="false">MAX(0,MIN(bb_target,Sens!J7744+Sens!K7740-Sens!K7741-min_cash))</f>
        <v>22.271</v>
      </c>
    </row>
    <row r="7743" customFormat="false" ht="15" hidden="false" customHeight="false" outlineLevel="0" collapsed="false">
      <c r="A7743" s="1" t="s">
        <v>971</v>
      </c>
      <c r="B7743" s="0" t="s">
        <v>98</v>
      </c>
      <c r="F7743" s="6" t="n">
        <f aca="false">MAX(0,min_cash-(Sens!E7744+Sens!F7740-Sens!F7741-Sens!F7742))</f>
        <v>6.12664364408427</v>
      </c>
      <c r="G7743" s="6" t="n">
        <f aca="false">MAX(0,min_cash-(Sens!F7744+Sens!G7740-Sens!G7741-Sens!G7742))</f>
        <v>0</v>
      </c>
      <c r="H7743" s="6" t="n">
        <f aca="false">MAX(0,min_cash-(Sens!G7744+Sens!H7740-Sens!H7741-Sens!H7742))</f>
        <v>0</v>
      </c>
      <c r="I7743" s="6" t="n">
        <f aca="false">MAX(0,min_cash-(Sens!H7744+Sens!I7740-Sens!I7741-Sens!I7742))</f>
        <v>0</v>
      </c>
      <c r="J7743" s="6" t="n">
        <f aca="false">MAX(0,min_cash-(Sens!I7744+Sens!J7740-Sens!J7741-Sens!J7742))</f>
        <v>0</v>
      </c>
      <c r="K7743" s="6" t="n">
        <f aca="false">MAX(0,min_cash-(Sens!J7744+Sens!K7740-Sens!K7741-Sens!K7742))</f>
        <v>0</v>
      </c>
    </row>
    <row r="7744" customFormat="false" ht="15" hidden="false" customHeight="false" outlineLevel="0" collapsed="false">
      <c r="A7744" s="1" t="s">
        <v>972</v>
      </c>
      <c r="B7744" s="0" t="s">
        <v>98</v>
      </c>
      <c r="E7744" s="6" t="n">
        <f aca="false">cash_open</f>
        <v>76.843</v>
      </c>
      <c r="F7744" s="6" t="n">
        <f aca="false">Sens!E7744+Sens!F7740-Sens!F7741-Sens!F7742+Sens!F7743</f>
        <v>50</v>
      </c>
      <c r="G7744" s="6" t="n">
        <f aca="false">Sens!F7744+Sens!G7740-Sens!G7741-Sens!G7742+Sens!G7743</f>
        <v>50</v>
      </c>
      <c r="H7744" s="6" t="n">
        <f aca="false">Sens!G7744+Sens!H7740-Sens!H7741-Sens!H7742+Sens!H7743</f>
        <v>85.4314204649743</v>
      </c>
      <c r="I7744" s="6" t="n">
        <f aca="false">Sens!H7744+Sens!I7740-Sens!I7741-Sens!I7742+Sens!I7743</f>
        <v>189.320775964614</v>
      </c>
      <c r="J7744" s="6" t="n">
        <f aca="false">Sens!I7744+Sens!J7740-Sens!J7741-Sens!J7742+Sens!J7743</f>
        <v>361.159061480051</v>
      </c>
      <c r="K7744" s="6" t="n">
        <f aca="false">Sens!J7744+Sens!K7740-Sens!K7741-Sens!K7742+Sens!K7743</f>
        <v>562.922048732781</v>
      </c>
    </row>
    <row r="7745" customFormat="false" ht="15" hidden="false" customHeight="false" outlineLevel="0" collapsed="false">
      <c r="A7745" s="1" t="s">
        <v>973</v>
      </c>
      <c r="B7745" s="0" t="s">
        <v>98</v>
      </c>
      <c r="E7745" s="6" t="n">
        <f aca="false">debt_face</f>
        <v>46.136</v>
      </c>
      <c r="F7745" s="6" t="n">
        <f aca="false">Sens!E7745-Sens!F7741+Sens!F7743</f>
        <v>43.0126436440843</v>
      </c>
      <c r="G7745" s="6" t="n">
        <f aca="false">Sens!F7745-Sens!G7741+Sens!G7743</f>
        <v>43.0126436440843</v>
      </c>
      <c r="H7745" s="6" t="n">
        <f aca="false">Sens!G7745-Sens!H7741+Sens!H7743</f>
        <v>41.0116436440843</v>
      </c>
      <c r="I7745" s="6" t="n">
        <f aca="false">Sens!H7745-Sens!I7741+Sens!I7743</f>
        <v>41.0116436440843</v>
      </c>
      <c r="J7745" s="6" t="n">
        <f aca="false">Sens!I7745-Sens!J7741+Sens!J7743</f>
        <v>40.5116436440843</v>
      </c>
      <c r="K7745" s="6" t="n">
        <f aca="false">Sens!J7745-Sens!K7741+Sens!K7743</f>
        <v>40.5116436440843</v>
      </c>
    </row>
    <row r="7746" customFormat="false" ht="15" hidden="false" customHeight="false" outlineLevel="0" collapsed="false">
      <c r="A7746" s="1" t="s">
        <v>974</v>
      </c>
      <c r="B7746" s="0" t="s">
        <v>98</v>
      </c>
      <c r="E7746" s="6" t="n">
        <f aca="false">Sens!E7744-Sens!E7745</f>
        <v>30.707</v>
      </c>
      <c r="F7746" s="6" t="n">
        <f aca="false">Sens!F7744-Sens!F7745</f>
        <v>6.98735635591573</v>
      </c>
      <c r="G7746" s="6" t="n">
        <f aca="false">Sens!G7744-Sens!G7745</f>
        <v>6.98735635591573</v>
      </c>
      <c r="H7746" s="6" t="n">
        <f aca="false">Sens!H7744-Sens!H7745</f>
        <v>44.41977682089</v>
      </c>
      <c r="I7746" s="6" t="n">
        <f aca="false">Sens!I7744-Sens!I7745</f>
        <v>148.30913232053</v>
      </c>
      <c r="J7746" s="6" t="n">
        <f aca="false">Sens!J7744-Sens!J7745</f>
        <v>320.647417835967</v>
      </c>
      <c r="K7746" s="6" t="n">
        <f aca="false">Sens!K7744-Sens!K7745</f>
        <v>522.410405088697</v>
      </c>
    </row>
    <row r="7747" customFormat="false" ht="15" hidden="false" customHeight="false" outlineLevel="0" collapsed="false">
      <c r="A7747" s="1" t="s">
        <v>975</v>
      </c>
      <c r="B7747" s="0" t="s">
        <v>75</v>
      </c>
      <c r="F7747" s="29" t="n">
        <f aca="false">px*(1+bb_g)^(Sens!F7609-base_fy-mid_yr)</f>
        <v>553.494156066711</v>
      </c>
      <c r="G7747" s="29" t="n">
        <f aca="false">px*(1+bb_g)^(Sens!G7609-base_fy-mid_yr)</f>
        <v>597.773688552047</v>
      </c>
      <c r="H7747" s="29" t="n">
        <f aca="false">px*(1+bb_g)^(Sens!H7609-base_fy-mid_yr)</f>
        <v>645.595583636211</v>
      </c>
      <c r="I7747" s="29" t="n">
        <f aca="false">px*(1+bb_g)^(Sens!I7609-base_fy-mid_yr)</f>
        <v>697.243230327108</v>
      </c>
      <c r="J7747" s="29" t="n">
        <f aca="false">px*(1+bb_g)^(Sens!J7609-base_fy-mid_yr)</f>
        <v>753.022688753277</v>
      </c>
      <c r="K7747" s="29" t="n">
        <f aca="false">px*(1+bb_g)^(Sens!K7609-base_fy-mid_yr)</f>
        <v>813.264503853539</v>
      </c>
    </row>
    <row r="7748" customFormat="false" ht="15" hidden="false" customHeight="false" outlineLevel="0" collapsed="false">
      <c r="A7748" s="1" t="s">
        <v>976</v>
      </c>
      <c r="B7748" s="1" t="s">
        <v>81</v>
      </c>
      <c r="E7748" s="14" t="n">
        <f aca="false">sh_out26</f>
        <v>7.427</v>
      </c>
      <c r="F7748" s="14" t="n">
        <f aca="false">Sens!E7748+sh_iss-Sens!F7742/Sens!F7747</f>
        <v>7.472</v>
      </c>
      <c r="G7748" s="14" t="n">
        <f aca="false">Sens!F7748+sh_iss-Sens!G7742/Sens!G7747</f>
        <v>7.49708740352471</v>
      </c>
      <c r="H7748" s="14" t="n">
        <f aca="false">Sens!G7748+sh_iss-Sens!H7742/Sens!H7747</f>
        <v>7.50759057522462</v>
      </c>
      <c r="I7748" s="14" t="n">
        <f aca="false">Sens!H7748+sh_iss-Sens!I7742/Sens!I7747</f>
        <v>7.52064906753934</v>
      </c>
      <c r="J7748" s="14" t="n">
        <f aca="false">Sens!I7748+sh_iss-Sens!J7742/Sens!J7747</f>
        <v>7.53607359746038</v>
      </c>
      <c r="K7748" s="14" t="n">
        <f aca="false">Sens!J7748+sh_iss-Sens!K7742/Sens!K7747</f>
        <v>7.55368890294283</v>
      </c>
    </row>
    <row r="7749" customFormat="false" ht="15" hidden="false" customHeight="false" outlineLevel="0" collapsed="false">
      <c r="A7749" s="1" t="s">
        <v>977</v>
      </c>
      <c r="B7749" s="1" t="s">
        <v>81</v>
      </c>
      <c r="E7749" s="14" t="n">
        <f aca="false">sh_dil26</f>
        <v>7.453</v>
      </c>
      <c r="F7749" s="14" t="n">
        <f aca="false">(Sens!E7748+Sens!F7748)/2+dil_gap</f>
        <v>7.4735</v>
      </c>
      <c r="G7749" s="14" t="n">
        <f aca="false">(Sens!F7748+Sens!G7748)/2+dil_gap</f>
        <v>7.50854370176236</v>
      </c>
      <c r="H7749" s="14" t="n">
        <f aca="false">(Sens!G7748+Sens!H7748)/2+dil_gap</f>
        <v>7.52633898937466</v>
      </c>
      <c r="I7749" s="14" t="n">
        <f aca="false">(Sens!H7748+Sens!I7748)/2+dil_gap</f>
        <v>7.53811982138198</v>
      </c>
      <c r="J7749" s="14" t="n">
        <f aca="false">(Sens!I7748+Sens!J7748)/2+dil_gap</f>
        <v>7.55236133249986</v>
      </c>
      <c r="K7749" s="14" t="n">
        <f aca="false">(Sens!J7748+Sens!K7748)/2+dil_gap</f>
        <v>7.5688812502016</v>
      </c>
    </row>
    <row r="7750" customFormat="false" ht="17.15" hidden="false" customHeight="false" outlineLevel="0" collapsed="false">
      <c r="A7750" s="1" t="s">
        <v>978</v>
      </c>
      <c r="B7750" s="0" t="s">
        <v>98</v>
      </c>
      <c r="C7750" s="6" t="n">
        <f aca="false">SUM(Sens!F7740:J7740)</f>
        <v>368.656644079647</v>
      </c>
    </row>
    <row r="7751" customFormat="false" ht="15" hidden="false" customHeight="false" outlineLevel="0" collapsed="false">
      <c r="A7751" s="23" t="s">
        <v>945</v>
      </c>
      <c r="B7751" s="30" t="s">
        <v>98</v>
      </c>
      <c r="C7751" s="24" t="n">
        <f aca="false">Sens!$C$7750-(Sens!F7740+Sens!G7740+Sens!H7740+Sens!I7740+Sens!J7740)</f>
        <v>0</v>
      </c>
      <c r="D7751" s="30"/>
      <c r="E7751" s="30"/>
      <c r="F7751" s="30"/>
      <c r="G7751" s="30"/>
      <c r="H7751" s="30"/>
      <c r="I7751" s="30"/>
      <c r="J7751" s="30"/>
      <c r="K7751" s="30"/>
    </row>
    <row r="7752" customFormat="false" ht="17.15" hidden="false" customHeight="false" outlineLevel="0" collapsed="false">
      <c r="A7752" s="1" t="s">
        <v>939</v>
      </c>
      <c r="B7752" s="1" t="s">
        <v>979</v>
      </c>
      <c r="C7752" s="32" t="str">
        <f aca="false">IF(SUM(Sens!F7743:J7743)&gt;0.05,"需要舉債 "&amp;TEXT(SUM(Sens!F7743:J7743),"0.0")&amp;" 十億美元","不需舉債")&amp;"；"&amp;IF(SUM(Sens!F7742:J7742)&lt;COUNT(Sens!F7742:J7742)*bb_target-0.05,"回購較每年 "&amp;TEXT(bb_target,"0.0")&amp;" 的目標少 "&amp;TEXT(COUNT(Sens!F7742:J7742)*bb_target-SUM(Sens!F7742:J7742),"0.0")&amp;" 十億美元（"&amp;TEXT(COUNTIF(Sens!F7742:J7742,"&lt;"&amp;(bb_target-0.05)),"0")&amp;" 年減少）","回購不減")</f>
        <v>需要舉債 6.1 十億美元；回購較每年 22.3 的目標少 32.6 十億美元（2 年減少）</v>
      </c>
    </row>
    <row r="7753" customFormat="false" ht="17.15" hidden="false" customHeight="false" outlineLevel="0" collapsed="false">
      <c r="A7753" s="3" t="s">
        <v>1461</v>
      </c>
    </row>
    <row r="7754" customFormat="false" ht="15" hidden="false" customHeight="false" outlineLevel="0" collapsed="false">
      <c r="A7754" s="4" t="s">
        <v>43</v>
      </c>
      <c r="B7754" s="4" t="s">
        <v>65</v>
      </c>
      <c r="C7754" s="20" t="s">
        <v>799</v>
      </c>
      <c r="D7754" s="20" t="s">
        <v>800</v>
      </c>
      <c r="E7754" s="20" t="s">
        <v>801</v>
      </c>
      <c r="F7754" s="20" t="s">
        <v>802</v>
      </c>
      <c r="G7754" s="20" t="s">
        <v>803</v>
      </c>
      <c r="H7754" s="20" t="s">
        <v>804</v>
      </c>
      <c r="I7754" s="20" t="s">
        <v>805</v>
      </c>
      <c r="J7754" s="20" t="s">
        <v>806</v>
      </c>
      <c r="K7754" s="20" t="s">
        <v>807</v>
      </c>
      <c r="L7754" s="4" t="s">
        <v>47</v>
      </c>
    </row>
    <row r="7755" customFormat="false" ht="15" hidden="false" customHeight="false" outlineLevel="0" collapsed="false">
      <c r="A7755" s="1" t="s">
        <v>1057</v>
      </c>
      <c r="B7755" s="1" t="s">
        <v>235</v>
      </c>
      <c r="F7755" s="36" t="n">
        <f aca="false">Sens!F7609-base_fy-mid_yr</f>
        <v>0.5</v>
      </c>
      <c r="G7755" s="36" t="n">
        <f aca="false">Sens!G7609-base_fy-mid_yr</f>
        <v>1.5</v>
      </c>
      <c r="H7755" s="36" t="n">
        <f aca="false">Sens!H7609-base_fy-mid_yr</f>
        <v>2.5</v>
      </c>
      <c r="I7755" s="36" t="n">
        <f aca="false">Sens!I7609-base_fy-mid_yr</f>
        <v>3.5</v>
      </c>
      <c r="J7755" s="36" t="n">
        <f aca="false">Sens!J7609-base_fy-mid_yr</f>
        <v>4.5</v>
      </c>
      <c r="K7755" s="36" t="n">
        <f aca="false">Sens!K7609-base_fy-mid_yr</f>
        <v>5.5</v>
      </c>
    </row>
    <row r="7756" customFormat="false" ht="15" hidden="false" customHeight="false" outlineLevel="0" collapsed="false">
      <c r="A7756" s="1" t="s">
        <v>1058</v>
      </c>
      <c r="B7756" s="0" t="s">
        <v>185</v>
      </c>
      <c r="F7756" s="14" t="n">
        <f aca="false">1/(1+wacc)^Sens!F7755</f>
        <v>0.952193373608246</v>
      </c>
      <c r="G7756" s="14" t="n">
        <f aca="false">1/(1+wacc)^Sens!G7755</f>
        <v>0.863327280626589</v>
      </c>
      <c r="H7756" s="14" t="n">
        <f aca="false">1/(1+wacc)^Sens!H7755</f>
        <v>0.782754862754115</v>
      </c>
      <c r="I7756" s="14" t="n">
        <f aca="false">1/(1+wacc)^Sens!I7755</f>
        <v>0.709702089711011</v>
      </c>
      <c r="J7756" s="14" t="n">
        <f aca="false">1/(1+wacc)^Sens!J7755</f>
        <v>0.643467169744551</v>
      </c>
      <c r="K7756" s="14" t="n">
        <f aca="false">1/(1+wacc)^Sens!K7755</f>
        <v>0.583413807767797</v>
      </c>
    </row>
    <row r="7757" customFormat="false" ht="17.15" hidden="false" customHeight="false" outlineLevel="0" collapsed="false">
      <c r="A7757" s="1" t="s">
        <v>1059</v>
      </c>
      <c r="B7757" s="0" t="s">
        <v>98</v>
      </c>
      <c r="F7757" s="6" t="n">
        <f aca="false">Sens!F7730-Sens!F7728-Sens!F7734+Sens!F7713*(1-tax_f)</f>
        <v>0.642340362601684</v>
      </c>
      <c r="G7757" s="6" t="n">
        <f aca="false">Sens!G7730-Sens!G7728-Sens!G7734+Sens!G7713*(1-tax_f)</f>
        <v>46.219041708619</v>
      </c>
      <c r="H7757" s="6" t="n">
        <f aca="false">Sens!H7730-Sens!H7728-Sens!H7734+Sens!H7713*(1-tax_f)</f>
        <v>104.326609501463</v>
      </c>
      <c r="I7757" s="6" t="n">
        <f aca="false">Sens!I7730-Sens!I7728-Sens!I7734+Sens!I7713*(1-tax_f)</f>
        <v>181.563389966147</v>
      </c>
      <c r="J7757" s="6" t="n">
        <f aca="false">Sens!J7730-Sens!J7728-Sens!J7734+Sens!J7713*(1-tax_f)</f>
        <v>258.606926585597</v>
      </c>
      <c r="K7757" s="6" t="n">
        <f aca="false">Sens!K7730-Sens!K7728-Sens!K7734+Sens!K7713*(1-tax_f)</f>
        <v>293.844052795998</v>
      </c>
      <c r="L7757" s="1" t="s">
        <v>1060</v>
      </c>
    </row>
    <row r="7758" customFormat="false" ht="15" hidden="false" customHeight="false" outlineLevel="0" collapsed="false">
      <c r="A7758" s="1" t="s">
        <v>1061</v>
      </c>
      <c r="B7758" s="0" t="s">
        <v>98</v>
      </c>
      <c r="F7758" s="6" t="n">
        <f aca="false">Sens!F7757*Sens!F7756</f>
        <v>0.611632236870441</v>
      </c>
      <c r="G7758" s="6" t="n">
        <f aca="false">Sens!G7757*Sens!G7756</f>
        <v>39.9021595914689</v>
      </c>
      <c r="H7758" s="6" t="n">
        <f aca="false">Sens!H7757*Sens!H7756</f>
        <v>81.6621609019197</v>
      </c>
      <c r="I7758" s="6" t="n">
        <f aca="false">Sens!I7757*Sens!I7756</f>
        <v>128.85591727399</v>
      </c>
      <c r="J7758" s="6" t="n">
        <f aca="false">Sens!J7757*Sens!J7756</f>
        <v>166.405067126371</v>
      </c>
      <c r="K7758" s="6" t="n">
        <f aca="false">Sens!K7757*Sens!K7756</f>
        <v>171.432677731635</v>
      </c>
    </row>
    <row r="7759" customFormat="false" ht="17.15" hidden="false" customHeight="false" outlineLevel="0" collapsed="false">
      <c r="A7759" s="1" t="s">
        <v>1062</v>
      </c>
      <c r="B7759" s="0" t="s">
        <v>98</v>
      </c>
      <c r="C7759" s="6" t="n">
        <f aca="false">SUM(Sens!F7758:K7758)</f>
        <v>588.869614862255</v>
      </c>
    </row>
    <row r="7760" customFormat="false" ht="17.15" hidden="false" customHeight="false" outlineLevel="0" collapsed="false">
      <c r="A7760" s="1" t="s">
        <v>1063</v>
      </c>
      <c r="B7760" s="0" t="s">
        <v>98</v>
      </c>
      <c r="C7760" s="6" t="n">
        <f aca="false">Sens!K7699*(1+g_tv)*(1-tax_f)</f>
        <v>309.290341761936</v>
      </c>
    </row>
    <row r="7761" customFormat="false" ht="17.15" hidden="false" customHeight="false" outlineLevel="0" collapsed="false">
      <c r="A7761" s="1" t="s">
        <v>1064</v>
      </c>
      <c r="B7761" s="0" t="s">
        <v>98</v>
      </c>
      <c r="C7761" s="6" t="n">
        <f aca="false">Sens!$C$7760*(1-g_tv/(wacc+ronic_prem))</f>
        <v>219.148382983851</v>
      </c>
    </row>
    <row r="7762" customFormat="false" ht="17.15" hidden="false" customHeight="false" outlineLevel="0" collapsed="false">
      <c r="A7762" s="1" t="s">
        <v>1065</v>
      </c>
      <c r="B7762" s="0" t="s">
        <v>98</v>
      </c>
      <c r="C7762" s="6" t="n">
        <f aca="false">Sens!$C$7761/(wacc-g_tv)</f>
        <v>3004.7319592695</v>
      </c>
    </row>
    <row r="7763" customFormat="false" ht="15" hidden="false" customHeight="false" outlineLevel="0" collapsed="false">
      <c r="A7763" s="1" t="s">
        <v>1066</v>
      </c>
      <c r="B7763" s="0" t="s">
        <v>98</v>
      </c>
      <c r="C7763" s="6" t="n">
        <f aca="false">Sens!$C$7762/(1+wacc)^(Sens!K7755+mid_yr)</f>
        <v>1669.1969965664</v>
      </c>
    </row>
    <row r="7764" customFormat="false" ht="17.15" hidden="false" customHeight="false" outlineLevel="0" collapsed="false">
      <c r="A7764" s="0" t="s">
        <v>986</v>
      </c>
      <c r="B7764" s="0" t="s">
        <v>98</v>
      </c>
      <c r="C7764" s="6" t="n">
        <f aca="false">Sens!$C$7759+Sens!$C$7763</f>
        <v>2258.06661142866</v>
      </c>
    </row>
    <row r="7765" customFormat="false" ht="15" hidden="false" customHeight="false" outlineLevel="0" collapsed="false">
      <c r="A7765" s="1" t="s">
        <v>987</v>
      </c>
      <c r="B7765" s="0" t="s">
        <v>129</v>
      </c>
      <c r="C7765" s="7" t="n">
        <f aca="false">Sens!$C$7763/Sens!$C$7764</f>
        <v>0.739215126833799</v>
      </c>
    </row>
    <row r="7766" customFormat="false" ht="17.15" hidden="false" customHeight="false" outlineLevel="0" collapsed="false">
      <c r="A7766" s="1" t="s">
        <v>1067</v>
      </c>
      <c r="B7766" s="0" t="s">
        <v>98</v>
      </c>
      <c r="C7766" s="6" t="n">
        <f aca="false">Sens!$C$7764+Sens!E7746-Sens!E7735+oai_v</f>
        <v>2392.57961142866</v>
      </c>
    </row>
    <row r="7767" customFormat="false" ht="17.15" hidden="false" customHeight="false" outlineLevel="0" collapsed="false">
      <c r="A7767" s="0" t="s">
        <v>994</v>
      </c>
      <c r="B7767" s="0" t="s">
        <v>75</v>
      </c>
      <c r="C7767" s="5" t="n">
        <f aca="false">Sens!$C$7766/sh_dil26</f>
        <v>321.022354948163</v>
      </c>
    </row>
    <row r="7768" customFormat="false" ht="15" hidden="false" customHeight="false" outlineLevel="0" collapsed="false">
      <c r="A7768" s="1" t="s">
        <v>1068</v>
      </c>
      <c r="B7768" s="0" t="s">
        <v>75</v>
      </c>
      <c r="C7768" s="8" t="n">
        <f aca="false">dps_27+Sens!G7738*roll_div_q/q_per_yr</f>
        <v>4.8895</v>
      </c>
    </row>
    <row r="7769" customFormat="false" ht="17.15" hidden="false" customHeight="false" outlineLevel="0" collapsed="false">
      <c r="A7769" s="0" t="s">
        <v>1069</v>
      </c>
      <c r="B7769" s="0" t="s">
        <v>75</v>
      </c>
      <c r="C7769" s="5" t="n">
        <f aca="false">Sens!$C$7767*(1+wacc)^t_roll-Sens!$C$7768</f>
        <v>360.669374363658</v>
      </c>
    </row>
    <row r="7770" customFormat="false" ht="17.15" hidden="false" customHeight="false" outlineLevel="0" collapsed="false">
      <c r="A7770" s="1" t="s">
        <v>1070</v>
      </c>
      <c r="B7770" s="0" t="s">
        <v>129</v>
      </c>
      <c r="F7770" s="7" t="n">
        <f aca="false">Sens!F7725/(Sens!F7670-Sens!F7626)</f>
        <v>0.0706060545015426</v>
      </c>
      <c r="G7770" s="7" t="n">
        <f aca="false">Sens!G7725/(Sens!G7670-Sens!G7626)</f>
        <v>0.0670766442779559</v>
      </c>
      <c r="H7770" s="7" t="n">
        <f aca="false">Sens!H7725/(Sens!H7670-Sens!H7626)</f>
        <v>0.0651665702134983</v>
      </c>
      <c r="I7770" s="7" t="n">
        <f aca="false">Sens!I7725/(Sens!I7670-Sens!I7626)</f>
        <v>0.0647375336820908</v>
      </c>
      <c r="J7770" s="7" t="n">
        <f aca="false">Sens!J7725/(Sens!J7670-Sens!J7626)</f>
        <v>0.0654084262106306</v>
      </c>
      <c r="K7770" s="7" t="n">
        <f aca="false">Sens!K7725/(Sens!K7670-Sens!K7626)</f>
        <v>0.0666926552510256</v>
      </c>
    </row>
    <row r="7771" customFormat="false" ht="17.15" hidden="false" customHeight="false" outlineLevel="0" collapsed="false">
      <c r="A7771" s="0" t="s">
        <v>1071</v>
      </c>
      <c r="B7771" s="0" t="s">
        <v>98</v>
      </c>
      <c r="F7771" s="6" t="n">
        <f aca="false">Sens!F7655*(al_m365+Sens!F7770+sbc_r)</f>
        <v>85.2364429578825</v>
      </c>
      <c r="G7771" s="6" t="n">
        <f aca="false">Sens!G7655*(al_m365+Sens!G7770+sbc_r)</f>
        <v>99.7120959746088</v>
      </c>
      <c r="H7771" s="6" t="n">
        <f aca="false">Sens!H7655*(al_m365+Sens!H7770+sbc_r)</f>
        <v>114.359096511003</v>
      </c>
      <c r="I7771" s="6" t="n">
        <f aca="false">Sens!I7655*(al_m365+Sens!I7770+sbc_r)</f>
        <v>127.493799546505</v>
      </c>
      <c r="J7771" s="6" t="n">
        <f aca="false">Sens!J7655*(al_m365+Sens!J7770+sbc_r)</f>
        <v>138.929626813548</v>
      </c>
      <c r="K7771" s="6" t="n">
        <f aca="false">Sens!K7655*(al_m365+Sens!K7770+sbc_r)</f>
        <v>149.987734875324</v>
      </c>
      <c r="L7771" s="11" t="s">
        <v>1072</v>
      </c>
    </row>
    <row r="7772" customFormat="false" ht="17.15" hidden="false" customHeight="false" outlineLevel="0" collapsed="false">
      <c r="A7772" s="0" t="s">
        <v>1073</v>
      </c>
      <c r="B7772" s="0" t="s">
        <v>98</v>
      </c>
      <c r="F7772" s="6" t="n">
        <f aca="false">Sens!F7656*(al_lic+Sens!F7770+sbc_r)</f>
        <v>33.5234037516102</v>
      </c>
      <c r="G7772" s="6" t="n">
        <f aca="false">Sens!G7656*(al_lic+Sens!G7770+sbc_r)</f>
        <v>34.7991876387868</v>
      </c>
      <c r="H7772" s="6" t="n">
        <f aca="false">Sens!H7656*(al_lic+Sens!H7770+sbc_r)</f>
        <v>35.9976934717229</v>
      </c>
      <c r="I7772" s="6" t="n">
        <f aca="false">Sens!I7656*(al_lic+Sens!I7770+sbc_r)</f>
        <v>37.1011385768053</v>
      </c>
      <c r="J7772" s="6" t="n">
        <f aca="false">Sens!J7656*(al_lic+Sens!J7770+sbc_r)</f>
        <v>38.0803688801885</v>
      </c>
      <c r="K7772" s="6" t="n">
        <f aca="false">Sens!K7656*(al_lic+Sens!K7770+sbc_r)</f>
        <v>38.9004688933555</v>
      </c>
    </row>
    <row r="7773" customFormat="false" ht="17.15" hidden="false" customHeight="false" outlineLevel="0" collapsed="false">
      <c r="A7773" s="0" t="s">
        <v>1074</v>
      </c>
      <c r="B7773" s="0" t="s">
        <v>98</v>
      </c>
      <c r="F7773" s="6" t="n">
        <f aca="false">Sens!F7658*(al_ind+Sens!F7770+sbc_r)</f>
        <v>9.12149192950476</v>
      </c>
      <c r="G7773" s="6" t="n">
        <f aca="false">Sens!G7658*(al_ind+Sens!G7770+sbc_r)</f>
        <v>9.88466505685372</v>
      </c>
      <c r="H7773" s="6" t="n">
        <f aca="false">Sens!H7658*(al_ind+Sens!H7770+sbc_r)</f>
        <v>10.6972628674403</v>
      </c>
      <c r="I7773" s="6" t="n">
        <f aca="false">Sens!I7658*(al_ind+Sens!I7770+sbc_r)</f>
        <v>11.5574215901919</v>
      </c>
      <c r="J7773" s="6" t="n">
        <f aca="false">Sens!J7658*(al_ind+Sens!J7770+sbc_r)</f>
        <v>12.4539978369119</v>
      </c>
      <c r="K7773" s="6" t="n">
        <f aca="false">Sens!K7658*(al_ind+Sens!K7770+sbc_r)</f>
        <v>13.3682646084039</v>
      </c>
    </row>
    <row r="7774" customFormat="false" ht="17.15" hidden="false" customHeight="false" outlineLevel="0" collapsed="false">
      <c r="A7774" s="0" t="s">
        <v>1075</v>
      </c>
      <c r="B7774" s="0" t="s">
        <v>98</v>
      </c>
      <c r="F7774" s="6" t="n">
        <f aca="false">Sens!F7660*(al_fro+Sens!F7770+sbc_r)</f>
        <v>3.59025124719544</v>
      </c>
      <c r="G7774" s="6" t="n">
        <f aca="false">Sens!G7660*(al_fro+Sens!G7770+sbc_r)</f>
        <v>3.7951269838925</v>
      </c>
      <c r="H7774" s="6" t="n">
        <f aca="false">Sens!H7660*(al_fro+Sens!H7770+sbc_r)</f>
        <v>4.03109478959209</v>
      </c>
      <c r="I7774" s="6" t="n">
        <f aca="false">Sens!I7660*(al_fro+Sens!I7770+sbc_r)</f>
        <v>4.30120193453091</v>
      </c>
      <c r="J7774" s="6" t="n">
        <f aca="false">Sens!J7660*(al_fro+Sens!J7770+sbc_r)</f>
        <v>4.60596700633885</v>
      </c>
      <c r="K7774" s="6" t="n">
        <f aca="false">Sens!K7660*(al_fro+Sens!K7770+sbc_r)</f>
        <v>4.94409799364342</v>
      </c>
    </row>
    <row r="7775" customFormat="false" ht="17.15" hidden="false" customHeight="false" outlineLevel="0" collapsed="false">
      <c r="A7775" s="0" t="s">
        <v>1076</v>
      </c>
      <c r="B7775" s="0" t="s">
        <v>98</v>
      </c>
      <c r="F7775" s="6" t="n">
        <f aca="false">Sens!F7663*(al_srch+Sens!F7770+sbc_r)</f>
        <v>11.2651743207277</v>
      </c>
      <c r="G7775" s="6" t="n">
        <f aca="false">Sens!G7663*(al_srch+Sens!G7770+sbc_r)</f>
        <v>12.3228885936874</v>
      </c>
      <c r="H7775" s="6" t="n">
        <f aca="false">Sens!H7663*(al_srch+Sens!H7770+sbc_r)</f>
        <v>13.4308016908533</v>
      </c>
      <c r="I7775" s="6" t="n">
        <f aca="false">Sens!I7663*(al_srch+Sens!I7770+sbc_r)</f>
        <v>14.5799513330957</v>
      </c>
      <c r="J7775" s="6" t="n">
        <f aca="false">Sens!J7663*(al_srch+Sens!J7770+sbc_r)</f>
        <v>15.7486600542288</v>
      </c>
      <c r="K7775" s="6" t="n">
        <f aca="false">Sens!K7663*(al_srch+Sens!K7770+sbc_r)</f>
        <v>16.9047929499989</v>
      </c>
    </row>
    <row r="7776" customFormat="false" ht="17.15" hidden="false" customHeight="false" outlineLevel="0" collapsed="false">
      <c r="A7776" s="0" t="s">
        <v>1077</v>
      </c>
      <c r="B7776" s="0" t="s">
        <v>98</v>
      </c>
      <c r="F7776" s="6" t="n">
        <f aca="false">Sens!F7632-Sens!F7633+Sens!F7713</f>
        <v>45.0374073018652</v>
      </c>
      <c r="G7776" s="6" t="n">
        <f aca="false">Sens!G7632-Sens!G7633+Sens!G7713</f>
        <v>89.051993487491</v>
      </c>
      <c r="H7776" s="6" t="n">
        <f aca="false">Sens!H7632-Sens!H7633+Sens!H7713</f>
        <v>140.728332825594</v>
      </c>
      <c r="I7776" s="6" t="n">
        <f aca="false">Sens!I7632-Sens!I7633+Sens!I7713</f>
        <v>182.158665153016</v>
      </c>
      <c r="J7776" s="6" t="n">
        <f aca="false">Sens!J7632-Sens!J7633+Sens!J7713</f>
        <v>211.722320149272</v>
      </c>
      <c r="K7776" s="6" t="n">
        <f aca="false">Sens!K7632-Sens!K7633+Sens!K7713</f>
        <v>230.495012322217</v>
      </c>
    </row>
    <row r="7777" customFormat="false" ht="17.15" hidden="false" customHeight="false" outlineLevel="0" collapsed="false">
      <c r="A7777" s="0" t="s">
        <v>1078</v>
      </c>
      <c r="B7777" s="0" t="s">
        <v>98</v>
      </c>
      <c r="F7777" s="6" t="n">
        <f aca="false">Sens!F7692+Sens!F7713+Sens!F7643+Sens!F7770*(Sens!F7662-Sens!F7626)+sbc_r*Sens!F7662</f>
        <v>236.741313219653</v>
      </c>
      <c r="G7777" s="6" t="n">
        <f aca="false">Sens!G7692+Sens!G7713+Sens!G7643+Sens!G7770*(Sens!G7662-Sens!G7626)+sbc_r*Sens!G7662</f>
        <v>309.440684262774</v>
      </c>
      <c r="H7777" s="6" t="n">
        <f aca="false">Sens!H7692+Sens!H7713+Sens!H7643+Sens!H7770*(Sens!H7662-Sens!H7626)+sbc_r*Sens!H7662</f>
        <v>389.958402752172</v>
      </c>
      <c r="I7777" s="6" t="n">
        <f aca="false">Sens!I7692+Sens!I7713+Sens!I7643+Sens!I7770*(Sens!I7662-Sens!I7626)+sbc_r*Sens!I7662</f>
        <v>457.467743103829</v>
      </c>
      <c r="J7777" s="6" t="n">
        <f aca="false">Sens!J7692+Sens!J7713+Sens!J7643+Sens!J7770*(Sens!J7662-Sens!J7626)+sbc_r*Sens!J7662</f>
        <v>509.371981139597</v>
      </c>
      <c r="K7777" s="6" t="n">
        <f aca="false">Sens!K7692+Sens!K7713+Sens!K7643+Sens!K7770*(Sens!K7662-Sens!K7626)+sbc_r*Sens!K7662</f>
        <v>547.292186101486</v>
      </c>
    </row>
    <row r="7778" customFormat="false" ht="17.15" hidden="false" customHeight="false" outlineLevel="0" collapsed="false">
      <c r="A7778" s="0" t="s">
        <v>1079</v>
      </c>
      <c r="B7778" s="0" t="s">
        <v>98</v>
      </c>
      <c r="F7778" s="6" t="n">
        <f aca="false">Sens!F7777-Sens!F7771-Sens!F7772-Sens!F7773-Sens!F7774-Sens!F7776</f>
        <v>60.232316031595</v>
      </c>
      <c r="G7778" s="6" t="n">
        <f aca="false">Sens!G7777-Sens!G7771-Sens!G7772-Sens!G7773-Sens!G7774-Sens!G7776</f>
        <v>72.1976151211413</v>
      </c>
      <c r="H7778" s="6" t="n">
        <f aca="false">Sens!H7777-Sens!H7771-Sens!H7772-Sens!H7773-Sens!H7774-Sens!H7776</f>
        <v>84.1449222868193</v>
      </c>
      <c r="I7778" s="6" t="n">
        <f aca="false">Sens!I7777-Sens!I7771-Sens!I7772-Sens!I7773-Sens!I7774-Sens!I7776</f>
        <v>94.8555163027803</v>
      </c>
      <c r="J7778" s="6" t="n">
        <f aca="false">Sens!J7777-Sens!J7771-Sens!J7772-Sens!J7773-Sens!J7774-Sens!J7776</f>
        <v>103.579700453338</v>
      </c>
      <c r="K7778" s="6" t="n">
        <f aca="false">Sens!K7777-Sens!K7771-Sens!K7772-Sens!K7773-Sens!K7774-Sens!K7776</f>
        <v>109.596607408543</v>
      </c>
    </row>
    <row r="7779" customFormat="false" ht="17.15" hidden="false" customHeight="false" outlineLevel="0" collapsed="false">
      <c r="A7779" s="0" t="s">
        <v>1080</v>
      </c>
      <c r="B7779" s="0" t="s">
        <v>98</v>
      </c>
      <c r="F7779" s="6" t="n">
        <f aca="false">Sens!F7694+Sens!F7770*Sens!F7669+sbc_r*Sens!F7669</f>
        <v>26.3300021814149</v>
      </c>
      <c r="G7779" s="6" t="n">
        <f aca="false">Sens!G7694+Sens!G7770*Sens!G7669+sbc_r*Sens!G7669</f>
        <v>26.8949281980859</v>
      </c>
      <c r="H7779" s="6" t="n">
        <f aca="false">Sens!H7694+Sens!H7770*Sens!H7669+sbc_r*Sens!H7669</f>
        <v>27.7442444424075</v>
      </c>
      <c r="I7779" s="6" t="n">
        <f aca="false">Sens!I7694+Sens!I7770*Sens!I7669+sbc_r*Sens!I7669</f>
        <v>28.8482397558873</v>
      </c>
      <c r="J7779" s="6" t="n">
        <f aca="false">Sens!J7694+Sens!J7770*Sens!J7669+sbc_r*Sens!J7669</f>
        <v>30.1660799257915</v>
      </c>
      <c r="K7779" s="6" t="n">
        <f aca="false">Sens!K7694+Sens!K7770*Sens!K7669+sbc_r*Sens!K7669</f>
        <v>31.6509671010104</v>
      </c>
    </row>
    <row r="7780" customFormat="false" ht="17.15" hidden="false" customHeight="false" outlineLevel="0" collapsed="false">
      <c r="A7780" s="0" t="s">
        <v>1081</v>
      </c>
      <c r="B7780" s="0" t="s">
        <v>98</v>
      </c>
      <c r="F7780" s="6" t="n">
        <f aca="false">(Sens!F7779-Sens!F7775)*Sens!F7665/(Sens!F7665+Sens!F7667)</f>
        <v>8.25839190393149</v>
      </c>
      <c r="G7780" s="6" t="n">
        <f aca="false">(Sens!G7779-Sens!G7775)*Sens!G7665/(Sens!G7665+Sens!G7667)</f>
        <v>7.8458201828337</v>
      </c>
      <c r="H7780" s="6" t="n">
        <f aca="false">(Sens!H7779-Sens!H7775)*Sens!H7665/(Sens!H7665+Sens!H7667)</f>
        <v>7.60248436587645</v>
      </c>
      <c r="I7780" s="6" t="n">
        <f aca="false">(Sens!I7779-Sens!I7775)*Sens!I7665/(Sens!I7665+Sens!I7667)</f>
        <v>7.50993058879258</v>
      </c>
      <c r="J7780" s="6" t="n">
        <f aca="false">(Sens!J7779-Sens!J7775)*Sens!J7665/(Sens!J7665+Sens!J7667)</f>
        <v>7.5541094405084</v>
      </c>
      <c r="K7780" s="6" t="n">
        <f aca="false">(Sens!K7779-Sens!K7775)*Sens!K7665/(Sens!K7665+Sens!K7667)</f>
        <v>7.72636257790156</v>
      </c>
    </row>
    <row r="7781" customFormat="false" ht="17.15" hidden="false" customHeight="false" outlineLevel="0" collapsed="false">
      <c r="A7781" s="0" t="s">
        <v>1082</v>
      </c>
      <c r="B7781" s="0" t="s">
        <v>98</v>
      </c>
      <c r="F7781" s="6" t="n">
        <f aca="false">Sens!F7779-Sens!F7775-Sens!F7780</f>
        <v>6.80643595675575</v>
      </c>
      <c r="G7781" s="6" t="n">
        <f aca="false">Sens!G7779-Sens!G7775-Sens!G7780</f>
        <v>6.7262194215648</v>
      </c>
      <c r="H7781" s="6" t="n">
        <f aca="false">Sens!H7779-Sens!H7775-Sens!H7780</f>
        <v>6.71095838567772</v>
      </c>
      <c r="I7781" s="6" t="n">
        <f aca="false">Sens!I7779-Sens!I7775-Sens!I7780</f>
        <v>6.75835783399899</v>
      </c>
      <c r="J7781" s="6" t="n">
        <f aca="false">Sens!J7779-Sens!J7775-Sens!J7780</f>
        <v>6.86331043105432</v>
      </c>
      <c r="K7781" s="6" t="n">
        <f aca="false">Sens!K7779-Sens!K7775-Sens!K7780</f>
        <v>7.01981157310989</v>
      </c>
    </row>
    <row r="7782" customFormat="false" ht="17.15" hidden="false" customHeight="false" outlineLevel="0" collapsed="false">
      <c r="A7782" s="0" t="s">
        <v>1083</v>
      </c>
      <c r="B7782" s="0" t="s">
        <v>98</v>
      </c>
      <c r="F7782" s="6" t="n">
        <f aca="false">Sens!F7776-tax_f*(Sens!F7776-Sens!F7643)-Sens!F7640</f>
        <v>-117.492972553783</v>
      </c>
      <c r="G7782" s="6" t="n">
        <f aca="false">Sens!G7776-tax_f*(Sens!G7776-Sens!G7643)-Sens!G7640</f>
        <v>-100.507498271105</v>
      </c>
      <c r="H7782" s="6" t="n">
        <f aca="false">Sens!H7776-tax_f*(Sens!H7776-Sens!H7643)-Sens!H7640</f>
        <v>-58.2254156812621</v>
      </c>
      <c r="I7782" s="6" t="n">
        <f aca="false">Sens!I7776-tax_f*(Sens!I7776-Sens!I7643)-Sens!I7640</f>
        <v>4.14141173464586</v>
      </c>
      <c r="J7782" s="6" t="n">
        <f aca="false">Sens!J7776-tax_f*(Sens!J7776-Sens!J7643)-Sens!J7640</f>
        <v>67.7960840957439</v>
      </c>
      <c r="K7782" s="6" t="n">
        <f aca="false">Sens!K7776-tax_f*(Sens!K7776-Sens!K7643)-Sens!K7640</f>
        <v>90.8148873630444</v>
      </c>
    </row>
    <row r="7783" customFormat="false" ht="17.15" hidden="false" customHeight="false" outlineLevel="0" collapsed="false">
      <c r="A7783" s="0" t="s">
        <v>1084</v>
      </c>
      <c r="B7783" s="0" t="s">
        <v>98</v>
      </c>
      <c r="G7783" s="6" t="n">
        <f aca="false">Sens!G7782/(1+wacc)^(Sens!G7755-(Sens!F7755+mid_yr))</f>
        <v>-95.7025738516884</v>
      </c>
      <c r="H7783" s="6" t="n">
        <f aca="false">Sens!H7782/(1+wacc)^(Sens!H7755-(Sens!F7755+mid_yr))</f>
        <v>-50.2675897834568</v>
      </c>
      <c r="I7783" s="6" t="n">
        <f aca="false">Sens!I7782/(1+wacc)^(Sens!I7755-(Sens!F7755+mid_yr))</f>
        <v>3.241710173961</v>
      </c>
      <c r="J7783" s="6" t="n">
        <f aca="false">Sens!J7782/(1+wacc)^(Sens!J7755-(Sens!F7755+mid_yr))</f>
        <v>48.1150225569729</v>
      </c>
      <c r="K7783" s="6" t="n">
        <f aca="false">Sens!K7782/(1+wacc)^(Sens!K7755-(Sens!F7755+mid_yr))</f>
        <v>58.4363985421684</v>
      </c>
      <c r="L7783" s="1" t="s">
        <v>1085</v>
      </c>
    </row>
    <row r="7784" customFormat="false" ht="17.15" hidden="false" customHeight="false" outlineLevel="0" collapsed="false">
      <c r="A7784" s="0" t="s">
        <v>1086</v>
      </c>
      <c r="B7784" s="0" t="s">
        <v>98</v>
      </c>
      <c r="C7784" s="6" t="n">
        <f aca="false">(Sens!K7776-Sens!K7643)*(1-tax_f)*(1+g_tv)*(1-g_tv/(wacc+ronic_prem))/(wacc-g_tv)/(1+wacc)^(Sens!K7755+mid_yr-(Sens!F7755+mid_yr))</f>
        <v>448.116665852667</v>
      </c>
    </row>
    <row r="7785" customFormat="false" ht="17.15" hidden="false" customHeight="false" outlineLevel="0" collapsed="false">
      <c r="A7785" s="1" t="s">
        <v>1087</v>
      </c>
      <c r="B7785" s="0" t="s">
        <v>98</v>
      </c>
      <c r="C7785" s="6" t="n">
        <f aca="false">(SUM(Sens!G7783:K7783)+Sens!$C$7784)*(1+wacc)^(t_roll-(Sens!F7755+mid_yr))</f>
        <v>425.310341738423</v>
      </c>
      <c r="L7785" s="11" t="s">
        <v>1088</v>
      </c>
    </row>
    <row r="7786" customFormat="false" ht="17.15" hidden="false" customHeight="false" outlineLevel="0" collapsed="false">
      <c r="A7786" s="1" t="s">
        <v>1089</v>
      </c>
      <c r="B7786" s="0" t="s">
        <v>98</v>
      </c>
      <c r="C7786" s="6" t="n">
        <f aca="false">(w_ntm28*Sens!G7632+(1-w_ntm28)*Sens!H7632)*m_ai</f>
        <v>551.711134531404</v>
      </c>
    </row>
    <row r="7787" customFormat="false" ht="17.15" hidden="false" customHeight="false" outlineLevel="0" collapsed="false">
      <c r="A7787" s="1" t="s">
        <v>1090</v>
      </c>
      <c r="B7787" s="0" t="s">
        <v>98</v>
      </c>
      <c r="C7787" s="6" t="n">
        <f aca="false">(w_ntm28*Sens!G7778+(1-w_ntm28)*Sens!H7778)*m_cloud</f>
        <v>1051.14964544952</v>
      </c>
    </row>
    <row r="7788" customFormat="false" ht="17.15" hidden="false" customHeight="false" outlineLevel="0" collapsed="false">
      <c r="A7788" s="1" t="s">
        <v>1091</v>
      </c>
      <c r="B7788" s="0" t="s">
        <v>98</v>
      </c>
      <c r="C7788" s="6" t="n">
        <f aca="false">(w_ntm28*Sens!G7771+(1-w_ntm28)*Sens!H7771)*m_sw</f>
        <v>1128.03073922052</v>
      </c>
    </row>
    <row r="7789" customFormat="false" ht="17.15" hidden="false" customHeight="false" outlineLevel="0" collapsed="false">
      <c r="A7789" s="1" t="s">
        <v>1092</v>
      </c>
      <c r="B7789" s="0" t="s">
        <v>98</v>
      </c>
      <c r="C7789" s="6" t="n">
        <f aca="false">(w_ntm28*Sens!G7772+(1-w_ntm28)*Sens!H7772)*m_sw</f>
        <v>380.015817823537</v>
      </c>
    </row>
    <row r="7790" customFormat="false" ht="17.15" hidden="false" customHeight="false" outlineLevel="0" collapsed="false">
      <c r="A7790" s="1" t="s">
        <v>1093</v>
      </c>
      <c r="B7790" s="0" t="s">
        <v>98</v>
      </c>
      <c r="C7790" s="6" t="n">
        <f aca="false">(w_ntm28*Sens!G7773+(1-w_ntm28)*Sens!H7773)*m_sw</f>
        <v>109.591573435422</v>
      </c>
    </row>
    <row r="7791" customFormat="false" ht="17.15" hidden="false" customHeight="false" outlineLevel="0" collapsed="false">
      <c r="A7791" s="1" t="s">
        <v>1094</v>
      </c>
      <c r="B7791" s="0" t="s">
        <v>98</v>
      </c>
      <c r="C7791" s="6" t="n">
        <f aca="false">(w_ntm28*Sens!G7774+(1-w_ntm28)*Sens!H7774)*m_sw</f>
        <v>41.811254635857</v>
      </c>
    </row>
    <row r="7792" customFormat="false" ht="17.15" hidden="false" customHeight="false" outlineLevel="0" collapsed="false">
      <c r="A7792" s="1" t="s">
        <v>1095</v>
      </c>
      <c r="B7792" s="0" t="s">
        <v>98</v>
      </c>
      <c r="C7792" s="6" t="n">
        <f aca="false">(w_ntm28*Sens!G7775+(1-w_ntm28)*Sens!H7775)*m_ads</f>
        <v>115.524486105455</v>
      </c>
    </row>
    <row r="7793" customFormat="false" ht="17.15" hidden="false" customHeight="false" outlineLevel="0" collapsed="false">
      <c r="A7793" s="1" t="s">
        <v>1096</v>
      </c>
      <c r="B7793" s="0" t="s">
        <v>98</v>
      </c>
      <c r="C7793" s="6" t="n">
        <f aca="false">(w_ntm28*Sens!G7780+(1-w_ntm28)*Sens!H7780)*m_game</f>
        <v>98.099138768247</v>
      </c>
    </row>
    <row r="7794" customFormat="false" ht="17.15" hidden="false" customHeight="false" outlineLevel="0" collapsed="false">
      <c r="A7794" s="1" t="s">
        <v>1097</v>
      </c>
      <c r="B7794" s="0" t="s">
        <v>98</v>
      </c>
      <c r="C7794" s="6" t="n">
        <f aca="false">(w_ntm28*Sens!G7781+(1-w_ntm28)*Sens!H7781)*m_pc</f>
        <v>97.2570043222734</v>
      </c>
    </row>
    <row r="7795" customFormat="false" ht="17.15" hidden="false" customHeight="false" outlineLevel="0" collapsed="false">
      <c r="A7795" s="1" t="s">
        <v>1098</v>
      </c>
      <c r="B7795" s="0" t="s">
        <v>98</v>
      </c>
      <c r="C7795" s="6" t="n">
        <f aca="false">Sens!$C$7785+Sens!$C$7787+Sens!$C$7788+Sens!$C$7789+Sens!$C$7790+Sens!$C$7791+Sens!$C$7792+Sens!$C$7793+Sens!$C$7794</f>
        <v>3446.79000149925</v>
      </c>
    </row>
    <row r="7796" customFormat="false" ht="17.15" hidden="false" customHeight="false" outlineLevel="0" collapsed="false">
      <c r="A7796" s="1" t="s">
        <v>1099</v>
      </c>
      <c r="B7796" s="0" t="s">
        <v>98</v>
      </c>
      <c r="C7796" s="6" t="n">
        <f aca="false">(Sens!G7757-Sens!G7782)*t_stub</f>
        <v>47.8368719385949</v>
      </c>
      <c r="L7796" s="1" t="s">
        <v>1100</v>
      </c>
    </row>
    <row r="7797" customFormat="false" ht="17.15" hidden="false" customHeight="false" outlineLevel="0" collapsed="false">
      <c r="A7797" s="1" t="s">
        <v>1014</v>
      </c>
      <c r="B7797" s="0" t="s">
        <v>98</v>
      </c>
      <c r="C7797" s="6" t="n">
        <f aca="false">Sens!F7746+oai_v-Sens!F7735+Sens!$C$7796</f>
        <v>162.754498294511</v>
      </c>
      <c r="L7797" s="1" t="s">
        <v>1101</v>
      </c>
    </row>
    <row r="7798" customFormat="false" ht="17.15" hidden="false" customHeight="false" outlineLevel="0" collapsed="false">
      <c r="A7798" s="1" t="s">
        <v>1102</v>
      </c>
      <c r="B7798" s="0" t="s">
        <v>75</v>
      </c>
      <c r="C7798" s="5" t="n">
        <f aca="false">(Sens!$C$7795+Sens!$C$7797)/(Sens!F7748+dil_gap)-Sens!G7738*roll_div_q/q_per_yr</f>
        <v>480.489915660854</v>
      </c>
      <c r="L7798" s="1" t="s">
        <v>1103</v>
      </c>
    </row>
    <row r="7799" customFormat="false" ht="17.15" hidden="false" customHeight="false" outlineLevel="0" collapsed="false">
      <c r="A7799" s="1" t="s">
        <v>1104</v>
      </c>
      <c r="B7799" s="0" t="s">
        <v>75</v>
      </c>
      <c r="C7799" s="5" t="n">
        <f aca="false">w_dcf*Sens!$C$7769+(1-w_dcf)*Sens!$C$7798</f>
        <v>420.579645012256</v>
      </c>
    </row>
    <row r="7800" customFormat="false" ht="17.15" hidden="false" customHeight="false" outlineLevel="0" collapsed="false">
      <c r="A7800" s="3" t="s">
        <v>1462</v>
      </c>
    </row>
    <row r="7801" customFormat="false" ht="15" hidden="false" customHeight="false" outlineLevel="0" collapsed="false">
      <c r="A7801" s="4" t="s">
        <v>43</v>
      </c>
      <c r="B7801" s="4" t="s">
        <v>65</v>
      </c>
      <c r="C7801" s="20" t="s">
        <v>799</v>
      </c>
      <c r="D7801" s="20" t="s">
        <v>800</v>
      </c>
      <c r="E7801" s="20" t="s">
        <v>801</v>
      </c>
      <c r="F7801" s="20" t="s">
        <v>802</v>
      </c>
      <c r="G7801" s="20" t="s">
        <v>803</v>
      </c>
      <c r="H7801" s="20" t="s">
        <v>804</v>
      </c>
      <c r="I7801" s="20" t="s">
        <v>805</v>
      </c>
      <c r="J7801" s="20" t="s">
        <v>806</v>
      </c>
      <c r="K7801" s="20" t="s">
        <v>807</v>
      </c>
      <c r="L7801" s="4" t="s">
        <v>47</v>
      </c>
    </row>
    <row r="7802" customFormat="false" ht="17.15" hidden="false" customHeight="false" outlineLevel="0" collapsed="false">
      <c r="A7802" s="1" t="s">
        <v>808</v>
      </c>
      <c r="B7802" s="1" t="s">
        <v>235</v>
      </c>
      <c r="C7802" s="28" t="n">
        <v>2024</v>
      </c>
      <c r="D7802" s="28" t="n">
        <v>2025</v>
      </c>
      <c r="E7802" s="28" t="n">
        <v>2026</v>
      </c>
      <c r="F7802" s="28" t="n">
        <v>2027</v>
      </c>
      <c r="G7802" s="28" t="n">
        <v>2028</v>
      </c>
      <c r="H7802" s="28" t="n">
        <v>2029</v>
      </c>
      <c r="I7802" s="28" t="n">
        <v>2030</v>
      </c>
      <c r="J7802" s="28" t="n">
        <v>2031</v>
      </c>
      <c r="K7802" s="28" t="n">
        <v>2032</v>
      </c>
    </row>
    <row r="7803" customFormat="false" ht="17.15" hidden="false" customHeight="false" outlineLevel="0" collapsed="false">
      <c r="A7803" s="1" t="s">
        <v>809</v>
      </c>
      <c r="B7803" s="0" t="s">
        <v>399</v>
      </c>
      <c r="F7803" s="29" t="n">
        <f aca="false">pace</f>
        <v>2527.2</v>
      </c>
      <c r="G7803" s="29" t="n">
        <f aca="false">pace</f>
        <v>2527.2</v>
      </c>
      <c r="H7803" s="29" t="n">
        <f aca="false">pace</f>
        <v>2527.2</v>
      </c>
      <c r="I7803" s="29" t="n">
        <f aca="false">pace+(g_tv*Sens!H7804-pace)*MIN(1,(Sens!I7802-pace_y0)/(pace_y1-pace_y0))</f>
        <v>1793.116</v>
      </c>
      <c r="J7803" s="29" t="n">
        <f aca="false">pace+(g_tv*Sens!I7804-pace)*MIN(1,(Sens!J7802-pace_y0)/(pace_y1-pace_y0))</f>
        <v>1094.89432</v>
      </c>
      <c r="K7803" s="29" t="n">
        <f aca="false">pace+(g_tv*Sens!J7804-pace)*MIN(1,(Sens!K7802-pace_y0)/(pace_y1-pace_y0))</f>
        <v>411.5883096</v>
      </c>
      <c r="L7803" s="11" t="s">
        <v>810</v>
      </c>
    </row>
    <row r="7804" customFormat="false" ht="17.15" hidden="false" customHeight="false" outlineLevel="0" collapsed="false">
      <c r="A7804" s="1" t="s">
        <v>811</v>
      </c>
      <c r="B7804" s="0" t="s">
        <v>399</v>
      </c>
      <c r="C7804" s="29" t="n">
        <f aca="false">mw_ext_24</f>
        <v>640</v>
      </c>
      <c r="D7804" s="29" t="n">
        <f aca="false">mw_ext_25</f>
        <v>1630</v>
      </c>
      <c r="E7804" s="29" t="n">
        <f aca="false">mw_ext_26</f>
        <v>3250</v>
      </c>
      <c r="F7804" s="29" t="n">
        <f aca="false">Sens!E7804+Sens!F7803</f>
        <v>5777.2</v>
      </c>
      <c r="G7804" s="29" t="n">
        <f aca="false">Sens!F7804+Sens!G7803</f>
        <v>8304.4</v>
      </c>
      <c r="H7804" s="29" t="n">
        <f aca="false">Sens!G7804+Sens!H7803</f>
        <v>10831.6</v>
      </c>
      <c r="I7804" s="29" t="n">
        <f aca="false">Sens!H7804+Sens!I7803</f>
        <v>12624.716</v>
      </c>
      <c r="J7804" s="29" t="n">
        <f aca="false">Sens!I7804+Sens!J7803</f>
        <v>13719.61032</v>
      </c>
      <c r="K7804" s="29" t="n">
        <f aca="false">Sens!J7804+Sens!K7803</f>
        <v>14131.1986296</v>
      </c>
      <c r="L7804" s="1" t="s">
        <v>812</v>
      </c>
    </row>
    <row r="7805" customFormat="false" ht="17.15" hidden="false" customHeight="false" outlineLevel="0" collapsed="false">
      <c r="A7805" s="1" t="s">
        <v>813</v>
      </c>
      <c r="B7805" s="0" t="s">
        <v>399</v>
      </c>
      <c r="C7805" s="29" t="n">
        <f aca="false">rent_ext_24</f>
        <v>150</v>
      </c>
      <c r="D7805" s="29" t="n">
        <f aca="false">rent_ext_25</f>
        <v>400</v>
      </c>
      <c r="E7805" s="29" t="n">
        <f aca="false">rent_ext_26</f>
        <v>550</v>
      </c>
      <c r="F7805" s="29" t="n">
        <f aca="false">rent_ext_f</f>
        <v>756</v>
      </c>
      <c r="G7805" s="29" t="n">
        <f aca="false">rent_ext_f</f>
        <v>756</v>
      </c>
      <c r="H7805" s="29" t="n">
        <f aca="false">rent_ext_f</f>
        <v>756</v>
      </c>
      <c r="I7805" s="29" t="n">
        <f aca="false">rent_ext_f</f>
        <v>756</v>
      </c>
      <c r="J7805" s="29" t="n">
        <f aca="false">rent_ext_f</f>
        <v>756</v>
      </c>
      <c r="K7805" s="29" t="n">
        <f aca="false">rent_ext_f</f>
        <v>756</v>
      </c>
      <c r="L7805" s="1" t="s">
        <v>814</v>
      </c>
    </row>
    <row r="7806" customFormat="false" ht="17.15" hidden="false" customHeight="false" outlineLevel="0" collapsed="false">
      <c r="A7806" s="1" t="s">
        <v>815</v>
      </c>
      <c r="B7806" s="0" t="s">
        <v>399</v>
      </c>
      <c r="C7806" s="29" t="n">
        <f aca="false">Sens!C7804-Sens!C7805</f>
        <v>490</v>
      </c>
      <c r="D7806" s="29" t="n">
        <f aca="false">Sens!D7804-Sens!D7805</f>
        <v>1230</v>
      </c>
      <c r="E7806" s="29" t="n">
        <f aca="false">Sens!E7804-Sens!E7805</f>
        <v>2700</v>
      </c>
      <c r="F7806" s="29" t="n">
        <f aca="false">Sens!F7804-Sens!F7805</f>
        <v>5021.2</v>
      </c>
      <c r="G7806" s="29" t="n">
        <f aca="false">Sens!G7804-Sens!G7805</f>
        <v>7548.4</v>
      </c>
      <c r="H7806" s="29" t="n">
        <f aca="false">Sens!H7804-Sens!H7805</f>
        <v>10075.6</v>
      </c>
      <c r="I7806" s="29" t="n">
        <f aca="false">Sens!I7804-Sens!I7805</f>
        <v>11868.716</v>
      </c>
      <c r="J7806" s="29" t="n">
        <f aca="false">Sens!J7804-Sens!J7805</f>
        <v>12963.61032</v>
      </c>
      <c r="K7806" s="29" t="n">
        <f aca="false">Sens!K7804-Sens!K7805</f>
        <v>13375.1986296</v>
      </c>
    </row>
    <row r="7807" customFormat="false" ht="17.15" hidden="false" customHeight="false" outlineLevel="0" collapsed="false">
      <c r="A7807" s="1" t="s">
        <v>816</v>
      </c>
      <c r="B7807" s="0" t="s">
        <v>399</v>
      </c>
      <c r="C7807" s="29" t="n">
        <f aca="false">Sens!C7806/ext_sh</f>
        <v>816.666666666667</v>
      </c>
      <c r="D7807" s="29" t="n">
        <f aca="false">Sens!D7806/ext_sh</f>
        <v>2050</v>
      </c>
      <c r="E7807" s="29" t="n">
        <f aca="false">Sens!E7806/ext_sh</f>
        <v>4500</v>
      </c>
      <c r="F7807" s="29" t="n">
        <f aca="false">Sens!F7806/ext_sh</f>
        <v>8368.66666666667</v>
      </c>
      <c r="G7807" s="29" t="n">
        <f aca="false">Sens!G7806/ext_sh</f>
        <v>12580.6666666667</v>
      </c>
      <c r="H7807" s="29" t="n">
        <f aca="false">Sens!H7806/ext_sh</f>
        <v>16792.6666666667</v>
      </c>
      <c r="I7807" s="29" t="n">
        <f aca="false">Sens!I7806/ext_sh</f>
        <v>19781.1933333333</v>
      </c>
      <c r="J7807" s="29" t="n">
        <f aca="false">Sens!J7806/ext_sh</f>
        <v>21606.0172</v>
      </c>
      <c r="K7807" s="29" t="n">
        <f aca="false">Sens!K7806/ext_sh</f>
        <v>22291.997716</v>
      </c>
      <c r="L7807" s="1" t="s">
        <v>817</v>
      </c>
    </row>
    <row r="7808" customFormat="false" ht="17.15" hidden="false" customHeight="false" outlineLevel="0" collapsed="false">
      <c r="A7808" s="1" t="s">
        <v>818</v>
      </c>
      <c r="B7808" s="0" t="s">
        <v>399</v>
      </c>
      <c r="C7808" s="29" t="n">
        <f aca="false">Sens!C7807-Sens!C7806</f>
        <v>326.666666666667</v>
      </c>
      <c r="D7808" s="29" t="n">
        <f aca="false">Sens!D7807-Sens!D7806</f>
        <v>820</v>
      </c>
      <c r="E7808" s="29" t="n">
        <f aca="false">Sens!E7807-Sens!E7806</f>
        <v>1800</v>
      </c>
      <c r="F7808" s="29" t="n">
        <f aca="false">Sens!F7807-Sens!F7806</f>
        <v>3347.46666666667</v>
      </c>
      <c r="G7808" s="29" t="n">
        <f aca="false">Sens!G7807-Sens!G7806</f>
        <v>5032.26666666667</v>
      </c>
      <c r="H7808" s="29" t="n">
        <f aca="false">Sens!H7807-Sens!H7806</f>
        <v>6717.06666666667</v>
      </c>
      <c r="I7808" s="29" t="n">
        <f aca="false">Sens!I7807-Sens!I7806</f>
        <v>7912.47733333333</v>
      </c>
      <c r="J7808" s="29" t="n">
        <f aca="false">Sens!J7807-Sens!J7806</f>
        <v>8642.40688</v>
      </c>
      <c r="K7808" s="29" t="n">
        <f aca="false">Sens!K7807-Sens!K7806</f>
        <v>8916.7990864</v>
      </c>
    </row>
    <row r="7809" customFormat="false" ht="17.15" hidden="false" customHeight="false" outlineLevel="0" collapsed="false">
      <c r="A7809" s="1" t="s">
        <v>819</v>
      </c>
      <c r="B7809" s="0" t="s">
        <v>399</v>
      </c>
      <c r="C7809" s="29" t="n">
        <f aca="false">Sens!C7807</f>
        <v>816.666666666667</v>
      </c>
      <c r="D7809" s="29" t="n">
        <f aca="false">Sens!D7807-Sens!C7807</f>
        <v>1233.33333333333</v>
      </c>
      <c r="E7809" s="29" t="n">
        <f aca="false">Sens!E7807-Sens!D7807</f>
        <v>2450</v>
      </c>
      <c r="F7809" s="29" t="n">
        <f aca="false">Sens!F7807-Sens!E7807</f>
        <v>3868.66666666667</v>
      </c>
      <c r="G7809" s="29" t="n">
        <f aca="false">Sens!G7807-Sens!F7807</f>
        <v>4212</v>
      </c>
      <c r="H7809" s="29" t="n">
        <f aca="false">Sens!H7807-Sens!G7807</f>
        <v>4212</v>
      </c>
      <c r="I7809" s="29" t="n">
        <f aca="false">Sens!I7807-Sens!H7807</f>
        <v>2988.52666666667</v>
      </c>
      <c r="J7809" s="29" t="n">
        <f aca="false">Sens!J7807-Sens!I7807</f>
        <v>1824.82386666667</v>
      </c>
      <c r="K7809" s="29" t="n">
        <f aca="false">Sens!K7807-Sens!J7807</f>
        <v>685.980516</v>
      </c>
    </row>
    <row r="7810" customFormat="false" ht="17.15" hidden="false" customHeight="false" outlineLevel="0" collapsed="false">
      <c r="A7810" s="1" t="s">
        <v>820</v>
      </c>
      <c r="B7810" s="0" t="s">
        <v>399</v>
      </c>
      <c r="D7810" s="29" t="n">
        <f aca="false">Sens!D7804-Sens!C7804</f>
        <v>990</v>
      </c>
      <c r="E7810" s="29" t="n">
        <f aca="false">Sens!E7804-Sens!D7804</f>
        <v>1620</v>
      </c>
      <c r="F7810" s="29" t="n">
        <f aca="false">Sens!F7804-Sens!E7804</f>
        <v>2527.2</v>
      </c>
      <c r="G7810" s="29" t="n">
        <f aca="false">Sens!G7804-Sens!F7804</f>
        <v>2527.2</v>
      </c>
      <c r="H7810" s="29" t="n">
        <f aca="false">Sens!H7804-Sens!G7804</f>
        <v>2527.2</v>
      </c>
      <c r="I7810" s="29" t="n">
        <f aca="false">Sens!I7804-Sens!H7804</f>
        <v>1793.116</v>
      </c>
      <c r="J7810" s="29" t="n">
        <f aca="false">Sens!J7804-Sens!I7804</f>
        <v>1094.89432</v>
      </c>
      <c r="K7810" s="29" t="n">
        <f aca="false">Sens!K7804-Sens!J7804</f>
        <v>411.5883096</v>
      </c>
    </row>
    <row r="7811" customFormat="false" ht="17.15" hidden="false" customHeight="false" outlineLevel="0" collapsed="false">
      <c r="A7811" s="1" t="s">
        <v>821</v>
      </c>
      <c r="B7811" s="0" t="s">
        <v>399</v>
      </c>
      <c r="F7811" s="29" t="n">
        <f aca="false">Sens!F7828*ext_sh</f>
        <v>0</v>
      </c>
      <c r="G7811" s="29" t="n">
        <f aca="false">Sens!G7828*ext_sh</f>
        <v>0</v>
      </c>
      <c r="H7811" s="29" t="n">
        <f aca="false">Sens!H7828*ext_sh</f>
        <v>0</v>
      </c>
      <c r="I7811" s="29" t="n">
        <f aca="false">Sens!I7828*ext_sh</f>
        <v>490</v>
      </c>
      <c r="J7811" s="29" t="n">
        <f aca="false">Sens!J7828*ext_sh</f>
        <v>740</v>
      </c>
      <c r="K7811" s="29" t="n">
        <f aca="false">Sens!K7828*ext_sh</f>
        <v>1470</v>
      </c>
      <c r="L7811" s="1" t="s">
        <v>822</v>
      </c>
    </row>
    <row r="7812" customFormat="false" ht="17.15" hidden="false" customHeight="false" outlineLevel="0" collapsed="false">
      <c r="A7812" s="1" t="s">
        <v>823</v>
      </c>
      <c r="B7812" s="0" t="s">
        <v>399</v>
      </c>
      <c r="C7812" s="29" t="n">
        <f aca="false">mix_h*Sens!C7804</f>
        <v>128</v>
      </c>
      <c r="D7812" s="29" t="n">
        <f aca="false">mix_h*Sens!D7804</f>
        <v>326</v>
      </c>
      <c r="E7812" s="29" t="n">
        <f aca="false">mix_h*Sens!E7804</f>
        <v>650</v>
      </c>
      <c r="F7812" s="29" t="n">
        <f aca="false">Sens!E7812-Sens!F7811*mix_h</f>
        <v>650</v>
      </c>
      <c r="G7812" s="29" t="n">
        <f aca="false">Sens!F7812-Sens!G7811*mix_h</f>
        <v>650</v>
      </c>
      <c r="H7812" s="29" t="n">
        <f aca="false">Sens!G7812-Sens!H7811*mix_h</f>
        <v>650</v>
      </c>
      <c r="I7812" s="29" t="n">
        <f aca="false">Sens!H7812-Sens!I7811*mix_h</f>
        <v>552</v>
      </c>
      <c r="J7812" s="29" t="n">
        <f aca="false">Sens!I7812-Sens!J7811*mix_h</f>
        <v>404</v>
      </c>
      <c r="K7812" s="29" t="n">
        <f aca="false">Sens!J7812-Sens!K7811*mix_h</f>
        <v>110</v>
      </c>
    </row>
    <row r="7813" customFormat="false" ht="17.15" hidden="false" customHeight="false" outlineLevel="0" collapsed="false">
      <c r="A7813" s="1" t="s">
        <v>824</v>
      </c>
      <c r="B7813" s="0" t="s">
        <v>399</v>
      </c>
      <c r="C7813" s="29" t="n">
        <f aca="false">mix_g2*Sens!C7804</f>
        <v>288</v>
      </c>
      <c r="D7813" s="29" t="n">
        <f aca="false">mix_g2*Sens!D7804</f>
        <v>733.5</v>
      </c>
      <c r="E7813" s="29" t="n">
        <f aca="false">mix_g2*Sens!E7804</f>
        <v>1462.5</v>
      </c>
      <c r="F7813" s="29" t="n">
        <f aca="false">Sens!E7813-Sens!F7811*mix_g2</f>
        <v>1462.5</v>
      </c>
      <c r="G7813" s="29" t="n">
        <f aca="false">Sens!F7813-Sens!G7811*mix_g2</f>
        <v>1462.5</v>
      </c>
      <c r="H7813" s="29" t="n">
        <f aca="false">Sens!G7813-Sens!H7811*mix_g2</f>
        <v>1462.5</v>
      </c>
      <c r="I7813" s="29" t="n">
        <f aca="false">Sens!H7813-Sens!I7811*mix_g2</f>
        <v>1242</v>
      </c>
      <c r="J7813" s="29" t="n">
        <f aca="false">Sens!I7813-Sens!J7811*mix_g2</f>
        <v>909</v>
      </c>
      <c r="K7813" s="29" t="n">
        <f aca="false">Sens!J7813-Sens!K7811*mix_g2</f>
        <v>247.5</v>
      </c>
    </row>
    <row r="7814" customFormat="false" ht="17.15" hidden="false" customHeight="false" outlineLevel="0" collapsed="false">
      <c r="A7814" s="1" t="s">
        <v>825</v>
      </c>
      <c r="B7814" s="0" t="s">
        <v>399</v>
      </c>
      <c r="C7814" s="29" t="n">
        <f aca="false">mix_g3*Sens!C7804</f>
        <v>224</v>
      </c>
      <c r="D7814" s="29" t="n">
        <f aca="false">mix_g3*Sens!D7804</f>
        <v>570.5</v>
      </c>
      <c r="E7814" s="29" t="n">
        <f aca="false">mix_g3*Sens!E7804</f>
        <v>1137.5</v>
      </c>
      <c r="F7814" s="29" t="n">
        <f aca="false">Sens!E7814+(Sens!F7810+Sens!F7811)*a_g3_27-Sens!F7811*mix_g3</f>
        <v>2906.54</v>
      </c>
      <c r="G7814" s="29" t="n">
        <f aca="false">Sens!F7814+(Sens!G7810+Sens!G7811)*a_g3_28-Sens!G7811*mix_g3</f>
        <v>3664.7</v>
      </c>
      <c r="H7814" s="29" t="n">
        <f aca="false">Sens!G7814+(Sens!H7810+Sens!H7811)*a_g3_29-Sens!H7811*mix_g3</f>
        <v>3917.42</v>
      </c>
      <c r="I7814" s="29" t="n">
        <f aca="false">Sens!H7814+(Sens!I7810+Sens!I7811)*a_g3_29-Sens!I7811*mix_g3</f>
        <v>3974.2316</v>
      </c>
      <c r="J7814" s="29" t="n">
        <f aca="false">Sens!I7814+(Sens!J7810+Sens!J7811)*a_g3_29-Sens!J7811*mix_g3</f>
        <v>3898.721032</v>
      </c>
      <c r="K7814" s="29" t="n">
        <f aca="false">Sens!J7814+(Sens!K7810+Sens!K7811)*a_g3_29-Sens!K7811*mix_g3</f>
        <v>3572.37986296</v>
      </c>
    </row>
    <row r="7815" customFormat="false" ht="17.15" hidden="false" customHeight="false" outlineLevel="0" collapsed="false">
      <c r="A7815" s="1" t="s">
        <v>826</v>
      </c>
      <c r="B7815" s="0" t="s">
        <v>399</v>
      </c>
      <c r="C7815" s="29" t="n">
        <v>0</v>
      </c>
      <c r="D7815" s="29" t="n">
        <v>0</v>
      </c>
      <c r="E7815" s="29" t="n">
        <v>0</v>
      </c>
      <c r="F7815" s="29" t="n">
        <f aca="false">Sens!E7815+(Sens!F7810+Sens!F7811)*(1-a_g3_27)</f>
        <v>758.16</v>
      </c>
      <c r="G7815" s="29" t="n">
        <f aca="false">Sens!F7815+(Sens!G7810+Sens!G7811)*(1-a_g3_28)</f>
        <v>2527.2</v>
      </c>
      <c r="H7815" s="29" t="n">
        <f aca="false">Sens!G7815+(Sens!H7810+Sens!H7811)*(1-a_g3_29)</f>
        <v>4801.68</v>
      </c>
      <c r="I7815" s="29" t="n">
        <f aca="false">Sens!H7815+(Sens!I7810+Sens!I7811)*(1-a_g3_29)</f>
        <v>6856.4844</v>
      </c>
      <c r="J7815" s="29" t="n">
        <f aca="false">Sens!I7815+(Sens!J7810+Sens!J7811)*(1-a_g3_29)</f>
        <v>8507.889288</v>
      </c>
      <c r="K7815" s="29" t="n">
        <f aca="false">Sens!J7815+(Sens!K7810+Sens!K7811)*(1-a_g3_29)</f>
        <v>10201.31876664</v>
      </c>
    </row>
    <row r="7816" customFormat="false" ht="17.15" hidden="false" customHeight="false" outlineLevel="0" collapsed="false">
      <c r="A7816" s="1" t="s">
        <v>827</v>
      </c>
      <c r="B7816" s="0" t="s">
        <v>346</v>
      </c>
      <c r="C7816" s="14" t="n">
        <f aca="false">(Sens!C7812*tk_hold_h100+Sens!C7813*tk_hold_gb200+Sens!C7814*tk_hold_gb300+Sens!C7815*tk_hold_vr200)/Sens!C7804</f>
        <v>9.7235358126469</v>
      </c>
      <c r="D7816" s="14" t="n">
        <f aca="false">(Sens!D7812*tk_hold_h100+Sens!D7813*tk_hold_gb200+Sens!D7814*tk_hold_gb300+Sens!D7815*tk_hold_vr200)/Sens!D7804</f>
        <v>9.7235358126469</v>
      </c>
      <c r="E7816" s="14" t="n">
        <f aca="false">(Sens!E7812*tk_hold_h100+Sens!E7813*tk_hold_gb200+Sens!E7814*tk_hold_gb300+Sens!E7815*tk_hold_vr200)/Sens!E7804</f>
        <v>9.7235358126469</v>
      </c>
      <c r="F7816" s="14" t="n">
        <f aca="false">(Sens!F7812*tk_hold_h100+Sens!F7813*tk_hold_gb200+Sens!F7814*tk_hold_gb300+Sens!F7815*tk_hold_vr200)/Sens!F7804</f>
        <v>10.4079573161931</v>
      </c>
      <c r="G7816" s="14" t="n">
        <f aca="false">(Sens!G7812*tk_hold_h100+Sens!G7813*tk_hold_gb200+Sens!G7814*tk_hold_gb300+Sens!G7815*tk_hold_vr200)/Sens!G7804</f>
        <v>10.8388131109316</v>
      </c>
      <c r="H7816" s="14" t="n">
        <f aca="false">(Sens!H7812*tk_hold_h100+Sens!H7813*tk_hold_gb200+Sens!H7814*tk_hold_gb300+Sens!H7815*tk_hold_vr200)/Sens!H7804</f>
        <v>11.1311018388216</v>
      </c>
      <c r="I7816" s="14" t="n">
        <f aca="false">(Sens!I7812*tk_hold_h100+Sens!I7813*tk_hold_gb200+Sens!I7814*tk_hold_gb300+Sens!I7815*tk_hold_vr200)/Sens!I7804</f>
        <v>11.3594282560989</v>
      </c>
      <c r="J7816" s="14" t="n">
        <f aca="false">(Sens!J7812*tk_hold_h100+Sens!J7813*tk_hold_gb200+Sens!J7814*tk_hold_gb300+Sens!J7815*tk_hold_vr200)/Sens!J7804</f>
        <v>11.5455817917599</v>
      </c>
      <c r="K7816" s="14" t="n">
        <f aca="false">(Sens!K7812*tk_hold_h100+Sens!K7813*tk_hold_gb200+Sens!K7814*tk_hold_gb300+Sens!K7815*tk_hold_vr200)/Sens!K7804</f>
        <v>11.8078187977246</v>
      </c>
    </row>
    <row r="7817" customFormat="false" ht="17.15" hidden="false" customHeight="false" outlineLevel="0" collapsed="false">
      <c r="A7817" s="0" t="s">
        <v>828</v>
      </c>
      <c r="B7817" s="0" t="s">
        <v>185</v>
      </c>
      <c r="C7817" s="14" t="n">
        <f aca="false">k_B</f>
        <v>1.17213932619116</v>
      </c>
      <c r="D7817" s="14" t="n">
        <f aca="false">k_B</f>
        <v>1.17213932619116</v>
      </c>
      <c r="E7817" s="14" t="n">
        <f aca="false">k_B</f>
        <v>1.17213932619116</v>
      </c>
      <c r="F7817" s="14" t="n">
        <f aca="false">(k_B+((ls_B*k_long+(1-ls_B)*k_spot)-k_B)*MIN(1,(Sens!F7802-base_fy)/k_ramp))</f>
        <v>1.17213932619116</v>
      </c>
      <c r="G7817" s="14" t="n">
        <f aca="false">(k_B+((ls_B*k_long+(1-ls_B)*k_spot)-k_B)*MIN(1,(Sens!G7802-base_fy)/k_ramp))</f>
        <v>1.17213932619116</v>
      </c>
      <c r="H7817" s="14" t="n">
        <f aca="false">(k_B+((ls_B*k_long+(1-ls_B)*k_spot)-k_B)*MIN(1,(Sens!H7802-base_fy)/k_ramp))</f>
        <v>1.17213932619116</v>
      </c>
      <c r="I7817" s="14" t="n">
        <f aca="false">(k_B+((ls_B*k_long+(1-ls_B)*k_spot)-k_B)*MIN(1,(Sens!I7802-base_fy)/k_ramp))</f>
        <v>1.17213932619116</v>
      </c>
      <c r="J7817" s="14" t="n">
        <f aca="false">(k_B+((ls_B*k_long+(1-ls_B)*k_spot)-k_B)*MIN(1,(Sens!J7802-base_fy)/k_ramp))</f>
        <v>1.17213932619116</v>
      </c>
      <c r="K7817" s="14" t="n">
        <f aca="false">(k_B+((ls_B*k_long+(1-ls_B)*k_spot)-k_B)*MIN(1,(Sens!K7802-base_fy)/k_ramp))</f>
        <v>1.17213932619116</v>
      </c>
      <c r="L7817" s="1" t="s">
        <v>829</v>
      </c>
    </row>
    <row r="7818" customFormat="false" ht="17.15" hidden="false" customHeight="false" outlineLevel="0" collapsed="false">
      <c r="A7818" s="1" t="s">
        <v>830</v>
      </c>
      <c r="B7818" s="0" t="s">
        <v>346</v>
      </c>
      <c r="C7818" s="14" t="n">
        <f aca="false">Sens!C7816*Sens!C7817*chip_f</f>
        <v>11.3973387156315</v>
      </c>
      <c r="D7818" s="14" t="n">
        <f aca="false">Sens!D7816*Sens!D7817*chip_f</f>
        <v>11.3973387156315</v>
      </c>
      <c r="E7818" s="14" t="n">
        <f aca="false">Sens!E7816*Sens!E7817*chip_f</f>
        <v>11.3973387156315</v>
      </c>
      <c r="F7818" s="14" t="n">
        <f aca="false">Sens!F7816*Sens!F7817*chip_f</f>
        <v>12.1995760756289</v>
      </c>
      <c r="G7818" s="14" t="n">
        <f aca="false">Sens!G7816*Sens!G7817*chip_f</f>
        <v>12.7045990965592</v>
      </c>
      <c r="H7818" s="14" t="n">
        <f aca="false">Sens!H7816*Sens!H7817*chip_f</f>
        <v>13.0472022091214</v>
      </c>
      <c r="I7818" s="14" t="n">
        <f aca="false">Sens!I7816*Sens!I7817*chip_f</f>
        <v>13.3148325820205</v>
      </c>
      <c r="J7818" s="14" t="n">
        <f aca="false">Sens!J7816*Sens!J7817*chip_f</f>
        <v>13.5330304618783</v>
      </c>
      <c r="K7818" s="14" t="n">
        <f aca="false">Sens!K7816*Sens!K7817*chip_f</f>
        <v>13.8404087693522</v>
      </c>
      <c r="L7818" s="1" t="s">
        <v>831</v>
      </c>
    </row>
    <row r="7819" customFormat="false" ht="17.15" hidden="false" customHeight="false" outlineLevel="0" collapsed="false">
      <c r="A7819" s="0" t="s">
        <v>832</v>
      </c>
      <c r="B7819" s="0" t="s">
        <v>98</v>
      </c>
      <c r="D7819" s="6" t="n">
        <f aca="false">(Sens!C7804+Sens!D7804)/2*Sens!D7818/1000</f>
        <v>12.9359794422418</v>
      </c>
      <c r="E7819" s="6" t="n">
        <f aca="false">(Sens!D7804+Sens!E7804)/2*Sens!E7818/1000</f>
        <v>27.8095064661409</v>
      </c>
      <c r="F7819" s="6" t="n">
        <f aca="false">(Sens!E7804+Sens!F7804)/2*Sens!F7818/1000</f>
        <v>55.0640065749585</v>
      </c>
      <c r="G7819" s="6" t="n">
        <f aca="false">(Sens!F7804+Sens!G7804)/2*Sens!G7818/1000</f>
        <v>89.4505413190538</v>
      </c>
      <c r="H7819" s="6" t="n">
        <f aca="false">(Sens!G7804+Sens!H7804)/2*Sens!H7818/1000</f>
        <v>124.835630736874</v>
      </c>
      <c r="I7819" s="6" t="n">
        <f aca="false">(Sens!H7804+Sens!I7804)/2*Sens!I7818/1000</f>
        <v>156.158460265485</v>
      </c>
      <c r="J7819" s="6" t="n">
        <f aca="false">(Sens!I7804+Sens!J7804)/2*Sens!J7818/1000</f>
        <v>178.259285293112</v>
      </c>
      <c r="K7819" s="6" t="n">
        <f aca="false">(Sens!J7804+Sens!K7804)/2*Sens!K7818/1000</f>
        <v>192.733290209798</v>
      </c>
      <c r="L7819" s="11" t="s">
        <v>833</v>
      </c>
    </row>
    <row r="7820" customFormat="false" ht="17.15" hidden="false" customHeight="false" outlineLevel="0" collapsed="false">
      <c r="A7820" s="1" t="s">
        <v>834</v>
      </c>
      <c r="B7820" s="0" t="s">
        <v>346</v>
      </c>
      <c r="C7820" s="14" t="n">
        <f aca="false">(Sens!C7812*tk_opex_h100+Sens!C7813*tk_opex_gb200+Sens!C7814*tk_opex_gb300+Sens!C7815*tk_opex_vr200)/Sens!C7804</f>
        <v>1.88636041306092</v>
      </c>
      <c r="D7820" s="14" t="n">
        <f aca="false">(Sens!D7812*tk_opex_h100+Sens!D7813*tk_opex_gb200+Sens!D7814*tk_opex_gb300+Sens!D7815*tk_opex_vr200)/Sens!D7804</f>
        <v>1.88636041306092</v>
      </c>
      <c r="E7820" s="14" t="n">
        <f aca="false">(Sens!E7812*tk_opex_h100+Sens!E7813*tk_opex_gb200+Sens!E7814*tk_opex_gb300+Sens!E7815*tk_opex_vr200)/Sens!E7804</f>
        <v>1.88636041306092</v>
      </c>
      <c r="F7820" s="14" t="n">
        <f aca="false">(Sens!F7812*tk_opex_h100+Sens!F7813*tk_opex_gb200+Sens!F7814*tk_opex_gb300+Sens!F7815*tk_opex_vr200)/Sens!F7804</f>
        <v>1.9430236476499</v>
      </c>
      <c r="G7820" s="14" t="n">
        <f aca="false">(Sens!G7812*tk_opex_h100+Sens!G7813*tk_opex_gb200+Sens!G7814*tk_opex_gb300+Sens!G7815*tk_opex_vr200)/Sens!G7804</f>
        <v>1.9786941852423</v>
      </c>
      <c r="H7820" s="14" t="n">
        <f aca="false">(Sens!H7812*tk_opex_h100+Sens!H7813*tk_opex_gb200+Sens!H7814*tk_opex_gb300+Sens!H7815*tk_opex_vr200)/Sens!H7804</f>
        <v>2.00289275976156</v>
      </c>
      <c r="I7820" s="14" t="n">
        <f aca="false">(Sens!I7812*tk_opex_h100+Sens!I7813*tk_opex_gb200+Sens!I7814*tk_opex_gb300+Sens!I7815*tk_opex_vr200)/Sens!I7804</f>
        <v>2.02179589661219</v>
      </c>
      <c r="J7820" s="14" t="n">
        <f aca="false">(Sens!J7812*tk_opex_h100+Sens!J7813*tk_opex_gb200+Sens!J7814*tk_opex_gb300+Sens!J7815*tk_opex_vr200)/Sens!J7804</f>
        <v>2.03720754193029</v>
      </c>
      <c r="K7820" s="14" t="n">
        <f aca="false">(Sens!K7812*tk_opex_h100+Sens!K7813*tk_opex_gb200+Sens!K7814*tk_opex_gb300+Sens!K7815*tk_opex_vr200)/Sens!K7804</f>
        <v>2.0589181353437</v>
      </c>
    </row>
    <row r="7821" customFormat="false" ht="17.15" hidden="false" customHeight="false" outlineLevel="0" collapsed="false">
      <c r="A7821" s="0" t="s">
        <v>835</v>
      </c>
      <c r="B7821" s="0" t="s">
        <v>98</v>
      </c>
      <c r="D7821" s="6" t="n">
        <f aca="false">(Sens!C7807+Sens!D7807)/2*Sens!D7820/1000</f>
        <v>2.70378325872065</v>
      </c>
      <c r="E7821" s="6" t="n">
        <f aca="false">(Sens!D7807+Sens!E7807)/2*Sens!E7820/1000</f>
        <v>6.17783035277451</v>
      </c>
      <c r="F7821" s="6" t="n">
        <f aca="false">(Sens!E7807+Sens!F7807)/2*Sens!F7820/1000</f>
        <v>12.5020618235287</v>
      </c>
      <c r="G7821" s="6" t="n">
        <f aca="false">(Sens!F7807+Sens!G7807)/2*Sens!G7820/1000</f>
        <v>20.7261620256847</v>
      </c>
      <c r="H7821" s="6" t="n">
        <f aca="false">(Sens!G7807+Sens!H7807)/2*Sens!H7820/1000</f>
        <v>29.4158183316982</v>
      </c>
      <c r="I7821" s="6" t="n">
        <f aca="false">(Sens!H7807+Sens!I7807)/2*Sens!I7820/1000</f>
        <v>36.9724400356344</v>
      </c>
      <c r="J7821" s="6" t="n">
        <f aca="false">(Sens!I7807+Sens!J7807)/2*Sens!J7820/1000</f>
        <v>42.1571687189816</v>
      </c>
      <c r="K7821" s="6" t="n">
        <f aca="false">(Sens!J7807+Sens!K7807)/2*Sens!K7820/1000</f>
        <v>45.1912095080704</v>
      </c>
    </row>
    <row r="7822" customFormat="false" ht="17.15" hidden="false" customHeight="false" outlineLevel="0" collapsed="false">
      <c r="A7822" s="0" t="s">
        <v>836</v>
      </c>
      <c r="B7822" s="0" t="s">
        <v>98</v>
      </c>
      <c r="D7822" s="6" t="n">
        <f aca="false">(Sens!C7805+Sens!D7805)/2*rent_mw/1000</f>
        <v>2.44475</v>
      </c>
      <c r="E7822" s="6" t="n">
        <f aca="false">(Sens!D7805+Sens!E7805)/2*rent_mw/1000</f>
        <v>4.22275</v>
      </c>
      <c r="F7822" s="6" t="n">
        <f aca="false">(Sens!E7805+Sens!F7805)/2*rent_mw/1000</f>
        <v>5.80517</v>
      </c>
      <c r="G7822" s="6" t="n">
        <f aca="false">(Sens!F7805+Sens!G7805)/2*rent_mw/1000</f>
        <v>6.72084</v>
      </c>
      <c r="H7822" s="6" t="n">
        <f aca="false">(Sens!G7805+Sens!H7805)/2*rent_mw/1000</f>
        <v>6.72084</v>
      </c>
      <c r="I7822" s="6" t="n">
        <f aca="false">(Sens!H7805+Sens!I7805)/2*rent_mw/1000</f>
        <v>6.72084</v>
      </c>
      <c r="J7822" s="6" t="n">
        <f aca="false">(Sens!I7805+Sens!J7805)/2*rent_mw/1000</f>
        <v>6.72084</v>
      </c>
      <c r="K7822" s="6" t="n">
        <f aca="false">(Sens!J7805+Sens!K7805)/2*rent_mw/1000</f>
        <v>6.72084</v>
      </c>
    </row>
    <row r="7823" customFormat="false" ht="17.15" hidden="false" customHeight="false" outlineLevel="0" collapsed="false">
      <c r="A7823" s="0" t="s">
        <v>837</v>
      </c>
      <c r="B7823" s="0" t="s">
        <v>98</v>
      </c>
      <c r="D7823" s="6" t="n">
        <f aca="false">(Sens!C7807+Sens!D7807)/2*(1-self_build)*fac_rent/1000</f>
        <v>0.853242375631075</v>
      </c>
      <c r="E7823" s="6" t="n">
        <f aca="false">(Sens!D7807+Sens!E7807)/2*(1-self_build)*fac_rent/1000</f>
        <v>1.94955961408728</v>
      </c>
      <c r="F7823" s="6" t="n">
        <f aca="false">(Sens!E7807+Sens!F7807)/2*(1-self_build)*fac_rent/1000</f>
        <v>3.83026455274573</v>
      </c>
      <c r="G7823" s="6" t="n">
        <f aca="false">(Sens!F7807+Sens!G7807)/2*(1-self_build)*fac_rent/1000</f>
        <v>6.23541590972812</v>
      </c>
      <c r="H7823" s="6" t="n">
        <f aca="false">(Sens!G7807+Sens!H7807)/2*(1-self_build)*fac_rent/1000</f>
        <v>8.74275792332679</v>
      </c>
      <c r="I7823" s="6" t="n">
        <f aca="false">(Sens!H7807+Sens!I7807)/2*(1-self_build)*fac_rent/1000</f>
        <v>10.8859420438599</v>
      </c>
      <c r="J7823" s="6" t="n">
        <f aca="false">(Sens!I7807+Sens!J7807)/2*(1-self_build)*fac_rent/1000</f>
        <v>12.3186006405366</v>
      </c>
      <c r="K7823" s="6" t="n">
        <f aca="false">(Sens!J7807+Sens!K7807)/2*(1-self_build)*fac_rent/1000</f>
        <v>13.0659232089824</v>
      </c>
      <c r="L7823" s="11" t="s">
        <v>838</v>
      </c>
    </row>
    <row r="7824" customFormat="false" ht="17.15" hidden="false" customHeight="false" outlineLevel="0" collapsed="false">
      <c r="A7824" s="1" t="s">
        <v>839</v>
      </c>
      <c r="B7824" s="0" t="s">
        <v>129</v>
      </c>
      <c r="D7824" s="7" t="n">
        <f aca="false">(Sens!C7806+Sens!D7806)/(Sens!C7807+Sens!D7807)</f>
        <v>0.6</v>
      </c>
      <c r="E7824" s="7" t="n">
        <f aca="false">(Sens!D7806+Sens!E7806)/(Sens!D7807+Sens!E7807)</f>
        <v>0.6</v>
      </c>
      <c r="F7824" s="7" t="n">
        <f aca="false">(Sens!E7806+Sens!F7806)/(Sens!E7807+Sens!F7807)</f>
        <v>0.6</v>
      </c>
      <c r="G7824" s="7" t="n">
        <f aca="false">(Sens!F7806+Sens!G7806)/(Sens!F7807+Sens!G7807)</f>
        <v>0.6</v>
      </c>
      <c r="H7824" s="7" t="n">
        <f aca="false">(Sens!G7806+Sens!H7806)/(Sens!G7807+Sens!H7807)</f>
        <v>0.6</v>
      </c>
      <c r="I7824" s="7" t="n">
        <f aca="false">(Sens!H7806+Sens!I7806)/(Sens!H7807+Sens!I7807)</f>
        <v>0.6</v>
      </c>
      <c r="J7824" s="7" t="n">
        <f aca="false">(Sens!I7806+Sens!J7806)/(Sens!I7807+Sens!J7807)</f>
        <v>0.6</v>
      </c>
      <c r="K7824" s="7" t="n">
        <f aca="false">(Sens!J7806+Sens!K7806)/(Sens!J7807+Sens!K7807)</f>
        <v>0.6</v>
      </c>
    </row>
    <row r="7825" customFormat="false" ht="17.15" hidden="false" customHeight="false" outlineLevel="0" collapsed="false">
      <c r="A7825" s="0" t="s">
        <v>840</v>
      </c>
      <c r="B7825" s="0" t="s">
        <v>98</v>
      </c>
      <c r="D7825" s="6" t="n">
        <f aca="false">Sens!D7819-Sens!D7824*(Sens!D7821+Sens!D7823)-Sens!D7822</f>
        <v>8.35701406163072</v>
      </c>
      <c r="E7825" s="6" t="n">
        <f aca="false">Sens!E7819-Sens!E7824*(Sens!E7821+Sens!E7823)-Sens!E7822</f>
        <v>18.7103224860238</v>
      </c>
      <c r="F7825" s="6" t="n">
        <f aca="false">Sens!F7819-Sens!F7824*(Sens!F7821+Sens!F7823)-Sens!F7822</f>
        <v>39.4594407491938</v>
      </c>
      <c r="G7825" s="6" t="n">
        <f aca="false">Sens!G7819-Sens!G7824*(Sens!G7821+Sens!G7823)-Sens!G7822</f>
        <v>66.5527545578061</v>
      </c>
      <c r="H7825" s="6" t="n">
        <f aca="false">Sens!H7819-Sens!H7824*(Sens!H7821+Sens!H7823)-Sens!H7822</f>
        <v>95.219644983859</v>
      </c>
      <c r="I7825" s="6" t="n">
        <f aca="false">Sens!I7819-Sens!I7824*(Sens!I7821+Sens!I7823)-Sens!I7822</f>
        <v>120.722591017788</v>
      </c>
      <c r="J7825" s="6" t="n">
        <f aca="false">Sens!J7819-Sens!J7824*(Sens!J7821+Sens!J7823)-Sens!J7822</f>
        <v>138.852983677401</v>
      </c>
      <c r="K7825" s="6" t="n">
        <f aca="false">Sens!K7819-Sens!K7824*(Sens!K7821+Sens!K7823)-Sens!K7822</f>
        <v>151.058170579566</v>
      </c>
    </row>
    <row r="7826" customFormat="false" ht="17.15" hidden="false" customHeight="false" outlineLevel="0" collapsed="false">
      <c r="A7826" s="1" t="s">
        <v>841</v>
      </c>
      <c r="B7826" s="0" t="s">
        <v>98</v>
      </c>
      <c r="D7826" s="6" t="n">
        <f aca="false">(1-Sens!D7824)*(Sens!D7821+Sens!D7823)</f>
        <v>1.42281025374069</v>
      </c>
      <c r="E7826" s="6" t="n">
        <f aca="false">(1-Sens!E7824)*(Sens!E7821+Sens!E7823)</f>
        <v>3.25095598674472</v>
      </c>
      <c r="F7826" s="6" t="n">
        <f aca="false">(1-Sens!F7824)*(Sens!F7821+Sens!F7823)</f>
        <v>6.53293055050977</v>
      </c>
      <c r="G7826" s="6" t="n">
        <f aca="false">(1-Sens!G7824)*(Sens!G7821+Sens!G7823)</f>
        <v>10.7846311741651</v>
      </c>
      <c r="H7826" s="6" t="n">
        <f aca="false">(1-Sens!H7824)*(Sens!H7821+Sens!H7823)</f>
        <v>15.26343050201</v>
      </c>
      <c r="I7826" s="6" t="n">
        <f aca="false">(1-Sens!I7824)*(Sens!I7821+Sens!I7823)</f>
        <v>19.1433528317977</v>
      </c>
      <c r="J7826" s="6" t="n">
        <f aca="false">(1-Sens!J7824)*(Sens!J7821+Sens!J7823)</f>
        <v>21.7903077438073</v>
      </c>
      <c r="K7826" s="6" t="n">
        <f aca="false">(1-Sens!K7824)*(Sens!K7821+Sens!K7823)</f>
        <v>23.3028530868211</v>
      </c>
    </row>
    <row r="7827" customFormat="false" ht="17.15" hidden="false" customHeight="false" outlineLevel="0" collapsed="false">
      <c r="A7827" s="1" t="s">
        <v>842</v>
      </c>
      <c r="B7827" s="0" t="s">
        <v>357</v>
      </c>
      <c r="C7827" s="8" t="n">
        <f aca="false">cxit_open</f>
        <v>27.5918995</v>
      </c>
      <c r="D7827" s="8" t="n">
        <f aca="false">cxit_open</f>
        <v>27.5918995</v>
      </c>
      <c r="E7827" s="8" t="n">
        <f aca="false">cxit_open</f>
        <v>27.5918995</v>
      </c>
      <c r="F7827" s="8" t="n">
        <f aca="false">(a_g3_27*tk_cxit_gb300+(1-a_g3_27)*tk_cxit_vr200)</f>
        <v>33.8419624</v>
      </c>
      <c r="G7827" s="8" t="n">
        <f aca="false">(a_g3_28*tk_cxit_gb300+(1-a_g3_28)*tk_cxit_vr200)</f>
        <v>35.9816136</v>
      </c>
      <c r="H7827" s="8" t="n">
        <f aca="false">(a_g3_29*tk_cxit_gb300+(1-a_g3_29)*tk_cxit_vr200)</f>
        <v>37.0514392</v>
      </c>
      <c r="I7827" s="8" t="n">
        <f aca="false">(a_g3_29*tk_cxit_gb300+(1-a_g3_29)*tk_cxit_vr200)</f>
        <v>37.0514392</v>
      </c>
      <c r="J7827" s="8" t="n">
        <f aca="false">(a_g3_29*tk_cxit_gb300+(1-a_g3_29)*tk_cxit_vr200)</f>
        <v>37.0514392</v>
      </c>
      <c r="K7827" s="8" t="n">
        <f aca="false">(a_g3_29*tk_cxit_gb300+(1-a_g3_29)*tk_cxit_vr200)</f>
        <v>37.0514392</v>
      </c>
      <c r="L7827" s="11" t="s">
        <v>843</v>
      </c>
    </row>
    <row r="7828" customFormat="false" ht="17.15" hidden="false" customHeight="false" outlineLevel="0" collapsed="false">
      <c r="A7828" s="0" t="s">
        <v>844</v>
      </c>
      <c r="B7828" s="0" t="s">
        <v>399</v>
      </c>
      <c r="F7828" s="29" t="n">
        <f aca="false">Sens!C7809*IF(Sens!F7802-Sens!C7802=life_it,1,0)+Sens!D7809*IF(Sens!F7802-Sens!D7802=life_it,1,0)+Sens!E7809*IF(Sens!F7802-Sens!E7802=life_it,1,0)</f>
        <v>0</v>
      </c>
      <c r="G7828" s="29" t="n">
        <f aca="false">Sens!C7809*IF(Sens!G7802-Sens!C7802=life_it,1,0)+Sens!D7809*IF(Sens!G7802-Sens!D7802=life_it,1,0)+Sens!E7809*IF(Sens!G7802-Sens!E7802=life_it,1,0)+Sens!F7809*IF(Sens!G7802-Sens!F7802=life_it,1,0)</f>
        <v>0</v>
      </c>
      <c r="H7828" s="29" t="n">
        <f aca="false">Sens!C7809*IF(Sens!H7802-Sens!C7802=life_it,1,0)+Sens!D7809*IF(Sens!H7802-Sens!D7802=life_it,1,0)+Sens!E7809*IF(Sens!H7802-Sens!E7802=life_it,1,0)+Sens!F7809*IF(Sens!H7802-Sens!F7802=life_it,1,0)+Sens!G7809*IF(Sens!H7802-Sens!G7802=life_it,1,0)</f>
        <v>0</v>
      </c>
      <c r="I7828" s="29" t="n">
        <f aca="false">Sens!C7809*IF(Sens!I7802-Sens!C7802=life_it,1,0)+Sens!D7809*IF(Sens!I7802-Sens!D7802=life_it,1,0)+Sens!E7809*IF(Sens!I7802-Sens!E7802=life_it,1,0)+Sens!F7809*IF(Sens!I7802-Sens!F7802=life_it,1,0)+Sens!G7809*IF(Sens!I7802-Sens!G7802=life_it,1,0)+Sens!H7809*IF(Sens!I7802-Sens!H7802=life_it,1,0)</f>
        <v>816.666666666667</v>
      </c>
      <c r="J7828" s="29" t="n">
        <f aca="false">Sens!C7809*IF(Sens!J7802-Sens!C7802=life_it,1,0)+Sens!D7809*IF(Sens!J7802-Sens!D7802=life_it,1,0)+Sens!E7809*IF(Sens!J7802-Sens!E7802=life_it,1,0)+Sens!F7809*IF(Sens!J7802-Sens!F7802=life_it,1,0)+Sens!G7809*IF(Sens!J7802-Sens!G7802=life_it,1,0)+Sens!H7809*IF(Sens!J7802-Sens!H7802=life_it,1,0)+Sens!I7809*IF(Sens!J7802-Sens!I7802=life_it,1,0)</f>
        <v>1233.33333333333</v>
      </c>
      <c r="K7828" s="29" t="n">
        <f aca="false">Sens!C7809*IF(Sens!K7802-Sens!C7802=life_it,1,0)+Sens!D7809*IF(Sens!K7802-Sens!D7802=life_it,1,0)+Sens!E7809*IF(Sens!K7802-Sens!E7802=life_it,1,0)+Sens!F7809*IF(Sens!K7802-Sens!F7802=life_it,1,0)+Sens!G7809*IF(Sens!K7802-Sens!G7802=life_it,1,0)+Sens!H7809*IF(Sens!K7802-Sens!H7802=life_it,1,0)+Sens!I7809*IF(Sens!K7802-Sens!I7802=life_it,1,0)+Sens!J7809*IF(Sens!K7802-Sens!J7802=life_it,1,0)</f>
        <v>2450</v>
      </c>
      <c r="L7828" s="1" t="s">
        <v>845</v>
      </c>
    </row>
    <row r="7829" customFormat="false" ht="17.15" hidden="false" customHeight="false" outlineLevel="0" collapsed="false">
      <c r="A7829" s="0" t="s">
        <v>846</v>
      </c>
      <c r="B7829" s="0" t="s">
        <v>98</v>
      </c>
      <c r="C7829" s="6" t="n">
        <f aca="false">Sens!C7809*Sens!C7827/1000</f>
        <v>22.5333845916667</v>
      </c>
      <c r="D7829" s="6" t="n">
        <f aca="false">Sens!D7809*Sens!D7827/1000</f>
        <v>34.0300093833333</v>
      </c>
      <c r="E7829" s="6" t="n">
        <f aca="false">Sens!E7809*Sens!E7827/1000</f>
        <v>67.600153775</v>
      </c>
      <c r="F7829" s="6" t="n">
        <f aca="false">(Sens!F7809+Sens!F7828)*Sens!F7827/1000</f>
        <v>130.923271871467</v>
      </c>
      <c r="G7829" s="6" t="n">
        <f aca="false">(Sens!G7809+Sens!G7828)*Sens!G7827/1000</f>
        <v>151.5545564832</v>
      </c>
      <c r="H7829" s="6" t="n">
        <f aca="false">(Sens!H7809+Sens!H7828)*Sens!H7827/1000</f>
        <v>156.0606619104</v>
      </c>
      <c r="I7829" s="6" t="n">
        <f aca="false">(Sens!I7809+Sens!I7828)*Sens!I7827/1000</f>
        <v>140.987889434245</v>
      </c>
      <c r="J7829" s="6" t="n">
        <f aca="false">(Sens!J7809+Sens!J7828)*Sens!J7827/1000</f>
        <v>113.309125559842</v>
      </c>
      <c r="K7829" s="6" t="n">
        <f aca="false">(Sens!K7809+Sens!K7828)*Sens!K7827/1000</f>
        <v>116.192591420959</v>
      </c>
    </row>
    <row r="7830" customFormat="false" ht="17.15" hidden="false" customHeight="false" outlineLevel="0" collapsed="false">
      <c r="A7830" s="0" t="s">
        <v>847</v>
      </c>
      <c r="B7830" s="0" t="s">
        <v>98</v>
      </c>
      <c r="C7830" s="6" t="n">
        <f aca="false">Sens!C7809*self_build*tk_cxfac/1000</f>
        <v>6.2083</v>
      </c>
      <c r="D7830" s="6" t="n">
        <f aca="false">Sens!D7809*self_build*tk_cxfac/1000</f>
        <v>9.3758</v>
      </c>
      <c r="E7830" s="6" t="n">
        <f aca="false">Sens!E7809*self_build*tk_cxfac/1000</f>
        <v>18.6249</v>
      </c>
      <c r="F7830" s="6" t="n">
        <f aca="false">Sens!F7809*self_build*tk_cxfac/1000</f>
        <v>29.409604</v>
      </c>
      <c r="G7830" s="6" t="n">
        <f aca="false">Sens!G7809*self_build*tk_cxfac/1000</f>
        <v>32.019624</v>
      </c>
      <c r="H7830" s="6" t="n">
        <f aca="false">Sens!H7809*self_build*tk_cxfac/1000</f>
        <v>32.019624</v>
      </c>
      <c r="I7830" s="6" t="n">
        <f aca="false">Sens!I7809*self_build*tk_cxfac/1000</f>
        <v>22.71877972</v>
      </c>
      <c r="J7830" s="6" t="n">
        <f aca="false">Sens!J7809*self_build*tk_cxfac/1000</f>
        <v>13.8723110344</v>
      </c>
      <c r="K7830" s="6" t="n">
        <f aca="false">Sens!K7809*self_build*tk_cxfac/1000</f>
        <v>5.214823882632</v>
      </c>
    </row>
    <row r="7831" customFormat="false" ht="17.15" hidden="false" customHeight="false" outlineLevel="0" collapsed="false">
      <c r="A7831" s="0" t="s">
        <v>848</v>
      </c>
      <c r="B7831" s="0" t="s">
        <v>98</v>
      </c>
      <c r="F7831" s="6" t="n">
        <f aca="false">MAX(0,capex_floor27-Sens!F7829-Sens!F7830-Sens!F7925)</f>
        <v>8.36190539250475</v>
      </c>
    </row>
    <row r="7832" customFormat="false" ht="17.15" hidden="false" customHeight="false" outlineLevel="0" collapsed="false">
      <c r="A7832" s="0" t="s">
        <v>849</v>
      </c>
      <c r="B7832" s="0" t="s">
        <v>98</v>
      </c>
      <c r="C7832" s="6" t="n">
        <f aca="false">Sens!C7829</f>
        <v>22.5333845916667</v>
      </c>
      <c r="D7832" s="6" t="n">
        <f aca="false">Sens!D7829</f>
        <v>34.0300093833333</v>
      </c>
      <c r="E7832" s="6" t="n">
        <f aca="false">Sens!E7829</f>
        <v>67.600153775</v>
      </c>
      <c r="F7832" s="6" t="n">
        <f aca="false">Sens!F7829</f>
        <v>130.923271871467</v>
      </c>
      <c r="G7832" s="6" t="n">
        <f aca="false">Sens!G7829</f>
        <v>151.5545564832</v>
      </c>
      <c r="H7832" s="6" t="n">
        <f aca="false">Sens!H7829</f>
        <v>156.0606619104</v>
      </c>
      <c r="I7832" s="6" t="n">
        <f aca="false">Sens!I7829</f>
        <v>140.987889434245</v>
      </c>
      <c r="J7832" s="6" t="n">
        <f aca="false">Sens!J7829</f>
        <v>113.309125559842</v>
      </c>
      <c r="K7832" s="6" t="n">
        <f aca="false">Sens!K7829</f>
        <v>116.192591420959</v>
      </c>
    </row>
    <row r="7833" customFormat="false" ht="17.15" hidden="false" customHeight="false" outlineLevel="0" collapsed="false">
      <c r="A7833" s="0" t="s">
        <v>850</v>
      </c>
      <c r="B7833" s="0" t="s">
        <v>98</v>
      </c>
      <c r="C7833" s="6" t="n">
        <f aca="false">Sens!C7832+Sens!C7830</f>
        <v>28.7416845916667</v>
      </c>
      <c r="D7833" s="6" t="n">
        <f aca="false">Sens!D7832+Sens!D7830</f>
        <v>43.4058093833333</v>
      </c>
      <c r="E7833" s="6" t="n">
        <f aca="false">Sens!E7832+Sens!E7830</f>
        <v>86.225053775</v>
      </c>
      <c r="F7833" s="6" t="n">
        <f aca="false">Sens!F7832+Sens!F7830</f>
        <v>160.332875871467</v>
      </c>
      <c r="G7833" s="6" t="n">
        <f aca="false">Sens!G7832+Sens!G7830</f>
        <v>183.5741804832</v>
      </c>
      <c r="H7833" s="6" t="n">
        <f aca="false">Sens!H7832+Sens!H7830</f>
        <v>188.0802859104</v>
      </c>
      <c r="I7833" s="6" t="n">
        <f aca="false">Sens!I7832+Sens!I7830</f>
        <v>163.706669154245</v>
      </c>
      <c r="J7833" s="6" t="n">
        <f aca="false">Sens!J7832+Sens!J7830</f>
        <v>127.181436594242</v>
      </c>
      <c r="K7833" s="6" t="n">
        <f aca="false">Sens!K7832+Sens!K7830</f>
        <v>121.407415303591</v>
      </c>
      <c r="L7833" s="11" t="s">
        <v>851</v>
      </c>
    </row>
    <row r="7834" customFormat="false" ht="17.15" hidden="false" customHeight="false" outlineLevel="0" collapsed="false">
      <c r="A7834" s="0" t="s">
        <v>852</v>
      </c>
      <c r="B7834" s="0" t="s">
        <v>98</v>
      </c>
      <c r="E7834" s="6" t="n">
        <f aca="false">(Sens!C7832*IF(2&lt;life_it,1,IF(2=life_it,0.5,0))+Sens!D7832*IF(1&lt;life_it,1,IF(1=life_it,0.5,0))+Sens!E7832*0.5)/life_it</f>
        <v>15.0605784770833</v>
      </c>
      <c r="F7834" s="6" t="n">
        <f aca="false">(Sens!C7832*IF(3&lt;life_it,1,IF(3=life_it,0.5,0))+Sens!D7832*IF(2&lt;life_it,1,IF(2=life_it,0.5,0))+Sens!E7832*IF(1&lt;life_it,1,IF(1=life_it,0.5,0))+Sens!F7832*0.5)/life_it</f>
        <v>31.6041972809556</v>
      </c>
      <c r="G7834" s="6" t="n">
        <f aca="false">(Sens!C7832*IF(4&lt;life_it,1,IF(4=life_it,0.5,0))+Sens!D7832*IF(3&lt;life_it,1,IF(3=life_it,0.5,0))+Sens!E7832*IF(2&lt;life_it,1,IF(2=life_it,0.5,0))+Sens!F7832*IF(1&lt;life_it,1,IF(1=life_it,0.5,0))+Sens!G7832*0.5)/life_it</f>
        <v>55.1440163105111</v>
      </c>
      <c r="H7834" s="6" t="n">
        <f aca="false">(Sens!C7832*IF(5&lt;life_it,1,IF(5=life_it,0.5,0))+Sens!D7832*IF(4&lt;life_it,1,IF(4=life_it,0.5,0))+Sens!E7832*IF(3&lt;life_it,1,IF(3=life_it,0.5,0))+Sens!F7832*IF(2&lt;life_it,1,IF(2=life_it,0.5,0))+Sens!G7832*IF(1&lt;life_it,1,IF(1=life_it,0.5,0))+Sens!H7832*0.5)/life_it</f>
        <v>80.7786178433111</v>
      </c>
      <c r="I7834" s="6" t="n">
        <f aca="false">(Sens!C7832*IF(6&lt;life_it,1,IF(6=life_it,0.5,0))+Sens!D7832*IF(5&lt;life_it,1,IF(5=life_it,0.5,0))+Sens!E7832*IF(4&lt;life_it,1,IF(4=life_it,0.5,0))+Sens!F7832*IF(3&lt;life_it,1,IF(3=life_it,0.5,0))+Sens!G7832*IF(2&lt;life_it,1,IF(2=life_it,0.5,0))+Sens!H7832*IF(1&lt;life_it,1,IF(1=life_it,0.5,0))+Sens!I7832*0.5)/life_it</f>
        <v>103.654881739393</v>
      </c>
      <c r="J7834" s="6" t="n">
        <f aca="false">(Sens!C7832*IF(7&lt;life_it,1,IF(7=life_it,0.5,0))+Sens!D7832*IF(6&lt;life_it,1,IF(6=life_it,0.5,0))+Sens!E7832*IF(5&lt;life_it,1,IF(5=life_it,0.5,0))+Sens!F7832*IF(4&lt;life_it,1,IF(4=life_it,0.5,0))+Sens!G7832*IF(3&lt;life_it,1,IF(3=life_it,0.5,0))+Sens!H7832*IF(2&lt;life_it,1,IF(2=life_it,0.5,0))+Sens!I7832*IF(1&lt;life_it,1,IF(1=life_it,0.5,0))+Sens!J7832*0.5)/life_it</f>
        <v>120.132683490983</v>
      </c>
      <c r="K7834" s="6" t="n">
        <f aca="false">(Sens!C7832*IF(8&lt;life_it,1,IF(8=life_it,0.5,0))+Sens!D7832*IF(7&lt;life_it,1,IF(7=life_it,0.5,0))+Sens!E7832*IF(6&lt;life_it,1,IF(6=life_it,0.5,0))+Sens!F7832*IF(5&lt;life_it,1,IF(5=life_it,0.5,0))+Sens!G7832*IF(4&lt;life_it,1,IF(4=life_it,0.5,0))+Sens!H7832*IF(3&lt;life_it,1,IF(3=life_it,0.5,0))+Sens!I7832*IF(2&lt;life_it,1,IF(2=life_it,0.5,0))+Sens!J7832*IF(1&lt;life_it,1,IF(1=life_it,0.5,0))+Sens!K7832*0.5)/life_it</f>
        <v>130.788646309522</v>
      </c>
    </row>
    <row r="7835" customFormat="false" ht="17.15" hidden="false" customHeight="false" outlineLevel="0" collapsed="false">
      <c r="A7835" s="0" t="s">
        <v>853</v>
      </c>
      <c r="B7835" s="0" t="s">
        <v>98</v>
      </c>
      <c r="E7835" s="6" t="n">
        <f aca="false">(Sens!C7830*IF(2&lt;life_fac,1,IF(2=life_fac,0.5,0))+Sens!D7830*IF(1&lt;life_fac,1,IF(1=life_fac,0.5,0))+Sens!E7830*0.5)/life_fac</f>
        <v>1.2448275</v>
      </c>
      <c r="F7835" s="6" t="n">
        <f aca="false">(Sens!C7830*IF(3&lt;life_fac,1,IF(3=life_fac,0.5,0))+Sens!D7830*IF(2&lt;life_fac,1,IF(2=life_fac,0.5,0))+Sens!E7830*IF(1&lt;life_fac,1,IF(1=life_fac,0.5,0))+Sens!F7830*0.5)/life_fac</f>
        <v>2.4456901</v>
      </c>
      <c r="G7835" s="6" t="n">
        <f aca="false">(Sens!C7830*IF(4&lt;life_fac,1,IF(4=life_fac,0.5,0))+Sens!D7830*IF(3&lt;life_fac,1,IF(3=life_fac,0.5,0))+Sens!E7830*IF(2&lt;life_fac,1,IF(2=life_fac,0.5,0))+Sens!F7830*IF(1&lt;life_fac,1,IF(1=life_fac,0.5,0))+Sens!G7830*0.5)/life_fac</f>
        <v>3.9814208</v>
      </c>
      <c r="H7835" s="6" t="n">
        <f aca="false">(Sens!C7830*IF(5&lt;life_fac,1,IF(5=life_fac,0.5,0))+Sens!D7830*IF(4&lt;life_fac,1,IF(4=life_fac,0.5,0))+Sens!E7830*IF(3&lt;life_fac,1,IF(3=life_fac,0.5,0))+Sens!F7830*IF(2&lt;life_fac,1,IF(2=life_fac,0.5,0))+Sens!G7830*IF(1&lt;life_fac,1,IF(1=life_fac,0.5,0))+Sens!H7830*0.5)/life_fac</f>
        <v>5.582402</v>
      </c>
      <c r="I7835" s="6" t="n">
        <f aca="false">(Sens!C7830*IF(6&lt;life_fac,1,IF(6=life_fac,0.5,0))+Sens!D7830*IF(5&lt;life_fac,1,IF(5=life_fac,0.5,0))+Sens!E7830*IF(4&lt;life_fac,1,IF(4=life_fac,0.5,0))+Sens!F7830*IF(3&lt;life_fac,1,IF(3=life_fac,0.5,0))+Sens!G7830*IF(2&lt;life_fac,1,IF(2=life_fac,0.5,0))+Sens!H7830*IF(1&lt;life_fac,1,IF(1=life_fac,0.5,0))+Sens!I7830*0.5)/life_fac</f>
        <v>6.950862093</v>
      </c>
      <c r="J7835" s="6" t="n">
        <f aca="false">(Sens!C7830*IF(7&lt;life_fac,1,IF(7=life_fac,0.5,0))+Sens!D7830*IF(6&lt;life_fac,1,IF(6=life_fac,0.5,0))+Sens!E7830*IF(5&lt;life_fac,1,IF(5=life_fac,0.5,0))+Sens!F7830*IF(4&lt;life_fac,1,IF(4=life_fac,0.5,0))+Sens!G7830*IF(3&lt;life_fac,1,IF(3=life_fac,0.5,0))+Sens!H7830*IF(2&lt;life_fac,1,IF(2=life_fac,0.5,0))+Sens!I7830*IF(1&lt;life_fac,1,IF(1=life_fac,0.5,0))+Sens!J7830*0.5)/life_fac</f>
        <v>7.86563936186</v>
      </c>
      <c r="K7835" s="6" t="n">
        <f aca="false">(Sens!C7830*IF(8&lt;life_fac,1,IF(8=life_fac,0.5,0))+Sens!D7830*IF(7&lt;life_fac,1,IF(7=life_fac,0.5,0))+Sens!E7830*IF(6&lt;life_fac,1,IF(6=life_fac,0.5,0))+Sens!F7830*IF(5&lt;life_fac,1,IF(5=life_fac,0.5,0))+Sens!G7830*IF(4&lt;life_fac,1,IF(4=life_fac,0.5,0))+Sens!H7830*IF(3&lt;life_fac,1,IF(3=life_fac,0.5,0))+Sens!I7830*IF(2&lt;life_fac,1,IF(2=life_fac,0.5,0))+Sens!J7830*IF(1&lt;life_fac,1,IF(1=life_fac,0.5,0))+Sens!K7830*0.5)/life_fac</f>
        <v>8.3428177347858</v>
      </c>
    </row>
    <row r="7836" customFormat="false" ht="17.15" hidden="false" customHeight="false" outlineLevel="0" collapsed="false">
      <c r="A7836" s="0" t="s">
        <v>854</v>
      </c>
      <c r="B7836" s="0" t="s">
        <v>98</v>
      </c>
      <c r="E7836" s="6" t="n">
        <f aca="false">Sens!E7834+Sens!E7835</f>
        <v>16.3054059770833</v>
      </c>
      <c r="F7836" s="6" t="n">
        <f aca="false">Sens!F7834+Sens!F7835</f>
        <v>34.0498873809555</v>
      </c>
      <c r="G7836" s="6" t="n">
        <f aca="false">Sens!G7834+Sens!G7835</f>
        <v>59.1254371105111</v>
      </c>
      <c r="H7836" s="6" t="n">
        <f aca="false">Sens!H7834+Sens!H7835</f>
        <v>86.3610198433111</v>
      </c>
      <c r="I7836" s="6" t="n">
        <f aca="false">Sens!I7834+Sens!I7835</f>
        <v>110.605743832393</v>
      </c>
      <c r="J7836" s="6" t="n">
        <f aca="false">Sens!J7834+Sens!J7835</f>
        <v>127.998322852843</v>
      </c>
      <c r="K7836" s="6" t="n">
        <f aca="false">Sens!K7834+Sens!K7835</f>
        <v>139.131464044308</v>
      </c>
    </row>
    <row r="7837" customFormat="false" ht="17.15" hidden="false" customHeight="false" outlineLevel="0" collapsed="false">
      <c r="A7837" s="0" t="s">
        <v>855</v>
      </c>
      <c r="B7837" s="0" t="s">
        <v>98</v>
      </c>
      <c r="E7837" s="6" t="n">
        <f aca="false">Sens!E7825-Sens!E7824*Sens!E7836</f>
        <v>8.92707889977379</v>
      </c>
      <c r="F7837" s="6" t="n">
        <f aca="false">Sens!F7825-Sens!F7824*Sens!F7836</f>
        <v>19.0295083206205</v>
      </c>
      <c r="G7837" s="6" t="n">
        <f aca="false">Sens!G7825-Sens!G7824*Sens!G7836</f>
        <v>31.0774922914994</v>
      </c>
      <c r="H7837" s="6" t="n">
        <f aca="false">Sens!H7825-Sens!H7824*Sens!H7836</f>
        <v>43.4030330778723</v>
      </c>
      <c r="I7837" s="6" t="n">
        <f aca="false">Sens!I7825-Sens!I7824*Sens!I7836</f>
        <v>54.3591447183526</v>
      </c>
      <c r="J7837" s="6" t="n">
        <f aca="false">Sens!J7825-Sens!J7824*Sens!J7836</f>
        <v>62.0539899656947</v>
      </c>
      <c r="K7837" s="6" t="n">
        <f aca="false">Sens!K7825-Sens!K7824*Sens!K7836</f>
        <v>67.5792921529812</v>
      </c>
    </row>
    <row r="7838" customFormat="false" ht="17.15" hidden="false" customHeight="false" outlineLevel="0" collapsed="false">
      <c r="A7838" s="3" t="s">
        <v>1463</v>
      </c>
    </row>
    <row r="7839" customFormat="false" ht="15" hidden="false" customHeight="false" outlineLevel="0" collapsed="false">
      <c r="A7839" s="4" t="s">
        <v>43</v>
      </c>
      <c r="B7839" s="4" t="s">
        <v>65</v>
      </c>
      <c r="C7839" s="20" t="s">
        <v>799</v>
      </c>
      <c r="D7839" s="20" t="s">
        <v>800</v>
      </c>
      <c r="E7839" s="20" t="s">
        <v>801</v>
      </c>
      <c r="F7839" s="20" t="s">
        <v>802</v>
      </c>
      <c r="G7839" s="20" t="s">
        <v>803</v>
      </c>
      <c r="H7839" s="20" t="s">
        <v>804</v>
      </c>
      <c r="I7839" s="20" t="s">
        <v>805</v>
      </c>
      <c r="J7839" s="20" t="s">
        <v>806</v>
      </c>
      <c r="K7839" s="20" t="s">
        <v>807</v>
      </c>
      <c r="L7839" s="4" t="s">
        <v>47</v>
      </c>
    </row>
    <row r="7840" customFormat="false" ht="17.15" hidden="false" customHeight="false" outlineLevel="0" collapsed="false">
      <c r="A7840" s="0" t="s">
        <v>874</v>
      </c>
      <c r="B7840" s="0" t="s">
        <v>98</v>
      </c>
      <c r="D7840" s="6" t="n">
        <f aca="false">Sens!D7819</f>
        <v>12.9359794422418</v>
      </c>
      <c r="E7840" s="6" t="n">
        <f aca="false">Sens!E7819</f>
        <v>27.8095064661409</v>
      </c>
      <c r="F7840" s="6" t="n">
        <f aca="false">Sens!F7819</f>
        <v>55.0640065749585</v>
      </c>
      <c r="G7840" s="6" t="n">
        <f aca="false">Sens!G7819</f>
        <v>89.4505413190538</v>
      </c>
      <c r="H7840" s="6" t="n">
        <f aca="false">Sens!H7819</f>
        <v>124.835630736874</v>
      </c>
      <c r="I7840" s="6" t="n">
        <f aca="false">Sens!I7819</f>
        <v>156.158460265485</v>
      </c>
      <c r="J7840" s="6" t="n">
        <f aca="false">Sens!J7819</f>
        <v>178.259285293112</v>
      </c>
      <c r="K7840" s="6" t="n">
        <f aca="false">Sens!K7819</f>
        <v>192.733290209798</v>
      </c>
    </row>
    <row r="7841" customFormat="false" ht="17.15" hidden="false" customHeight="false" outlineLevel="0" collapsed="false">
      <c r="A7841" s="0" t="s">
        <v>875</v>
      </c>
      <c r="B7841" s="0" t="s">
        <v>98</v>
      </c>
      <c r="D7841" s="6" t="n">
        <f aca="false">Q!L6-Sens!D7840</f>
        <v>59.6740205577583</v>
      </c>
      <c r="E7841" s="6" t="n">
        <f aca="false">Q!M6-Sens!E7840</f>
        <v>74.1284935338591</v>
      </c>
      <c r="F7841" s="6" t="n">
        <f aca="false">Sens!E7841*(1+Sens!F7842)</f>
        <v>89.709307269697</v>
      </c>
      <c r="G7841" s="6" t="n">
        <f aca="false">Sens!F7841*(1+Sens!G7842)</f>
        <v>105.690953558647</v>
      </c>
      <c r="H7841" s="6" t="n">
        <f aca="false">Sens!G7841*(1+Sens!H7842)</f>
        <v>121.133663984194</v>
      </c>
      <c r="I7841" s="6" t="n">
        <f aca="false">Sens!H7841*(1+Sens!I7842)</f>
        <v>134.951941602699</v>
      </c>
      <c r="J7841" s="6" t="n">
        <f aca="false">Sens!I7841*(1+Sens!J7842)</f>
        <v>146.023036389274</v>
      </c>
      <c r="K7841" s="6" t="n">
        <f aca="false">Sens!J7841*(1+Sens!K7842)</f>
        <v>153.324188208738</v>
      </c>
    </row>
    <row r="7842" customFormat="false" ht="15" hidden="false" customHeight="false" outlineLevel="0" collapsed="false">
      <c r="A7842" s="1" t="s">
        <v>876</v>
      </c>
      <c r="B7842" s="0" t="s">
        <v>129</v>
      </c>
      <c r="E7842" s="7" t="n">
        <f aca="false">Sens!E7841/Sens!D7841-1</f>
        <v>0.242223883039864</v>
      </c>
      <c r="F7842" s="7" t="n">
        <f aca="false">Sens!$E$7842+(glt_azo_lo-Sens!$E$7842)*MIN(1,(Sens!F7802-base_fy)/n_conv)</f>
        <v>0.210186569199887</v>
      </c>
      <c r="G7842" s="7" t="n">
        <f aca="false">Sens!$E$7842+(glt_azo_lo-Sens!$E$7842)*MIN(1,(Sens!G7802-base_fy)/n_conv)</f>
        <v>0.17814925535991</v>
      </c>
      <c r="H7842" s="7" t="n">
        <f aca="false">Sens!$E$7842+(glt_azo_lo-Sens!$E$7842)*MIN(1,(Sens!H7802-base_fy)/n_conv)</f>
        <v>0.146111941519932</v>
      </c>
      <c r="I7842" s="7" t="n">
        <f aca="false">Sens!$E$7842+(glt_azo_lo-Sens!$E$7842)*MIN(1,(Sens!I7802-base_fy)/n_conv)</f>
        <v>0.114074627679955</v>
      </c>
      <c r="J7842" s="7" t="n">
        <f aca="false">Sens!$E$7842+(glt_azo_lo-Sens!$E$7842)*MIN(1,(Sens!J7802-base_fy)/n_conv)</f>
        <v>0.0820373138399774</v>
      </c>
      <c r="K7842" s="7" t="n">
        <f aca="false">Sens!$E$7842+(glt_azo_lo-Sens!$E$7842)*MIN(1,(Sens!K7802-base_fy)/n_conv)</f>
        <v>0.05</v>
      </c>
    </row>
    <row r="7843" customFormat="false" ht="15" hidden="false" customHeight="false" outlineLevel="0" collapsed="false">
      <c r="A7843" s="0" t="s">
        <v>877</v>
      </c>
      <c r="B7843" s="0" t="s">
        <v>98</v>
      </c>
      <c r="D7843" s="6" t="n">
        <f aca="false">Sens!D7840+Sens!D7841</f>
        <v>72.61</v>
      </c>
      <c r="E7843" s="6" t="n">
        <f aca="false">Sens!E7840+Sens!E7841</f>
        <v>101.938</v>
      </c>
      <c r="F7843" s="6" t="n">
        <f aca="false">Sens!F7840+Sens!F7841</f>
        <v>144.773313844656</v>
      </c>
      <c r="G7843" s="6" t="n">
        <f aca="false">Sens!G7840+Sens!G7841</f>
        <v>195.141494877701</v>
      </c>
      <c r="H7843" s="6" t="n">
        <f aca="false">Sens!H7840+Sens!H7841</f>
        <v>245.969294721068</v>
      </c>
      <c r="I7843" s="6" t="n">
        <f aca="false">Sens!I7840+Sens!I7841</f>
        <v>291.110401868184</v>
      </c>
      <c r="J7843" s="6" t="n">
        <f aca="false">Sens!J7840+Sens!J7841</f>
        <v>324.282321682386</v>
      </c>
      <c r="K7843" s="6" t="n">
        <f aca="false">Sens!K7840+Sens!K7841</f>
        <v>346.057478418536</v>
      </c>
    </row>
    <row r="7844" customFormat="false" ht="17.15" hidden="false" customHeight="false" outlineLevel="0" collapsed="false">
      <c r="A7844" s="0" t="s">
        <v>878</v>
      </c>
      <c r="B7844" s="1" t="s">
        <v>528</v>
      </c>
      <c r="C7844" s="29" t="n">
        <f aca="false">cop_s24</f>
        <v>1</v>
      </c>
      <c r="D7844" s="29" t="n">
        <f aca="false">cop_s25</f>
        <v>5</v>
      </c>
      <c r="E7844" s="29" t="n">
        <f aca="false">cop_s26</f>
        <v>30</v>
      </c>
      <c r="F7844" s="29" t="n">
        <f aca="false">Sens!E7844+cop_add_B</f>
        <v>50</v>
      </c>
      <c r="G7844" s="29" t="n">
        <f aca="false">Sens!F7844+cop_add_B</f>
        <v>70</v>
      </c>
      <c r="H7844" s="29" t="n">
        <f aca="false">Sens!G7844+cop_add_B</f>
        <v>90</v>
      </c>
      <c r="I7844" s="29" t="n">
        <f aca="false">Sens!H7844+cop_add_B*cop_tail</f>
        <v>100</v>
      </c>
      <c r="J7844" s="29" t="n">
        <f aca="false">Sens!I7844+cop_add_B*cop_tail</f>
        <v>110</v>
      </c>
      <c r="K7844" s="29" t="n">
        <f aca="false">Sens!J7844+cop_add_B*cop_tail</f>
        <v>120</v>
      </c>
      <c r="L7844" s="11" t="s">
        <v>879</v>
      </c>
    </row>
    <row r="7845" customFormat="false" ht="17.15" hidden="false" customHeight="false" outlineLevel="0" collapsed="false">
      <c r="A7845" s="0" t="s">
        <v>880</v>
      </c>
      <c r="B7845" s="0" t="s">
        <v>98</v>
      </c>
      <c r="D7845" s="6" t="n">
        <f aca="false">(Sens!C7844+Sens!D7844)/2*cop_px*12/1000</f>
        <v>0.9</v>
      </c>
      <c r="E7845" s="6" t="n">
        <f aca="false">(Sens!D7844+Sens!E7844)/2*cop_px*12/1000</f>
        <v>5.25</v>
      </c>
      <c r="F7845" s="6" t="n">
        <f aca="false">(Sens!E7844+Sens!F7844)/2*cop_px*12/1000</f>
        <v>12</v>
      </c>
      <c r="G7845" s="6" t="n">
        <f aca="false">(Sens!F7844+Sens!G7844)/2*cop_px*12/1000</f>
        <v>18</v>
      </c>
      <c r="H7845" s="6" t="n">
        <f aca="false">(Sens!G7844+Sens!H7844)/2*cop_px*12/1000</f>
        <v>24</v>
      </c>
      <c r="I7845" s="6" t="n">
        <f aca="false">(Sens!H7844+Sens!I7844)/2*cop_px*12/1000</f>
        <v>28.5</v>
      </c>
      <c r="J7845" s="6" t="n">
        <f aca="false">(Sens!I7844+Sens!J7844)/2*cop_px*12/1000</f>
        <v>31.5</v>
      </c>
      <c r="K7845" s="6" t="n">
        <f aca="false">(Sens!J7844+Sens!K7844)/2*cop_px*12/1000</f>
        <v>34.5</v>
      </c>
      <c r="L7845" s="1" t="s">
        <v>881</v>
      </c>
    </row>
    <row r="7846" customFormat="false" ht="17.15" hidden="false" customHeight="false" outlineLevel="0" collapsed="false">
      <c r="A7846" s="0" t="s">
        <v>882</v>
      </c>
      <c r="B7846" s="0" t="s">
        <v>98</v>
      </c>
      <c r="D7846" s="6" t="n">
        <f aca="false">Q!L7-Sens!D7845</f>
        <v>83.705</v>
      </c>
      <c r="E7846" s="6" t="n">
        <f aca="false">Q!M7-Sens!E7845</f>
        <v>95.049</v>
      </c>
      <c r="F7846" s="6" t="n">
        <f aca="false">Sens!E7846*(1+Sens!F7847)</f>
        <v>106.89238776686</v>
      </c>
      <c r="G7846" s="6" t="n">
        <f aca="false">Sens!F7846*(1+Sens!G7847)</f>
        <v>119.044168448684</v>
      </c>
      <c r="H7846" s="6" t="n">
        <f aca="false">Sens!G7846*(1+Sens!H7847)</f>
        <v>131.277359388781</v>
      </c>
      <c r="I7846" s="6" t="n">
        <f aca="false">Sens!H7846*(1+Sens!I7847)</f>
        <v>143.334028071957</v>
      </c>
      <c r="J7846" s="6" t="n">
        <f aca="false">Sens!I7846*(1+Sens!J7847)</f>
        <v>154.932702785465</v>
      </c>
      <c r="K7846" s="6" t="n">
        <f aca="false">Sens!J7846*(1+Sens!K7847)</f>
        <v>165.777991980448</v>
      </c>
    </row>
    <row r="7847" customFormat="false" ht="15" hidden="false" customHeight="false" outlineLevel="0" collapsed="false">
      <c r="A7847" s="1" t="s">
        <v>876</v>
      </c>
      <c r="B7847" s="0" t="s">
        <v>129</v>
      </c>
      <c r="E7847" s="7" t="n">
        <f aca="false">Sens!E7846/Sens!D7846-1</f>
        <v>0.135523564900544</v>
      </c>
      <c r="F7847" s="7" t="n">
        <f aca="false">Sens!$E$7847+(glt_m365b-Sens!$E$7847)*MIN(1,(Sens!F7802-base_fy)/n_conv)</f>
        <v>0.124602970750453</v>
      </c>
      <c r="G7847" s="7" t="n">
        <f aca="false">Sens!$E$7847+(glt_m365b-Sens!$E$7847)*MIN(1,(Sens!G7802-base_fy)/n_conv)</f>
        <v>0.113682376600363</v>
      </c>
      <c r="H7847" s="7" t="n">
        <f aca="false">Sens!$E$7847+(glt_m365b-Sens!$E$7847)*MIN(1,(Sens!H7802-base_fy)/n_conv)</f>
        <v>0.102761782450272</v>
      </c>
      <c r="I7847" s="7" t="n">
        <f aca="false">Sens!$E$7847+(glt_m365b-Sens!$E$7847)*MIN(1,(Sens!I7802-base_fy)/n_conv)</f>
        <v>0.0918411883001813</v>
      </c>
      <c r="J7847" s="7" t="n">
        <f aca="false">Sens!$E$7847+(glt_m365b-Sens!$E$7847)*MIN(1,(Sens!J7802-base_fy)/n_conv)</f>
        <v>0.0809205941500906</v>
      </c>
      <c r="K7847" s="7" t="n">
        <f aca="false">Sens!$E$7847+(glt_m365b-Sens!$E$7847)*MIN(1,(Sens!K7802-base_fy)/n_conv)</f>
        <v>0.07</v>
      </c>
    </row>
    <row r="7848" customFormat="false" ht="15" hidden="false" customHeight="false" outlineLevel="0" collapsed="false">
      <c r="A7848" s="0" t="s">
        <v>883</v>
      </c>
      <c r="B7848" s="0" t="s">
        <v>98</v>
      </c>
      <c r="D7848" s="6" t="n">
        <f aca="false">Sens!D7846+Sens!D7845</f>
        <v>84.605</v>
      </c>
      <c r="E7848" s="6" t="n">
        <f aca="false">Sens!E7846+Sens!E7845</f>
        <v>100.299</v>
      </c>
      <c r="F7848" s="6" t="n">
        <f aca="false">Sens!F7846+Sens!F7845</f>
        <v>118.89238776686</v>
      </c>
      <c r="G7848" s="6" t="n">
        <f aca="false">Sens!G7846+Sens!G7845</f>
        <v>137.044168448684</v>
      </c>
      <c r="H7848" s="6" t="n">
        <f aca="false">Sens!H7846+Sens!H7845</f>
        <v>155.277359388781</v>
      </c>
      <c r="I7848" s="6" t="n">
        <f aca="false">Sens!I7846+Sens!I7845</f>
        <v>171.834028071957</v>
      </c>
      <c r="J7848" s="6" t="n">
        <f aca="false">Sens!J7846+Sens!J7845</f>
        <v>186.432702785465</v>
      </c>
      <c r="K7848" s="6" t="n">
        <f aca="false">Sens!K7846+Sens!K7845</f>
        <v>200.277991980448</v>
      </c>
    </row>
    <row r="7849" customFormat="false" ht="15" hidden="false" customHeight="false" outlineLevel="0" collapsed="false">
      <c r="A7849" s="0" t="s">
        <v>884</v>
      </c>
      <c r="B7849" s="0" t="s">
        <v>98</v>
      </c>
      <c r="D7849" s="6" t="n">
        <f aca="false">Q!L8</f>
        <v>35.391</v>
      </c>
      <c r="E7849" s="6" t="n">
        <f aca="false">Q!M8</f>
        <v>37.285</v>
      </c>
      <c r="F7849" s="6" t="n">
        <f aca="false">Sens!E7849*(1+Sens!F7850)</f>
        <v>39.0720834331704</v>
      </c>
      <c r="G7849" s="6" t="n">
        <f aca="false">Sens!F7849*(1+Sens!G7850)</f>
        <v>40.726562953769</v>
      </c>
      <c r="H7849" s="6" t="n">
        <f aca="false">Sens!G7849*(1+Sens!H7850)</f>
        <v>42.2235987259198</v>
      </c>
      <c r="I7849" s="6" t="n">
        <f aca="false">Sens!H7849*(1+Sens!I7850)</f>
        <v>43.5397988077414</v>
      </c>
      <c r="J7849" s="6" t="n">
        <f aca="false">Sens!I7849*(1+Sens!J7850)</f>
        <v>44.653811225693</v>
      </c>
      <c r="K7849" s="6" t="n">
        <f aca="false">Sens!J7849*(1+Sens!K7850)</f>
        <v>45.5468874502068</v>
      </c>
    </row>
    <row r="7850" customFormat="false" ht="15" hidden="false" customHeight="false" outlineLevel="0" collapsed="false">
      <c r="A7850" s="1" t="s">
        <v>876</v>
      </c>
      <c r="B7850" s="0" t="s">
        <v>129</v>
      </c>
      <c r="E7850" s="7" t="n">
        <f aca="false">Sens!E7849/Sens!D7849-1</f>
        <v>0.0535164307309768</v>
      </c>
      <c r="F7850" s="7" t="n">
        <f aca="false">Sens!$E$7850+(glt_lic-Sens!$E$7850)*MIN(1,(Sens!F7802-base_fy)/n_conv)</f>
        <v>0.0479303589424807</v>
      </c>
      <c r="G7850" s="7" t="n">
        <f aca="false">Sens!$E$7850+(glt_lic-Sens!$E$7850)*MIN(1,(Sens!G7802-base_fy)/n_conv)</f>
        <v>0.0423442871539845</v>
      </c>
      <c r="H7850" s="7" t="n">
        <f aca="false">Sens!$E$7850+(glt_lic-Sens!$E$7850)*MIN(1,(Sens!H7802-base_fy)/n_conv)</f>
        <v>0.0367582153654884</v>
      </c>
      <c r="I7850" s="7" t="n">
        <f aca="false">Sens!$E$7850+(glt_lic-Sens!$E$7850)*MIN(1,(Sens!I7802-base_fy)/n_conv)</f>
        <v>0.0311721435769923</v>
      </c>
      <c r="J7850" s="7" t="n">
        <f aca="false">Sens!$E$7850+(glt_lic-Sens!$E$7850)*MIN(1,(Sens!J7802-base_fy)/n_conv)</f>
        <v>0.0255860717884961</v>
      </c>
      <c r="K7850" s="7" t="n">
        <f aca="false">Sens!$E$7850+(glt_lic-Sens!$E$7850)*MIN(1,(Sens!K7802-base_fy)/n_conv)</f>
        <v>0.02</v>
      </c>
    </row>
    <row r="7851" customFormat="false" ht="15" hidden="false" customHeight="false" outlineLevel="0" collapsed="false">
      <c r="A7851" s="0" t="s">
        <v>885</v>
      </c>
      <c r="B7851" s="0" t="s">
        <v>98</v>
      </c>
      <c r="D7851" s="6" t="n">
        <f aca="false">Q!L9</f>
        <v>18.417</v>
      </c>
      <c r="E7851" s="6" t="n">
        <f aca="false">Q!M9</f>
        <v>20.345</v>
      </c>
      <c r="F7851" s="6" t="n">
        <f aca="false">Sens!E7851*(1+Sens!F7852)</f>
        <v>22.3572203267814</v>
      </c>
      <c r="G7851" s="6" t="n">
        <f aca="false">Sens!F7851*(1+Sens!G7852)</f>
        <v>24.4392124437232</v>
      </c>
      <c r="H7851" s="6" t="n">
        <f aca="false">Sens!G7851*(1+Sens!H7852)</f>
        <v>26.5738052080665</v>
      </c>
      <c r="I7851" s="6" t="n">
        <f aca="false">Sens!H7851*(1+Sens!I7852)</f>
        <v>28.7412169166967</v>
      </c>
      <c r="J7851" s="6" t="n">
        <f aca="false">Sens!I7851*(1+Sens!J7852)</f>
        <v>30.9192545395413</v>
      </c>
      <c r="K7851" s="6" t="n">
        <f aca="false">Sens!J7851*(1+Sens!K7852)</f>
        <v>33.0836023573092</v>
      </c>
    </row>
    <row r="7852" customFormat="false" ht="15" hidden="false" customHeight="false" outlineLevel="0" collapsed="false">
      <c r="A7852" s="1" t="s">
        <v>876</v>
      </c>
      <c r="B7852" s="0" t="s">
        <v>129</v>
      </c>
      <c r="E7852" s="7" t="n">
        <f aca="false">Sens!E7851/Sens!D7851-1</f>
        <v>0.104685888038225</v>
      </c>
      <c r="F7852" s="7" t="n">
        <f aca="false">Sens!$E$7852+(glt_ind-Sens!$E$7852)*MIN(1,(Sens!F7802-base_fy)/n_conv)</f>
        <v>0.0989049066985211</v>
      </c>
      <c r="G7852" s="7" t="n">
        <f aca="false">Sens!$E$7852+(glt_ind-Sens!$E$7852)*MIN(1,(Sens!G7802-base_fy)/n_conv)</f>
        <v>0.0931239253588169</v>
      </c>
      <c r="H7852" s="7" t="n">
        <f aca="false">Sens!$E$7852+(glt_ind-Sens!$E$7852)*MIN(1,(Sens!H7802-base_fy)/n_conv)</f>
        <v>0.0873429440191127</v>
      </c>
      <c r="I7852" s="7" t="n">
        <f aca="false">Sens!$E$7852+(glt_ind-Sens!$E$7852)*MIN(1,(Sens!I7802-base_fy)/n_conv)</f>
        <v>0.0815619626794085</v>
      </c>
      <c r="J7852" s="7" t="n">
        <f aca="false">Sens!$E$7852+(glt_ind-Sens!$E$7852)*MIN(1,(Sens!J7802-base_fy)/n_conv)</f>
        <v>0.0757809813397042</v>
      </c>
      <c r="K7852" s="7" t="n">
        <f aca="false">Sens!$E$7852+(glt_ind-Sens!$E$7852)*MIN(1,(Sens!K7802-base_fy)/n_conv)</f>
        <v>0.07</v>
      </c>
    </row>
    <row r="7853" customFormat="false" ht="15" hidden="false" customHeight="false" outlineLevel="0" collapsed="false">
      <c r="A7853" s="0" t="s">
        <v>886</v>
      </c>
      <c r="B7853" s="0" t="s">
        <v>98</v>
      </c>
      <c r="D7853" s="6" t="n">
        <f aca="false">Q!L10</f>
        <v>7.76</v>
      </c>
      <c r="E7853" s="6" t="n">
        <f aca="false">Q!M10</f>
        <v>8.26</v>
      </c>
      <c r="F7853" s="6" t="n">
        <f aca="false">Sens!E7853*(1+Sens!F7854)</f>
        <v>8.79988041237113</v>
      </c>
      <c r="G7853" s="6" t="n">
        <f aca="false">Sens!F7853*(1+Sens!G7854)</f>
        <v>9.38321269125306</v>
      </c>
      <c r="H7853" s="6" t="n">
        <f aca="false">Sens!G7853*(1+Sens!H7854)</f>
        <v>10.0139193587476</v>
      </c>
      <c r="I7853" s="6" t="n">
        <f aca="false">Sens!H7853*(1+Sens!I7854)</f>
        <v>10.6963111830911</v>
      </c>
      <c r="J7853" s="6" t="n">
        <f aca="false">Sens!I7853*(1+Sens!J7854)</f>
        <v>11.4351285534696</v>
      </c>
      <c r="K7853" s="6" t="n">
        <f aca="false">Sens!J7853*(1+Sens!K7854)</f>
        <v>12.2355875522124</v>
      </c>
    </row>
    <row r="7854" customFormat="false" ht="15" hidden="false" customHeight="false" outlineLevel="0" collapsed="false">
      <c r="A7854" s="1" t="s">
        <v>876</v>
      </c>
      <c r="B7854" s="0" t="s">
        <v>129</v>
      </c>
      <c r="E7854" s="7" t="n">
        <f aca="false">Sens!E7853/Sens!D7853-1</f>
        <v>0.0644329896907216</v>
      </c>
      <c r="F7854" s="7" t="n">
        <f aca="false">Sens!$E$7854+(glt_fro-Sens!$E$7854)*MIN(1,(Sens!F7802-base_fy)/n_conv)</f>
        <v>0.065360824742268</v>
      </c>
      <c r="G7854" s="7" t="n">
        <f aca="false">Sens!$E$7854+(glt_fro-Sens!$E$7854)*MIN(1,(Sens!G7802-base_fy)/n_conv)</f>
        <v>0.0662886597938144</v>
      </c>
      <c r="H7854" s="7" t="n">
        <f aca="false">Sens!$E$7854+(glt_fro-Sens!$E$7854)*MIN(1,(Sens!H7802-base_fy)/n_conv)</f>
        <v>0.0672164948453608</v>
      </c>
      <c r="I7854" s="7" t="n">
        <f aca="false">Sens!$E$7854+(glt_fro-Sens!$E$7854)*MIN(1,(Sens!I7802-base_fy)/n_conv)</f>
        <v>0.0681443298969072</v>
      </c>
      <c r="J7854" s="7" t="n">
        <f aca="false">Sens!$E$7854+(glt_fro-Sens!$E$7854)*MIN(1,(Sens!J7802-base_fy)/n_conv)</f>
        <v>0.0690721649484536</v>
      </c>
      <c r="K7854" s="7" t="n">
        <f aca="false">Sens!$E$7854+(glt_fro-Sens!$E$7854)*MIN(1,(Sens!K7802-base_fy)/n_conv)</f>
        <v>0.07</v>
      </c>
    </row>
    <row r="7855" customFormat="false" ht="15" hidden="false" customHeight="false" outlineLevel="0" collapsed="false">
      <c r="A7855" s="0" t="s">
        <v>715</v>
      </c>
      <c r="B7855" s="0" t="s">
        <v>98</v>
      </c>
      <c r="D7855" s="6" t="n">
        <f aca="false">Sens!D7843+Sens!D7848+Sens!D7849+Sens!D7851+Sens!D7853</f>
        <v>218.783</v>
      </c>
      <c r="E7855" s="6" t="n">
        <f aca="false">Sens!E7843+Sens!E7848+Sens!E7849+Sens!E7851+Sens!E7853</f>
        <v>268.127</v>
      </c>
      <c r="F7855" s="6" t="n">
        <f aca="false">Sens!F7843+Sens!F7848+Sens!F7849+Sens!F7851+Sens!F7853</f>
        <v>333.894885783838</v>
      </c>
      <c r="G7855" s="6" t="n">
        <f aca="false">Sens!G7843+Sens!G7848+Sens!G7849+Sens!G7851+Sens!G7853</f>
        <v>406.73465141513</v>
      </c>
      <c r="H7855" s="6" t="n">
        <f aca="false">Sens!H7843+Sens!H7848+Sens!H7849+Sens!H7851+Sens!H7853</f>
        <v>480.057977402583</v>
      </c>
      <c r="I7855" s="6" t="n">
        <f aca="false">Sens!I7843+Sens!I7848+Sens!I7849+Sens!I7851+Sens!I7853</f>
        <v>545.92175684767</v>
      </c>
      <c r="J7855" s="6" t="n">
        <f aca="false">Sens!J7843+Sens!J7848+Sens!J7849+Sens!J7851+Sens!J7853</f>
        <v>597.723218786555</v>
      </c>
      <c r="K7855" s="6" t="n">
        <f aca="false">Sens!K7843+Sens!K7848+Sens!K7849+Sens!K7851+Sens!K7853</f>
        <v>637.201547758712</v>
      </c>
    </row>
    <row r="7856" customFormat="false" ht="15" hidden="false" customHeight="false" outlineLevel="0" collapsed="false">
      <c r="A7856" s="0" t="s">
        <v>887</v>
      </c>
      <c r="B7856" s="0" t="s">
        <v>98</v>
      </c>
      <c r="D7856" s="6" t="n">
        <f aca="false">Q!L13</f>
        <v>22.171</v>
      </c>
      <c r="E7856" s="6" t="n">
        <f aca="false">Q!M13</f>
        <v>24.835</v>
      </c>
      <c r="F7856" s="6" t="n">
        <f aca="false">Sens!E7856*(1+Sens!F7857)</f>
        <v>27.6114901218559</v>
      </c>
      <c r="G7856" s="6" t="n">
        <f aca="false">Sens!F7856*(1+Sens!G7857)</f>
        <v>30.4675667338515</v>
      </c>
      <c r="H7856" s="6" t="n">
        <f aca="false">Sens!G7856*(1+Sens!H7857)</f>
        <v>33.3643766955789</v>
      </c>
      <c r="I7856" s="6" t="n">
        <f aca="false">Sens!H7856*(1+Sens!I7857)</f>
        <v>36.2577016533691</v>
      </c>
      <c r="J7856" s="6" t="n">
        <f aca="false">Sens!I7856*(1+Sens!J7857)</f>
        <v>39.0988367952171</v>
      </c>
      <c r="K7856" s="6" t="n">
        <f aca="false">Sens!J7856*(1+Sens!K7857)</f>
        <v>41.8357553708823</v>
      </c>
    </row>
    <row r="7857" customFormat="false" ht="15" hidden="false" customHeight="false" outlineLevel="0" collapsed="false">
      <c r="A7857" s="1" t="s">
        <v>876</v>
      </c>
      <c r="B7857" s="0" t="s">
        <v>129</v>
      </c>
      <c r="E7857" s="7" t="n">
        <f aca="false">Sens!E7856/Sens!D7856-1</f>
        <v>0.120156961796942</v>
      </c>
      <c r="F7857" s="7" t="n">
        <f aca="false">Sens!$E$7857+(glt_srch-Sens!$E$7857)*MIN(1,(Sens!F7802-base_fy)/n_conv)</f>
        <v>0.111797468164118</v>
      </c>
      <c r="G7857" s="7" t="n">
        <f aca="false">Sens!$E$7857+(glt_srch-Sens!$E$7857)*MIN(1,(Sens!G7802-base_fy)/n_conv)</f>
        <v>0.103437974531295</v>
      </c>
      <c r="H7857" s="7" t="n">
        <f aca="false">Sens!$E$7857+(glt_srch-Sens!$E$7857)*MIN(1,(Sens!H7802-base_fy)/n_conv)</f>
        <v>0.095078480898471</v>
      </c>
      <c r="I7857" s="7" t="n">
        <f aca="false">Sens!$E$7857+(glt_srch-Sens!$E$7857)*MIN(1,(Sens!I7802-base_fy)/n_conv)</f>
        <v>0.0867189872656474</v>
      </c>
      <c r="J7857" s="7" t="n">
        <f aca="false">Sens!$E$7857+(glt_srch-Sens!$E$7857)*MIN(1,(Sens!J7802-base_fy)/n_conv)</f>
        <v>0.0783594936328237</v>
      </c>
      <c r="K7857" s="7" t="n">
        <f aca="false">Sens!$E$7857+(glt_srch-Sens!$E$7857)*MIN(1,(Sens!K7802-base_fy)/n_conv)</f>
        <v>0.07</v>
      </c>
    </row>
    <row r="7858" customFormat="false" ht="15" hidden="false" customHeight="false" outlineLevel="0" collapsed="false">
      <c r="A7858" s="0" t="s">
        <v>888</v>
      </c>
      <c r="B7858" s="0" t="s">
        <v>98</v>
      </c>
      <c r="D7858" s="6" t="n">
        <f aca="false">Q!L14</f>
        <v>23.455</v>
      </c>
      <c r="E7858" s="6" t="n">
        <f aca="false">Q!M14</f>
        <v>21.79</v>
      </c>
      <c r="F7858" s="6" t="n">
        <f aca="false">Sens!E7858*(1+Sens!F7859)</f>
        <v>20.5736277908051</v>
      </c>
      <c r="G7858" s="6" t="n">
        <f aca="false">Sens!F7858*(1+Sens!G7859)</f>
        <v>19.7371452817919</v>
      </c>
      <c r="H7858" s="6" t="n">
        <f aca="false">Sens!G7858*(1+Sens!H7859)</f>
        <v>19.2339764043138</v>
      </c>
      <c r="I7858" s="6" t="n">
        <f aca="false">Sens!H7858*(1+Sens!I7859)</f>
        <v>19.0353086852681</v>
      </c>
      <c r="J7858" s="6" t="n">
        <f aca="false">Sens!I7858*(1+Sens!J7859)</f>
        <v>19.1273539319129</v>
      </c>
      <c r="K7858" s="6" t="n">
        <f aca="false">Sens!J7858*(1+Sens!K7859)</f>
        <v>19.5099010105511</v>
      </c>
    </row>
    <row r="7859" customFormat="false" ht="15" hidden="false" customHeight="false" outlineLevel="0" collapsed="false">
      <c r="A7859" s="1" t="s">
        <v>876</v>
      </c>
      <c r="B7859" s="0" t="s">
        <v>129</v>
      </c>
      <c r="E7859" s="7" t="n">
        <f aca="false">Sens!E7858/Sens!D7858-1</f>
        <v>-0.0709869963760392</v>
      </c>
      <c r="F7859" s="7" t="n">
        <f aca="false">Sens!$E$7859+(glt_xbox-Sens!$E$7859)*MIN(1,(Sens!F7802-base_fy)/n_conv)</f>
        <v>-0.0558224969800327</v>
      </c>
      <c r="G7859" s="7" t="n">
        <f aca="false">Sens!$E$7859+(glt_xbox-Sens!$E$7859)*MIN(1,(Sens!G7802-base_fy)/n_conv)</f>
        <v>-0.0406579975840262</v>
      </c>
      <c r="H7859" s="7" t="n">
        <f aca="false">Sens!$E$7859+(glt_xbox-Sens!$E$7859)*MIN(1,(Sens!H7802-base_fy)/n_conv)</f>
        <v>-0.0254934981880196</v>
      </c>
      <c r="I7859" s="7" t="n">
        <f aca="false">Sens!$E$7859+(glt_xbox-Sens!$E$7859)*MIN(1,(Sens!I7802-base_fy)/n_conv)</f>
        <v>-0.0103289987920131</v>
      </c>
      <c r="J7859" s="7" t="n">
        <f aca="false">Sens!$E$7859+(glt_xbox-Sens!$E$7859)*MIN(1,(Sens!J7802-base_fy)/n_conv)</f>
        <v>0.00483550060399347</v>
      </c>
      <c r="K7859" s="7" t="n">
        <f aca="false">Sens!$E$7859+(glt_xbox-Sens!$E$7859)*MIN(1,(Sens!K7802-base_fy)/n_conv)</f>
        <v>0.02</v>
      </c>
    </row>
    <row r="7860" customFormat="false" ht="15" hidden="false" customHeight="false" outlineLevel="0" collapsed="false">
      <c r="A7860" s="0" t="s">
        <v>889</v>
      </c>
      <c r="B7860" s="0" t="s">
        <v>98</v>
      </c>
      <c r="D7860" s="6" t="n">
        <f aca="false">Q!L15</f>
        <v>17.315</v>
      </c>
      <c r="E7860" s="6" t="n">
        <f aca="false">Q!M15</f>
        <v>17.087</v>
      </c>
      <c r="F7860" s="6" t="n">
        <f aca="false">Sens!E7860*(1+Sens!F7861)</f>
        <v>16.9564585436519</v>
      </c>
      <c r="G7860" s="6" t="n">
        <f aca="false">Sens!F7860*(1+Sens!G7861)</f>
        <v>16.9206490624268</v>
      </c>
      <c r="H7860" s="6" t="n">
        <f aca="false">Sens!G7860*(1+Sens!H7861)</f>
        <v>16.9784519149849</v>
      </c>
      <c r="I7860" s="6" t="n">
        <f aca="false">Sens!H7860*(1+Sens!I7861)</f>
        <v>17.1303084701817</v>
      </c>
      <c r="J7860" s="6" t="n">
        <f aca="false">Sens!I7860*(1+Sens!J7861)</f>
        <v>17.3782189407267</v>
      </c>
      <c r="K7860" s="6" t="n">
        <f aca="false">Sens!J7860*(1+Sens!K7861)</f>
        <v>17.7257833195413</v>
      </c>
    </row>
    <row r="7861" customFormat="false" ht="15" hidden="false" customHeight="false" outlineLevel="0" collapsed="false">
      <c r="A7861" s="1" t="s">
        <v>876</v>
      </c>
      <c r="B7861" s="0" t="s">
        <v>129</v>
      </c>
      <c r="E7861" s="7" t="n">
        <f aca="false">Sens!E7860/Sens!D7860-1</f>
        <v>-0.0131677736066995</v>
      </c>
      <c r="F7861" s="7" t="n">
        <f aca="false">Sens!$E$7861+(glt_win-Sens!$E$7861)*MIN(1,(Sens!F7802-base_fy)/n_conv)</f>
        <v>-0.00763981133891627</v>
      </c>
      <c r="G7861" s="7" t="n">
        <f aca="false">Sens!$E$7861+(glt_win-Sens!$E$7861)*MIN(1,(Sens!G7802-base_fy)/n_conv)</f>
        <v>-0.00211184907113301</v>
      </c>
      <c r="H7861" s="7" t="n">
        <f aca="false">Sens!$E$7861+(glt_win-Sens!$E$7861)*MIN(1,(Sens!H7802-base_fy)/n_conv)</f>
        <v>0.00341611319665024</v>
      </c>
      <c r="I7861" s="7" t="n">
        <f aca="false">Sens!$E$7861+(glt_win-Sens!$E$7861)*MIN(1,(Sens!I7802-base_fy)/n_conv)</f>
        <v>0.00894407546443349</v>
      </c>
      <c r="J7861" s="7" t="n">
        <f aca="false">Sens!$E$7861+(glt_win-Sens!$E$7861)*MIN(1,(Sens!J7802-base_fy)/n_conv)</f>
        <v>0.0144720377322168</v>
      </c>
      <c r="K7861" s="7" t="n">
        <f aca="false">Sens!$E$7861+(glt_win-Sens!$E$7861)*MIN(1,(Sens!K7802-base_fy)/n_conv)</f>
        <v>0.02</v>
      </c>
    </row>
    <row r="7862" customFormat="false" ht="15" hidden="false" customHeight="false" outlineLevel="0" collapsed="false">
      <c r="A7862" s="0" t="s">
        <v>729</v>
      </c>
      <c r="B7862" s="0" t="s">
        <v>98</v>
      </c>
      <c r="D7862" s="6" t="n">
        <f aca="false">Sens!D7856+Sens!D7858+Sens!D7860</f>
        <v>62.941</v>
      </c>
      <c r="E7862" s="6" t="n">
        <f aca="false">Sens!E7856+Sens!E7858+Sens!E7860</f>
        <v>63.712</v>
      </c>
      <c r="F7862" s="6" t="n">
        <f aca="false">Sens!F7856+Sens!F7858+Sens!F7860</f>
        <v>65.1415764563129</v>
      </c>
      <c r="G7862" s="6" t="n">
        <f aca="false">Sens!G7856+Sens!G7858+Sens!G7860</f>
        <v>67.1253610780702</v>
      </c>
      <c r="H7862" s="6" t="n">
        <f aca="false">Sens!H7856+Sens!H7858+Sens!H7860</f>
        <v>69.5768050148776</v>
      </c>
      <c r="I7862" s="6" t="n">
        <f aca="false">Sens!I7856+Sens!I7858+Sens!I7860</f>
        <v>72.4233188088189</v>
      </c>
      <c r="J7862" s="6" t="n">
        <f aca="false">Sens!J7856+Sens!J7858+Sens!J7860</f>
        <v>75.6044096678567</v>
      </c>
      <c r="K7862" s="6" t="n">
        <f aca="false">Sens!K7856+Sens!K7858+Sens!K7860</f>
        <v>79.0714397009747</v>
      </c>
    </row>
    <row r="7863" customFormat="false" ht="15" hidden="false" customHeight="false" outlineLevel="0" collapsed="false">
      <c r="A7863" s="1" t="s">
        <v>890</v>
      </c>
      <c r="B7863" s="0" t="s">
        <v>98</v>
      </c>
      <c r="D7863" s="6" t="n">
        <f aca="false">Sens!D7855+Sens!D7862</f>
        <v>281.724</v>
      </c>
      <c r="E7863" s="6" t="n">
        <f aca="false">Sens!E7855+Sens!E7862</f>
        <v>331.839</v>
      </c>
      <c r="F7863" s="6" t="n">
        <f aca="false">Sens!F7855+Sens!F7862</f>
        <v>399.036462240151</v>
      </c>
      <c r="G7863" s="6" t="n">
        <f aca="false">Sens!G7855+Sens!G7862</f>
        <v>473.8600124932</v>
      </c>
      <c r="H7863" s="6" t="n">
        <f aca="false">Sens!H7855+Sens!H7862</f>
        <v>549.63478241746</v>
      </c>
      <c r="I7863" s="6" t="n">
        <f aca="false">Sens!I7855+Sens!I7862</f>
        <v>618.345075656489</v>
      </c>
      <c r="J7863" s="6" t="n">
        <f aca="false">Sens!J7855+Sens!J7862</f>
        <v>673.327628454412</v>
      </c>
      <c r="K7863" s="6" t="n">
        <f aca="false">Sens!K7855+Sens!K7862</f>
        <v>716.272987459687</v>
      </c>
    </row>
    <row r="7864" customFormat="false" ht="15" hidden="false" customHeight="false" outlineLevel="0" collapsed="false">
      <c r="A7864" s="23" t="s">
        <v>891</v>
      </c>
      <c r="B7864" s="30" t="s">
        <v>98</v>
      </c>
      <c r="C7864" s="30"/>
      <c r="D7864" s="24" t="n">
        <f aca="false">(Sens!D7843+Sens!D7848+Sens!D7849+Sens!D7851+Sens!D7853-Sens!D7855)+(Sens!D7856+Sens!D7858+Sens!D7860-Sens!D7862)+(Sens!D7855-Q!L5)+(Sens!D7862-Q!L12)+(Sens!D7843-Q!L6)+(Sens!D7848-Q!L7)</f>
        <v>0</v>
      </c>
      <c r="E7864" s="24" t="n">
        <f aca="false">(Sens!E7843+Sens!E7848+Sens!E7849+Sens!E7851+Sens!E7853-Sens!E7855)+(Sens!E7856+Sens!E7858+Sens!E7860-Sens!E7862)+(Sens!E7855-Q!M5)+(Sens!E7862-Q!M12)+(Sens!E7843-Q!M6)+(Sens!E7848-Q!M7)</f>
        <v>0</v>
      </c>
      <c r="F7864" s="24" t="n">
        <f aca="false">(Sens!F7843+Sens!F7848+Sens!F7849+Sens!F7851+Sens!F7853-Sens!F7855)+(Sens!F7856+Sens!F7858+Sens!F7860-Sens!F7862)</f>
        <v>0</v>
      </c>
      <c r="G7864" s="24" t="n">
        <f aca="false">(Sens!G7843+Sens!G7848+Sens!G7849+Sens!G7851+Sens!G7853-Sens!G7855)+(Sens!G7856+Sens!G7858+Sens!G7860-Sens!G7862)</f>
        <v>0</v>
      </c>
      <c r="H7864" s="24" t="n">
        <f aca="false">(Sens!H7843+Sens!H7848+Sens!H7849+Sens!H7851+Sens!H7853-Sens!H7855)+(Sens!H7856+Sens!H7858+Sens!H7860-Sens!H7862)</f>
        <v>0</v>
      </c>
      <c r="I7864" s="24" t="n">
        <f aca="false">(Sens!I7843+Sens!I7848+Sens!I7849+Sens!I7851+Sens!I7853-Sens!I7855)+(Sens!I7856+Sens!I7858+Sens!I7860-Sens!I7862)</f>
        <v>0</v>
      </c>
      <c r="J7864" s="24" t="n">
        <f aca="false">(Sens!J7843+Sens!J7848+Sens!J7849+Sens!J7851+Sens!J7853-Sens!J7855)+(Sens!J7856+Sens!J7858+Sens!J7860-Sens!J7862)</f>
        <v>0</v>
      </c>
      <c r="K7864" s="24" t="n">
        <f aca="false">(Sens!K7843+Sens!K7848+Sens!K7849+Sens!K7851+Sens!K7853-Sens!K7855)+(Sens!K7856+Sens!K7858+Sens!K7860-Sens!K7862)</f>
        <v>0</v>
      </c>
    </row>
    <row r="7865" customFormat="false" ht="17.15" hidden="false" customHeight="false" outlineLevel="0" collapsed="false">
      <c r="A7865" s="3" t="s">
        <v>1464</v>
      </c>
    </row>
    <row r="7866" customFormat="false" ht="15" hidden="false" customHeight="false" outlineLevel="0" collapsed="false">
      <c r="A7866" s="4" t="s">
        <v>43</v>
      </c>
      <c r="B7866" s="4" t="s">
        <v>65</v>
      </c>
      <c r="C7866" s="20" t="s">
        <v>799</v>
      </c>
      <c r="D7866" s="20" t="s">
        <v>800</v>
      </c>
      <c r="E7866" s="20" t="s">
        <v>801</v>
      </c>
      <c r="F7866" s="20" t="s">
        <v>802</v>
      </c>
      <c r="G7866" s="20" t="s">
        <v>803</v>
      </c>
      <c r="H7866" s="20" t="s">
        <v>804</v>
      </c>
      <c r="I7866" s="20" t="s">
        <v>805</v>
      </c>
      <c r="J7866" s="20" t="s">
        <v>806</v>
      </c>
      <c r="K7866" s="20" t="s">
        <v>807</v>
      </c>
      <c r="L7866" s="4" t="s">
        <v>47</v>
      </c>
    </row>
    <row r="7867" customFormat="false" ht="15" hidden="false" customHeight="false" outlineLevel="0" collapsed="false">
      <c r="A7867" s="0" t="s">
        <v>877</v>
      </c>
      <c r="B7867" s="0" t="s">
        <v>98</v>
      </c>
      <c r="D7867" s="6" t="n">
        <f aca="false">Sens!D7843</f>
        <v>72.61</v>
      </c>
      <c r="E7867" s="6" t="n">
        <f aca="false">Sens!E7843</f>
        <v>101.938</v>
      </c>
      <c r="F7867" s="6" t="n">
        <f aca="false">Sens!F7843</f>
        <v>144.773313844656</v>
      </c>
      <c r="G7867" s="6" t="n">
        <f aca="false">Sens!G7843</f>
        <v>195.141494877701</v>
      </c>
      <c r="H7867" s="6" t="n">
        <f aca="false">Sens!H7843</f>
        <v>245.969294721068</v>
      </c>
      <c r="I7867" s="6" t="n">
        <f aca="false">Sens!I7843</f>
        <v>291.110401868184</v>
      </c>
      <c r="J7867" s="6" t="n">
        <f aca="false">Sens!J7843</f>
        <v>324.282321682386</v>
      </c>
      <c r="K7867" s="6" t="n">
        <f aca="false">Sens!K7843</f>
        <v>346.057478418536</v>
      </c>
    </row>
    <row r="7868" customFormat="false" ht="17.15" hidden="false" customHeight="false" outlineLevel="0" collapsed="false">
      <c r="A7868" s="0" t="s">
        <v>874</v>
      </c>
      <c r="B7868" s="0" t="s">
        <v>98</v>
      </c>
      <c r="D7868" s="6" t="n">
        <f aca="false">Sens!D7840</f>
        <v>12.9359794422418</v>
      </c>
      <c r="E7868" s="6" t="n">
        <f aca="false">Sens!E7840</f>
        <v>27.8095064661409</v>
      </c>
      <c r="F7868" s="6" t="n">
        <f aca="false">Sens!F7840</f>
        <v>55.0640065749585</v>
      </c>
      <c r="G7868" s="6" t="n">
        <f aca="false">Sens!G7840</f>
        <v>89.4505413190538</v>
      </c>
      <c r="H7868" s="6" t="n">
        <f aca="false">Sens!H7840</f>
        <v>124.835630736874</v>
      </c>
      <c r="I7868" s="6" t="n">
        <f aca="false">Sens!I7840</f>
        <v>156.158460265485</v>
      </c>
      <c r="J7868" s="6" t="n">
        <f aca="false">Sens!J7840</f>
        <v>178.259285293112</v>
      </c>
      <c r="K7868" s="6" t="n">
        <f aca="false">Sens!K7840</f>
        <v>192.733290209798</v>
      </c>
    </row>
    <row r="7869" customFormat="false" ht="17.15" hidden="false" customHeight="false" outlineLevel="0" collapsed="false">
      <c r="A7869" s="0" t="s">
        <v>902</v>
      </c>
      <c r="B7869" s="0" t="s">
        <v>98</v>
      </c>
      <c r="D7869" s="6" t="n">
        <f aca="false">Sens!D7841</f>
        <v>59.6740205577583</v>
      </c>
      <c r="E7869" s="6" t="n">
        <f aca="false">Sens!E7841</f>
        <v>74.1284935338591</v>
      </c>
      <c r="F7869" s="6" t="n">
        <f aca="false">Sens!F7841</f>
        <v>89.709307269697</v>
      </c>
      <c r="G7869" s="6" t="n">
        <f aca="false">Sens!G7841</f>
        <v>105.690953558647</v>
      </c>
      <c r="H7869" s="6" t="n">
        <f aca="false">Sens!H7841</f>
        <v>121.133663984194</v>
      </c>
      <c r="I7869" s="6" t="n">
        <f aca="false">Sens!I7841</f>
        <v>134.951941602699</v>
      </c>
      <c r="J7869" s="6" t="n">
        <f aca="false">Sens!J7841</f>
        <v>146.023036389274</v>
      </c>
      <c r="K7869" s="6" t="n">
        <f aca="false">Sens!K7841</f>
        <v>153.324188208738</v>
      </c>
    </row>
    <row r="7870" customFormat="false" ht="15" hidden="false" customHeight="false" outlineLevel="0" collapsed="false">
      <c r="A7870" s="0" t="s">
        <v>883</v>
      </c>
      <c r="B7870" s="0" t="s">
        <v>98</v>
      </c>
      <c r="D7870" s="6" t="n">
        <f aca="false">Sens!D7848</f>
        <v>84.605</v>
      </c>
      <c r="E7870" s="6" t="n">
        <f aca="false">Sens!E7848</f>
        <v>100.299</v>
      </c>
      <c r="F7870" s="6" t="n">
        <f aca="false">Sens!F7848</f>
        <v>118.89238776686</v>
      </c>
      <c r="G7870" s="6" t="n">
        <f aca="false">Sens!G7848</f>
        <v>137.044168448684</v>
      </c>
      <c r="H7870" s="6" t="n">
        <f aca="false">Sens!H7848</f>
        <v>155.277359388781</v>
      </c>
      <c r="I7870" s="6" t="n">
        <f aca="false">Sens!I7848</f>
        <v>171.834028071957</v>
      </c>
      <c r="J7870" s="6" t="n">
        <f aca="false">Sens!J7848</f>
        <v>186.432702785465</v>
      </c>
      <c r="K7870" s="6" t="n">
        <f aca="false">Sens!K7848</f>
        <v>200.277991980448</v>
      </c>
    </row>
    <row r="7871" customFormat="false" ht="17.15" hidden="false" customHeight="false" outlineLevel="0" collapsed="false">
      <c r="A7871" s="0" t="s">
        <v>903</v>
      </c>
      <c r="B7871" s="0" t="s">
        <v>98</v>
      </c>
      <c r="D7871" s="6" t="n">
        <f aca="false">Sens!D7846</f>
        <v>83.705</v>
      </c>
      <c r="E7871" s="6" t="n">
        <f aca="false">Sens!E7846</f>
        <v>95.049</v>
      </c>
      <c r="F7871" s="6" t="n">
        <f aca="false">Sens!F7846</f>
        <v>106.89238776686</v>
      </c>
      <c r="G7871" s="6" t="n">
        <f aca="false">Sens!G7846</f>
        <v>119.044168448684</v>
      </c>
      <c r="H7871" s="6" t="n">
        <f aca="false">Sens!H7846</f>
        <v>131.277359388781</v>
      </c>
      <c r="I7871" s="6" t="n">
        <f aca="false">Sens!I7846</f>
        <v>143.334028071957</v>
      </c>
      <c r="J7871" s="6" t="n">
        <f aca="false">Sens!J7846</f>
        <v>154.932702785465</v>
      </c>
      <c r="K7871" s="6" t="n">
        <f aca="false">Sens!K7846</f>
        <v>165.777991980448</v>
      </c>
    </row>
    <row r="7872" customFormat="false" ht="17.15" hidden="false" customHeight="false" outlineLevel="0" collapsed="false">
      <c r="A7872" s="0" t="s">
        <v>904</v>
      </c>
      <c r="B7872" s="0" t="s">
        <v>98</v>
      </c>
      <c r="D7872" s="6" t="n">
        <f aca="false">Sens!D7845</f>
        <v>0.9</v>
      </c>
      <c r="E7872" s="6" t="n">
        <f aca="false">Sens!E7845</f>
        <v>5.25</v>
      </c>
      <c r="F7872" s="6" t="n">
        <f aca="false">Sens!F7845</f>
        <v>12</v>
      </c>
      <c r="G7872" s="6" t="n">
        <f aca="false">Sens!G7845</f>
        <v>18</v>
      </c>
      <c r="H7872" s="6" t="n">
        <f aca="false">Sens!H7845</f>
        <v>24</v>
      </c>
      <c r="I7872" s="6" t="n">
        <f aca="false">Sens!I7845</f>
        <v>28.5</v>
      </c>
      <c r="J7872" s="6" t="n">
        <f aca="false">Sens!J7845</f>
        <v>31.5</v>
      </c>
      <c r="K7872" s="6" t="n">
        <f aca="false">Sens!K7845</f>
        <v>34.5</v>
      </c>
    </row>
    <row r="7873" customFormat="false" ht="15" hidden="false" customHeight="false" outlineLevel="0" collapsed="false">
      <c r="A7873" s="0" t="s">
        <v>884</v>
      </c>
      <c r="B7873" s="0" t="s">
        <v>98</v>
      </c>
      <c r="D7873" s="6" t="n">
        <f aca="false">Sens!D7849</f>
        <v>35.391</v>
      </c>
      <c r="E7873" s="6" t="n">
        <f aca="false">Sens!E7849</f>
        <v>37.285</v>
      </c>
      <c r="F7873" s="6" t="n">
        <f aca="false">Sens!F7849</f>
        <v>39.0720834331704</v>
      </c>
      <c r="G7873" s="6" t="n">
        <f aca="false">Sens!G7849</f>
        <v>40.726562953769</v>
      </c>
      <c r="H7873" s="6" t="n">
        <f aca="false">Sens!H7849</f>
        <v>42.2235987259198</v>
      </c>
      <c r="I7873" s="6" t="n">
        <f aca="false">Sens!I7849</f>
        <v>43.5397988077414</v>
      </c>
      <c r="J7873" s="6" t="n">
        <f aca="false">Sens!J7849</f>
        <v>44.653811225693</v>
      </c>
      <c r="K7873" s="6" t="n">
        <f aca="false">Sens!K7849</f>
        <v>45.5468874502068</v>
      </c>
    </row>
    <row r="7874" customFormat="false" ht="15" hidden="false" customHeight="false" outlineLevel="0" collapsed="false">
      <c r="A7874" s="0" t="s">
        <v>885</v>
      </c>
      <c r="B7874" s="0" t="s">
        <v>98</v>
      </c>
      <c r="D7874" s="6" t="n">
        <f aca="false">Sens!D7851</f>
        <v>18.417</v>
      </c>
      <c r="E7874" s="6" t="n">
        <f aca="false">Sens!E7851</f>
        <v>20.345</v>
      </c>
      <c r="F7874" s="6" t="n">
        <f aca="false">Sens!F7851</f>
        <v>22.3572203267814</v>
      </c>
      <c r="G7874" s="6" t="n">
        <f aca="false">Sens!G7851</f>
        <v>24.4392124437232</v>
      </c>
      <c r="H7874" s="6" t="n">
        <f aca="false">Sens!H7851</f>
        <v>26.5738052080665</v>
      </c>
      <c r="I7874" s="6" t="n">
        <f aca="false">Sens!I7851</f>
        <v>28.7412169166967</v>
      </c>
      <c r="J7874" s="6" t="n">
        <f aca="false">Sens!J7851</f>
        <v>30.9192545395413</v>
      </c>
      <c r="K7874" s="6" t="n">
        <f aca="false">Sens!K7851</f>
        <v>33.0836023573092</v>
      </c>
    </row>
    <row r="7875" customFormat="false" ht="15" hidden="false" customHeight="false" outlineLevel="0" collapsed="false">
      <c r="A7875" s="0" t="s">
        <v>886</v>
      </c>
      <c r="B7875" s="0" t="s">
        <v>98</v>
      </c>
      <c r="D7875" s="6" t="n">
        <f aca="false">Sens!D7853</f>
        <v>7.76</v>
      </c>
      <c r="E7875" s="6" t="n">
        <f aca="false">Sens!E7853</f>
        <v>8.26</v>
      </c>
      <c r="F7875" s="6" t="n">
        <f aca="false">Sens!F7853</f>
        <v>8.79988041237113</v>
      </c>
      <c r="G7875" s="6" t="n">
        <f aca="false">Sens!G7853</f>
        <v>9.38321269125306</v>
      </c>
      <c r="H7875" s="6" t="n">
        <f aca="false">Sens!H7853</f>
        <v>10.0139193587476</v>
      </c>
      <c r="I7875" s="6" t="n">
        <f aca="false">Sens!I7853</f>
        <v>10.6963111830911</v>
      </c>
      <c r="J7875" s="6" t="n">
        <f aca="false">Sens!J7853</f>
        <v>11.4351285534696</v>
      </c>
      <c r="K7875" s="6" t="n">
        <f aca="false">Sens!K7853</f>
        <v>12.2355875522124</v>
      </c>
    </row>
    <row r="7876" customFormat="false" ht="15" hidden="false" customHeight="false" outlineLevel="0" collapsed="false">
      <c r="A7876" s="0" t="s">
        <v>715</v>
      </c>
      <c r="B7876" s="0" t="s">
        <v>98</v>
      </c>
      <c r="D7876" s="6" t="n">
        <f aca="false">Sens!D7855</f>
        <v>218.783</v>
      </c>
      <c r="E7876" s="6" t="n">
        <f aca="false">Sens!E7855</f>
        <v>268.127</v>
      </c>
      <c r="F7876" s="6" t="n">
        <f aca="false">Sens!F7855</f>
        <v>333.894885783838</v>
      </c>
      <c r="G7876" s="6" t="n">
        <f aca="false">Sens!G7855</f>
        <v>406.73465141513</v>
      </c>
      <c r="H7876" s="6" t="n">
        <f aca="false">Sens!H7855</f>
        <v>480.057977402583</v>
      </c>
      <c r="I7876" s="6" t="n">
        <f aca="false">Sens!I7855</f>
        <v>545.92175684767</v>
      </c>
      <c r="J7876" s="6" t="n">
        <f aca="false">Sens!J7855</f>
        <v>597.723218786555</v>
      </c>
      <c r="K7876" s="6" t="n">
        <f aca="false">Sens!K7855</f>
        <v>637.201547758712</v>
      </c>
    </row>
    <row r="7877" customFormat="false" ht="15" hidden="false" customHeight="false" outlineLevel="0" collapsed="false">
      <c r="A7877" s="0" t="s">
        <v>887</v>
      </c>
      <c r="B7877" s="0" t="s">
        <v>98</v>
      </c>
      <c r="D7877" s="6" t="n">
        <f aca="false">Sens!D7856</f>
        <v>22.171</v>
      </c>
      <c r="E7877" s="6" t="n">
        <f aca="false">Sens!E7856</f>
        <v>24.835</v>
      </c>
      <c r="F7877" s="6" t="n">
        <f aca="false">Sens!F7856</f>
        <v>27.6114901218559</v>
      </c>
      <c r="G7877" s="6" t="n">
        <f aca="false">Sens!G7856</f>
        <v>30.4675667338515</v>
      </c>
      <c r="H7877" s="6" t="n">
        <f aca="false">Sens!H7856</f>
        <v>33.3643766955789</v>
      </c>
      <c r="I7877" s="6" t="n">
        <f aca="false">Sens!I7856</f>
        <v>36.2577016533691</v>
      </c>
      <c r="J7877" s="6" t="n">
        <f aca="false">Sens!J7856</f>
        <v>39.0988367952171</v>
      </c>
      <c r="K7877" s="6" t="n">
        <f aca="false">Sens!K7856</f>
        <v>41.8357553708823</v>
      </c>
    </row>
    <row r="7878" customFormat="false" ht="15" hidden="false" customHeight="false" outlineLevel="0" collapsed="false">
      <c r="A7878" s="0" t="s">
        <v>888</v>
      </c>
      <c r="B7878" s="0" t="s">
        <v>98</v>
      </c>
      <c r="D7878" s="6" t="n">
        <f aca="false">Sens!D7858</f>
        <v>23.455</v>
      </c>
      <c r="E7878" s="6" t="n">
        <f aca="false">Sens!E7858</f>
        <v>21.79</v>
      </c>
      <c r="F7878" s="6" t="n">
        <f aca="false">Sens!F7858</f>
        <v>20.5736277908051</v>
      </c>
      <c r="G7878" s="6" t="n">
        <f aca="false">Sens!G7858</f>
        <v>19.7371452817919</v>
      </c>
      <c r="H7878" s="6" t="n">
        <f aca="false">Sens!H7858</f>
        <v>19.2339764043138</v>
      </c>
      <c r="I7878" s="6" t="n">
        <f aca="false">Sens!I7858</f>
        <v>19.0353086852681</v>
      </c>
      <c r="J7878" s="6" t="n">
        <f aca="false">Sens!J7858</f>
        <v>19.1273539319129</v>
      </c>
      <c r="K7878" s="6" t="n">
        <f aca="false">Sens!K7858</f>
        <v>19.5099010105511</v>
      </c>
    </row>
    <row r="7879" customFormat="false" ht="15" hidden="false" customHeight="false" outlineLevel="0" collapsed="false">
      <c r="A7879" s="0" t="s">
        <v>889</v>
      </c>
      <c r="B7879" s="0" t="s">
        <v>98</v>
      </c>
      <c r="D7879" s="6" t="n">
        <f aca="false">Sens!D7860</f>
        <v>17.315</v>
      </c>
      <c r="E7879" s="6" t="n">
        <f aca="false">Sens!E7860</f>
        <v>17.087</v>
      </c>
      <c r="F7879" s="6" t="n">
        <f aca="false">Sens!F7860</f>
        <v>16.9564585436519</v>
      </c>
      <c r="G7879" s="6" t="n">
        <f aca="false">Sens!G7860</f>
        <v>16.9206490624268</v>
      </c>
      <c r="H7879" s="6" t="n">
        <f aca="false">Sens!H7860</f>
        <v>16.9784519149849</v>
      </c>
      <c r="I7879" s="6" t="n">
        <f aca="false">Sens!I7860</f>
        <v>17.1303084701817</v>
      </c>
      <c r="J7879" s="6" t="n">
        <f aca="false">Sens!J7860</f>
        <v>17.3782189407267</v>
      </c>
      <c r="K7879" s="6" t="n">
        <f aca="false">Sens!K7860</f>
        <v>17.7257833195413</v>
      </c>
    </row>
    <row r="7880" customFormat="false" ht="15" hidden="false" customHeight="false" outlineLevel="0" collapsed="false">
      <c r="A7880" s="0" t="s">
        <v>729</v>
      </c>
      <c r="B7880" s="0" t="s">
        <v>98</v>
      </c>
      <c r="D7880" s="6" t="n">
        <f aca="false">Sens!D7862</f>
        <v>62.941</v>
      </c>
      <c r="E7880" s="6" t="n">
        <f aca="false">Sens!E7862</f>
        <v>63.712</v>
      </c>
      <c r="F7880" s="6" t="n">
        <f aca="false">Sens!F7862</f>
        <v>65.1415764563129</v>
      </c>
      <c r="G7880" s="6" t="n">
        <f aca="false">Sens!G7862</f>
        <v>67.1253610780702</v>
      </c>
      <c r="H7880" s="6" t="n">
        <f aca="false">Sens!H7862</f>
        <v>69.5768050148776</v>
      </c>
      <c r="I7880" s="6" t="n">
        <f aca="false">Sens!I7862</f>
        <v>72.4233188088189</v>
      </c>
      <c r="J7880" s="6" t="n">
        <f aca="false">Sens!J7862</f>
        <v>75.6044096678567</v>
      </c>
      <c r="K7880" s="6" t="n">
        <f aca="false">Sens!K7862</f>
        <v>79.0714397009747</v>
      </c>
    </row>
    <row r="7881" customFormat="false" ht="15" hidden="false" customHeight="false" outlineLevel="0" collapsed="false">
      <c r="A7881" s="1" t="s">
        <v>905</v>
      </c>
      <c r="B7881" s="0" t="s">
        <v>98</v>
      </c>
      <c r="D7881" s="6" t="n">
        <f aca="false">Sens!D7863</f>
        <v>281.724</v>
      </c>
      <c r="E7881" s="6" t="n">
        <f aca="false">Sens!E7863</f>
        <v>331.839</v>
      </c>
      <c r="F7881" s="6" t="n">
        <f aca="false">Sens!F7863</f>
        <v>399.036462240151</v>
      </c>
      <c r="G7881" s="6" t="n">
        <f aca="false">Sens!G7863</f>
        <v>473.8600124932</v>
      </c>
      <c r="H7881" s="6" t="n">
        <f aca="false">Sens!H7863</f>
        <v>549.63478241746</v>
      </c>
      <c r="I7881" s="6" t="n">
        <f aca="false">Sens!I7863</f>
        <v>618.345075656489</v>
      </c>
      <c r="J7881" s="6" t="n">
        <f aca="false">Sens!J7863</f>
        <v>673.327628454412</v>
      </c>
      <c r="K7881" s="6" t="n">
        <f aca="false">Sens!K7863</f>
        <v>716.272987459687</v>
      </c>
    </row>
    <row r="7882" customFormat="false" ht="15" hidden="false" customHeight="false" outlineLevel="0" collapsed="false">
      <c r="A7882" s="1" t="s">
        <v>906</v>
      </c>
      <c r="B7882" s="0" t="s">
        <v>129</v>
      </c>
      <c r="E7882" s="7" t="n">
        <f aca="false">Sens!E7881/Sens!D7881-1</f>
        <v>0.177886867998467</v>
      </c>
      <c r="F7882" s="7" t="n">
        <f aca="false">Sens!F7881/Sens!E7881-1</f>
        <v>0.202500195095065</v>
      </c>
      <c r="G7882" s="7" t="n">
        <f aca="false">Sens!G7881/Sens!F7881-1</f>
        <v>0.187510559393487</v>
      </c>
      <c r="H7882" s="7" t="n">
        <f aca="false">Sens!H7881/Sens!G7881-1</f>
        <v>0.159909610278305</v>
      </c>
      <c r="I7882" s="7" t="n">
        <f aca="false">Sens!I7881/Sens!H7881-1</f>
        <v>0.125010817068054</v>
      </c>
      <c r="J7882" s="7" t="n">
        <f aca="false">Sens!J7881/Sens!I7881-1</f>
        <v>0.088918881968209</v>
      </c>
      <c r="K7882" s="7" t="n">
        <f aca="false">Sens!K7881/Sens!J7881-1</f>
        <v>0.0637807765349745</v>
      </c>
    </row>
    <row r="7883" customFormat="false" ht="17.15" hidden="false" customHeight="false" outlineLevel="0" collapsed="false">
      <c r="A7883" s="23" t="s">
        <v>907</v>
      </c>
      <c r="B7883" s="30" t="s">
        <v>98</v>
      </c>
      <c r="C7883" s="30"/>
      <c r="D7883" s="24" t="n">
        <f aca="false">(Sens!D7876+Sens!D7880-Sens!D7881)+(Sens!D7868+Sens!D7869-Sens!D7867)+(Sens!D7871+Sens!D7872-Sens!D7870)+(Sens!D7881-Q!L18)</f>
        <v>0</v>
      </c>
      <c r="E7883" s="24" t="n">
        <f aca="false">(Sens!E7876+Sens!E7880-Sens!E7881)+(Sens!E7868+Sens!E7869-Sens!E7867)+(Sens!E7871+Sens!E7872-Sens!E7870)+(Sens!E7881-Q!M18)</f>
        <v>0</v>
      </c>
      <c r="F7883" s="24" t="n">
        <f aca="false">(Sens!F7876+Sens!F7880-Sens!F7881)+(Sens!F7868+Sens!F7869-Sens!F7867)+(Sens!F7871+Sens!F7872-Sens!F7870)</f>
        <v>0</v>
      </c>
      <c r="G7883" s="24" t="n">
        <f aca="false">(Sens!G7876+Sens!G7880-Sens!G7881)+(Sens!G7868+Sens!G7869-Sens!G7867)+(Sens!G7871+Sens!G7872-Sens!G7870)</f>
        <v>0</v>
      </c>
      <c r="H7883" s="24" t="n">
        <f aca="false">(Sens!H7876+Sens!H7880-Sens!H7881)+(Sens!H7868+Sens!H7869-Sens!H7867)+(Sens!H7871+Sens!H7872-Sens!H7870)</f>
        <v>0</v>
      </c>
      <c r="I7883" s="24" t="n">
        <f aca="false">(Sens!I7876+Sens!I7880-Sens!I7881)+(Sens!I7868+Sens!I7869-Sens!I7867)+(Sens!I7871+Sens!I7872-Sens!I7870)</f>
        <v>0</v>
      </c>
      <c r="J7883" s="24" t="n">
        <f aca="false">(Sens!J7876+Sens!J7880-Sens!J7881)+(Sens!J7868+Sens!J7869-Sens!J7867)+(Sens!J7871+Sens!J7872-Sens!J7870)</f>
        <v>0</v>
      </c>
      <c r="K7883" s="24" t="n">
        <f aca="false">(Sens!K7876+Sens!K7880-Sens!K7881)+(Sens!K7868+Sens!K7869-Sens!K7867)+(Sens!K7871+Sens!K7872-Sens!K7870)</f>
        <v>0</v>
      </c>
    </row>
    <row r="7884" customFormat="false" ht="17.15" hidden="false" customHeight="false" outlineLevel="0" collapsed="false">
      <c r="A7884" s="0" t="s">
        <v>908</v>
      </c>
      <c r="B7884" s="0" t="s">
        <v>129</v>
      </c>
      <c r="E7884" s="7" t="n">
        <f aca="false">(Q!M21+Sens!E7821+Sens!E7822+Sens!E7823+Sens!E7836-Sens!E7819)/(Q!M5-Sens!E7819)</f>
        <v>0.570957350878296</v>
      </c>
      <c r="F7884" s="7" t="n">
        <f aca="false">Sens!$E$7884+dm_seg</f>
        <v>0.570957350878296</v>
      </c>
      <c r="G7884" s="7" t="n">
        <f aca="false">Sens!$E$7884+dm_seg</f>
        <v>0.570957350878296</v>
      </c>
      <c r="H7884" s="7" t="n">
        <f aca="false">Sens!$E$7884+dm_seg</f>
        <v>0.570957350878296</v>
      </c>
      <c r="I7884" s="7" t="n">
        <f aca="false">Sens!$E$7884+dm_seg</f>
        <v>0.570957350878296</v>
      </c>
      <c r="J7884" s="7" t="n">
        <f aca="false">Sens!$E$7884+dm_seg</f>
        <v>0.570957350878296</v>
      </c>
      <c r="K7884" s="7" t="n">
        <f aca="false">Sens!$E$7884+dm_seg</f>
        <v>0.570957350878296</v>
      </c>
      <c r="L7884" s="11" t="s">
        <v>909</v>
      </c>
    </row>
    <row r="7885" customFormat="false" ht="17.15" hidden="false" customHeight="false" outlineLevel="0" collapsed="false">
      <c r="A7885" s="0" t="s">
        <v>743</v>
      </c>
      <c r="B7885" s="0" t="s">
        <v>98</v>
      </c>
      <c r="D7885" s="6" t="n">
        <f aca="false">Q!L21</f>
        <v>110.814</v>
      </c>
      <c r="E7885" s="6" t="n">
        <f aca="false">Q!M21</f>
        <v>136.365</v>
      </c>
      <c r="F7885" s="6" t="n">
        <f aca="false">Sens!F7884*(Sens!F7855-Sens!F7819)+Sens!F7819-(Sens!F7821+Sens!F7822+Sens!F7823)-Sens!F7836-Sens!F7919</f>
        <v>157.240972414646</v>
      </c>
      <c r="G7885" s="6" t="n">
        <f aca="false">Sens!G7884*(Sens!G7855-Sens!G7819)+Sens!G7819-(Sens!G7821+Sens!G7822+Sens!G7823)-Sens!G7836-Sens!G7919</f>
        <v>177.045809764038</v>
      </c>
      <c r="H7885" s="6" t="n">
        <f aca="false">Sens!H7884*(Sens!H7855-Sens!H7819)+Sens!H7819-(Sens!H7821+Sens!H7822+Sens!H7823)-Sens!H7836-Sens!H7919</f>
        <v>195.73469032677</v>
      </c>
      <c r="I7885" s="6" t="n">
        <f aca="false">Sens!I7884*(Sens!I7855-Sens!I7819)+Sens!I7819-(Sens!I7821+Sens!I7822+Sens!I7823)-Sens!I7836-Sens!I7919</f>
        <v>212.90213073664</v>
      </c>
      <c r="J7885" s="6" t="n">
        <f aca="false">Sens!J7884*(Sens!J7855-Sens!J7819)+Sens!J7819-(Sens!J7821+Sens!J7822+Sens!J7823)-Sens!J7836-Sens!J7919</f>
        <v>228.011744724354</v>
      </c>
      <c r="K7885" s="6" t="n">
        <f aca="false">Sens!K7884*(Sens!K7855-Sens!K7819)+Sens!K7819-(Sens!K7821+Sens!K7822+Sens!K7823)-Sens!K7836-Sens!K7919</f>
        <v>241.902510176535</v>
      </c>
      <c r="L7885" s="1" t="s">
        <v>910</v>
      </c>
    </row>
    <row r="7886" customFormat="false" ht="17.15" hidden="false" customHeight="false" outlineLevel="0" collapsed="false">
      <c r="A7886" s="0" t="s">
        <v>911</v>
      </c>
      <c r="B7886" s="0" t="s">
        <v>129</v>
      </c>
      <c r="E7886" s="7" t="n">
        <f aca="false">Q!M22/Q!M12</f>
        <v>0.296207935710698</v>
      </c>
      <c r="F7886" s="7" t="n">
        <f aca="false">Sens!$E$7886+dm_seg</f>
        <v>0.296207935710698</v>
      </c>
      <c r="G7886" s="7" t="n">
        <f aca="false">Sens!$E$7886+dm_seg</f>
        <v>0.296207935710698</v>
      </c>
      <c r="H7886" s="7" t="n">
        <f aca="false">Sens!$E$7886+dm_seg</f>
        <v>0.296207935710698</v>
      </c>
      <c r="I7886" s="7" t="n">
        <f aca="false">Sens!$E$7886+dm_seg</f>
        <v>0.296207935710698</v>
      </c>
      <c r="J7886" s="7" t="n">
        <f aca="false">Sens!$E$7886+dm_seg</f>
        <v>0.296207935710698</v>
      </c>
      <c r="K7886" s="7" t="n">
        <f aca="false">Sens!$E$7886+dm_seg</f>
        <v>0.296207935710698</v>
      </c>
      <c r="L7886" s="11" t="s">
        <v>912</v>
      </c>
    </row>
    <row r="7887" customFormat="false" ht="17.15" hidden="false" customHeight="false" outlineLevel="0" collapsed="false">
      <c r="A7887" s="0" t="s">
        <v>745</v>
      </c>
      <c r="B7887" s="0" t="s">
        <v>98</v>
      </c>
      <c r="D7887" s="6" t="n">
        <f aca="false">Q!L22</f>
        <v>17.714</v>
      </c>
      <c r="E7887" s="6" t="n">
        <f aca="false">Q!M22</f>
        <v>18.872</v>
      </c>
      <c r="F7887" s="6" t="n">
        <f aca="false">Sens!F7862*Sens!F7886</f>
        <v>19.2954518910651</v>
      </c>
      <c r="G7887" s="6" t="n">
        <f aca="false">Sens!G7862*Sens!G7886</f>
        <v>19.8830646387704</v>
      </c>
      <c r="H7887" s="6" t="n">
        <f aca="false">Sens!H7862*Sens!H7886</f>
        <v>20.6092017868026</v>
      </c>
      <c r="I7887" s="6" t="n">
        <f aca="false">Sens!I7862*Sens!I7886</f>
        <v>21.452361761678</v>
      </c>
      <c r="J7887" s="6" t="n">
        <f aca="false">Sens!J7862*Sens!J7886</f>
        <v>22.3946261183418</v>
      </c>
      <c r="K7887" s="6" t="n">
        <f aca="false">Sens!K7862*Sens!K7886</f>
        <v>23.4215879274986</v>
      </c>
    </row>
    <row r="7888" customFormat="false" ht="15" hidden="false" customHeight="false" outlineLevel="0" collapsed="false">
      <c r="A7888" s="1" t="s">
        <v>913</v>
      </c>
      <c r="B7888" s="0" t="s">
        <v>98</v>
      </c>
      <c r="D7888" s="6" t="n">
        <f aca="false">Sens!D7885+Sens!D7887</f>
        <v>128.528</v>
      </c>
      <c r="E7888" s="6" t="n">
        <f aca="false">Sens!E7885+Sens!E7887</f>
        <v>155.237</v>
      </c>
      <c r="F7888" s="6" t="n">
        <f aca="false">Sens!F7885+Sens!F7887</f>
        <v>176.536424305711</v>
      </c>
      <c r="G7888" s="6" t="n">
        <f aca="false">Sens!G7885+Sens!G7887</f>
        <v>196.928874402808</v>
      </c>
      <c r="H7888" s="6" t="n">
        <f aca="false">Sens!H7885+Sens!H7887</f>
        <v>216.343892113572</v>
      </c>
      <c r="I7888" s="6" t="n">
        <f aca="false">Sens!I7885+Sens!I7887</f>
        <v>234.354492498318</v>
      </c>
      <c r="J7888" s="6" t="n">
        <f aca="false">Sens!J7885+Sens!J7887</f>
        <v>250.406370842696</v>
      </c>
      <c r="K7888" s="6" t="n">
        <f aca="false">Sens!K7885+Sens!K7887</f>
        <v>265.324098104034</v>
      </c>
    </row>
    <row r="7889" customFormat="false" ht="15" hidden="false" customHeight="false" outlineLevel="0" collapsed="false">
      <c r="A7889" s="23" t="s">
        <v>914</v>
      </c>
      <c r="B7889" s="30" t="s">
        <v>98</v>
      </c>
      <c r="C7889" s="30"/>
      <c r="D7889" s="24" t="n">
        <f aca="false">Sens!D7888-Q!L23</f>
        <v>0</v>
      </c>
      <c r="E7889" s="24" t="n">
        <f aca="false">Sens!E7888-Q!M23</f>
        <v>0</v>
      </c>
      <c r="F7889" s="30"/>
      <c r="G7889" s="30"/>
      <c r="H7889" s="30"/>
      <c r="I7889" s="30"/>
      <c r="J7889" s="30"/>
      <c r="K7889" s="30"/>
    </row>
    <row r="7890" customFormat="false" ht="15" hidden="false" customHeight="false" outlineLevel="0" collapsed="false">
      <c r="A7890" s="1" t="s">
        <v>915</v>
      </c>
      <c r="B7890" s="0" t="s">
        <v>129</v>
      </c>
      <c r="D7890" s="7" t="n">
        <f aca="false">Sens!D7888/Sens!D7881</f>
        <v>0.456219562408598</v>
      </c>
      <c r="E7890" s="7" t="n">
        <f aca="false">Sens!E7888/Sens!E7881</f>
        <v>0.467808184089272</v>
      </c>
      <c r="F7890" s="7" t="n">
        <f aca="false">Sens!F7888/Sens!F7881</f>
        <v>0.442406749785855</v>
      </c>
      <c r="G7890" s="7" t="n">
        <f aca="false">Sens!G7888/Sens!G7881</f>
        <v>0.415584495865504</v>
      </c>
      <c r="H7890" s="7" t="n">
        <f aca="false">Sens!H7888/Sens!H7881</f>
        <v>0.393613903330547</v>
      </c>
      <c r="I7890" s="7" t="n">
        <f aca="false">Sens!I7888/Sens!I7881</f>
        <v>0.379002763545108</v>
      </c>
      <c r="J7890" s="7" t="n">
        <f aca="false">Sens!J7888/Sens!J7881</f>
        <v>0.371893800670991</v>
      </c>
      <c r="K7890" s="7" t="n">
        <f aca="false">Sens!K7888/Sens!K7881</f>
        <v>0.370423152553923</v>
      </c>
    </row>
    <row r="7891" customFormat="false" ht="17.15" hidden="false" customHeight="false" outlineLevel="0" collapsed="false">
      <c r="A7891" s="1" t="s">
        <v>916</v>
      </c>
      <c r="B7891" s="0" t="s">
        <v>98</v>
      </c>
      <c r="F7891" s="6" t="n">
        <f aca="false">Sens!F7906</f>
        <v>9.29892047395526</v>
      </c>
      <c r="G7891" s="6" t="n">
        <f aca="false">Sens!G7906</f>
        <v>23.9346303607031</v>
      </c>
      <c r="H7891" s="6" t="n">
        <f aca="false">Sens!H7906</f>
        <v>40.1043191979728</v>
      </c>
      <c r="I7891" s="6" t="n">
        <f aca="false">Sens!I7906</f>
        <v>54.9360183203111</v>
      </c>
      <c r="J7891" s="6" t="n">
        <f aca="false">Sens!J7906</f>
        <v>65.4555422613168</v>
      </c>
      <c r="K7891" s="6" t="n">
        <f aca="false">Sens!K7906</f>
        <v>71.4992160033785</v>
      </c>
      <c r="L7891" s="1" t="s">
        <v>917</v>
      </c>
    </row>
    <row r="7892" customFormat="false" ht="17.15" hidden="false" customHeight="false" outlineLevel="0" collapsed="false">
      <c r="A7892" s="1" t="s">
        <v>918</v>
      </c>
      <c r="B7892" s="0" t="s">
        <v>98</v>
      </c>
      <c r="D7892" s="6" t="n">
        <f aca="false">Sens!D7888</f>
        <v>128.528</v>
      </c>
      <c r="E7892" s="6" t="n">
        <f aca="false">Sens!E7888</f>
        <v>155.237</v>
      </c>
      <c r="F7892" s="6" t="n">
        <f aca="false">Sens!F7888+Sens!F7891</f>
        <v>185.835344779667</v>
      </c>
      <c r="G7892" s="6" t="n">
        <f aca="false">Sens!G7888+Sens!G7891</f>
        <v>220.863504763511</v>
      </c>
      <c r="H7892" s="6" t="n">
        <f aca="false">Sens!H7888+Sens!H7891</f>
        <v>256.448211311545</v>
      </c>
      <c r="I7892" s="6" t="n">
        <f aca="false">Sens!I7888+Sens!I7891</f>
        <v>289.29051081863</v>
      </c>
      <c r="J7892" s="6" t="n">
        <f aca="false">Sens!J7888+Sens!J7891</f>
        <v>315.861913104013</v>
      </c>
      <c r="K7892" s="6" t="n">
        <f aca="false">Sens!K7888+Sens!K7891</f>
        <v>336.823314107412</v>
      </c>
    </row>
    <row r="7893" customFormat="false" ht="17.15" hidden="false" customHeight="false" outlineLevel="0" collapsed="false">
      <c r="A7893" s="1" t="s">
        <v>919</v>
      </c>
      <c r="B7893" s="0" t="s">
        <v>98</v>
      </c>
      <c r="E7893" s="6" t="n">
        <f aca="false">Sens!E7836</f>
        <v>16.3054059770833</v>
      </c>
      <c r="F7893" s="6" t="n">
        <f aca="false">Sens!F7836</f>
        <v>34.0498873809555</v>
      </c>
      <c r="G7893" s="6" t="n">
        <f aca="false">Sens!G7836</f>
        <v>59.1254371105111</v>
      </c>
      <c r="H7893" s="6" t="n">
        <f aca="false">Sens!H7836</f>
        <v>86.3610198433111</v>
      </c>
      <c r="I7893" s="6" t="n">
        <f aca="false">Sens!I7836</f>
        <v>110.605743832393</v>
      </c>
      <c r="J7893" s="6" t="n">
        <f aca="false">Sens!J7836</f>
        <v>127.998322852843</v>
      </c>
      <c r="K7893" s="6" t="n">
        <f aca="false">Sens!K7836</f>
        <v>139.131464044308</v>
      </c>
    </row>
    <row r="7894" customFormat="false" ht="17.15" hidden="false" customHeight="false" outlineLevel="0" collapsed="false">
      <c r="A7894" s="1" t="s">
        <v>920</v>
      </c>
      <c r="B7894" s="0" t="s">
        <v>98</v>
      </c>
      <c r="E7894" s="6" t="n">
        <f aca="false">Sens!E7918</f>
        <v>22.2285940229167</v>
      </c>
      <c r="F7894" s="6" t="n">
        <f aca="false">Sens!F7918</f>
        <v>24.3924470334783</v>
      </c>
      <c r="G7894" s="6" t="n">
        <f aca="false">Sens!G7918</f>
        <v>26.0417422542762</v>
      </c>
      <c r="H7894" s="6" t="n">
        <f aca="false">Sens!H7918</f>
        <v>28.0559530212287</v>
      </c>
      <c r="I7894" s="6" t="n">
        <f aca="false">Sens!I7918</f>
        <v>30.3505625346871</v>
      </c>
      <c r="J7894" s="6" t="n">
        <f aca="false">Sens!J7918</f>
        <v>32.8236809877546</v>
      </c>
      <c r="K7894" s="6" t="n">
        <f aca="false">Sens!K7918</f>
        <v>35.3746593933638</v>
      </c>
    </row>
    <row r="7895" customFormat="false" ht="17.15" hidden="false" customHeight="false" outlineLevel="0" collapsed="false">
      <c r="A7895" s="1" t="s">
        <v>921</v>
      </c>
      <c r="B7895" s="0" t="s">
        <v>98</v>
      </c>
      <c r="D7895" s="6" t="n">
        <f aca="false">Q!L27</f>
        <v>-4.901</v>
      </c>
      <c r="E7895" s="6" t="n">
        <f aca="false">Q!M27</f>
        <v>10.697</v>
      </c>
      <c r="F7895" s="6" t="n">
        <f aca="false">oie_f</f>
        <v>-0.4</v>
      </c>
      <c r="G7895" s="6" t="n">
        <f aca="false">oie_f</f>
        <v>-0.4</v>
      </c>
      <c r="H7895" s="6" t="n">
        <f aca="false">oie_f</f>
        <v>-0.4</v>
      </c>
      <c r="I7895" s="6" t="n">
        <f aca="false">oie_f</f>
        <v>-0.4</v>
      </c>
      <c r="J7895" s="6" t="n">
        <f aca="false">oie_f</f>
        <v>-0.4</v>
      </c>
      <c r="K7895" s="6" t="n">
        <f aca="false">oie_f</f>
        <v>-0.4</v>
      </c>
      <c r="L7895" s="11" t="s">
        <v>922</v>
      </c>
    </row>
    <row r="7896" customFormat="false" ht="15" hidden="false" customHeight="false" outlineLevel="0" collapsed="false">
      <c r="A7896" s="1" t="s">
        <v>923</v>
      </c>
      <c r="B7896" s="0" t="s">
        <v>98</v>
      </c>
      <c r="D7896" s="6" t="n">
        <f aca="false">Sens!D7888+Sens!D7895</f>
        <v>123.627</v>
      </c>
      <c r="E7896" s="6" t="n">
        <f aca="false">Sens!E7888+Sens!E7895</f>
        <v>165.934</v>
      </c>
      <c r="F7896" s="6" t="n">
        <f aca="false">Sens!F7888+Sens!F7895</f>
        <v>176.136424305711</v>
      </c>
      <c r="G7896" s="6" t="n">
        <f aca="false">Sens!G7888+Sens!G7895</f>
        <v>196.528874402808</v>
      </c>
      <c r="H7896" s="6" t="n">
        <f aca="false">Sens!H7888+Sens!H7895</f>
        <v>215.943892113572</v>
      </c>
      <c r="I7896" s="6" t="n">
        <f aca="false">Sens!I7888+Sens!I7895</f>
        <v>233.954492498318</v>
      </c>
      <c r="J7896" s="6" t="n">
        <f aca="false">Sens!J7888+Sens!J7895</f>
        <v>250.006370842696</v>
      </c>
      <c r="K7896" s="6" t="n">
        <f aca="false">Sens!K7888+Sens!K7895</f>
        <v>264.924098104034</v>
      </c>
    </row>
    <row r="7897" customFormat="false" ht="15" hidden="false" customHeight="false" outlineLevel="0" collapsed="false">
      <c r="A7897" s="1" t="s">
        <v>924</v>
      </c>
      <c r="B7897" s="0" t="s">
        <v>98</v>
      </c>
      <c r="D7897" s="6" t="n">
        <f aca="false">Q!L29</f>
        <v>21.795</v>
      </c>
      <c r="E7897" s="6" t="n">
        <f aca="false">Q!M29</f>
        <v>32.185</v>
      </c>
      <c r="F7897" s="6" t="n">
        <f aca="false">Sens!F7896*tax_f</f>
        <v>35.2272848611423</v>
      </c>
      <c r="G7897" s="6" t="n">
        <f aca="false">Sens!G7896*tax_f</f>
        <v>39.3057748805616</v>
      </c>
      <c r="H7897" s="6" t="n">
        <f aca="false">Sens!H7896*tax_f</f>
        <v>43.1887784227145</v>
      </c>
      <c r="I7897" s="6" t="n">
        <f aca="false">Sens!I7896*tax_f</f>
        <v>46.7908984996637</v>
      </c>
      <c r="J7897" s="6" t="n">
        <f aca="false">Sens!J7896*tax_f</f>
        <v>50.0012741685392</v>
      </c>
      <c r="K7897" s="6" t="n">
        <f aca="false">Sens!K7896*tax_f</f>
        <v>52.9848196208068</v>
      </c>
    </row>
    <row r="7898" customFormat="false" ht="15" hidden="false" customHeight="false" outlineLevel="0" collapsed="false">
      <c r="A7898" s="1" t="s">
        <v>925</v>
      </c>
      <c r="B7898" s="0" t="s">
        <v>98</v>
      </c>
      <c r="D7898" s="6" t="n">
        <f aca="false">Sens!D7896-Sens!D7897</f>
        <v>101.832</v>
      </c>
      <c r="E7898" s="6" t="n">
        <f aca="false">Sens!E7896-Sens!E7897</f>
        <v>133.749</v>
      </c>
      <c r="F7898" s="6" t="n">
        <f aca="false">Sens!F7896-Sens!F7897</f>
        <v>140.909139444569</v>
      </c>
      <c r="G7898" s="6" t="n">
        <f aca="false">Sens!G7896-Sens!G7897</f>
        <v>157.223099522246</v>
      </c>
      <c r="H7898" s="6" t="n">
        <f aca="false">Sens!H7896-Sens!H7897</f>
        <v>172.755113690858</v>
      </c>
      <c r="I7898" s="6" t="n">
        <f aca="false">Sens!I7896-Sens!I7897</f>
        <v>187.163593998655</v>
      </c>
      <c r="J7898" s="6" t="n">
        <f aca="false">Sens!J7896-Sens!J7897</f>
        <v>200.005096674157</v>
      </c>
      <c r="K7898" s="6" t="n">
        <f aca="false">Sens!K7896-Sens!K7897</f>
        <v>211.939278483227</v>
      </c>
    </row>
    <row r="7899" customFormat="false" ht="17.15" hidden="false" customHeight="false" outlineLevel="0" collapsed="false">
      <c r="A7899" s="1" t="s">
        <v>926</v>
      </c>
      <c r="B7899" s="1" t="s">
        <v>81</v>
      </c>
      <c r="D7899" s="14" t="n">
        <f aca="false">Q!L31</f>
        <v>7.465</v>
      </c>
      <c r="E7899" s="14" t="n">
        <f aca="false">Q!M31</f>
        <v>7.453</v>
      </c>
      <c r="F7899" s="14" t="n">
        <f aca="false">Sens!F7942</f>
        <v>7.4735</v>
      </c>
      <c r="G7899" s="14" t="n">
        <f aca="false">Sens!G7942</f>
        <v>7.51842189874991</v>
      </c>
      <c r="H7899" s="14" t="n">
        <f aca="false">Sens!H7942</f>
        <v>7.54609538334978</v>
      </c>
      <c r="I7899" s="14" t="n">
        <f aca="false">Sens!I7942</f>
        <v>7.55787621535709</v>
      </c>
      <c r="J7899" s="14" t="n">
        <f aca="false">Sens!J7942</f>
        <v>7.57211772647497</v>
      </c>
      <c r="K7899" s="14" t="n">
        <f aca="false">Sens!K7942</f>
        <v>7.58863764417672</v>
      </c>
    </row>
    <row r="7900" customFormat="false" ht="17.15" hidden="false" customHeight="false" outlineLevel="0" collapsed="false">
      <c r="A7900" s="0" t="s">
        <v>927</v>
      </c>
      <c r="B7900" s="0" t="s">
        <v>75</v>
      </c>
      <c r="D7900" s="8" t="n">
        <f aca="false">Sens!D7898/Sens!D7899</f>
        <v>13.641259209645</v>
      </c>
      <c r="E7900" s="8" t="n">
        <f aca="false">Sens!E7898/Sens!E7899</f>
        <v>17.9456594659869</v>
      </c>
      <c r="F7900" s="8" t="n">
        <f aca="false">Sens!F7898/Sens!F7899</f>
        <v>18.8545045085394</v>
      </c>
      <c r="G7900" s="8" t="n">
        <f aca="false">Sens!G7898/Sens!G7899</f>
        <v>20.9117154689587</v>
      </c>
      <c r="H7900" s="8" t="n">
        <f aca="false">Sens!H7898/Sens!H7899</f>
        <v>22.8933116949511</v>
      </c>
      <c r="I7900" s="8" t="n">
        <f aca="false">Sens!I7898/Sens!I7899</f>
        <v>24.764045965499</v>
      </c>
      <c r="J7900" s="8" t="n">
        <f aca="false">Sens!J7898/Sens!J7899</f>
        <v>26.4133633283148</v>
      </c>
      <c r="K7900" s="8" t="n">
        <f aca="false">Sens!K7898/Sens!K7899</f>
        <v>27.9285015862976</v>
      </c>
      <c r="L7900" s="1" t="s">
        <v>928</v>
      </c>
    </row>
    <row r="7901" customFormat="false" ht="17.15" hidden="false" customHeight="false" outlineLevel="0" collapsed="false">
      <c r="A7901" s="1" t="s">
        <v>929</v>
      </c>
      <c r="B7901" s="0" t="s">
        <v>98</v>
      </c>
      <c r="D7901" s="6" t="n">
        <f aca="false">Sens!D7898</f>
        <v>101.832</v>
      </c>
      <c r="E7901" s="6" t="n">
        <f aca="false">Sens!E7898</f>
        <v>133.749</v>
      </c>
      <c r="F7901" s="6" t="n">
        <f aca="false">Sens!F7898+Sens!F7891*(1-tax_f)</f>
        <v>148.348275823733</v>
      </c>
      <c r="G7901" s="6" t="n">
        <f aca="false">Sens!G7898+Sens!G7891*(1-tax_f)</f>
        <v>176.370803810809</v>
      </c>
      <c r="H7901" s="6" t="n">
        <f aca="false">Sens!H7898+Sens!H7891*(1-tax_f)</f>
        <v>204.838569049236</v>
      </c>
      <c r="I7901" s="6" t="n">
        <f aca="false">Sens!I7898+Sens!I7891*(1-tax_f)</f>
        <v>231.112408654904</v>
      </c>
      <c r="J7901" s="6" t="n">
        <f aca="false">Sens!J7898+Sens!J7891*(1-tax_f)</f>
        <v>252.36953048321</v>
      </c>
      <c r="K7901" s="6" t="n">
        <f aca="false">Sens!K7898+Sens!K7891*(1-tax_f)</f>
        <v>269.13865128593</v>
      </c>
    </row>
    <row r="7902" customFormat="false" ht="17.15" hidden="false" customHeight="false" outlineLevel="0" collapsed="false">
      <c r="A7902" s="0" t="s">
        <v>930</v>
      </c>
      <c r="B7902" s="0" t="s">
        <v>75</v>
      </c>
      <c r="D7902" s="8" t="n">
        <f aca="false">Sens!D7901/Sens!D7899</f>
        <v>13.641259209645</v>
      </c>
      <c r="E7902" s="8" t="n">
        <f aca="false">Sens!E7901/Sens!E7899</f>
        <v>17.9456594659869</v>
      </c>
      <c r="F7902" s="8" t="n">
        <f aca="false">Sens!F7901/Sens!F7899</f>
        <v>19.8499064459401</v>
      </c>
      <c r="G7902" s="8" t="n">
        <f aca="false">Sens!G7901/Sens!G7899</f>
        <v>23.4584871913259</v>
      </c>
      <c r="H7902" s="8" t="n">
        <f aca="false">Sens!H7901/Sens!H7899</f>
        <v>27.1449748039504</v>
      </c>
      <c r="I7902" s="8" t="n">
        <f aca="false">Sens!I7901/Sens!I7899</f>
        <v>30.5790148011817</v>
      </c>
      <c r="J7902" s="8" t="n">
        <f aca="false">Sens!J7901/Sens!J7899</f>
        <v>33.3287911783029</v>
      </c>
      <c r="K7902" s="8" t="n">
        <f aca="false">Sens!K7901/Sens!K7899</f>
        <v>35.4660037684707</v>
      </c>
      <c r="L7902" s="1" t="s">
        <v>931</v>
      </c>
    </row>
    <row r="7903" customFormat="false" ht="17.15" hidden="false" customHeight="false" outlineLevel="0" collapsed="false">
      <c r="A7903" s="0" t="s">
        <v>932</v>
      </c>
      <c r="B7903" s="0" t="s">
        <v>129</v>
      </c>
      <c r="E7903" s="7" t="n">
        <f aca="false">Sens!E7902/Sens!D7902-1</f>
        <v>0.315542736208578</v>
      </c>
      <c r="F7903" s="7" t="n">
        <f aca="false">Sens!F7902/Sens!E7902-1</f>
        <v>0.106111841894829</v>
      </c>
      <c r="G7903" s="7" t="n">
        <f aca="false">Sens!G7902/Sens!F7902-1</f>
        <v>0.181793337677109</v>
      </c>
      <c r="H7903" s="7" t="n">
        <f aca="false">Sens!H7902/Sens!G7902-1</f>
        <v>0.157149418142686</v>
      </c>
      <c r="I7903" s="7" t="n">
        <f aca="false">Sens!I7902/Sens!H7902-1</f>
        <v>0.126507393063837</v>
      </c>
      <c r="J7903" s="7" t="n">
        <f aca="false">Sens!J7902/Sens!I7902-1</f>
        <v>0.0899236419158582</v>
      </c>
      <c r="K7903" s="7" t="n">
        <f aca="false">Sens!K7902/Sens!J7902-1</f>
        <v>0.0641251156915381</v>
      </c>
    </row>
    <row r="7904" customFormat="false" ht="17.15" hidden="false" customHeight="false" outlineLevel="0" collapsed="false">
      <c r="A7904" s="0" t="s">
        <v>856</v>
      </c>
      <c r="B7904" s="0" t="s">
        <v>98</v>
      </c>
      <c r="E7904" s="6" t="n">
        <f aca="false">Sens!E7845</f>
        <v>5.25</v>
      </c>
      <c r="F7904" s="6" t="n">
        <f aca="false">Sens!F7845</f>
        <v>12</v>
      </c>
      <c r="G7904" s="6" t="n">
        <f aca="false">Sens!G7845</f>
        <v>18</v>
      </c>
      <c r="H7904" s="6" t="n">
        <f aca="false">Sens!H7845</f>
        <v>24</v>
      </c>
      <c r="I7904" s="6" t="n">
        <f aca="false">Sens!I7845</f>
        <v>28.5</v>
      </c>
      <c r="J7904" s="6" t="n">
        <f aca="false">Sens!J7845</f>
        <v>31.5</v>
      </c>
      <c r="K7904" s="6" t="n">
        <f aca="false">Sens!K7845</f>
        <v>34.5</v>
      </c>
    </row>
    <row r="7905" customFormat="false" ht="17.15" hidden="false" customHeight="false" outlineLevel="0" collapsed="false">
      <c r="A7905" s="1" t="s">
        <v>857</v>
      </c>
      <c r="B7905" s="0" t="s">
        <v>98</v>
      </c>
      <c r="F7905" s="6" t="n">
        <f aca="false">MAX(0,((Sens!E7808+Sens!F7808)/2-(shadow_base*(Sens!$D$7808+Sens!$E$7808)/2+(1-shadow_base)*Sens!$E$7808))*Sens!F7816/1000-(Sens!F7904-Sens!$E$7904)*Sens!F7884)</f>
        <v>9.29892047395526</v>
      </c>
      <c r="G7905" s="6" t="n">
        <f aca="false">MAX(0,((Sens!F7808+Sens!G7808)/2-(shadow_base*(Sens!$D$7808+Sens!$E$7808)/2+(1-shadow_base)*Sens!$E$7808))*Sens!G7816/1000-(Sens!G7904-Sens!$E$7904)*Sens!G7884)</f>
        <v>23.9346303607031</v>
      </c>
      <c r="H7905" s="6" t="n">
        <f aca="false">MAX(0,((Sens!G7808+Sens!H7808)/2-(shadow_base*(Sens!$D$7808+Sens!$E$7808)/2+(1-shadow_base)*Sens!$E$7808))*Sens!H7816/1000-(Sens!H7904-Sens!$E$7904)*Sens!H7884)</f>
        <v>40.1043191979728</v>
      </c>
      <c r="I7905" s="6" t="n">
        <f aca="false">MAX(0,((Sens!H7808+Sens!I7808)/2-(shadow_base*(Sens!$D$7808+Sens!$E$7808)/2+(1-shadow_base)*Sens!$E$7808))*Sens!I7816/1000-(Sens!I7904-Sens!$E$7904)*Sens!I7884)</f>
        <v>54.9360183203111</v>
      </c>
      <c r="J7905" s="6" t="n">
        <f aca="false">MAX(0,((Sens!I7808+Sens!J7808)/2-(shadow_base*(Sens!$D$7808+Sens!$E$7808)/2+(1-shadow_base)*Sens!$E$7808))*Sens!J7816/1000-(Sens!J7904-Sens!$E$7904)*Sens!J7884)</f>
        <v>65.4555422613168</v>
      </c>
      <c r="K7905" s="6" t="n">
        <f aca="false">MAX(0,((Sens!J7808+Sens!K7808)/2-(shadow_base*(Sens!$D$7808+Sens!$E$7808)/2+(1-shadow_base)*Sens!$E$7808))*Sens!K7816/1000-(Sens!K7904-Sens!$E$7904)*Sens!K7884)</f>
        <v>71.4992160033785</v>
      </c>
      <c r="L7905" s="1" t="s">
        <v>858</v>
      </c>
    </row>
    <row r="7906" customFormat="false" ht="17.15" hidden="false" customHeight="false" outlineLevel="0" collapsed="false">
      <c r="A7906" s="1" t="s">
        <v>859</v>
      </c>
      <c r="B7906" s="0" t="s">
        <v>98</v>
      </c>
      <c r="F7906" s="6" t="n">
        <f aca="false">IF(internal_ai_reading=2,1,0)*Sens!F7905</f>
        <v>9.29892047395526</v>
      </c>
      <c r="G7906" s="6" t="n">
        <f aca="false">IF(internal_ai_reading=2,1,0)*Sens!G7905</f>
        <v>23.9346303607031</v>
      </c>
      <c r="H7906" s="6" t="n">
        <f aca="false">IF(internal_ai_reading=2,1,0)*Sens!H7905</f>
        <v>40.1043191979728</v>
      </c>
      <c r="I7906" s="6" t="n">
        <f aca="false">IF(internal_ai_reading=2,1,0)*Sens!I7905</f>
        <v>54.9360183203111</v>
      </c>
      <c r="J7906" s="6" t="n">
        <f aca="false">IF(internal_ai_reading=2,1,0)*Sens!J7905</f>
        <v>65.4555422613168</v>
      </c>
      <c r="K7906" s="6" t="n">
        <f aca="false">IF(internal_ai_reading=2,1,0)*Sens!K7905</f>
        <v>71.4992160033785</v>
      </c>
    </row>
    <row r="7907" customFormat="false" ht="17.15" hidden="false" customHeight="false" outlineLevel="0" collapsed="false">
      <c r="A7907" s="0" t="s">
        <v>860</v>
      </c>
      <c r="B7907" s="0" t="s">
        <v>98</v>
      </c>
      <c r="F7907" s="6" t="n">
        <f aca="false">Sens!F7825+Sens!F7904*Sens!F7884+Sens!F7906-Sens!F7826-Sens!F7836</f>
        <v>15.0270315022233</v>
      </c>
      <c r="G7907" s="6" t="n">
        <f aca="false">Sens!G7825+Sens!G7904*Sens!G7884+Sens!G7906-Sens!G7826-Sens!G7836</f>
        <v>30.8545489496424</v>
      </c>
      <c r="H7907" s="6" t="n">
        <f aca="false">Sens!H7825+Sens!H7904*Sens!H7884+Sens!H7906-Sens!H7826-Sens!H7836</f>
        <v>47.4024902575898</v>
      </c>
      <c r="I7907" s="6" t="n">
        <f aca="false">Sens!I7825+Sens!I7904*Sens!I7884+Sens!I7906-Sens!I7826-Sens!I7836</f>
        <v>62.1817971739404</v>
      </c>
      <c r="J7907" s="6" t="n">
        <f aca="false">Sens!J7825+Sens!J7904*Sens!J7884+Sens!J7906-Sens!J7826-Sens!J7836</f>
        <v>72.5050518947332</v>
      </c>
      <c r="K7907" s="6" t="n">
        <f aca="false">Sens!K7825+Sens!K7904*Sens!K7884+Sens!K7906-Sens!K7826-Sens!K7836</f>
        <v>79.8210980571165</v>
      </c>
    </row>
    <row r="7908" customFormat="false" ht="17.15" hidden="false" customHeight="false" outlineLevel="0" collapsed="false">
      <c r="A7908" s="0" t="s">
        <v>861</v>
      </c>
      <c r="B7908" s="0" t="s">
        <v>98</v>
      </c>
      <c r="E7908" s="6" t="n">
        <f aca="false">Sens!E7807*(cxit_open+self_build*tk_cxfac)/1000*ai_net_open</f>
        <v>126.6980382</v>
      </c>
      <c r="F7908" s="6" t="n">
        <f aca="false">Sens!E7908+Sens!F7833-Sens!F7836</f>
        <v>252.981026690511</v>
      </c>
      <c r="G7908" s="6" t="n">
        <f aca="false">Sens!F7908+Sens!G7833-Sens!G7836</f>
        <v>377.4297700632</v>
      </c>
      <c r="H7908" s="6" t="n">
        <f aca="false">Sens!G7908+Sens!H7833-Sens!H7836</f>
        <v>479.149036130289</v>
      </c>
      <c r="I7908" s="6" t="n">
        <f aca="false">Sens!H7908+Sens!I7833-Sens!I7836</f>
        <v>532.249961452141</v>
      </c>
      <c r="J7908" s="6" t="n">
        <f aca="false">Sens!I7908+Sens!J7833-Sens!J7836</f>
        <v>531.43307519354</v>
      </c>
      <c r="K7908" s="6" t="n">
        <f aca="false">Sens!J7908+Sens!K7833-Sens!K7836</f>
        <v>513.709026452823</v>
      </c>
      <c r="L7908" s="1" t="s">
        <v>862</v>
      </c>
    </row>
    <row r="7909" customFormat="false" ht="17.15" hidden="false" customHeight="false" outlineLevel="0" collapsed="false">
      <c r="A7909" s="0" t="s">
        <v>863</v>
      </c>
      <c r="B7909" s="0" t="s">
        <v>129</v>
      </c>
      <c r="F7909" s="7" t="n">
        <f aca="false">Sens!F7907*(1-tax_f)/((Sens!E7908+Sens!F7908)/2)</f>
        <v>0.0633251938989334</v>
      </c>
      <c r="G7909" s="7" t="n">
        <f aca="false">Sens!G7907*(1-tax_f)/((Sens!F7908+Sens!G7908)/2)</f>
        <v>0.0783096967463813</v>
      </c>
      <c r="H7909" s="7" t="n">
        <f aca="false">Sens!H7907*(1-tax_f)/((Sens!G7908+Sens!H7908)/2)</f>
        <v>0.0885429149819656</v>
      </c>
      <c r="I7909" s="7" t="n">
        <f aca="false">Sens!I7907*(1-tax_f)/((Sens!H7908+Sens!I7908)/2)</f>
        <v>0.0983695610892634</v>
      </c>
      <c r="J7909" s="7" t="n">
        <f aca="false">Sens!J7907*(1-tax_f)/((Sens!I7908+Sens!J7908)/2)</f>
        <v>0.109062642756252</v>
      </c>
      <c r="K7909" s="7" t="n">
        <f aca="false">Sens!K7907*(1-tax_f)/((Sens!J7908+Sens!K7908)/2)</f>
        <v>0.122197504712713</v>
      </c>
    </row>
    <row r="7910" customFormat="false" ht="17.15" hidden="false" customHeight="false" outlineLevel="0" collapsed="false">
      <c r="A7910" s="1" t="s">
        <v>864</v>
      </c>
      <c r="B7910" s="0" t="s">
        <v>129</v>
      </c>
      <c r="F7910" s="7" t="n">
        <f aca="false">(Sens!F7907-Sens!F7906)*(1-tax_f)/((Sens!E7908+Sens!F7908)/2)</f>
        <v>0.0241387489928418</v>
      </c>
      <c r="G7910" s="7" t="n">
        <f aca="false">(Sens!G7907-Sens!G7906)*(1-tax_f)/((Sens!F7908+Sens!G7908)/2)</f>
        <v>0.0175629443520275</v>
      </c>
      <c r="H7910" s="7" t="n">
        <f aca="false">(Sens!H7907-Sens!H7906)*(1-tax_f)/((Sens!G7908+Sens!H7908)/2)</f>
        <v>0.0136322234579658</v>
      </c>
      <c r="I7910" s="7" t="n">
        <f aca="false">(Sens!I7907-Sens!I7906)*(1-tax_f)/((Sens!H7908+Sens!I7908)/2)</f>
        <v>0.0114625841962651</v>
      </c>
      <c r="J7910" s="7" t="n">
        <f aca="false">(Sens!J7907-Sens!J7906)*(1-tax_f)/((Sens!I7908+Sens!J7908)/2)</f>
        <v>0.0106039252529919</v>
      </c>
      <c r="K7910" s="7" t="n">
        <f aca="false">(Sens!K7907-Sens!K7906)*(1-tax_f)/((Sens!J7908+Sens!K7908)/2)</f>
        <v>0.0127399051908886</v>
      </c>
    </row>
    <row r="7911" customFormat="false" ht="17.15" hidden="false" customHeight="false" outlineLevel="0" collapsed="false">
      <c r="A7911" s="1" t="s">
        <v>865</v>
      </c>
      <c r="B7911" s="0" t="s">
        <v>129</v>
      </c>
      <c r="F7911" s="7" t="n">
        <f aca="false">(Sens!F7907-Sens!F7906+Sens!F7905)*(1-tax_f)/((Sens!E7908+Sens!F7908)/2)</f>
        <v>0.0633251938989334</v>
      </c>
      <c r="G7911" s="7" t="n">
        <f aca="false">(Sens!G7907-Sens!G7906+Sens!G7905)*(1-tax_f)/((Sens!F7908+Sens!G7908)/2)</f>
        <v>0.0783096967463813</v>
      </c>
      <c r="H7911" s="7" t="n">
        <f aca="false">(Sens!H7907-Sens!H7906+Sens!H7905)*(1-tax_f)/((Sens!G7908+Sens!H7908)/2)</f>
        <v>0.0885429149819656</v>
      </c>
      <c r="I7911" s="7" t="n">
        <f aca="false">(Sens!I7907-Sens!I7906+Sens!I7905)*(1-tax_f)/((Sens!H7908+Sens!I7908)/2)</f>
        <v>0.0983695610892634</v>
      </c>
      <c r="J7911" s="7" t="n">
        <f aca="false">(Sens!J7907-Sens!J7906+Sens!J7905)*(1-tax_f)/((Sens!I7908+Sens!J7908)/2)</f>
        <v>0.109062642756252</v>
      </c>
      <c r="K7911" s="7" t="n">
        <f aca="false">(Sens!K7907-Sens!K7906+Sens!K7905)*(1-tax_f)/((Sens!J7908+Sens!K7908)/2)</f>
        <v>0.122197504712713</v>
      </c>
    </row>
    <row r="7912" customFormat="false" ht="17.15" hidden="false" customHeight="false" outlineLevel="0" collapsed="false">
      <c r="A7912" s="1" t="s">
        <v>866</v>
      </c>
      <c r="B7912" s="0" t="s">
        <v>129</v>
      </c>
      <c r="F7912" s="7" t="n">
        <f aca="false">Sens!F7837*(1-tax_f)/(Sens!F7824*(Sens!E7908+Sens!F7908)/2)</f>
        <v>0.133653288300971</v>
      </c>
      <c r="G7912" s="7" t="n">
        <f aca="false">Sens!G7837*(1-tax_f)/(Sens!G7824*(Sens!F7908+Sens!G7908)/2)</f>
        <v>0.131459221834535</v>
      </c>
      <c r="H7912" s="7" t="n">
        <f aca="false">Sens!H7837*(1-tax_f)/(Sens!H7824*(Sens!G7908+Sens!H7908)/2)</f>
        <v>0.135120575835084</v>
      </c>
      <c r="I7912" s="7" t="n">
        <f aca="false">Sens!I7837*(1-tax_f)/(Sens!I7824*(Sens!H7908+Sens!I7908)/2)</f>
        <v>0.143323969665222</v>
      </c>
      <c r="J7912" s="7" t="n">
        <f aca="false">Sens!J7837*(1-tax_f)/(Sens!J7824*(Sens!I7908+Sens!J7908)/2)</f>
        <v>0.155570128388075</v>
      </c>
      <c r="K7912" s="7" t="n">
        <f aca="false">Sens!K7837*(1-tax_f)/(Sens!K7824*(Sens!J7908+Sens!K7908)/2)</f>
        <v>0.172427697111622</v>
      </c>
    </row>
    <row r="7913" customFormat="false" ht="17.15" hidden="false" customHeight="false" outlineLevel="0" collapsed="false">
      <c r="A7913" s="0" t="s">
        <v>867</v>
      </c>
      <c r="B7913" s="0" t="s">
        <v>209</v>
      </c>
      <c r="F7913" s="7" t="n">
        <f aca="false">Sens!F7909-wacc</f>
        <v>-0.0396092261939423</v>
      </c>
      <c r="G7913" s="7" t="n">
        <f aca="false">Sens!G7909-wacc</f>
        <v>-0.0246247233464944</v>
      </c>
      <c r="H7913" s="7" t="n">
        <f aca="false">Sens!H7909-wacc</f>
        <v>-0.0143915051109101</v>
      </c>
      <c r="I7913" s="7" t="n">
        <f aca="false">Sens!I7909-wacc</f>
        <v>-0.00456485900361238</v>
      </c>
      <c r="J7913" s="7" t="n">
        <f aca="false">Sens!J7909-wacc</f>
        <v>0.00612822266337605</v>
      </c>
      <c r="K7913" s="7" t="n">
        <f aca="false">Sens!K7909-wacc</f>
        <v>0.0192630846198374</v>
      </c>
    </row>
    <row r="7914" customFormat="false" ht="17.15" hidden="false" customHeight="false" outlineLevel="0" collapsed="false">
      <c r="A7914" s="0" t="s">
        <v>868</v>
      </c>
      <c r="B7914" s="0" t="s">
        <v>98</v>
      </c>
      <c r="F7914" s="6" t="n">
        <f aca="false">Sens!F7907*(1-tax_f)-wacc*(Sens!E7908+Sens!F7908)/2</f>
        <v>-7.51939698117638</v>
      </c>
      <c r="G7914" s="6" t="n">
        <f aca="false">Sens!G7907*(1-tax_f)-wacc*(Sens!F7908+Sens!G7908)/2</f>
        <v>-7.76184573235162</v>
      </c>
      <c r="H7914" s="6" t="n">
        <f aca="false">Sens!H7907*(1-tax_f)-wacc*(Sens!G7908+Sens!H7908)/2</f>
        <v>-6.16372913361546</v>
      </c>
      <c r="I7914" s="6" t="n">
        <f aca="false">Sens!I7907*(1-tax_f)-wacc*(Sens!H7908+Sens!I7908)/2</f>
        <v>-2.30844691017934</v>
      </c>
      <c r="J7914" s="6" t="n">
        <f aca="false">Sens!J7907*(1-tax_f)-wacc*(Sens!I7908+Sens!J7908)/2</f>
        <v>3.25924324591036</v>
      </c>
      <c r="K7914" s="6" t="n">
        <f aca="false">Sens!K7907*(1-tax_f)-wacc*(Sens!J7908+Sens!K7908)/2</f>
        <v>10.0663303718843</v>
      </c>
    </row>
    <row r="7915" customFormat="false" ht="17.15" hidden="false" customHeight="false" outlineLevel="0" collapsed="false">
      <c r="A7915" s="3" t="s">
        <v>1465</v>
      </c>
    </row>
    <row r="7916" customFormat="false" ht="15" hidden="false" customHeight="false" outlineLevel="0" collapsed="false">
      <c r="A7916" s="4" t="s">
        <v>43</v>
      </c>
      <c r="B7916" s="4" t="s">
        <v>65</v>
      </c>
      <c r="C7916" s="20" t="s">
        <v>799</v>
      </c>
      <c r="D7916" s="20" t="s">
        <v>800</v>
      </c>
      <c r="E7916" s="20" t="s">
        <v>801</v>
      </c>
      <c r="F7916" s="20" t="s">
        <v>802</v>
      </c>
      <c r="G7916" s="20" t="s">
        <v>803</v>
      </c>
      <c r="H7916" s="20" t="s">
        <v>804</v>
      </c>
      <c r="I7916" s="20" t="s">
        <v>805</v>
      </c>
      <c r="J7916" s="20" t="s">
        <v>806</v>
      </c>
      <c r="K7916" s="20" t="s">
        <v>807</v>
      </c>
      <c r="L7916" s="4" t="s">
        <v>47</v>
      </c>
    </row>
    <row r="7917" customFormat="false" ht="15" hidden="false" customHeight="false" outlineLevel="0" collapsed="false">
      <c r="A7917" s="1" t="s">
        <v>925</v>
      </c>
      <c r="B7917" s="0" t="s">
        <v>98</v>
      </c>
      <c r="F7917" s="6" t="n">
        <f aca="false">Sens!F7898</f>
        <v>140.909139444569</v>
      </c>
      <c r="G7917" s="6" t="n">
        <f aca="false">Sens!G7898</f>
        <v>157.223099522246</v>
      </c>
      <c r="H7917" s="6" t="n">
        <f aca="false">Sens!H7898</f>
        <v>172.755113690858</v>
      </c>
      <c r="I7917" s="6" t="n">
        <f aca="false">Sens!I7898</f>
        <v>187.163593998655</v>
      </c>
      <c r="J7917" s="6" t="n">
        <f aca="false">Sens!J7898</f>
        <v>200.005096674157</v>
      </c>
      <c r="K7917" s="6" t="n">
        <f aca="false">Sens!K7898</f>
        <v>211.939278483227</v>
      </c>
    </row>
    <row r="7918" customFormat="false" ht="17.15" hidden="false" customHeight="false" outlineLevel="0" collapsed="false">
      <c r="A7918" s="1" t="s">
        <v>947</v>
      </c>
      <c r="B7918" s="0" t="s">
        <v>98</v>
      </c>
      <c r="E7918" s="6" t="n">
        <f aca="false">Q!M38-Sens!E7836</f>
        <v>22.2285940229167</v>
      </c>
      <c r="F7918" s="6" t="n">
        <f aca="false">Sens!E7918*(1-1/life_nonai)+(Sens!F7925+Sens!F7926)/life_nonai</f>
        <v>24.3924470334783</v>
      </c>
      <c r="G7918" s="6" t="n">
        <f aca="false">Sens!F7918*(1-1/life_nonai)+(Sens!G7925)/life_nonai</f>
        <v>26.0417422542762</v>
      </c>
      <c r="H7918" s="6" t="n">
        <f aca="false">Sens!G7918*(1-1/life_nonai)+(Sens!H7925)/life_nonai</f>
        <v>28.0559530212287</v>
      </c>
      <c r="I7918" s="6" t="n">
        <f aca="false">Sens!H7918*(1-1/life_nonai)+(Sens!I7925)/life_nonai</f>
        <v>30.3505625346871</v>
      </c>
      <c r="J7918" s="6" t="n">
        <f aca="false">Sens!I7918*(1-1/life_nonai)+(Sens!J7925)/life_nonai</f>
        <v>32.8236809877546</v>
      </c>
      <c r="K7918" s="6" t="n">
        <f aca="false">Sens!J7918*(1-1/life_nonai)+(Sens!K7925)/life_nonai</f>
        <v>35.3746593933638</v>
      </c>
      <c r="L7918" s="11" t="s">
        <v>948</v>
      </c>
    </row>
    <row r="7919" customFormat="false" ht="17.15" hidden="false" customHeight="false" outlineLevel="0" collapsed="false">
      <c r="A7919" s="1" t="s">
        <v>949</v>
      </c>
      <c r="B7919" s="0" t="s">
        <v>98</v>
      </c>
      <c r="F7919" s="6" t="n">
        <f aca="false">Sens!$F$7926/life_nonai*(1-1/life_nonai)^(Sens!F7802-2027)</f>
        <v>0.836190539250475</v>
      </c>
      <c r="G7919" s="6" t="n">
        <f aca="false">Sens!$F$7926/life_nonai*(1-1/life_nonai)^(Sens!G7802-2027)</f>
        <v>0.752571485325427</v>
      </c>
      <c r="H7919" s="6" t="n">
        <f aca="false">Sens!$F$7926/life_nonai*(1-1/life_nonai)^(Sens!H7802-2027)</f>
        <v>0.677314336792884</v>
      </c>
      <c r="I7919" s="6" t="n">
        <f aca="false">Sens!$F$7926/life_nonai*(1-1/life_nonai)^(Sens!I7802-2027)</f>
        <v>0.609582903113596</v>
      </c>
      <c r="J7919" s="6" t="n">
        <f aca="false">Sens!$F$7926/life_nonai*(1-1/life_nonai)^(Sens!J7802-2027)</f>
        <v>0.548624612802236</v>
      </c>
      <c r="K7919" s="6" t="n">
        <f aca="false">Sens!$F$7926/life_nonai*(1-1/life_nonai)^(Sens!K7802-2027)</f>
        <v>0.493762151522013</v>
      </c>
      <c r="L7919" s="1" t="s">
        <v>950</v>
      </c>
    </row>
    <row r="7920" customFormat="false" ht="17.15" hidden="false" customHeight="false" outlineLevel="0" collapsed="false">
      <c r="A7920" s="1" t="s">
        <v>951</v>
      </c>
      <c r="B7920" s="0" t="s">
        <v>98</v>
      </c>
      <c r="E7920" s="6" t="n">
        <f aca="false">Sens!E7836+Sens!E7918</f>
        <v>38.534</v>
      </c>
      <c r="F7920" s="6" t="n">
        <f aca="false">Sens!F7836+Sens!F7918</f>
        <v>58.4423344144339</v>
      </c>
      <c r="G7920" s="6" t="n">
        <f aca="false">Sens!G7836+Sens!G7918</f>
        <v>85.1671793647873</v>
      </c>
      <c r="H7920" s="6" t="n">
        <f aca="false">Sens!H7836+Sens!H7918</f>
        <v>114.41697286454</v>
      </c>
      <c r="I7920" s="6" t="n">
        <f aca="false">Sens!I7836+Sens!I7918</f>
        <v>140.95630636708</v>
      </c>
      <c r="J7920" s="6" t="n">
        <f aca="false">Sens!J7836+Sens!J7918</f>
        <v>160.822003840598</v>
      </c>
      <c r="K7920" s="6" t="n">
        <f aca="false">Sens!K7836+Sens!K7918</f>
        <v>174.506123437672</v>
      </c>
    </row>
    <row r="7921" customFormat="false" ht="17.15" hidden="false" customHeight="false" outlineLevel="0" collapsed="false">
      <c r="A7921" s="1" t="s">
        <v>952</v>
      </c>
      <c r="B7921" s="0" t="s">
        <v>98</v>
      </c>
      <c r="F7921" s="6" t="n">
        <f aca="false">Sens!F7863*sbc_r</f>
        <v>14.9170149201543</v>
      </c>
      <c r="G7921" s="6" t="n">
        <f aca="false">Sens!G7863*sbc_r</f>
        <v>17.7141127323134</v>
      </c>
      <c r="H7921" s="6" t="n">
        <f aca="false">Sens!H7863*sbc_r</f>
        <v>20.5467695957636</v>
      </c>
      <c r="I7921" s="6" t="n">
        <f aca="false">Sens!I7863*sbc_r</f>
        <v>23.115338051039</v>
      </c>
      <c r="J7921" s="6" t="n">
        <f aca="false">Sens!J7863*sbc_r</f>
        <v>25.1707280668546</v>
      </c>
      <c r="K7921" s="6" t="n">
        <f aca="false">Sens!K7863*sbc_r</f>
        <v>26.7761366489093</v>
      </c>
    </row>
    <row r="7922" customFormat="false" ht="17.15" hidden="false" customHeight="false" outlineLevel="0" collapsed="false">
      <c r="A7922" s="1" t="s">
        <v>953</v>
      </c>
      <c r="B7922" s="0" t="s">
        <v>98</v>
      </c>
      <c r="F7922" s="6" t="n">
        <f aca="false">wc27</f>
        <v>-4.895</v>
      </c>
      <c r="G7922" s="6" t="n">
        <f aca="false">wc_f</f>
        <v>0</v>
      </c>
      <c r="H7922" s="6" t="n">
        <f aca="false">wc_f</f>
        <v>0</v>
      </c>
      <c r="I7922" s="6" t="n">
        <f aca="false">wc_f</f>
        <v>0</v>
      </c>
      <c r="J7922" s="6" t="n">
        <f aca="false">wc_f</f>
        <v>0</v>
      </c>
      <c r="K7922" s="6" t="n">
        <f aca="false">wc_f</f>
        <v>0</v>
      </c>
      <c r="L7922" s="11" t="s">
        <v>954</v>
      </c>
    </row>
    <row r="7923" customFormat="false" ht="15" hidden="false" customHeight="false" outlineLevel="0" collapsed="false">
      <c r="A7923" s="1" t="s">
        <v>767</v>
      </c>
      <c r="B7923" s="0" t="s">
        <v>98</v>
      </c>
      <c r="E7923" s="6" t="n">
        <f aca="false">Q!M35</f>
        <v>182.935</v>
      </c>
      <c r="F7923" s="6" t="n">
        <f aca="false">Sens!F7917+Sens!F7920+Sens!F7921+Sens!F7922</f>
        <v>209.373488779157</v>
      </c>
      <c r="G7923" s="6" t="n">
        <f aca="false">Sens!G7917+Sens!G7920+Sens!G7921+Sens!G7922</f>
        <v>260.104391619347</v>
      </c>
      <c r="H7923" s="6" t="n">
        <f aca="false">Sens!H7917+Sens!H7920+Sens!H7921+Sens!H7922</f>
        <v>307.718856151161</v>
      </c>
      <c r="I7923" s="6" t="n">
        <f aca="false">Sens!I7917+Sens!I7920+Sens!I7921+Sens!I7922</f>
        <v>351.235238416774</v>
      </c>
      <c r="J7923" s="6" t="n">
        <f aca="false">Sens!J7917+Sens!J7920+Sens!J7921+Sens!J7922</f>
        <v>385.997828581609</v>
      </c>
      <c r="K7923" s="6" t="n">
        <f aca="false">Sens!K7917+Sens!K7920+Sens!K7921+Sens!K7922</f>
        <v>413.221538569808</v>
      </c>
    </row>
    <row r="7924" customFormat="false" ht="17.15" hidden="false" customHeight="false" outlineLevel="0" collapsed="false">
      <c r="A7924" s="0" t="s">
        <v>955</v>
      </c>
      <c r="B7924" s="0" t="s">
        <v>98</v>
      </c>
      <c r="F7924" s="6" t="n">
        <f aca="false">Sens!F7833</f>
        <v>160.332875871467</v>
      </c>
      <c r="G7924" s="6" t="n">
        <f aca="false">Sens!G7833</f>
        <v>183.5741804832</v>
      </c>
      <c r="H7924" s="6" t="n">
        <f aca="false">Sens!H7833</f>
        <v>188.0802859104</v>
      </c>
      <c r="I7924" s="6" t="n">
        <f aca="false">Sens!I7833</f>
        <v>163.706669154245</v>
      </c>
      <c r="J7924" s="6" t="n">
        <f aca="false">Sens!J7833</f>
        <v>127.181436594242</v>
      </c>
      <c r="K7924" s="6" t="n">
        <f aca="false">Sens!K7833</f>
        <v>121.407415303591</v>
      </c>
    </row>
    <row r="7925" customFormat="false" ht="17.15" hidden="false" customHeight="false" outlineLevel="0" collapsed="false">
      <c r="A7925" s="1" t="s">
        <v>956</v>
      </c>
      <c r="B7925" s="0" t="s">
        <v>98</v>
      </c>
      <c r="E7925" s="6" t="n">
        <f aca="false">Sens!E7841*cx_azo+Sens!E7848*cx_m365+Sens!E7849*cx_lic+(Sens!E7851+Sens!E7853)*cx_ind+Sens!E7856*cx_srch+(Sens!E7858+Sens!E7860)*cx_dev</f>
        <v>30.1846587067718</v>
      </c>
      <c r="F7925" s="6" t="n">
        <f aca="false">Sens!F7841*cx_azo+Sens!F7848*cx_m365+Sens!F7849*cx_lic+(Sens!F7851+Sens!F7853)*cx_ind+Sens!F7856*cx_srch+(Sens!F7858+Sens!F7860)*cx_dev</f>
        <v>35.5052187360286</v>
      </c>
      <c r="G7925" s="6" t="n">
        <f aca="false">Sens!G7841*cx_azo+Sens!G7848*cx_m365+Sens!G7849*cx_lic+(Sens!G7851+Sens!G7853)*cx_ind+Sens!G7856*cx_srch+(Sens!G7858+Sens!G7860)*cx_dev</f>
        <v>40.8853992414566</v>
      </c>
      <c r="H7925" s="6" t="n">
        <f aca="false">Sens!H7841*cx_azo+Sens!H7848*cx_m365+Sens!H7849*cx_lic+(Sens!H7851+Sens!H7853)*cx_ind+Sens!H7856*cx_srch+(Sens!H7858+Sens!H7860)*cx_dev</f>
        <v>46.1838499238012</v>
      </c>
      <c r="I7925" s="6" t="n">
        <f aca="false">Sens!I7841*cx_azo+Sens!I7848*cx_m365+Sens!I7849*cx_lic+(Sens!I7851+Sens!I7853)*cx_ind+Sens!I7856*cx_srch+(Sens!I7858+Sens!I7860)*cx_dev</f>
        <v>51.0020481558128</v>
      </c>
      <c r="J7925" s="6" t="n">
        <f aca="false">Sens!J7841*cx_azo+Sens!J7848*cx_m365+Sens!J7849*cx_lic+(Sens!J7851+Sens!J7853)*cx_ind+Sens!J7856*cx_srch+(Sens!J7858+Sens!J7860)*cx_dev</f>
        <v>55.0817470653624</v>
      </c>
      <c r="K7925" s="6" t="n">
        <f aca="false">Sens!K7841*cx_azo+Sens!K7848*cx_m365+Sens!K7849*cx_lic+(Sens!K7851+Sens!K7853)*cx_ind+Sens!K7856*cx_srch+(Sens!K7858+Sens!K7860)*cx_dev</f>
        <v>58.333465043846</v>
      </c>
    </row>
    <row r="7926" customFormat="false" ht="17.15" hidden="false" customHeight="false" outlineLevel="0" collapsed="false">
      <c r="A7926" s="0" t="s">
        <v>957</v>
      </c>
      <c r="B7926" s="0" t="s">
        <v>98</v>
      </c>
      <c r="F7926" s="6" t="n">
        <f aca="false">Sens!F7831</f>
        <v>8.36190539250475</v>
      </c>
      <c r="L7926" s="1" t="s">
        <v>958</v>
      </c>
    </row>
    <row r="7927" customFormat="false" ht="17.15" hidden="false" customHeight="false" outlineLevel="0" collapsed="false">
      <c r="A7927" s="1" t="s">
        <v>959</v>
      </c>
      <c r="B7927" s="0" t="s">
        <v>98</v>
      </c>
      <c r="E7927" s="6" t="n">
        <f aca="false">Q!M42</f>
        <v>145.3</v>
      </c>
      <c r="F7927" s="6" t="n">
        <f aca="false">Sens!F7924+Sens!F7925+Sens!F7926</f>
        <v>204.2</v>
      </c>
      <c r="G7927" s="6" t="n">
        <f aca="false">Sens!G7924+Sens!G7925</f>
        <v>224.459579724657</v>
      </c>
      <c r="H7927" s="6" t="n">
        <f aca="false">Sens!H7924+Sens!H7925</f>
        <v>234.264135834201</v>
      </c>
      <c r="I7927" s="6" t="n">
        <f aca="false">Sens!I7924+Sens!I7925</f>
        <v>214.708717310058</v>
      </c>
      <c r="J7927" s="6" t="n">
        <f aca="false">Sens!J7924+Sens!J7925</f>
        <v>182.263183659605</v>
      </c>
      <c r="K7927" s="6" t="n">
        <f aca="false">Sens!K7924+Sens!K7925</f>
        <v>179.740880347437</v>
      </c>
      <c r="L7927" s="1" t="s">
        <v>960</v>
      </c>
    </row>
    <row r="7928" customFormat="false" ht="15" hidden="false" customHeight="false" outlineLevel="0" collapsed="false">
      <c r="A7928" s="1" t="s">
        <v>961</v>
      </c>
      <c r="B7928" s="0" t="s">
        <v>98</v>
      </c>
      <c r="E7928" s="6" t="n">
        <f aca="false">fl_liab</f>
        <v>66.594</v>
      </c>
      <c r="F7928" s="6" t="n">
        <f aca="false">Sens!E7928-Sens!F7929</f>
        <v>62.46973</v>
      </c>
      <c r="G7928" s="6" t="n">
        <f aca="false">Sens!F7928-Sens!G7929</f>
        <v>57.98686785</v>
      </c>
      <c r="H7928" s="6" t="n">
        <f aca="false">Sens!G7928-Sens!H7929</f>
        <v>53.92827690325</v>
      </c>
      <c r="I7928" s="6" t="n">
        <f aca="false">Sens!H7928-Sens!I7929</f>
        <v>49.7850493638962</v>
      </c>
      <c r="J7928" s="6" t="n">
        <f aca="false">Sens!I7928-Sens!J7929</f>
        <v>45.4823765852716</v>
      </c>
      <c r="K7928" s="6" t="n">
        <f aca="false">Sens!J7928-Sens!K7929</f>
        <v>40.9860835316088</v>
      </c>
    </row>
    <row r="7929" customFormat="false" ht="15" hidden="false" customHeight="false" outlineLevel="0" collapsed="false">
      <c r="A7929" s="1" t="s">
        <v>962</v>
      </c>
      <c r="B7929" s="0" t="s">
        <v>98</v>
      </c>
      <c r="F7929" s="6" t="n">
        <f aca="false">fl_pay_27-Sens!E7928*fl_rate</f>
        <v>4.12427</v>
      </c>
      <c r="G7929" s="6" t="n">
        <f aca="false">fl_pay_28-Sens!F7928*fl_rate</f>
        <v>4.48286215</v>
      </c>
      <c r="H7929" s="6" t="n">
        <f aca="false">fl_pay_29-Sens!G7928*fl_rate</f>
        <v>4.05859094675</v>
      </c>
      <c r="I7929" s="6" t="n">
        <f aca="false">fl_pay_30-Sens!H7928*fl_rate</f>
        <v>4.14322753935375</v>
      </c>
      <c r="J7929" s="6" t="n">
        <f aca="false">fl_pay_31-Sens!I7928*fl_rate</f>
        <v>4.30267277862467</v>
      </c>
      <c r="K7929" s="6" t="n">
        <f aca="false">fl_pay_32-Sens!J7928*fl_rate</f>
        <v>4.49629305366278</v>
      </c>
    </row>
    <row r="7930" customFormat="false" ht="17.15" hidden="false" customHeight="false" outlineLevel="0" collapsed="false">
      <c r="A7930" s="1" t="s">
        <v>963</v>
      </c>
      <c r="B7930" s="0" t="s">
        <v>98</v>
      </c>
      <c r="E7930" s="6" t="n">
        <f aca="false">Q!M35-Q!M36-Q!M43</f>
        <v>63.886</v>
      </c>
      <c r="F7930" s="6" t="n">
        <f aca="false">Sens!F7923-Sens!F7927-Sens!F7929</f>
        <v>1.04921877915717</v>
      </c>
      <c r="G7930" s="6" t="n">
        <f aca="false">Sens!G7923-Sens!G7927-Sens!G7929</f>
        <v>31.1619497446905</v>
      </c>
      <c r="H7930" s="6" t="n">
        <f aca="false">Sens!H7923-Sens!H7927-Sens!H7929</f>
        <v>69.3961293702101</v>
      </c>
      <c r="I7930" s="6" t="n">
        <f aca="false">Sens!I7923-Sens!I7927-Sens!I7929</f>
        <v>132.383293567362</v>
      </c>
      <c r="J7930" s="6" t="n">
        <f aca="false">Sens!J7923-Sens!J7927-Sens!J7929</f>
        <v>199.43197214338</v>
      </c>
      <c r="K7930" s="6" t="n">
        <f aca="false">Sens!K7923-Sens!K7927-Sens!K7929</f>
        <v>228.984365168709</v>
      </c>
      <c r="L7930" s="11" t="s">
        <v>964</v>
      </c>
    </row>
    <row r="7931" customFormat="false" ht="15" hidden="false" customHeight="false" outlineLevel="0" collapsed="false">
      <c r="A7931" s="1" t="s">
        <v>965</v>
      </c>
      <c r="B7931" s="0" t="s">
        <v>75</v>
      </c>
      <c r="F7931" s="8" t="n">
        <f aca="false">dps_27</f>
        <v>3.85</v>
      </c>
      <c r="G7931" s="8" t="n">
        <f aca="false">Sens!F7931*(1+dps_g)</f>
        <v>4.158</v>
      </c>
      <c r="H7931" s="8" t="n">
        <f aca="false">Sens!G7931*(1+dps_g)</f>
        <v>4.49064</v>
      </c>
      <c r="I7931" s="8" t="n">
        <f aca="false">Sens!H7931*(1+dps_g)</f>
        <v>4.8498912</v>
      </c>
      <c r="J7931" s="8" t="n">
        <f aca="false">Sens!I7931*(1+dps_g)</f>
        <v>5.237882496</v>
      </c>
      <c r="K7931" s="8" t="n">
        <f aca="false">Sens!J7931*(1+dps_g)</f>
        <v>5.65691309568</v>
      </c>
    </row>
    <row r="7932" customFormat="false" ht="17.15" hidden="false" customHeight="false" outlineLevel="0" collapsed="false">
      <c r="A7932" s="1" t="s">
        <v>966</v>
      </c>
      <c r="B7932" s="0" t="s">
        <v>98</v>
      </c>
      <c r="E7932" s="6" t="n">
        <f aca="false">Q!M41</f>
        <v>26.445</v>
      </c>
      <c r="F7932" s="6" t="n">
        <f aca="false">Sens!F7931*Sens!E7941</f>
        <v>28.59395</v>
      </c>
      <c r="G7932" s="6" t="n">
        <f aca="false">Sens!G7931*Sens!F7941</f>
        <v>31.068576</v>
      </c>
      <c r="H7932" s="6" t="n">
        <f aca="false">Sens!H7931*Sens!G7941</f>
        <v>33.7554394308046</v>
      </c>
      <c r="I7932" s="6" t="n">
        <f aca="false">Sens!I7931*Sens!H7941</f>
        <v>36.5068138252684</v>
      </c>
      <c r="J7932" s="6" t="n">
        <f aca="false">Sens!J7931*Sens!I7941</f>
        <v>39.4957577796094</v>
      </c>
      <c r="K7932" s="6" t="n">
        <f aca="false">Sens!K7931*Sens!J7941</f>
        <v>42.7426736272831</v>
      </c>
      <c r="L7932" s="1" t="s">
        <v>967</v>
      </c>
    </row>
    <row r="7933" customFormat="false" ht="15" hidden="false" customHeight="false" outlineLevel="0" collapsed="false">
      <c r="A7933" s="1" t="s">
        <v>968</v>
      </c>
      <c r="B7933" s="0" t="s">
        <v>98</v>
      </c>
      <c r="E7933" s="6" t="n">
        <f aca="false">Sens!E7930-Sens!E7932</f>
        <v>37.441</v>
      </c>
      <c r="F7933" s="6" t="n">
        <f aca="false">Sens!F7930-Sens!F7932</f>
        <v>-27.5447312208428</v>
      </c>
      <c r="G7933" s="6" t="n">
        <f aca="false">Sens!G7930-Sens!G7932</f>
        <v>0.0933737446904637</v>
      </c>
      <c r="H7933" s="6" t="n">
        <f aca="false">Sens!H7930-Sens!H7932</f>
        <v>35.6406899394055</v>
      </c>
      <c r="I7933" s="6" t="n">
        <f aca="false">Sens!I7930-Sens!I7932</f>
        <v>95.8764797420931</v>
      </c>
      <c r="J7933" s="6" t="n">
        <f aca="false">Sens!J7930-Sens!J7932</f>
        <v>159.936214363771</v>
      </c>
      <c r="K7933" s="6" t="n">
        <f aca="false">Sens!K7930-Sens!K7932</f>
        <v>186.241691541426</v>
      </c>
    </row>
    <row r="7934" customFormat="false" ht="15" hidden="false" customHeight="false" outlineLevel="0" collapsed="false">
      <c r="A7934" s="1" t="s">
        <v>969</v>
      </c>
      <c r="B7934" s="0" t="s">
        <v>98</v>
      </c>
      <c r="F7934" s="6" t="n">
        <f aca="false">debt_mat_27</f>
        <v>9.25</v>
      </c>
      <c r="G7934" s="6" t="n">
        <f aca="false">debt_mat_28</f>
        <v>0</v>
      </c>
      <c r="H7934" s="6" t="n">
        <f aca="false">debt_mat_29</f>
        <v>2.001</v>
      </c>
      <c r="I7934" s="6" t="n">
        <f aca="false">debt_mat_30</f>
        <v>0</v>
      </c>
      <c r="J7934" s="6" t="n">
        <f aca="false">debt_mat_31</f>
        <v>0.5</v>
      </c>
      <c r="K7934" s="6" t="n">
        <f aca="false">debt_mat_32</f>
        <v>0</v>
      </c>
    </row>
    <row r="7935" customFormat="false" ht="15" hidden="false" customHeight="false" outlineLevel="0" collapsed="false">
      <c r="A7935" s="1" t="s">
        <v>970</v>
      </c>
      <c r="B7935" s="0" t="s">
        <v>98</v>
      </c>
      <c r="E7935" s="6" t="n">
        <f aca="false">Q!M40</f>
        <v>22.271</v>
      </c>
      <c r="F7935" s="6" t="n">
        <f aca="false">MAX(0,MIN(bb_target,Sens!E7937+Sens!F7933-Sens!F7934-min_cash))</f>
        <v>0</v>
      </c>
      <c r="G7935" s="6" t="n">
        <f aca="false">MAX(0,MIN(bb_target,Sens!F7937+Sens!G7933-Sens!G7934-min_cash))</f>
        <v>0.0933737446904672</v>
      </c>
      <c r="H7935" s="6" t="n">
        <f aca="false">MAX(0,MIN(bb_target,Sens!G7937+Sens!H7933-Sens!H7934-min_cash))</f>
        <v>22.271</v>
      </c>
      <c r="I7935" s="6" t="n">
        <f aca="false">MAX(0,MIN(bb_target,Sens!H7937+Sens!I7933-Sens!I7934-min_cash))</f>
        <v>22.271</v>
      </c>
      <c r="J7935" s="6" t="n">
        <f aca="false">MAX(0,MIN(bb_target,Sens!I7937+Sens!J7933-Sens!J7934-min_cash))</f>
        <v>22.271</v>
      </c>
      <c r="K7935" s="6" t="n">
        <f aca="false">MAX(0,MIN(bb_target,Sens!J7937+Sens!K7933-Sens!K7934-min_cash))</f>
        <v>22.271</v>
      </c>
    </row>
    <row r="7936" customFormat="false" ht="15" hidden="false" customHeight="false" outlineLevel="0" collapsed="false">
      <c r="A7936" s="1" t="s">
        <v>971</v>
      </c>
      <c r="B7936" s="0" t="s">
        <v>98</v>
      </c>
      <c r="F7936" s="6" t="n">
        <f aca="false">MAX(0,min_cash-(Sens!E7937+Sens!F7933-Sens!F7934-Sens!F7935))</f>
        <v>9.95173122084283</v>
      </c>
      <c r="G7936" s="6" t="n">
        <f aca="false">MAX(0,min_cash-(Sens!F7937+Sens!G7933-Sens!G7934-Sens!G7935))</f>
        <v>0</v>
      </c>
      <c r="H7936" s="6" t="n">
        <f aca="false">MAX(0,min_cash-(Sens!G7937+Sens!H7933-Sens!H7934-Sens!H7935))</f>
        <v>0</v>
      </c>
      <c r="I7936" s="6" t="n">
        <f aca="false">MAX(0,min_cash-(Sens!H7937+Sens!I7933-Sens!I7934-Sens!I7935))</f>
        <v>0</v>
      </c>
      <c r="J7936" s="6" t="n">
        <f aca="false">MAX(0,min_cash-(Sens!I7937+Sens!J7933-Sens!J7934-Sens!J7935))</f>
        <v>0</v>
      </c>
      <c r="K7936" s="6" t="n">
        <f aca="false">MAX(0,min_cash-(Sens!J7937+Sens!K7933-Sens!K7934-Sens!K7935))</f>
        <v>0</v>
      </c>
    </row>
    <row r="7937" customFormat="false" ht="15" hidden="false" customHeight="false" outlineLevel="0" collapsed="false">
      <c r="A7937" s="1" t="s">
        <v>972</v>
      </c>
      <c r="B7937" s="0" t="s">
        <v>98</v>
      </c>
      <c r="E7937" s="6" t="n">
        <f aca="false">cash_open</f>
        <v>76.843</v>
      </c>
      <c r="F7937" s="6" t="n">
        <f aca="false">Sens!E7937+Sens!F7933-Sens!F7934-Sens!F7935+Sens!F7936</f>
        <v>50</v>
      </c>
      <c r="G7937" s="6" t="n">
        <f aca="false">Sens!F7937+Sens!G7933-Sens!G7934-Sens!G7935+Sens!G7936</f>
        <v>50</v>
      </c>
      <c r="H7937" s="6" t="n">
        <f aca="false">Sens!G7937+Sens!H7933-Sens!H7934-Sens!H7935+Sens!H7936</f>
        <v>61.3686899394055</v>
      </c>
      <c r="I7937" s="6" t="n">
        <f aca="false">Sens!H7937+Sens!I7933-Sens!I7934-Sens!I7935+Sens!I7936</f>
        <v>134.974169681499</v>
      </c>
      <c r="J7937" s="6" t="n">
        <f aca="false">Sens!I7937+Sens!J7933-Sens!J7934-Sens!J7935+Sens!J7936</f>
        <v>272.139384045269</v>
      </c>
      <c r="K7937" s="6" t="n">
        <f aca="false">Sens!J7937+Sens!K7933-Sens!K7934-Sens!K7935+Sens!K7936</f>
        <v>436.110075586695</v>
      </c>
    </row>
    <row r="7938" customFormat="false" ht="15" hidden="false" customHeight="false" outlineLevel="0" collapsed="false">
      <c r="A7938" s="1" t="s">
        <v>973</v>
      </c>
      <c r="B7938" s="0" t="s">
        <v>98</v>
      </c>
      <c r="E7938" s="6" t="n">
        <f aca="false">debt_face</f>
        <v>46.136</v>
      </c>
      <c r="F7938" s="6" t="n">
        <f aca="false">Sens!E7938-Sens!F7934+Sens!F7936</f>
        <v>46.8377312208428</v>
      </c>
      <c r="G7938" s="6" t="n">
        <f aca="false">Sens!F7938-Sens!G7934+Sens!G7936</f>
        <v>46.8377312208428</v>
      </c>
      <c r="H7938" s="6" t="n">
        <f aca="false">Sens!G7938-Sens!H7934+Sens!H7936</f>
        <v>44.8367312208428</v>
      </c>
      <c r="I7938" s="6" t="n">
        <f aca="false">Sens!H7938-Sens!I7934+Sens!I7936</f>
        <v>44.8367312208428</v>
      </c>
      <c r="J7938" s="6" t="n">
        <f aca="false">Sens!I7938-Sens!J7934+Sens!J7936</f>
        <v>44.3367312208428</v>
      </c>
      <c r="K7938" s="6" t="n">
        <f aca="false">Sens!J7938-Sens!K7934+Sens!K7936</f>
        <v>44.3367312208428</v>
      </c>
    </row>
    <row r="7939" customFormat="false" ht="15" hidden="false" customHeight="false" outlineLevel="0" collapsed="false">
      <c r="A7939" s="1" t="s">
        <v>974</v>
      </c>
      <c r="B7939" s="0" t="s">
        <v>98</v>
      </c>
      <c r="E7939" s="6" t="n">
        <f aca="false">Sens!E7937-Sens!E7938</f>
        <v>30.707</v>
      </c>
      <c r="F7939" s="6" t="n">
        <f aca="false">Sens!F7937-Sens!F7938</f>
        <v>3.16226877915717</v>
      </c>
      <c r="G7939" s="6" t="n">
        <f aca="false">Sens!G7937-Sens!G7938</f>
        <v>3.16226877915717</v>
      </c>
      <c r="H7939" s="6" t="n">
        <f aca="false">Sens!H7937-Sens!H7938</f>
        <v>16.5319587185627</v>
      </c>
      <c r="I7939" s="6" t="n">
        <f aca="false">Sens!I7937-Sens!I7938</f>
        <v>90.1374384606558</v>
      </c>
      <c r="J7939" s="6" t="n">
        <f aca="false">Sens!J7937-Sens!J7938</f>
        <v>227.802652824426</v>
      </c>
      <c r="K7939" s="6" t="n">
        <f aca="false">Sens!K7937-Sens!K7938</f>
        <v>391.773344365852</v>
      </c>
    </row>
    <row r="7940" customFormat="false" ht="15" hidden="false" customHeight="false" outlineLevel="0" collapsed="false">
      <c r="A7940" s="1" t="s">
        <v>975</v>
      </c>
      <c r="B7940" s="0" t="s">
        <v>75</v>
      </c>
      <c r="F7940" s="29" t="n">
        <f aca="false">px*(1+bb_g)^(Sens!F7802-base_fy-mid_yr)</f>
        <v>553.494156066711</v>
      </c>
      <c r="G7940" s="29" t="n">
        <f aca="false">px*(1+bb_g)^(Sens!G7802-base_fy-mid_yr)</f>
        <v>597.773688552047</v>
      </c>
      <c r="H7940" s="29" t="n">
        <f aca="false">px*(1+bb_g)^(Sens!H7802-base_fy-mid_yr)</f>
        <v>645.595583636211</v>
      </c>
      <c r="I7940" s="29" t="n">
        <f aca="false">px*(1+bb_g)^(Sens!I7802-base_fy-mid_yr)</f>
        <v>697.243230327108</v>
      </c>
      <c r="J7940" s="29" t="n">
        <f aca="false">px*(1+bb_g)^(Sens!J7802-base_fy-mid_yr)</f>
        <v>753.022688753277</v>
      </c>
      <c r="K7940" s="29" t="n">
        <f aca="false">px*(1+bb_g)^(Sens!K7802-base_fy-mid_yr)</f>
        <v>813.264503853539</v>
      </c>
    </row>
    <row r="7941" customFormat="false" ht="15" hidden="false" customHeight="false" outlineLevel="0" collapsed="false">
      <c r="A7941" s="1" t="s">
        <v>976</v>
      </c>
      <c r="B7941" s="1" t="s">
        <v>81</v>
      </c>
      <c r="E7941" s="14" t="n">
        <f aca="false">sh_out26</f>
        <v>7.427</v>
      </c>
      <c r="F7941" s="14" t="n">
        <f aca="false">Sens!E7941+sh_iss-Sens!F7935/Sens!F7940</f>
        <v>7.472</v>
      </c>
      <c r="G7941" s="14" t="n">
        <f aca="false">Sens!F7941+sh_iss-Sens!G7935/Sens!G7940</f>
        <v>7.51684379749983</v>
      </c>
      <c r="H7941" s="14" t="n">
        <f aca="false">Sens!G7941+sh_iss-Sens!H7935/Sens!H7940</f>
        <v>7.52734696919973</v>
      </c>
      <c r="I7941" s="14" t="n">
        <f aca="false">Sens!H7941+sh_iss-Sens!I7935/Sens!I7940</f>
        <v>7.54040546151445</v>
      </c>
      <c r="J7941" s="14" t="n">
        <f aca="false">Sens!I7941+sh_iss-Sens!J7935/Sens!J7940</f>
        <v>7.55582999143549</v>
      </c>
      <c r="K7941" s="14" t="n">
        <f aca="false">Sens!J7941+sh_iss-Sens!K7935/Sens!K7940</f>
        <v>7.57344529691794</v>
      </c>
    </row>
    <row r="7942" customFormat="false" ht="15" hidden="false" customHeight="false" outlineLevel="0" collapsed="false">
      <c r="A7942" s="1" t="s">
        <v>977</v>
      </c>
      <c r="B7942" s="1" t="s">
        <v>81</v>
      </c>
      <c r="E7942" s="14" t="n">
        <f aca="false">sh_dil26</f>
        <v>7.453</v>
      </c>
      <c r="F7942" s="14" t="n">
        <f aca="false">(Sens!E7941+Sens!F7941)/2+dil_gap</f>
        <v>7.4735</v>
      </c>
      <c r="G7942" s="14" t="n">
        <f aca="false">(Sens!F7941+Sens!G7941)/2+dil_gap</f>
        <v>7.51842189874991</v>
      </c>
      <c r="H7942" s="14" t="n">
        <f aca="false">(Sens!G7941+Sens!H7941)/2+dil_gap</f>
        <v>7.54609538334978</v>
      </c>
      <c r="I7942" s="14" t="n">
        <f aca="false">(Sens!H7941+Sens!I7941)/2+dil_gap</f>
        <v>7.55787621535709</v>
      </c>
      <c r="J7942" s="14" t="n">
        <f aca="false">(Sens!I7941+Sens!J7941)/2+dil_gap</f>
        <v>7.57211772647497</v>
      </c>
      <c r="K7942" s="14" t="n">
        <f aca="false">(Sens!J7941+Sens!K7941)/2+dil_gap</f>
        <v>7.58863764417672</v>
      </c>
    </row>
    <row r="7943" customFormat="false" ht="17.15" hidden="false" customHeight="false" outlineLevel="0" collapsed="false">
      <c r="A7943" s="1" t="s">
        <v>978</v>
      </c>
      <c r="B7943" s="0" t="s">
        <v>98</v>
      </c>
      <c r="C7943" s="6" t="n">
        <f aca="false">SUM(Sens!F7933:J7933)</f>
        <v>264.002026569117</v>
      </c>
    </row>
    <row r="7944" customFormat="false" ht="15" hidden="false" customHeight="false" outlineLevel="0" collapsed="false">
      <c r="A7944" s="23" t="s">
        <v>945</v>
      </c>
      <c r="B7944" s="30" t="s">
        <v>98</v>
      </c>
      <c r="C7944" s="24" t="n">
        <f aca="false">Sens!$C$7943-(Sens!F7933+Sens!G7933+Sens!H7933+Sens!I7933+Sens!J7933)</f>
        <v>0</v>
      </c>
      <c r="D7944" s="30"/>
      <c r="E7944" s="30"/>
      <c r="F7944" s="30"/>
      <c r="G7944" s="30"/>
      <c r="H7944" s="30"/>
      <c r="I7944" s="30"/>
      <c r="J7944" s="30"/>
      <c r="K7944" s="30"/>
    </row>
    <row r="7945" customFormat="false" ht="17.15" hidden="false" customHeight="false" outlineLevel="0" collapsed="false">
      <c r="A7945" s="1" t="s">
        <v>939</v>
      </c>
      <c r="B7945" s="1" t="s">
        <v>979</v>
      </c>
      <c r="C7945" s="32" t="str">
        <f aca="false">IF(SUM(Sens!F7936:J7936)&gt;0.05,"需要舉債 "&amp;TEXT(SUM(Sens!F7936:J7936),"0.0")&amp;" 十億美元","不需舉債")&amp;"；"&amp;IF(SUM(Sens!F7935:J7935)&lt;COUNT(Sens!F7935:J7935)*bb_target-0.05,"回購較每年 "&amp;TEXT(bb_target,"0.0")&amp;" 的目標少 "&amp;TEXT(COUNT(Sens!F7935:J7935)*bb_target-SUM(Sens!F7935:J7935),"0.0")&amp;" 十億美元（"&amp;TEXT(COUNTIF(Sens!F7935:J7935,"&lt;"&amp;(bb_target-0.05)),"0")&amp;" 年減少）","回購不減")</f>
        <v>需要舉債 10.0 十億美元；回購較每年 22.3 的目標少 44.4 十億美元（2 年減少）</v>
      </c>
    </row>
    <row r="7946" customFormat="false" ht="17.15" hidden="false" customHeight="false" outlineLevel="0" collapsed="false">
      <c r="A7946" s="3" t="s">
        <v>1466</v>
      </c>
    </row>
    <row r="7947" customFormat="false" ht="15" hidden="false" customHeight="false" outlineLevel="0" collapsed="false">
      <c r="A7947" s="4" t="s">
        <v>43</v>
      </c>
      <c r="B7947" s="4" t="s">
        <v>65</v>
      </c>
      <c r="C7947" s="20" t="s">
        <v>799</v>
      </c>
      <c r="D7947" s="20" t="s">
        <v>800</v>
      </c>
      <c r="E7947" s="20" t="s">
        <v>801</v>
      </c>
      <c r="F7947" s="20" t="s">
        <v>802</v>
      </c>
      <c r="G7947" s="20" t="s">
        <v>803</v>
      </c>
      <c r="H7947" s="20" t="s">
        <v>804</v>
      </c>
      <c r="I7947" s="20" t="s">
        <v>805</v>
      </c>
      <c r="J7947" s="20" t="s">
        <v>806</v>
      </c>
      <c r="K7947" s="20" t="s">
        <v>807</v>
      </c>
      <c r="L7947" s="4" t="s">
        <v>47</v>
      </c>
    </row>
    <row r="7948" customFormat="false" ht="15" hidden="false" customHeight="false" outlineLevel="0" collapsed="false">
      <c r="A7948" s="1" t="s">
        <v>1057</v>
      </c>
      <c r="B7948" s="1" t="s">
        <v>235</v>
      </c>
      <c r="F7948" s="36" t="n">
        <f aca="false">Sens!F7802-base_fy-mid_yr</f>
        <v>0.5</v>
      </c>
      <c r="G7948" s="36" t="n">
        <f aca="false">Sens!G7802-base_fy-mid_yr</f>
        <v>1.5</v>
      </c>
      <c r="H7948" s="36" t="n">
        <f aca="false">Sens!H7802-base_fy-mid_yr</f>
        <v>2.5</v>
      </c>
      <c r="I7948" s="36" t="n">
        <f aca="false">Sens!I7802-base_fy-mid_yr</f>
        <v>3.5</v>
      </c>
      <c r="J7948" s="36" t="n">
        <f aca="false">Sens!J7802-base_fy-mid_yr</f>
        <v>4.5</v>
      </c>
      <c r="K7948" s="36" t="n">
        <f aca="false">Sens!K7802-base_fy-mid_yr</f>
        <v>5.5</v>
      </c>
    </row>
    <row r="7949" customFormat="false" ht="15" hidden="false" customHeight="false" outlineLevel="0" collapsed="false">
      <c r="A7949" s="1" t="s">
        <v>1058</v>
      </c>
      <c r="B7949" s="0" t="s">
        <v>185</v>
      </c>
      <c r="F7949" s="14" t="n">
        <f aca="false">1/(1+wacc)^Sens!F7948</f>
        <v>0.952193373608246</v>
      </c>
      <c r="G7949" s="14" t="n">
        <f aca="false">1/(1+wacc)^Sens!G7948</f>
        <v>0.863327280626589</v>
      </c>
      <c r="H7949" s="14" t="n">
        <f aca="false">1/(1+wacc)^Sens!H7948</f>
        <v>0.782754862754115</v>
      </c>
      <c r="I7949" s="14" t="n">
        <f aca="false">1/(1+wacc)^Sens!I7948</f>
        <v>0.709702089711011</v>
      </c>
      <c r="J7949" s="14" t="n">
        <f aca="false">1/(1+wacc)^Sens!J7948</f>
        <v>0.643467169744551</v>
      </c>
      <c r="K7949" s="14" t="n">
        <f aca="false">1/(1+wacc)^Sens!K7948</f>
        <v>0.583413807767797</v>
      </c>
    </row>
    <row r="7950" customFormat="false" ht="17.15" hidden="false" customHeight="false" outlineLevel="0" collapsed="false">
      <c r="A7950" s="1" t="s">
        <v>1059</v>
      </c>
      <c r="B7950" s="0" t="s">
        <v>98</v>
      </c>
      <c r="F7950" s="6" t="n">
        <f aca="false">Sens!F7923-Sens!F7921-Sens!F7927+Sens!F7906*(1-tax_f)</f>
        <v>-2.30438976183291</v>
      </c>
      <c r="G7950" s="6" t="n">
        <f aca="false">Sens!G7923-Sens!G7921-Sens!G7927+Sens!G7906*(1-tax_f)</f>
        <v>37.0784034509396</v>
      </c>
      <c r="H7950" s="6" t="n">
        <f aca="false">Sens!H7923-Sens!H7921-Sens!H7927+Sens!H7906*(1-tax_f)</f>
        <v>84.9914060795748</v>
      </c>
      <c r="I7950" s="6" t="n">
        <f aca="false">Sens!I7923-Sens!I7921-Sens!I7927+Sens!I7906*(1-tax_f)</f>
        <v>157.359997711925</v>
      </c>
      <c r="J7950" s="6" t="n">
        <f aca="false">Sens!J7923-Sens!J7921-Sens!J7927+Sens!J7906*(1-tax_f)</f>
        <v>230.928350664203</v>
      </c>
      <c r="K7950" s="6" t="n">
        <f aca="false">Sens!K7923-Sens!K7921-Sens!K7927+Sens!K7906*(1-tax_f)</f>
        <v>263.903894376165</v>
      </c>
      <c r="L7950" s="1" t="s">
        <v>1060</v>
      </c>
    </row>
    <row r="7951" customFormat="false" ht="15" hidden="false" customHeight="false" outlineLevel="0" collapsed="false">
      <c r="A7951" s="1" t="s">
        <v>1061</v>
      </c>
      <c r="B7951" s="0" t="s">
        <v>98</v>
      </c>
      <c r="F7951" s="6" t="n">
        <f aca="false">Sens!F7950*Sens!F7949</f>
        <v>-2.19422466142798</v>
      </c>
      <c r="G7951" s="6" t="n">
        <f aca="false">Sens!G7950*Sens!G7949</f>
        <v>32.0107972212752</v>
      </c>
      <c r="H7951" s="6" t="n">
        <f aca="false">Sens!H7950*Sens!H7949</f>
        <v>66.5274364010969</v>
      </c>
      <c r="I7951" s="6" t="n">
        <f aca="false">Sens!I7950*Sens!I7949</f>
        <v>111.678719213073</v>
      </c>
      <c r="J7951" s="6" t="n">
        <f aca="false">Sens!J7950*Sens!J7949</f>
        <v>148.594812215672</v>
      </c>
      <c r="K7951" s="6" t="n">
        <f aca="false">Sens!K7950*Sens!K7949</f>
        <v>153.965175902749</v>
      </c>
    </row>
    <row r="7952" customFormat="false" ht="17.15" hidden="false" customHeight="false" outlineLevel="0" collapsed="false">
      <c r="A7952" s="1" t="s">
        <v>1062</v>
      </c>
      <c r="B7952" s="0" t="s">
        <v>98</v>
      </c>
      <c r="C7952" s="6" t="n">
        <f aca="false">SUM(Sens!F7951:K7951)</f>
        <v>510.582716292438</v>
      </c>
    </row>
    <row r="7953" customFormat="false" ht="17.15" hidden="false" customHeight="false" outlineLevel="0" collapsed="false">
      <c r="A7953" s="1" t="s">
        <v>1063</v>
      </c>
      <c r="B7953" s="0" t="s">
        <v>98</v>
      </c>
      <c r="C7953" s="6" t="n">
        <f aca="false">Sens!K7892*(1+g_tv)*(1-tax_f)</f>
        <v>277.542410824508</v>
      </c>
    </row>
    <row r="7954" customFormat="false" ht="17.15" hidden="false" customHeight="false" outlineLevel="0" collapsed="false">
      <c r="A7954" s="1" t="s">
        <v>1064</v>
      </c>
      <c r="B7954" s="0" t="s">
        <v>98</v>
      </c>
      <c r="C7954" s="6" t="n">
        <f aca="false">Sens!$C$7953*(1-g_tv/(wacc+ronic_prem))</f>
        <v>196.653313501935</v>
      </c>
    </row>
    <row r="7955" customFormat="false" ht="17.15" hidden="false" customHeight="false" outlineLevel="0" collapsed="false">
      <c r="A7955" s="1" t="s">
        <v>1065</v>
      </c>
      <c r="B7955" s="0" t="s">
        <v>98</v>
      </c>
      <c r="C7955" s="6" t="n">
        <f aca="false">Sens!$C$7954/(wacc-g_tv)</f>
        <v>2696.30324408576</v>
      </c>
    </row>
    <row r="7956" customFormat="false" ht="15" hidden="false" customHeight="false" outlineLevel="0" collapsed="false">
      <c r="A7956" s="1" t="s">
        <v>1066</v>
      </c>
      <c r="B7956" s="0" t="s">
        <v>98</v>
      </c>
      <c r="C7956" s="6" t="n">
        <f aca="false">Sens!$C$7955/(1+wacc)^(Sens!K7948+mid_yr)</f>
        <v>1497.85782488046</v>
      </c>
    </row>
    <row r="7957" customFormat="false" ht="17.15" hidden="false" customHeight="false" outlineLevel="0" collapsed="false">
      <c r="A7957" s="0" t="s">
        <v>986</v>
      </c>
      <c r="B7957" s="0" t="s">
        <v>98</v>
      </c>
      <c r="C7957" s="6" t="n">
        <f aca="false">Sens!$C$7952+Sens!$C$7956</f>
        <v>2008.4405411729</v>
      </c>
    </row>
    <row r="7958" customFormat="false" ht="15" hidden="false" customHeight="false" outlineLevel="0" collapsed="false">
      <c r="A7958" s="1" t="s">
        <v>987</v>
      </c>
      <c r="B7958" s="0" t="s">
        <v>129</v>
      </c>
      <c r="C7958" s="7" t="n">
        <f aca="false">Sens!$C$7956/Sens!$C$7957</f>
        <v>0.74578151265844</v>
      </c>
    </row>
    <row r="7959" customFormat="false" ht="17.15" hidden="false" customHeight="false" outlineLevel="0" collapsed="false">
      <c r="A7959" s="1" t="s">
        <v>1067</v>
      </c>
      <c r="B7959" s="0" t="s">
        <v>98</v>
      </c>
      <c r="C7959" s="6" t="n">
        <f aca="false">Sens!$C$7957+Sens!E7939-Sens!E7928+oai_v</f>
        <v>2142.9535411729</v>
      </c>
    </row>
    <row r="7960" customFormat="false" ht="17.15" hidden="false" customHeight="false" outlineLevel="0" collapsed="false">
      <c r="A7960" s="0" t="s">
        <v>994</v>
      </c>
      <c r="B7960" s="0" t="s">
        <v>75</v>
      </c>
      <c r="C7960" s="5" t="n">
        <f aca="false">Sens!$C$7959/sh_dil26</f>
        <v>287.528987142479</v>
      </c>
    </row>
    <row r="7961" customFormat="false" ht="15" hidden="false" customHeight="false" outlineLevel="0" collapsed="false">
      <c r="A7961" s="1" t="s">
        <v>1068</v>
      </c>
      <c r="B7961" s="0" t="s">
        <v>75</v>
      </c>
      <c r="C7961" s="8" t="n">
        <f aca="false">dps_27+Sens!G7931*roll_div_q/q_per_yr</f>
        <v>4.8895</v>
      </c>
    </row>
    <row r="7962" customFormat="false" ht="17.15" hidden="false" customHeight="false" outlineLevel="0" collapsed="false">
      <c r="A7962" s="0" t="s">
        <v>1069</v>
      </c>
      <c r="B7962" s="0" t="s">
        <v>75</v>
      </c>
      <c r="C7962" s="5" t="n">
        <f aca="false">Sens!$C$7960*(1+wacc)^t_roll-Sens!$C$7961</f>
        <v>322.529358115659</v>
      </c>
    </row>
    <row r="7963" customFormat="false" ht="17.15" hidden="false" customHeight="false" outlineLevel="0" collapsed="false">
      <c r="A7963" s="1" t="s">
        <v>1070</v>
      </c>
      <c r="B7963" s="0" t="s">
        <v>129</v>
      </c>
      <c r="F7963" s="7" t="n">
        <f aca="false">Sens!F7918/(Sens!F7863-Sens!F7819)</f>
        <v>0.070913954392967</v>
      </c>
      <c r="G7963" s="7" t="n">
        <f aca="false">Sens!G7918/(Sens!G7863-Sens!G7819)</f>
        <v>0.0677447987291621</v>
      </c>
      <c r="H7963" s="7" t="n">
        <f aca="false">Sens!H7918/(Sens!H7863-Sens!H7819)</f>
        <v>0.0660452190411256</v>
      </c>
      <c r="I7963" s="7" t="n">
        <f aca="false">Sens!I7918/(Sens!I7863-Sens!I7819)</f>
        <v>0.0656673333324698</v>
      </c>
      <c r="J7963" s="7" t="n">
        <f aca="false">Sens!J7918/(Sens!J7863-Sens!J7819)</f>
        <v>0.0663013126190947</v>
      </c>
      <c r="K7963" s="7" t="n">
        <f aca="false">Sens!K7918/(Sens!K7863-Sens!K7819)</f>
        <v>0.0675682466471672</v>
      </c>
    </row>
    <row r="7964" customFormat="false" ht="17.15" hidden="false" customHeight="false" outlineLevel="0" collapsed="false">
      <c r="A7964" s="0" t="s">
        <v>1071</v>
      </c>
      <c r="B7964" s="0" t="s">
        <v>98</v>
      </c>
      <c r="F7964" s="6" t="n">
        <f aca="false">Sens!F7848*(al_m365+Sens!F7963+sbc_r)</f>
        <v>84.2110669502144</v>
      </c>
      <c r="G7964" s="6" t="n">
        <f aca="false">Sens!G7848*(al_m365+Sens!G7963+sbc_r)</f>
        <v>96.6335961089174</v>
      </c>
      <c r="H7964" s="6" t="n">
        <f aca="false">Sens!H7848*(al_m365+Sens!H7963+sbc_r)</f>
        <v>109.226412108183</v>
      </c>
      <c r="I7964" s="6" t="n">
        <f aca="false">Sens!I7848*(al_m365+Sens!I7963+sbc_r)</f>
        <v>120.807899597526</v>
      </c>
      <c r="J7964" s="6" t="n">
        <f aca="false">Sens!J7848*(al_m365+Sens!J7963+sbc_r)</f>
        <v>131.189691151085</v>
      </c>
      <c r="K7964" s="6" t="n">
        <f aca="false">Sens!K7848*(al_m365+Sens!K7963+sbc_r)</f>
        <v>141.186137234284</v>
      </c>
      <c r="L7964" s="11" t="s">
        <v>1072</v>
      </c>
    </row>
    <row r="7965" customFormat="false" ht="17.15" hidden="false" customHeight="false" outlineLevel="0" collapsed="false">
      <c r="A7965" s="0" t="s">
        <v>1073</v>
      </c>
      <c r="B7965" s="0" t="s">
        <v>98</v>
      </c>
      <c r="F7965" s="6" t="n">
        <f aca="false">Sens!F7849*(al_lic+Sens!F7963+sbc_r)</f>
        <v>33.535434041857</v>
      </c>
      <c r="G7965" s="6" t="n">
        <f aca="false">Sens!G7849*(al_lic+Sens!G7963+sbc_r)</f>
        <v>34.8263992731066</v>
      </c>
      <c r="H7965" s="6" t="n">
        <f aca="false">Sens!H7849*(al_lic+Sens!H7963+sbc_r)</f>
        <v>36.0347931872416</v>
      </c>
      <c r="I7965" s="6" t="n">
        <f aca="false">Sens!I7849*(al_lic+Sens!I7963+sbc_r)</f>
        <v>37.1416218665143</v>
      </c>
      <c r="J7965" s="6" t="n">
        <f aca="false">Sens!J7849*(al_lic+Sens!J7963+sbc_r)</f>
        <v>38.1202396613181</v>
      </c>
      <c r="K7965" s="6" t="n">
        <f aca="false">Sens!K7849*(al_lic+Sens!K7963+sbc_r)</f>
        <v>38.9403493561279</v>
      </c>
    </row>
    <row r="7966" customFormat="false" ht="17.15" hidden="false" customHeight="false" outlineLevel="0" collapsed="false">
      <c r="A7966" s="0" t="s">
        <v>1074</v>
      </c>
      <c r="B7966" s="0" t="s">
        <v>98</v>
      </c>
      <c r="F7966" s="6" t="n">
        <f aca="false">Sens!F7851*(al_ind+Sens!F7963+sbc_r)</f>
        <v>9.12837571521592</v>
      </c>
      <c r="G7966" s="6" t="n">
        <f aca="false">Sens!G7851*(al_ind+Sens!G7963+sbc_r)</f>
        <v>9.90099422543197</v>
      </c>
      <c r="H7966" s="6" t="n">
        <f aca="false">Sens!H7851*(al_ind+Sens!H7963+sbc_r)</f>
        <v>10.720611910232</v>
      </c>
      <c r="I7966" s="6" t="n">
        <f aca="false">Sens!I7851*(al_ind+Sens!I7963+sbc_r)</f>
        <v>11.5841451636325</v>
      </c>
      <c r="J7966" s="6" t="n">
        <f aca="false">Sens!J7851*(al_ind+Sens!J7963+sbc_r)</f>
        <v>12.4816052190501</v>
      </c>
      <c r="K7966" s="6" t="n">
        <f aca="false">Sens!K7851*(al_ind+Sens!K7963+sbc_r)</f>
        <v>13.3972323259813</v>
      </c>
    </row>
    <row r="7967" customFormat="false" ht="17.15" hidden="false" customHeight="false" outlineLevel="0" collapsed="false">
      <c r="A7967" s="0" t="s">
        <v>1075</v>
      </c>
      <c r="B7967" s="0" t="s">
        <v>98</v>
      </c>
      <c r="F7967" s="6" t="n">
        <f aca="false">Sens!F7853*(al_fro+Sens!F7963+sbc_r)</f>
        <v>3.59296072941896</v>
      </c>
      <c r="G7967" s="6" t="n">
        <f aca="false">Sens!G7853*(al_fro+Sens!G7963+sbc_r)</f>
        <v>3.80139641921878</v>
      </c>
      <c r="H7967" s="6" t="n">
        <f aca="false">Sens!H7853*(al_fro+Sens!H7963+sbc_r)</f>
        <v>4.03989350809661</v>
      </c>
      <c r="I7967" s="6" t="n">
        <f aca="false">Sens!I7853*(al_fro+Sens!I7963+sbc_r)</f>
        <v>4.31114736092929</v>
      </c>
      <c r="J7967" s="6" t="n">
        <f aca="false">Sens!J7853*(al_fro+Sens!J7963+sbc_r)</f>
        <v>4.61617727720328</v>
      </c>
      <c r="K7967" s="6" t="n">
        <f aca="false">Sens!K7853*(al_fro+Sens!K7963+sbc_r)</f>
        <v>4.95481136883087</v>
      </c>
    </row>
    <row r="7968" customFormat="false" ht="17.15" hidden="false" customHeight="false" outlineLevel="0" collapsed="false">
      <c r="A7968" s="0" t="s">
        <v>1076</v>
      </c>
      <c r="B7968" s="0" t="s">
        <v>98</v>
      </c>
      <c r="F7968" s="6" t="n">
        <f aca="false">Sens!F7856*(al_srch+Sens!F7963+sbc_r)</f>
        <v>11.2736758955383</v>
      </c>
      <c r="G7968" s="6" t="n">
        <f aca="false">Sens!G7856*(al_srch+Sens!G7963+sbc_r)</f>
        <v>12.3432456340181</v>
      </c>
      <c r="H7968" s="6" t="n">
        <f aca="false">Sens!H7856*(al_srch+Sens!H7963+sbc_r)</f>
        <v>13.4601172613214</v>
      </c>
      <c r="I7968" s="6" t="n">
        <f aca="false">Sens!I7856*(al_srch+Sens!I7963+sbc_r)</f>
        <v>14.6136637314165</v>
      </c>
      <c r="J7968" s="6" t="n">
        <f aca="false">Sens!J7856*(al_srch+Sens!J7963+sbc_r)</f>
        <v>15.78357087419</v>
      </c>
      <c r="K7968" s="6" t="n">
        <f aca="false">Sens!K7856*(al_srch+Sens!K7963+sbc_r)</f>
        <v>16.9414239774528</v>
      </c>
    </row>
    <row r="7969" customFormat="false" ht="17.15" hidden="false" customHeight="false" outlineLevel="0" collapsed="false">
      <c r="A7969" s="0" t="s">
        <v>1077</v>
      </c>
      <c r="B7969" s="0" t="s">
        <v>98</v>
      </c>
      <c r="F7969" s="6" t="n">
        <f aca="false">Sens!F7825-Sens!F7826+Sens!F7906</f>
        <v>42.2254306726393</v>
      </c>
      <c r="G7969" s="6" t="n">
        <f aca="false">Sens!G7825-Sens!G7826+Sens!G7906</f>
        <v>79.7027537443441</v>
      </c>
      <c r="H7969" s="6" t="n">
        <f aca="false">Sens!H7825-Sens!H7826+Sens!H7906</f>
        <v>120.060533679822</v>
      </c>
      <c r="I7969" s="6" t="n">
        <f aca="false">Sens!I7825-Sens!I7826+Sens!I7906</f>
        <v>156.515256506302</v>
      </c>
      <c r="J7969" s="6" t="n">
        <f aca="false">Sens!J7825-Sens!J7826+Sens!J7906</f>
        <v>182.51821819491</v>
      </c>
      <c r="K7969" s="6" t="n">
        <f aca="false">Sens!K7825-Sens!K7826+Sens!K7906</f>
        <v>199.254533496123</v>
      </c>
    </row>
    <row r="7970" customFormat="false" ht="17.15" hidden="false" customHeight="false" outlineLevel="0" collapsed="false">
      <c r="A7970" s="0" t="s">
        <v>1078</v>
      </c>
      <c r="B7970" s="0" t="s">
        <v>98</v>
      </c>
      <c r="F7970" s="6" t="n">
        <f aca="false">Sens!F7885+Sens!F7906+Sens!F7836+Sens!F7963*(Sens!F7855-Sens!F7819)+sbc_r*Sens!F7855</f>
        <v>232.844634848522</v>
      </c>
      <c r="G7970" s="6" t="n">
        <f aca="false">Sens!G7885+Sens!G7906+Sens!G7836+Sens!G7963*(Sens!G7855-Sens!G7819)+sbc_r*Sens!G7855</f>
        <v>296.805018553733</v>
      </c>
      <c r="H7970" s="6" t="n">
        <f aca="false">Sens!H7885+Sens!H7906+Sens!H7836+Sens!H7963*(Sens!H7855-Sens!H7819)+sbc_r*Sens!H7855</f>
        <v>363.606575751285</v>
      </c>
      <c r="I7970" s="6" t="n">
        <f aca="false">Sens!I7885+Sens!I7906+Sens!I7836+Sens!I7963*(Sens!I7855-Sens!I7819)+sbc_r*Sens!I7855</f>
        <v>424.446576304353</v>
      </c>
      <c r="J7970" s="6" t="n">
        <f aca="false">Sens!J7885+Sens!J7906+Sens!J7836+Sens!J7963*(Sens!J7855-Sens!J7819)+sbc_r*Sens!J7855</f>
        <v>471.621058935861</v>
      </c>
      <c r="K7970" s="6" t="n">
        <f aca="false">Sens!K7885+Sens!K7906+Sens!K7836+Sens!K7963*(Sens!K7855-Sens!K7819)+sbc_r*Sens!K7855</f>
        <v>506.3853728207</v>
      </c>
    </row>
    <row r="7971" customFormat="false" ht="17.15" hidden="false" customHeight="false" outlineLevel="0" collapsed="false">
      <c r="A7971" s="0" t="s">
        <v>1079</v>
      </c>
      <c r="B7971" s="0" t="s">
        <v>98</v>
      </c>
      <c r="F7971" s="6" t="n">
        <f aca="false">Sens!F7970-Sens!F7964-Sens!F7965-Sens!F7966-Sens!F7967-Sens!F7969</f>
        <v>60.1513667391761</v>
      </c>
      <c r="G7971" s="6" t="n">
        <f aca="false">Sens!G7970-Sens!G7964-Sens!G7965-Sens!G7966-Sens!G7967-Sens!G7969</f>
        <v>71.9398787827139</v>
      </c>
      <c r="H7971" s="6" t="n">
        <f aca="false">Sens!H7970-Sens!H7964-Sens!H7965-Sens!H7966-Sens!H7967-Sens!H7969</f>
        <v>83.5243313577096</v>
      </c>
      <c r="I7971" s="6" t="n">
        <f aca="false">Sens!I7970-Sens!I7964-Sens!I7965-Sens!I7966-Sens!I7967-Sens!I7969</f>
        <v>94.0865058094497</v>
      </c>
      <c r="J7971" s="6" t="n">
        <f aca="false">Sens!J7970-Sens!J7964-Sens!J7965-Sens!J7966-Sens!J7967-Sens!J7969</f>
        <v>102.695127432294</v>
      </c>
      <c r="K7971" s="6" t="n">
        <f aca="false">Sens!K7970-Sens!K7964-Sens!K7965-Sens!K7966-Sens!K7967-Sens!K7969</f>
        <v>108.652309039353</v>
      </c>
    </row>
    <row r="7972" customFormat="false" ht="17.15" hidden="false" customHeight="false" outlineLevel="0" collapsed="false">
      <c r="A7972" s="0" t="s">
        <v>1080</v>
      </c>
      <c r="B7972" s="0" t="s">
        <v>98</v>
      </c>
      <c r="F7972" s="6" t="n">
        <f aca="false">Sens!F7887+Sens!F7963*Sens!F7862+sbc_r*Sens!F7862</f>
        <v>26.350059265733</v>
      </c>
      <c r="G7972" s="6" t="n">
        <f aca="false">Sens!G7887+Sens!G7963*Sens!G7862+sbc_r*Sens!G7862</f>
        <v>26.9397783068791</v>
      </c>
      <c r="H7972" s="6" t="n">
        <f aca="false">Sens!H7887+Sens!H7963*Sens!H7862+sbc_r*Sens!H7862</f>
        <v>27.8053780205639</v>
      </c>
      <c r="I7972" s="6" t="n">
        <f aca="false">Sens!I7887+Sens!I7963*Sens!I7862+sbc_r*Sens!I7862</f>
        <v>28.915578932395</v>
      </c>
      <c r="J7972" s="6" t="n">
        <f aca="false">Sens!J7887+Sens!J7963*Sens!J7862+sbc_r*Sens!J7862</f>
        <v>30.2335860756039</v>
      </c>
      <c r="K7972" s="6" t="n">
        <f aca="false">Sens!K7887+Sens!K7963*Sens!K7862+sbc_r*Sens!K7862</f>
        <v>31.7202013732931</v>
      </c>
    </row>
    <row r="7973" customFormat="false" ht="17.15" hidden="false" customHeight="false" outlineLevel="0" collapsed="false">
      <c r="A7973" s="0" t="s">
        <v>1081</v>
      </c>
      <c r="B7973" s="0" t="s">
        <v>98</v>
      </c>
      <c r="F7973" s="6" t="n">
        <f aca="false">(Sens!F7972-Sens!F7968)*Sens!F7858/(Sens!F7858+Sens!F7860)</f>
        <v>8.26472652169449</v>
      </c>
      <c r="G7973" s="6" t="n">
        <f aca="false">(Sens!G7972-Sens!G7968)*Sens!G7858/(Sens!G7858+Sens!G7860)</f>
        <v>7.85900764430784</v>
      </c>
      <c r="H7973" s="6" t="n">
        <f aca="false">(Sens!H7972-Sens!H7968)*Sens!H7858/(Sens!H7858+Sens!H7860)</f>
        <v>7.61938427669471</v>
      </c>
      <c r="I7973" s="6" t="n">
        <f aca="false">(Sens!I7972-Sens!I7968)*Sens!I7858/(Sens!I7858+Sens!I7860)</f>
        <v>7.527629612153</v>
      </c>
      <c r="J7973" s="6" t="n">
        <f aca="false">(Sens!J7972-Sens!J7968)*Sens!J7858/(Sens!J7858+Sens!J7860)</f>
        <v>7.57118799486409</v>
      </c>
      <c r="K7973" s="6" t="n">
        <f aca="false">(Sens!K7972-Sens!K7968)*Sens!K7858/(Sens!K7858+Sens!K7860)</f>
        <v>7.74344527936597</v>
      </c>
    </row>
    <row r="7974" customFormat="false" ht="17.15" hidden="false" customHeight="false" outlineLevel="0" collapsed="false">
      <c r="A7974" s="0" t="s">
        <v>1082</v>
      </c>
      <c r="B7974" s="0" t="s">
        <v>98</v>
      </c>
      <c r="F7974" s="6" t="n">
        <f aca="false">Sens!F7972-Sens!F7968-Sens!F7973</f>
        <v>6.81165684850028</v>
      </c>
      <c r="G7974" s="6" t="n">
        <f aca="false">Sens!G7972-Sens!G7968-Sens!G7973</f>
        <v>6.73752502855315</v>
      </c>
      <c r="H7974" s="6" t="n">
        <f aca="false">Sens!H7972-Sens!H7968-Sens!H7973</f>
        <v>6.72587648254775</v>
      </c>
      <c r="I7974" s="6" t="n">
        <f aca="false">Sens!I7972-Sens!I7968-Sens!I7973</f>
        <v>6.77428558882545</v>
      </c>
      <c r="J7974" s="6" t="n">
        <f aca="false">Sens!J7972-Sens!J7968-Sens!J7973</f>
        <v>6.87882720654981</v>
      </c>
      <c r="K7974" s="6" t="n">
        <f aca="false">Sens!K7972-Sens!K7968-Sens!K7973</f>
        <v>7.03533211647435</v>
      </c>
    </row>
    <row r="7975" customFormat="false" ht="17.15" hidden="false" customHeight="false" outlineLevel="0" collapsed="false">
      <c r="A7975" s="0" t="s">
        <v>1083</v>
      </c>
      <c r="B7975" s="0" t="s">
        <v>98</v>
      </c>
      <c r="F7975" s="6" t="n">
        <f aca="false">Sens!F7969-tax_f*(Sens!F7969-Sens!F7836)-Sens!F7833</f>
        <v>-119.742553857164</v>
      </c>
      <c r="G7975" s="6" t="n">
        <f aca="false">Sens!G7969-tax_f*(Sens!G7969-Sens!G7836)-Sens!G7833</f>
        <v>-107.986890065622</v>
      </c>
      <c r="H7975" s="6" t="n">
        <f aca="false">Sens!H7969-tax_f*(Sens!H7969-Sens!H7836)-Sens!H7833</f>
        <v>-74.7596549978803</v>
      </c>
      <c r="I7975" s="6" t="n">
        <f aca="false">Sens!I7969-tax_f*(Sens!I7969-Sens!I7836)-Sens!I7833</f>
        <v>-16.3733151827256</v>
      </c>
      <c r="J7975" s="6" t="n">
        <f aca="false">Sens!J7969-tax_f*(Sens!J7969-Sens!J7836)-Sens!J7833</f>
        <v>44.4328025322546</v>
      </c>
      <c r="K7975" s="6" t="n">
        <f aca="false">Sens!K7969-tax_f*(Sens!K7969-Sens!K7836)-Sens!K7833</f>
        <v>65.8225043021697</v>
      </c>
    </row>
    <row r="7976" customFormat="false" ht="17.15" hidden="false" customHeight="false" outlineLevel="0" collapsed="false">
      <c r="A7976" s="0" t="s">
        <v>1084</v>
      </c>
      <c r="B7976" s="0" t="s">
        <v>98</v>
      </c>
      <c r="G7976" s="6" t="n">
        <f aca="false">Sens!G7975/(1+wacc)^(Sens!G7948-(Sens!F7948+mid_yr))</f>
        <v>-102.824401157048</v>
      </c>
      <c r="H7976" s="6" t="n">
        <f aca="false">Sens!H7975/(1+wacc)^(Sens!H7948-(Sens!F7948+mid_yr))</f>
        <v>-64.5420496499019</v>
      </c>
      <c r="I7976" s="6" t="n">
        <f aca="false">Sens!I7975/(1+wacc)^(Sens!I7948-(Sens!F7948+mid_yr))</f>
        <v>-12.8162920786843</v>
      </c>
      <c r="J7976" s="6" t="n">
        <f aca="false">Sens!J7975/(1+wacc)^(Sens!J7948-(Sens!F7948+mid_yr))</f>
        <v>31.5340528088578</v>
      </c>
      <c r="K7976" s="6" t="n">
        <f aca="false">Sens!K7975/(1+wacc)^(Sens!K7948-(Sens!F7948+mid_yr))</f>
        <v>42.3546205488157</v>
      </c>
      <c r="L7976" s="1" t="s">
        <v>1085</v>
      </c>
    </row>
    <row r="7977" customFormat="false" ht="17.15" hidden="false" customHeight="false" outlineLevel="0" collapsed="false">
      <c r="A7977" s="0" t="s">
        <v>1086</v>
      </c>
      <c r="B7977" s="0" t="s">
        <v>98</v>
      </c>
      <c r="C7977" s="6" t="n">
        <f aca="false">(Sens!K7969-Sens!K7836)*(1-tax_f)*(1+g_tv)*(1-g_tv/(wacc+ronic_prem))/(wacc-g_tv)/(1+wacc)^(Sens!K7948+mid_yr-(Sens!F7948+mid_yr))</f>
        <v>294.889481980532</v>
      </c>
    </row>
    <row r="7978" customFormat="false" ht="17.15" hidden="false" customHeight="false" outlineLevel="0" collapsed="false">
      <c r="A7978" s="1" t="s">
        <v>1087</v>
      </c>
      <c r="B7978" s="0" t="s">
        <v>98</v>
      </c>
      <c r="C7978" s="6" t="n">
        <f aca="false">(SUM(Sens!G7976:K7976)+Sens!$C$7977)*(1+wacc)^(t_roll-(Sens!F7948+mid_yr))</f>
        <v>194.716829358755</v>
      </c>
      <c r="L7978" s="11" t="s">
        <v>1088</v>
      </c>
    </row>
    <row r="7979" customFormat="false" ht="17.15" hidden="false" customHeight="false" outlineLevel="0" collapsed="false">
      <c r="A7979" s="1" t="s">
        <v>1089</v>
      </c>
      <c r="B7979" s="0" t="s">
        <v>98</v>
      </c>
      <c r="C7979" s="6" t="n">
        <f aca="false">(w_ntm28*Sens!G7825+(1-w_ntm28)*Sens!H7825)*m_ai</f>
        <v>454.922440830797</v>
      </c>
    </row>
    <row r="7980" customFormat="false" ht="17.15" hidden="false" customHeight="false" outlineLevel="0" collapsed="false">
      <c r="A7980" s="1" t="s">
        <v>1090</v>
      </c>
      <c r="B7980" s="0" t="s">
        <v>98</v>
      </c>
      <c r="C7980" s="6" t="n">
        <f aca="false">(w_ntm28*Sens!G7971+(1-w_ntm28)*Sens!H7971)*m_cloud</f>
        <v>1045.96655458861</v>
      </c>
    </row>
    <row r="7981" customFormat="false" ht="17.15" hidden="false" customHeight="false" outlineLevel="0" collapsed="false">
      <c r="A7981" s="1" t="s">
        <v>1091</v>
      </c>
      <c r="B7981" s="0" t="s">
        <v>98</v>
      </c>
      <c r="C7981" s="6" t="n">
        <f aca="false">(w_ntm28*Sens!G7964+(1-w_ntm28)*Sens!H7964)*m_sw</f>
        <v>1087.61074128991</v>
      </c>
    </row>
    <row r="7982" customFormat="false" ht="17.15" hidden="false" customHeight="false" outlineLevel="0" collapsed="false">
      <c r="A7982" s="1" t="s">
        <v>1092</v>
      </c>
      <c r="B7982" s="0" t="s">
        <v>98</v>
      </c>
      <c r="C7982" s="6" t="n">
        <f aca="false">(w_ntm28*Sens!G7965+(1-w_ntm28)*Sens!H7965)*m_sw</f>
        <v>380.344227777425</v>
      </c>
    </row>
    <row r="7983" customFormat="false" ht="17.15" hidden="false" customHeight="false" outlineLevel="0" collapsed="false">
      <c r="A7983" s="1" t="s">
        <v>1093</v>
      </c>
      <c r="B7983" s="0" t="s">
        <v>98</v>
      </c>
      <c r="C7983" s="6" t="n">
        <f aca="false">(w_ntm28*Sens!G7966+(1-w_ntm28)*Sens!H7966)*m_sw</f>
        <v>109.792438394964</v>
      </c>
    </row>
    <row r="7984" customFormat="false" ht="17.15" hidden="false" customHeight="false" outlineLevel="0" collapsed="false">
      <c r="A7984" s="1" t="s">
        <v>1094</v>
      </c>
      <c r="B7984" s="0" t="s">
        <v>98</v>
      </c>
      <c r="C7984" s="6" t="n">
        <f aca="false">(w_ntm28*Sens!G7967+(1-w_ntm28)*Sens!H7967)*m_sw</f>
        <v>41.8877955469215</v>
      </c>
    </row>
    <row r="7985" customFormat="false" ht="17.15" hidden="false" customHeight="false" outlineLevel="0" collapsed="false">
      <c r="A7985" s="1" t="s">
        <v>1095</v>
      </c>
      <c r="B7985" s="0" t="s">
        <v>98</v>
      </c>
      <c r="C7985" s="6" t="n">
        <f aca="false">(w_ntm28*Sens!G7968+(1-w_ntm28)*Sens!H7968)*m_ads</f>
        <v>115.736322964038</v>
      </c>
    </row>
    <row r="7986" customFormat="false" ht="17.15" hidden="false" customHeight="false" outlineLevel="0" collapsed="false">
      <c r="A7986" s="1" t="s">
        <v>1096</v>
      </c>
      <c r="B7986" s="0" t="s">
        <v>98</v>
      </c>
      <c r="C7986" s="6" t="n">
        <f aca="false">(w_ntm28*Sens!G7973+(1-w_ntm28)*Sens!H7973)*m_game</f>
        <v>98.2808547950366</v>
      </c>
    </row>
    <row r="7987" customFormat="false" ht="17.15" hidden="false" customHeight="false" outlineLevel="0" collapsed="false">
      <c r="A7987" s="1" t="s">
        <v>1097</v>
      </c>
      <c r="B7987" s="0" t="s">
        <v>98</v>
      </c>
      <c r="C7987" s="6" t="n">
        <f aca="false">(w_ntm28*Sens!G7974+(1-w_ntm28)*Sens!H7974)*m_pc</f>
        <v>97.4374955840891</v>
      </c>
    </row>
    <row r="7988" customFormat="false" ht="17.15" hidden="false" customHeight="false" outlineLevel="0" collapsed="false">
      <c r="A7988" s="1" t="s">
        <v>1098</v>
      </c>
      <c r="B7988" s="0" t="s">
        <v>98</v>
      </c>
      <c r="C7988" s="6" t="n">
        <f aca="false">Sens!$C$7978+Sens!$C$7980+Sens!$C$7981+Sens!$C$7982+Sens!$C$7983+Sens!$C$7984+Sens!$C$7985+Sens!$C$7986+Sens!$C$7987</f>
        <v>3171.77326029975</v>
      </c>
    </row>
    <row r="7989" customFormat="false" ht="17.15" hidden="false" customHeight="false" outlineLevel="0" collapsed="false">
      <c r="A7989" s="1" t="s">
        <v>1099</v>
      </c>
      <c r="B7989" s="0" t="s">
        <v>98</v>
      </c>
      <c r="C7989" s="6" t="n">
        <f aca="false">(Sens!G7950-Sens!G7975)*t_stub</f>
        <v>47.2952600780024</v>
      </c>
      <c r="L7989" s="1" t="s">
        <v>1100</v>
      </c>
    </row>
    <row r="7990" customFormat="false" ht="17.15" hidden="false" customHeight="false" outlineLevel="0" collapsed="false">
      <c r="A7990" s="1" t="s">
        <v>1014</v>
      </c>
      <c r="B7990" s="0" t="s">
        <v>98</v>
      </c>
      <c r="C7990" s="6" t="n">
        <f aca="false">Sens!F7939+oai_v-Sens!F7928+Sens!$C$7989</f>
        <v>158.38779885716</v>
      </c>
      <c r="L7990" s="1" t="s">
        <v>1101</v>
      </c>
    </row>
    <row r="7991" customFormat="false" ht="17.15" hidden="false" customHeight="false" outlineLevel="0" collapsed="false">
      <c r="A7991" s="1" t="s">
        <v>1102</v>
      </c>
      <c r="B7991" s="0" t="s">
        <v>75</v>
      </c>
      <c r="C7991" s="5" t="n">
        <f aca="false">(Sens!$C$7988+Sens!$C$7990)/(Sens!F7941+dil_gap)-Sens!G7931*roll_div_q/q_per_yr</f>
        <v>443.218912374188</v>
      </c>
      <c r="L7991" s="1" t="s">
        <v>1103</v>
      </c>
    </row>
    <row r="7992" customFormat="false" ht="17.15" hidden="false" customHeight="false" outlineLevel="0" collapsed="false">
      <c r="A7992" s="1" t="s">
        <v>1104</v>
      </c>
      <c r="B7992" s="0" t="s">
        <v>75</v>
      </c>
      <c r="C7992" s="5" t="n">
        <f aca="false">w_dcf*Sens!$C$7962+(1-w_dcf)*Sens!$C$7991</f>
        <v>382.874135244923</v>
      </c>
    </row>
    <row r="7993" customFormat="false" ht="17.15" hidden="false" customHeight="false" outlineLevel="0" collapsed="false">
      <c r="A7993" s="3" t="s">
        <v>1467</v>
      </c>
    </row>
    <row r="7994" customFormat="false" ht="15" hidden="false" customHeight="false" outlineLevel="0" collapsed="false">
      <c r="A7994" s="4" t="s">
        <v>43</v>
      </c>
      <c r="B7994" s="4" t="s">
        <v>65</v>
      </c>
      <c r="C7994" s="20" t="s">
        <v>799</v>
      </c>
      <c r="D7994" s="20" t="s">
        <v>800</v>
      </c>
      <c r="E7994" s="20" t="s">
        <v>801</v>
      </c>
      <c r="F7994" s="20" t="s">
        <v>802</v>
      </c>
      <c r="G7994" s="20" t="s">
        <v>803</v>
      </c>
      <c r="H7994" s="20" t="s">
        <v>804</v>
      </c>
      <c r="I7994" s="20" t="s">
        <v>805</v>
      </c>
      <c r="J7994" s="20" t="s">
        <v>806</v>
      </c>
      <c r="K7994" s="20" t="s">
        <v>807</v>
      </c>
      <c r="L7994" s="4" t="s">
        <v>47</v>
      </c>
    </row>
    <row r="7995" customFormat="false" ht="17.15" hidden="false" customHeight="false" outlineLevel="0" collapsed="false">
      <c r="A7995" s="1" t="s">
        <v>808</v>
      </c>
      <c r="B7995" s="1" t="s">
        <v>235</v>
      </c>
      <c r="C7995" s="28" t="n">
        <v>2024</v>
      </c>
      <c r="D7995" s="28" t="n">
        <v>2025</v>
      </c>
      <c r="E7995" s="28" t="n">
        <v>2026</v>
      </c>
      <c r="F7995" s="28" t="n">
        <v>2027</v>
      </c>
      <c r="G7995" s="28" t="n">
        <v>2028</v>
      </c>
      <c r="H7995" s="28" t="n">
        <v>2029</v>
      </c>
      <c r="I7995" s="28" t="n">
        <v>2030</v>
      </c>
      <c r="J7995" s="28" t="n">
        <v>2031</v>
      </c>
      <c r="K7995" s="28" t="n">
        <v>2032</v>
      </c>
    </row>
    <row r="7996" customFormat="false" ht="17.15" hidden="false" customHeight="false" outlineLevel="0" collapsed="false">
      <c r="A7996" s="1" t="s">
        <v>809</v>
      </c>
      <c r="B7996" s="0" t="s">
        <v>399</v>
      </c>
      <c r="F7996" s="29" t="n">
        <f aca="false">pace</f>
        <v>2527.2</v>
      </c>
      <c r="G7996" s="29" t="n">
        <f aca="false">pace</f>
        <v>2527.2</v>
      </c>
      <c r="H7996" s="29" t="n">
        <f aca="false">pace</f>
        <v>2527.2</v>
      </c>
      <c r="I7996" s="29" t="n">
        <f aca="false">pace+(g_tv*Sens!H7997-pace)*MIN(1,(Sens!I7995-pace_y0)/(pace_y1-pace_y0))</f>
        <v>1793.116</v>
      </c>
      <c r="J7996" s="29" t="n">
        <f aca="false">pace+(g_tv*Sens!I7997-pace)*MIN(1,(Sens!J7995-pace_y0)/(pace_y1-pace_y0))</f>
        <v>1094.89432</v>
      </c>
      <c r="K7996" s="29" t="n">
        <f aca="false">pace+(g_tv*Sens!J7997-pace)*MIN(1,(Sens!K7995-pace_y0)/(pace_y1-pace_y0))</f>
        <v>411.5883096</v>
      </c>
      <c r="L7996" s="11" t="s">
        <v>810</v>
      </c>
    </row>
    <row r="7997" customFormat="false" ht="17.15" hidden="false" customHeight="false" outlineLevel="0" collapsed="false">
      <c r="A7997" s="1" t="s">
        <v>811</v>
      </c>
      <c r="B7997" s="0" t="s">
        <v>399</v>
      </c>
      <c r="C7997" s="29" t="n">
        <f aca="false">mw_ext_24</f>
        <v>640</v>
      </c>
      <c r="D7997" s="29" t="n">
        <f aca="false">mw_ext_25</f>
        <v>1630</v>
      </c>
      <c r="E7997" s="29" t="n">
        <f aca="false">mw_ext_26</f>
        <v>3250</v>
      </c>
      <c r="F7997" s="29" t="n">
        <f aca="false">Sens!E7997+Sens!F7996</f>
        <v>5777.2</v>
      </c>
      <c r="G7997" s="29" t="n">
        <f aca="false">Sens!F7997+Sens!G7996</f>
        <v>8304.4</v>
      </c>
      <c r="H7997" s="29" t="n">
        <f aca="false">Sens!G7997+Sens!H7996</f>
        <v>10831.6</v>
      </c>
      <c r="I7997" s="29" t="n">
        <f aca="false">Sens!H7997+Sens!I7996</f>
        <v>12624.716</v>
      </c>
      <c r="J7997" s="29" t="n">
        <f aca="false">Sens!I7997+Sens!J7996</f>
        <v>13719.61032</v>
      </c>
      <c r="K7997" s="29" t="n">
        <f aca="false">Sens!J7997+Sens!K7996</f>
        <v>14131.1986296</v>
      </c>
      <c r="L7997" s="1" t="s">
        <v>812</v>
      </c>
    </row>
    <row r="7998" customFormat="false" ht="17.15" hidden="false" customHeight="false" outlineLevel="0" collapsed="false">
      <c r="A7998" s="1" t="s">
        <v>813</v>
      </c>
      <c r="B7998" s="0" t="s">
        <v>399</v>
      </c>
      <c r="C7998" s="29" t="n">
        <f aca="false">rent_ext_24</f>
        <v>150</v>
      </c>
      <c r="D7998" s="29" t="n">
        <f aca="false">rent_ext_25</f>
        <v>400</v>
      </c>
      <c r="E7998" s="29" t="n">
        <f aca="false">rent_ext_26</f>
        <v>550</v>
      </c>
      <c r="F7998" s="29" t="n">
        <f aca="false">rent_ext_f</f>
        <v>756</v>
      </c>
      <c r="G7998" s="29" t="n">
        <f aca="false">rent_ext_f</f>
        <v>756</v>
      </c>
      <c r="H7998" s="29" t="n">
        <f aca="false">rent_ext_f</f>
        <v>756</v>
      </c>
      <c r="I7998" s="29" t="n">
        <f aca="false">rent_ext_f</f>
        <v>756</v>
      </c>
      <c r="J7998" s="29" t="n">
        <f aca="false">rent_ext_f</f>
        <v>756</v>
      </c>
      <c r="K7998" s="29" t="n">
        <f aca="false">rent_ext_f</f>
        <v>756</v>
      </c>
      <c r="L7998" s="1" t="s">
        <v>814</v>
      </c>
    </row>
    <row r="7999" customFormat="false" ht="17.15" hidden="false" customHeight="false" outlineLevel="0" collapsed="false">
      <c r="A7999" s="1" t="s">
        <v>815</v>
      </c>
      <c r="B7999" s="0" t="s">
        <v>399</v>
      </c>
      <c r="C7999" s="29" t="n">
        <f aca="false">Sens!C7997-Sens!C7998</f>
        <v>490</v>
      </c>
      <c r="D7999" s="29" t="n">
        <f aca="false">Sens!D7997-Sens!D7998</f>
        <v>1230</v>
      </c>
      <c r="E7999" s="29" t="n">
        <f aca="false">Sens!E7997-Sens!E7998</f>
        <v>2700</v>
      </c>
      <c r="F7999" s="29" t="n">
        <f aca="false">Sens!F7997-Sens!F7998</f>
        <v>5021.2</v>
      </c>
      <c r="G7999" s="29" t="n">
        <f aca="false">Sens!G7997-Sens!G7998</f>
        <v>7548.4</v>
      </c>
      <c r="H7999" s="29" t="n">
        <f aca="false">Sens!H7997-Sens!H7998</f>
        <v>10075.6</v>
      </c>
      <c r="I7999" s="29" t="n">
        <f aca="false">Sens!I7997-Sens!I7998</f>
        <v>11868.716</v>
      </c>
      <c r="J7999" s="29" t="n">
        <f aca="false">Sens!J7997-Sens!J7998</f>
        <v>12963.61032</v>
      </c>
      <c r="K7999" s="29" t="n">
        <f aca="false">Sens!K7997-Sens!K7998</f>
        <v>13375.1986296</v>
      </c>
    </row>
    <row r="8000" customFormat="false" ht="17.15" hidden="false" customHeight="false" outlineLevel="0" collapsed="false">
      <c r="A8000" s="1" t="s">
        <v>816</v>
      </c>
      <c r="B8000" s="0" t="s">
        <v>399</v>
      </c>
      <c r="C8000" s="29" t="n">
        <f aca="false">Sens!C7999/ext_sh</f>
        <v>816.666666666667</v>
      </c>
      <c r="D8000" s="29" t="n">
        <f aca="false">Sens!D7999/ext_sh</f>
        <v>2050</v>
      </c>
      <c r="E8000" s="29" t="n">
        <f aca="false">Sens!E7999/ext_sh</f>
        <v>4500</v>
      </c>
      <c r="F8000" s="29" t="n">
        <f aca="false">Sens!F7999/ext_sh</f>
        <v>8368.66666666667</v>
      </c>
      <c r="G8000" s="29" t="n">
        <f aca="false">Sens!G7999/ext_sh</f>
        <v>12580.6666666667</v>
      </c>
      <c r="H8000" s="29" t="n">
        <f aca="false">Sens!H7999/ext_sh</f>
        <v>16792.6666666667</v>
      </c>
      <c r="I8000" s="29" t="n">
        <f aca="false">Sens!I7999/ext_sh</f>
        <v>19781.1933333333</v>
      </c>
      <c r="J8000" s="29" t="n">
        <f aca="false">Sens!J7999/ext_sh</f>
        <v>21606.0172</v>
      </c>
      <c r="K8000" s="29" t="n">
        <f aca="false">Sens!K7999/ext_sh</f>
        <v>22291.997716</v>
      </c>
      <c r="L8000" s="1" t="s">
        <v>817</v>
      </c>
    </row>
    <row r="8001" customFormat="false" ht="17.15" hidden="false" customHeight="false" outlineLevel="0" collapsed="false">
      <c r="A8001" s="1" t="s">
        <v>818</v>
      </c>
      <c r="B8001" s="0" t="s">
        <v>399</v>
      </c>
      <c r="C8001" s="29" t="n">
        <f aca="false">Sens!C8000-Sens!C7999</f>
        <v>326.666666666667</v>
      </c>
      <c r="D8001" s="29" t="n">
        <f aca="false">Sens!D8000-Sens!D7999</f>
        <v>820</v>
      </c>
      <c r="E8001" s="29" t="n">
        <f aca="false">Sens!E8000-Sens!E7999</f>
        <v>1800</v>
      </c>
      <c r="F8001" s="29" t="n">
        <f aca="false">Sens!F8000-Sens!F7999</f>
        <v>3347.46666666667</v>
      </c>
      <c r="G8001" s="29" t="n">
        <f aca="false">Sens!G8000-Sens!G7999</f>
        <v>5032.26666666667</v>
      </c>
      <c r="H8001" s="29" t="n">
        <f aca="false">Sens!H8000-Sens!H7999</f>
        <v>6717.06666666667</v>
      </c>
      <c r="I8001" s="29" t="n">
        <f aca="false">Sens!I8000-Sens!I7999</f>
        <v>7912.47733333333</v>
      </c>
      <c r="J8001" s="29" t="n">
        <f aca="false">Sens!J8000-Sens!J7999</f>
        <v>8642.40688</v>
      </c>
      <c r="K8001" s="29" t="n">
        <f aca="false">Sens!K8000-Sens!K7999</f>
        <v>8916.7990864</v>
      </c>
    </row>
    <row r="8002" customFormat="false" ht="17.15" hidden="false" customHeight="false" outlineLevel="0" collapsed="false">
      <c r="A8002" s="1" t="s">
        <v>819</v>
      </c>
      <c r="B8002" s="0" t="s">
        <v>399</v>
      </c>
      <c r="C8002" s="29" t="n">
        <f aca="false">Sens!C8000</f>
        <v>816.666666666667</v>
      </c>
      <c r="D8002" s="29" t="n">
        <f aca="false">Sens!D8000-Sens!C8000</f>
        <v>1233.33333333333</v>
      </c>
      <c r="E8002" s="29" t="n">
        <f aca="false">Sens!E8000-Sens!D8000</f>
        <v>2450</v>
      </c>
      <c r="F8002" s="29" t="n">
        <f aca="false">Sens!F8000-Sens!E8000</f>
        <v>3868.66666666667</v>
      </c>
      <c r="G8002" s="29" t="n">
        <f aca="false">Sens!G8000-Sens!F8000</f>
        <v>4212</v>
      </c>
      <c r="H8002" s="29" t="n">
        <f aca="false">Sens!H8000-Sens!G8000</f>
        <v>4212</v>
      </c>
      <c r="I8002" s="29" t="n">
        <f aca="false">Sens!I8000-Sens!H8000</f>
        <v>2988.52666666667</v>
      </c>
      <c r="J8002" s="29" t="n">
        <f aca="false">Sens!J8000-Sens!I8000</f>
        <v>1824.82386666667</v>
      </c>
      <c r="K8002" s="29" t="n">
        <f aca="false">Sens!K8000-Sens!J8000</f>
        <v>685.980516</v>
      </c>
    </row>
    <row r="8003" customFormat="false" ht="17.15" hidden="false" customHeight="false" outlineLevel="0" collapsed="false">
      <c r="A8003" s="1" t="s">
        <v>820</v>
      </c>
      <c r="B8003" s="0" t="s">
        <v>399</v>
      </c>
      <c r="D8003" s="29" t="n">
        <f aca="false">Sens!D7997-Sens!C7997</f>
        <v>990</v>
      </c>
      <c r="E8003" s="29" t="n">
        <f aca="false">Sens!E7997-Sens!D7997</f>
        <v>1620</v>
      </c>
      <c r="F8003" s="29" t="n">
        <f aca="false">Sens!F7997-Sens!E7997</f>
        <v>2527.2</v>
      </c>
      <c r="G8003" s="29" t="n">
        <f aca="false">Sens!G7997-Sens!F7997</f>
        <v>2527.2</v>
      </c>
      <c r="H8003" s="29" t="n">
        <f aca="false">Sens!H7997-Sens!G7997</f>
        <v>2527.2</v>
      </c>
      <c r="I8003" s="29" t="n">
        <f aca="false">Sens!I7997-Sens!H7997</f>
        <v>1793.116</v>
      </c>
      <c r="J8003" s="29" t="n">
        <f aca="false">Sens!J7997-Sens!I7997</f>
        <v>1094.89432</v>
      </c>
      <c r="K8003" s="29" t="n">
        <f aca="false">Sens!K7997-Sens!J7997</f>
        <v>411.5883096</v>
      </c>
    </row>
    <row r="8004" customFormat="false" ht="17.15" hidden="false" customHeight="false" outlineLevel="0" collapsed="false">
      <c r="A8004" s="1" t="s">
        <v>821</v>
      </c>
      <c r="B8004" s="0" t="s">
        <v>399</v>
      </c>
      <c r="F8004" s="29" t="n">
        <f aca="false">Sens!F8021*ext_sh</f>
        <v>0</v>
      </c>
      <c r="G8004" s="29" t="n">
        <f aca="false">Sens!G8021*ext_sh</f>
        <v>0</v>
      </c>
      <c r="H8004" s="29" t="n">
        <f aca="false">Sens!H8021*ext_sh</f>
        <v>0</v>
      </c>
      <c r="I8004" s="29" t="n">
        <f aca="false">Sens!I8021*ext_sh</f>
        <v>490</v>
      </c>
      <c r="J8004" s="29" t="n">
        <f aca="false">Sens!J8021*ext_sh</f>
        <v>740</v>
      </c>
      <c r="K8004" s="29" t="n">
        <f aca="false">Sens!K8021*ext_sh</f>
        <v>1470</v>
      </c>
      <c r="L8004" s="1" t="s">
        <v>822</v>
      </c>
    </row>
    <row r="8005" customFormat="false" ht="17.15" hidden="false" customHeight="false" outlineLevel="0" collapsed="false">
      <c r="A8005" s="1" t="s">
        <v>823</v>
      </c>
      <c r="B8005" s="0" t="s">
        <v>399</v>
      </c>
      <c r="C8005" s="29" t="n">
        <f aca="false">mix_h*Sens!C7997</f>
        <v>128</v>
      </c>
      <c r="D8005" s="29" t="n">
        <f aca="false">mix_h*Sens!D7997</f>
        <v>326</v>
      </c>
      <c r="E8005" s="29" t="n">
        <f aca="false">mix_h*Sens!E7997</f>
        <v>650</v>
      </c>
      <c r="F8005" s="29" t="n">
        <f aca="false">Sens!E8005-Sens!F8004*mix_h</f>
        <v>650</v>
      </c>
      <c r="G8005" s="29" t="n">
        <f aca="false">Sens!F8005-Sens!G8004*mix_h</f>
        <v>650</v>
      </c>
      <c r="H8005" s="29" t="n">
        <f aca="false">Sens!G8005-Sens!H8004*mix_h</f>
        <v>650</v>
      </c>
      <c r="I8005" s="29" t="n">
        <f aca="false">Sens!H8005-Sens!I8004*mix_h</f>
        <v>552</v>
      </c>
      <c r="J8005" s="29" t="n">
        <f aca="false">Sens!I8005-Sens!J8004*mix_h</f>
        <v>404</v>
      </c>
      <c r="K8005" s="29" t="n">
        <f aca="false">Sens!J8005-Sens!K8004*mix_h</f>
        <v>110</v>
      </c>
    </row>
    <row r="8006" customFormat="false" ht="17.15" hidden="false" customHeight="false" outlineLevel="0" collapsed="false">
      <c r="A8006" s="1" t="s">
        <v>824</v>
      </c>
      <c r="B8006" s="0" t="s">
        <v>399</v>
      </c>
      <c r="C8006" s="29" t="n">
        <f aca="false">mix_g2*Sens!C7997</f>
        <v>288</v>
      </c>
      <c r="D8006" s="29" t="n">
        <f aca="false">mix_g2*Sens!D7997</f>
        <v>733.5</v>
      </c>
      <c r="E8006" s="29" t="n">
        <f aca="false">mix_g2*Sens!E7997</f>
        <v>1462.5</v>
      </c>
      <c r="F8006" s="29" t="n">
        <f aca="false">Sens!E8006-Sens!F8004*mix_g2</f>
        <v>1462.5</v>
      </c>
      <c r="G8006" s="29" t="n">
        <f aca="false">Sens!F8006-Sens!G8004*mix_g2</f>
        <v>1462.5</v>
      </c>
      <c r="H8006" s="29" t="n">
        <f aca="false">Sens!G8006-Sens!H8004*mix_g2</f>
        <v>1462.5</v>
      </c>
      <c r="I8006" s="29" t="n">
        <f aca="false">Sens!H8006-Sens!I8004*mix_g2</f>
        <v>1242</v>
      </c>
      <c r="J8006" s="29" t="n">
        <f aca="false">Sens!I8006-Sens!J8004*mix_g2</f>
        <v>909</v>
      </c>
      <c r="K8006" s="29" t="n">
        <f aca="false">Sens!J8006-Sens!K8004*mix_g2</f>
        <v>247.5</v>
      </c>
    </row>
    <row r="8007" customFormat="false" ht="17.15" hidden="false" customHeight="false" outlineLevel="0" collapsed="false">
      <c r="A8007" s="1" t="s">
        <v>825</v>
      </c>
      <c r="B8007" s="0" t="s">
        <v>399</v>
      </c>
      <c r="C8007" s="29" t="n">
        <f aca="false">mix_g3*Sens!C7997</f>
        <v>224</v>
      </c>
      <c r="D8007" s="29" t="n">
        <f aca="false">mix_g3*Sens!D7997</f>
        <v>570.5</v>
      </c>
      <c r="E8007" s="29" t="n">
        <f aca="false">mix_g3*Sens!E7997</f>
        <v>1137.5</v>
      </c>
      <c r="F8007" s="29" t="n">
        <f aca="false">Sens!E8007+(Sens!F8003+Sens!F8004)*a_g3_27-Sens!F8004*mix_g3</f>
        <v>2906.54</v>
      </c>
      <c r="G8007" s="29" t="n">
        <f aca="false">Sens!F8007+(Sens!G8003+Sens!G8004)*a_g3_28-Sens!G8004*mix_g3</f>
        <v>3664.7</v>
      </c>
      <c r="H8007" s="29" t="n">
        <f aca="false">Sens!G8007+(Sens!H8003+Sens!H8004)*a_g3_29-Sens!H8004*mix_g3</f>
        <v>3917.42</v>
      </c>
      <c r="I8007" s="29" t="n">
        <f aca="false">Sens!H8007+(Sens!I8003+Sens!I8004)*a_g3_29-Sens!I8004*mix_g3</f>
        <v>3974.2316</v>
      </c>
      <c r="J8007" s="29" t="n">
        <f aca="false">Sens!I8007+(Sens!J8003+Sens!J8004)*a_g3_29-Sens!J8004*mix_g3</f>
        <v>3898.721032</v>
      </c>
      <c r="K8007" s="29" t="n">
        <f aca="false">Sens!J8007+(Sens!K8003+Sens!K8004)*a_g3_29-Sens!K8004*mix_g3</f>
        <v>3572.37986296</v>
      </c>
    </row>
    <row r="8008" customFormat="false" ht="17.15" hidden="false" customHeight="false" outlineLevel="0" collapsed="false">
      <c r="A8008" s="1" t="s">
        <v>826</v>
      </c>
      <c r="B8008" s="0" t="s">
        <v>399</v>
      </c>
      <c r="C8008" s="29" t="n">
        <v>0</v>
      </c>
      <c r="D8008" s="29" t="n">
        <v>0</v>
      </c>
      <c r="E8008" s="29" t="n">
        <v>0</v>
      </c>
      <c r="F8008" s="29" t="n">
        <f aca="false">Sens!E8008+(Sens!F8003+Sens!F8004)*(1-a_g3_27)</f>
        <v>758.16</v>
      </c>
      <c r="G8008" s="29" t="n">
        <f aca="false">Sens!F8008+(Sens!G8003+Sens!G8004)*(1-a_g3_28)</f>
        <v>2527.2</v>
      </c>
      <c r="H8008" s="29" t="n">
        <f aca="false">Sens!G8008+(Sens!H8003+Sens!H8004)*(1-a_g3_29)</f>
        <v>4801.68</v>
      </c>
      <c r="I8008" s="29" t="n">
        <f aca="false">Sens!H8008+(Sens!I8003+Sens!I8004)*(1-a_g3_29)</f>
        <v>6856.4844</v>
      </c>
      <c r="J8008" s="29" t="n">
        <f aca="false">Sens!I8008+(Sens!J8003+Sens!J8004)*(1-a_g3_29)</f>
        <v>8507.889288</v>
      </c>
      <c r="K8008" s="29" t="n">
        <f aca="false">Sens!J8008+(Sens!K8003+Sens!K8004)*(1-a_g3_29)</f>
        <v>10201.31876664</v>
      </c>
    </row>
    <row r="8009" customFormat="false" ht="17.15" hidden="false" customHeight="false" outlineLevel="0" collapsed="false">
      <c r="A8009" s="1" t="s">
        <v>827</v>
      </c>
      <c r="B8009" s="0" t="s">
        <v>346</v>
      </c>
      <c r="C8009" s="14" t="n">
        <f aca="false">(Sens!C8005*tk_hold_h100+Sens!C8006*tk_hold_gb200+Sens!C8007*tk_hold_gb300+Sens!C8008*tk_hold_vr200)/Sens!C7997</f>
        <v>9.7235358126469</v>
      </c>
      <c r="D8009" s="14" t="n">
        <f aca="false">(Sens!D8005*tk_hold_h100+Sens!D8006*tk_hold_gb200+Sens!D8007*tk_hold_gb300+Sens!D8008*tk_hold_vr200)/Sens!D7997</f>
        <v>9.7235358126469</v>
      </c>
      <c r="E8009" s="14" t="n">
        <f aca="false">(Sens!E8005*tk_hold_h100+Sens!E8006*tk_hold_gb200+Sens!E8007*tk_hold_gb300+Sens!E8008*tk_hold_vr200)/Sens!E7997</f>
        <v>9.7235358126469</v>
      </c>
      <c r="F8009" s="14" t="n">
        <f aca="false">(Sens!F8005*tk_hold_h100+Sens!F8006*tk_hold_gb200+Sens!F8007*tk_hold_gb300+Sens!F8008*tk_hold_vr200)/Sens!F7997</f>
        <v>10.4079573161931</v>
      </c>
      <c r="G8009" s="14" t="n">
        <f aca="false">(Sens!G8005*tk_hold_h100+Sens!G8006*tk_hold_gb200+Sens!G8007*tk_hold_gb300+Sens!G8008*tk_hold_vr200)/Sens!G7997</f>
        <v>10.8388131109316</v>
      </c>
      <c r="H8009" s="14" t="n">
        <f aca="false">(Sens!H8005*tk_hold_h100+Sens!H8006*tk_hold_gb200+Sens!H8007*tk_hold_gb300+Sens!H8008*tk_hold_vr200)/Sens!H7997</f>
        <v>11.1311018388216</v>
      </c>
      <c r="I8009" s="14" t="n">
        <f aca="false">(Sens!I8005*tk_hold_h100+Sens!I8006*tk_hold_gb200+Sens!I8007*tk_hold_gb300+Sens!I8008*tk_hold_vr200)/Sens!I7997</f>
        <v>11.3594282560989</v>
      </c>
      <c r="J8009" s="14" t="n">
        <f aca="false">(Sens!J8005*tk_hold_h100+Sens!J8006*tk_hold_gb200+Sens!J8007*tk_hold_gb300+Sens!J8008*tk_hold_vr200)/Sens!J7997</f>
        <v>11.5455817917599</v>
      </c>
      <c r="K8009" s="14" t="n">
        <f aca="false">(Sens!K8005*tk_hold_h100+Sens!K8006*tk_hold_gb200+Sens!K8007*tk_hold_gb300+Sens!K8008*tk_hold_vr200)/Sens!K7997</f>
        <v>11.8078187977246</v>
      </c>
    </row>
    <row r="8010" customFormat="false" ht="17.15" hidden="false" customHeight="false" outlineLevel="0" collapsed="false">
      <c r="A8010" s="0" t="s">
        <v>828</v>
      </c>
      <c r="B8010" s="0" t="s">
        <v>185</v>
      </c>
      <c r="C8010" s="14" t="n">
        <f aca="false">k_B</f>
        <v>1.17213932619116</v>
      </c>
      <c r="D8010" s="14" t="n">
        <f aca="false">k_B</f>
        <v>1.17213932619116</v>
      </c>
      <c r="E8010" s="14" t="n">
        <f aca="false">k_B</f>
        <v>1.17213932619116</v>
      </c>
      <c r="F8010" s="14" t="n">
        <f aca="false">(k_B+((ls_C*k_long+(1-ls_C)*k_spot)-k_B)*MIN(1,(Sens!F7995-base_fy)/k_ramp))</f>
        <v>1.07843258004497</v>
      </c>
      <c r="G8010" s="14" t="n">
        <f aca="false">(k_B+((ls_C*k_long+(1-ls_C)*k_spot)-k_B)*MIN(1,(Sens!G7995-base_fy)/k_ramp))</f>
        <v>0.984725833898784</v>
      </c>
      <c r="H8010" s="14" t="n">
        <f aca="false">(k_B+((ls_C*k_long+(1-ls_C)*k_spot)-k_B)*MIN(1,(Sens!H7995-base_fy)/k_ramp))</f>
        <v>0.891019087752599</v>
      </c>
      <c r="I8010" s="14" t="n">
        <f aca="false">(k_B+((ls_C*k_long+(1-ls_C)*k_spot)-k_B)*MIN(1,(Sens!I7995-base_fy)/k_ramp))</f>
        <v>0.891019087752599</v>
      </c>
      <c r="J8010" s="14" t="n">
        <f aca="false">(k_B+((ls_C*k_long+(1-ls_C)*k_spot)-k_B)*MIN(1,(Sens!J7995-base_fy)/k_ramp))</f>
        <v>0.891019087752599</v>
      </c>
      <c r="K8010" s="14" t="n">
        <f aca="false">(k_B+((ls_C*k_long+(1-ls_C)*k_spot)-k_B)*MIN(1,(Sens!K7995-base_fy)/k_ramp))</f>
        <v>0.891019087752599</v>
      </c>
      <c r="L8010" s="1" t="s">
        <v>829</v>
      </c>
    </row>
    <row r="8011" customFormat="false" ht="17.15" hidden="false" customHeight="false" outlineLevel="0" collapsed="false">
      <c r="A8011" s="1" t="s">
        <v>830</v>
      </c>
      <c r="B8011" s="0" t="s">
        <v>346</v>
      </c>
      <c r="C8011" s="14" t="n">
        <f aca="false">Sens!C8009*Sens!C8010*chip_f</f>
        <v>11.3973387156315</v>
      </c>
      <c r="D8011" s="14" t="n">
        <f aca="false">Sens!D8009*Sens!D8010*chip_f</f>
        <v>11.3973387156315</v>
      </c>
      <c r="E8011" s="14" t="n">
        <f aca="false">Sens!E8009*Sens!E8010*chip_f</f>
        <v>11.3973387156315</v>
      </c>
      <c r="F8011" s="14" t="n">
        <f aca="false">Sens!F8009*Sens!F8010*chip_f</f>
        <v>11.2242802615</v>
      </c>
      <c r="G8011" s="14" t="n">
        <f aca="false">Sens!G8009*Sens!G8010*chip_f</f>
        <v>10.6732592791352</v>
      </c>
      <c r="H8011" s="14" t="n">
        <f aca="false">Sens!H8009*Sens!H8010*chip_f</f>
        <v>9.91802420610807</v>
      </c>
      <c r="I8011" s="14" t="n">
        <f aca="false">Sens!I8009*Sens!I8010*chip_f</f>
        <v>10.1214674021403</v>
      </c>
      <c r="J8011" s="14" t="n">
        <f aca="false">Sens!J8009*Sens!J8010*chip_f</f>
        <v>10.2873337556669</v>
      </c>
      <c r="K8011" s="14" t="n">
        <f aca="false">Sens!K8009*Sens!K8010*chip_f</f>
        <v>10.5209919334966</v>
      </c>
      <c r="L8011" s="1" t="s">
        <v>831</v>
      </c>
    </row>
    <row r="8012" customFormat="false" ht="17.15" hidden="false" customHeight="false" outlineLevel="0" collapsed="false">
      <c r="A8012" s="0" t="s">
        <v>832</v>
      </c>
      <c r="B8012" s="0" t="s">
        <v>98</v>
      </c>
      <c r="D8012" s="6" t="n">
        <f aca="false">(Sens!C7997+Sens!D7997)/2*Sens!D8011/1000</f>
        <v>12.9359794422418</v>
      </c>
      <c r="E8012" s="6" t="n">
        <f aca="false">(Sens!D7997+Sens!E7997)/2*Sens!E8011/1000</f>
        <v>27.8095064661409</v>
      </c>
      <c r="F8012" s="6" t="n">
        <f aca="false">(Sens!E7997+Sens!F7997)/2*Sens!F8011/1000</f>
        <v>50.6619113883066</v>
      </c>
      <c r="G8012" s="6" t="n">
        <f aca="false">(Sens!F7997+Sens!G7997)/2*Sens!G8011/1000</f>
        <v>75.1482839325348</v>
      </c>
      <c r="H8012" s="6" t="n">
        <f aca="false">(Sens!G7997+Sens!H7997)/2*Sens!H8011/1000</f>
        <v>94.895655604042</v>
      </c>
      <c r="I8012" s="6" t="n">
        <f aca="false">(Sens!H7997+Sens!I7997)/2*Sens!I8011/1000</f>
        <v>118.706168884151</v>
      </c>
      <c r="J8012" s="6" t="n">
        <f aca="false">(Sens!I7997+Sens!J7997)/2*Sens!J8011/1000</f>
        <v>135.50643871102</v>
      </c>
      <c r="K8012" s="6" t="n">
        <f aca="false">(Sens!J7997+Sens!K7997)/2*Sens!K8011/1000</f>
        <v>146.509068150048</v>
      </c>
      <c r="L8012" s="11" t="s">
        <v>833</v>
      </c>
    </row>
    <row r="8013" customFormat="false" ht="17.15" hidden="false" customHeight="false" outlineLevel="0" collapsed="false">
      <c r="A8013" s="1" t="s">
        <v>834</v>
      </c>
      <c r="B8013" s="0" t="s">
        <v>346</v>
      </c>
      <c r="C8013" s="14" t="n">
        <f aca="false">(Sens!C8005*tk_opex_h100+Sens!C8006*tk_opex_gb200+Sens!C8007*tk_opex_gb300+Sens!C8008*tk_opex_vr200)/Sens!C7997</f>
        <v>1.88636041306092</v>
      </c>
      <c r="D8013" s="14" t="n">
        <f aca="false">(Sens!D8005*tk_opex_h100+Sens!D8006*tk_opex_gb200+Sens!D8007*tk_opex_gb300+Sens!D8008*tk_opex_vr200)/Sens!D7997</f>
        <v>1.88636041306092</v>
      </c>
      <c r="E8013" s="14" t="n">
        <f aca="false">(Sens!E8005*tk_opex_h100+Sens!E8006*tk_opex_gb200+Sens!E8007*tk_opex_gb300+Sens!E8008*tk_opex_vr200)/Sens!E7997</f>
        <v>1.88636041306092</v>
      </c>
      <c r="F8013" s="14" t="n">
        <f aca="false">(Sens!F8005*tk_opex_h100+Sens!F8006*tk_opex_gb200+Sens!F8007*tk_opex_gb300+Sens!F8008*tk_opex_vr200)/Sens!F7997</f>
        <v>1.9430236476499</v>
      </c>
      <c r="G8013" s="14" t="n">
        <f aca="false">(Sens!G8005*tk_opex_h100+Sens!G8006*tk_opex_gb200+Sens!G8007*tk_opex_gb300+Sens!G8008*tk_opex_vr200)/Sens!G7997</f>
        <v>1.9786941852423</v>
      </c>
      <c r="H8013" s="14" t="n">
        <f aca="false">(Sens!H8005*tk_opex_h100+Sens!H8006*tk_opex_gb200+Sens!H8007*tk_opex_gb300+Sens!H8008*tk_opex_vr200)/Sens!H7997</f>
        <v>2.00289275976156</v>
      </c>
      <c r="I8013" s="14" t="n">
        <f aca="false">(Sens!I8005*tk_opex_h100+Sens!I8006*tk_opex_gb200+Sens!I8007*tk_opex_gb300+Sens!I8008*tk_opex_vr200)/Sens!I7997</f>
        <v>2.02179589661219</v>
      </c>
      <c r="J8013" s="14" t="n">
        <f aca="false">(Sens!J8005*tk_opex_h100+Sens!J8006*tk_opex_gb200+Sens!J8007*tk_opex_gb300+Sens!J8008*tk_opex_vr200)/Sens!J7997</f>
        <v>2.03720754193029</v>
      </c>
      <c r="K8013" s="14" t="n">
        <f aca="false">(Sens!K8005*tk_opex_h100+Sens!K8006*tk_opex_gb200+Sens!K8007*tk_opex_gb300+Sens!K8008*tk_opex_vr200)/Sens!K7997</f>
        <v>2.0589181353437</v>
      </c>
    </row>
    <row r="8014" customFormat="false" ht="17.15" hidden="false" customHeight="false" outlineLevel="0" collapsed="false">
      <c r="A8014" s="0" t="s">
        <v>835</v>
      </c>
      <c r="B8014" s="0" t="s">
        <v>98</v>
      </c>
      <c r="D8014" s="6" t="n">
        <f aca="false">(Sens!C8000+Sens!D8000)/2*Sens!D8013/1000</f>
        <v>2.70378325872065</v>
      </c>
      <c r="E8014" s="6" t="n">
        <f aca="false">(Sens!D8000+Sens!E8000)/2*Sens!E8013/1000</f>
        <v>6.17783035277451</v>
      </c>
      <c r="F8014" s="6" t="n">
        <f aca="false">(Sens!E8000+Sens!F8000)/2*Sens!F8013/1000</f>
        <v>12.5020618235287</v>
      </c>
      <c r="G8014" s="6" t="n">
        <f aca="false">(Sens!F8000+Sens!G8000)/2*Sens!G8013/1000</f>
        <v>20.7261620256847</v>
      </c>
      <c r="H8014" s="6" t="n">
        <f aca="false">(Sens!G8000+Sens!H8000)/2*Sens!H8013/1000</f>
        <v>29.4158183316982</v>
      </c>
      <c r="I8014" s="6" t="n">
        <f aca="false">(Sens!H8000+Sens!I8000)/2*Sens!I8013/1000</f>
        <v>36.9724400356344</v>
      </c>
      <c r="J8014" s="6" t="n">
        <f aca="false">(Sens!I8000+Sens!J8000)/2*Sens!J8013/1000</f>
        <v>42.1571687189816</v>
      </c>
      <c r="K8014" s="6" t="n">
        <f aca="false">(Sens!J8000+Sens!K8000)/2*Sens!K8013/1000</f>
        <v>45.1912095080704</v>
      </c>
    </row>
    <row r="8015" customFormat="false" ht="17.15" hidden="false" customHeight="false" outlineLevel="0" collapsed="false">
      <c r="A8015" s="0" t="s">
        <v>836</v>
      </c>
      <c r="B8015" s="0" t="s">
        <v>98</v>
      </c>
      <c r="D8015" s="6" t="n">
        <f aca="false">(Sens!C7998+Sens!D7998)/2*rent_mw/1000</f>
        <v>2.44475</v>
      </c>
      <c r="E8015" s="6" t="n">
        <f aca="false">(Sens!D7998+Sens!E7998)/2*rent_mw/1000</f>
        <v>4.22275</v>
      </c>
      <c r="F8015" s="6" t="n">
        <f aca="false">(Sens!E7998+Sens!F7998)/2*rent_mw/1000</f>
        <v>5.80517</v>
      </c>
      <c r="G8015" s="6" t="n">
        <f aca="false">(Sens!F7998+Sens!G7998)/2*rent_mw/1000</f>
        <v>6.72084</v>
      </c>
      <c r="H8015" s="6" t="n">
        <f aca="false">(Sens!G7998+Sens!H7998)/2*rent_mw/1000</f>
        <v>6.72084</v>
      </c>
      <c r="I8015" s="6" t="n">
        <f aca="false">(Sens!H7998+Sens!I7998)/2*rent_mw/1000</f>
        <v>6.72084</v>
      </c>
      <c r="J8015" s="6" t="n">
        <f aca="false">(Sens!I7998+Sens!J7998)/2*rent_mw/1000</f>
        <v>6.72084</v>
      </c>
      <c r="K8015" s="6" t="n">
        <f aca="false">(Sens!J7998+Sens!K7998)/2*rent_mw/1000</f>
        <v>6.72084</v>
      </c>
    </row>
    <row r="8016" customFormat="false" ht="17.15" hidden="false" customHeight="false" outlineLevel="0" collapsed="false">
      <c r="A8016" s="0" t="s">
        <v>837</v>
      </c>
      <c r="B8016" s="0" t="s">
        <v>98</v>
      </c>
      <c r="D8016" s="6" t="n">
        <f aca="false">(Sens!C8000+Sens!D8000)/2*(1-self_build)*fac_rent/1000</f>
        <v>0.853242375631075</v>
      </c>
      <c r="E8016" s="6" t="n">
        <f aca="false">(Sens!D8000+Sens!E8000)/2*(1-self_build)*fac_rent/1000</f>
        <v>1.94955961408728</v>
      </c>
      <c r="F8016" s="6" t="n">
        <f aca="false">(Sens!E8000+Sens!F8000)/2*(1-self_build)*fac_rent/1000</f>
        <v>3.83026455274573</v>
      </c>
      <c r="G8016" s="6" t="n">
        <f aca="false">(Sens!F8000+Sens!G8000)/2*(1-self_build)*fac_rent/1000</f>
        <v>6.23541590972812</v>
      </c>
      <c r="H8016" s="6" t="n">
        <f aca="false">(Sens!G8000+Sens!H8000)/2*(1-self_build)*fac_rent/1000</f>
        <v>8.74275792332679</v>
      </c>
      <c r="I8016" s="6" t="n">
        <f aca="false">(Sens!H8000+Sens!I8000)/2*(1-self_build)*fac_rent/1000</f>
        <v>10.8859420438599</v>
      </c>
      <c r="J8016" s="6" t="n">
        <f aca="false">(Sens!I8000+Sens!J8000)/2*(1-self_build)*fac_rent/1000</f>
        <v>12.3186006405366</v>
      </c>
      <c r="K8016" s="6" t="n">
        <f aca="false">(Sens!J8000+Sens!K8000)/2*(1-self_build)*fac_rent/1000</f>
        <v>13.0659232089824</v>
      </c>
      <c r="L8016" s="11" t="s">
        <v>838</v>
      </c>
    </row>
    <row r="8017" customFormat="false" ht="17.15" hidden="false" customHeight="false" outlineLevel="0" collapsed="false">
      <c r="A8017" s="1" t="s">
        <v>839</v>
      </c>
      <c r="B8017" s="0" t="s">
        <v>129</v>
      </c>
      <c r="D8017" s="7" t="n">
        <f aca="false">(Sens!C7999+Sens!D7999)/(Sens!C8000+Sens!D8000)</f>
        <v>0.6</v>
      </c>
      <c r="E8017" s="7" t="n">
        <f aca="false">(Sens!D7999+Sens!E7999)/(Sens!D8000+Sens!E8000)</f>
        <v>0.6</v>
      </c>
      <c r="F8017" s="7" t="n">
        <f aca="false">(Sens!E7999+Sens!F7999)/(Sens!E8000+Sens!F8000)</f>
        <v>0.6</v>
      </c>
      <c r="G8017" s="7" t="n">
        <f aca="false">(Sens!F7999+Sens!G7999)/(Sens!F8000+Sens!G8000)</f>
        <v>0.6</v>
      </c>
      <c r="H8017" s="7" t="n">
        <f aca="false">(Sens!G7999+Sens!H7999)/(Sens!G8000+Sens!H8000)</f>
        <v>0.6</v>
      </c>
      <c r="I8017" s="7" t="n">
        <f aca="false">(Sens!H7999+Sens!I7999)/(Sens!H8000+Sens!I8000)</f>
        <v>0.6</v>
      </c>
      <c r="J8017" s="7" t="n">
        <f aca="false">(Sens!I7999+Sens!J7999)/(Sens!I8000+Sens!J8000)</f>
        <v>0.6</v>
      </c>
      <c r="K8017" s="7" t="n">
        <f aca="false">(Sens!J7999+Sens!K7999)/(Sens!J8000+Sens!K8000)</f>
        <v>0.6</v>
      </c>
    </row>
    <row r="8018" customFormat="false" ht="17.15" hidden="false" customHeight="false" outlineLevel="0" collapsed="false">
      <c r="A8018" s="0" t="s">
        <v>840</v>
      </c>
      <c r="B8018" s="0" t="s">
        <v>98</v>
      </c>
      <c r="D8018" s="6" t="n">
        <f aca="false">Sens!D8012-Sens!D8017*(Sens!D8014+Sens!D8016)-Sens!D8015</f>
        <v>8.35701406163072</v>
      </c>
      <c r="E8018" s="6" t="n">
        <f aca="false">Sens!E8012-Sens!E8017*(Sens!E8014+Sens!E8016)-Sens!E8015</f>
        <v>18.7103224860238</v>
      </c>
      <c r="F8018" s="6" t="n">
        <f aca="false">Sens!F8012-Sens!F8017*(Sens!F8014+Sens!F8016)-Sens!F8015</f>
        <v>35.0573455625419</v>
      </c>
      <c r="G8018" s="6" t="n">
        <f aca="false">Sens!G8012-Sens!G8017*(Sens!G8014+Sens!G8016)-Sens!G8015</f>
        <v>52.2504971712871</v>
      </c>
      <c r="H8018" s="6" t="n">
        <f aca="false">Sens!H8012-Sens!H8017*(Sens!H8014+Sens!H8016)-Sens!H8015</f>
        <v>65.2796698510271</v>
      </c>
      <c r="I8018" s="6" t="n">
        <f aca="false">Sens!I8012-Sens!I8017*(Sens!I8014+Sens!I8016)-Sens!I8015</f>
        <v>83.2702996364549</v>
      </c>
      <c r="J8018" s="6" t="n">
        <f aca="false">Sens!J8012-Sens!J8017*(Sens!J8014+Sens!J8016)-Sens!J8015</f>
        <v>96.1001370953095</v>
      </c>
      <c r="K8018" s="6" t="n">
        <f aca="false">Sens!K8012-Sens!K8017*(Sens!K8014+Sens!K8016)-Sens!K8015</f>
        <v>104.833948519816</v>
      </c>
    </row>
    <row r="8019" customFormat="false" ht="17.15" hidden="false" customHeight="false" outlineLevel="0" collapsed="false">
      <c r="A8019" s="1" t="s">
        <v>841</v>
      </c>
      <c r="B8019" s="0" t="s">
        <v>98</v>
      </c>
      <c r="D8019" s="6" t="n">
        <f aca="false">(1-Sens!D8017)*(Sens!D8014+Sens!D8016)</f>
        <v>1.42281025374069</v>
      </c>
      <c r="E8019" s="6" t="n">
        <f aca="false">(1-Sens!E8017)*(Sens!E8014+Sens!E8016)</f>
        <v>3.25095598674472</v>
      </c>
      <c r="F8019" s="6" t="n">
        <f aca="false">(1-Sens!F8017)*(Sens!F8014+Sens!F8016)</f>
        <v>6.53293055050977</v>
      </c>
      <c r="G8019" s="6" t="n">
        <f aca="false">(1-Sens!G8017)*(Sens!G8014+Sens!G8016)</f>
        <v>10.7846311741651</v>
      </c>
      <c r="H8019" s="6" t="n">
        <f aca="false">(1-Sens!H8017)*(Sens!H8014+Sens!H8016)</f>
        <v>15.26343050201</v>
      </c>
      <c r="I8019" s="6" t="n">
        <f aca="false">(1-Sens!I8017)*(Sens!I8014+Sens!I8016)</f>
        <v>19.1433528317977</v>
      </c>
      <c r="J8019" s="6" t="n">
        <f aca="false">(1-Sens!J8017)*(Sens!J8014+Sens!J8016)</f>
        <v>21.7903077438073</v>
      </c>
      <c r="K8019" s="6" t="n">
        <f aca="false">(1-Sens!K8017)*(Sens!K8014+Sens!K8016)</f>
        <v>23.3028530868211</v>
      </c>
    </row>
    <row r="8020" customFormat="false" ht="17.15" hidden="false" customHeight="false" outlineLevel="0" collapsed="false">
      <c r="A8020" s="1" t="s">
        <v>842</v>
      </c>
      <c r="B8020" s="0" t="s">
        <v>357</v>
      </c>
      <c r="C8020" s="8" t="n">
        <f aca="false">cxit_open</f>
        <v>27.5918995</v>
      </c>
      <c r="D8020" s="8" t="n">
        <f aca="false">cxit_open</f>
        <v>27.5918995</v>
      </c>
      <c r="E8020" s="8" t="n">
        <f aca="false">cxit_open</f>
        <v>27.5918995</v>
      </c>
      <c r="F8020" s="8" t="n">
        <f aca="false">(a_g3_27*tk_cxit_gb300+(1-a_g3_27)*tk_cxit_vr200)</f>
        <v>33.8419624</v>
      </c>
      <c r="G8020" s="8" t="n">
        <f aca="false">(a_g3_28*tk_cxit_gb300+(1-a_g3_28)*tk_cxit_vr200)</f>
        <v>35.9816136</v>
      </c>
      <c r="H8020" s="8" t="n">
        <f aca="false">(a_g3_29*tk_cxit_gb300+(1-a_g3_29)*tk_cxit_vr200)</f>
        <v>37.0514392</v>
      </c>
      <c r="I8020" s="8" t="n">
        <f aca="false">(a_g3_29*tk_cxit_gb300+(1-a_g3_29)*tk_cxit_vr200)</f>
        <v>37.0514392</v>
      </c>
      <c r="J8020" s="8" t="n">
        <f aca="false">(a_g3_29*tk_cxit_gb300+(1-a_g3_29)*tk_cxit_vr200)</f>
        <v>37.0514392</v>
      </c>
      <c r="K8020" s="8" t="n">
        <f aca="false">(a_g3_29*tk_cxit_gb300+(1-a_g3_29)*tk_cxit_vr200)</f>
        <v>37.0514392</v>
      </c>
      <c r="L8020" s="11" t="s">
        <v>843</v>
      </c>
    </row>
    <row r="8021" customFormat="false" ht="17.15" hidden="false" customHeight="false" outlineLevel="0" collapsed="false">
      <c r="A8021" s="0" t="s">
        <v>844</v>
      </c>
      <c r="B8021" s="0" t="s">
        <v>399</v>
      </c>
      <c r="F8021" s="29" t="n">
        <f aca="false">Sens!C8002*IF(Sens!F7995-Sens!C7995=life_it,1,0)+Sens!D8002*IF(Sens!F7995-Sens!D7995=life_it,1,0)+Sens!E8002*IF(Sens!F7995-Sens!E7995=life_it,1,0)</f>
        <v>0</v>
      </c>
      <c r="G8021" s="29" t="n">
        <f aca="false">Sens!C8002*IF(Sens!G7995-Sens!C7995=life_it,1,0)+Sens!D8002*IF(Sens!G7995-Sens!D7995=life_it,1,0)+Sens!E8002*IF(Sens!G7995-Sens!E7995=life_it,1,0)+Sens!F8002*IF(Sens!G7995-Sens!F7995=life_it,1,0)</f>
        <v>0</v>
      </c>
      <c r="H8021" s="29" t="n">
        <f aca="false">Sens!C8002*IF(Sens!H7995-Sens!C7995=life_it,1,0)+Sens!D8002*IF(Sens!H7995-Sens!D7995=life_it,1,0)+Sens!E8002*IF(Sens!H7995-Sens!E7995=life_it,1,0)+Sens!F8002*IF(Sens!H7995-Sens!F7995=life_it,1,0)+Sens!G8002*IF(Sens!H7995-Sens!G7995=life_it,1,0)</f>
        <v>0</v>
      </c>
      <c r="I8021" s="29" t="n">
        <f aca="false">Sens!C8002*IF(Sens!I7995-Sens!C7995=life_it,1,0)+Sens!D8002*IF(Sens!I7995-Sens!D7995=life_it,1,0)+Sens!E8002*IF(Sens!I7995-Sens!E7995=life_it,1,0)+Sens!F8002*IF(Sens!I7995-Sens!F7995=life_it,1,0)+Sens!G8002*IF(Sens!I7995-Sens!G7995=life_it,1,0)+Sens!H8002*IF(Sens!I7995-Sens!H7995=life_it,1,0)</f>
        <v>816.666666666667</v>
      </c>
      <c r="J8021" s="29" t="n">
        <f aca="false">Sens!C8002*IF(Sens!J7995-Sens!C7995=life_it,1,0)+Sens!D8002*IF(Sens!J7995-Sens!D7995=life_it,1,0)+Sens!E8002*IF(Sens!J7995-Sens!E7995=life_it,1,0)+Sens!F8002*IF(Sens!J7995-Sens!F7995=life_it,1,0)+Sens!G8002*IF(Sens!J7995-Sens!G7995=life_it,1,0)+Sens!H8002*IF(Sens!J7995-Sens!H7995=life_it,1,0)+Sens!I8002*IF(Sens!J7995-Sens!I7995=life_it,1,0)</f>
        <v>1233.33333333333</v>
      </c>
      <c r="K8021" s="29" t="n">
        <f aca="false">Sens!C8002*IF(Sens!K7995-Sens!C7995=life_it,1,0)+Sens!D8002*IF(Sens!K7995-Sens!D7995=life_it,1,0)+Sens!E8002*IF(Sens!K7995-Sens!E7995=life_it,1,0)+Sens!F8002*IF(Sens!K7995-Sens!F7995=life_it,1,0)+Sens!G8002*IF(Sens!K7995-Sens!G7995=life_it,1,0)+Sens!H8002*IF(Sens!K7995-Sens!H7995=life_it,1,0)+Sens!I8002*IF(Sens!K7995-Sens!I7995=life_it,1,0)+Sens!J8002*IF(Sens!K7995-Sens!J7995=life_it,1,0)</f>
        <v>2450</v>
      </c>
      <c r="L8021" s="1" t="s">
        <v>845</v>
      </c>
    </row>
    <row r="8022" customFormat="false" ht="17.15" hidden="false" customHeight="false" outlineLevel="0" collapsed="false">
      <c r="A8022" s="0" t="s">
        <v>846</v>
      </c>
      <c r="B8022" s="0" t="s">
        <v>98</v>
      </c>
      <c r="C8022" s="6" t="n">
        <f aca="false">Sens!C8002*Sens!C8020/1000</f>
        <v>22.5333845916667</v>
      </c>
      <c r="D8022" s="6" t="n">
        <f aca="false">Sens!D8002*Sens!D8020/1000</f>
        <v>34.0300093833333</v>
      </c>
      <c r="E8022" s="6" t="n">
        <f aca="false">Sens!E8002*Sens!E8020/1000</f>
        <v>67.600153775</v>
      </c>
      <c r="F8022" s="6" t="n">
        <f aca="false">(Sens!F8002+Sens!F8021)*Sens!F8020/1000</f>
        <v>130.923271871467</v>
      </c>
      <c r="G8022" s="6" t="n">
        <f aca="false">(Sens!G8002+Sens!G8021)*Sens!G8020/1000</f>
        <v>151.5545564832</v>
      </c>
      <c r="H8022" s="6" t="n">
        <f aca="false">(Sens!H8002+Sens!H8021)*Sens!H8020/1000</f>
        <v>156.0606619104</v>
      </c>
      <c r="I8022" s="6" t="n">
        <f aca="false">(Sens!I8002+Sens!I8021)*Sens!I8020/1000</f>
        <v>140.987889434245</v>
      </c>
      <c r="J8022" s="6" t="n">
        <f aca="false">(Sens!J8002+Sens!J8021)*Sens!J8020/1000</f>
        <v>113.309125559842</v>
      </c>
      <c r="K8022" s="6" t="n">
        <f aca="false">(Sens!K8002+Sens!K8021)*Sens!K8020/1000</f>
        <v>116.192591420959</v>
      </c>
    </row>
    <row r="8023" customFormat="false" ht="17.15" hidden="false" customHeight="false" outlineLevel="0" collapsed="false">
      <c r="A8023" s="0" t="s">
        <v>847</v>
      </c>
      <c r="B8023" s="0" t="s">
        <v>98</v>
      </c>
      <c r="C8023" s="6" t="n">
        <f aca="false">Sens!C8002*self_build*tk_cxfac/1000</f>
        <v>6.2083</v>
      </c>
      <c r="D8023" s="6" t="n">
        <f aca="false">Sens!D8002*self_build*tk_cxfac/1000</f>
        <v>9.3758</v>
      </c>
      <c r="E8023" s="6" t="n">
        <f aca="false">Sens!E8002*self_build*tk_cxfac/1000</f>
        <v>18.6249</v>
      </c>
      <c r="F8023" s="6" t="n">
        <f aca="false">Sens!F8002*self_build*tk_cxfac/1000</f>
        <v>29.409604</v>
      </c>
      <c r="G8023" s="6" t="n">
        <f aca="false">Sens!G8002*self_build*tk_cxfac/1000</f>
        <v>32.019624</v>
      </c>
      <c r="H8023" s="6" t="n">
        <f aca="false">Sens!H8002*self_build*tk_cxfac/1000</f>
        <v>32.019624</v>
      </c>
      <c r="I8023" s="6" t="n">
        <f aca="false">Sens!I8002*self_build*tk_cxfac/1000</f>
        <v>22.71877972</v>
      </c>
      <c r="J8023" s="6" t="n">
        <f aca="false">Sens!J8002*self_build*tk_cxfac/1000</f>
        <v>13.8723110344</v>
      </c>
      <c r="K8023" s="6" t="n">
        <f aca="false">Sens!K8002*self_build*tk_cxfac/1000</f>
        <v>5.214823882632</v>
      </c>
    </row>
    <row r="8024" customFormat="false" ht="17.15" hidden="false" customHeight="false" outlineLevel="0" collapsed="false">
      <c r="A8024" s="0" t="s">
        <v>848</v>
      </c>
      <c r="B8024" s="0" t="s">
        <v>98</v>
      </c>
      <c r="F8024" s="6" t="n">
        <f aca="false">MAX(0,capex_floor27-Sens!F8022-Sens!F8023-Sens!F8118)</f>
        <v>8.51190539250474</v>
      </c>
    </row>
    <row r="8025" customFormat="false" ht="17.15" hidden="false" customHeight="false" outlineLevel="0" collapsed="false">
      <c r="A8025" s="0" t="s">
        <v>849</v>
      </c>
      <c r="B8025" s="0" t="s">
        <v>98</v>
      </c>
      <c r="C8025" s="6" t="n">
        <f aca="false">Sens!C8022</f>
        <v>22.5333845916667</v>
      </c>
      <c r="D8025" s="6" t="n">
        <f aca="false">Sens!D8022</f>
        <v>34.0300093833333</v>
      </c>
      <c r="E8025" s="6" t="n">
        <f aca="false">Sens!E8022</f>
        <v>67.600153775</v>
      </c>
      <c r="F8025" s="6" t="n">
        <f aca="false">Sens!F8022</f>
        <v>130.923271871467</v>
      </c>
      <c r="G8025" s="6" t="n">
        <f aca="false">Sens!G8022</f>
        <v>151.5545564832</v>
      </c>
      <c r="H8025" s="6" t="n">
        <f aca="false">Sens!H8022</f>
        <v>156.0606619104</v>
      </c>
      <c r="I8025" s="6" t="n">
        <f aca="false">Sens!I8022</f>
        <v>140.987889434245</v>
      </c>
      <c r="J8025" s="6" t="n">
        <f aca="false">Sens!J8022</f>
        <v>113.309125559842</v>
      </c>
      <c r="K8025" s="6" t="n">
        <f aca="false">Sens!K8022</f>
        <v>116.192591420959</v>
      </c>
    </row>
    <row r="8026" customFormat="false" ht="17.15" hidden="false" customHeight="false" outlineLevel="0" collapsed="false">
      <c r="A8026" s="0" t="s">
        <v>850</v>
      </c>
      <c r="B8026" s="0" t="s">
        <v>98</v>
      </c>
      <c r="C8026" s="6" t="n">
        <f aca="false">Sens!C8025+Sens!C8023</f>
        <v>28.7416845916667</v>
      </c>
      <c r="D8026" s="6" t="n">
        <f aca="false">Sens!D8025+Sens!D8023</f>
        <v>43.4058093833333</v>
      </c>
      <c r="E8026" s="6" t="n">
        <f aca="false">Sens!E8025+Sens!E8023</f>
        <v>86.225053775</v>
      </c>
      <c r="F8026" s="6" t="n">
        <f aca="false">Sens!F8025+Sens!F8023</f>
        <v>160.332875871467</v>
      </c>
      <c r="G8026" s="6" t="n">
        <f aca="false">Sens!G8025+Sens!G8023</f>
        <v>183.5741804832</v>
      </c>
      <c r="H8026" s="6" t="n">
        <f aca="false">Sens!H8025+Sens!H8023</f>
        <v>188.0802859104</v>
      </c>
      <c r="I8026" s="6" t="n">
        <f aca="false">Sens!I8025+Sens!I8023</f>
        <v>163.706669154245</v>
      </c>
      <c r="J8026" s="6" t="n">
        <f aca="false">Sens!J8025+Sens!J8023</f>
        <v>127.181436594242</v>
      </c>
      <c r="K8026" s="6" t="n">
        <f aca="false">Sens!K8025+Sens!K8023</f>
        <v>121.407415303591</v>
      </c>
      <c r="L8026" s="11" t="s">
        <v>851</v>
      </c>
    </row>
    <row r="8027" customFormat="false" ht="17.15" hidden="false" customHeight="false" outlineLevel="0" collapsed="false">
      <c r="A8027" s="0" t="s">
        <v>852</v>
      </c>
      <c r="B8027" s="0" t="s">
        <v>98</v>
      </c>
      <c r="E8027" s="6" t="n">
        <f aca="false">(Sens!C8025*IF(2&lt;life_it,1,IF(2=life_it,0.5,0))+Sens!D8025*IF(1&lt;life_it,1,IF(1=life_it,0.5,0))+Sens!E8025*0.5)/life_it</f>
        <v>15.0605784770833</v>
      </c>
      <c r="F8027" s="6" t="n">
        <f aca="false">(Sens!C8025*IF(3&lt;life_it,1,IF(3=life_it,0.5,0))+Sens!D8025*IF(2&lt;life_it,1,IF(2=life_it,0.5,0))+Sens!E8025*IF(1&lt;life_it,1,IF(1=life_it,0.5,0))+Sens!F8025*0.5)/life_it</f>
        <v>31.6041972809556</v>
      </c>
      <c r="G8027" s="6" t="n">
        <f aca="false">(Sens!C8025*IF(4&lt;life_it,1,IF(4=life_it,0.5,0))+Sens!D8025*IF(3&lt;life_it,1,IF(3=life_it,0.5,0))+Sens!E8025*IF(2&lt;life_it,1,IF(2=life_it,0.5,0))+Sens!F8025*IF(1&lt;life_it,1,IF(1=life_it,0.5,0))+Sens!G8025*0.5)/life_it</f>
        <v>55.1440163105111</v>
      </c>
      <c r="H8027" s="6" t="n">
        <f aca="false">(Sens!C8025*IF(5&lt;life_it,1,IF(5=life_it,0.5,0))+Sens!D8025*IF(4&lt;life_it,1,IF(4=life_it,0.5,0))+Sens!E8025*IF(3&lt;life_it,1,IF(3=life_it,0.5,0))+Sens!F8025*IF(2&lt;life_it,1,IF(2=life_it,0.5,0))+Sens!G8025*IF(1&lt;life_it,1,IF(1=life_it,0.5,0))+Sens!H8025*0.5)/life_it</f>
        <v>80.7786178433111</v>
      </c>
      <c r="I8027" s="6" t="n">
        <f aca="false">(Sens!C8025*IF(6&lt;life_it,1,IF(6=life_it,0.5,0))+Sens!D8025*IF(5&lt;life_it,1,IF(5=life_it,0.5,0))+Sens!E8025*IF(4&lt;life_it,1,IF(4=life_it,0.5,0))+Sens!F8025*IF(3&lt;life_it,1,IF(3=life_it,0.5,0))+Sens!G8025*IF(2&lt;life_it,1,IF(2=life_it,0.5,0))+Sens!H8025*IF(1&lt;life_it,1,IF(1=life_it,0.5,0))+Sens!I8025*0.5)/life_it</f>
        <v>103.654881739393</v>
      </c>
      <c r="J8027" s="6" t="n">
        <f aca="false">(Sens!C8025*IF(7&lt;life_it,1,IF(7=life_it,0.5,0))+Sens!D8025*IF(6&lt;life_it,1,IF(6=life_it,0.5,0))+Sens!E8025*IF(5&lt;life_it,1,IF(5=life_it,0.5,0))+Sens!F8025*IF(4&lt;life_it,1,IF(4=life_it,0.5,0))+Sens!G8025*IF(3&lt;life_it,1,IF(3=life_it,0.5,0))+Sens!H8025*IF(2&lt;life_it,1,IF(2=life_it,0.5,0))+Sens!I8025*IF(1&lt;life_it,1,IF(1=life_it,0.5,0))+Sens!J8025*0.5)/life_it</f>
        <v>120.132683490983</v>
      </c>
      <c r="K8027" s="6" t="n">
        <f aca="false">(Sens!C8025*IF(8&lt;life_it,1,IF(8=life_it,0.5,0))+Sens!D8025*IF(7&lt;life_it,1,IF(7=life_it,0.5,0))+Sens!E8025*IF(6&lt;life_it,1,IF(6=life_it,0.5,0))+Sens!F8025*IF(5&lt;life_it,1,IF(5=life_it,0.5,0))+Sens!G8025*IF(4&lt;life_it,1,IF(4=life_it,0.5,0))+Sens!H8025*IF(3&lt;life_it,1,IF(3=life_it,0.5,0))+Sens!I8025*IF(2&lt;life_it,1,IF(2=life_it,0.5,0))+Sens!J8025*IF(1&lt;life_it,1,IF(1=life_it,0.5,0))+Sens!K8025*0.5)/life_it</f>
        <v>130.788646309522</v>
      </c>
    </row>
    <row r="8028" customFormat="false" ht="17.15" hidden="false" customHeight="false" outlineLevel="0" collapsed="false">
      <c r="A8028" s="0" t="s">
        <v>853</v>
      </c>
      <c r="B8028" s="0" t="s">
        <v>98</v>
      </c>
      <c r="E8028" s="6" t="n">
        <f aca="false">(Sens!C8023*IF(2&lt;life_fac,1,IF(2=life_fac,0.5,0))+Sens!D8023*IF(1&lt;life_fac,1,IF(1=life_fac,0.5,0))+Sens!E8023*0.5)/life_fac</f>
        <v>1.2448275</v>
      </c>
      <c r="F8028" s="6" t="n">
        <f aca="false">(Sens!C8023*IF(3&lt;life_fac,1,IF(3=life_fac,0.5,0))+Sens!D8023*IF(2&lt;life_fac,1,IF(2=life_fac,0.5,0))+Sens!E8023*IF(1&lt;life_fac,1,IF(1=life_fac,0.5,0))+Sens!F8023*0.5)/life_fac</f>
        <v>2.4456901</v>
      </c>
      <c r="G8028" s="6" t="n">
        <f aca="false">(Sens!C8023*IF(4&lt;life_fac,1,IF(4=life_fac,0.5,0))+Sens!D8023*IF(3&lt;life_fac,1,IF(3=life_fac,0.5,0))+Sens!E8023*IF(2&lt;life_fac,1,IF(2=life_fac,0.5,0))+Sens!F8023*IF(1&lt;life_fac,1,IF(1=life_fac,0.5,0))+Sens!G8023*0.5)/life_fac</f>
        <v>3.9814208</v>
      </c>
      <c r="H8028" s="6" t="n">
        <f aca="false">(Sens!C8023*IF(5&lt;life_fac,1,IF(5=life_fac,0.5,0))+Sens!D8023*IF(4&lt;life_fac,1,IF(4=life_fac,0.5,0))+Sens!E8023*IF(3&lt;life_fac,1,IF(3=life_fac,0.5,0))+Sens!F8023*IF(2&lt;life_fac,1,IF(2=life_fac,0.5,0))+Sens!G8023*IF(1&lt;life_fac,1,IF(1=life_fac,0.5,0))+Sens!H8023*0.5)/life_fac</f>
        <v>5.582402</v>
      </c>
      <c r="I8028" s="6" t="n">
        <f aca="false">(Sens!C8023*IF(6&lt;life_fac,1,IF(6=life_fac,0.5,0))+Sens!D8023*IF(5&lt;life_fac,1,IF(5=life_fac,0.5,0))+Sens!E8023*IF(4&lt;life_fac,1,IF(4=life_fac,0.5,0))+Sens!F8023*IF(3&lt;life_fac,1,IF(3=life_fac,0.5,0))+Sens!G8023*IF(2&lt;life_fac,1,IF(2=life_fac,0.5,0))+Sens!H8023*IF(1&lt;life_fac,1,IF(1=life_fac,0.5,0))+Sens!I8023*0.5)/life_fac</f>
        <v>6.950862093</v>
      </c>
      <c r="J8028" s="6" t="n">
        <f aca="false">(Sens!C8023*IF(7&lt;life_fac,1,IF(7=life_fac,0.5,0))+Sens!D8023*IF(6&lt;life_fac,1,IF(6=life_fac,0.5,0))+Sens!E8023*IF(5&lt;life_fac,1,IF(5=life_fac,0.5,0))+Sens!F8023*IF(4&lt;life_fac,1,IF(4=life_fac,0.5,0))+Sens!G8023*IF(3&lt;life_fac,1,IF(3=life_fac,0.5,0))+Sens!H8023*IF(2&lt;life_fac,1,IF(2=life_fac,0.5,0))+Sens!I8023*IF(1&lt;life_fac,1,IF(1=life_fac,0.5,0))+Sens!J8023*0.5)/life_fac</f>
        <v>7.86563936186</v>
      </c>
      <c r="K8028" s="6" t="n">
        <f aca="false">(Sens!C8023*IF(8&lt;life_fac,1,IF(8=life_fac,0.5,0))+Sens!D8023*IF(7&lt;life_fac,1,IF(7=life_fac,0.5,0))+Sens!E8023*IF(6&lt;life_fac,1,IF(6=life_fac,0.5,0))+Sens!F8023*IF(5&lt;life_fac,1,IF(5=life_fac,0.5,0))+Sens!G8023*IF(4&lt;life_fac,1,IF(4=life_fac,0.5,0))+Sens!H8023*IF(3&lt;life_fac,1,IF(3=life_fac,0.5,0))+Sens!I8023*IF(2&lt;life_fac,1,IF(2=life_fac,0.5,0))+Sens!J8023*IF(1&lt;life_fac,1,IF(1=life_fac,0.5,0))+Sens!K8023*0.5)/life_fac</f>
        <v>8.3428177347858</v>
      </c>
    </row>
    <row r="8029" customFormat="false" ht="17.15" hidden="false" customHeight="false" outlineLevel="0" collapsed="false">
      <c r="A8029" s="0" t="s">
        <v>854</v>
      </c>
      <c r="B8029" s="0" t="s">
        <v>98</v>
      </c>
      <c r="E8029" s="6" t="n">
        <f aca="false">Sens!E8027+Sens!E8028</f>
        <v>16.3054059770833</v>
      </c>
      <c r="F8029" s="6" t="n">
        <f aca="false">Sens!F8027+Sens!F8028</f>
        <v>34.0498873809555</v>
      </c>
      <c r="G8029" s="6" t="n">
        <f aca="false">Sens!G8027+Sens!G8028</f>
        <v>59.1254371105111</v>
      </c>
      <c r="H8029" s="6" t="n">
        <f aca="false">Sens!H8027+Sens!H8028</f>
        <v>86.3610198433111</v>
      </c>
      <c r="I8029" s="6" t="n">
        <f aca="false">Sens!I8027+Sens!I8028</f>
        <v>110.605743832393</v>
      </c>
      <c r="J8029" s="6" t="n">
        <f aca="false">Sens!J8027+Sens!J8028</f>
        <v>127.998322852843</v>
      </c>
      <c r="K8029" s="6" t="n">
        <f aca="false">Sens!K8027+Sens!K8028</f>
        <v>139.131464044308</v>
      </c>
    </row>
    <row r="8030" customFormat="false" ht="17.15" hidden="false" customHeight="false" outlineLevel="0" collapsed="false">
      <c r="A8030" s="0" t="s">
        <v>855</v>
      </c>
      <c r="B8030" s="0" t="s">
        <v>98</v>
      </c>
      <c r="E8030" s="6" t="n">
        <f aca="false">Sens!E8018-Sens!E8017*Sens!E8029</f>
        <v>8.92707889977379</v>
      </c>
      <c r="F8030" s="6" t="n">
        <f aca="false">Sens!F8018-Sens!F8017*Sens!F8029</f>
        <v>14.6274131339686</v>
      </c>
      <c r="G8030" s="6" t="n">
        <f aca="false">Sens!G8018-Sens!G8017*Sens!G8029</f>
        <v>16.7752349049804</v>
      </c>
      <c r="H8030" s="6" t="n">
        <f aca="false">Sens!H8018-Sens!H8017*Sens!H8029</f>
        <v>13.4630579450404</v>
      </c>
      <c r="I8030" s="6" t="n">
        <f aca="false">Sens!I8018-Sens!I8017*Sens!I8029</f>
        <v>16.9068533370192</v>
      </c>
      <c r="J8030" s="6" t="n">
        <f aca="false">Sens!J8018-Sens!J8017*Sens!J8029</f>
        <v>19.3011433836036</v>
      </c>
      <c r="K8030" s="6" t="n">
        <f aca="false">Sens!K8018-Sens!K8017*Sens!K8029</f>
        <v>21.3550700932312</v>
      </c>
    </row>
    <row r="8031" customFormat="false" ht="17.15" hidden="false" customHeight="false" outlineLevel="0" collapsed="false">
      <c r="A8031" s="3" t="s">
        <v>1468</v>
      </c>
    </row>
    <row r="8032" customFormat="false" ht="15" hidden="false" customHeight="false" outlineLevel="0" collapsed="false">
      <c r="A8032" s="4" t="s">
        <v>43</v>
      </c>
      <c r="B8032" s="4" t="s">
        <v>65</v>
      </c>
      <c r="C8032" s="20" t="s">
        <v>799</v>
      </c>
      <c r="D8032" s="20" t="s">
        <v>800</v>
      </c>
      <c r="E8032" s="20" t="s">
        <v>801</v>
      </c>
      <c r="F8032" s="20" t="s">
        <v>802</v>
      </c>
      <c r="G8032" s="20" t="s">
        <v>803</v>
      </c>
      <c r="H8032" s="20" t="s">
        <v>804</v>
      </c>
      <c r="I8032" s="20" t="s">
        <v>805</v>
      </c>
      <c r="J8032" s="20" t="s">
        <v>806</v>
      </c>
      <c r="K8032" s="20" t="s">
        <v>807</v>
      </c>
      <c r="L8032" s="4" t="s">
        <v>47</v>
      </c>
    </row>
    <row r="8033" customFormat="false" ht="17.15" hidden="false" customHeight="false" outlineLevel="0" collapsed="false">
      <c r="A8033" s="0" t="s">
        <v>874</v>
      </c>
      <c r="B8033" s="0" t="s">
        <v>98</v>
      </c>
      <c r="D8033" s="6" t="n">
        <f aca="false">Sens!D8012</f>
        <v>12.9359794422418</v>
      </c>
      <c r="E8033" s="6" t="n">
        <f aca="false">Sens!E8012</f>
        <v>27.8095064661409</v>
      </c>
      <c r="F8033" s="6" t="n">
        <f aca="false">Sens!F8012</f>
        <v>50.6619113883066</v>
      </c>
      <c r="G8033" s="6" t="n">
        <f aca="false">Sens!G8012</f>
        <v>75.1482839325348</v>
      </c>
      <c r="H8033" s="6" t="n">
        <f aca="false">Sens!H8012</f>
        <v>94.895655604042</v>
      </c>
      <c r="I8033" s="6" t="n">
        <f aca="false">Sens!I8012</f>
        <v>118.706168884151</v>
      </c>
      <c r="J8033" s="6" t="n">
        <f aca="false">Sens!J8012</f>
        <v>135.50643871102</v>
      </c>
      <c r="K8033" s="6" t="n">
        <f aca="false">Sens!K8012</f>
        <v>146.509068150048</v>
      </c>
    </row>
    <row r="8034" customFormat="false" ht="17.15" hidden="false" customHeight="false" outlineLevel="0" collapsed="false">
      <c r="A8034" s="0" t="s">
        <v>875</v>
      </c>
      <c r="B8034" s="0" t="s">
        <v>98</v>
      </c>
      <c r="D8034" s="6" t="n">
        <f aca="false">Q!L6-Sens!D8033</f>
        <v>59.6740205577583</v>
      </c>
      <c r="E8034" s="6" t="n">
        <f aca="false">Q!M6-Sens!E8033</f>
        <v>74.1284935338591</v>
      </c>
      <c r="F8034" s="6" t="n">
        <f aca="false">Sens!E8034*(1+Sens!F8035)</f>
        <v>89.709307269697</v>
      </c>
      <c r="G8034" s="6" t="n">
        <f aca="false">Sens!F8034*(1+Sens!G8035)</f>
        <v>105.690953558647</v>
      </c>
      <c r="H8034" s="6" t="n">
        <f aca="false">Sens!G8034*(1+Sens!H8035)</f>
        <v>121.133663984194</v>
      </c>
      <c r="I8034" s="6" t="n">
        <f aca="false">Sens!H8034*(1+Sens!I8035)</f>
        <v>134.951941602699</v>
      </c>
      <c r="J8034" s="6" t="n">
        <f aca="false">Sens!I8034*(1+Sens!J8035)</f>
        <v>146.023036389274</v>
      </c>
      <c r="K8034" s="6" t="n">
        <f aca="false">Sens!J8034*(1+Sens!K8035)</f>
        <v>153.324188208738</v>
      </c>
    </row>
    <row r="8035" customFormat="false" ht="15" hidden="false" customHeight="false" outlineLevel="0" collapsed="false">
      <c r="A8035" s="1" t="s">
        <v>876</v>
      </c>
      <c r="B8035" s="0" t="s">
        <v>129</v>
      </c>
      <c r="E8035" s="7" t="n">
        <f aca="false">Sens!E8034/Sens!D8034-1</f>
        <v>0.242223883039864</v>
      </c>
      <c r="F8035" s="7" t="n">
        <f aca="false">Sens!$E$8035+(glt_azo_lo-Sens!$E$8035)*MIN(1,(Sens!F7995-base_fy)/n_conv)</f>
        <v>0.210186569199887</v>
      </c>
      <c r="G8035" s="7" t="n">
        <f aca="false">Sens!$E$8035+(glt_azo_lo-Sens!$E$8035)*MIN(1,(Sens!G7995-base_fy)/n_conv)</f>
        <v>0.17814925535991</v>
      </c>
      <c r="H8035" s="7" t="n">
        <f aca="false">Sens!$E$8035+(glt_azo_lo-Sens!$E$8035)*MIN(1,(Sens!H7995-base_fy)/n_conv)</f>
        <v>0.146111941519932</v>
      </c>
      <c r="I8035" s="7" t="n">
        <f aca="false">Sens!$E$8035+(glt_azo_lo-Sens!$E$8035)*MIN(1,(Sens!I7995-base_fy)/n_conv)</f>
        <v>0.114074627679955</v>
      </c>
      <c r="J8035" s="7" t="n">
        <f aca="false">Sens!$E$8035+(glt_azo_lo-Sens!$E$8035)*MIN(1,(Sens!J7995-base_fy)/n_conv)</f>
        <v>0.0820373138399774</v>
      </c>
      <c r="K8035" s="7" t="n">
        <f aca="false">Sens!$E$8035+(glt_azo_lo-Sens!$E$8035)*MIN(1,(Sens!K7995-base_fy)/n_conv)</f>
        <v>0.05</v>
      </c>
    </row>
    <row r="8036" customFormat="false" ht="15" hidden="false" customHeight="false" outlineLevel="0" collapsed="false">
      <c r="A8036" s="0" t="s">
        <v>877</v>
      </c>
      <c r="B8036" s="0" t="s">
        <v>98</v>
      </c>
      <c r="D8036" s="6" t="n">
        <f aca="false">Sens!D8033+Sens!D8034</f>
        <v>72.61</v>
      </c>
      <c r="E8036" s="6" t="n">
        <f aca="false">Sens!E8033+Sens!E8034</f>
        <v>101.938</v>
      </c>
      <c r="F8036" s="6" t="n">
        <f aca="false">Sens!F8033+Sens!F8034</f>
        <v>140.371218658004</v>
      </c>
      <c r="G8036" s="6" t="n">
        <f aca="false">Sens!G8033+Sens!G8034</f>
        <v>180.839237491182</v>
      </c>
      <c r="H8036" s="6" t="n">
        <f aca="false">Sens!H8033+Sens!H8034</f>
        <v>216.029319588236</v>
      </c>
      <c r="I8036" s="6" t="n">
        <f aca="false">Sens!I8033+Sens!I8034</f>
        <v>253.658110486851</v>
      </c>
      <c r="J8036" s="6" t="n">
        <f aca="false">Sens!J8033+Sens!J8034</f>
        <v>281.529475100295</v>
      </c>
      <c r="K8036" s="6" t="n">
        <f aca="false">Sens!K8033+Sens!K8034</f>
        <v>299.833256358786</v>
      </c>
    </row>
    <row r="8037" customFormat="false" ht="17.15" hidden="false" customHeight="false" outlineLevel="0" collapsed="false">
      <c r="A8037" s="0" t="s">
        <v>878</v>
      </c>
      <c r="B8037" s="1" t="s">
        <v>528</v>
      </c>
      <c r="C8037" s="29" t="n">
        <f aca="false">cop_s24</f>
        <v>1</v>
      </c>
      <c r="D8037" s="29" t="n">
        <f aca="false">cop_s25</f>
        <v>5</v>
      </c>
      <c r="E8037" s="29" t="n">
        <f aca="false">cop_s26</f>
        <v>30</v>
      </c>
      <c r="F8037" s="29" t="n">
        <f aca="false">Sens!E8037+cop_add_C</f>
        <v>40</v>
      </c>
      <c r="G8037" s="29" t="n">
        <f aca="false">Sens!F8037+cop_add_C</f>
        <v>50</v>
      </c>
      <c r="H8037" s="29" t="n">
        <f aca="false">Sens!G8037+cop_add_C</f>
        <v>60</v>
      </c>
      <c r="I8037" s="29" t="n">
        <f aca="false">Sens!H8037+cop_add_C*cop_tail</f>
        <v>65</v>
      </c>
      <c r="J8037" s="29" t="n">
        <f aca="false">Sens!I8037+cop_add_C*cop_tail</f>
        <v>70</v>
      </c>
      <c r="K8037" s="29" t="n">
        <f aca="false">Sens!J8037+cop_add_C*cop_tail</f>
        <v>75</v>
      </c>
      <c r="L8037" s="11" t="s">
        <v>879</v>
      </c>
    </row>
    <row r="8038" customFormat="false" ht="17.15" hidden="false" customHeight="false" outlineLevel="0" collapsed="false">
      <c r="A8038" s="0" t="s">
        <v>880</v>
      </c>
      <c r="B8038" s="0" t="s">
        <v>98</v>
      </c>
      <c r="D8038" s="6" t="n">
        <f aca="false">(Sens!C8037+Sens!D8037)/2*cop_px*12/1000</f>
        <v>0.9</v>
      </c>
      <c r="E8038" s="6" t="n">
        <f aca="false">(Sens!D8037+Sens!E8037)/2*cop_px*12/1000</f>
        <v>5.25</v>
      </c>
      <c r="F8038" s="6" t="n">
        <f aca="false">(Sens!E8037+Sens!F8037)/2*cop_px*12/1000</f>
        <v>10.5</v>
      </c>
      <c r="G8038" s="6" t="n">
        <f aca="false">(Sens!F8037+Sens!G8037)/2*cop_px*12/1000</f>
        <v>13.5</v>
      </c>
      <c r="H8038" s="6" t="n">
        <f aca="false">(Sens!G8037+Sens!H8037)/2*cop_px*12/1000</f>
        <v>16.5</v>
      </c>
      <c r="I8038" s="6" t="n">
        <f aca="false">(Sens!H8037+Sens!I8037)/2*cop_px*12/1000</f>
        <v>18.75</v>
      </c>
      <c r="J8038" s="6" t="n">
        <f aca="false">(Sens!I8037+Sens!J8037)/2*cop_px*12/1000</f>
        <v>20.25</v>
      </c>
      <c r="K8038" s="6" t="n">
        <f aca="false">(Sens!J8037+Sens!K8037)/2*cop_px*12/1000</f>
        <v>21.75</v>
      </c>
      <c r="L8038" s="1" t="s">
        <v>881</v>
      </c>
    </row>
    <row r="8039" customFormat="false" ht="17.15" hidden="false" customHeight="false" outlineLevel="0" collapsed="false">
      <c r="A8039" s="0" t="s">
        <v>882</v>
      </c>
      <c r="B8039" s="0" t="s">
        <v>98</v>
      </c>
      <c r="D8039" s="6" t="n">
        <f aca="false">Q!L7-Sens!D8038</f>
        <v>83.705</v>
      </c>
      <c r="E8039" s="6" t="n">
        <f aca="false">Q!M7-Sens!E8038</f>
        <v>95.049</v>
      </c>
      <c r="F8039" s="6" t="n">
        <f aca="false">Sens!E8039*(1+Sens!F8040)</f>
        <v>106.89238776686</v>
      </c>
      <c r="G8039" s="6" t="n">
        <f aca="false">Sens!F8039*(1+Sens!G8040)</f>
        <v>119.044168448684</v>
      </c>
      <c r="H8039" s="6" t="n">
        <f aca="false">Sens!G8039*(1+Sens!H8040)</f>
        <v>131.277359388781</v>
      </c>
      <c r="I8039" s="6" t="n">
        <f aca="false">Sens!H8039*(1+Sens!I8040)</f>
        <v>143.334028071957</v>
      </c>
      <c r="J8039" s="6" t="n">
        <f aca="false">Sens!I8039*(1+Sens!J8040)</f>
        <v>154.932702785465</v>
      </c>
      <c r="K8039" s="6" t="n">
        <f aca="false">Sens!J8039*(1+Sens!K8040)</f>
        <v>165.777991980448</v>
      </c>
    </row>
    <row r="8040" customFormat="false" ht="15" hidden="false" customHeight="false" outlineLevel="0" collapsed="false">
      <c r="A8040" s="1" t="s">
        <v>876</v>
      </c>
      <c r="B8040" s="0" t="s">
        <v>129</v>
      </c>
      <c r="E8040" s="7" t="n">
        <f aca="false">Sens!E8039/Sens!D8039-1</f>
        <v>0.135523564900544</v>
      </c>
      <c r="F8040" s="7" t="n">
        <f aca="false">Sens!$E$8040+(glt_m365b-Sens!$E$8040)*MIN(1,(Sens!F7995-base_fy)/n_conv)</f>
        <v>0.124602970750453</v>
      </c>
      <c r="G8040" s="7" t="n">
        <f aca="false">Sens!$E$8040+(glt_m365b-Sens!$E$8040)*MIN(1,(Sens!G7995-base_fy)/n_conv)</f>
        <v>0.113682376600363</v>
      </c>
      <c r="H8040" s="7" t="n">
        <f aca="false">Sens!$E$8040+(glt_m365b-Sens!$E$8040)*MIN(1,(Sens!H7995-base_fy)/n_conv)</f>
        <v>0.102761782450272</v>
      </c>
      <c r="I8040" s="7" t="n">
        <f aca="false">Sens!$E$8040+(glt_m365b-Sens!$E$8040)*MIN(1,(Sens!I7995-base_fy)/n_conv)</f>
        <v>0.0918411883001813</v>
      </c>
      <c r="J8040" s="7" t="n">
        <f aca="false">Sens!$E$8040+(glt_m365b-Sens!$E$8040)*MIN(1,(Sens!J7995-base_fy)/n_conv)</f>
        <v>0.0809205941500906</v>
      </c>
      <c r="K8040" s="7" t="n">
        <f aca="false">Sens!$E$8040+(glt_m365b-Sens!$E$8040)*MIN(1,(Sens!K7995-base_fy)/n_conv)</f>
        <v>0.07</v>
      </c>
    </row>
    <row r="8041" customFormat="false" ht="15" hidden="false" customHeight="false" outlineLevel="0" collapsed="false">
      <c r="A8041" s="0" t="s">
        <v>883</v>
      </c>
      <c r="B8041" s="0" t="s">
        <v>98</v>
      </c>
      <c r="D8041" s="6" t="n">
        <f aca="false">Sens!D8039+Sens!D8038</f>
        <v>84.605</v>
      </c>
      <c r="E8041" s="6" t="n">
        <f aca="false">Sens!E8039+Sens!E8038</f>
        <v>100.299</v>
      </c>
      <c r="F8041" s="6" t="n">
        <f aca="false">Sens!F8039+Sens!F8038</f>
        <v>117.39238776686</v>
      </c>
      <c r="G8041" s="6" t="n">
        <f aca="false">Sens!G8039+Sens!G8038</f>
        <v>132.544168448684</v>
      </c>
      <c r="H8041" s="6" t="n">
        <f aca="false">Sens!H8039+Sens!H8038</f>
        <v>147.777359388781</v>
      </c>
      <c r="I8041" s="6" t="n">
        <f aca="false">Sens!I8039+Sens!I8038</f>
        <v>162.084028071957</v>
      </c>
      <c r="J8041" s="6" t="n">
        <f aca="false">Sens!J8039+Sens!J8038</f>
        <v>175.182702785465</v>
      </c>
      <c r="K8041" s="6" t="n">
        <f aca="false">Sens!K8039+Sens!K8038</f>
        <v>187.527991980448</v>
      </c>
    </row>
    <row r="8042" customFormat="false" ht="15" hidden="false" customHeight="false" outlineLevel="0" collapsed="false">
      <c r="A8042" s="0" t="s">
        <v>884</v>
      </c>
      <c r="B8042" s="0" t="s">
        <v>98</v>
      </c>
      <c r="D8042" s="6" t="n">
        <f aca="false">Q!L8</f>
        <v>35.391</v>
      </c>
      <c r="E8042" s="6" t="n">
        <f aca="false">Q!M8</f>
        <v>37.285</v>
      </c>
      <c r="F8042" s="6" t="n">
        <f aca="false">Sens!E8042*(1+Sens!F8043)</f>
        <v>39.0720834331704</v>
      </c>
      <c r="G8042" s="6" t="n">
        <f aca="false">Sens!F8042*(1+Sens!G8043)</f>
        <v>40.726562953769</v>
      </c>
      <c r="H8042" s="6" t="n">
        <f aca="false">Sens!G8042*(1+Sens!H8043)</f>
        <v>42.2235987259198</v>
      </c>
      <c r="I8042" s="6" t="n">
        <f aca="false">Sens!H8042*(1+Sens!I8043)</f>
        <v>43.5397988077414</v>
      </c>
      <c r="J8042" s="6" t="n">
        <f aca="false">Sens!I8042*(1+Sens!J8043)</f>
        <v>44.653811225693</v>
      </c>
      <c r="K8042" s="6" t="n">
        <f aca="false">Sens!J8042*(1+Sens!K8043)</f>
        <v>45.5468874502068</v>
      </c>
    </row>
    <row r="8043" customFormat="false" ht="15" hidden="false" customHeight="false" outlineLevel="0" collapsed="false">
      <c r="A8043" s="1" t="s">
        <v>876</v>
      </c>
      <c r="B8043" s="0" t="s">
        <v>129</v>
      </c>
      <c r="E8043" s="7" t="n">
        <f aca="false">Sens!E8042/Sens!D8042-1</f>
        <v>0.0535164307309768</v>
      </c>
      <c r="F8043" s="7" t="n">
        <f aca="false">Sens!$E$8043+(glt_lic-Sens!$E$8043)*MIN(1,(Sens!F7995-base_fy)/n_conv)</f>
        <v>0.0479303589424807</v>
      </c>
      <c r="G8043" s="7" t="n">
        <f aca="false">Sens!$E$8043+(glt_lic-Sens!$E$8043)*MIN(1,(Sens!G7995-base_fy)/n_conv)</f>
        <v>0.0423442871539845</v>
      </c>
      <c r="H8043" s="7" t="n">
        <f aca="false">Sens!$E$8043+(glt_lic-Sens!$E$8043)*MIN(1,(Sens!H7995-base_fy)/n_conv)</f>
        <v>0.0367582153654884</v>
      </c>
      <c r="I8043" s="7" t="n">
        <f aca="false">Sens!$E$8043+(glt_lic-Sens!$E$8043)*MIN(1,(Sens!I7995-base_fy)/n_conv)</f>
        <v>0.0311721435769923</v>
      </c>
      <c r="J8043" s="7" t="n">
        <f aca="false">Sens!$E$8043+(glt_lic-Sens!$E$8043)*MIN(1,(Sens!J7995-base_fy)/n_conv)</f>
        <v>0.0255860717884961</v>
      </c>
      <c r="K8043" s="7" t="n">
        <f aca="false">Sens!$E$8043+(glt_lic-Sens!$E$8043)*MIN(1,(Sens!K7995-base_fy)/n_conv)</f>
        <v>0.02</v>
      </c>
    </row>
    <row r="8044" customFormat="false" ht="15" hidden="false" customHeight="false" outlineLevel="0" collapsed="false">
      <c r="A8044" s="0" t="s">
        <v>885</v>
      </c>
      <c r="B8044" s="0" t="s">
        <v>98</v>
      </c>
      <c r="D8044" s="6" t="n">
        <f aca="false">Q!L9</f>
        <v>18.417</v>
      </c>
      <c r="E8044" s="6" t="n">
        <f aca="false">Q!M9</f>
        <v>20.345</v>
      </c>
      <c r="F8044" s="6" t="n">
        <f aca="false">Sens!E8044*(1+Sens!F8045)</f>
        <v>22.3572203267814</v>
      </c>
      <c r="G8044" s="6" t="n">
        <f aca="false">Sens!F8044*(1+Sens!G8045)</f>
        <v>24.4392124437232</v>
      </c>
      <c r="H8044" s="6" t="n">
        <f aca="false">Sens!G8044*(1+Sens!H8045)</f>
        <v>26.5738052080665</v>
      </c>
      <c r="I8044" s="6" t="n">
        <f aca="false">Sens!H8044*(1+Sens!I8045)</f>
        <v>28.7412169166967</v>
      </c>
      <c r="J8044" s="6" t="n">
        <f aca="false">Sens!I8044*(1+Sens!J8045)</f>
        <v>30.9192545395413</v>
      </c>
      <c r="K8044" s="6" t="n">
        <f aca="false">Sens!J8044*(1+Sens!K8045)</f>
        <v>33.0836023573092</v>
      </c>
    </row>
    <row r="8045" customFormat="false" ht="15" hidden="false" customHeight="false" outlineLevel="0" collapsed="false">
      <c r="A8045" s="1" t="s">
        <v>876</v>
      </c>
      <c r="B8045" s="0" t="s">
        <v>129</v>
      </c>
      <c r="E8045" s="7" t="n">
        <f aca="false">Sens!E8044/Sens!D8044-1</f>
        <v>0.104685888038225</v>
      </c>
      <c r="F8045" s="7" t="n">
        <f aca="false">Sens!$E$8045+(glt_ind-Sens!$E$8045)*MIN(1,(Sens!F7995-base_fy)/n_conv)</f>
        <v>0.0989049066985211</v>
      </c>
      <c r="G8045" s="7" t="n">
        <f aca="false">Sens!$E$8045+(glt_ind-Sens!$E$8045)*MIN(1,(Sens!G7995-base_fy)/n_conv)</f>
        <v>0.0931239253588169</v>
      </c>
      <c r="H8045" s="7" t="n">
        <f aca="false">Sens!$E$8045+(glt_ind-Sens!$E$8045)*MIN(1,(Sens!H7995-base_fy)/n_conv)</f>
        <v>0.0873429440191127</v>
      </c>
      <c r="I8045" s="7" t="n">
        <f aca="false">Sens!$E$8045+(glt_ind-Sens!$E$8045)*MIN(1,(Sens!I7995-base_fy)/n_conv)</f>
        <v>0.0815619626794085</v>
      </c>
      <c r="J8045" s="7" t="n">
        <f aca="false">Sens!$E$8045+(glt_ind-Sens!$E$8045)*MIN(1,(Sens!J7995-base_fy)/n_conv)</f>
        <v>0.0757809813397042</v>
      </c>
      <c r="K8045" s="7" t="n">
        <f aca="false">Sens!$E$8045+(glt_ind-Sens!$E$8045)*MIN(1,(Sens!K7995-base_fy)/n_conv)</f>
        <v>0.07</v>
      </c>
    </row>
    <row r="8046" customFormat="false" ht="15" hidden="false" customHeight="false" outlineLevel="0" collapsed="false">
      <c r="A8046" s="0" t="s">
        <v>886</v>
      </c>
      <c r="B8046" s="0" t="s">
        <v>98</v>
      </c>
      <c r="D8046" s="6" t="n">
        <f aca="false">Q!L10</f>
        <v>7.76</v>
      </c>
      <c r="E8046" s="6" t="n">
        <f aca="false">Q!M10</f>
        <v>8.26</v>
      </c>
      <c r="F8046" s="6" t="n">
        <f aca="false">Sens!E8046*(1+Sens!F8047)</f>
        <v>8.79988041237113</v>
      </c>
      <c r="G8046" s="6" t="n">
        <f aca="false">Sens!F8046*(1+Sens!G8047)</f>
        <v>9.38321269125306</v>
      </c>
      <c r="H8046" s="6" t="n">
        <f aca="false">Sens!G8046*(1+Sens!H8047)</f>
        <v>10.0139193587476</v>
      </c>
      <c r="I8046" s="6" t="n">
        <f aca="false">Sens!H8046*(1+Sens!I8047)</f>
        <v>10.6963111830911</v>
      </c>
      <c r="J8046" s="6" t="n">
        <f aca="false">Sens!I8046*(1+Sens!J8047)</f>
        <v>11.4351285534696</v>
      </c>
      <c r="K8046" s="6" t="n">
        <f aca="false">Sens!J8046*(1+Sens!K8047)</f>
        <v>12.2355875522124</v>
      </c>
    </row>
    <row r="8047" customFormat="false" ht="15" hidden="false" customHeight="false" outlineLevel="0" collapsed="false">
      <c r="A8047" s="1" t="s">
        <v>876</v>
      </c>
      <c r="B8047" s="0" t="s">
        <v>129</v>
      </c>
      <c r="E8047" s="7" t="n">
        <f aca="false">Sens!E8046/Sens!D8046-1</f>
        <v>0.0644329896907216</v>
      </c>
      <c r="F8047" s="7" t="n">
        <f aca="false">Sens!$E$8047+(glt_fro-Sens!$E$8047)*MIN(1,(Sens!F7995-base_fy)/n_conv)</f>
        <v>0.065360824742268</v>
      </c>
      <c r="G8047" s="7" t="n">
        <f aca="false">Sens!$E$8047+(glt_fro-Sens!$E$8047)*MIN(1,(Sens!G7995-base_fy)/n_conv)</f>
        <v>0.0662886597938144</v>
      </c>
      <c r="H8047" s="7" t="n">
        <f aca="false">Sens!$E$8047+(glt_fro-Sens!$E$8047)*MIN(1,(Sens!H7995-base_fy)/n_conv)</f>
        <v>0.0672164948453608</v>
      </c>
      <c r="I8047" s="7" t="n">
        <f aca="false">Sens!$E$8047+(glt_fro-Sens!$E$8047)*MIN(1,(Sens!I7995-base_fy)/n_conv)</f>
        <v>0.0681443298969072</v>
      </c>
      <c r="J8047" s="7" t="n">
        <f aca="false">Sens!$E$8047+(glt_fro-Sens!$E$8047)*MIN(1,(Sens!J7995-base_fy)/n_conv)</f>
        <v>0.0690721649484536</v>
      </c>
      <c r="K8047" s="7" t="n">
        <f aca="false">Sens!$E$8047+(glt_fro-Sens!$E$8047)*MIN(1,(Sens!K7995-base_fy)/n_conv)</f>
        <v>0.07</v>
      </c>
    </row>
    <row r="8048" customFormat="false" ht="15" hidden="false" customHeight="false" outlineLevel="0" collapsed="false">
      <c r="A8048" s="0" t="s">
        <v>715</v>
      </c>
      <c r="B8048" s="0" t="s">
        <v>98</v>
      </c>
      <c r="D8048" s="6" t="n">
        <f aca="false">Sens!D8036+Sens!D8041+Sens!D8042+Sens!D8044+Sens!D8046</f>
        <v>218.783</v>
      </c>
      <c r="E8048" s="6" t="n">
        <f aca="false">Sens!E8036+Sens!E8041+Sens!E8042+Sens!E8044+Sens!E8046</f>
        <v>268.127</v>
      </c>
      <c r="F8048" s="6" t="n">
        <f aca="false">Sens!F8036+Sens!F8041+Sens!F8042+Sens!F8044+Sens!F8046</f>
        <v>327.992790597186</v>
      </c>
      <c r="G8048" s="6" t="n">
        <f aca="false">Sens!G8036+Sens!G8041+Sens!G8042+Sens!G8044+Sens!G8046</f>
        <v>387.932394028611</v>
      </c>
      <c r="H8048" s="6" t="n">
        <f aca="false">Sens!H8036+Sens!H8041+Sens!H8042+Sens!H8044+Sens!H8046</f>
        <v>442.618002269751</v>
      </c>
      <c r="I8048" s="6" t="n">
        <f aca="false">Sens!I8036+Sens!I8041+Sens!I8042+Sens!I8044+Sens!I8046</f>
        <v>498.719465466337</v>
      </c>
      <c r="J8048" s="6" t="n">
        <f aca="false">Sens!J8036+Sens!J8041+Sens!J8042+Sens!J8044+Sens!J8046</f>
        <v>543.720372204464</v>
      </c>
      <c r="K8048" s="6" t="n">
        <f aca="false">Sens!K8036+Sens!K8041+Sens!K8042+Sens!K8044+Sens!K8046</f>
        <v>578.227325698962</v>
      </c>
    </row>
    <row r="8049" customFormat="false" ht="15" hidden="false" customHeight="false" outlineLevel="0" collapsed="false">
      <c r="A8049" s="0" t="s">
        <v>887</v>
      </c>
      <c r="B8049" s="0" t="s">
        <v>98</v>
      </c>
      <c r="D8049" s="6" t="n">
        <f aca="false">Q!L13</f>
        <v>22.171</v>
      </c>
      <c r="E8049" s="6" t="n">
        <f aca="false">Q!M13</f>
        <v>24.835</v>
      </c>
      <c r="F8049" s="6" t="n">
        <f aca="false">Sens!E8049*(1+Sens!F8050)</f>
        <v>27.6114901218559</v>
      </c>
      <c r="G8049" s="6" t="n">
        <f aca="false">Sens!F8049*(1+Sens!G8050)</f>
        <v>30.4675667338515</v>
      </c>
      <c r="H8049" s="6" t="n">
        <f aca="false">Sens!G8049*(1+Sens!H8050)</f>
        <v>33.3643766955789</v>
      </c>
      <c r="I8049" s="6" t="n">
        <f aca="false">Sens!H8049*(1+Sens!I8050)</f>
        <v>36.2577016533691</v>
      </c>
      <c r="J8049" s="6" t="n">
        <f aca="false">Sens!I8049*(1+Sens!J8050)</f>
        <v>39.0988367952171</v>
      </c>
      <c r="K8049" s="6" t="n">
        <f aca="false">Sens!J8049*(1+Sens!K8050)</f>
        <v>41.8357553708823</v>
      </c>
    </row>
    <row r="8050" customFormat="false" ht="15" hidden="false" customHeight="false" outlineLevel="0" collapsed="false">
      <c r="A8050" s="1" t="s">
        <v>876</v>
      </c>
      <c r="B8050" s="0" t="s">
        <v>129</v>
      </c>
      <c r="E8050" s="7" t="n">
        <f aca="false">Sens!E8049/Sens!D8049-1</f>
        <v>0.120156961796942</v>
      </c>
      <c r="F8050" s="7" t="n">
        <f aca="false">Sens!$E$8050+(glt_srch-Sens!$E$8050)*MIN(1,(Sens!F7995-base_fy)/n_conv)</f>
        <v>0.111797468164118</v>
      </c>
      <c r="G8050" s="7" t="n">
        <f aca="false">Sens!$E$8050+(glt_srch-Sens!$E$8050)*MIN(1,(Sens!G7995-base_fy)/n_conv)</f>
        <v>0.103437974531295</v>
      </c>
      <c r="H8050" s="7" t="n">
        <f aca="false">Sens!$E$8050+(glt_srch-Sens!$E$8050)*MIN(1,(Sens!H7995-base_fy)/n_conv)</f>
        <v>0.095078480898471</v>
      </c>
      <c r="I8050" s="7" t="n">
        <f aca="false">Sens!$E$8050+(glt_srch-Sens!$E$8050)*MIN(1,(Sens!I7995-base_fy)/n_conv)</f>
        <v>0.0867189872656474</v>
      </c>
      <c r="J8050" s="7" t="n">
        <f aca="false">Sens!$E$8050+(glt_srch-Sens!$E$8050)*MIN(1,(Sens!J7995-base_fy)/n_conv)</f>
        <v>0.0783594936328237</v>
      </c>
      <c r="K8050" s="7" t="n">
        <f aca="false">Sens!$E$8050+(glt_srch-Sens!$E$8050)*MIN(1,(Sens!K7995-base_fy)/n_conv)</f>
        <v>0.07</v>
      </c>
    </row>
    <row r="8051" customFormat="false" ht="15" hidden="false" customHeight="false" outlineLevel="0" collapsed="false">
      <c r="A8051" s="0" t="s">
        <v>888</v>
      </c>
      <c r="B8051" s="0" t="s">
        <v>98</v>
      </c>
      <c r="D8051" s="6" t="n">
        <f aca="false">Q!L14</f>
        <v>23.455</v>
      </c>
      <c r="E8051" s="6" t="n">
        <f aca="false">Q!M14</f>
        <v>21.79</v>
      </c>
      <c r="F8051" s="6" t="n">
        <f aca="false">Sens!E8051*(1+Sens!F8052)</f>
        <v>20.5736277908051</v>
      </c>
      <c r="G8051" s="6" t="n">
        <f aca="false">Sens!F8051*(1+Sens!G8052)</f>
        <v>19.7371452817919</v>
      </c>
      <c r="H8051" s="6" t="n">
        <f aca="false">Sens!G8051*(1+Sens!H8052)</f>
        <v>19.2339764043138</v>
      </c>
      <c r="I8051" s="6" t="n">
        <f aca="false">Sens!H8051*(1+Sens!I8052)</f>
        <v>19.0353086852681</v>
      </c>
      <c r="J8051" s="6" t="n">
        <f aca="false">Sens!I8051*(1+Sens!J8052)</f>
        <v>19.1273539319129</v>
      </c>
      <c r="K8051" s="6" t="n">
        <f aca="false">Sens!J8051*(1+Sens!K8052)</f>
        <v>19.5099010105511</v>
      </c>
    </row>
    <row r="8052" customFormat="false" ht="15" hidden="false" customHeight="false" outlineLevel="0" collapsed="false">
      <c r="A8052" s="1" t="s">
        <v>876</v>
      </c>
      <c r="B8052" s="0" t="s">
        <v>129</v>
      </c>
      <c r="E8052" s="7" t="n">
        <f aca="false">Sens!E8051/Sens!D8051-1</f>
        <v>-0.0709869963760392</v>
      </c>
      <c r="F8052" s="7" t="n">
        <f aca="false">Sens!$E$8052+(glt_xbox-Sens!$E$8052)*MIN(1,(Sens!F7995-base_fy)/n_conv)</f>
        <v>-0.0558224969800327</v>
      </c>
      <c r="G8052" s="7" t="n">
        <f aca="false">Sens!$E$8052+(glt_xbox-Sens!$E$8052)*MIN(1,(Sens!G7995-base_fy)/n_conv)</f>
        <v>-0.0406579975840262</v>
      </c>
      <c r="H8052" s="7" t="n">
        <f aca="false">Sens!$E$8052+(glt_xbox-Sens!$E$8052)*MIN(1,(Sens!H7995-base_fy)/n_conv)</f>
        <v>-0.0254934981880196</v>
      </c>
      <c r="I8052" s="7" t="n">
        <f aca="false">Sens!$E$8052+(glt_xbox-Sens!$E$8052)*MIN(1,(Sens!I7995-base_fy)/n_conv)</f>
        <v>-0.0103289987920131</v>
      </c>
      <c r="J8052" s="7" t="n">
        <f aca="false">Sens!$E$8052+(glt_xbox-Sens!$E$8052)*MIN(1,(Sens!J7995-base_fy)/n_conv)</f>
        <v>0.00483550060399347</v>
      </c>
      <c r="K8052" s="7" t="n">
        <f aca="false">Sens!$E$8052+(glt_xbox-Sens!$E$8052)*MIN(1,(Sens!K7995-base_fy)/n_conv)</f>
        <v>0.02</v>
      </c>
    </row>
    <row r="8053" customFormat="false" ht="15" hidden="false" customHeight="false" outlineLevel="0" collapsed="false">
      <c r="A8053" s="0" t="s">
        <v>889</v>
      </c>
      <c r="B8053" s="0" t="s">
        <v>98</v>
      </c>
      <c r="D8053" s="6" t="n">
        <f aca="false">Q!L15</f>
        <v>17.315</v>
      </c>
      <c r="E8053" s="6" t="n">
        <f aca="false">Q!M15</f>
        <v>17.087</v>
      </c>
      <c r="F8053" s="6" t="n">
        <f aca="false">Sens!E8053*(1+Sens!F8054)</f>
        <v>16.9564585436519</v>
      </c>
      <c r="G8053" s="6" t="n">
        <f aca="false">Sens!F8053*(1+Sens!G8054)</f>
        <v>16.9206490624268</v>
      </c>
      <c r="H8053" s="6" t="n">
        <f aca="false">Sens!G8053*(1+Sens!H8054)</f>
        <v>16.9784519149849</v>
      </c>
      <c r="I8053" s="6" t="n">
        <f aca="false">Sens!H8053*(1+Sens!I8054)</f>
        <v>17.1303084701817</v>
      </c>
      <c r="J8053" s="6" t="n">
        <f aca="false">Sens!I8053*(1+Sens!J8054)</f>
        <v>17.3782189407267</v>
      </c>
      <c r="K8053" s="6" t="n">
        <f aca="false">Sens!J8053*(1+Sens!K8054)</f>
        <v>17.7257833195413</v>
      </c>
    </row>
    <row r="8054" customFormat="false" ht="15" hidden="false" customHeight="false" outlineLevel="0" collapsed="false">
      <c r="A8054" s="1" t="s">
        <v>876</v>
      </c>
      <c r="B8054" s="0" t="s">
        <v>129</v>
      </c>
      <c r="E8054" s="7" t="n">
        <f aca="false">Sens!E8053/Sens!D8053-1</f>
        <v>-0.0131677736066995</v>
      </c>
      <c r="F8054" s="7" t="n">
        <f aca="false">Sens!$E$8054+(glt_win-Sens!$E$8054)*MIN(1,(Sens!F7995-base_fy)/n_conv)</f>
        <v>-0.00763981133891627</v>
      </c>
      <c r="G8054" s="7" t="n">
        <f aca="false">Sens!$E$8054+(glt_win-Sens!$E$8054)*MIN(1,(Sens!G7995-base_fy)/n_conv)</f>
        <v>-0.00211184907113301</v>
      </c>
      <c r="H8054" s="7" t="n">
        <f aca="false">Sens!$E$8054+(glt_win-Sens!$E$8054)*MIN(1,(Sens!H7995-base_fy)/n_conv)</f>
        <v>0.00341611319665024</v>
      </c>
      <c r="I8054" s="7" t="n">
        <f aca="false">Sens!$E$8054+(glt_win-Sens!$E$8054)*MIN(1,(Sens!I7995-base_fy)/n_conv)</f>
        <v>0.00894407546443349</v>
      </c>
      <c r="J8054" s="7" t="n">
        <f aca="false">Sens!$E$8054+(glt_win-Sens!$E$8054)*MIN(1,(Sens!J7995-base_fy)/n_conv)</f>
        <v>0.0144720377322168</v>
      </c>
      <c r="K8054" s="7" t="n">
        <f aca="false">Sens!$E$8054+(glt_win-Sens!$E$8054)*MIN(1,(Sens!K7995-base_fy)/n_conv)</f>
        <v>0.02</v>
      </c>
    </row>
    <row r="8055" customFormat="false" ht="15" hidden="false" customHeight="false" outlineLevel="0" collapsed="false">
      <c r="A8055" s="0" t="s">
        <v>729</v>
      </c>
      <c r="B8055" s="0" t="s">
        <v>98</v>
      </c>
      <c r="D8055" s="6" t="n">
        <f aca="false">Sens!D8049+Sens!D8051+Sens!D8053</f>
        <v>62.941</v>
      </c>
      <c r="E8055" s="6" t="n">
        <f aca="false">Sens!E8049+Sens!E8051+Sens!E8053</f>
        <v>63.712</v>
      </c>
      <c r="F8055" s="6" t="n">
        <f aca="false">Sens!F8049+Sens!F8051+Sens!F8053</f>
        <v>65.1415764563129</v>
      </c>
      <c r="G8055" s="6" t="n">
        <f aca="false">Sens!G8049+Sens!G8051+Sens!G8053</f>
        <v>67.1253610780702</v>
      </c>
      <c r="H8055" s="6" t="n">
        <f aca="false">Sens!H8049+Sens!H8051+Sens!H8053</f>
        <v>69.5768050148776</v>
      </c>
      <c r="I8055" s="6" t="n">
        <f aca="false">Sens!I8049+Sens!I8051+Sens!I8053</f>
        <v>72.4233188088189</v>
      </c>
      <c r="J8055" s="6" t="n">
        <f aca="false">Sens!J8049+Sens!J8051+Sens!J8053</f>
        <v>75.6044096678567</v>
      </c>
      <c r="K8055" s="6" t="n">
        <f aca="false">Sens!K8049+Sens!K8051+Sens!K8053</f>
        <v>79.0714397009747</v>
      </c>
    </row>
    <row r="8056" customFormat="false" ht="15" hidden="false" customHeight="false" outlineLevel="0" collapsed="false">
      <c r="A8056" s="1" t="s">
        <v>890</v>
      </c>
      <c r="B8056" s="0" t="s">
        <v>98</v>
      </c>
      <c r="D8056" s="6" t="n">
        <f aca="false">Sens!D8048+Sens!D8055</f>
        <v>281.724</v>
      </c>
      <c r="E8056" s="6" t="n">
        <f aca="false">Sens!E8048+Sens!E8055</f>
        <v>331.839</v>
      </c>
      <c r="F8056" s="6" t="n">
        <f aca="false">Sens!F8048+Sens!F8055</f>
        <v>393.134367053499</v>
      </c>
      <c r="G8056" s="6" t="n">
        <f aca="false">Sens!G8048+Sens!G8055</f>
        <v>455.057755106681</v>
      </c>
      <c r="H8056" s="6" t="n">
        <f aca="false">Sens!H8048+Sens!H8055</f>
        <v>512.194807284628</v>
      </c>
      <c r="I8056" s="6" t="n">
        <f aca="false">Sens!I8048+Sens!I8055</f>
        <v>571.142784275156</v>
      </c>
      <c r="J8056" s="6" t="n">
        <f aca="false">Sens!J8048+Sens!J8055</f>
        <v>619.324781872321</v>
      </c>
      <c r="K8056" s="6" t="n">
        <f aca="false">Sens!K8048+Sens!K8055</f>
        <v>657.298765399937</v>
      </c>
    </row>
    <row r="8057" customFormat="false" ht="15" hidden="false" customHeight="false" outlineLevel="0" collapsed="false">
      <c r="A8057" s="23" t="s">
        <v>891</v>
      </c>
      <c r="B8057" s="30" t="s">
        <v>98</v>
      </c>
      <c r="C8057" s="30"/>
      <c r="D8057" s="24" t="n">
        <f aca="false">(Sens!D8036+Sens!D8041+Sens!D8042+Sens!D8044+Sens!D8046-Sens!D8048)+(Sens!D8049+Sens!D8051+Sens!D8053-Sens!D8055)+(Sens!D8048-Q!L5)+(Sens!D8055-Q!L12)+(Sens!D8036-Q!L6)+(Sens!D8041-Q!L7)</f>
        <v>0</v>
      </c>
      <c r="E8057" s="24" t="n">
        <f aca="false">(Sens!E8036+Sens!E8041+Sens!E8042+Sens!E8044+Sens!E8046-Sens!E8048)+(Sens!E8049+Sens!E8051+Sens!E8053-Sens!E8055)+(Sens!E8048-Q!M5)+(Sens!E8055-Q!M12)+(Sens!E8036-Q!M6)+(Sens!E8041-Q!M7)</f>
        <v>0</v>
      </c>
      <c r="F8057" s="24" t="n">
        <f aca="false">(Sens!F8036+Sens!F8041+Sens!F8042+Sens!F8044+Sens!F8046-Sens!F8048)+(Sens!F8049+Sens!F8051+Sens!F8053-Sens!F8055)</f>
        <v>0</v>
      </c>
      <c r="G8057" s="24" t="n">
        <f aca="false">(Sens!G8036+Sens!G8041+Sens!G8042+Sens!G8044+Sens!G8046-Sens!G8048)+(Sens!G8049+Sens!G8051+Sens!G8053-Sens!G8055)</f>
        <v>0</v>
      </c>
      <c r="H8057" s="24" t="n">
        <f aca="false">(Sens!H8036+Sens!H8041+Sens!H8042+Sens!H8044+Sens!H8046-Sens!H8048)+(Sens!H8049+Sens!H8051+Sens!H8053-Sens!H8055)</f>
        <v>0</v>
      </c>
      <c r="I8057" s="24" t="n">
        <f aca="false">(Sens!I8036+Sens!I8041+Sens!I8042+Sens!I8044+Sens!I8046-Sens!I8048)+(Sens!I8049+Sens!I8051+Sens!I8053-Sens!I8055)</f>
        <v>0</v>
      </c>
      <c r="J8057" s="24" t="n">
        <f aca="false">(Sens!J8036+Sens!J8041+Sens!J8042+Sens!J8044+Sens!J8046-Sens!J8048)+(Sens!J8049+Sens!J8051+Sens!J8053-Sens!J8055)</f>
        <v>0</v>
      </c>
      <c r="K8057" s="24" t="n">
        <f aca="false">(Sens!K8036+Sens!K8041+Sens!K8042+Sens!K8044+Sens!K8046-Sens!K8048)+(Sens!K8049+Sens!K8051+Sens!K8053-Sens!K8055)</f>
        <v>0</v>
      </c>
    </row>
    <row r="8058" customFormat="false" ht="17.15" hidden="false" customHeight="false" outlineLevel="0" collapsed="false">
      <c r="A8058" s="3" t="s">
        <v>1469</v>
      </c>
    </row>
    <row r="8059" customFormat="false" ht="15" hidden="false" customHeight="false" outlineLevel="0" collapsed="false">
      <c r="A8059" s="4" t="s">
        <v>43</v>
      </c>
      <c r="B8059" s="4" t="s">
        <v>65</v>
      </c>
      <c r="C8059" s="20" t="s">
        <v>799</v>
      </c>
      <c r="D8059" s="20" t="s">
        <v>800</v>
      </c>
      <c r="E8059" s="20" t="s">
        <v>801</v>
      </c>
      <c r="F8059" s="20" t="s">
        <v>802</v>
      </c>
      <c r="G8059" s="20" t="s">
        <v>803</v>
      </c>
      <c r="H8059" s="20" t="s">
        <v>804</v>
      </c>
      <c r="I8059" s="20" t="s">
        <v>805</v>
      </c>
      <c r="J8059" s="20" t="s">
        <v>806</v>
      </c>
      <c r="K8059" s="20" t="s">
        <v>807</v>
      </c>
      <c r="L8059" s="4" t="s">
        <v>47</v>
      </c>
    </row>
    <row r="8060" customFormat="false" ht="15" hidden="false" customHeight="false" outlineLevel="0" collapsed="false">
      <c r="A8060" s="0" t="s">
        <v>877</v>
      </c>
      <c r="B8060" s="0" t="s">
        <v>98</v>
      </c>
      <c r="D8060" s="6" t="n">
        <f aca="false">Sens!D8036</f>
        <v>72.61</v>
      </c>
      <c r="E8060" s="6" t="n">
        <f aca="false">Sens!E8036</f>
        <v>101.938</v>
      </c>
      <c r="F8060" s="6" t="n">
        <f aca="false">Sens!F8036</f>
        <v>140.371218658004</v>
      </c>
      <c r="G8060" s="6" t="n">
        <f aca="false">Sens!G8036</f>
        <v>180.839237491182</v>
      </c>
      <c r="H8060" s="6" t="n">
        <f aca="false">Sens!H8036</f>
        <v>216.029319588236</v>
      </c>
      <c r="I8060" s="6" t="n">
        <f aca="false">Sens!I8036</f>
        <v>253.658110486851</v>
      </c>
      <c r="J8060" s="6" t="n">
        <f aca="false">Sens!J8036</f>
        <v>281.529475100295</v>
      </c>
      <c r="K8060" s="6" t="n">
        <f aca="false">Sens!K8036</f>
        <v>299.833256358786</v>
      </c>
    </row>
    <row r="8061" customFormat="false" ht="17.15" hidden="false" customHeight="false" outlineLevel="0" collapsed="false">
      <c r="A8061" s="0" t="s">
        <v>874</v>
      </c>
      <c r="B8061" s="0" t="s">
        <v>98</v>
      </c>
      <c r="D8061" s="6" t="n">
        <f aca="false">Sens!D8033</f>
        <v>12.9359794422418</v>
      </c>
      <c r="E8061" s="6" t="n">
        <f aca="false">Sens!E8033</f>
        <v>27.8095064661409</v>
      </c>
      <c r="F8061" s="6" t="n">
        <f aca="false">Sens!F8033</f>
        <v>50.6619113883066</v>
      </c>
      <c r="G8061" s="6" t="n">
        <f aca="false">Sens!G8033</f>
        <v>75.1482839325348</v>
      </c>
      <c r="H8061" s="6" t="n">
        <f aca="false">Sens!H8033</f>
        <v>94.895655604042</v>
      </c>
      <c r="I8061" s="6" t="n">
        <f aca="false">Sens!I8033</f>
        <v>118.706168884151</v>
      </c>
      <c r="J8061" s="6" t="n">
        <f aca="false">Sens!J8033</f>
        <v>135.50643871102</v>
      </c>
      <c r="K8061" s="6" t="n">
        <f aca="false">Sens!K8033</f>
        <v>146.509068150048</v>
      </c>
    </row>
    <row r="8062" customFormat="false" ht="17.15" hidden="false" customHeight="false" outlineLevel="0" collapsed="false">
      <c r="A8062" s="0" t="s">
        <v>902</v>
      </c>
      <c r="B8062" s="0" t="s">
        <v>98</v>
      </c>
      <c r="D8062" s="6" t="n">
        <f aca="false">Sens!D8034</f>
        <v>59.6740205577583</v>
      </c>
      <c r="E8062" s="6" t="n">
        <f aca="false">Sens!E8034</f>
        <v>74.1284935338591</v>
      </c>
      <c r="F8062" s="6" t="n">
        <f aca="false">Sens!F8034</f>
        <v>89.709307269697</v>
      </c>
      <c r="G8062" s="6" t="n">
        <f aca="false">Sens!G8034</f>
        <v>105.690953558647</v>
      </c>
      <c r="H8062" s="6" t="n">
        <f aca="false">Sens!H8034</f>
        <v>121.133663984194</v>
      </c>
      <c r="I8062" s="6" t="n">
        <f aca="false">Sens!I8034</f>
        <v>134.951941602699</v>
      </c>
      <c r="J8062" s="6" t="n">
        <f aca="false">Sens!J8034</f>
        <v>146.023036389274</v>
      </c>
      <c r="K8062" s="6" t="n">
        <f aca="false">Sens!K8034</f>
        <v>153.324188208738</v>
      </c>
    </row>
    <row r="8063" customFormat="false" ht="15" hidden="false" customHeight="false" outlineLevel="0" collapsed="false">
      <c r="A8063" s="0" t="s">
        <v>883</v>
      </c>
      <c r="B8063" s="0" t="s">
        <v>98</v>
      </c>
      <c r="D8063" s="6" t="n">
        <f aca="false">Sens!D8041</f>
        <v>84.605</v>
      </c>
      <c r="E8063" s="6" t="n">
        <f aca="false">Sens!E8041</f>
        <v>100.299</v>
      </c>
      <c r="F8063" s="6" t="n">
        <f aca="false">Sens!F8041</f>
        <v>117.39238776686</v>
      </c>
      <c r="G8063" s="6" t="n">
        <f aca="false">Sens!G8041</f>
        <v>132.544168448684</v>
      </c>
      <c r="H8063" s="6" t="n">
        <f aca="false">Sens!H8041</f>
        <v>147.777359388781</v>
      </c>
      <c r="I8063" s="6" t="n">
        <f aca="false">Sens!I8041</f>
        <v>162.084028071957</v>
      </c>
      <c r="J8063" s="6" t="n">
        <f aca="false">Sens!J8041</f>
        <v>175.182702785465</v>
      </c>
      <c r="K8063" s="6" t="n">
        <f aca="false">Sens!K8041</f>
        <v>187.527991980448</v>
      </c>
    </row>
    <row r="8064" customFormat="false" ht="17.15" hidden="false" customHeight="false" outlineLevel="0" collapsed="false">
      <c r="A8064" s="0" t="s">
        <v>903</v>
      </c>
      <c r="B8064" s="0" t="s">
        <v>98</v>
      </c>
      <c r="D8064" s="6" t="n">
        <f aca="false">Sens!D8039</f>
        <v>83.705</v>
      </c>
      <c r="E8064" s="6" t="n">
        <f aca="false">Sens!E8039</f>
        <v>95.049</v>
      </c>
      <c r="F8064" s="6" t="n">
        <f aca="false">Sens!F8039</f>
        <v>106.89238776686</v>
      </c>
      <c r="G8064" s="6" t="n">
        <f aca="false">Sens!G8039</f>
        <v>119.044168448684</v>
      </c>
      <c r="H8064" s="6" t="n">
        <f aca="false">Sens!H8039</f>
        <v>131.277359388781</v>
      </c>
      <c r="I8064" s="6" t="n">
        <f aca="false">Sens!I8039</f>
        <v>143.334028071957</v>
      </c>
      <c r="J8064" s="6" t="n">
        <f aca="false">Sens!J8039</f>
        <v>154.932702785465</v>
      </c>
      <c r="K8064" s="6" t="n">
        <f aca="false">Sens!K8039</f>
        <v>165.777991980448</v>
      </c>
    </row>
    <row r="8065" customFormat="false" ht="17.15" hidden="false" customHeight="false" outlineLevel="0" collapsed="false">
      <c r="A8065" s="0" t="s">
        <v>904</v>
      </c>
      <c r="B8065" s="0" t="s">
        <v>98</v>
      </c>
      <c r="D8065" s="6" t="n">
        <f aca="false">Sens!D8038</f>
        <v>0.9</v>
      </c>
      <c r="E8065" s="6" t="n">
        <f aca="false">Sens!E8038</f>
        <v>5.25</v>
      </c>
      <c r="F8065" s="6" t="n">
        <f aca="false">Sens!F8038</f>
        <v>10.5</v>
      </c>
      <c r="G8065" s="6" t="n">
        <f aca="false">Sens!G8038</f>
        <v>13.5</v>
      </c>
      <c r="H8065" s="6" t="n">
        <f aca="false">Sens!H8038</f>
        <v>16.5</v>
      </c>
      <c r="I8065" s="6" t="n">
        <f aca="false">Sens!I8038</f>
        <v>18.75</v>
      </c>
      <c r="J8065" s="6" t="n">
        <f aca="false">Sens!J8038</f>
        <v>20.25</v>
      </c>
      <c r="K8065" s="6" t="n">
        <f aca="false">Sens!K8038</f>
        <v>21.75</v>
      </c>
    </row>
    <row r="8066" customFormat="false" ht="15" hidden="false" customHeight="false" outlineLevel="0" collapsed="false">
      <c r="A8066" s="0" t="s">
        <v>884</v>
      </c>
      <c r="B8066" s="0" t="s">
        <v>98</v>
      </c>
      <c r="D8066" s="6" t="n">
        <f aca="false">Sens!D8042</f>
        <v>35.391</v>
      </c>
      <c r="E8066" s="6" t="n">
        <f aca="false">Sens!E8042</f>
        <v>37.285</v>
      </c>
      <c r="F8066" s="6" t="n">
        <f aca="false">Sens!F8042</f>
        <v>39.0720834331704</v>
      </c>
      <c r="G8066" s="6" t="n">
        <f aca="false">Sens!G8042</f>
        <v>40.726562953769</v>
      </c>
      <c r="H8066" s="6" t="n">
        <f aca="false">Sens!H8042</f>
        <v>42.2235987259198</v>
      </c>
      <c r="I8066" s="6" t="n">
        <f aca="false">Sens!I8042</f>
        <v>43.5397988077414</v>
      </c>
      <c r="J8066" s="6" t="n">
        <f aca="false">Sens!J8042</f>
        <v>44.653811225693</v>
      </c>
      <c r="K8066" s="6" t="n">
        <f aca="false">Sens!K8042</f>
        <v>45.5468874502068</v>
      </c>
    </row>
    <row r="8067" customFormat="false" ht="15" hidden="false" customHeight="false" outlineLevel="0" collapsed="false">
      <c r="A8067" s="0" t="s">
        <v>885</v>
      </c>
      <c r="B8067" s="0" t="s">
        <v>98</v>
      </c>
      <c r="D8067" s="6" t="n">
        <f aca="false">Sens!D8044</f>
        <v>18.417</v>
      </c>
      <c r="E8067" s="6" t="n">
        <f aca="false">Sens!E8044</f>
        <v>20.345</v>
      </c>
      <c r="F8067" s="6" t="n">
        <f aca="false">Sens!F8044</f>
        <v>22.3572203267814</v>
      </c>
      <c r="G8067" s="6" t="n">
        <f aca="false">Sens!G8044</f>
        <v>24.4392124437232</v>
      </c>
      <c r="H8067" s="6" t="n">
        <f aca="false">Sens!H8044</f>
        <v>26.5738052080665</v>
      </c>
      <c r="I8067" s="6" t="n">
        <f aca="false">Sens!I8044</f>
        <v>28.7412169166967</v>
      </c>
      <c r="J8067" s="6" t="n">
        <f aca="false">Sens!J8044</f>
        <v>30.9192545395413</v>
      </c>
      <c r="K8067" s="6" t="n">
        <f aca="false">Sens!K8044</f>
        <v>33.0836023573092</v>
      </c>
    </row>
    <row r="8068" customFormat="false" ht="15" hidden="false" customHeight="false" outlineLevel="0" collapsed="false">
      <c r="A8068" s="0" t="s">
        <v>886</v>
      </c>
      <c r="B8068" s="0" t="s">
        <v>98</v>
      </c>
      <c r="D8068" s="6" t="n">
        <f aca="false">Sens!D8046</f>
        <v>7.76</v>
      </c>
      <c r="E8068" s="6" t="n">
        <f aca="false">Sens!E8046</f>
        <v>8.26</v>
      </c>
      <c r="F8068" s="6" t="n">
        <f aca="false">Sens!F8046</f>
        <v>8.79988041237113</v>
      </c>
      <c r="G8068" s="6" t="n">
        <f aca="false">Sens!G8046</f>
        <v>9.38321269125306</v>
      </c>
      <c r="H8068" s="6" t="n">
        <f aca="false">Sens!H8046</f>
        <v>10.0139193587476</v>
      </c>
      <c r="I8068" s="6" t="n">
        <f aca="false">Sens!I8046</f>
        <v>10.6963111830911</v>
      </c>
      <c r="J8068" s="6" t="n">
        <f aca="false">Sens!J8046</f>
        <v>11.4351285534696</v>
      </c>
      <c r="K8068" s="6" t="n">
        <f aca="false">Sens!K8046</f>
        <v>12.2355875522124</v>
      </c>
    </row>
    <row r="8069" customFormat="false" ht="15" hidden="false" customHeight="false" outlineLevel="0" collapsed="false">
      <c r="A8069" s="0" t="s">
        <v>715</v>
      </c>
      <c r="B8069" s="0" t="s">
        <v>98</v>
      </c>
      <c r="D8069" s="6" t="n">
        <f aca="false">Sens!D8048</f>
        <v>218.783</v>
      </c>
      <c r="E8069" s="6" t="n">
        <f aca="false">Sens!E8048</f>
        <v>268.127</v>
      </c>
      <c r="F8069" s="6" t="n">
        <f aca="false">Sens!F8048</f>
        <v>327.992790597186</v>
      </c>
      <c r="G8069" s="6" t="n">
        <f aca="false">Sens!G8048</f>
        <v>387.932394028611</v>
      </c>
      <c r="H8069" s="6" t="n">
        <f aca="false">Sens!H8048</f>
        <v>442.618002269751</v>
      </c>
      <c r="I8069" s="6" t="n">
        <f aca="false">Sens!I8048</f>
        <v>498.719465466337</v>
      </c>
      <c r="J8069" s="6" t="n">
        <f aca="false">Sens!J8048</f>
        <v>543.720372204464</v>
      </c>
      <c r="K8069" s="6" t="n">
        <f aca="false">Sens!K8048</f>
        <v>578.227325698962</v>
      </c>
    </row>
    <row r="8070" customFormat="false" ht="15" hidden="false" customHeight="false" outlineLevel="0" collapsed="false">
      <c r="A8070" s="0" t="s">
        <v>887</v>
      </c>
      <c r="B8070" s="0" t="s">
        <v>98</v>
      </c>
      <c r="D8070" s="6" t="n">
        <f aca="false">Sens!D8049</f>
        <v>22.171</v>
      </c>
      <c r="E8070" s="6" t="n">
        <f aca="false">Sens!E8049</f>
        <v>24.835</v>
      </c>
      <c r="F8070" s="6" t="n">
        <f aca="false">Sens!F8049</f>
        <v>27.6114901218559</v>
      </c>
      <c r="G8070" s="6" t="n">
        <f aca="false">Sens!G8049</f>
        <v>30.4675667338515</v>
      </c>
      <c r="H8070" s="6" t="n">
        <f aca="false">Sens!H8049</f>
        <v>33.3643766955789</v>
      </c>
      <c r="I8070" s="6" t="n">
        <f aca="false">Sens!I8049</f>
        <v>36.2577016533691</v>
      </c>
      <c r="J8070" s="6" t="n">
        <f aca="false">Sens!J8049</f>
        <v>39.0988367952171</v>
      </c>
      <c r="K8070" s="6" t="n">
        <f aca="false">Sens!K8049</f>
        <v>41.8357553708823</v>
      </c>
    </row>
    <row r="8071" customFormat="false" ht="15" hidden="false" customHeight="false" outlineLevel="0" collapsed="false">
      <c r="A8071" s="0" t="s">
        <v>888</v>
      </c>
      <c r="B8071" s="0" t="s">
        <v>98</v>
      </c>
      <c r="D8071" s="6" t="n">
        <f aca="false">Sens!D8051</f>
        <v>23.455</v>
      </c>
      <c r="E8071" s="6" t="n">
        <f aca="false">Sens!E8051</f>
        <v>21.79</v>
      </c>
      <c r="F8071" s="6" t="n">
        <f aca="false">Sens!F8051</f>
        <v>20.5736277908051</v>
      </c>
      <c r="G8071" s="6" t="n">
        <f aca="false">Sens!G8051</f>
        <v>19.7371452817919</v>
      </c>
      <c r="H8071" s="6" t="n">
        <f aca="false">Sens!H8051</f>
        <v>19.2339764043138</v>
      </c>
      <c r="I8071" s="6" t="n">
        <f aca="false">Sens!I8051</f>
        <v>19.0353086852681</v>
      </c>
      <c r="J8071" s="6" t="n">
        <f aca="false">Sens!J8051</f>
        <v>19.1273539319129</v>
      </c>
      <c r="K8071" s="6" t="n">
        <f aca="false">Sens!K8051</f>
        <v>19.5099010105511</v>
      </c>
    </row>
    <row r="8072" customFormat="false" ht="15" hidden="false" customHeight="false" outlineLevel="0" collapsed="false">
      <c r="A8072" s="0" t="s">
        <v>889</v>
      </c>
      <c r="B8072" s="0" t="s">
        <v>98</v>
      </c>
      <c r="D8072" s="6" t="n">
        <f aca="false">Sens!D8053</f>
        <v>17.315</v>
      </c>
      <c r="E8072" s="6" t="n">
        <f aca="false">Sens!E8053</f>
        <v>17.087</v>
      </c>
      <c r="F8072" s="6" t="n">
        <f aca="false">Sens!F8053</f>
        <v>16.9564585436519</v>
      </c>
      <c r="G8072" s="6" t="n">
        <f aca="false">Sens!G8053</f>
        <v>16.9206490624268</v>
      </c>
      <c r="H8072" s="6" t="n">
        <f aca="false">Sens!H8053</f>
        <v>16.9784519149849</v>
      </c>
      <c r="I8072" s="6" t="n">
        <f aca="false">Sens!I8053</f>
        <v>17.1303084701817</v>
      </c>
      <c r="J8072" s="6" t="n">
        <f aca="false">Sens!J8053</f>
        <v>17.3782189407267</v>
      </c>
      <c r="K8072" s="6" t="n">
        <f aca="false">Sens!K8053</f>
        <v>17.7257833195413</v>
      </c>
    </row>
    <row r="8073" customFormat="false" ht="15" hidden="false" customHeight="false" outlineLevel="0" collapsed="false">
      <c r="A8073" s="0" t="s">
        <v>729</v>
      </c>
      <c r="B8073" s="0" t="s">
        <v>98</v>
      </c>
      <c r="D8073" s="6" t="n">
        <f aca="false">Sens!D8055</f>
        <v>62.941</v>
      </c>
      <c r="E8073" s="6" t="n">
        <f aca="false">Sens!E8055</f>
        <v>63.712</v>
      </c>
      <c r="F8073" s="6" t="n">
        <f aca="false">Sens!F8055</f>
        <v>65.1415764563129</v>
      </c>
      <c r="G8073" s="6" t="n">
        <f aca="false">Sens!G8055</f>
        <v>67.1253610780702</v>
      </c>
      <c r="H8073" s="6" t="n">
        <f aca="false">Sens!H8055</f>
        <v>69.5768050148776</v>
      </c>
      <c r="I8073" s="6" t="n">
        <f aca="false">Sens!I8055</f>
        <v>72.4233188088189</v>
      </c>
      <c r="J8073" s="6" t="n">
        <f aca="false">Sens!J8055</f>
        <v>75.6044096678567</v>
      </c>
      <c r="K8073" s="6" t="n">
        <f aca="false">Sens!K8055</f>
        <v>79.0714397009747</v>
      </c>
    </row>
    <row r="8074" customFormat="false" ht="15" hidden="false" customHeight="false" outlineLevel="0" collapsed="false">
      <c r="A8074" s="1" t="s">
        <v>905</v>
      </c>
      <c r="B8074" s="0" t="s">
        <v>98</v>
      </c>
      <c r="D8074" s="6" t="n">
        <f aca="false">Sens!D8056</f>
        <v>281.724</v>
      </c>
      <c r="E8074" s="6" t="n">
        <f aca="false">Sens!E8056</f>
        <v>331.839</v>
      </c>
      <c r="F8074" s="6" t="n">
        <f aca="false">Sens!F8056</f>
        <v>393.134367053499</v>
      </c>
      <c r="G8074" s="6" t="n">
        <f aca="false">Sens!G8056</f>
        <v>455.057755106681</v>
      </c>
      <c r="H8074" s="6" t="n">
        <f aca="false">Sens!H8056</f>
        <v>512.194807284628</v>
      </c>
      <c r="I8074" s="6" t="n">
        <f aca="false">Sens!I8056</f>
        <v>571.142784275156</v>
      </c>
      <c r="J8074" s="6" t="n">
        <f aca="false">Sens!J8056</f>
        <v>619.324781872321</v>
      </c>
      <c r="K8074" s="6" t="n">
        <f aca="false">Sens!K8056</f>
        <v>657.298765399937</v>
      </c>
    </row>
    <row r="8075" customFormat="false" ht="15" hidden="false" customHeight="false" outlineLevel="0" collapsed="false">
      <c r="A8075" s="1" t="s">
        <v>906</v>
      </c>
      <c r="B8075" s="0" t="s">
        <v>129</v>
      </c>
      <c r="E8075" s="7" t="n">
        <f aca="false">Sens!E8074/Sens!D8074-1</f>
        <v>0.177886867998467</v>
      </c>
      <c r="F8075" s="7" t="n">
        <f aca="false">Sens!F8074/Sens!E8074-1</f>
        <v>0.184714174806154</v>
      </c>
      <c r="G8075" s="7" t="n">
        <f aca="false">Sens!G8074/Sens!F8074-1</f>
        <v>0.157512019407744</v>
      </c>
      <c r="H8075" s="7" t="n">
        <f aca="false">Sens!H8074/Sens!G8074-1</f>
        <v>0.125560000981749</v>
      </c>
      <c r="I8075" s="7" t="n">
        <f aca="false">Sens!I8074/Sens!H8074-1</f>
        <v>0.115088978162502</v>
      </c>
      <c r="J8075" s="7" t="n">
        <f aca="false">Sens!J8074/Sens!I8074-1</f>
        <v>0.0843606868960327</v>
      </c>
      <c r="K8075" s="7" t="n">
        <f aca="false">Sens!K8074/Sens!J8074-1</f>
        <v>0.0613151364826945</v>
      </c>
    </row>
    <row r="8076" customFormat="false" ht="17.15" hidden="false" customHeight="false" outlineLevel="0" collapsed="false">
      <c r="A8076" s="23" t="s">
        <v>907</v>
      </c>
      <c r="B8076" s="30" t="s">
        <v>98</v>
      </c>
      <c r="C8076" s="30"/>
      <c r="D8076" s="24" t="n">
        <f aca="false">(Sens!D8069+Sens!D8073-Sens!D8074)+(Sens!D8061+Sens!D8062-Sens!D8060)+(Sens!D8064+Sens!D8065-Sens!D8063)+(Sens!D8074-Q!L18)</f>
        <v>0</v>
      </c>
      <c r="E8076" s="24" t="n">
        <f aca="false">(Sens!E8069+Sens!E8073-Sens!E8074)+(Sens!E8061+Sens!E8062-Sens!E8060)+(Sens!E8064+Sens!E8065-Sens!E8063)+(Sens!E8074-Q!M18)</f>
        <v>0</v>
      </c>
      <c r="F8076" s="24" t="n">
        <f aca="false">(Sens!F8069+Sens!F8073-Sens!F8074)+(Sens!F8061+Sens!F8062-Sens!F8060)+(Sens!F8064+Sens!F8065-Sens!F8063)</f>
        <v>0</v>
      </c>
      <c r="G8076" s="24" t="n">
        <f aca="false">(Sens!G8069+Sens!G8073-Sens!G8074)+(Sens!G8061+Sens!G8062-Sens!G8060)+(Sens!G8064+Sens!G8065-Sens!G8063)</f>
        <v>0</v>
      </c>
      <c r="H8076" s="24" t="n">
        <f aca="false">(Sens!H8069+Sens!H8073-Sens!H8074)+(Sens!H8061+Sens!H8062-Sens!H8060)+(Sens!H8064+Sens!H8065-Sens!H8063)</f>
        <v>0</v>
      </c>
      <c r="I8076" s="24" t="n">
        <f aca="false">(Sens!I8069+Sens!I8073-Sens!I8074)+(Sens!I8061+Sens!I8062-Sens!I8060)+(Sens!I8064+Sens!I8065-Sens!I8063)</f>
        <v>0</v>
      </c>
      <c r="J8076" s="24" t="n">
        <f aca="false">(Sens!J8069+Sens!J8073-Sens!J8074)+(Sens!J8061+Sens!J8062-Sens!J8060)+(Sens!J8064+Sens!J8065-Sens!J8063)</f>
        <v>0</v>
      </c>
      <c r="K8076" s="24" t="n">
        <f aca="false">(Sens!K8069+Sens!K8073-Sens!K8074)+(Sens!K8061+Sens!K8062-Sens!K8060)+(Sens!K8064+Sens!K8065-Sens!K8063)</f>
        <v>0</v>
      </c>
    </row>
    <row r="8077" customFormat="false" ht="17.15" hidden="false" customHeight="false" outlineLevel="0" collapsed="false">
      <c r="A8077" s="0" t="s">
        <v>908</v>
      </c>
      <c r="B8077" s="0" t="s">
        <v>129</v>
      </c>
      <c r="E8077" s="7" t="n">
        <f aca="false">(Q!M21+Sens!E8014+Sens!E8015+Sens!E8016+Sens!E8029-Sens!E8012)/(Q!M5-Sens!E8012)</f>
        <v>0.570957350878296</v>
      </c>
      <c r="F8077" s="7" t="n">
        <f aca="false">Sens!$E$8077+dm_seg</f>
        <v>0.570957350878296</v>
      </c>
      <c r="G8077" s="7" t="n">
        <f aca="false">Sens!$E$8077+dm_seg</f>
        <v>0.570957350878296</v>
      </c>
      <c r="H8077" s="7" t="n">
        <f aca="false">Sens!$E$8077+dm_seg</f>
        <v>0.570957350878296</v>
      </c>
      <c r="I8077" s="7" t="n">
        <f aca="false">Sens!$E$8077+dm_seg</f>
        <v>0.570957350878296</v>
      </c>
      <c r="J8077" s="7" t="n">
        <f aca="false">Sens!$E$8077+dm_seg</f>
        <v>0.570957350878296</v>
      </c>
      <c r="K8077" s="7" t="n">
        <f aca="false">Sens!$E$8077+dm_seg</f>
        <v>0.570957350878296</v>
      </c>
      <c r="L8077" s="11" t="s">
        <v>909</v>
      </c>
    </row>
    <row r="8078" customFormat="false" ht="17.15" hidden="false" customHeight="false" outlineLevel="0" collapsed="false">
      <c r="A8078" s="0" t="s">
        <v>743</v>
      </c>
      <c r="B8078" s="0" t="s">
        <v>98</v>
      </c>
      <c r="D8078" s="6" t="n">
        <f aca="false">Q!L21</f>
        <v>110.814</v>
      </c>
      <c r="E8078" s="6" t="n">
        <f aca="false">Q!M21</f>
        <v>136.365</v>
      </c>
      <c r="F8078" s="6" t="n">
        <f aca="false">Sens!F8077*(Sens!F8048-Sens!F8012)+Sens!F8012-(Sens!F8014+Sens!F8015+Sens!F8016)-Sens!F8029-Sens!F8112</f>
        <v>151.967441201677</v>
      </c>
      <c r="G8078" s="6" t="n">
        <f aca="false">Sens!G8077*(Sens!G8048-Sens!G8012)+Sens!G8012-(Sens!G8014+Sens!G8015+Sens!G8016)-Sens!G8029-Sens!G8112</f>
        <v>160.160744298566</v>
      </c>
      <c r="H8078" s="6" t="n">
        <f aca="false">Sens!H8077*(Sens!H8048-Sens!H8012)+Sens!H8012-(Sens!H8014+Sens!H8015+Sens!H8016)-Sens!H8029-Sens!H8112</f>
        <v>161.500385062351</v>
      </c>
      <c r="I8078" s="6" t="n">
        <f aca="false">Sens!I8077*(Sens!I8048-Sens!I8012)+Sens!I8012-(Sens!I8014+Sens!I8015+Sens!I8016)-Sens!I8029-Sens!I8112</f>
        <v>169.872070184244</v>
      </c>
      <c r="J8078" s="6" t="n">
        <f aca="false">Sens!J8077*(Sens!J8048-Sens!J8012)+Sens!J8012-(Sens!J8014+Sens!J8015+Sens!J8016)-Sens!J8029-Sens!J8112</f>
        <v>178.825786444882</v>
      </c>
      <c r="K8078" s="6" t="n">
        <f aca="false">Sens!K8077*(Sens!K8048-Sens!K8012)+Sens!K8012-(Sens!K8014+Sens!K8015+Sens!K8016)-Sens!K8029-Sens!K8112</f>
        <v>188.389724543087</v>
      </c>
      <c r="L8078" s="1" t="s">
        <v>910</v>
      </c>
    </row>
    <row r="8079" customFormat="false" ht="17.15" hidden="false" customHeight="false" outlineLevel="0" collapsed="false">
      <c r="A8079" s="0" t="s">
        <v>911</v>
      </c>
      <c r="B8079" s="0" t="s">
        <v>129</v>
      </c>
      <c r="E8079" s="7" t="n">
        <f aca="false">Q!M22/Q!M12</f>
        <v>0.296207935710698</v>
      </c>
      <c r="F8079" s="7" t="n">
        <f aca="false">Sens!$E$8079+dm_seg</f>
        <v>0.296207935710698</v>
      </c>
      <c r="G8079" s="7" t="n">
        <f aca="false">Sens!$E$8079+dm_seg</f>
        <v>0.296207935710698</v>
      </c>
      <c r="H8079" s="7" t="n">
        <f aca="false">Sens!$E$8079+dm_seg</f>
        <v>0.296207935710698</v>
      </c>
      <c r="I8079" s="7" t="n">
        <f aca="false">Sens!$E$8079+dm_seg</f>
        <v>0.296207935710698</v>
      </c>
      <c r="J8079" s="7" t="n">
        <f aca="false">Sens!$E$8079+dm_seg</f>
        <v>0.296207935710698</v>
      </c>
      <c r="K8079" s="7" t="n">
        <f aca="false">Sens!$E$8079+dm_seg</f>
        <v>0.296207935710698</v>
      </c>
      <c r="L8079" s="11" t="s">
        <v>912</v>
      </c>
    </row>
    <row r="8080" customFormat="false" ht="17.15" hidden="false" customHeight="false" outlineLevel="0" collapsed="false">
      <c r="A8080" s="0" t="s">
        <v>745</v>
      </c>
      <c r="B8080" s="0" t="s">
        <v>98</v>
      </c>
      <c r="D8080" s="6" t="n">
        <f aca="false">Q!L22</f>
        <v>17.714</v>
      </c>
      <c r="E8080" s="6" t="n">
        <f aca="false">Q!M22</f>
        <v>18.872</v>
      </c>
      <c r="F8080" s="6" t="n">
        <f aca="false">Sens!F8055*Sens!F8079</f>
        <v>19.2954518910651</v>
      </c>
      <c r="G8080" s="6" t="n">
        <f aca="false">Sens!G8055*Sens!G8079</f>
        <v>19.8830646387704</v>
      </c>
      <c r="H8080" s="6" t="n">
        <f aca="false">Sens!H8055*Sens!H8079</f>
        <v>20.6092017868026</v>
      </c>
      <c r="I8080" s="6" t="n">
        <f aca="false">Sens!I8055*Sens!I8079</f>
        <v>21.452361761678</v>
      </c>
      <c r="J8080" s="6" t="n">
        <f aca="false">Sens!J8055*Sens!J8079</f>
        <v>22.3946261183418</v>
      </c>
      <c r="K8080" s="6" t="n">
        <f aca="false">Sens!K8055*Sens!K8079</f>
        <v>23.4215879274986</v>
      </c>
    </row>
    <row r="8081" customFormat="false" ht="15" hidden="false" customHeight="false" outlineLevel="0" collapsed="false">
      <c r="A8081" s="1" t="s">
        <v>913</v>
      </c>
      <c r="B8081" s="0" t="s">
        <v>98</v>
      </c>
      <c r="D8081" s="6" t="n">
        <f aca="false">Sens!D8078+Sens!D8080</f>
        <v>128.528</v>
      </c>
      <c r="E8081" s="6" t="n">
        <f aca="false">Sens!E8078+Sens!E8080</f>
        <v>155.237</v>
      </c>
      <c r="F8081" s="6" t="n">
        <f aca="false">Sens!F8078+Sens!F8080</f>
        <v>171.262893092742</v>
      </c>
      <c r="G8081" s="6" t="n">
        <f aca="false">Sens!G8078+Sens!G8080</f>
        <v>180.043808937337</v>
      </c>
      <c r="H8081" s="6" t="n">
        <f aca="false">Sens!H8078+Sens!H8080</f>
        <v>182.109586849153</v>
      </c>
      <c r="I8081" s="6" t="n">
        <f aca="false">Sens!I8078+Sens!I8080</f>
        <v>191.324431945922</v>
      </c>
      <c r="J8081" s="6" t="n">
        <f aca="false">Sens!J8078+Sens!J8080</f>
        <v>201.220412563224</v>
      </c>
      <c r="K8081" s="6" t="n">
        <f aca="false">Sens!K8078+Sens!K8080</f>
        <v>211.811312470586</v>
      </c>
    </row>
    <row r="8082" customFormat="false" ht="15" hidden="false" customHeight="false" outlineLevel="0" collapsed="false">
      <c r="A8082" s="23" t="s">
        <v>914</v>
      </c>
      <c r="B8082" s="30" t="s">
        <v>98</v>
      </c>
      <c r="C8082" s="30"/>
      <c r="D8082" s="24" t="n">
        <f aca="false">Sens!D8081-Q!L23</f>
        <v>0</v>
      </c>
      <c r="E8082" s="24" t="n">
        <f aca="false">Sens!E8081-Q!M23</f>
        <v>0</v>
      </c>
      <c r="F8082" s="30"/>
      <c r="G8082" s="30"/>
      <c r="H8082" s="30"/>
      <c r="I8082" s="30"/>
      <c r="J8082" s="30"/>
      <c r="K8082" s="30"/>
    </row>
    <row r="8083" customFormat="false" ht="15" hidden="false" customHeight="false" outlineLevel="0" collapsed="false">
      <c r="A8083" s="1" t="s">
        <v>915</v>
      </c>
      <c r="B8083" s="0" t="s">
        <v>129</v>
      </c>
      <c r="D8083" s="7" t="n">
        <f aca="false">Sens!D8081/Sens!D8074</f>
        <v>0.456219562408598</v>
      </c>
      <c r="E8083" s="7" t="n">
        <f aca="false">Sens!E8081/Sens!E8074</f>
        <v>0.467808184089272</v>
      </c>
      <c r="F8083" s="7" t="n">
        <f aca="false">Sens!F8081/Sens!F8074</f>
        <v>0.435634499156966</v>
      </c>
      <c r="G8083" s="7" t="n">
        <f aca="false">Sens!G8081/Sens!G8074</f>
        <v>0.395650457369149</v>
      </c>
      <c r="H8083" s="7" t="n">
        <f aca="false">Sens!H8081/Sens!H8074</f>
        <v>0.355547507040528</v>
      </c>
      <c r="I8083" s="7" t="n">
        <f aca="false">Sens!I8081/Sens!I8074</f>
        <v>0.334985291267811</v>
      </c>
      <c r="J8083" s="7" t="n">
        <f aca="false">Sens!J8081/Sens!J8074</f>
        <v>0.324902891750757</v>
      </c>
      <c r="K8083" s="7" t="n">
        <f aca="false">Sens!K8081/Sens!K8074</f>
        <v>0.322245109256683</v>
      </c>
    </row>
    <row r="8084" customFormat="false" ht="17.15" hidden="false" customHeight="false" outlineLevel="0" collapsed="false">
      <c r="A8084" s="1" t="s">
        <v>916</v>
      </c>
      <c r="B8084" s="0" t="s">
        <v>98</v>
      </c>
      <c r="F8084" s="6" t="n">
        <f aca="false">Sens!F8099</f>
        <v>10.1553565002727</v>
      </c>
      <c r="G8084" s="6" t="n">
        <f aca="false">Sens!G8099</f>
        <v>26.5039384396555</v>
      </c>
      <c r="H8084" s="6" t="n">
        <f aca="false">Sens!H8099</f>
        <v>44.38649932956</v>
      </c>
      <c r="I8084" s="6" t="n">
        <f aca="false">Sens!I8099</f>
        <v>60.5028524913745</v>
      </c>
      <c r="J8084" s="6" t="n">
        <f aca="false">Sens!J8099</f>
        <v>71.8788124586976</v>
      </c>
      <c r="K8084" s="6" t="n">
        <f aca="false">Sens!K8099</f>
        <v>78.7789222270768</v>
      </c>
      <c r="L8084" s="1" t="s">
        <v>917</v>
      </c>
    </row>
    <row r="8085" customFormat="false" ht="17.15" hidden="false" customHeight="false" outlineLevel="0" collapsed="false">
      <c r="A8085" s="1" t="s">
        <v>918</v>
      </c>
      <c r="B8085" s="0" t="s">
        <v>98</v>
      </c>
      <c r="D8085" s="6" t="n">
        <f aca="false">Sens!D8081</f>
        <v>128.528</v>
      </c>
      <c r="E8085" s="6" t="n">
        <f aca="false">Sens!E8081</f>
        <v>155.237</v>
      </c>
      <c r="F8085" s="6" t="n">
        <f aca="false">Sens!F8081+Sens!F8084</f>
        <v>181.418249593015</v>
      </c>
      <c r="G8085" s="6" t="n">
        <f aca="false">Sens!G8081+Sens!G8084</f>
        <v>206.547747376992</v>
      </c>
      <c r="H8085" s="6" t="n">
        <f aca="false">Sens!H8081+Sens!H8084</f>
        <v>226.496086178713</v>
      </c>
      <c r="I8085" s="6" t="n">
        <f aca="false">Sens!I8081+Sens!I8084</f>
        <v>251.827284437296</v>
      </c>
      <c r="J8085" s="6" t="n">
        <f aca="false">Sens!J8081+Sens!J8084</f>
        <v>273.099225021921</v>
      </c>
      <c r="K8085" s="6" t="n">
        <f aca="false">Sens!K8081+Sens!K8084</f>
        <v>290.590234697662</v>
      </c>
    </row>
    <row r="8086" customFormat="false" ht="17.15" hidden="false" customHeight="false" outlineLevel="0" collapsed="false">
      <c r="A8086" s="1" t="s">
        <v>919</v>
      </c>
      <c r="B8086" s="0" t="s">
        <v>98</v>
      </c>
      <c r="E8086" s="6" t="n">
        <f aca="false">Sens!E8029</f>
        <v>16.3054059770833</v>
      </c>
      <c r="F8086" s="6" t="n">
        <f aca="false">Sens!F8029</f>
        <v>34.0498873809555</v>
      </c>
      <c r="G8086" s="6" t="n">
        <f aca="false">Sens!G8029</f>
        <v>59.1254371105111</v>
      </c>
      <c r="H8086" s="6" t="n">
        <f aca="false">Sens!H8029</f>
        <v>86.3610198433111</v>
      </c>
      <c r="I8086" s="6" t="n">
        <f aca="false">Sens!I8029</f>
        <v>110.605743832393</v>
      </c>
      <c r="J8086" s="6" t="n">
        <f aca="false">Sens!J8029</f>
        <v>127.998322852843</v>
      </c>
      <c r="K8086" s="6" t="n">
        <f aca="false">Sens!K8029</f>
        <v>139.131464044308</v>
      </c>
    </row>
    <row r="8087" customFormat="false" ht="17.15" hidden="false" customHeight="false" outlineLevel="0" collapsed="false">
      <c r="A8087" s="1" t="s">
        <v>920</v>
      </c>
      <c r="B8087" s="0" t="s">
        <v>98</v>
      </c>
      <c r="E8087" s="6" t="n">
        <f aca="false">Sens!E8111</f>
        <v>22.2285940229167</v>
      </c>
      <c r="F8087" s="6" t="n">
        <f aca="false">Sens!F8111</f>
        <v>24.3924470334783</v>
      </c>
      <c r="G8087" s="6" t="n">
        <f aca="false">Sens!G8111</f>
        <v>25.9967422542762</v>
      </c>
      <c r="H8087" s="6" t="n">
        <f aca="false">Sens!H8111</f>
        <v>27.9404530212287</v>
      </c>
      <c r="I8087" s="6" t="n">
        <f aca="false">Sens!I8111</f>
        <v>30.1491125346871</v>
      </c>
      <c r="J8087" s="6" t="n">
        <f aca="false">Sens!J8111</f>
        <v>32.5298759877546</v>
      </c>
      <c r="K8087" s="6" t="n">
        <f aca="false">Sens!K8111</f>
        <v>34.9827348933638</v>
      </c>
    </row>
    <row r="8088" customFormat="false" ht="17.15" hidden="false" customHeight="false" outlineLevel="0" collapsed="false">
      <c r="A8088" s="1" t="s">
        <v>921</v>
      </c>
      <c r="B8088" s="0" t="s">
        <v>98</v>
      </c>
      <c r="D8088" s="6" t="n">
        <f aca="false">Q!L27</f>
        <v>-4.901</v>
      </c>
      <c r="E8088" s="6" t="n">
        <f aca="false">Q!M27</f>
        <v>10.697</v>
      </c>
      <c r="F8088" s="6" t="n">
        <f aca="false">oie_f</f>
        <v>-0.4</v>
      </c>
      <c r="G8088" s="6" t="n">
        <f aca="false">oie_f</f>
        <v>-0.4</v>
      </c>
      <c r="H8088" s="6" t="n">
        <f aca="false">oie_f</f>
        <v>-0.4</v>
      </c>
      <c r="I8088" s="6" t="n">
        <f aca="false">oie_f</f>
        <v>-0.4</v>
      </c>
      <c r="J8088" s="6" t="n">
        <f aca="false">oie_f</f>
        <v>-0.4</v>
      </c>
      <c r="K8088" s="6" t="n">
        <f aca="false">oie_f</f>
        <v>-0.4</v>
      </c>
      <c r="L8088" s="11" t="s">
        <v>922</v>
      </c>
    </row>
    <row r="8089" customFormat="false" ht="15" hidden="false" customHeight="false" outlineLevel="0" collapsed="false">
      <c r="A8089" s="1" t="s">
        <v>923</v>
      </c>
      <c r="B8089" s="0" t="s">
        <v>98</v>
      </c>
      <c r="D8089" s="6" t="n">
        <f aca="false">Sens!D8081+Sens!D8088</f>
        <v>123.627</v>
      </c>
      <c r="E8089" s="6" t="n">
        <f aca="false">Sens!E8081+Sens!E8088</f>
        <v>165.934</v>
      </c>
      <c r="F8089" s="6" t="n">
        <f aca="false">Sens!F8081+Sens!F8088</f>
        <v>170.862893092742</v>
      </c>
      <c r="G8089" s="6" t="n">
        <f aca="false">Sens!G8081+Sens!G8088</f>
        <v>179.643808937337</v>
      </c>
      <c r="H8089" s="6" t="n">
        <f aca="false">Sens!H8081+Sens!H8088</f>
        <v>181.709586849153</v>
      </c>
      <c r="I8089" s="6" t="n">
        <f aca="false">Sens!I8081+Sens!I8088</f>
        <v>190.924431945922</v>
      </c>
      <c r="J8089" s="6" t="n">
        <f aca="false">Sens!J8081+Sens!J8088</f>
        <v>200.820412563224</v>
      </c>
      <c r="K8089" s="6" t="n">
        <f aca="false">Sens!K8081+Sens!K8088</f>
        <v>211.411312470586</v>
      </c>
    </row>
    <row r="8090" customFormat="false" ht="15" hidden="false" customHeight="false" outlineLevel="0" collapsed="false">
      <c r="A8090" s="1" t="s">
        <v>924</v>
      </c>
      <c r="B8090" s="0" t="s">
        <v>98</v>
      </c>
      <c r="D8090" s="6" t="n">
        <f aca="false">Q!L29</f>
        <v>21.795</v>
      </c>
      <c r="E8090" s="6" t="n">
        <f aca="false">Q!M29</f>
        <v>32.185</v>
      </c>
      <c r="F8090" s="6" t="n">
        <f aca="false">Sens!F8089*tax_f</f>
        <v>34.1725786185484</v>
      </c>
      <c r="G8090" s="6" t="n">
        <f aca="false">Sens!G8089*tax_f</f>
        <v>35.9287617874674</v>
      </c>
      <c r="H8090" s="6" t="n">
        <f aca="false">Sens!H8089*tax_f</f>
        <v>36.3419173698307</v>
      </c>
      <c r="I8090" s="6" t="n">
        <f aca="false">Sens!I8089*tax_f</f>
        <v>38.1848863891843</v>
      </c>
      <c r="J8090" s="6" t="n">
        <f aca="false">Sens!J8089*tax_f</f>
        <v>40.1640825126448</v>
      </c>
      <c r="K8090" s="6" t="n">
        <f aca="false">Sens!K8089*tax_f</f>
        <v>42.2822624941171</v>
      </c>
    </row>
    <row r="8091" customFormat="false" ht="15" hidden="false" customHeight="false" outlineLevel="0" collapsed="false">
      <c r="A8091" s="1" t="s">
        <v>925</v>
      </c>
      <c r="B8091" s="0" t="s">
        <v>98</v>
      </c>
      <c r="D8091" s="6" t="n">
        <f aca="false">Sens!D8089-Sens!D8090</f>
        <v>101.832</v>
      </c>
      <c r="E8091" s="6" t="n">
        <f aca="false">Sens!E8089-Sens!E8090</f>
        <v>133.749</v>
      </c>
      <c r="F8091" s="6" t="n">
        <f aca="false">Sens!F8089-Sens!F8090</f>
        <v>136.690314474194</v>
      </c>
      <c r="G8091" s="6" t="n">
        <f aca="false">Sens!G8089-Sens!G8090</f>
        <v>143.715047149869</v>
      </c>
      <c r="H8091" s="6" t="n">
        <f aca="false">Sens!H8089-Sens!H8090</f>
        <v>145.367669479323</v>
      </c>
      <c r="I8091" s="6" t="n">
        <f aca="false">Sens!I8089-Sens!I8090</f>
        <v>152.739545556737</v>
      </c>
      <c r="J8091" s="6" t="n">
        <f aca="false">Sens!J8089-Sens!J8090</f>
        <v>160.656330050579</v>
      </c>
      <c r="K8091" s="6" t="n">
        <f aca="false">Sens!K8089-Sens!K8090</f>
        <v>169.129049976468</v>
      </c>
    </row>
    <row r="8092" customFormat="false" ht="17.15" hidden="false" customHeight="false" outlineLevel="0" collapsed="false">
      <c r="A8092" s="1" t="s">
        <v>926</v>
      </c>
      <c r="B8092" s="1" t="s">
        <v>81</v>
      </c>
      <c r="D8092" s="14" t="n">
        <f aca="false">Q!L31</f>
        <v>7.465</v>
      </c>
      <c r="E8092" s="14" t="n">
        <f aca="false">Q!M31</f>
        <v>7.453</v>
      </c>
      <c r="F8092" s="14" t="n">
        <f aca="false">Sens!F8135</f>
        <v>7.4735</v>
      </c>
      <c r="G8092" s="14" t="n">
        <f aca="false">Sens!G8135</f>
        <v>7.5185</v>
      </c>
      <c r="H8092" s="14" t="n">
        <f aca="false">Sens!H8135</f>
        <v>7.55925086840547</v>
      </c>
      <c r="I8092" s="14" t="n">
        <f aca="false">Sens!I8135</f>
        <v>7.58403098296831</v>
      </c>
      <c r="J8092" s="14" t="n">
        <f aca="false">Sens!J8135</f>
        <v>7.59827249408619</v>
      </c>
      <c r="K8092" s="14" t="n">
        <f aca="false">Sens!K8135</f>
        <v>7.61479241178793</v>
      </c>
    </row>
    <row r="8093" customFormat="false" ht="17.15" hidden="false" customHeight="false" outlineLevel="0" collapsed="false">
      <c r="A8093" s="0" t="s">
        <v>927</v>
      </c>
      <c r="B8093" s="0" t="s">
        <v>75</v>
      </c>
      <c r="D8093" s="8" t="n">
        <f aca="false">Sens!D8091/Sens!D8092</f>
        <v>13.641259209645</v>
      </c>
      <c r="E8093" s="8" t="n">
        <f aca="false">Sens!E8091/Sens!E8092</f>
        <v>17.9456594659869</v>
      </c>
      <c r="F8093" s="8" t="n">
        <f aca="false">Sens!F8091/Sens!F8092</f>
        <v>18.2899999296439</v>
      </c>
      <c r="G8093" s="8" t="n">
        <f aca="false">Sens!G8091/Sens!G8092</f>
        <v>19.1148563077568</v>
      </c>
      <c r="H8093" s="8" t="n">
        <f aca="false">Sens!H8091/Sens!H8092</f>
        <v>19.2304332810145</v>
      </c>
      <c r="I8093" s="8" t="n">
        <f aca="false">Sens!I8091/Sens!I8092</f>
        <v>20.1396257346191</v>
      </c>
      <c r="J8093" s="8" t="n">
        <f aca="false">Sens!J8091/Sens!J8092</f>
        <v>21.1437968532478</v>
      </c>
      <c r="K8093" s="8" t="n">
        <f aca="false">Sens!K8091/Sens!K8092</f>
        <v>22.2105923353408</v>
      </c>
      <c r="L8093" s="1" t="s">
        <v>928</v>
      </c>
    </row>
    <row r="8094" customFormat="false" ht="17.15" hidden="false" customHeight="false" outlineLevel="0" collapsed="false">
      <c r="A8094" s="1" t="s">
        <v>929</v>
      </c>
      <c r="B8094" s="0" t="s">
        <v>98</v>
      </c>
      <c r="D8094" s="6" t="n">
        <f aca="false">Sens!D8091</f>
        <v>101.832</v>
      </c>
      <c r="E8094" s="6" t="n">
        <f aca="false">Sens!E8091</f>
        <v>133.749</v>
      </c>
      <c r="F8094" s="6" t="n">
        <f aca="false">Sens!F8091+Sens!F8084*(1-tax_f)</f>
        <v>144.814599674412</v>
      </c>
      <c r="G8094" s="6" t="n">
        <f aca="false">Sens!G8091+Sens!G8084*(1-tax_f)</f>
        <v>164.918197901594</v>
      </c>
      <c r="H8094" s="6" t="n">
        <f aca="false">Sens!H8091+Sens!H8084*(1-tax_f)</f>
        <v>180.876868942971</v>
      </c>
      <c r="I8094" s="6" t="n">
        <f aca="false">Sens!I8091+Sens!I8084*(1-tax_f)</f>
        <v>201.141827549837</v>
      </c>
      <c r="J8094" s="6" t="n">
        <f aca="false">Sens!J8091+Sens!J8084*(1-tax_f)</f>
        <v>218.159380017537</v>
      </c>
      <c r="K8094" s="6" t="n">
        <f aca="false">Sens!K8091+Sens!K8084*(1-tax_f)</f>
        <v>232.15218775813</v>
      </c>
    </row>
    <row r="8095" customFormat="false" ht="17.15" hidden="false" customHeight="false" outlineLevel="0" collapsed="false">
      <c r="A8095" s="0" t="s">
        <v>930</v>
      </c>
      <c r="B8095" s="0" t="s">
        <v>75</v>
      </c>
      <c r="D8095" s="8" t="n">
        <f aca="false">Sens!D8094/Sens!D8092</f>
        <v>13.641259209645</v>
      </c>
      <c r="E8095" s="8" t="n">
        <f aca="false">Sens!E8094/Sens!E8092</f>
        <v>17.9456594659869</v>
      </c>
      <c r="F8095" s="8" t="n">
        <f aca="false">Sens!F8094/Sens!F8092</f>
        <v>19.3770789689452</v>
      </c>
      <c r="G8095" s="8" t="n">
        <f aca="false">Sens!G8094/Sens!G8092</f>
        <v>21.9349867528887</v>
      </c>
      <c r="H8095" s="8" t="n">
        <f aca="false">Sens!H8094/Sens!H8092</f>
        <v>23.9278828142827</v>
      </c>
      <c r="I8095" s="8" t="n">
        <f aca="false">Sens!I8094/Sens!I8092</f>
        <v>26.5217570974522</v>
      </c>
      <c r="J8095" s="8" t="n">
        <f aca="false">Sens!J8094/Sens!J8092</f>
        <v>28.7117078503479</v>
      </c>
      <c r="K8095" s="8" t="n">
        <f aca="false">Sens!K8094/Sens!K8092</f>
        <v>30.487001510212</v>
      </c>
      <c r="L8095" s="1" t="s">
        <v>931</v>
      </c>
    </row>
    <row r="8096" customFormat="false" ht="17.15" hidden="false" customHeight="false" outlineLevel="0" collapsed="false">
      <c r="A8096" s="0" t="s">
        <v>932</v>
      </c>
      <c r="B8096" s="0" t="s">
        <v>129</v>
      </c>
      <c r="E8096" s="7" t="n">
        <f aca="false">Sens!E8095/Sens!D8095-1</f>
        <v>0.315542736208578</v>
      </c>
      <c r="F8096" s="7" t="n">
        <f aca="false">Sens!F8095/Sens!E8095-1</f>
        <v>0.0797641070628437</v>
      </c>
      <c r="G8096" s="7" t="n">
        <f aca="false">Sens!G8095/Sens!F8095-1</f>
        <v>0.132006882360494</v>
      </c>
      <c r="H8096" s="7" t="n">
        <f aca="false">Sens!H8095/Sens!G8095-1</f>
        <v>0.0908546735790252</v>
      </c>
      <c r="I8096" s="7" t="n">
        <f aca="false">Sens!I8095/Sens!H8095-1</f>
        <v>0.108403835947458</v>
      </c>
      <c r="J8096" s="7" t="n">
        <f aca="false">Sens!J8095/Sens!I8095-1</f>
        <v>0.0825718576958885</v>
      </c>
      <c r="K8096" s="7" t="n">
        <f aca="false">Sens!K8095/Sens!J8095-1</f>
        <v>0.0618316983830209</v>
      </c>
    </row>
    <row r="8097" customFormat="false" ht="17.15" hidden="false" customHeight="false" outlineLevel="0" collapsed="false">
      <c r="A8097" s="0" t="s">
        <v>856</v>
      </c>
      <c r="B8097" s="0" t="s">
        <v>98</v>
      </c>
      <c r="E8097" s="6" t="n">
        <f aca="false">Sens!E8038</f>
        <v>5.25</v>
      </c>
      <c r="F8097" s="6" t="n">
        <f aca="false">Sens!F8038</f>
        <v>10.5</v>
      </c>
      <c r="G8097" s="6" t="n">
        <f aca="false">Sens!G8038</f>
        <v>13.5</v>
      </c>
      <c r="H8097" s="6" t="n">
        <f aca="false">Sens!H8038</f>
        <v>16.5</v>
      </c>
      <c r="I8097" s="6" t="n">
        <f aca="false">Sens!I8038</f>
        <v>18.75</v>
      </c>
      <c r="J8097" s="6" t="n">
        <f aca="false">Sens!J8038</f>
        <v>20.25</v>
      </c>
      <c r="K8097" s="6" t="n">
        <f aca="false">Sens!K8038</f>
        <v>21.75</v>
      </c>
    </row>
    <row r="8098" customFormat="false" ht="17.15" hidden="false" customHeight="false" outlineLevel="0" collapsed="false">
      <c r="A8098" s="1" t="s">
        <v>857</v>
      </c>
      <c r="B8098" s="0" t="s">
        <v>98</v>
      </c>
      <c r="F8098" s="6" t="n">
        <f aca="false">MAX(0,((Sens!E8001+Sens!F8001)/2-(shadow_base*(Sens!$D$8001+Sens!$E$8001)/2+(1-shadow_base)*Sens!$E$8001))*Sens!F8009/1000-(Sens!F8097-Sens!$E$8097)*Sens!F8077)</f>
        <v>10.1553565002727</v>
      </c>
      <c r="G8098" s="6" t="n">
        <f aca="false">MAX(0,((Sens!F8001+Sens!G8001)/2-(shadow_base*(Sens!$D$8001+Sens!$E$8001)/2+(1-shadow_base)*Sens!$E$8001))*Sens!G8009/1000-(Sens!G8097-Sens!$E$8097)*Sens!G8077)</f>
        <v>26.5039384396555</v>
      </c>
      <c r="H8098" s="6" t="n">
        <f aca="false">MAX(0,((Sens!G8001+Sens!H8001)/2-(shadow_base*(Sens!$D$8001+Sens!$E$8001)/2+(1-shadow_base)*Sens!$E$8001))*Sens!H8009/1000-(Sens!H8097-Sens!$E$8097)*Sens!H8077)</f>
        <v>44.38649932956</v>
      </c>
      <c r="I8098" s="6" t="n">
        <f aca="false">MAX(0,((Sens!H8001+Sens!I8001)/2-(shadow_base*(Sens!$D$8001+Sens!$E$8001)/2+(1-shadow_base)*Sens!$E$8001))*Sens!I8009/1000-(Sens!I8097-Sens!$E$8097)*Sens!I8077)</f>
        <v>60.5028524913745</v>
      </c>
      <c r="J8098" s="6" t="n">
        <f aca="false">MAX(0,((Sens!I8001+Sens!J8001)/2-(shadow_base*(Sens!$D$8001+Sens!$E$8001)/2+(1-shadow_base)*Sens!$E$8001))*Sens!J8009/1000-(Sens!J8097-Sens!$E$8097)*Sens!J8077)</f>
        <v>71.8788124586976</v>
      </c>
      <c r="K8098" s="6" t="n">
        <f aca="false">MAX(0,((Sens!J8001+Sens!K8001)/2-(shadow_base*(Sens!$D$8001+Sens!$E$8001)/2+(1-shadow_base)*Sens!$E$8001))*Sens!K8009/1000-(Sens!K8097-Sens!$E$8097)*Sens!K8077)</f>
        <v>78.7789222270768</v>
      </c>
      <c r="L8098" s="1" t="s">
        <v>858</v>
      </c>
    </row>
    <row r="8099" customFormat="false" ht="17.15" hidden="false" customHeight="false" outlineLevel="0" collapsed="false">
      <c r="A8099" s="1" t="s">
        <v>859</v>
      </c>
      <c r="B8099" s="0" t="s">
        <v>98</v>
      </c>
      <c r="F8099" s="6" t="n">
        <f aca="false">IF(internal_ai_reading=2,1,0)*Sens!F8098</f>
        <v>10.1553565002727</v>
      </c>
      <c r="G8099" s="6" t="n">
        <f aca="false">IF(internal_ai_reading=2,1,0)*Sens!G8098</f>
        <v>26.5039384396555</v>
      </c>
      <c r="H8099" s="6" t="n">
        <f aca="false">IF(internal_ai_reading=2,1,0)*Sens!H8098</f>
        <v>44.38649932956</v>
      </c>
      <c r="I8099" s="6" t="n">
        <f aca="false">IF(internal_ai_reading=2,1,0)*Sens!I8098</f>
        <v>60.5028524913745</v>
      </c>
      <c r="J8099" s="6" t="n">
        <f aca="false">IF(internal_ai_reading=2,1,0)*Sens!J8098</f>
        <v>71.8788124586976</v>
      </c>
      <c r="K8099" s="6" t="n">
        <f aca="false">IF(internal_ai_reading=2,1,0)*Sens!K8098</f>
        <v>78.7789222270768</v>
      </c>
    </row>
    <row r="8100" customFormat="false" ht="17.15" hidden="false" customHeight="false" outlineLevel="0" collapsed="false">
      <c r="A8100" s="0" t="s">
        <v>860</v>
      </c>
      <c r="B8100" s="0" t="s">
        <v>98</v>
      </c>
      <c r="F8100" s="6" t="n">
        <f aca="false">Sens!F8018+Sens!F8097*Sens!F8077+Sens!F8099-Sens!F8019-Sens!F8029</f>
        <v>10.6249363155714</v>
      </c>
      <c r="G8100" s="6" t="n">
        <f aca="false">Sens!G8018+Sens!G8097*Sens!G8077+Sens!G8099-Sens!G8019-Sens!G8029</f>
        <v>16.5522915631233</v>
      </c>
      <c r="H8100" s="6" t="n">
        <f aca="false">Sens!H8018+Sens!H8097*Sens!H8077+Sens!H8099-Sens!H8019-Sens!H8029</f>
        <v>17.4625151247579</v>
      </c>
      <c r="I8100" s="6" t="n">
        <f aca="false">Sens!I8018+Sens!I8097*Sens!I8077+Sens!I8099-Sens!I8019-Sens!I8029</f>
        <v>24.729505792607</v>
      </c>
      <c r="J8100" s="6" t="n">
        <f aca="false">Sens!J8018+Sens!J8097*Sens!J8077+Sens!J8099-Sens!J8019-Sens!J8029</f>
        <v>29.752205312642</v>
      </c>
      <c r="K8100" s="6" t="n">
        <f aca="false">Sens!K8018+Sens!K8097*Sens!K8077+Sens!K8099-Sens!K8019-Sens!K8029</f>
        <v>33.5968759973665</v>
      </c>
    </row>
    <row r="8101" customFormat="false" ht="17.15" hidden="false" customHeight="false" outlineLevel="0" collapsed="false">
      <c r="A8101" s="0" t="s">
        <v>861</v>
      </c>
      <c r="B8101" s="0" t="s">
        <v>98</v>
      </c>
      <c r="E8101" s="6" t="n">
        <f aca="false">Sens!E8000*(cxit_open+self_build*tk_cxfac)/1000*ai_net_open</f>
        <v>126.6980382</v>
      </c>
      <c r="F8101" s="6" t="n">
        <f aca="false">Sens!E8101+Sens!F8026-Sens!F8029</f>
        <v>252.981026690511</v>
      </c>
      <c r="G8101" s="6" t="n">
        <f aca="false">Sens!F8101+Sens!G8026-Sens!G8029</f>
        <v>377.4297700632</v>
      </c>
      <c r="H8101" s="6" t="n">
        <f aca="false">Sens!G8101+Sens!H8026-Sens!H8029</f>
        <v>479.149036130289</v>
      </c>
      <c r="I8101" s="6" t="n">
        <f aca="false">Sens!H8101+Sens!I8026-Sens!I8029</f>
        <v>532.249961452141</v>
      </c>
      <c r="J8101" s="6" t="n">
        <f aca="false">Sens!I8101+Sens!J8026-Sens!J8029</f>
        <v>531.43307519354</v>
      </c>
      <c r="K8101" s="6" t="n">
        <f aca="false">Sens!J8101+Sens!K8026-Sens!K8029</f>
        <v>513.709026452823</v>
      </c>
      <c r="L8101" s="1" t="s">
        <v>862</v>
      </c>
    </row>
    <row r="8102" customFormat="false" ht="17.15" hidden="false" customHeight="false" outlineLevel="0" collapsed="false">
      <c r="A8102" s="0" t="s">
        <v>863</v>
      </c>
      <c r="B8102" s="0" t="s">
        <v>129</v>
      </c>
      <c r="F8102" s="7" t="n">
        <f aca="false">Sens!F8100*(1-tax_f)/((Sens!E8101+Sens!F8101)/2)</f>
        <v>0.0447743888903029</v>
      </c>
      <c r="G8102" s="7" t="n">
        <f aca="false">Sens!G8100*(1-tax_f)/((Sens!F8101+Sens!G8101)/2)</f>
        <v>0.0420101727910983</v>
      </c>
      <c r="H8102" s="7" t="n">
        <f aca="false">Sens!H8100*(1-tax_f)/((Sens!G8101+Sens!H8101)/2)</f>
        <v>0.0326181595874103</v>
      </c>
      <c r="I8102" s="7" t="n">
        <f aca="false">Sens!I8100*(1-tax_f)/((Sens!H8101+Sens!I8101)/2)</f>
        <v>0.0391212660510339</v>
      </c>
      <c r="J8102" s="7" t="n">
        <f aca="false">Sens!J8100*(1-tax_f)/((Sens!I8101+Sens!J8101)/2)</f>
        <v>0.0447534903351892</v>
      </c>
      <c r="K8102" s="7" t="n">
        <f aca="false">Sens!K8100*(1-tax_f)/((Sens!J8101+Sens!K8101)/2)</f>
        <v>0.0514331989029135</v>
      </c>
    </row>
    <row r="8103" customFormat="false" ht="17.15" hidden="false" customHeight="false" outlineLevel="0" collapsed="false">
      <c r="A8103" s="1" t="s">
        <v>864</v>
      </c>
      <c r="B8103" s="0" t="s">
        <v>129</v>
      </c>
      <c r="F8103" s="7" t="n">
        <f aca="false">(Sens!F8100-Sens!F8099)*(1-tax_f)/((Sens!E8101+Sens!F8101)/2)</f>
        <v>0.00197884943878752</v>
      </c>
      <c r="G8103" s="7" t="n">
        <f aca="false">(Sens!G8100-Sens!G8099)*(1-tax_f)/((Sens!F8101+Sens!G8101)/2)</f>
        <v>-0.0252575544144306</v>
      </c>
      <c r="H8103" s="7" t="n">
        <f aca="false">(Sens!H8100-Sens!H8099)*(1-tax_f)/((Sens!G8101+Sens!H8101)/2)</f>
        <v>-0.0502911984468976</v>
      </c>
      <c r="I8103" s="7" t="n">
        <f aca="false">(Sens!I8100-Sens!I8099)*(1-tax_f)/((Sens!H8101+Sens!I8101)/2)</f>
        <v>-0.0565922596866753</v>
      </c>
      <c r="J8103" s="7" t="n">
        <f aca="false">(Sens!J8100-Sens!J8099)*(1-tax_f)/((Sens!I8101+Sens!J8101)/2)</f>
        <v>-0.0633671583653741</v>
      </c>
      <c r="K8103" s="7" t="n">
        <f aca="false">(Sens!K8100-Sens!K8099)*(1-tax_f)/((Sens!J8101+Sens!K8101)/2)</f>
        <v>-0.0691688468521739</v>
      </c>
    </row>
    <row r="8104" customFormat="false" ht="17.15" hidden="false" customHeight="false" outlineLevel="0" collapsed="false">
      <c r="A8104" s="1" t="s">
        <v>865</v>
      </c>
      <c r="B8104" s="0" t="s">
        <v>129</v>
      </c>
      <c r="F8104" s="7" t="n">
        <f aca="false">(Sens!F8100-Sens!F8099+Sens!F8098)*(1-tax_f)/((Sens!E8101+Sens!F8101)/2)</f>
        <v>0.0447743888903029</v>
      </c>
      <c r="G8104" s="7" t="n">
        <f aca="false">(Sens!G8100-Sens!G8099+Sens!G8098)*(1-tax_f)/((Sens!F8101+Sens!G8101)/2)</f>
        <v>0.0420101727910983</v>
      </c>
      <c r="H8104" s="7" t="n">
        <f aca="false">(Sens!H8100-Sens!H8099+Sens!H8098)*(1-tax_f)/((Sens!G8101+Sens!H8101)/2)</f>
        <v>0.0326181595874103</v>
      </c>
      <c r="I8104" s="7" t="n">
        <f aca="false">(Sens!I8100-Sens!I8099+Sens!I8098)*(1-tax_f)/((Sens!H8101+Sens!I8101)/2)</f>
        <v>0.0391212660510339</v>
      </c>
      <c r="J8104" s="7" t="n">
        <f aca="false">(Sens!J8100-Sens!J8099+Sens!J8098)*(1-tax_f)/((Sens!I8101+Sens!J8101)/2)</f>
        <v>0.0447534903351892</v>
      </c>
      <c r="K8104" s="7" t="n">
        <f aca="false">(Sens!K8100-Sens!K8099+Sens!K8098)*(1-tax_f)/((Sens!J8101+Sens!K8101)/2)</f>
        <v>0.0514331989029135</v>
      </c>
    </row>
    <row r="8105" customFormat="false" ht="17.15" hidden="false" customHeight="false" outlineLevel="0" collapsed="false">
      <c r="A8105" s="1" t="s">
        <v>866</v>
      </c>
      <c r="B8105" s="0" t="s">
        <v>129</v>
      </c>
      <c r="F8105" s="7" t="n">
        <f aca="false">Sens!F8030*(1-tax_f)/(Sens!F8017*(Sens!E8101+Sens!F8101)/2)</f>
        <v>0.102735279953254</v>
      </c>
      <c r="G8105" s="7" t="n">
        <f aca="false">Sens!G8030*(1-tax_f)/(Sens!G8017*(Sens!F8101+Sens!G8101)/2)</f>
        <v>0.0709600152423962</v>
      </c>
      <c r="H8105" s="7" t="n">
        <f aca="false">Sens!H8030*(1-tax_f)/(Sens!H8017*(Sens!G8101+Sens!H8101)/2)</f>
        <v>0.0419126501774916</v>
      </c>
      <c r="I8105" s="7" t="n">
        <f aca="false">Sens!I8030*(1-tax_f)/(Sens!I8017*(Sens!H8101+Sens!I8101)/2)</f>
        <v>0.044576811268173</v>
      </c>
      <c r="J8105" s="7" t="n">
        <f aca="false">Sens!J8030*(1-tax_f)/(Sens!J8017*(Sens!I8101+Sens!J8101)/2)</f>
        <v>0.0483882076863038</v>
      </c>
      <c r="K8105" s="7" t="n">
        <f aca="false">Sens!K8030*(1-tax_f)/(Sens!K8017*(Sens!J8101+Sens!K8101)/2)</f>
        <v>0.0544871874286225</v>
      </c>
    </row>
    <row r="8106" customFormat="false" ht="17.15" hidden="false" customHeight="false" outlineLevel="0" collapsed="false">
      <c r="A8106" s="0" t="s">
        <v>867</v>
      </c>
      <c r="B8106" s="0" t="s">
        <v>209</v>
      </c>
      <c r="F8106" s="7" t="n">
        <f aca="false">Sens!F8102-wacc</f>
        <v>-0.0581600312025729</v>
      </c>
      <c r="G8106" s="7" t="n">
        <f aca="false">Sens!G8102-wacc</f>
        <v>-0.0609242473017775</v>
      </c>
      <c r="H8106" s="7" t="n">
        <f aca="false">Sens!H8102-wacc</f>
        <v>-0.0703162605054654</v>
      </c>
      <c r="I8106" s="7" t="n">
        <f aca="false">Sens!I8102-wacc</f>
        <v>-0.0638131540418418</v>
      </c>
      <c r="J8106" s="7" t="n">
        <f aca="false">Sens!J8102-wacc</f>
        <v>-0.0581809297576865</v>
      </c>
      <c r="K8106" s="7" t="n">
        <f aca="false">Sens!K8102-wacc</f>
        <v>-0.0515012211899623</v>
      </c>
    </row>
    <row r="8107" customFormat="false" ht="17.15" hidden="false" customHeight="false" outlineLevel="0" collapsed="false">
      <c r="A8107" s="0" t="s">
        <v>868</v>
      </c>
      <c r="B8107" s="0" t="s">
        <v>98</v>
      </c>
      <c r="F8107" s="6" t="n">
        <f aca="false">Sens!F8100*(1-tax_f)-wacc*(Sens!E8101+Sens!F8101)/2</f>
        <v>-11.0410731304979</v>
      </c>
      <c r="G8107" s="6" t="n">
        <f aca="false">Sens!G8100*(1-tax_f)-wacc*(Sens!F8101+Sens!G8101)/2</f>
        <v>-19.2036516415668</v>
      </c>
      <c r="H8107" s="6" t="n">
        <f aca="false">Sens!H8100*(1-tax_f)-wacc*(Sens!G8101+Sens!H8101)/2</f>
        <v>-30.115709239881</v>
      </c>
      <c r="I8107" s="6" t="n">
        <f aca="false">Sens!I8100*(1-tax_f)-wacc*(Sens!H8101+Sens!I8101)/2</f>
        <v>-32.270280015246</v>
      </c>
      <c r="J8107" s="6" t="n">
        <f aca="false">Sens!J8100*(1-tax_f)-wacc*(Sens!I8101+Sens!J8101)/2</f>
        <v>-30.9430340197625</v>
      </c>
      <c r="K8107" s="6" t="n">
        <f aca="false">Sens!K8100*(1-tax_f)-wacc*(Sens!J8101+Sens!K8101)/2</f>
        <v>-26.9130472759157</v>
      </c>
    </row>
    <row r="8108" customFormat="false" ht="17.15" hidden="false" customHeight="false" outlineLevel="0" collapsed="false">
      <c r="A8108" s="3" t="s">
        <v>1470</v>
      </c>
    </row>
    <row r="8109" customFormat="false" ht="15" hidden="false" customHeight="false" outlineLevel="0" collapsed="false">
      <c r="A8109" s="4" t="s">
        <v>43</v>
      </c>
      <c r="B8109" s="4" t="s">
        <v>65</v>
      </c>
      <c r="C8109" s="20" t="s">
        <v>799</v>
      </c>
      <c r="D8109" s="20" t="s">
        <v>800</v>
      </c>
      <c r="E8109" s="20" t="s">
        <v>801</v>
      </c>
      <c r="F8109" s="20" t="s">
        <v>802</v>
      </c>
      <c r="G8109" s="20" t="s">
        <v>803</v>
      </c>
      <c r="H8109" s="20" t="s">
        <v>804</v>
      </c>
      <c r="I8109" s="20" t="s">
        <v>805</v>
      </c>
      <c r="J8109" s="20" t="s">
        <v>806</v>
      </c>
      <c r="K8109" s="20" t="s">
        <v>807</v>
      </c>
      <c r="L8109" s="4" t="s">
        <v>47</v>
      </c>
    </row>
    <row r="8110" customFormat="false" ht="15" hidden="false" customHeight="false" outlineLevel="0" collapsed="false">
      <c r="A8110" s="1" t="s">
        <v>925</v>
      </c>
      <c r="B8110" s="0" t="s">
        <v>98</v>
      </c>
      <c r="F8110" s="6" t="n">
        <f aca="false">Sens!F8091</f>
        <v>136.690314474194</v>
      </c>
      <c r="G8110" s="6" t="n">
        <f aca="false">Sens!G8091</f>
        <v>143.715047149869</v>
      </c>
      <c r="H8110" s="6" t="n">
        <f aca="false">Sens!H8091</f>
        <v>145.367669479323</v>
      </c>
      <c r="I8110" s="6" t="n">
        <f aca="false">Sens!I8091</f>
        <v>152.739545556737</v>
      </c>
      <c r="J8110" s="6" t="n">
        <f aca="false">Sens!J8091</f>
        <v>160.656330050579</v>
      </c>
      <c r="K8110" s="6" t="n">
        <f aca="false">Sens!K8091</f>
        <v>169.129049976468</v>
      </c>
    </row>
    <row r="8111" customFormat="false" ht="17.15" hidden="false" customHeight="false" outlineLevel="0" collapsed="false">
      <c r="A8111" s="1" t="s">
        <v>947</v>
      </c>
      <c r="B8111" s="0" t="s">
        <v>98</v>
      </c>
      <c r="E8111" s="6" t="n">
        <f aca="false">Q!M38-Sens!E8029</f>
        <v>22.2285940229167</v>
      </c>
      <c r="F8111" s="6" t="n">
        <f aca="false">Sens!E8111*(1-1/life_nonai)+(Sens!F8118+Sens!F8119)/life_nonai</f>
        <v>24.3924470334783</v>
      </c>
      <c r="G8111" s="6" t="n">
        <f aca="false">Sens!F8111*(1-1/life_nonai)+(Sens!G8118)/life_nonai</f>
        <v>25.9967422542762</v>
      </c>
      <c r="H8111" s="6" t="n">
        <f aca="false">Sens!G8111*(1-1/life_nonai)+(Sens!H8118)/life_nonai</f>
        <v>27.9404530212287</v>
      </c>
      <c r="I8111" s="6" t="n">
        <f aca="false">Sens!H8111*(1-1/life_nonai)+(Sens!I8118)/life_nonai</f>
        <v>30.1491125346871</v>
      </c>
      <c r="J8111" s="6" t="n">
        <f aca="false">Sens!I8111*(1-1/life_nonai)+(Sens!J8118)/life_nonai</f>
        <v>32.5298759877546</v>
      </c>
      <c r="K8111" s="6" t="n">
        <f aca="false">Sens!J8111*(1-1/life_nonai)+(Sens!K8118)/life_nonai</f>
        <v>34.9827348933638</v>
      </c>
      <c r="L8111" s="11" t="s">
        <v>948</v>
      </c>
    </row>
    <row r="8112" customFormat="false" ht="17.15" hidden="false" customHeight="false" outlineLevel="0" collapsed="false">
      <c r="A8112" s="1" t="s">
        <v>949</v>
      </c>
      <c r="B8112" s="0" t="s">
        <v>98</v>
      </c>
      <c r="F8112" s="6" t="n">
        <f aca="false">Sens!$F$8119/life_nonai*(1-1/life_nonai)^(Sens!F7995-2027)</f>
        <v>0.851190539250474</v>
      </c>
      <c r="G8112" s="6" t="n">
        <f aca="false">Sens!$F$8119/life_nonai*(1-1/life_nonai)^(Sens!G7995-2027)</f>
        <v>0.766071485325427</v>
      </c>
      <c r="H8112" s="6" t="n">
        <f aca="false">Sens!$F$8119/life_nonai*(1-1/life_nonai)^(Sens!H7995-2027)</f>
        <v>0.689464336792884</v>
      </c>
      <c r="I8112" s="6" t="n">
        <f aca="false">Sens!$F$8119/life_nonai*(1-1/life_nonai)^(Sens!I7995-2027)</f>
        <v>0.620517903113596</v>
      </c>
      <c r="J8112" s="6" t="n">
        <f aca="false">Sens!$F$8119/life_nonai*(1-1/life_nonai)^(Sens!J7995-2027)</f>
        <v>0.558466112802236</v>
      </c>
      <c r="K8112" s="6" t="n">
        <f aca="false">Sens!$F$8119/life_nonai*(1-1/life_nonai)^(Sens!K7995-2027)</f>
        <v>0.502619501522013</v>
      </c>
      <c r="L8112" s="1" t="s">
        <v>950</v>
      </c>
    </row>
    <row r="8113" customFormat="false" ht="17.15" hidden="false" customHeight="false" outlineLevel="0" collapsed="false">
      <c r="A8113" s="1" t="s">
        <v>951</v>
      </c>
      <c r="B8113" s="0" t="s">
        <v>98</v>
      </c>
      <c r="E8113" s="6" t="n">
        <f aca="false">Sens!E8029+Sens!E8111</f>
        <v>38.534</v>
      </c>
      <c r="F8113" s="6" t="n">
        <f aca="false">Sens!F8029+Sens!F8111</f>
        <v>58.4423344144339</v>
      </c>
      <c r="G8113" s="6" t="n">
        <f aca="false">Sens!G8029+Sens!G8111</f>
        <v>85.1221793647873</v>
      </c>
      <c r="H8113" s="6" t="n">
        <f aca="false">Sens!H8029+Sens!H8111</f>
        <v>114.30147286454</v>
      </c>
      <c r="I8113" s="6" t="n">
        <f aca="false">Sens!I8029+Sens!I8111</f>
        <v>140.75485636708</v>
      </c>
      <c r="J8113" s="6" t="n">
        <f aca="false">Sens!J8029+Sens!J8111</f>
        <v>160.528198840598</v>
      </c>
      <c r="K8113" s="6" t="n">
        <f aca="false">Sens!K8029+Sens!K8111</f>
        <v>174.114198937672</v>
      </c>
    </row>
    <row r="8114" customFormat="false" ht="17.15" hidden="false" customHeight="false" outlineLevel="0" collapsed="false">
      <c r="A8114" s="1" t="s">
        <v>952</v>
      </c>
      <c r="B8114" s="0" t="s">
        <v>98</v>
      </c>
      <c r="F8114" s="6" t="n">
        <f aca="false">Sens!F8056*sbc_r</f>
        <v>14.6963793384703</v>
      </c>
      <c r="G8114" s="6" t="n">
        <f aca="false">Sens!G8056*sbc_r</f>
        <v>17.011235726055</v>
      </c>
      <c r="H8114" s="6" t="n">
        <f aca="false">Sens!H8056*sbc_r</f>
        <v>19.1471665005193</v>
      </c>
      <c r="I8114" s="6" t="n">
        <f aca="false">Sens!I8056*sbc_r</f>
        <v>21.3507943277713</v>
      </c>
      <c r="J8114" s="6" t="n">
        <f aca="false">Sens!J8056*sbc_r</f>
        <v>23.151962003038</v>
      </c>
      <c r="K8114" s="6" t="n">
        <f aca="false">Sens!K8056*sbc_r</f>
        <v>24.5715277130965</v>
      </c>
    </row>
    <row r="8115" customFormat="false" ht="17.15" hidden="false" customHeight="false" outlineLevel="0" collapsed="false">
      <c r="A8115" s="1" t="s">
        <v>953</v>
      </c>
      <c r="B8115" s="0" t="s">
        <v>98</v>
      </c>
      <c r="F8115" s="6" t="n">
        <f aca="false">wc27</f>
        <v>-4.895</v>
      </c>
      <c r="G8115" s="6" t="n">
        <f aca="false">wc_f</f>
        <v>0</v>
      </c>
      <c r="H8115" s="6" t="n">
        <f aca="false">wc_f</f>
        <v>0</v>
      </c>
      <c r="I8115" s="6" t="n">
        <f aca="false">wc_f</f>
        <v>0</v>
      </c>
      <c r="J8115" s="6" t="n">
        <f aca="false">wc_f</f>
        <v>0</v>
      </c>
      <c r="K8115" s="6" t="n">
        <f aca="false">wc_f</f>
        <v>0</v>
      </c>
      <c r="L8115" s="11" t="s">
        <v>954</v>
      </c>
    </row>
    <row r="8116" customFormat="false" ht="15" hidden="false" customHeight="false" outlineLevel="0" collapsed="false">
      <c r="A8116" s="1" t="s">
        <v>767</v>
      </c>
      <c r="B8116" s="0" t="s">
        <v>98</v>
      </c>
      <c r="E8116" s="6" t="n">
        <f aca="false">Q!M35</f>
        <v>182.935</v>
      </c>
      <c r="F8116" s="6" t="n">
        <f aca="false">Sens!F8110+Sens!F8113+Sens!F8114+Sens!F8115</f>
        <v>204.934028227098</v>
      </c>
      <c r="G8116" s="6" t="n">
        <f aca="false">Sens!G8110+Sens!G8113+Sens!G8114+Sens!G8115</f>
        <v>245.848462240712</v>
      </c>
      <c r="H8116" s="6" t="n">
        <f aca="false">Sens!H8110+Sens!H8113+Sens!H8114+Sens!H8115</f>
        <v>278.816308844382</v>
      </c>
      <c r="I8116" s="6" t="n">
        <f aca="false">Sens!I8110+Sens!I8113+Sens!I8114+Sens!I8115</f>
        <v>314.845196251588</v>
      </c>
      <c r="J8116" s="6" t="n">
        <f aca="false">Sens!J8110+Sens!J8113+Sens!J8114+Sens!J8115</f>
        <v>344.336490894215</v>
      </c>
      <c r="K8116" s="6" t="n">
        <f aca="false">Sens!K8110+Sens!K8113+Sens!K8114+Sens!K8115</f>
        <v>367.814776627237</v>
      </c>
    </row>
    <row r="8117" customFormat="false" ht="17.15" hidden="false" customHeight="false" outlineLevel="0" collapsed="false">
      <c r="A8117" s="0" t="s">
        <v>955</v>
      </c>
      <c r="B8117" s="0" t="s">
        <v>98</v>
      </c>
      <c r="F8117" s="6" t="n">
        <f aca="false">Sens!F8026</f>
        <v>160.332875871467</v>
      </c>
      <c r="G8117" s="6" t="n">
        <f aca="false">Sens!G8026</f>
        <v>183.5741804832</v>
      </c>
      <c r="H8117" s="6" t="n">
        <f aca="false">Sens!H8026</f>
        <v>188.0802859104</v>
      </c>
      <c r="I8117" s="6" t="n">
        <f aca="false">Sens!I8026</f>
        <v>163.706669154245</v>
      </c>
      <c r="J8117" s="6" t="n">
        <f aca="false">Sens!J8026</f>
        <v>127.181436594242</v>
      </c>
      <c r="K8117" s="6" t="n">
        <f aca="false">Sens!K8026</f>
        <v>121.407415303591</v>
      </c>
    </row>
    <row r="8118" customFormat="false" ht="17.15" hidden="false" customHeight="false" outlineLevel="0" collapsed="false">
      <c r="A8118" s="1" t="s">
        <v>956</v>
      </c>
      <c r="B8118" s="0" t="s">
        <v>98</v>
      </c>
      <c r="E8118" s="6" t="n">
        <f aca="false">Sens!E8034*cx_azo+Sens!E8041*cx_m365+Sens!E8042*cx_lic+(Sens!E8044+Sens!E8046)*cx_ind+Sens!E8049*cx_srch+(Sens!E8051+Sens!E8053)*cx_dev</f>
        <v>30.1846587067718</v>
      </c>
      <c r="F8118" s="6" t="n">
        <f aca="false">Sens!F8034*cx_azo+Sens!F8041*cx_m365+Sens!F8042*cx_lic+(Sens!F8044+Sens!F8046)*cx_ind+Sens!F8049*cx_srch+(Sens!F8051+Sens!F8053)*cx_dev</f>
        <v>35.3552187360286</v>
      </c>
      <c r="G8118" s="6" t="n">
        <f aca="false">Sens!G8034*cx_azo+Sens!G8041*cx_m365+Sens!G8042*cx_lic+(Sens!G8044+Sens!G8046)*cx_ind+Sens!G8049*cx_srch+(Sens!G8051+Sens!G8053)*cx_dev</f>
        <v>40.4353992414566</v>
      </c>
      <c r="H8118" s="6" t="n">
        <f aca="false">Sens!H8034*cx_azo+Sens!H8041*cx_m365+Sens!H8042*cx_lic+(Sens!H8044+Sens!H8046)*cx_ind+Sens!H8049*cx_srch+(Sens!H8051+Sens!H8053)*cx_dev</f>
        <v>45.4338499238012</v>
      </c>
      <c r="I8118" s="6" t="n">
        <f aca="false">Sens!I8034*cx_azo+Sens!I8041*cx_m365+Sens!I8042*cx_lic+(Sens!I8044+Sens!I8046)*cx_ind+Sens!I8049*cx_srch+(Sens!I8051+Sens!I8053)*cx_dev</f>
        <v>50.0270481558128</v>
      </c>
      <c r="J8118" s="6" t="n">
        <f aca="false">Sens!J8034*cx_azo+Sens!J8041*cx_m365+Sens!J8042*cx_lic+(Sens!J8044+Sens!J8046)*cx_ind+Sens!J8049*cx_srch+(Sens!J8051+Sens!J8053)*cx_dev</f>
        <v>53.9567470653624</v>
      </c>
      <c r="K8118" s="6" t="n">
        <f aca="false">Sens!K8034*cx_azo+Sens!K8041*cx_m365+Sens!K8042*cx_lic+(Sens!K8044+Sens!K8046)*cx_ind+Sens!K8049*cx_srch+(Sens!K8051+Sens!K8053)*cx_dev</f>
        <v>57.058465043846</v>
      </c>
    </row>
    <row r="8119" customFormat="false" ht="17.15" hidden="false" customHeight="false" outlineLevel="0" collapsed="false">
      <c r="A8119" s="0" t="s">
        <v>957</v>
      </c>
      <c r="B8119" s="0" t="s">
        <v>98</v>
      </c>
      <c r="F8119" s="6" t="n">
        <f aca="false">Sens!F8024</f>
        <v>8.51190539250474</v>
      </c>
      <c r="L8119" s="1" t="s">
        <v>958</v>
      </c>
    </row>
    <row r="8120" customFormat="false" ht="17.15" hidden="false" customHeight="false" outlineLevel="0" collapsed="false">
      <c r="A8120" s="1" t="s">
        <v>959</v>
      </c>
      <c r="B8120" s="0" t="s">
        <v>98</v>
      </c>
      <c r="E8120" s="6" t="n">
        <f aca="false">Q!M42</f>
        <v>145.3</v>
      </c>
      <c r="F8120" s="6" t="n">
        <f aca="false">Sens!F8117+Sens!F8118+Sens!F8119</f>
        <v>204.2</v>
      </c>
      <c r="G8120" s="6" t="n">
        <f aca="false">Sens!G8117+Sens!G8118</f>
        <v>224.009579724657</v>
      </c>
      <c r="H8120" s="6" t="n">
        <f aca="false">Sens!H8117+Sens!H8118</f>
        <v>233.514135834201</v>
      </c>
      <c r="I8120" s="6" t="n">
        <f aca="false">Sens!I8117+Sens!I8118</f>
        <v>213.733717310058</v>
      </c>
      <c r="J8120" s="6" t="n">
        <f aca="false">Sens!J8117+Sens!J8118</f>
        <v>181.138183659605</v>
      </c>
      <c r="K8120" s="6" t="n">
        <f aca="false">Sens!K8117+Sens!K8118</f>
        <v>178.465880347437</v>
      </c>
      <c r="L8120" s="1" t="s">
        <v>960</v>
      </c>
    </row>
    <row r="8121" customFormat="false" ht="15" hidden="false" customHeight="false" outlineLevel="0" collapsed="false">
      <c r="A8121" s="1" t="s">
        <v>961</v>
      </c>
      <c r="B8121" s="0" t="s">
        <v>98</v>
      </c>
      <c r="E8121" s="6" t="n">
        <f aca="false">fl_liab</f>
        <v>66.594</v>
      </c>
      <c r="F8121" s="6" t="n">
        <f aca="false">Sens!E8121-Sens!F8122</f>
        <v>62.46973</v>
      </c>
      <c r="G8121" s="6" t="n">
        <f aca="false">Sens!F8121-Sens!G8122</f>
        <v>57.98686785</v>
      </c>
      <c r="H8121" s="6" t="n">
        <f aca="false">Sens!G8121-Sens!H8122</f>
        <v>53.92827690325</v>
      </c>
      <c r="I8121" s="6" t="n">
        <f aca="false">Sens!H8121-Sens!I8122</f>
        <v>49.7850493638962</v>
      </c>
      <c r="J8121" s="6" t="n">
        <f aca="false">Sens!I8121-Sens!J8122</f>
        <v>45.4823765852716</v>
      </c>
      <c r="K8121" s="6" t="n">
        <f aca="false">Sens!J8121-Sens!K8122</f>
        <v>40.9860835316088</v>
      </c>
    </row>
    <row r="8122" customFormat="false" ht="15" hidden="false" customHeight="false" outlineLevel="0" collapsed="false">
      <c r="A8122" s="1" t="s">
        <v>962</v>
      </c>
      <c r="B8122" s="0" t="s">
        <v>98</v>
      </c>
      <c r="F8122" s="6" t="n">
        <f aca="false">fl_pay_27-Sens!E8121*fl_rate</f>
        <v>4.12427</v>
      </c>
      <c r="G8122" s="6" t="n">
        <f aca="false">fl_pay_28-Sens!F8121*fl_rate</f>
        <v>4.48286215</v>
      </c>
      <c r="H8122" s="6" t="n">
        <f aca="false">fl_pay_29-Sens!G8121*fl_rate</f>
        <v>4.05859094675</v>
      </c>
      <c r="I8122" s="6" t="n">
        <f aca="false">fl_pay_30-Sens!H8121*fl_rate</f>
        <v>4.14322753935375</v>
      </c>
      <c r="J8122" s="6" t="n">
        <f aca="false">fl_pay_31-Sens!I8121*fl_rate</f>
        <v>4.30267277862467</v>
      </c>
      <c r="K8122" s="6" t="n">
        <f aca="false">fl_pay_32-Sens!J8121*fl_rate</f>
        <v>4.49629305366278</v>
      </c>
    </row>
    <row r="8123" customFormat="false" ht="17.15" hidden="false" customHeight="false" outlineLevel="0" collapsed="false">
      <c r="A8123" s="1" t="s">
        <v>963</v>
      </c>
      <c r="B8123" s="0" t="s">
        <v>98</v>
      </c>
      <c r="E8123" s="6" t="n">
        <f aca="false">Q!M35-Q!M36-Q!M43</f>
        <v>63.886</v>
      </c>
      <c r="F8123" s="6" t="n">
        <f aca="false">Sens!F8116-Sens!F8120-Sens!F8122</f>
        <v>-3.39024177290228</v>
      </c>
      <c r="G8123" s="6" t="n">
        <f aca="false">Sens!G8116-Sens!G8120-Sens!G8122</f>
        <v>17.3560203660551</v>
      </c>
      <c r="H8123" s="6" t="n">
        <f aca="false">Sens!H8116-Sens!H8120-Sens!H8122</f>
        <v>41.2435820634306</v>
      </c>
      <c r="I8123" s="6" t="n">
        <f aca="false">Sens!I8116-Sens!I8120-Sens!I8122</f>
        <v>96.9682514021764</v>
      </c>
      <c r="J8123" s="6" t="n">
        <f aca="false">Sens!J8116-Sens!J8120-Sens!J8122</f>
        <v>158.895634455986</v>
      </c>
      <c r="K8123" s="6" t="n">
        <f aca="false">Sens!K8116-Sens!K8120-Sens!K8122</f>
        <v>184.852603226137</v>
      </c>
      <c r="L8123" s="11" t="s">
        <v>964</v>
      </c>
    </row>
    <row r="8124" customFormat="false" ht="15" hidden="false" customHeight="false" outlineLevel="0" collapsed="false">
      <c r="A8124" s="1" t="s">
        <v>965</v>
      </c>
      <c r="B8124" s="0" t="s">
        <v>75</v>
      </c>
      <c r="F8124" s="8" t="n">
        <f aca="false">dps_27</f>
        <v>3.85</v>
      </c>
      <c r="G8124" s="8" t="n">
        <f aca="false">Sens!F8124*(1+dps_g)</f>
        <v>4.158</v>
      </c>
      <c r="H8124" s="8" t="n">
        <f aca="false">Sens!G8124*(1+dps_g)</f>
        <v>4.49064</v>
      </c>
      <c r="I8124" s="8" t="n">
        <f aca="false">Sens!H8124*(1+dps_g)</f>
        <v>4.8498912</v>
      </c>
      <c r="J8124" s="8" t="n">
        <f aca="false">Sens!I8124*(1+dps_g)</f>
        <v>5.237882496</v>
      </c>
      <c r="K8124" s="8" t="n">
        <f aca="false">Sens!J8124*(1+dps_g)</f>
        <v>5.65691309568</v>
      </c>
    </row>
    <row r="8125" customFormat="false" ht="17.15" hidden="false" customHeight="false" outlineLevel="0" collapsed="false">
      <c r="A8125" s="1" t="s">
        <v>966</v>
      </c>
      <c r="B8125" s="0" t="s">
        <v>98</v>
      </c>
      <c r="E8125" s="6" t="n">
        <f aca="false">Q!M41</f>
        <v>26.445</v>
      </c>
      <c r="F8125" s="6" t="n">
        <f aca="false">Sens!F8124*Sens!E8134</f>
        <v>28.59395</v>
      </c>
      <c r="G8125" s="6" t="n">
        <f aca="false">Sens!G8124*Sens!F8134</f>
        <v>31.068576</v>
      </c>
      <c r="H8125" s="6" t="n">
        <f aca="false">Sens!H8124*Sens!G8134</f>
        <v>33.75614088</v>
      </c>
      <c r="I8125" s="6" t="n">
        <f aca="false">Sens!I8124*Sens!H8134</f>
        <v>36.6336616025441</v>
      </c>
      <c r="J8125" s="6" t="n">
        <f aca="false">Sens!J8124*Sens!I8134</f>
        <v>39.6327533790671</v>
      </c>
      <c r="K8125" s="6" t="n">
        <f aca="false">Sens!K8124*Sens!J8134</f>
        <v>42.8906288746975</v>
      </c>
      <c r="L8125" s="1" t="s">
        <v>967</v>
      </c>
    </row>
    <row r="8126" customFormat="false" ht="15" hidden="false" customHeight="false" outlineLevel="0" collapsed="false">
      <c r="A8126" s="1" t="s">
        <v>968</v>
      </c>
      <c r="B8126" s="0" t="s">
        <v>98</v>
      </c>
      <c r="E8126" s="6" t="n">
        <f aca="false">Sens!E8123-Sens!E8125</f>
        <v>37.441</v>
      </c>
      <c r="F8126" s="6" t="n">
        <f aca="false">Sens!F8123-Sens!F8125</f>
        <v>-31.9841917729023</v>
      </c>
      <c r="G8126" s="6" t="n">
        <f aca="false">Sens!G8123-Sens!G8125</f>
        <v>-13.7125556339449</v>
      </c>
      <c r="H8126" s="6" t="n">
        <f aca="false">Sens!H8123-Sens!H8125</f>
        <v>7.48744118343055</v>
      </c>
      <c r="I8126" s="6" t="n">
        <f aca="false">Sens!I8123-Sens!I8125</f>
        <v>60.3345897996322</v>
      </c>
      <c r="J8126" s="6" t="n">
        <f aca="false">Sens!J8123-Sens!J8125</f>
        <v>119.262881076919</v>
      </c>
      <c r="K8126" s="6" t="n">
        <f aca="false">Sens!K8123-Sens!K8125</f>
        <v>141.96197435144</v>
      </c>
    </row>
    <row r="8127" customFormat="false" ht="15" hidden="false" customHeight="false" outlineLevel="0" collapsed="false">
      <c r="A8127" s="1" t="s">
        <v>969</v>
      </c>
      <c r="B8127" s="0" t="s">
        <v>98</v>
      </c>
      <c r="F8127" s="6" t="n">
        <f aca="false">debt_mat_27</f>
        <v>9.25</v>
      </c>
      <c r="G8127" s="6" t="n">
        <f aca="false">debt_mat_28</f>
        <v>0</v>
      </c>
      <c r="H8127" s="6" t="n">
        <f aca="false">debt_mat_29</f>
        <v>2.001</v>
      </c>
      <c r="I8127" s="6" t="n">
        <f aca="false">debt_mat_30</f>
        <v>0</v>
      </c>
      <c r="J8127" s="6" t="n">
        <f aca="false">debt_mat_31</f>
        <v>0.5</v>
      </c>
      <c r="K8127" s="6" t="n">
        <f aca="false">debt_mat_32</f>
        <v>0</v>
      </c>
    </row>
    <row r="8128" customFormat="false" ht="15" hidden="false" customHeight="false" outlineLevel="0" collapsed="false">
      <c r="A8128" s="1" t="s">
        <v>970</v>
      </c>
      <c r="B8128" s="0" t="s">
        <v>98</v>
      </c>
      <c r="E8128" s="6" t="n">
        <f aca="false">Q!M40</f>
        <v>22.271</v>
      </c>
      <c r="F8128" s="6" t="n">
        <f aca="false">MAX(0,MIN(bb_target,Sens!E8130+Sens!F8126-Sens!F8127-min_cash))</f>
        <v>0</v>
      </c>
      <c r="G8128" s="6" t="n">
        <f aca="false">MAX(0,MIN(bb_target,Sens!F8130+Sens!G8126-Sens!G8127-min_cash))</f>
        <v>0</v>
      </c>
      <c r="H8128" s="6" t="n">
        <f aca="false">MAX(0,MIN(bb_target,Sens!G8130+Sens!H8126-Sens!H8127-min_cash))</f>
        <v>5.48644118343055</v>
      </c>
      <c r="I8128" s="6" t="n">
        <f aca="false">MAX(0,MIN(bb_target,Sens!H8130+Sens!I8126-Sens!I8127-min_cash))</f>
        <v>22.271</v>
      </c>
      <c r="J8128" s="6" t="n">
        <f aca="false">MAX(0,MIN(bb_target,Sens!I8130+Sens!J8126-Sens!J8127-min_cash))</f>
        <v>22.271</v>
      </c>
      <c r="K8128" s="6" t="n">
        <f aca="false">MAX(0,MIN(bb_target,Sens!J8130+Sens!K8126-Sens!K8127-min_cash))</f>
        <v>22.271</v>
      </c>
    </row>
    <row r="8129" customFormat="false" ht="15" hidden="false" customHeight="false" outlineLevel="0" collapsed="false">
      <c r="A8129" s="1" t="s">
        <v>971</v>
      </c>
      <c r="B8129" s="0" t="s">
        <v>98</v>
      </c>
      <c r="F8129" s="6" t="n">
        <f aca="false">MAX(0,min_cash-(Sens!E8130+Sens!F8126-Sens!F8127-Sens!F8128))</f>
        <v>14.3911917729023</v>
      </c>
      <c r="G8129" s="6" t="n">
        <f aca="false">MAX(0,min_cash-(Sens!F8130+Sens!G8126-Sens!G8127-Sens!G8128))</f>
        <v>13.7125556339449</v>
      </c>
      <c r="H8129" s="6" t="n">
        <f aca="false">MAX(0,min_cash-(Sens!G8130+Sens!H8126-Sens!H8127-Sens!H8128))</f>
        <v>0</v>
      </c>
      <c r="I8129" s="6" t="n">
        <f aca="false">MAX(0,min_cash-(Sens!H8130+Sens!I8126-Sens!I8127-Sens!I8128))</f>
        <v>0</v>
      </c>
      <c r="J8129" s="6" t="n">
        <f aca="false">MAX(0,min_cash-(Sens!I8130+Sens!J8126-Sens!J8127-Sens!J8128))</f>
        <v>0</v>
      </c>
      <c r="K8129" s="6" t="n">
        <f aca="false">MAX(0,min_cash-(Sens!J8130+Sens!K8126-Sens!K8127-Sens!K8128))</f>
        <v>0</v>
      </c>
    </row>
    <row r="8130" customFormat="false" ht="15" hidden="false" customHeight="false" outlineLevel="0" collapsed="false">
      <c r="A8130" s="1" t="s">
        <v>972</v>
      </c>
      <c r="B8130" s="0" t="s">
        <v>98</v>
      </c>
      <c r="E8130" s="6" t="n">
        <f aca="false">cash_open</f>
        <v>76.843</v>
      </c>
      <c r="F8130" s="6" t="n">
        <f aca="false">Sens!E8130+Sens!F8126-Sens!F8127-Sens!F8128+Sens!F8129</f>
        <v>50</v>
      </c>
      <c r="G8130" s="6" t="n">
        <f aca="false">Sens!F8130+Sens!G8126-Sens!G8127-Sens!G8128+Sens!G8129</f>
        <v>50</v>
      </c>
      <c r="H8130" s="6" t="n">
        <f aca="false">Sens!G8130+Sens!H8126-Sens!H8127-Sens!H8128+Sens!H8129</f>
        <v>50</v>
      </c>
      <c r="I8130" s="6" t="n">
        <f aca="false">Sens!H8130+Sens!I8126-Sens!I8127-Sens!I8128+Sens!I8129</f>
        <v>88.0635897996322</v>
      </c>
      <c r="J8130" s="6" t="n">
        <f aca="false">Sens!I8130+Sens!J8126-Sens!J8127-Sens!J8128+Sens!J8129</f>
        <v>184.555470876551</v>
      </c>
      <c r="K8130" s="6" t="n">
        <f aca="false">Sens!J8130+Sens!K8126-Sens!K8127-Sens!K8128+Sens!K8129</f>
        <v>304.246445227991</v>
      </c>
    </row>
    <row r="8131" customFormat="false" ht="15" hidden="false" customHeight="false" outlineLevel="0" collapsed="false">
      <c r="A8131" s="1" t="s">
        <v>973</v>
      </c>
      <c r="B8131" s="0" t="s">
        <v>98</v>
      </c>
      <c r="E8131" s="6" t="n">
        <f aca="false">debt_face</f>
        <v>46.136</v>
      </c>
      <c r="F8131" s="6" t="n">
        <f aca="false">Sens!E8131-Sens!F8127+Sens!F8129</f>
        <v>51.2771917729023</v>
      </c>
      <c r="G8131" s="6" t="n">
        <f aca="false">Sens!F8131-Sens!G8127+Sens!G8129</f>
        <v>64.9897474068472</v>
      </c>
      <c r="H8131" s="6" t="n">
        <f aca="false">Sens!G8131-Sens!H8127+Sens!H8129</f>
        <v>62.9887474068472</v>
      </c>
      <c r="I8131" s="6" t="n">
        <f aca="false">Sens!H8131-Sens!I8127+Sens!I8129</f>
        <v>62.9887474068472</v>
      </c>
      <c r="J8131" s="6" t="n">
        <f aca="false">Sens!I8131-Sens!J8127+Sens!J8129</f>
        <v>62.4887474068472</v>
      </c>
      <c r="K8131" s="6" t="n">
        <f aca="false">Sens!J8131-Sens!K8127+Sens!K8129</f>
        <v>62.4887474068472</v>
      </c>
    </row>
    <row r="8132" customFormat="false" ht="15" hidden="false" customHeight="false" outlineLevel="0" collapsed="false">
      <c r="A8132" s="1" t="s">
        <v>974</v>
      </c>
      <c r="B8132" s="0" t="s">
        <v>98</v>
      </c>
      <c r="E8132" s="6" t="n">
        <f aca="false">Sens!E8130-Sens!E8131</f>
        <v>30.707</v>
      </c>
      <c r="F8132" s="6" t="n">
        <f aca="false">Sens!F8130-Sens!F8131</f>
        <v>-1.27719177290228</v>
      </c>
      <c r="G8132" s="6" t="n">
        <f aca="false">Sens!G8130-Sens!G8131</f>
        <v>-14.9897474068472</v>
      </c>
      <c r="H8132" s="6" t="n">
        <f aca="false">Sens!H8130-Sens!H8131</f>
        <v>-12.9887474068472</v>
      </c>
      <c r="I8132" s="6" t="n">
        <f aca="false">Sens!I8130-Sens!I8131</f>
        <v>25.0748423927851</v>
      </c>
      <c r="J8132" s="6" t="n">
        <f aca="false">Sens!J8130-Sens!J8131</f>
        <v>122.066723469704</v>
      </c>
      <c r="K8132" s="6" t="n">
        <f aca="false">Sens!K8130-Sens!K8131</f>
        <v>241.757697821144</v>
      </c>
    </row>
    <row r="8133" customFormat="false" ht="15" hidden="false" customHeight="false" outlineLevel="0" collapsed="false">
      <c r="A8133" s="1" t="s">
        <v>975</v>
      </c>
      <c r="B8133" s="0" t="s">
        <v>75</v>
      </c>
      <c r="F8133" s="29" t="n">
        <f aca="false">px*(1+bb_g)^(Sens!F7995-base_fy-mid_yr)</f>
        <v>553.494156066711</v>
      </c>
      <c r="G8133" s="29" t="n">
        <f aca="false">px*(1+bb_g)^(Sens!G7995-base_fy-mid_yr)</f>
        <v>597.773688552047</v>
      </c>
      <c r="H8133" s="29" t="n">
        <f aca="false">px*(1+bb_g)^(Sens!H7995-base_fy-mid_yr)</f>
        <v>645.595583636211</v>
      </c>
      <c r="I8133" s="29" t="n">
        <f aca="false">px*(1+bb_g)^(Sens!I7995-base_fy-mid_yr)</f>
        <v>697.243230327108</v>
      </c>
      <c r="J8133" s="29" t="n">
        <f aca="false">px*(1+bb_g)^(Sens!J7995-base_fy-mid_yr)</f>
        <v>753.022688753277</v>
      </c>
      <c r="K8133" s="29" t="n">
        <f aca="false">px*(1+bb_g)^(Sens!K7995-base_fy-mid_yr)</f>
        <v>813.264503853539</v>
      </c>
    </row>
    <row r="8134" customFormat="false" ht="15" hidden="false" customHeight="false" outlineLevel="0" collapsed="false">
      <c r="A8134" s="1" t="s">
        <v>976</v>
      </c>
      <c r="B8134" s="1" t="s">
        <v>81</v>
      </c>
      <c r="E8134" s="14" t="n">
        <f aca="false">sh_out26</f>
        <v>7.427</v>
      </c>
      <c r="F8134" s="14" t="n">
        <f aca="false">Sens!E8134+sh_iss-Sens!F8128/Sens!F8133</f>
        <v>7.472</v>
      </c>
      <c r="G8134" s="14" t="n">
        <f aca="false">Sens!F8134+sh_iss-Sens!G8128/Sens!G8133</f>
        <v>7.517</v>
      </c>
      <c r="H8134" s="14" t="n">
        <f aca="false">Sens!G8134+sh_iss-Sens!H8128/Sens!H8133</f>
        <v>7.55350173681095</v>
      </c>
      <c r="I8134" s="14" t="n">
        <f aca="false">Sens!H8134+sh_iss-Sens!I8128/Sens!I8133</f>
        <v>7.56656022912567</v>
      </c>
      <c r="J8134" s="14" t="n">
        <f aca="false">Sens!I8134+sh_iss-Sens!J8128/Sens!J8133</f>
        <v>7.58198475904671</v>
      </c>
      <c r="K8134" s="14" t="n">
        <f aca="false">Sens!J8134+sh_iss-Sens!K8128/Sens!K8133</f>
        <v>7.59960006452916</v>
      </c>
    </row>
    <row r="8135" customFormat="false" ht="15" hidden="false" customHeight="false" outlineLevel="0" collapsed="false">
      <c r="A8135" s="1" t="s">
        <v>977</v>
      </c>
      <c r="B8135" s="1" t="s">
        <v>81</v>
      </c>
      <c r="E8135" s="14" t="n">
        <f aca="false">sh_dil26</f>
        <v>7.453</v>
      </c>
      <c r="F8135" s="14" t="n">
        <f aca="false">(Sens!E8134+Sens!F8134)/2+dil_gap</f>
        <v>7.4735</v>
      </c>
      <c r="G8135" s="14" t="n">
        <f aca="false">(Sens!F8134+Sens!G8134)/2+dil_gap</f>
        <v>7.5185</v>
      </c>
      <c r="H8135" s="14" t="n">
        <f aca="false">(Sens!G8134+Sens!H8134)/2+dil_gap</f>
        <v>7.55925086840547</v>
      </c>
      <c r="I8135" s="14" t="n">
        <f aca="false">(Sens!H8134+Sens!I8134)/2+dil_gap</f>
        <v>7.58403098296831</v>
      </c>
      <c r="J8135" s="14" t="n">
        <f aca="false">(Sens!I8134+Sens!J8134)/2+dil_gap</f>
        <v>7.59827249408619</v>
      </c>
      <c r="K8135" s="14" t="n">
        <f aca="false">(Sens!J8134+Sens!K8134)/2+dil_gap</f>
        <v>7.61479241178793</v>
      </c>
    </row>
    <row r="8136" customFormat="false" ht="17.15" hidden="false" customHeight="false" outlineLevel="0" collapsed="false">
      <c r="A8136" s="1" t="s">
        <v>978</v>
      </c>
      <c r="B8136" s="0" t="s">
        <v>98</v>
      </c>
      <c r="C8136" s="6" t="n">
        <f aca="false">SUM(Sens!F8126:J8126)</f>
        <v>141.388164653134</v>
      </c>
    </row>
    <row r="8137" customFormat="false" ht="15" hidden="false" customHeight="false" outlineLevel="0" collapsed="false">
      <c r="A8137" s="23" t="s">
        <v>945</v>
      </c>
      <c r="B8137" s="30" t="s">
        <v>98</v>
      </c>
      <c r="C8137" s="24" t="n">
        <f aca="false">Sens!$C$8136-(Sens!F8126+Sens!G8126+Sens!H8126+Sens!I8126+Sens!J8126)</f>
        <v>0</v>
      </c>
      <c r="D8137" s="30"/>
      <c r="E8137" s="30"/>
      <c r="F8137" s="30"/>
      <c r="G8137" s="30"/>
      <c r="H8137" s="30"/>
      <c r="I8137" s="30"/>
      <c r="J8137" s="30"/>
      <c r="K8137" s="30"/>
    </row>
    <row r="8138" customFormat="false" ht="17.15" hidden="false" customHeight="false" outlineLevel="0" collapsed="false">
      <c r="A8138" s="1" t="s">
        <v>939</v>
      </c>
      <c r="B8138" s="1" t="s">
        <v>979</v>
      </c>
      <c r="C8138" s="32" t="str">
        <f aca="false">IF(SUM(Sens!F8129:J8129)&gt;0.05,"需要舉債 "&amp;TEXT(SUM(Sens!F8129:J8129),"0.0")&amp;" 十億美元","不需舉債")&amp;"；"&amp;IF(SUM(Sens!F8128:J8128)&lt;COUNT(Sens!F8128:J8128)*bb_target-0.05,"回購較每年 "&amp;TEXT(bb_target,"0.0")&amp;" 的目標少 "&amp;TEXT(COUNT(Sens!F8128:J8128)*bb_target-SUM(Sens!F8128:J8128),"0.0")&amp;" 十億美元（"&amp;TEXT(COUNTIF(Sens!F8128:J8128,"&lt;"&amp;(bb_target-0.05)),"0")&amp;" 年減少）","回購不減")</f>
        <v>需要舉債 28.1 十億美元；回購較每年 22.3 的目標少 61.3 十億美元（3 年減少）</v>
      </c>
    </row>
    <row r="8139" customFormat="false" ht="17.15" hidden="false" customHeight="false" outlineLevel="0" collapsed="false">
      <c r="A8139" s="3" t="s">
        <v>1471</v>
      </c>
    </row>
    <row r="8140" customFormat="false" ht="15" hidden="false" customHeight="false" outlineLevel="0" collapsed="false">
      <c r="A8140" s="4" t="s">
        <v>43</v>
      </c>
      <c r="B8140" s="4" t="s">
        <v>65</v>
      </c>
      <c r="C8140" s="20" t="s">
        <v>799</v>
      </c>
      <c r="D8140" s="20" t="s">
        <v>800</v>
      </c>
      <c r="E8140" s="20" t="s">
        <v>801</v>
      </c>
      <c r="F8140" s="20" t="s">
        <v>802</v>
      </c>
      <c r="G8140" s="20" t="s">
        <v>803</v>
      </c>
      <c r="H8140" s="20" t="s">
        <v>804</v>
      </c>
      <c r="I8140" s="20" t="s">
        <v>805</v>
      </c>
      <c r="J8140" s="20" t="s">
        <v>806</v>
      </c>
      <c r="K8140" s="20" t="s">
        <v>807</v>
      </c>
      <c r="L8140" s="4" t="s">
        <v>47</v>
      </c>
    </row>
    <row r="8141" customFormat="false" ht="15" hidden="false" customHeight="false" outlineLevel="0" collapsed="false">
      <c r="A8141" s="1" t="s">
        <v>1057</v>
      </c>
      <c r="B8141" s="1" t="s">
        <v>235</v>
      </c>
      <c r="F8141" s="36" t="n">
        <f aca="false">Sens!F7995-base_fy-mid_yr</f>
        <v>0.5</v>
      </c>
      <c r="G8141" s="36" t="n">
        <f aca="false">Sens!G7995-base_fy-mid_yr</f>
        <v>1.5</v>
      </c>
      <c r="H8141" s="36" t="n">
        <f aca="false">Sens!H7995-base_fy-mid_yr</f>
        <v>2.5</v>
      </c>
      <c r="I8141" s="36" t="n">
        <f aca="false">Sens!I7995-base_fy-mid_yr</f>
        <v>3.5</v>
      </c>
      <c r="J8141" s="36" t="n">
        <f aca="false">Sens!J7995-base_fy-mid_yr</f>
        <v>4.5</v>
      </c>
      <c r="K8141" s="36" t="n">
        <f aca="false">Sens!K7995-base_fy-mid_yr</f>
        <v>5.5</v>
      </c>
    </row>
    <row r="8142" customFormat="false" ht="15" hidden="false" customHeight="false" outlineLevel="0" collapsed="false">
      <c r="A8142" s="1" t="s">
        <v>1058</v>
      </c>
      <c r="B8142" s="0" t="s">
        <v>185</v>
      </c>
      <c r="F8142" s="14" t="n">
        <f aca="false">1/(1+wacc)^Sens!F8141</f>
        <v>0.952193373608246</v>
      </c>
      <c r="G8142" s="14" t="n">
        <f aca="false">1/(1+wacc)^Sens!G8141</f>
        <v>0.863327280626589</v>
      </c>
      <c r="H8142" s="14" t="n">
        <f aca="false">1/(1+wacc)^Sens!H8141</f>
        <v>0.782754862754115</v>
      </c>
      <c r="I8142" s="14" t="n">
        <f aca="false">1/(1+wacc)^Sens!I8141</f>
        <v>0.709702089711011</v>
      </c>
      <c r="J8142" s="14" t="n">
        <f aca="false">1/(1+wacc)^Sens!J8141</f>
        <v>0.643467169744551</v>
      </c>
      <c r="K8142" s="14" t="n">
        <f aca="false">1/(1+wacc)^Sens!K8141</f>
        <v>0.583413807767797</v>
      </c>
    </row>
    <row r="8143" customFormat="false" ht="17.15" hidden="false" customHeight="false" outlineLevel="0" collapsed="false">
      <c r="A8143" s="1" t="s">
        <v>1059</v>
      </c>
      <c r="B8143" s="0" t="s">
        <v>98</v>
      </c>
      <c r="F8143" s="6" t="n">
        <f aca="false">Sens!F8116-Sens!F8114-Sens!F8120+Sens!F8099*(1-tax_f)</f>
        <v>-5.83806591115445</v>
      </c>
      <c r="G8143" s="6" t="n">
        <f aca="false">Sens!G8116-Sens!G8114-Sens!G8120+Sens!G8099*(1-tax_f)</f>
        <v>26.0307975417244</v>
      </c>
      <c r="H8143" s="6" t="n">
        <f aca="false">Sens!H8116-Sens!H8114-Sens!H8120+Sens!H8099*(1-tax_f)</f>
        <v>61.6642059733093</v>
      </c>
      <c r="I8143" s="6" t="n">
        <f aca="false">Sens!I8116-Sens!I8114-Sens!I8120+Sens!I8099*(1-tax_f)</f>
        <v>128.162966606858</v>
      </c>
      <c r="J8143" s="6" t="n">
        <f aca="false">Sens!J8116-Sens!J8114-Sens!J8120+Sens!J8099*(1-tax_f)</f>
        <v>197.54939519853</v>
      </c>
      <c r="K8143" s="6" t="n">
        <f aca="false">Sens!K8116-Sens!K8114-Sens!K8120+Sens!K8099*(1-tax_f)</f>
        <v>227.800506348365</v>
      </c>
      <c r="L8143" s="1" t="s">
        <v>1060</v>
      </c>
    </row>
    <row r="8144" customFormat="false" ht="15" hidden="false" customHeight="false" outlineLevel="0" collapsed="false">
      <c r="A8144" s="1" t="s">
        <v>1061</v>
      </c>
      <c r="B8144" s="0" t="s">
        <v>98</v>
      </c>
      <c r="F8144" s="6" t="n">
        <f aca="false">Sens!F8143*Sens!F8142</f>
        <v>-5.55896767528946</v>
      </c>
      <c r="G8144" s="6" t="n">
        <f aca="false">Sens!G8143*Sens!G8142</f>
        <v>22.4730976542382</v>
      </c>
      <c r="H8144" s="6" t="n">
        <f aca="false">Sens!H8143*Sens!H8142</f>
        <v>48.2679570834792</v>
      </c>
      <c r="I8144" s="6" t="n">
        <f aca="false">Sens!I8143*Sens!I8142</f>
        <v>90.9575252244499</v>
      </c>
      <c r="J8144" s="6" t="n">
        <f aca="false">Sens!J8143*Sens!J8142</f>
        <v>127.116550213146</v>
      </c>
      <c r="K8144" s="6" t="n">
        <f aca="false">Sens!K8143*Sens!K8142</f>
        <v>132.901960820132</v>
      </c>
    </row>
    <row r="8145" customFormat="false" ht="17.15" hidden="false" customHeight="false" outlineLevel="0" collapsed="false">
      <c r="A8145" s="1" t="s">
        <v>1062</v>
      </c>
      <c r="B8145" s="0" t="s">
        <v>98</v>
      </c>
      <c r="C8145" s="6" t="n">
        <f aca="false">SUM(Sens!F8144:K8144)</f>
        <v>416.158123320156</v>
      </c>
    </row>
    <row r="8146" customFormat="false" ht="17.15" hidden="false" customHeight="false" outlineLevel="0" collapsed="false">
      <c r="A8146" s="1" t="s">
        <v>1063</v>
      </c>
      <c r="B8146" s="0" t="s">
        <v>98</v>
      </c>
      <c r="C8146" s="6" t="n">
        <f aca="false">Sens!K8085*(1+g_tv)*(1-tax_f)</f>
        <v>239.446353390874</v>
      </c>
    </row>
    <row r="8147" customFormat="false" ht="17.15" hidden="false" customHeight="false" outlineLevel="0" collapsed="false">
      <c r="A8147" s="1" t="s">
        <v>1064</v>
      </c>
      <c r="B8147" s="0" t="s">
        <v>98</v>
      </c>
      <c r="C8147" s="6" t="n">
        <f aca="false">Sens!$C$8146*(1-g_tv/(wacc+ronic_prem))</f>
        <v>169.660264391249</v>
      </c>
    </row>
    <row r="8148" customFormat="false" ht="17.15" hidden="false" customHeight="false" outlineLevel="0" collapsed="false">
      <c r="A8148" s="1" t="s">
        <v>1065</v>
      </c>
      <c r="B8148" s="0" t="s">
        <v>98</v>
      </c>
      <c r="C8148" s="6" t="n">
        <f aca="false">Sens!$C$8147/(wacc-g_tv)</f>
        <v>2326.20296665417</v>
      </c>
    </row>
    <row r="8149" customFormat="false" ht="15" hidden="false" customHeight="false" outlineLevel="0" collapsed="false">
      <c r="A8149" s="1" t="s">
        <v>1066</v>
      </c>
      <c r="B8149" s="0" t="s">
        <v>98</v>
      </c>
      <c r="C8149" s="6" t="n">
        <f aca="false">Sens!$C$8148/(1+wacc)^(Sens!K8141+mid_yr)</f>
        <v>1292.25869660833</v>
      </c>
    </row>
    <row r="8150" customFormat="false" ht="17.15" hidden="false" customHeight="false" outlineLevel="0" collapsed="false">
      <c r="A8150" s="0" t="s">
        <v>986</v>
      </c>
      <c r="B8150" s="0" t="s">
        <v>98</v>
      </c>
      <c r="C8150" s="6" t="n">
        <f aca="false">Sens!$C$8145+Sens!$C$8149</f>
        <v>1708.41681992848</v>
      </c>
    </row>
    <row r="8151" customFormat="false" ht="15" hidden="false" customHeight="false" outlineLevel="0" collapsed="false">
      <c r="A8151" s="1" t="s">
        <v>987</v>
      </c>
      <c r="B8151" s="0" t="s">
        <v>129</v>
      </c>
      <c r="C8151" s="7" t="n">
        <f aca="false">Sens!$C$8149/Sens!$C$8150</f>
        <v>0.756407149317591</v>
      </c>
    </row>
    <row r="8152" customFormat="false" ht="17.15" hidden="false" customHeight="false" outlineLevel="0" collapsed="false">
      <c r="A8152" s="1" t="s">
        <v>1067</v>
      </c>
      <c r="B8152" s="0" t="s">
        <v>98</v>
      </c>
      <c r="C8152" s="6" t="n">
        <f aca="false">Sens!$C$8150+Sens!E8132-Sens!E8121+oai_v</f>
        <v>1842.92981992848</v>
      </c>
    </row>
    <row r="8153" customFormat="false" ht="17.15" hidden="false" customHeight="false" outlineLevel="0" collapsed="false">
      <c r="A8153" s="0" t="s">
        <v>994</v>
      </c>
      <c r="B8153" s="0" t="s">
        <v>75</v>
      </c>
      <c r="C8153" s="5" t="n">
        <f aca="false">Sens!$C$8152/sh_dil26</f>
        <v>247.273556947335</v>
      </c>
    </row>
    <row r="8154" customFormat="false" ht="15" hidden="false" customHeight="false" outlineLevel="0" collapsed="false">
      <c r="A8154" s="1" t="s">
        <v>1068</v>
      </c>
      <c r="B8154" s="0" t="s">
        <v>75</v>
      </c>
      <c r="C8154" s="8" t="n">
        <f aca="false">dps_27+Sens!G8124*roll_div_q/q_per_yr</f>
        <v>4.8895</v>
      </c>
    </row>
    <row r="8155" customFormat="false" ht="17.15" hidden="false" customHeight="false" outlineLevel="0" collapsed="false">
      <c r="A8155" s="0" t="s">
        <v>1069</v>
      </c>
      <c r="B8155" s="0" t="s">
        <v>75</v>
      </c>
      <c r="C8155" s="5" t="n">
        <f aca="false">Sens!$C$8153*(1+wacc)^t_roll-Sens!$C$8154</f>
        <v>276.689155642725</v>
      </c>
    </row>
    <row r="8156" customFormat="false" ht="17.15" hidden="false" customHeight="false" outlineLevel="0" collapsed="false">
      <c r="A8156" s="1" t="s">
        <v>1070</v>
      </c>
      <c r="B8156" s="0" t="s">
        <v>129</v>
      </c>
      <c r="F8156" s="7" t="n">
        <f aca="false">Sens!F8111/(Sens!F8056-Sens!F8012)</f>
        <v>0.0712245514346556</v>
      </c>
      <c r="G8156" s="7" t="n">
        <f aca="false">Sens!G8111/(Sens!G8056-Sens!G8012)</f>
        <v>0.0684287816619332</v>
      </c>
      <c r="H8156" s="7" t="n">
        <f aca="false">Sens!H8111/(Sens!H8056-Sens!H8012)</f>
        <v>0.0669554512840591</v>
      </c>
      <c r="I8156" s="7" t="n">
        <f aca="false">Sens!I8111/(Sens!I8056-Sens!I8012)</f>
        <v>0.0666372073105349</v>
      </c>
      <c r="J8156" s="7" t="n">
        <f aca="false">Sens!J8111/(Sens!J8056-Sens!J8012)</f>
        <v>0.0672357227615686</v>
      </c>
      <c r="K8156" s="7" t="n">
        <f aca="false">Sens!K8111/(Sens!K8056-Sens!K8012)</f>
        <v>0.0684875499284972</v>
      </c>
    </row>
    <row r="8157" customFormat="false" ht="17.15" hidden="false" customHeight="false" outlineLevel="0" collapsed="false">
      <c r="A8157" s="0" t="s">
        <v>1071</v>
      </c>
      <c r="B8157" s="0" t="s">
        <v>98</v>
      </c>
      <c r="F8157" s="6" t="n">
        <f aca="false">Sens!F8041*(al_m365+Sens!F8156+sbc_r)</f>
        <v>83.1850838677816</v>
      </c>
      <c r="G8157" s="6" t="n">
        <f aca="false">Sens!G8041*(al_m365+Sens!G8156+sbc_r)</f>
        <v>93.5511808260921</v>
      </c>
      <c r="H8157" s="6" t="n">
        <f aca="false">Sens!H8041*(al_m365+Sens!H8156+sbc_r)</f>
        <v>104.085215286664</v>
      </c>
      <c r="I8157" s="6" t="n">
        <f aca="false">Sens!I8041*(al_m365+Sens!I8156+sbc_r)</f>
        <v>114.110363963818</v>
      </c>
      <c r="J8157" s="6" t="n">
        <f aca="false">Sens!J8041*(al_m365+Sens!J8156+sbc_r)</f>
        <v>123.436939784386</v>
      </c>
      <c r="K8157" s="6" t="n">
        <f aca="false">Sens!K8041*(al_m365+Sens!K8156+sbc_r)</f>
        <v>132.370409214698</v>
      </c>
      <c r="L8157" s="11" t="s">
        <v>1072</v>
      </c>
    </row>
    <row r="8158" customFormat="false" ht="17.15" hidden="false" customHeight="false" outlineLevel="0" collapsed="false">
      <c r="A8158" s="0" t="s">
        <v>1073</v>
      </c>
      <c r="B8158" s="0" t="s">
        <v>98</v>
      </c>
      <c r="F8158" s="6" t="n">
        <f aca="false">Sens!F8042*(al_lic+Sens!F8156+sbc_r)</f>
        <v>33.5475697153839</v>
      </c>
      <c r="G8158" s="6" t="n">
        <f aca="false">Sens!G8042*(al_lic+Sens!G8156+sbc_r)</f>
        <v>34.8542555470774</v>
      </c>
      <c r="H8158" s="6" t="n">
        <f aca="false">Sens!H8042*(al_lic+Sens!H8156+sbc_r)</f>
        <v>36.0732264682146</v>
      </c>
      <c r="I8158" s="6" t="n">
        <f aca="false">Sens!I8042*(al_lic+Sens!I8156+sbc_r)</f>
        <v>37.1838499843881</v>
      </c>
      <c r="J8158" s="6" t="n">
        <f aca="false">Sens!J8042*(al_lic+Sens!J8156+sbc_r)</f>
        <v>38.1619646354275</v>
      </c>
      <c r="K8158" s="6" t="n">
        <f aca="false">Sens!K8042*(al_lic+Sens!K8156+sbc_r)</f>
        <v>38.9822207592152</v>
      </c>
    </row>
    <row r="8159" customFormat="false" ht="17.15" hidden="false" customHeight="false" outlineLevel="0" collapsed="false">
      <c r="A8159" s="0" t="s">
        <v>1074</v>
      </c>
      <c r="B8159" s="0" t="s">
        <v>98</v>
      </c>
      <c r="F8159" s="6" t="n">
        <f aca="false">Sens!F8044*(al_ind+Sens!F8156+sbc_r)</f>
        <v>9.1353198017098</v>
      </c>
      <c r="G8159" s="6" t="n">
        <f aca="false">Sens!G8044*(al_ind+Sens!G8156+sbc_r)</f>
        <v>9.91771022963384</v>
      </c>
      <c r="H8159" s="6" t="n">
        <f aca="false">Sens!H8044*(al_ind+Sens!H8156+sbc_r)</f>
        <v>10.7448002445498</v>
      </c>
      <c r="I8159" s="6" t="n">
        <f aca="false">Sens!I8044*(al_ind+Sens!I8156+sbc_r)</f>
        <v>11.612020522018</v>
      </c>
      <c r="J8159" s="6" t="n">
        <f aca="false">Sens!J8044*(al_ind+Sens!J8156+sbc_r)</f>
        <v>12.5104964840896</v>
      </c>
      <c r="K8159" s="6" t="n">
        <f aca="false">Sens!K8044*(al_ind+Sens!K8156+sbc_r)</f>
        <v>13.4276461901866</v>
      </c>
    </row>
    <row r="8160" customFormat="false" ht="17.15" hidden="false" customHeight="false" outlineLevel="0" collapsed="false">
      <c r="A8160" s="0" t="s">
        <v>1075</v>
      </c>
      <c r="B8160" s="0" t="s">
        <v>98</v>
      </c>
      <c r="F8160" s="6" t="n">
        <f aca="false">Sens!F8046*(al_fro+Sens!F8156+sbc_r)</f>
        <v>3.59569394624226</v>
      </c>
      <c r="G8160" s="6" t="n">
        <f aca="false">Sens!G8046*(al_fro+Sens!G8156+sbc_r)</f>
        <v>3.80781437655416</v>
      </c>
      <c r="H8160" s="6" t="n">
        <f aca="false">Sens!H8046*(al_fro+Sens!H8156+sbc_r)</f>
        <v>4.04900850037508</v>
      </c>
      <c r="I8160" s="6" t="n">
        <f aca="false">Sens!I8046*(al_fro+Sens!I8156+sbc_r)</f>
        <v>4.32152143480706</v>
      </c>
      <c r="J8160" s="6" t="n">
        <f aca="false">Sens!J8046*(al_fro+Sens!J8156+sbc_r)</f>
        <v>4.62686237730414</v>
      </c>
      <c r="K8160" s="6" t="n">
        <f aca="false">Sens!K8046*(al_fro+Sens!K8156+sbc_r)</f>
        <v>4.96605958461662</v>
      </c>
    </row>
    <row r="8161" customFormat="false" ht="17.15" hidden="false" customHeight="false" outlineLevel="0" collapsed="false">
      <c r="A8161" s="0" t="s">
        <v>1076</v>
      </c>
      <c r="B8161" s="0" t="s">
        <v>98</v>
      </c>
      <c r="F8161" s="6" t="n">
        <f aca="false">Sens!F8049*(al_srch+Sens!F8156+sbc_r)</f>
        <v>11.2822519426867</v>
      </c>
      <c r="G8161" s="6" t="n">
        <f aca="false">Sens!G8049*(al_srch+Sens!G8156+sbc_r)</f>
        <v>12.3640849296671</v>
      </c>
      <c r="H8161" s="6" t="n">
        <f aca="false">Sens!H8049*(al_srch+Sens!H8156+sbc_r)</f>
        <v>13.4904865927551</v>
      </c>
      <c r="I8161" s="6" t="n">
        <f aca="false">Sens!I8049*(al_srch+Sens!I8156+sbc_r)</f>
        <v>14.6488291327546</v>
      </c>
      <c r="J8161" s="6" t="n">
        <f aca="false">Sens!J8049*(al_srch+Sens!J8156+sbc_r)</f>
        <v>15.8201052238504</v>
      </c>
      <c r="K8161" s="6" t="n">
        <f aca="false">Sens!K8049*(al_srch+Sens!K8156+sbc_r)</f>
        <v>16.9798837246421</v>
      </c>
    </row>
    <row r="8162" customFormat="false" ht="17.15" hidden="false" customHeight="false" outlineLevel="0" collapsed="false">
      <c r="A8162" s="0" t="s">
        <v>1077</v>
      </c>
      <c r="B8162" s="0" t="s">
        <v>98</v>
      </c>
      <c r="F8162" s="6" t="n">
        <f aca="false">Sens!F8018-Sens!F8019+Sens!F8099</f>
        <v>38.6797715123049</v>
      </c>
      <c r="G8162" s="6" t="n">
        <f aca="false">Sens!G8018-Sens!G8019+Sens!G8099</f>
        <v>67.9698044367775</v>
      </c>
      <c r="H8162" s="6" t="n">
        <f aca="false">Sens!H8018-Sens!H8019+Sens!H8099</f>
        <v>94.4027386785771</v>
      </c>
      <c r="I8162" s="6" t="n">
        <f aca="false">Sens!I8018-Sens!I8019+Sens!I8099</f>
        <v>124.629799296032</v>
      </c>
      <c r="J8162" s="6" t="n">
        <f aca="false">Sens!J8018-Sens!J8019+Sens!J8099</f>
        <v>146.1886418102</v>
      </c>
      <c r="K8162" s="6" t="n">
        <f aca="false">Sens!K8018-Sens!K8019+Sens!K8099</f>
        <v>160.310017660072</v>
      </c>
    </row>
    <row r="8163" customFormat="false" ht="17.15" hidden="false" customHeight="false" outlineLevel="0" collapsed="false">
      <c r="A8163" s="0" t="s">
        <v>1078</v>
      </c>
      <c r="B8163" s="0" t="s">
        <v>98</v>
      </c>
      <c r="F8163" s="6" t="n">
        <f aca="false">Sens!F8078+Sens!F8099+Sens!F8029+Sens!F8156*(Sens!F8048-Sens!F8012)+sbc_r*Sens!F8048</f>
        <v>228.186671299248</v>
      </c>
      <c r="G8163" s="6" t="n">
        <f aca="false">Sens!G8078+Sens!G8099+Sens!G8029+Sens!G8156*(Sens!G8048-Sens!G8012)+sbc_r*Sens!G8048</f>
        <v>281.695471559622</v>
      </c>
      <c r="H8163" s="6" t="n">
        <f aca="false">Sens!H8078+Sens!H8099+Sens!H8029+Sens!H8156*(Sens!H8048-Sens!H8012)+sbc_r*Sens!H8048</f>
        <v>332.076016471924</v>
      </c>
      <c r="I8163" s="6" t="n">
        <f aca="false">Sens!I8078+Sens!I8099+Sens!I8029+Sens!I8156*(Sens!I8048-Sens!I8012)+sbc_r*Sens!I8048</f>
        <v>384.947114707435</v>
      </c>
      <c r="J8163" s="6" t="n">
        <f aca="false">Sens!J8078+Sens!J8099+Sens!J8029+Sens!J8156*(Sens!J8048-Sens!J8012)+sbc_r*Sens!J8048</f>
        <v>426.475154262744</v>
      </c>
      <c r="K8163" s="6" t="n">
        <f aca="false">Sens!K8078+Sens!K8099+Sens!K8029+Sens!K8156*(Sens!K8048-Sens!K8012)+sbc_r*Sens!K8048</f>
        <v>457.483069341161</v>
      </c>
    </row>
    <row r="8164" customFormat="false" ht="17.15" hidden="false" customHeight="false" outlineLevel="0" collapsed="false">
      <c r="A8164" s="0" t="s">
        <v>1079</v>
      </c>
      <c r="B8164" s="0" t="s">
        <v>98</v>
      </c>
      <c r="F8164" s="6" t="n">
        <f aca="false">Sens!F8163-Sens!F8157-Sens!F8158-Sens!F8159-Sens!F8160-Sens!F8162</f>
        <v>60.0432324558251</v>
      </c>
      <c r="G8164" s="6" t="n">
        <f aca="false">Sens!G8163-Sens!G8157-Sens!G8158-Sens!G8159-Sens!G8160-Sens!G8162</f>
        <v>71.594706143487</v>
      </c>
      <c r="H8164" s="6" t="n">
        <f aca="false">Sens!H8163-Sens!H8157-Sens!H8158-Sens!H8159-Sens!H8160-Sens!H8162</f>
        <v>82.7210272935435</v>
      </c>
      <c r="I8164" s="6" t="n">
        <f aca="false">Sens!I8163-Sens!I8157-Sens!I8158-Sens!I8159-Sens!I8160-Sens!I8162</f>
        <v>93.0895595063713</v>
      </c>
      <c r="J8164" s="6" t="n">
        <f aca="false">Sens!J8163-Sens!J8157-Sens!J8158-Sens!J8159-Sens!J8160-Sens!J8162</f>
        <v>101.550249171337</v>
      </c>
      <c r="K8164" s="6" t="n">
        <f aca="false">Sens!K8163-Sens!K8157-Sens!K8158-Sens!K8159-Sens!K8160-Sens!K8162</f>
        <v>107.426715932373</v>
      </c>
    </row>
    <row r="8165" customFormat="false" ht="17.15" hidden="false" customHeight="false" outlineLevel="0" collapsed="false">
      <c r="A8165" s="0" t="s">
        <v>1080</v>
      </c>
      <c r="B8165" s="0" t="s">
        <v>98</v>
      </c>
      <c r="F8165" s="6" t="n">
        <f aca="false">Sens!F8080+Sens!F8156*Sens!F8055+sbc_r*Sens!F8055</f>
        <v>26.3702920466713</v>
      </c>
      <c r="G8165" s="6" t="n">
        <f aca="false">Sens!G8080+Sens!G8156*Sens!G8055+sbc_r*Sens!G8055</f>
        <v>26.9856909082126</v>
      </c>
      <c r="H8165" s="6" t="n">
        <f aca="false">Sens!H8080+Sens!H8156*Sens!H8055+sbc_r*Sens!H8055</f>
        <v>27.8687090718487</v>
      </c>
      <c r="I8165" s="6" t="n">
        <f aca="false">Sens!I8080+Sens!I8156*Sens!I8055+sbc_r*Sens!I8055</f>
        <v>28.9858204247128</v>
      </c>
      <c r="J8165" s="6" t="n">
        <f aca="false">Sens!J8080+Sens!J8156*Sens!J8055+sbc_r*Sens!J8055</f>
        <v>30.3042316028133</v>
      </c>
      <c r="K8165" s="6" t="n">
        <f aca="false">Sens!K8080+Sens!K8156*Sens!K8055+sbc_r*Sens!K8055</f>
        <v>31.7928920072697</v>
      </c>
    </row>
    <row r="8166" customFormat="false" ht="17.15" hidden="false" customHeight="false" outlineLevel="0" collapsed="false">
      <c r="A8166" s="0" t="s">
        <v>1081</v>
      </c>
      <c r="B8166" s="0" t="s">
        <v>98</v>
      </c>
      <c r="F8166" s="6" t="n">
        <f aca="false">(Sens!F8165-Sens!F8161)*Sens!F8051/(Sens!F8051+Sens!F8053)</f>
        <v>8.27111662962311</v>
      </c>
      <c r="G8166" s="6" t="n">
        <f aca="false">(Sens!G8165-Sens!G8161)*Sens!G8051/(Sens!G8051+Sens!G8053)</f>
        <v>7.87250751482221</v>
      </c>
      <c r="H8166" s="6" t="n">
        <f aca="false">(Sens!H8165-Sens!H8161)*Sens!H8051/(Sens!H8051+Sens!H8053)</f>
        <v>7.63689166217774</v>
      </c>
      <c r="I8166" s="6" t="n">
        <f aca="false">(Sens!I8165-Sens!I8161)*Sens!I8051/(Sens!I8051+Sens!I8053)</f>
        <v>7.54609146271128</v>
      </c>
      <c r="J8166" s="6" t="n">
        <f aca="false">(Sens!J8165-Sens!J8161)*Sens!J8051/(Sens!J8051+Sens!J8053)</f>
        <v>7.58906078837675</v>
      </c>
      <c r="K8166" s="6" t="n">
        <f aca="false">(Sens!K8165-Sens!K8161)*Sens!K8051/(Sens!K8051+Sens!K8053)</f>
        <v>7.76138079538339</v>
      </c>
    </row>
    <row r="8167" customFormat="false" ht="17.15" hidden="false" customHeight="false" outlineLevel="0" collapsed="false">
      <c r="A8167" s="0" t="s">
        <v>1082</v>
      </c>
      <c r="B8167" s="0" t="s">
        <v>98</v>
      </c>
      <c r="F8167" s="6" t="n">
        <f aca="false">Sens!F8165-Sens!F8161-Sens!F8166</f>
        <v>6.81692347436146</v>
      </c>
      <c r="G8167" s="6" t="n">
        <f aca="false">Sens!G8165-Sens!G8161-Sens!G8166</f>
        <v>6.74909846372326</v>
      </c>
      <c r="H8167" s="6" t="n">
        <f aca="false">Sens!H8165-Sens!H8161-Sens!H8166</f>
        <v>6.74133081691586</v>
      </c>
      <c r="I8167" s="6" t="n">
        <f aca="false">Sens!I8165-Sens!I8161-Sens!I8166</f>
        <v>6.7908998292469</v>
      </c>
      <c r="J8167" s="6" t="n">
        <f aca="false">Sens!J8165-Sens!J8161-Sens!J8166</f>
        <v>6.89506559058616</v>
      </c>
      <c r="K8167" s="6" t="n">
        <f aca="false">Sens!K8165-Sens!K8161-Sens!K8166</f>
        <v>7.05162748724414</v>
      </c>
    </row>
    <row r="8168" customFormat="false" ht="17.15" hidden="false" customHeight="false" outlineLevel="0" collapsed="false">
      <c r="A8168" s="0" t="s">
        <v>1083</v>
      </c>
      <c r="B8168" s="0" t="s">
        <v>98</v>
      </c>
      <c r="F8168" s="6" t="n">
        <f aca="false">Sens!F8162-tax_f*(Sens!F8162-Sens!F8029)-Sens!F8026</f>
        <v>-122.579081185432</v>
      </c>
      <c r="G8168" s="6" t="n">
        <f aca="false">Sens!G8162-tax_f*(Sens!G8162-Sens!G8029)-Sens!G8026</f>
        <v>-117.373249511676</v>
      </c>
      <c r="H8168" s="6" t="n">
        <f aca="false">Sens!H8162-tax_f*(Sens!H8162-Sens!H8029)-Sens!H8026</f>
        <v>-95.285890998876</v>
      </c>
      <c r="I8168" s="6" t="n">
        <f aca="false">Sens!I8162-tax_f*(Sens!I8162-Sens!I8029)-Sens!I8026</f>
        <v>-41.8816809509416</v>
      </c>
      <c r="J8168" s="6" t="n">
        <f aca="false">Sens!J8162-tax_f*(Sens!J8162-Sens!J8029)-Sens!J8026</f>
        <v>15.3691414244864</v>
      </c>
      <c r="K8168" s="6" t="n">
        <f aca="false">Sens!K8162-tax_f*(Sens!K8162-Sens!K8029)-Sens!K8026</f>
        <v>34.6668916333283</v>
      </c>
    </row>
    <row r="8169" customFormat="false" ht="17.15" hidden="false" customHeight="false" outlineLevel="0" collapsed="false">
      <c r="A8169" s="0" t="s">
        <v>1084</v>
      </c>
      <c r="B8169" s="0" t="s">
        <v>98</v>
      </c>
      <c r="G8169" s="6" t="n">
        <f aca="false">Sens!G8168/(1+wacc)^(Sens!G8141-(Sens!F8141+mid_yr))</f>
        <v>-111.762030423885</v>
      </c>
      <c r="H8169" s="6" t="n">
        <f aca="false">Sens!H8168/(1+wacc)^(Sens!H8141-(Sens!F8141+mid_yr))</f>
        <v>-82.2629091581412</v>
      </c>
      <c r="I8169" s="6" t="n">
        <f aca="false">Sens!I8168/(1+wacc)^(Sens!I8141-(Sens!F8141+mid_yr))</f>
        <v>-32.7830894246659</v>
      </c>
      <c r="J8169" s="6" t="n">
        <f aca="false">Sens!J8168/(1+wacc)^(Sens!J8141-(Sens!F8141+mid_yr))</f>
        <v>10.907511786022</v>
      </c>
      <c r="K8169" s="6" t="n">
        <f aca="false">Sens!K8168/(1+wacc)^(Sens!K8141-(Sens!F8141+mid_yr))</f>
        <v>22.3070066431388</v>
      </c>
      <c r="L8169" s="1" t="s">
        <v>1085</v>
      </c>
    </row>
    <row r="8170" customFormat="false" ht="17.15" hidden="false" customHeight="false" outlineLevel="0" collapsed="false">
      <c r="A8170" s="0" t="s">
        <v>1086</v>
      </c>
      <c r="B8170" s="0" t="s">
        <v>98</v>
      </c>
      <c r="C8170" s="6" t="n">
        <f aca="false">(Sens!K8162-Sens!K8029)*(1-tax_f)*(1+g_tv)*(1-g_tv/(wacc+ronic_prem))/(wacc-g_tv)/(1+wacc)^(Sens!K8141+mid_yr-(Sens!F8141+mid_yr))</f>
        <v>103.875812758606</v>
      </c>
    </row>
    <row r="8171" customFormat="false" ht="17.15" hidden="false" customHeight="false" outlineLevel="0" collapsed="false">
      <c r="A8171" s="1" t="s">
        <v>1087</v>
      </c>
      <c r="B8171" s="0" t="s">
        <v>98</v>
      </c>
      <c r="C8171" s="6" t="n">
        <f aca="false">(SUM(Sens!G8169:K8169)+Sens!$C$8170)*(1+wacc)^(t_roll-(Sens!F8141+mid_yr))</f>
        <v>-92.6297486746201</v>
      </c>
      <c r="L8171" s="11" t="s">
        <v>1088</v>
      </c>
    </row>
    <row r="8172" customFormat="false" ht="17.15" hidden="false" customHeight="false" outlineLevel="0" collapsed="false">
      <c r="A8172" s="1" t="s">
        <v>1089</v>
      </c>
      <c r="B8172" s="0" t="s">
        <v>98</v>
      </c>
      <c r="C8172" s="6" t="n">
        <f aca="false">(w_ntm28*Sens!G8018+(1-w_ntm28)*Sens!H8018)*m_ai</f>
        <v>338.776008390068</v>
      </c>
    </row>
    <row r="8173" customFormat="false" ht="17.15" hidden="false" customHeight="false" outlineLevel="0" collapsed="false">
      <c r="A8173" s="1" t="s">
        <v>1090</v>
      </c>
      <c r="B8173" s="0" t="s">
        <v>98</v>
      </c>
      <c r="C8173" s="6" t="n">
        <f aca="false">(w_ntm28*Sens!G8164+(1-w_ntm28)*Sens!H8164)*m_cloud</f>
        <v>1039.14941281714</v>
      </c>
    </row>
    <row r="8174" customFormat="false" ht="17.15" hidden="false" customHeight="false" outlineLevel="0" collapsed="false">
      <c r="A8174" s="1" t="s">
        <v>1091</v>
      </c>
      <c r="B8174" s="0" t="s">
        <v>98</v>
      </c>
      <c r="C8174" s="6" t="n">
        <f aca="false">(w_ntm28*Sens!G8157+(1-w_ntm28)*Sens!H8157)*m_sw</f>
        <v>1047.1324063918</v>
      </c>
    </row>
    <row r="8175" customFormat="false" ht="17.15" hidden="false" customHeight="false" outlineLevel="0" collapsed="false">
      <c r="A8175" s="1" t="s">
        <v>1092</v>
      </c>
      <c r="B8175" s="0" t="s">
        <v>98</v>
      </c>
      <c r="C8175" s="6" t="n">
        <f aca="false">(w_ntm28*Sens!G8158+(1-w_ntm28)*Sens!H8158)*m_sw</f>
        <v>380.682005228703</v>
      </c>
    </row>
    <row r="8176" customFormat="false" ht="17.15" hidden="false" customHeight="false" outlineLevel="0" collapsed="false">
      <c r="A8176" s="1" t="s">
        <v>1093</v>
      </c>
      <c r="B8176" s="0" t="s">
        <v>98</v>
      </c>
      <c r="C8176" s="6" t="n">
        <f aca="false">(w_ntm28*Sens!G8159+(1-w_ntm28)*Sens!H8159)*m_sw</f>
        <v>109.999060932125</v>
      </c>
    </row>
    <row r="8177" customFormat="false" ht="17.15" hidden="false" customHeight="false" outlineLevel="0" collapsed="false">
      <c r="A8177" s="1" t="s">
        <v>1094</v>
      </c>
      <c r="B8177" s="0" t="s">
        <v>98</v>
      </c>
      <c r="C8177" s="6" t="n">
        <f aca="false">(w_ntm28*Sens!G8160+(1-w_ntm28)*Sens!H8160)*m_sw</f>
        <v>41.9665262021202</v>
      </c>
    </row>
    <row r="8178" customFormat="false" ht="17.15" hidden="false" customHeight="false" outlineLevel="0" collapsed="false">
      <c r="A8178" s="1" t="s">
        <v>1095</v>
      </c>
      <c r="B8178" s="0" t="s">
        <v>98</v>
      </c>
      <c r="C8178" s="6" t="n">
        <f aca="false">(w_ntm28*Sens!G8161+(1-w_ntm28)*Sens!H8161)*m_ads</f>
        <v>115.954236338819</v>
      </c>
    </row>
    <row r="8179" customFormat="false" ht="17.15" hidden="false" customHeight="false" outlineLevel="0" collapsed="false">
      <c r="A8179" s="1" t="s">
        <v>1096</v>
      </c>
      <c r="B8179" s="0" t="s">
        <v>98</v>
      </c>
      <c r="C8179" s="6" t="n">
        <f aca="false">(w_ntm28*Sens!G8166+(1-w_ntm28)*Sens!H8166)*m_game</f>
        <v>98.4677213373273</v>
      </c>
    </row>
    <row r="8180" customFormat="false" ht="17.15" hidden="false" customHeight="false" outlineLevel="0" collapsed="false">
      <c r="A8180" s="1" t="s">
        <v>1097</v>
      </c>
      <c r="B8180" s="0" t="s">
        <v>98</v>
      </c>
      <c r="C8180" s="6" t="n">
        <f aca="false">(w_ntm28*Sens!G8167+(1-w_ntm28)*Sens!H8167)*m_pc</f>
        <v>97.6231179311229</v>
      </c>
    </row>
    <row r="8181" customFormat="false" ht="17.15" hidden="false" customHeight="false" outlineLevel="0" collapsed="false">
      <c r="A8181" s="1" t="s">
        <v>1098</v>
      </c>
      <c r="B8181" s="0" t="s">
        <v>98</v>
      </c>
      <c r="C8181" s="6" t="n">
        <f aca="false">Sens!$C$8171+Sens!$C$8173+Sens!$C$8174+Sens!$C$8175+Sens!$C$8176+Sens!$C$8177+Sens!$C$8178+Sens!$C$8179+Sens!$C$8180</f>
        <v>2838.34473850454</v>
      </c>
    </row>
    <row r="8182" customFormat="false" ht="17.15" hidden="false" customHeight="false" outlineLevel="0" collapsed="false">
      <c r="A8182" s="1" t="s">
        <v>1099</v>
      </c>
      <c r="B8182" s="0" t="s">
        <v>98</v>
      </c>
      <c r="C8182" s="6" t="n">
        <f aca="false">(Sens!G8143-Sens!G8168)*t_stub</f>
        <v>46.7536482174099</v>
      </c>
      <c r="L8182" s="1" t="s">
        <v>1100</v>
      </c>
    </row>
    <row r="8183" customFormat="false" ht="17.15" hidden="false" customHeight="false" outlineLevel="0" collapsed="false">
      <c r="A8183" s="1" t="s">
        <v>1014</v>
      </c>
      <c r="B8183" s="0" t="s">
        <v>98</v>
      </c>
      <c r="C8183" s="6" t="n">
        <f aca="false">Sens!F8132+oai_v-Sens!F8121+Sens!$C$8182</f>
        <v>153.406726444508</v>
      </c>
      <c r="L8183" s="1" t="s">
        <v>1101</v>
      </c>
    </row>
    <row r="8184" customFormat="false" ht="17.15" hidden="false" customHeight="false" outlineLevel="0" collapsed="false">
      <c r="A8184" s="1" t="s">
        <v>1102</v>
      </c>
      <c r="B8184" s="0" t="s">
        <v>75</v>
      </c>
      <c r="C8184" s="5" t="n">
        <f aca="false">(Sens!$C$8181+Sens!$C$8183)/(Sens!F8134+dil_gap)-Sens!G8124*roll_div_q/q_per_yr</f>
        <v>398.073555622872</v>
      </c>
      <c r="L8184" s="1" t="s">
        <v>1103</v>
      </c>
    </row>
    <row r="8185" customFormat="false" ht="17.15" hidden="false" customHeight="false" outlineLevel="0" collapsed="false">
      <c r="A8185" s="1" t="s">
        <v>1104</v>
      </c>
      <c r="B8185" s="0" t="s">
        <v>75</v>
      </c>
      <c r="C8185" s="5" t="n">
        <f aca="false">w_dcf*Sens!$C$8155+(1-w_dcf)*Sens!$C$8184</f>
        <v>337.381355632799</v>
      </c>
    </row>
    <row r="8186" customFormat="false" ht="17.15" hidden="false" customHeight="false" outlineLevel="0" collapsed="false">
      <c r="A8186" s="3" t="s">
        <v>1472</v>
      </c>
    </row>
    <row r="8187" customFormat="false" ht="15" hidden="false" customHeight="false" outlineLevel="0" collapsed="false">
      <c r="A8187" s="4" t="s">
        <v>43</v>
      </c>
      <c r="B8187" s="4" t="s">
        <v>65</v>
      </c>
      <c r="C8187" s="20" t="s">
        <v>799</v>
      </c>
      <c r="D8187" s="20" t="s">
        <v>800</v>
      </c>
      <c r="E8187" s="20" t="s">
        <v>801</v>
      </c>
      <c r="F8187" s="20" t="s">
        <v>802</v>
      </c>
      <c r="G8187" s="20" t="s">
        <v>803</v>
      </c>
      <c r="H8187" s="20" t="s">
        <v>804</v>
      </c>
      <c r="I8187" s="20" t="s">
        <v>805</v>
      </c>
      <c r="J8187" s="20" t="s">
        <v>806</v>
      </c>
      <c r="K8187" s="20" t="s">
        <v>807</v>
      </c>
      <c r="L8187" s="4" t="s">
        <v>47</v>
      </c>
    </row>
    <row r="8188" customFormat="false" ht="17.15" hidden="false" customHeight="false" outlineLevel="0" collapsed="false">
      <c r="A8188" s="1" t="s">
        <v>808</v>
      </c>
      <c r="B8188" s="1" t="s">
        <v>235</v>
      </c>
      <c r="C8188" s="28" t="n">
        <v>2024</v>
      </c>
      <c r="D8188" s="28" t="n">
        <v>2025</v>
      </c>
      <c r="E8188" s="28" t="n">
        <v>2026</v>
      </c>
      <c r="F8188" s="28" t="n">
        <v>2027</v>
      </c>
      <c r="G8188" s="28" t="n">
        <v>2028</v>
      </c>
      <c r="H8188" s="28" t="n">
        <v>2029</v>
      </c>
      <c r="I8188" s="28" t="n">
        <v>2030</v>
      </c>
      <c r="J8188" s="28" t="n">
        <v>2031</v>
      </c>
      <c r="K8188" s="28" t="n">
        <v>2032</v>
      </c>
    </row>
    <row r="8189" customFormat="false" ht="17.15" hidden="false" customHeight="false" outlineLevel="0" collapsed="false">
      <c r="A8189" s="1" t="s">
        <v>809</v>
      </c>
      <c r="B8189" s="0" t="s">
        <v>399</v>
      </c>
      <c r="F8189" s="29" t="n">
        <f aca="false">pace</f>
        <v>2527.2</v>
      </c>
      <c r="G8189" s="29" t="n">
        <f aca="false">pace</f>
        <v>2527.2</v>
      </c>
      <c r="H8189" s="29" t="n">
        <f aca="false">pace</f>
        <v>2527.2</v>
      </c>
      <c r="I8189" s="29" t="n">
        <f aca="false">pace+(g_tv*Sens!H8190-pace)*MIN(1,(Sens!I8188-pace_y0)/(pace_y1-pace_y0))</f>
        <v>1793.116</v>
      </c>
      <c r="J8189" s="29" t="n">
        <f aca="false">pace+(g_tv*Sens!I8190-pace)*MIN(1,(Sens!J8188-pace_y0)/(pace_y1-pace_y0))</f>
        <v>1094.89432</v>
      </c>
      <c r="K8189" s="29" t="n">
        <f aca="false">pace+(g_tv*Sens!J8190-pace)*MIN(1,(Sens!K8188-pace_y0)/(pace_y1-pace_y0))</f>
        <v>411.5883096</v>
      </c>
      <c r="L8189" s="11" t="s">
        <v>810</v>
      </c>
    </row>
    <row r="8190" customFormat="false" ht="17.15" hidden="false" customHeight="false" outlineLevel="0" collapsed="false">
      <c r="A8190" s="1" t="s">
        <v>811</v>
      </c>
      <c r="B8190" s="0" t="s">
        <v>399</v>
      </c>
      <c r="C8190" s="29" t="n">
        <f aca="false">mw_ext_24</f>
        <v>640</v>
      </c>
      <c r="D8190" s="29" t="n">
        <f aca="false">mw_ext_25</f>
        <v>1630</v>
      </c>
      <c r="E8190" s="29" t="n">
        <f aca="false">mw_ext_26</f>
        <v>3250</v>
      </c>
      <c r="F8190" s="29" t="n">
        <f aca="false">Sens!E8190+Sens!F8189</f>
        <v>5777.2</v>
      </c>
      <c r="G8190" s="29" t="n">
        <f aca="false">Sens!F8190+Sens!G8189</f>
        <v>8304.4</v>
      </c>
      <c r="H8190" s="29" t="n">
        <f aca="false">Sens!G8190+Sens!H8189</f>
        <v>10831.6</v>
      </c>
      <c r="I8190" s="29" t="n">
        <f aca="false">Sens!H8190+Sens!I8189</f>
        <v>12624.716</v>
      </c>
      <c r="J8190" s="29" t="n">
        <f aca="false">Sens!I8190+Sens!J8189</f>
        <v>13719.61032</v>
      </c>
      <c r="K8190" s="29" t="n">
        <f aca="false">Sens!J8190+Sens!K8189</f>
        <v>14131.1986296</v>
      </c>
      <c r="L8190" s="1" t="s">
        <v>812</v>
      </c>
    </row>
    <row r="8191" customFormat="false" ht="17.15" hidden="false" customHeight="false" outlineLevel="0" collapsed="false">
      <c r="A8191" s="1" t="s">
        <v>813</v>
      </c>
      <c r="B8191" s="0" t="s">
        <v>399</v>
      </c>
      <c r="C8191" s="29" t="n">
        <f aca="false">rent_ext_24</f>
        <v>150</v>
      </c>
      <c r="D8191" s="29" t="n">
        <f aca="false">rent_ext_25</f>
        <v>400</v>
      </c>
      <c r="E8191" s="29" t="n">
        <f aca="false">rent_ext_26</f>
        <v>550</v>
      </c>
      <c r="F8191" s="29" t="n">
        <f aca="false">rent_ext_f</f>
        <v>756</v>
      </c>
      <c r="G8191" s="29" t="n">
        <f aca="false">rent_ext_f</f>
        <v>756</v>
      </c>
      <c r="H8191" s="29" t="n">
        <f aca="false">rent_ext_f</f>
        <v>756</v>
      </c>
      <c r="I8191" s="29" t="n">
        <f aca="false">rent_ext_f</f>
        <v>756</v>
      </c>
      <c r="J8191" s="29" t="n">
        <f aca="false">rent_ext_f</f>
        <v>756</v>
      </c>
      <c r="K8191" s="29" t="n">
        <f aca="false">rent_ext_f</f>
        <v>756</v>
      </c>
      <c r="L8191" s="1" t="s">
        <v>814</v>
      </c>
    </row>
    <row r="8192" customFormat="false" ht="17.15" hidden="false" customHeight="false" outlineLevel="0" collapsed="false">
      <c r="A8192" s="1" t="s">
        <v>815</v>
      </c>
      <c r="B8192" s="0" t="s">
        <v>399</v>
      </c>
      <c r="C8192" s="29" t="n">
        <f aca="false">Sens!C8190-Sens!C8191</f>
        <v>490</v>
      </c>
      <c r="D8192" s="29" t="n">
        <f aca="false">Sens!D8190-Sens!D8191</f>
        <v>1230</v>
      </c>
      <c r="E8192" s="29" t="n">
        <f aca="false">Sens!E8190-Sens!E8191</f>
        <v>2700</v>
      </c>
      <c r="F8192" s="29" t="n">
        <f aca="false">Sens!F8190-Sens!F8191</f>
        <v>5021.2</v>
      </c>
      <c r="G8192" s="29" t="n">
        <f aca="false">Sens!G8190-Sens!G8191</f>
        <v>7548.4</v>
      </c>
      <c r="H8192" s="29" t="n">
        <f aca="false">Sens!H8190-Sens!H8191</f>
        <v>10075.6</v>
      </c>
      <c r="I8192" s="29" t="n">
        <f aca="false">Sens!I8190-Sens!I8191</f>
        <v>11868.716</v>
      </c>
      <c r="J8192" s="29" t="n">
        <f aca="false">Sens!J8190-Sens!J8191</f>
        <v>12963.61032</v>
      </c>
      <c r="K8192" s="29" t="n">
        <f aca="false">Sens!K8190-Sens!K8191</f>
        <v>13375.1986296</v>
      </c>
    </row>
    <row r="8193" customFormat="false" ht="17.15" hidden="false" customHeight="false" outlineLevel="0" collapsed="false">
      <c r="A8193" s="1" t="s">
        <v>816</v>
      </c>
      <c r="B8193" s="0" t="s">
        <v>399</v>
      </c>
      <c r="C8193" s="29" t="n">
        <f aca="false">Sens!C8192/ext_sh</f>
        <v>816.666666666667</v>
      </c>
      <c r="D8193" s="29" t="n">
        <f aca="false">Sens!D8192/ext_sh</f>
        <v>2050</v>
      </c>
      <c r="E8193" s="29" t="n">
        <f aca="false">Sens!E8192/ext_sh</f>
        <v>4500</v>
      </c>
      <c r="F8193" s="29" t="n">
        <f aca="false">Sens!F8192/ext_sh</f>
        <v>8368.66666666667</v>
      </c>
      <c r="G8193" s="29" t="n">
        <f aca="false">Sens!G8192/ext_sh</f>
        <v>12580.6666666667</v>
      </c>
      <c r="H8193" s="29" t="n">
        <f aca="false">Sens!H8192/ext_sh</f>
        <v>16792.6666666667</v>
      </c>
      <c r="I8193" s="29" t="n">
        <f aca="false">Sens!I8192/ext_sh</f>
        <v>19781.1933333333</v>
      </c>
      <c r="J8193" s="29" t="n">
        <f aca="false">Sens!J8192/ext_sh</f>
        <v>21606.0172</v>
      </c>
      <c r="K8193" s="29" t="n">
        <f aca="false">Sens!K8192/ext_sh</f>
        <v>22291.997716</v>
      </c>
      <c r="L8193" s="1" t="s">
        <v>817</v>
      </c>
    </row>
    <row r="8194" customFormat="false" ht="17.15" hidden="false" customHeight="false" outlineLevel="0" collapsed="false">
      <c r="A8194" s="1" t="s">
        <v>818</v>
      </c>
      <c r="B8194" s="0" t="s">
        <v>399</v>
      </c>
      <c r="C8194" s="29" t="n">
        <f aca="false">Sens!C8193-Sens!C8192</f>
        <v>326.666666666667</v>
      </c>
      <c r="D8194" s="29" t="n">
        <f aca="false">Sens!D8193-Sens!D8192</f>
        <v>820</v>
      </c>
      <c r="E8194" s="29" t="n">
        <f aca="false">Sens!E8193-Sens!E8192</f>
        <v>1800</v>
      </c>
      <c r="F8194" s="29" t="n">
        <f aca="false">Sens!F8193-Sens!F8192</f>
        <v>3347.46666666667</v>
      </c>
      <c r="G8194" s="29" t="n">
        <f aca="false">Sens!G8193-Sens!G8192</f>
        <v>5032.26666666667</v>
      </c>
      <c r="H8194" s="29" t="n">
        <f aca="false">Sens!H8193-Sens!H8192</f>
        <v>6717.06666666667</v>
      </c>
      <c r="I8194" s="29" t="n">
        <f aca="false">Sens!I8193-Sens!I8192</f>
        <v>7912.47733333333</v>
      </c>
      <c r="J8194" s="29" t="n">
        <f aca="false">Sens!J8193-Sens!J8192</f>
        <v>8642.40688</v>
      </c>
      <c r="K8194" s="29" t="n">
        <f aca="false">Sens!K8193-Sens!K8192</f>
        <v>8916.7990864</v>
      </c>
    </row>
    <row r="8195" customFormat="false" ht="17.15" hidden="false" customHeight="false" outlineLevel="0" collapsed="false">
      <c r="A8195" s="1" t="s">
        <v>819</v>
      </c>
      <c r="B8195" s="0" t="s">
        <v>399</v>
      </c>
      <c r="C8195" s="29" t="n">
        <f aca="false">Sens!C8193</f>
        <v>816.666666666667</v>
      </c>
      <c r="D8195" s="29" t="n">
        <f aca="false">Sens!D8193-Sens!C8193</f>
        <v>1233.33333333333</v>
      </c>
      <c r="E8195" s="29" t="n">
        <f aca="false">Sens!E8193-Sens!D8193</f>
        <v>2450</v>
      </c>
      <c r="F8195" s="29" t="n">
        <f aca="false">Sens!F8193-Sens!E8193</f>
        <v>3868.66666666667</v>
      </c>
      <c r="G8195" s="29" t="n">
        <f aca="false">Sens!G8193-Sens!F8193</f>
        <v>4212</v>
      </c>
      <c r="H8195" s="29" t="n">
        <f aca="false">Sens!H8193-Sens!G8193</f>
        <v>4212</v>
      </c>
      <c r="I8195" s="29" t="n">
        <f aca="false">Sens!I8193-Sens!H8193</f>
        <v>2988.52666666667</v>
      </c>
      <c r="J8195" s="29" t="n">
        <f aca="false">Sens!J8193-Sens!I8193</f>
        <v>1824.82386666667</v>
      </c>
      <c r="K8195" s="29" t="n">
        <f aca="false">Sens!K8193-Sens!J8193</f>
        <v>685.980516</v>
      </c>
    </row>
    <row r="8196" customFormat="false" ht="17.15" hidden="false" customHeight="false" outlineLevel="0" collapsed="false">
      <c r="A8196" s="1" t="s">
        <v>820</v>
      </c>
      <c r="B8196" s="0" t="s">
        <v>399</v>
      </c>
      <c r="D8196" s="29" t="n">
        <f aca="false">Sens!D8190-Sens!C8190</f>
        <v>990</v>
      </c>
      <c r="E8196" s="29" t="n">
        <f aca="false">Sens!E8190-Sens!D8190</f>
        <v>1620</v>
      </c>
      <c r="F8196" s="29" t="n">
        <f aca="false">Sens!F8190-Sens!E8190</f>
        <v>2527.2</v>
      </c>
      <c r="G8196" s="29" t="n">
        <f aca="false">Sens!G8190-Sens!F8190</f>
        <v>2527.2</v>
      </c>
      <c r="H8196" s="29" t="n">
        <f aca="false">Sens!H8190-Sens!G8190</f>
        <v>2527.2</v>
      </c>
      <c r="I8196" s="29" t="n">
        <f aca="false">Sens!I8190-Sens!H8190</f>
        <v>1793.116</v>
      </c>
      <c r="J8196" s="29" t="n">
        <f aca="false">Sens!J8190-Sens!I8190</f>
        <v>1094.89432</v>
      </c>
      <c r="K8196" s="29" t="n">
        <f aca="false">Sens!K8190-Sens!J8190</f>
        <v>411.5883096</v>
      </c>
    </row>
    <row r="8197" customFormat="false" ht="17.15" hidden="false" customHeight="false" outlineLevel="0" collapsed="false">
      <c r="A8197" s="1" t="s">
        <v>821</v>
      </c>
      <c r="B8197" s="0" t="s">
        <v>399</v>
      </c>
      <c r="F8197" s="29" t="n">
        <f aca="false">Sens!F8214*ext_sh</f>
        <v>0</v>
      </c>
      <c r="G8197" s="29" t="n">
        <f aca="false">Sens!G8214*ext_sh</f>
        <v>0</v>
      </c>
      <c r="H8197" s="29" t="n">
        <f aca="false">Sens!H8214*ext_sh</f>
        <v>0</v>
      </c>
      <c r="I8197" s="29" t="n">
        <f aca="false">Sens!I8214*ext_sh</f>
        <v>490</v>
      </c>
      <c r="J8197" s="29" t="n">
        <f aca="false">Sens!J8214*ext_sh</f>
        <v>740</v>
      </c>
      <c r="K8197" s="29" t="n">
        <f aca="false">Sens!K8214*ext_sh</f>
        <v>1470</v>
      </c>
      <c r="L8197" s="1" t="s">
        <v>822</v>
      </c>
    </row>
    <row r="8198" customFormat="false" ht="17.15" hidden="false" customHeight="false" outlineLevel="0" collapsed="false">
      <c r="A8198" s="1" t="s">
        <v>823</v>
      </c>
      <c r="B8198" s="0" t="s">
        <v>399</v>
      </c>
      <c r="C8198" s="29" t="n">
        <f aca="false">mix_h*Sens!C8190</f>
        <v>128</v>
      </c>
      <c r="D8198" s="29" t="n">
        <f aca="false">mix_h*Sens!D8190</f>
        <v>326</v>
      </c>
      <c r="E8198" s="29" t="n">
        <f aca="false">mix_h*Sens!E8190</f>
        <v>650</v>
      </c>
      <c r="F8198" s="29" t="n">
        <f aca="false">Sens!E8198-Sens!F8197*mix_h</f>
        <v>650</v>
      </c>
      <c r="G8198" s="29" t="n">
        <f aca="false">Sens!F8198-Sens!G8197*mix_h</f>
        <v>650</v>
      </c>
      <c r="H8198" s="29" t="n">
        <f aca="false">Sens!G8198-Sens!H8197*mix_h</f>
        <v>650</v>
      </c>
      <c r="I8198" s="29" t="n">
        <f aca="false">Sens!H8198-Sens!I8197*mix_h</f>
        <v>552</v>
      </c>
      <c r="J8198" s="29" t="n">
        <f aca="false">Sens!I8198-Sens!J8197*mix_h</f>
        <v>404</v>
      </c>
      <c r="K8198" s="29" t="n">
        <f aca="false">Sens!J8198-Sens!K8197*mix_h</f>
        <v>110</v>
      </c>
    </row>
    <row r="8199" customFormat="false" ht="17.15" hidden="false" customHeight="false" outlineLevel="0" collapsed="false">
      <c r="A8199" s="1" t="s">
        <v>824</v>
      </c>
      <c r="B8199" s="0" t="s">
        <v>399</v>
      </c>
      <c r="C8199" s="29" t="n">
        <f aca="false">mix_g2*Sens!C8190</f>
        <v>288</v>
      </c>
      <c r="D8199" s="29" t="n">
        <f aca="false">mix_g2*Sens!D8190</f>
        <v>733.5</v>
      </c>
      <c r="E8199" s="29" t="n">
        <f aca="false">mix_g2*Sens!E8190</f>
        <v>1462.5</v>
      </c>
      <c r="F8199" s="29" t="n">
        <f aca="false">Sens!E8199-Sens!F8197*mix_g2</f>
        <v>1462.5</v>
      </c>
      <c r="G8199" s="29" t="n">
        <f aca="false">Sens!F8199-Sens!G8197*mix_g2</f>
        <v>1462.5</v>
      </c>
      <c r="H8199" s="29" t="n">
        <f aca="false">Sens!G8199-Sens!H8197*mix_g2</f>
        <v>1462.5</v>
      </c>
      <c r="I8199" s="29" t="n">
        <f aca="false">Sens!H8199-Sens!I8197*mix_g2</f>
        <v>1242</v>
      </c>
      <c r="J8199" s="29" t="n">
        <f aca="false">Sens!I8199-Sens!J8197*mix_g2</f>
        <v>909</v>
      </c>
      <c r="K8199" s="29" t="n">
        <f aca="false">Sens!J8199-Sens!K8197*mix_g2</f>
        <v>247.5</v>
      </c>
    </row>
    <row r="8200" customFormat="false" ht="17.15" hidden="false" customHeight="false" outlineLevel="0" collapsed="false">
      <c r="A8200" s="1" t="s">
        <v>825</v>
      </c>
      <c r="B8200" s="0" t="s">
        <v>399</v>
      </c>
      <c r="C8200" s="29" t="n">
        <f aca="false">mix_g3*Sens!C8190</f>
        <v>224</v>
      </c>
      <c r="D8200" s="29" t="n">
        <f aca="false">mix_g3*Sens!D8190</f>
        <v>570.5</v>
      </c>
      <c r="E8200" s="29" t="n">
        <f aca="false">mix_g3*Sens!E8190</f>
        <v>1137.5</v>
      </c>
      <c r="F8200" s="29" t="n">
        <f aca="false">Sens!E8200+(Sens!F8196+Sens!F8197)*a_g3_27-Sens!F8197*mix_g3</f>
        <v>2906.54</v>
      </c>
      <c r="G8200" s="29" t="n">
        <f aca="false">Sens!F8200+(Sens!G8196+Sens!G8197)*a_g3_28-Sens!G8197*mix_g3</f>
        <v>3664.7</v>
      </c>
      <c r="H8200" s="29" t="n">
        <f aca="false">Sens!G8200+(Sens!H8196+Sens!H8197)*a_g3_29-Sens!H8197*mix_g3</f>
        <v>3917.42</v>
      </c>
      <c r="I8200" s="29" t="n">
        <f aca="false">Sens!H8200+(Sens!I8196+Sens!I8197)*a_g3_29-Sens!I8197*mix_g3</f>
        <v>3974.2316</v>
      </c>
      <c r="J8200" s="29" t="n">
        <f aca="false">Sens!I8200+(Sens!J8196+Sens!J8197)*a_g3_29-Sens!J8197*mix_g3</f>
        <v>3898.721032</v>
      </c>
      <c r="K8200" s="29" t="n">
        <f aca="false">Sens!J8200+(Sens!K8196+Sens!K8197)*a_g3_29-Sens!K8197*mix_g3</f>
        <v>3572.37986296</v>
      </c>
    </row>
    <row r="8201" customFormat="false" ht="17.15" hidden="false" customHeight="false" outlineLevel="0" collapsed="false">
      <c r="A8201" s="1" t="s">
        <v>826</v>
      </c>
      <c r="B8201" s="0" t="s">
        <v>399</v>
      </c>
      <c r="C8201" s="29" t="n">
        <v>0</v>
      </c>
      <c r="D8201" s="29" t="n">
        <v>0</v>
      </c>
      <c r="E8201" s="29" t="n">
        <v>0</v>
      </c>
      <c r="F8201" s="29" t="n">
        <f aca="false">Sens!E8201+(Sens!F8196+Sens!F8197)*(1-a_g3_27)</f>
        <v>758.16</v>
      </c>
      <c r="G8201" s="29" t="n">
        <f aca="false">Sens!F8201+(Sens!G8196+Sens!G8197)*(1-a_g3_28)</f>
        <v>2527.2</v>
      </c>
      <c r="H8201" s="29" t="n">
        <f aca="false">Sens!G8201+(Sens!H8196+Sens!H8197)*(1-a_g3_29)</f>
        <v>4801.68</v>
      </c>
      <c r="I8201" s="29" t="n">
        <f aca="false">Sens!H8201+(Sens!I8196+Sens!I8197)*(1-a_g3_29)</f>
        <v>6856.4844</v>
      </c>
      <c r="J8201" s="29" t="n">
        <f aca="false">Sens!I8201+(Sens!J8196+Sens!J8197)*(1-a_g3_29)</f>
        <v>8507.889288</v>
      </c>
      <c r="K8201" s="29" t="n">
        <f aca="false">Sens!J8201+(Sens!K8196+Sens!K8197)*(1-a_g3_29)</f>
        <v>10201.31876664</v>
      </c>
    </row>
    <row r="8202" customFormat="false" ht="17.15" hidden="false" customHeight="false" outlineLevel="0" collapsed="false">
      <c r="A8202" s="1" t="s">
        <v>827</v>
      </c>
      <c r="B8202" s="0" t="s">
        <v>346</v>
      </c>
      <c r="C8202" s="14" t="n">
        <f aca="false">(Sens!C8198*tk_hold_h100+Sens!C8199*tk_hold_gb200+Sens!C8200*tk_hold_gb300+Sens!C8201*tk_hold_vr200)/Sens!C8190</f>
        <v>9.7235358126469</v>
      </c>
      <c r="D8202" s="14" t="n">
        <f aca="false">(Sens!D8198*tk_hold_h100+Sens!D8199*tk_hold_gb200+Sens!D8200*tk_hold_gb300+Sens!D8201*tk_hold_vr200)/Sens!D8190</f>
        <v>9.7235358126469</v>
      </c>
      <c r="E8202" s="14" t="n">
        <f aca="false">(Sens!E8198*tk_hold_h100+Sens!E8199*tk_hold_gb200+Sens!E8200*tk_hold_gb300+Sens!E8201*tk_hold_vr200)/Sens!E8190</f>
        <v>9.7235358126469</v>
      </c>
      <c r="F8202" s="14" t="n">
        <f aca="false">(Sens!F8198*tk_hold_h100+Sens!F8199*tk_hold_gb200+Sens!F8200*tk_hold_gb300+Sens!F8201*tk_hold_vr200)/Sens!F8190</f>
        <v>10.4079573161931</v>
      </c>
      <c r="G8202" s="14" t="n">
        <f aca="false">(Sens!G8198*tk_hold_h100+Sens!G8199*tk_hold_gb200+Sens!G8200*tk_hold_gb300+Sens!G8201*tk_hold_vr200)/Sens!G8190</f>
        <v>10.8388131109316</v>
      </c>
      <c r="H8202" s="14" t="n">
        <f aca="false">(Sens!H8198*tk_hold_h100+Sens!H8199*tk_hold_gb200+Sens!H8200*tk_hold_gb300+Sens!H8201*tk_hold_vr200)/Sens!H8190</f>
        <v>11.1311018388216</v>
      </c>
      <c r="I8202" s="14" t="n">
        <f aca="false">(Sens!I8198*tk_hold_h100+Sens!I8199*tk_hold_gb200+Sens!I8200*tk_hold_gb300+Sens!I8201*tk_hold_vr200)/Sens!I8190</f>
        <v>11.3594282560989</v>
      </c>
      <c r="J8202" s="14" t="n">
        <f aca="false">(Sens!J8198*tk_hold_h100+Sens!J8199*tk_hold_gb200+Sens!J8200*tk_hold_gb300+Sens!J8201*tk_hold_vr200)/Sens!J8190</f>
        <v>11.5455817917599</v>
      </c>
      <c r="K8202" s="14" t="n">
        <f aca="false">(Sens!K8198*tk_hold_h100+Sens!K8199*tk_hold_gb200+Sens!K8200*tk_hold_gb300+Sens!K8201*tk_hold_vr200)/Sens!K8190</f>
        <v>11.8078187977246</v>
      </c>
    </row>
    <row r="8203" customFormat="false" ht="17.15" hidden="false" customHeight="false" outlineLevel="0" collapsed="false">
      <c r="A8203" s="0" t="s">
        <v>828</v>
      </c>
      <c r="B8203" s="0" t="s">
        <v>185</v>
      </c>
      <c r="C8203" s="14" t="n">
        <f aca="false">k_B</f>
        <v>1.17213932619116</v>
      </c>
      <c r="D8203" s="14" t="n">
        <f aca="false">k_B</f>
        <v>1.17213932619116</v>
      </c>
      <c r="E8203" s="14" t="n">
        <f aca="false">k_B</f>
        <v>1.17213932619116</v>
      </c>
      <c r="F8203" s="14" t="n">
        <f aca="false">(k_B+((ls_A*k_long+(1-ls_A)*k_spot)-k_B)*MIN(1,(Sens!F8188-base_fy)/k_ramp))</f>
        <v>1.25022828131298</v>
      </c>
      <c r="G8203" s="14" t="n">
        <f aca="false">(k_B+((ls_A*k_long+(1-ls_A)*k_spot)-k_B)*MIN(1,(Sens!G8188-base_fy)/k_ramp))</f>
        <v>1.3283172364348</v>
      </c>
      <c r="H8203" s="14" t="n">
        <f aca="false">(k_B+((ls_A*k_long+(1-ls_A)*k_spot)-k_B)*MIN(1,(Sens!H8188-base_fy)/k_ramp))</f>
        <v>1.40640619155662</v>
      </c>
      <c r="I8203" s="14" t="n">
        <f aca="false">(k_B+((ls_A*k_long+(1-ls_A)*k_spot)-k_B)*MIN(1,(Sens!I8188-base_fy)/k_ramp))</f>
        <v>1.40640619155662</v>
      </c>
      <c r="J8203" s="14" t="n">
        <f aca="false">(k_B+((ls_A*k_long+(1-ls_A)*k_spot)-k_B)*MIN(1,(Sens!J8188-base_fy)/k_ramp))</f>
        <v>1.40640619155662</v>
      </c>
      <c r="K8203" s="14" t="n">
        <f aca="false">(k_B+((ls_A*k_long+(1-ls_A)*k_spot)-k_B)*MIN(1,(Sens!K8188-base_fy)/k_ramp))</f>
        <v>1.40640619155662</v>
      </c>
      <c r="L8203" s="1" t="s">
        <v>829</v>
      </c>
    </row>
    <row r="8204" customFormat="false" ht="17.15" hidden="false" customHeight="false" outlineLevel="0" collapsed="false">
      <c r="A8204" s="1" t="s">
        <v>830</v>
      </c>
      <c r="B8204" s="0" t="s">
        <v>346</v>
      </c>
      <c r="C8204" s="14" t="n">
        <f aca="false">Sens!C8202*Sens!C8203*chip_f</f>
        <v>11.3973387156315</v>
      </c>
      <c r="D8204" s="14" t="n">
        <f aca="false">Sens!D8202*Sens!D8203*chip_f</f>
        <v>11.3973387156315</v>
      </c>
      <c r="E8204" s="14" t="n">
        <f aca="false">Sens!E8202*Sens!E8203*chip_f</f>
        <v>11.3973387156315</v>
      </c>
      <c r="F8204" s="14" t="n">
        <f aca="false">Sens!F8202*Sens!F8203*chip_f</f>
        <v>13.0123225874029</v>
      </c>
      <c r="G8204" s="14" t="n">
        <f aca="false">Sens!G8202*Sens!G8203*chip_f</f>
        <v>14.3973822777458</v>
      </c>
      <c r="H8204" s="14" t="n">
        <f aca="false">Sens!H8202*Sens!H8203*chip_f</f>
        <v>15.6548505449659</v>
      </c>
      <c r="I8204" s="14" t="n">
        <f aca="false">Sens!I8202*Sens!I8203*chip_f</f>
        <v>15.9759702319207</v>
      </c>
      <c r="J8204" s="14" t="n">
        <f aca="false">Sens!J8202*Sens!J8203*chip_f</f>
        <v>16.2377777170545</v>
      </c>
      <c r="K8204" s="14" t="n">
        <f aca="false">Sens!K8202*Sens!K8203*chip_f</f>
        <v>16.6065894658985</v>
      </c>
      <c r="L8204" s="1" t="s">
        <v>831</v>
      </c>
    </row>
    <row r="8205" customFormat="false" ht="17.15" hidden="false" customHeight="false" outlineLevel="0" collapsed="false">
      <c r="A8205" s="0" t="s">
        <v>832</v>
      </c>
      <c r="B8205" s="0" t="s">
        <v>98</v>
      </c>
      <c r="D8205" s="6" t="n">
        <f aca="false">(Sens!C8190+Sens!D8190)/2*Sens!D8204/1000</f>
        <v>12.9359794422418</v>
      </c>
      <c r="E8205" s="6" t="n">
        <f aca="false">(Sens!D8190+Sens!E8190)/2*Sens!E8204/1000</f>
        <v>27.8095064661409</v>
      </c>
      <c r="F8205" s="6" t="n">
        <f aca="false">(Sens!E8190+Sens!F8190)/2*Sens!F8204/1000</f>
        <v>58.7324192305018</v>
      </c>
      <c r="G8205" s="6" t="n">
        <f aca="false">(Sens!F8190+Sens!G8190)/2*Sens!G8204/1000</f>
        <v>101.369089141153</v>
      </c>
      <c r="H8205" s="6" t="n">
        <f aca="false">(Sens!G8190+Sens!H8190)/2*Sens!H8204/1000</f>
        <v>149.785610014234</v>
      </c>
      <c r="I8205" s="6" t="n">
        <f aca="false">(Sens!H8190+Sens!I8190)/2*Sens!I8204/1000</f>
        <v>187.368703083263</v>
      </c>
      <c r="J8205" s="6" t="n">
        <f aca="false">(Sens!I8190+Sens!J8190)/2*Sens!J8204/1000</f>
        <v>213.886657444854</v>
      </c>
      <c r="K8205" s="6" t="n">
        <f aca="false">(Sens!J8190+Sens!K8190)/2*Sens!K8204/1000</f>
        <v>231.253475259589</v>
      </c>
      <c r="L8205" s="11" t="s">
        <v>833</v>
      </c>
    </row>
    <row r="8206" customFormat="false" ht="17.15" hidden="false" customHeight="false" outlineLevel="0" collapsed="false">
      <c r="A8206" s="1" t="s">
        <v>834</v>
      </c>
      <c r="B8206" s="0" t="s">
        <v>346</v>
      </c>
      <c r="C8206" s="14" t="n">
        <f aca="false">(Sens!C8198*tk_opex_h100+Sens!C8199*tk_opex_gb200+Sens!C8200*tk_opex_gb300+Sens!C8201*tk_opex_vr200)/Sens!C8190</f>
        <v>1.88636041306092</v>
      </c>
      <c r="D8206" s="14" t="n">
        <f aca="false">(Sens!D8198*tk_opex_h100+Sens!D8199*tk_opex_gb200+Sens!D8200*tk_opex_gb300+Sens!D8201*tk_opex_vr200)/Sens!D8190</f>
        <v>1.88636041306092</v>
      </c>
      <c r="E8206" s="14" t="n">
        <f aca="false">(Sens!E8198*tk_opex_h100+Sens!E8199*tk_opex_gb200+Sens!E8200*tk_opex_gb300+Sens!E8201*tk_opex_vr200)/Sens!E8190</f>
        <v>1.88636041306092</v>
      </c>
      <c r="F8206" s="14" t="n">
        <f aca="false">(Sens!F8198*tk_opex_h100+Sens!F8199*tk_opex_gb200+Sens!F8200*tk_opex_gb300+Sens!F8201*tk_opex_vr200)/Sens!F8190</f>
        <v>1.9430236476499</v>
      </c>
      <c r="G8206" s="14" t="n">
        <f aca="false">(Sens!G8198*tk_opex_h100+Sens!G8199*tk_opex_gb200+Sens!G8200*tk_opex_gb300+Sens!G8201*tk_opex_vr200)/Sens!G8190</f>
        <v>1.9786941852423</v>
      </c>
      <c r="H8206" s="14" t="n">
        <f aca="false">(Sens!H8198*tk_opex_h100+Sens!H8199*tk_opex_gb200+Sens!H8200*tk_opex_gb300+Sens!H8201*tk_opex_vr200)/Sens!H8190</f>
        <v>2.00289275976156</v>
      </c>
      <c r="I8206" s="14" t="n">
        <f aca="false">(Sens!I8198*tk_opex_h100+Sens!I8199*tk_opex_gb200+Sens!I8200*tk_opex_gb300+Sens!I8201*tk_opex_vr200)/Sens!I8190</f>
        <v>2.02179589661219</v>
      </c>
      <c r="J8206" s="14" t="n">
        <f aca="false">(Sens!J8198*tk_opex_h100+Sens!J8199*tk_opex_gb200+Sens!J8200*tk_opex_gb300+Sens!J8201*tk_opex_vr200)/Sens!J8190</f>
        <v>2.03720754193029</v>
      </c>
      <c r="K8206" s="14" t="n">
        <f aca="false">(Sens!K8198*tk_opex_h100+Sens!K8199*tk_opex_gb200+Sens!K8200*tk_opex_gb300+Sens!K8201*tk_opex_vr200)/Sens!K8190</f>
        <v>2.0589181353437</v>
      </c>
    </row>
    <row r="8207" customFormat="false" ht="17.15" hidden="false" customHeight="false" outlineLevel="0" collapsed="false">
      <c r="A8207" s="0" t="s">
        <v>835</v>
      </c>
      <c r="B8207" s="0" t="s">
        <v>98</v>
      </c>
      <c r="D8207" s="6" t="n">
        <f aca="false">(Sens!C8193+Sens!D8193)/2*Sens!D8206/1000</f>
        <v>2.70378325872065</v>
      </c>
      <c r="E8207" s="6" t="n">
        <f aca="false">(Sens!D8193+Sens!E8193)/2*Sens!E8206/1000</f>
        <v>6.17783035277451</v>
      </c>
      <c r="F8207" s="6" t="n">
        <f aca="false">(Sens!E8193+Sens!F8193)/2*Sens!F8206/1000</f>
        <v>12.5020618235287</v>
      </c>
      <c r="G8207" s="6" t="n">
        <f aca="false">(Sens!F8193+Sens!G8193)/2*Sens!G8206/1000</f>
        <v>20.7261620256847</v>
      </c>
      <c r="H8207" s="6" t="n">
        <f aca="false">(Sens!G8193+Sens!H8193)/2*Sens!H8206/1000</f>
        <v>29.4158183316982</v>
      </c>
      <c r="I8207" s="6" t="n">
        <f aca="false">(Sens!H8193+Sens!I8193)/2*Sens!I8206/1000</f>
        <v>36.9724400356344</v>
      </c>
      <c r="J8207" s="6" t="n">
        <f aca="false">(Sens!I8193+Sens!J8193)/2*Sens!J8206/1000</f>
        <v>42.1571687189816</v>
      </c>
      <c r="K8207" s="6" t="n">
        <f aca="false">(Sens!J8193+Sens!K8193)/2*Sens!K8206/1000</f>
        <v>45.1912095080704</v>
      </c>
    </row>
    <row r="8208" customFormat="false" ht="17.15" hidden="false" customHeight="false" outlineLevel="0" collapsed="false">
      <c r="A8208" s="0" t="s">
        <v>836</v>
      </c>
      <c r="B8208" s="0" t="s">
        <v>98</v>
      </c>
      <c r="D8208" s="6" t="n">
        <f aca="false">(Sens!C8191+Sens!D8191)/2*rent_mw/1000</f>
        <v>2.44475</v>
      </c>
      <c r="E8208" s="6" t="n">
        <f aca="false">(Sens!D8191+Sens!E8191)/2*rent_mw/1000</f>
        <v>4.22275</v>
      </c>
      <c r="F8208" s="6" t="n">
        <f aca="false">(Sens!E8191+Sens!F8191)/2*rent_mw/1000</f>
        <v>5.80517</v>
      </c>
      <c r="G8208" s="6" t="n">
        <f aca="false">(Sens!F8191+Sens!G8191)/2*rent_mw/1000</f>
        <v>6.72084</v>
      </c>
      <c r="H8208" s="6" t="n">
        <f aca="false">(Sens!G8191+Sens!H8191)/2*rent_mw/1000</f>
        <v>6.72084</v>
      </c>
      <c r="I8208" s="6" t="n">
        <f aca="false">(Sens!H8191+Sens!I8191)/2*rent_mw/1000</f>
        <v>6.72084</v>
      </c>
      <c r="J8208" s="6" t="n">
        <f aca="false">(Sens!I8191+Sens!J8191)/2*rent_mw/1000</f>
        <v>6.72084</v>
      </c>
      <c r="K8208" s="6" t="n">
        <f aca="false">(Sens!J8191+Sens!K8191)/2*rent_mw/1000</f>
        <v>6.72084</v>
      </c>
    </row>
    <row r="8209" customFormat="false" ht="17.15" hidden="false" customHeight="false" outlineLevel="0" collapsed="false">
      <c r="A8209" s="0" t="s">
        <v>837</v>
      </c>
      <c r="B8209" s="0" t="s">
        <v>98</v>
      </c>
      <c r="D8209" s="6" t="n">
        <f aca="false">(Sens!C8193+Sens!D8193)/2*(1-self_build)*fac_rent/1000</f>
        <v>0.853242375631075</v>
      </c>
      <c r="E8209" s="6" t="n">
        <f aca="false">(Sens!D8193+Sens!E8193)/2*(1-self_build)*fac_rent/1000</f>
        <v>1.94955961408728</v>
      </c>
      <c r="F8209" s="6" t="n">
        <f aca="false">(Sens!E8193+Sens!F8193)/2*(1-self_build)*fac_rent/1000</f>
        <v>3.83026455274573</v>
      </c>
      <c r="G8209" s="6" t="n">
        <f aca="false">(Sens!F8193+Sens!G8193)/2*(1-self_build)*fac_rent/1000</f>
        <v>6.23541590972812</v>
      </c>
      <c r="H8209" s="6" t="n">
        <f aca="false">(Sens!G8193+Sens!H8193)/2*(1-self_build)*fac_rent/1000</f>
        <v>8.74275792332679</v>
      </c>
      <c r="I8209" s="6" t="n">
        <f aca="false">(Sens!H8193+Sens!I8193)/2*(1-self_build)*fac_rent/1000</f>
        <v>10.8859420438599</v>
      </c>
      <c r="J8209" s="6" t="n">
        <f aca="false">(Sens!I8193+Sens!J8193)/2*(1-self_build)*fac_rent/1000</f>
        <v>12.3186006405366</v>
      </c>
      <c r="K8209" s="6" t="n">
        <f aca="false">(Sens!J8193+Sens!K8193)/2*(1-self_build)*fac_rent/1000</f>
        <v>13.0659232089824</v>
      </c>
      <c r="L8209" s="11" t="s">
        <v>838</v>
      </c>
    </row>
    <row r="8210" customFormat="false" ht="17.15" hidden="false" customHeight="false" outlineLevel="0" collapsed="false">
      <c r="A8210" s="1" t="s">
        <v>839</v>
      </c>
      <c r="B8210" s="0" t="s">
        <v>129</v>
      </c>
      <c r="D8210" s="7" t="n">
        <f aca="false">(Sens!C8192+Sens!D8192)/(Sens!C8193+Sens!D8193)</f>
        <v>0.6</v>
      </c>
      <c r="E8210" s="7" t="n">
        <f aca="false">(Sens!D8192+Sens!E8192)/(Sens!D8193+Sens!E8193)</f>
        <v>0.6</v>
      </c>
      <c r="F8210" s="7" t="n">
        <f aca="false">(Sens!E8192+Sens!F8192)/(Sens!E8193+Sens!F8193)</f>
        <v>0.6</v>
      </c>
      <c r="G8210" s="7" t="n">
        <f aca="false">(Sens!F8192+Sens!G8192)/(Sens!F8193+Sens!G8193)</f>
        <v>0.6</v>
      </c>
      <c r="H8210" s="7" t="n">
        <f aca="false">(Sens!G8192+Sens!H8192)/(Sens!G8193+Sens!H8193)</f>
        <v>0.6</v>
      </c>
      <c r="I8210" s="7" t="n">
        <f aca="false">(Sens!H8192+Sens!I8192)/(Sens!H8193+Sens!I8193)</f>
        <v>0.6</v>
      </c>
      <c r="J8210" s="7" t="n">
        <f aca="false">(Sens!I8192+Sens!J8192)/(Sens!I8193+Sens!J8193)</f>
        <v>0.6</v>
      </c>
      <c r="K8210" s="7" t="n">
        <f aca="false">(Sens!J8192+Sens!K8192)/(Sens!J8193+Sens!K8193)</f>
        <v>0.6</v>
      </c>
    </row>
    <row r="8211" customFormat="false" ht="17.15" hidden="false" customHeight="false" outlineLevel="0" collapsed="false">
      <c r="A8211" s="0" t="s">
        <v>840</v>
      </c>
      <c r="B8211" s="0" t="s">
        <v>98</v>
      </c>
      <c r="D8211" s="6" t="n">
        <f aca="false">Sens!D8205-Sens!D8210*(Sens!D8207+Sens!D8209)-Sens!D8208</f>
        <v>8.35701406163072</v>
      </c>
      <c r="E8211" s="6" t="n">
        <f aca="false">Sens!E8205-Sens!E8210*(Sens!E8207+Sens!E8209)-Sens!E8208</f>
        <v>18.7103224860238</v>
      </c>
      <c r="F8211" s="6" t="n">
        <f aca="false">Sens!F8205-Sens!F8210*(Sens!F8207+Sens!F8209)-Sens!F8208</f>
        <v>43.1278534047371</v>
      </c>
      <c r="G8211" s="6" t="n">
        <f aca="false">Sens!G8205-Sens!G8210*(Sens!G8207+Sens!G8209)-Sens!G8208</f>
        <v>78.4713023799053</v>
      </c>
      <c r="H8211" s="6" t="n">
        <f aca="false">Sens!H8205-Sens!H8210*(Sens!H8207+Sens!H8209)-Sens!H8208</f>
        <v>120.169624261219</v>
      </c>
      <c r="I8211" s="6" t="n">
        <f aca="false">Sens!I8205-Sens!I8210*(Sens!I8207+Sens!I8209)-Sens!I8208</f>
        <v>151.932833835566</v>
      </c>
      <c r="J8211" s="6" t="n">
        <f aca="false">Sens!J8205-Sens!J8210*(Sens!J8207+Sens!J8209)-Sens!J8208</f>
        <v>174.480355829143</v>
      </c>
      <c r="K8211" s="6" t="n">
        <f aca="false">Sens!K8205-Sens!K8210*(Sens!K8207+Sens!K8209)-Sens!K8208</f>
        <v>189.578355629358</v>
      </c>
    </row>
    <row r="8212" customFormat="false" ht="17.15" hidden="false" customHeight="false" outlineLevel="0" collapsed="false">
      <c r="A8212" s="1" t="s">
        <v>841</v>
      </c>
      <c r="B8212" s="0" t="s">
        <v>98</v>
      </c>
      <c r="D8212" s="6" t="n">
        <f aca="false">(1-Sens!D8210)*(Sens!D8207+Sens!D8209)</f>
        <v>1.42281025374069</v>
      </c>
      <c r="E8212" s="6" t="n">
        <f aca="false">(1-Sens!E8210)*(Sens!E8207+Sens!E8209)</f>
        <v>3.25095598674472</v>
      </c>
      <c r="F8212" s="6" t="n">
        <f aca="false">(1-Sens!F8210)*(Sens!F8207+Sens!F8209)</f>
        <v>6.53293055050977</v>
      </c>
      <c r="G8212" s="6" t="n">
        <f aca="false">(1-Sens!G8210)*(Sens!G8207+Sens!G8209)</f>
        <v>10.7846311741651</v>
      </c>
      <c r="H8212" s="6" t="n">
        <f aca="false">(1-Sens!H8210)*(Sens!H8207+Sens!H8209)</f>
        <v>15.26343050201</v>
      </c>
      <c r="I8212" s="6" t="n">
        <f aca="false">(1-Sens!I8210)*(Sens!I8207+Sens!I8209)</f>
        <v>19.1433528317977</v>
      </c>
      <c r="J8212" s="6" t="n">
        <f aca="false">(1-Sens!J8210)*(Sens!J8207+Sens!J8209)</f>
        <v>21.7903077438073</v>
      </c>
      <c r="K8212" s="6" t="n">
        <f aca="false">(1-Sens!K8210)*(Sens!K8207+Sens!K8209)</f>
        <v>23.3028530868211</v>
      </c>
    </row>
    <row r="8213" customFormat="false" ht="17.15" hidden="false" customHeight="false" outlineLevel="0" collapsed="false">
      <c r="A8213" s="1" t="s">
        <v>842</v>
      </c>
      <c r="B8213" s="0" t="s">
        <v>357</v>
      </c>
      <c r="C8213" s="8" t="n">
        <f aca="false">cxit_open</f>
        <v>27.5918995</v>
      </c>
      <c r="D8213" s="8" t="n">
        <f aca="false">cxit_open</f>
        <v>27.5918995</v>
      </c>
      <c r="E8213" s="8" t="n">
        <f aca="false">cxit_open</f>
        <v>27.5918995</v>
      </c>
      <c r="F8213" s="8" t="n">
        <f aca="false">(a_g3_27*tk_cxit_gb300+(1-a_g3_27)*tk_cxit_vr200)</f>
        <v>33.8419624</v>
      </c>
      <c r="G8213" s="8" t="n">
        <f aca="false">(a_g3_28*tk_cxit_gb300+(1-a_g3_28)*tk_cxit_vr200)</f>
        <v>35.9816136</v>
      </c>
      <c r="H8213" s="8" t="n">
        <f aca="false">(a_g3_29*tk_cxit_gb300+(1-a_g3_29)*tk_cxit_vr200)</f>
        <v>37.0514392</v>
      </c>
      <c r="I8213" s="8" t="n">
        <f aca="false">(a_g3_29*tk_cxit_gb300+(1-a_g3_29)*tk_cxit_vr200)</f>
        <v>37.0514392</v>
      </c>
      <c r="J8213" s="8" t="n">
        <f aca="false">(a_g3_29*tk_cxit_gb300+(1-a_g3_29)*tk_cxit_vr200)</f>
        <v>37.0514392</v>
      </c>
      <c r="K8213" s="8" t="n">
        <f aca="false">(a_g3_29*tk_cxit_gb300+(1-a_g3_29)*tk_cxit_vr200)</f>
        <v>37.0514392</v>
      </c>
      <c r="L8213" s="11" t="s">
        <v>843</v>
      </c>
    </row>
    <row r="8214" customFormat="false" ht="17.15" hidden="false" customHeight="false" outlineLevel="0" collapsed="false">
      <c r="A8214" s="0" t="s">
        <v>844</v>
      </c>
      <c r="B8214" s="0" t="s">
        <v>399</v>
      </c>
      <c r="F8214" s="29" t="n">
        <f aca="false">Sens!C8195*IF(Sens!F8188-Sens!C8188=life_it,1,0)+Sens!D8195*IF(Sens!F8188-Sens!D8188=life_it,1,0)+Sens!E8195*IF(Sens!F8188-Sens!E8188=life_it,1,0)</f>
        <v>0</v>
      </c>
      <c r="G8214" s="29" t="n">
        <f aca="false">Sens!C8195*IF(Sens!G8188-Sens!C8188=life_it,1,0)+Sens!D8195*IF(Sens!G8188-Sens!D8188=life_it,1,0)+Sens!E8195*IF(Sens!G8188-Sens!E8188=life_it,1,0)+Sens!F8195*IF(Sens!G8188-Sens!F8188=life_it,1,0)</f>
        <v>0</v>
      </c>
      <c r="H8214" s="29" t="n">
        <f aca="false">Sens!C8195*IF(Sens!H8188-Sens!C8188=life_it,1,0)+Sens!D8195*IF(Sens!H8188-Sens!D8188=life_it,1,0)+Sens!E8195*IF(Sens!H8188-Sens!E8188=life_it,1,0)+Sens!F8195*IF(Sens!H8188-Sens!F8188=life_it,1,0)+Sens!G8195*IF(Sens!H8188-Sens!G8188=life_it,1,0)</f>
        <v>0</v>
      </c>
      <c r="I8214" s="29" t="n">
        <f aca="false">Sens!C8195*IF(Sens!I8188-Sens!C8188=life_it,1,0)+Sens!D8195*IF(Sens!I8188-Sens!D8188=life_it,1,0)+Sens!E8195*IF(Sens!I8188-Sens!E8188=life_it,1,0)+Sens!F8195*IF(Sens!I8188-Sens!F8188=life_it,1,0)+Sens!G8195*IF(Sens!I8188-Sens!G8188=life_it,1,0)+Sens!H8195*IF(Sens!I8188-Sens!H8188=life_it,1,0)</f>
        <v>816.666666666667</v>
      </c>
      <c r="J8214" s="29" t="n">
        <f aca="false">Sens!C8195*IF(Sens!J8188-Sens!C8188=life_it,1,0)+Sens!D8195*IF(Sens!J8188-Sens!D8188=life_it,1,0)+Sens!E8195*IF(Sens!J8188-Sens!E8188=life_it,1,0)+Sens!F8195*IF(Sens!J8188-Sens!F8188=life_it,1,0)+Sens!G8195*IF(Sens!J8188-Sens!G8188=life_it,1,0)+Sens!H8195*IF(Sens!J8188-Sens!H8188=life_it,1,0)+Sens!I8195*IF(Sens!J8188-Sens!I8188=life_it,1,0)</f>
        <v>1233.33333333333</v>
      </c>
      <c r="K8214" s="29" t="n">
        <f aca="false">Sens!C8195*IF(Sens!K8188-Sens!C8188=life_it,1,0)+Sens!D8195*IF(Sens!K8188-Sens!D8188=life_it,1,0)+Sens!E8195*IF(Sens!K8188-Sens!E8188=life_it,1,0)+Sens!F8195*IF(Sens!K8188-Sens!F8188=life_it,1,0)+Sens!G8195*IF(Sens!K8188-Sens!G8188=life_it,1,0)+Sens!H8195*IF(Sens!K8188-Sens!H8188=life_it,1,0)+Sens!I8195*IF(Sens!K8188-Sens!I8188=life_it,1,0)+Sens!J8195*IF(Sens!K8188-Sens!J8188=life_it,1,0)</f>
        <v>2450</v>
      </c>
      <c r="L8214" s="1" t="s">
        <v>845</v>
      </c>
    </row>
    <row r="8215" customFormat="false" ht="17.15" hidden="false" customHeight="false" outlineLevel="0" collapsed="false">
      <c r="A8215" s="0" t="s">
        <v>846</v>
      </c>
      <c r="B8215" s="0" t="s">
        <v>98</v>
      </c>
      <c r="C8215" s="6" t="n">
        <f aca="false">Sens!C8195*Sens!C8213/1000</f>
        <v>22.5333845916667</v>
      </c>
      <c r="D8215" s="6" t="n">
        <f aca="false">Sens!D8195*Sens!D8213/1000</f>
        <v>34.0300093833333</v>
      </c>
      <c r="E8215" s="6" t="n">
        <f aca="false">Sens!E8195*Sens!E8213/1000</f>
        <v>67.600153775</v>
      </c>
      <c r="F8215" s="6" t="n">
        <f aca="false">(Sens!F8195+Sens!F8214)*Sens!F8213/1000</f>
        <v>130.923271871467</v>
      </c>
      <c r="G8215" s="6" t="n">
        <f aca="false">(Sens!G8195+Sens!G8214)*Sens!G8213/1000</f>
        <v>151.5545564832</v>
      </c>
      <c r="H8215" s="6" t="n">
        <f aca="false">(Sens!H8195+Sens!H8214)*Sens!H8213/1000</f>
        <v>156.0606619104</v>
      </c>
      <c r="I8215" s="6" t="n">
        <f aca="false">(Sens!I8195+Sens!I8214)*Sens!I8213/1000</f>
        <v>140.987889434245</v>
      </c>
      <c r="J8215" s="6" t="n">
        <f aca="false">(Sens!J8195+Sens!J8214)*Sens!J8213/1000</f>
        <v>113.309125559842</v>
      </c>
      <c r="K8215" s="6" t="n">
        <f aca="false">(Sens!K8195+Sens!K8214)*Sens!K8213/1000</f>
        <v>116.192591420959</v>
      </c>
    </row>
    <row r="8216" customFormat="false" ht="17.15" hidden="false" customHeight="false" outlineLevel="0" collapsed="false">
      <c r="A8216" s="0" t="s">
        <v>847</v>
      </c>
      <c r="B8216" s="0" t="s">
        <v>98</v>
      </c>
      <c r="C8216" s="6" t="n">
        <f aca="false">Sens!C8195*self_build*tk_cxfac/1000</f>
        <v>6.2083</v>
      </c>
      <c r="D8216" s="6" t="n">
        <f aca="false">Sens!D8195*self_build*tk_cxfac/1000</f>
        <v>9.3758</v>
      </c>
      <c r="E8216" s="6" t="n">
        <f aca="false">Sens!E8195*self_build*tk_cxfac/1000</f>
        <v>18.6249</v>
      </c>
      <c r="F8216" s="6" t="n">
        <f aca="false">Sens!F8195*self_build*tk_cxfac/1000</f>
        <v>29.409604</v>
      </c>
      <c r="G8216" s="6" t="n">
        <f aca="false">Sens!G8195*self_build*tk_cxfac/1000</f>
        <v>32.019624</v>
      </c>
      <c r="H8216" s="6" t="n">
        <f aca="false">Sens!H8195*self_build*tk_cxfac/1000</f>
        <v>32.019624</v>
      </c>
      <c r="I8216" s="6" t="n">
        <f aca="false">Sens!I8195*self_build*tk_cxfac/1000</f>
        <v>22.71877972</v>
      </c>
      <c r="J8216" s="6" t="n">
        <f aca="false">Sens!J8195*self_build*tk_cxfac/1000</f>
        <v>13.8723110344</v>
      </c>
      <c r="K8216" s="6" t="n">
        <f aca="false">Sens!K8195*self_build*tk_cxfac/1000</f>
        <v>5.214823882632</v>
      </c>
    </row>
    <row r="8217" customFormat="false" ht="17.15" hidden="false" customHeight="false" outlineLevel="0" collapsed="false">
      <c r="A8217" s="0" t="s">
        <v>848</v>
      </c>
      <c r="B8217" s="0" t="s">
        <v>98</v>
      </c>
      <c r="F8217" s="6" t="n">
        <f aca="false">MAX(0,capex_floor27-Sens!F8215-Sens!F8216-Sens!F8311)</f>
        <v>8.0389389075924</v>
      </c>
    </row>
    <row r="8218" customFormat="false" ht="17.15" hidden="false" customHeight="false" outlineLevel="0" collapsed="false">
      <c r="A8218" s="0" t="s">
        <v>849</v>
      </c>
      <c r="B8218" s="0" t="s">
        <v>98</v>
      </c>
      <c r="C8218" s="6" t="n">
        <f aca="false">Sens!C8215</f>
        <v>22.5333845916667</v>
      </c>
      <c r="D8218" s="6" t="n">
        <f aca="false">Sens!D8215</f>
        <v>34.0300093833333</v>
      </c>
      <c r="E8218" s="6" t="n">
        <f aca="false">Sens!E8215</f>
        <v>67.600153775</v>
      </c>
      <c r="F8218" s="6" t="n">
        <f aca="false">Sens!F8215</f>
        <v>130.923271871467</v>
      </c>
      <c r="G8218" s="6" t="n">
        <f aca="false">Sens!G8215</f>
        <v>151.5545564832</v>
      </c>
      <c r="H8218" s="6" t="n">
        <f aca="false">Sens!H8215</f>
        <v>156.0606619104</v>
      </c>
      <c r="I8218" s="6" t="n">
        <f aca="false">Sens!I8215</f>
        <v>140.987889434245</v>
      </c>
      <c r="J8218" s="6" t="n">
        <f aca="false">Sens!J8215</f>
        <v>113.309125559842</v>
      </c>
      <c r="K8218" s="6" t="n">
        <f aca="false">Sens!K8215</f>
        <v>116.192591420959</v>
      </c>
    </row>
    <row r="8219" customFormat="false" ht="17.15" hidden="false" customHeight="false" outlineLevel="0" collapsed="false">
      <c r="A8219" s="0" t="s">
        <v>850</v>
      </c>
      <c r="B8219" s="0" t="s">
        <v>98</v>
      </c>
      <c r="C8219" s="6" t="n">
        <f aca="false">Sens!C8218+Sens!C8216</f>
        <v>28.7416845916667</v>
      </c>
      <c r="D8219" s="6" t="n">
        <f aca="false">Sens!D8218+Sens!D8216</f>
        <v>43.4058093833333</v>
      </c>
      <c r="E8219" s="6" t="n">
        <f aca="false">Sens!E8218+Sens!E8216</f>
        <v>86.225053775</v>
      </c>
      <c r="F8219" s="6" t="n">
        <f aca="false">Sens!F8218+Sens!F8216</f>
        <v>160.332875871467</v>
      </c>
      <c r="G8219" s="6" t="n">
        <f aca="false">Sens!G8218+Sens!G8216</f>
        <v>183.5741804832</v>
      </c>
      <c r="H8219" s="6" t="n">
        <f aca="false">Sens!H8218+Sens!H8216</f>
        <v>188.0802859104</v>
      </c>
      <c r="I8219" s="6" t="n">
        <f aca="false">Sens!I8218+Sens!I8216</f>
        <v>163.706669154245</v>
      </c>
      <c r="J8219" s="6" t="n">
        <f aca="false">Sens!J8218+Sens!J8216</f>
        <v>127.181436594242</v>
      </c>
      <c r="K8219" s="6" t="n">
        <f aca="false">Sens!K8218+Sens!K8216</f>
        <v>121.407415303591</v>
      </c>
      <c r="L8219" s="11" t="s">
        <v>851</v>
      </c>
    </row>
    <row r="8220" customFormat="false" ht="17.15" hidden="false" customHeight="false" outlineLevel="0" collapsed="false">
      <c r="A8220" s="0" t="s">
        <v>852</v>
      </c>
      <c r="B8220" s="0" t="s">
        <v>98</v>
      </c>
      <c r="E8220" s="6" t="n">
        <f aca="false">(Sens!C8218*IF(2&lt;life_it,1,IF(2=life_it,0.5,0))+Sens!D8218*IF(1&lt;life_it,1,IF(1=life_it,0.5,0))+Sens!E8218*0.5)/life_it</f>
        <v>15.0605784770833</v>
      </c>
      <c r="F8220" s="6" t="n">
        <f aca="false">(Sens!C8218*IF(3&lt;life_it,1,IF(3=life_it,0.5,0))+Sens!D8218*IF(2&lt;life_it,1,IF(2=life_it,0.5,0))+Sens!E8218*IF(1&lt;life_it,1,IF(1=life_it,0.5,0))+Sens!F8218*0.5)/life_it</f>
        <v>31.6041972809556</v>
      </c>
      <c r="G8220" s="6" t="n">
        <f aca="false">(Sens!C8218*IF(4&lt;life_it,1,IF(4=life_it,0.5,0))+Sens!D8218*IF(3&lt;life_it,1,IF(3=life_it,0.5,0))+Sens!E8218*IF(2&lt;life_it,1,IF(2=life_it,0.5,0))+Sens!F8218*IF(1&lt;life_it,1,IF(1=life_it,0.5,0))+Sens!G8218*0.5)/life_it</f>
        <v>55.1440163105111</v>
      </c>
      <c r="H8220" s="6" t="n">
        <f aca="false">(Sens!C8218*IF(5&lt;life_it,1,IF(5=life_it,0.5,0))+Sens!D8218*IF(4&lt;life_it,1,IF(4=life_it,0.5,0))+Sens!E8218*IF(3&lt;life_it,1,IF(3=life_it,0.5,0))+Sens!F8218*IF(2&lt;life_it,1,IF(2=life_it,0.5,0))+Sens!G8218*IF(1&lt;life_it,1,IF(1=life_it,0.5,0))+Sens!H8218*0.5)/life_it</f>
        <v>80.7786178433111</v>
      </c>
      <c r="I8220" s="6" t="n">
        <f aca="false">(Sens!C8218*IF(6&lt;life_it,1,IF(6=life_it,0.5,0))+Sens!D8218*IF(5&lt;life_it,1,IF(5=life_it,0.5,0))+Sens!E8218*IF(4&lt;life_it,1,IF(4=life_it,0.5,0))+Sens!F8218*IF(3&lt;life_it,1,IF(3=life_it,0.5,0))+Sens!G8218*IF(2&lt;life_it,1,IF(2=life_it,0.5,0))+Sens!H8218*IF(1&lt;life_it,1,IF(1=life_it,0.5,0))+Sens!I8218*0.5)/life_it</f>
        <v>103.654881739393</v>
      </c>
      <c r="J8220" s="6" t="n">
        <f aca="false">(Sens!C8218*IF(7&lt;life_it,1,IF(7=life_it,0.5,0))+Sens!D8218*IF(6&lt;life_it,1,IF(6=life_it,0.5,0))+Sens!E8218*IF(5&lt;life_it,1,IF(5=life_it,0.5,0))+Sens!F8218*IF(4&lt;life_it,1,IF(4=life_it,0.5,0))+Sens!G8218*IF(3&lt;life_it,1,IF(3=life_it,0.5,0))+Sens!H8218*IF(2&lt;life_it,1,IF(2=life_it,0.5,0))+Sens!I8218*IF(1&lt;life_it,1,IF(1=life_it,0.5,0))+Sens!J8218*0.5)/life_it</f>
        <v>120.132683490983</v>
      </c>
      <c r="K8220" s="6" t="n">
        <f aca="false">(Sens!C8218*IF(8&lt;life_it,1,IF(8=life_it,0.5,0))+Sens!D8218*IF(7&lt;life_it,1,IF(7=life_it,0.5,0))+Sens!E8218*IF(6&lt;life_it,1,IF(6=life_it,0.5,0))+Sens!F8218*IF(5&lt;life_it,1,IF(5=life_it,0.5,0))+Sens!G8218*IF(4&lt;life_it,1,IF(4=life_it,0.5,0))+Sens!H8218*IF(3&lt;life_it,1,IF(3=life_it,0.5,0))+Sens!I8218*IF(2&lt;life_it,1,IF(2=life_it,0.5,0))+Sens!J8218*IF(1&lt;life_it,1,IF(1=life_it,0.5,0))+Sens!K8218*0.5)/life_it</f>
        <v>130.788646309522</v>
      </c>
    </row>
    <row r="8221" customFormat="false" ht="17.15" hidden="false" customHeight="false" outlineLevel="0" collapsed="false">
      <c r="A8221" s="0" t="s">
        <v>853</v>
      </c>
      <c r="B8221" s="0" t="s">
        <v>98</v>
      </c>
      <c r="E8221" s="6" t="n">
        <f aca="false">(Sens!C8216*IF(2&lt;life_fac,1,IF(2=life_fac,0.5,0))+Sens!D8216*IF(1&lt;life_fac,1,IF(1=life_fac,0.5,0))+Sens!E8216*0.5)/life_fac</f>
        <v>1.2448275</v>
      </c>
      <c r="F8221" s="6" t="n">
        <f aca="false">(Sens!C8216*IF(3&lt;life_fac,1,IF(3=life_fac,0.5,0))+Sens!D8216*IF(2&lt;life_fac,1,IF(2=life_fac,0.5,0))+Sens!E8216*IF(1&lt;life_fac,1,IF(1=life_fac,0.5,0))+Sens!F8216*0.5)/life_fac</f>
        <v>2.4456901</v>
      </c>
      <c r="G8221" s="6" t="n">
        <f aca="false">(Sens!C8216*IF(4&lt;life_fac,1,IF(4=life_fac,0.5,0))+Sens!D8216*IF(3&lt;life_fac,1,IF(3=life_fac,0.5,0))+Sens!E8216*IF(2&lt;life_fac,1,IF(2=life_fac,0.5,0))+Sens!F8216*IF(1&lt;life_fac,1,IF(1=life_fac,0.5,0))+Sens!G8216*0.5)/life_fac</f>
        <v>3.9814208</v>
      </c>
      <c r="H8221" s="6" t="n">
        <f aca="false">(Sens!C8216*IF(5&lt;life_fac,1,IF(5=life_fac,0.5,0))+Sens!D8216*IF(4&lt;life_fac,1,IF(4=life_fac,0.5,0))+Sens!E8216*IF(3&lt;life_fac,1,IF(3=life_fac,0.5,0))+Sens!F8216*IF(2&lt;life_fac,1,IF(2=life_fac,0.5,0))+Sens!G8216*IF(1&lt;life_fac,1,IF(1=life_fac,0.5,0))+Sens!H8216*0.5)/life_fac</f>
        <v>5.582402</v>
      </c>
      <c r="I8221" s="6" t="n">
        <f aca="false">(Sens!C8216*IF(6&lt;life_fac,1,IF(6=life_fac,0.5,0))+Sens!D8216*IF(5&lt;life_fac,1,IF(5=life_fac,0.5,0))+Sens!E8216*IF(4&lt;life_fac,1,IF(4=life_fac,0.5,0))+Sens!F8216*IF(3&lt;life_fac,1,IF(3=life_fac,0.5,0))+Sens!G8216*IF(2&lt;life_fac,1,IF(2=life_fac,0.5,0))+Sens!H8216*IF(1&lt;life_fac,1,IF(1=life_fac,0.5,0))+Sens!I8216*0.5)/life_fac</f>
        <v>6.950862093</v>
      </c>
      <c r="J8221" s="6" t="n">
        <f aca="false">(Sens!C8216*IF(7&lt;life_fac,1,IF(7=life_fac,0.5,0))+Sens!D8216*IF(6&lt;life_fac,1,IF(6=life_fac,0.5,0))+Sens!E8216*IF(5&lt;life_fac,1,IF(5=life_fac,0.5,0))+Sens!F8216*IF(4&lt;life_fac,1,IF(4=life_fac,0.5,0))+Sens!G8216*IF(3&lt;life_fac,1,IF(3=life_fac,0.5,0))+Sens!H8216*IF(2&lt;life_fac,1,IF(2=life_fac,0.5,0))+Sens!I8216*IF(1&lt;life_fac,1,IF(1=life_fac,0.5,0))+Sens!J8216*0.5)/life_fac</f>
        <v>7.86563936186</v>
      </c>
      <c r="K8221" s="6" t="n">
        <f aca="false">(Sens!C8216*IF(8&lt;life_fac,1,IF(8=life_fac,0.5,0))+Sens!D8216*IF(7&lt;life_fac,1,IF(7=life_fac,0.5,0))+Sens!E8216*IF(6&lt;life_fac,1,IF(6=life_fac,0.5,0))+Sens!F8216*IF(5&lt;life_fac,1,IF(5=life_fac,0.5,0))+Sens!G8216*IF(4&lt;life_fac,1,IF(4=life_fac,0.5,0))+Sens!H8216*IF(3&lt;life_fac,1,IF(3=life_fac,0.5,0))+Sens!I8216*IF(2&lt;life_fac,1,IF(2=life_fac,0.5,0))+Sens!J8216*IF(1&lt;life_fac,1,IF(1=life_fac,0.5,0))+Sens!K8216*0.5)/life_fac</f>
        <v>8.3428177347858</v>
      </c>
    </row>
    <row r="8222" customFormat="false" ht="17.15" hidden="false" customHeight="false" outlineLevel="0" collapsed="false">
      <c r="A8222" s="0" t="s">
        <v>854</v>
      </c>
      <c r="B8222" s="0" t="s">
        <v>98</v>
      </c>
      <c r="E8222" s="6" t="n">
        <f aca="false">Sens!E8220+Sens!E8221</f>
        <v>16.3054059770833</v>
      </c>
      <c r="F8222" s="6" t="n">
        <f aca="false">Sens!F8220+Sens!F8221</f>
        <v>34.0498873809555</v>
      </c>
      <c r="G8222" s="6" t="n">
        <f aca="false">Sens!G8220+Sens!G8221</f>
        <v>59.1254371105111</v>
      </c>
      <c r="H8222" s="6" t="n">
        <f aca="false">Sens!H8220+Sens!H8221</f>
        <v>86.3610198433111</v>
      </c>
      <c r="I8222" s="6" t="n">
        <f aca="false">Sens!I8220+Sens!I8221</f>
        <v>110.605743832393</v>
      </c>
      <c r="J8222" s="6" t="n">
        <f aca="false">Sens!J8220+Sens!J8221</f>
        <v>127.998322852843</v>
      </c>
      <c r="K8222" s="6" t="n">
        <f aca="false">Sens!K8220+Sens!K8221</f>
        <v>139.131464044308</v>
      </c>
    </row>
    <row r="8223" customFormat="false" ht="17.15" hidden="false" customHeight="false" outlineLevel="0" collapsed="false">
      <c r="A8223" s="0" t="s">
        <v>855</v>
      </c>
      <c r="B8223" s="0" t="s">
        <v>98</v>
      </c>
      <c r="E8223" s="6" t="n">
        <f aca="false">Sens!E8211-Sens!E8210*Sens!E8222</f>
        <v>8.92707889977379</v>
      </c>
      <c r="F8223" s="6" t="n">
        <f aca="false">Sens!F8211-Sens!F8210*Sens!F8222</f>
        <v>22.6979209761638</v>
      </c>
      <c r="G8223" s="6" t="n">
        <f aca="false">Sens!G8211-Sens!G8210*Sens!G8222</f>
        <v>42.9960401135986</v>
      </c>
      <c r="H8223" s="6" t="n">
        <f aca="false">Sens!H8211-Sens!H8210*Sens!H8222</f>
        <v>68.3530123552322</v>
      </c>
      <c r="I8223" s="6" t="n">
        <f aca="false">Sens!I8211-Sens!I8210*Sens!I8222</f>
        <v>85.5693875361303</v>
      </c>
      <c r="J8223" s="6" t="n">
        <f aca="false">Sens!J8211-Sens!J8210*Sens!J8222</f>
        <v>97.6813621174372</v>
      </c>
      <c r="K8223" s="6" t="n">
        <f aca="false">Sens!K8211-Sens!K8210*Sens!K8222</f>
        <v>106.099477202773</v>
      </c>
    </row>
    <row r="8224" customFormat="false" ht="17.15" hidden="false" customHeight="false" outlineLevel="0" collapsed="false">
      <c r="A8224" s="3" t="s">
        <v>1473</v>
      </c>
    </row>
    <row r="8225" customFormat="false" ht="15" hidden="false" customHeight="false" outlineLevel="0" collapsed="false">
      <c r="A8225" s="4" t="s">
        <v>43</v>
      </c>
      <c r="B8225" s="4" t="s">
        <v>65</v>
      </c>
      <c r="C8225" s="20" t="s">
        <v>799</v>
      </c>
      <c r="D8225" s="20" t="s">
        <v>800</v>
      </c>
      <c r="E8225" s="20" t="s">
        <v>801</v>
      </c>
      <c r="F8225" s="20" t="s">
        <v>802</v>
      </c>
      <c r="G8225" s="20" t="s">
        <v>803</v>
      </c>
      <c r="H8225" s="20" t="s">
        <v>804</v>
      </c>
      <c r="I8225" s="20" t="s">
        <v>805</v>
      </c>
      <c r="J8225" s="20" t="s">
        <v>806</v>
      </c>
      <c r="K8225" s="20" t="s">
        <v>807</v>
      </c>
      <c r="L8225" s="4" t="s">
        <v>47</v>
      </c>
    </row>
    <row r="8226" customFormat="false" ht="17.15" hidden="false" customHeight="false" outlineLevel="0" collapsed="false">
      <c r="A8226" s="0" t="s">
        <v>874</v>
      </c>
      <c r="B8226" s="0" t="s">
        <v>98</v>
      </c>
      <c r="D8226" s="6" t="n">
        <f aca="false">Sens!D8205</f>
        <v>12.9359794422418</v>
      </c>
      <c r="E8226" s="6" t="n">
        <f aca="false">Sens!E8205</f>
        <v>27.8095064661409</v>
      </c>
      <c r="F8226" s="6" t="n">
        <f aca="false">Sens!F8205</f>
        <v>58.7324192305018</v>
      </c>
      <c r="G8226" s="6" t="n">
        <f aca="false">Sens!G8205</f>
        <v>101.369089141153</v>
      </c>
      <c r="H8226" s="6" t="n">
        <f aca="false">Sens!H8205</f>
        <v>149.785610014234</v>
      </c>
      <c r="I8226" s="6" t="n">
        <f aca="false">Sens!I8205</f>
        <v>187.368703083263</v>
      </c>
      <c r="J8226" s="6" t="n">
        <f aca="false">Sens!J8205</f>
        <v>213.886657444854</v>
      </c>
      <c r="K8226" s="6" t="n">
        <f aca="false">Sens!K8205</f>
        <v>231.253475259589</v>
      </c>
    </row>
    <row r="8227" customFormat="false" ht="17.15" hidden="false" customHeight="false" outlineLevel="0" collapsed="false">
      <c r="A8227" s="0" t="s">
        <v>875</v>
      </c>
      <c r="B8227" s="0" t="s">
        <v>98</v>
      </c>
      <c r="D8227" s="6" t="n">
        <f aca="false">Q!L6-Sens!D8226</f>
        <v>59.6740205577583</v>
      </c>
      <c r="E8227" s="6" t="n">
        <f aca="false">Q!M6-Sens!E8226</f>
        <v>74.1284935338591</v>
      </c>
      <c r="F8227" s="6" t="n">
        <f aca="false">Sens!E8227*(1+Sens!F8228)</f>
        <v>90.5741396942587</v>
      </c>
      <c r="G8227" s="6" t="n">
        <f aca="false">Sens!F8227*(1+Sens!G8228)</f>
        <v>108.823251828521</v>
      </c>
      <c r="H8227" s="6" t="n">
        <f aca="false">Sens!G8227*(1+Sens!H8228)</f>
        <v>128.532442249697</v>
      </c>
      <c r="I8227" s="6" t="n">
        <f aca="false">Sens!H8227*(1+Sens!I8228)</f>
        <v>149.192913382446</v>
      </c>
      <c r="J8227" s="6" t="n">
        <f aca="false">Sens!I8227*(1+Sens!J8228)</f>
        <v>170.135219187612</v>
      </c>
      <c r="K8227" s="6" t="n">
        <f aca="false">Sens!J8227*(1+Sens!K8228)</f>
        <v>190.551445490125</v>
      </c>
    </row>
    <row r="8228" customFormat="false" ht="15" hidden="false" customHeight="false" outlineLevel="0" collapsed="false">
      <c r="A8228" s="1" t="s">
        <v>876</v>
      </c>
      <c r="B8228" s="0" t="s">
        <v>129</v>
      </c>
      <c r="E8228" s="7" t="n">
        <f aca="false">Sens!E8227/Sens!D8227-1</f>
        <v>0.242223883039864</v>
      </c>
      <c r="F8228" s="7" t="n">
        <f aca="false">Sens!$E$8228+(glt_azo_hi-Sens!$E$8228)*MIN(1,(Sens!F8188-base_fy)/n_conv)</f>
        <v>0.221853235866554</v>
      </c>
      <c r="G8228" s="7" t="n">
        <f aca="false">Sens!$E$8228+(glt_azo_hi-Sens!$E$8228)*MIN(1,(Sens!G8188-base_fy)/n_conv)</f>
        <v>0.201482588693243</v>
      </c>
      <c r="H8228" s="7" t="n">
        <f aca="false">Sens!$E$8228+(glt_azo_hi-Sens!$E$8228)*MIN(1,(Sens!H8188-base_fy)/n_conv)</f>
        <v>0.181111941519932</v>
      </c>
      <c r="I8228" s="7" t="n">
        <f aca="false">Sens!$E$8228+(glt_azo_hi-Sens!$E$8228)*MIN(1,(Sens!I8188-base_fy)/n_conv)</f>
        <v>0.160741294346622</v>
      </c>
      <c r="J8228" s="7" t="n">
        <f aca="false">Sens!$E$8228+(glt_azo_hi-Sens!$E$8228)*MIN(1,(Sens!J8188-base_fy)/n_conv)</f>
        <v>0.140370647173311</v>
      </c>
      <c r="K8228" s="7" t="n">
        <f aca="false">Sens!$E$8228+(glt_azo_hi-Sens!$E$8228)*MIN(1,(Sens!K8188-base_fy)/n_conv)</f>
        <v>0.12</v>
      </c>
    </row>
    <row r="8229" customFormat="false" ht="15" hidden="false" customHeight="false" outlineLevel="0" collapsed="false">
      <c r="A8229" s="0" t="s">
        <v>877</v>
      </c>
      <c r="B8229" s="0" t="s">
        <v>98</v>
      </c>
      <c r="D8229" s="6" t="n">
        <f aca="false">Sens!D8226+Sens!D8227</f>
        <v>72.61</v>
      </c>
      <c r="E8229" s="6" t="n">
        <f aca="false">Sens!E8226+Sens!E8227</f>
        <v>101.938</v>
      </c>
      <c r="F8229" s="6" t="n">
        <f aca="false">Sens!F8226+Sens!F8227</f>
        <v>149.30655892476</v>
      </c>
      <c r="G8229" s="6" t="n">
        <f aca="false">Sens!G8226+Sens!G8227</f>
        <v>210.192340969674</v>
      </c>
      <c r="H8229" s="6" t="n">
        <f aca="false">Sens!H8226+Sens!H8227</f>
        <v>278.318052263931</v>
      </c>
      <c r="I8229" s="6" t="n">
        <f aca="false">Sens!I8226+Sens!I8227</f>
        <v>336.561616465709</v>
      </c>
      <c r="J8229" s="6" t="n">
        <f aca="false">Sens!J8226+Sens!J8227</f>
        <v>384.021876632466</v>
      </c>
      <c r="K8229" s="6" t="n">
        <f aca="false">Sens!K8226+Sens!K8227</f>
        <v>421.804920749715</v>
      </c>
    </row>
    <row r="8230" customFormat="false" ht="17.15" hidden="false" customHeight="false" outlineLevel="0" collapsed="false">
      <c r="A8230" s="0" t="s">
        <v>878</v>
      </c>
      <c r="B8230" s="1" t="s">
        <v>528</v>
      </c>
      <c r="C8230" s="29" t="n">
        <f aca="false">cop_s24</f>
        <v>1</v>
      </c>
      <c r="D8230" s="29" t="n">
        <f aca="false">cop_s25</f>
        <v>5</v>
      </c>
      <c r="E8230" s="29" t="n">
        <f aca="false">cop_s26</f>
        <v>30</v>
      </c>
      <c r="F8230" s="29" t="n">
        <f aca="false">Sens!E8230+cop_add_A</f>
        <v>60</v>
      </c>
      <c r="G8230" s="29" t="n">
        <f aca="false">Sens!F8230+cop_add_A</f>
        <v>90</v>
      </c>
      <c r="H8230" s="29" t="n">
        <f aca="false">Sens!G8230+cop_add_A</f>
        <v>120</v>
      </c>
      <c r="I8230" s="29" t="n">
        <f aca="false">Sens!H8230+cop_add_A*cop_tail</f>
        <v>135</v>
      </c>
      <c r="J8230" s="29" t="n">
        <f aca="false">Sens!I8230+cop_add_A*cop_tail</f>
        <v>150</v>
      </c>
      <c r="K8230" s="29" t="n">
        <f aca="false">Sens!J8230+cop_add_A*cop_tail</f>
        <v>165</v>
      </c>
      <c r="L8230" s="11" t="s">
        <v>879</v>
      </c>
    </row>
    <row r="8231" customFormat="false" ht="17.15" hidden="false" customHeight="false" outlineLevel="0" collapsed="false">
      <c r="A8231" s="0" t="s">
        <v>880</v>
      </c>
      <c r="B8231" s="0" t="s">
        <v>98</v>
      </c>
      <c r="D8231" s="6" t="n">
        <f aca="false">(Sens!C8230+Sens!D8230)/2*cop_px*12/1000</f>
        <v>0.9</v>
      </c>
      <c r="E8231" s="6" t="n">
        <f aca="false">(Sens!D8230+Sens!E8230)/2*cop_px*12/1000</f>
        <v>5.25</v>
      </c>
      <c r="F8231" s="6" t="n">
        <f aca="false">(Sens!E8230+Sens!F8230)/2*cop_px*12/1000</f>
        <v>13.5</v>
      </c>
      <c r="G8231" s="6" t="n">
        <f aca="false">(Sens!F8230+Sens!G8230)/2*cop_px*12/1000</f>
        <v>22.5</v>
      </c>
      <c r="H8231" s="6" t="n">
        <f aca="false">(Sens!G8230+Sens!H8230)/2*cop_px*12/1000</f>
        <v>31.5</v>
      </c>
      <c r="I8231" s="6" t="n">
        <f aca="false">(Sens!H8230+Sens!I8230)/2*cop_px*12/1000</f>
        <v>38.25</v>
      </c>
      <c r="J8231" s="6" t="n">
        <f aca="false">(Sens!I8230+Sens!J8230)/2*cop_px*12/1000</f>
        <v>42.75</v>
      </c>
      <c r="K8231" s="6" t="n">
        <f aca="false">(Sens!J8230+Sens!K8230)/2*cop_px*12/1000</f>
        <v>47.25</v>
      </c>
      <c r="L8231" s="1" t="s">
        <v>881</v>
      </c>
    </row>
    <row r="8232" customFormat="false" ht="17.15" hidden="false" customHeight="false" outlineLevel="0" collapsed="false">
      <c r="A8232" s="0" t="s">
        <v>882</v>
      </c>
      <c r="B8232" s="0" t="s">
        <v>98</v>
      </c>
      <c r="D8232" s="6" t="n">
        <f aca="false">Q!L7-Sens!D8231</f>
        <v>83.705</v>
      </c>
      <c r="E8232" s="6" t="n">
        <f aca="false">Q!M7-Sens!E8231</f>
        <v>95.049</v>
      </c>
      <c r="F8232" s="6" t="n">
        <f aca="false">Sens!E8232*(1+Sens!F8233)</f>
        <v>106.89238776686</v>
      </c>
      <c r="G8232" s="6" t="n">
        <f aca="false">Sens!F8232*(1+Sens!G8233)</f>
        <v>119.044168448684</v>
      </c>
      <c r="H8232" s="6" t="n">
        <f aca="false">Sens!G8232*(1+Sens!H8233)</f>
        <v>131.277359388781</v>
      </c>
      <c r="I8232" s="6" t="n">
        <f aca="false">Sens!H8232*(1+Sens!I8233)</f>
        <v>143.334028071957</v>
      </c>
      <c r="J8232" s="6" t="n">
        <f aca="false">Sens!I8232*(1+Sens!J8233)</f>
        <v>154.932702785465</v>
      </c>
      <c r="K8232" s="6" t="n">
        <f aca="false">Sens!J8232*(1+Sens!K8233)</f>
        <v>165.777991980448</v>
      </c>
    </row>
    <row r="8233" customFormat="false" ht="15" hidden="false" customHeight="false" outlineLevel="0" collapsed="false">
      <c r="A8233" s="1" t="s">
        <v>876</v>
      </c>
      <c r="B8233" s="0" t="s">
        <v>129</v>
      </c>
      <c r="E8233" s="7" t="n">
        <f aca="false">Sens!E8232/Sens!D8232-1</f>
        <v>0.135523564900544</v>
      </c>
      <c r="F8233" s="7" t="n">
        <f aca="false">Sens!$E$8233+(glt_m365b-Sens!$E$8233)*MIN(1,(Sens!F8188-base_fy)/n_conv)</f>
        <v>0.124602970750453</v>
      </c>
      <c r="G8233" s="7" t="n">
        <f aca="false">Sens!$E$8233+(glt_m365b-Sens!$E$8233)*MIN(1,(Sens!G8188-base_fy)/n_conv)</f>
        <v>0.113682376600363</v>
      </c>
      <c r="H8233" s="7" t="n">
        <f aca="false">Sens!$E$8233+(glt_m365b-Sens!$E$8233)*MIN(1,(Sens!H8188-base_fy)/n_conv)</f>
        <v>0.102761782450272</v>
      </c>
      <c r="I8233" s="7" t="n">
        <f aca="false">Sens!$E$8233+(glt_m365b-Sens!$E$8233)*MIN(1,(Sens!I8188-base_fy)/n_conv)</f>
        <v>0.0918411883001813</v>
      </c>
      <c r="J8233" s="7" t="n">
        <f aca="false">Sens!$E$8233+(glt_m365b-Sens!$E$8233)*MIN(1,(Sens!J8188-base_fy)/n_conv)</f>
        <v>0.0809205941500906</v>
      </c>
      <c r="K8233" s="7" t="n">
        <f aca="false">Sens!$E$8233+(glt_m365b-Sens!$E$8233)*MIN(1,(Sens!K8188-base_fy)/n_conv)</f>
        <v>0.07</v>
      </c>
    </row>
    <row r="8234" customFormat="false" ht="15" hidden="false" customHeight="false" outlineLevel="0" collapsed="false">
      <c r="A8234" s="0" t="s">
        <v>883</v>
      </c>
      <c r="B8234" s="0" t="s">
        <v>98</v>
      </c>
      <c r="D8234" s="6" t="n">
        <f aca="false">Sens!D8232+Sens!D8231</f>
        <v>84.605</v>
      </c>
      <c r="E8234" s="6" t="n">
        <f aca="false">Sens!E8232+Sens!E8231</f>
        <v>100.299</v>
      </c>
      <c r="F8234" s="6" t="n">
        <f aca="false">Sens!F8232+Sens!F8231</f>
        <v>120.39238776686</v>
      </c>
      <c r="G8234" s="6" t="n">
        <f aca="false">Sens!G8232+Sens!G8231</f>
        <v>141.544168448684</v>
      </c>
      <c r="H8234" s="6" t="n">
        <f aca="false">Sens!H8232+Sens!H8231</f>
        <v>162.777359388781</v>
      </c>
      <c r="I8234" s="6" t="n">
        <f aca="false">Sens!I8232+Sens!I8231</f>
        <v>181.584028071957</v>
      </c>
      <c r="J8234" s="6" t="n">
        <f aca="false">Sens!J8232+Sens!J8231</f>
        <v>197.682702785465</v>
      </c>
      <c r="K8234" s="6" t="n">
        <f aca="false">Sens!K8232+Sens!K8231</f>
        <v>213.027991980448</v>
      </c>
    </row>
    <row r="8235" customFormat="false" ht="15" hidden="false" customHeight="false" outlineLevel="0" collapsed="false">
      <c r="A8235" s="0" t="s">
        <v>884</v>
      </c>
      <c r="B8235" s="0" t="s">
        <v>98</v>
      </c>
      <c r="D8235" s="6" t="n">
        <f aca="false">Q!L8</f>
        <v>35.391</v>
      </c>
      <c r="E8235" s="6" t="n">
        <f aca="false">Q!M8</f>
        <v>37.285</v>
      </c>
      <c r="F8235" s="6" t="n">
        <f aca="false">Sens!E8235*(1+Sens!F8236)</f>
        <v>39.0720834331704</v>
      </c>
      <c r="G8235" s="6" t="n">
        <f aca="false">Sens!F8235*(1+Sens!G8236)</f>
        <v>40.726562953769</v>
      </c>
      <c r="H8235" s="6" t="n">
        <f aca="false">Sens!G8235*(1+Sens!H8236)</f>
        <v>42.2235987259198</v>
      </c>
      <c r="I8235" s="6" t="n">
        <f aca="false">Sens!H8235*(1+Sens!I8236)</f>
        <v>43.5397988077414</v>
      </c>
      <c r="J8235" s="6" t="n">
        <f aca="false">Sens!I8235*(1+Sens!J8236)</f>
        <v>44.653811225693</v>
      </c>
      <c r="K8235" s="6" t="n">
        <f aca="false">Sens!J8235*(1+Sens!K8236)</f>
        <v>45.5468874502068</v>
      </c>
    </row>
    <row r="8236" customFormat="false" ht="15" hidden="false" customHeight="false" outlineLevel="0" collapsed="false">
      <c r="A8236" s="1" t="s">
        <v>876</v>
      </c>
      <c r="B8236" s="0" t="s">
        <v>129</v>
      </c>
      <c r="E8236" s="7" t="n">
        <f aca="false">Sens!E8235/Sens!D8235-1</f>
        <v>0.0535164307309768</v>
      </c>
      <c r="F8236" s="7" t="n">
        <f aca="false">Sens!$E$8236+(glt_lic-Sens!$E$8236)*MIN(1,(Sens!F8188-base_fy)/n_conv)</f>
        <v>0.0479303589424807</v>
      </c>
      <c r="G8236" s="7" t="n">
        <f aca="false">Sens!$E$8236+(glt_lic-Sens!$E$8236)*MIN(1,(Sens!G8188-base_fy)/n_conv)</f>
        <v>0.0423442871539845</v>
      </c>
      <c r="H8236" s="7" t="n">
        <f aca="false">Sens!$E$8236+(glt_lic-Sens!$E$8236)*MIN(1,(Sens!H8188-base_fy)/n_conv)</f>
        <v>0.0367582153654884</v>
      </c>
      <c r="I8236" s="7" t="n">
        <f aca="false">Sens!$E$8236+(glt_lic-Sens!$E$8236)*MIN(1,(Sens!I8188-base_fy)/n_conv)</f>
        <v>0.0311721435769923</v>
      </c>
      <c r="J8236" s="7" t="n">
        <f aca="false">Sens!$E$8236+(glt_lic-Sens!$E$8236)*MIN(1,(Sens!J8188-base_fy)/n_conv)</f>
        <v>0.0255860717884961</v>
      </c>
      <c r="K8236" s="7" t="n">
        <f aca="false">Sens!$E$8236+(glt_lic-Sens!$E$8236)*MIN(1,(Sens!K8188-base_fy)/n_conv)</f>
        <v>0.02</v>
      </c>
    </row>
    <row r="8237" customFormat="false" ht="15" hidden="false" customHeight="false" outlineLevel="0" collapsed="false">
      <c r="A8237" s="0" t="s">
        <v>885</v>
      </c>
      <c r="B8237" s="0" t="s">
        <v>98</v>
      </c>
      <c r="D8237" s="6" t="n">
        <f aca="false">Q!L9</f>
        <v>18.417</v>
      </c>
      <c r="E8237" s="6" t="n">
        <f aca="false">Q!M9</f>
        <v>20.345</v>
      </c>
      <c r="F8237" s="6" t="n">
        <f aca="false">Sens!E8237*(1+Sens!F8238)</f>
        <v>22.3572203267814</v>
      </c>
      <c r="G8237" s="6" t="n">
        <f aca="false">Sens!F8237*(1+Sens!G8238)</f>
        <v>24.4392124437232</v>
      </c>
      <c r="H8237" s="6" t="n">
        <f aca="false">Sens!G8237*(1+Sens!H8238)</f>
        <v>26.5738052080665</v>
      </c>
      <c r="I8237" s="6" t="n">
        <f aca="false">Sens!H8237*(1+Sens!I8238)</f>
        <v>28.7412169166967</v>
      </c>
      <c r="J8237" s="6" t="n">
        <f aca="false">Sens!I8237*(1+Sens!J8238)</f>
        <v>30.9192545395413</v>
      </c>
      <c r="K8237" s="6" t="n">
        <f aca="false">Sens!J8237*(1+Sens!K8238)</f>
        <v>33.0836023573092</v>
      </c>
    </row>
    <row r="8238" customFormat="false" ht="15" hidden="false" customHeight="false" outlineLevel="0" collapsed="false">
      <c r="A8238" s="1" t="s">
        <v>876</v>
      </c>
      <c r="B8238" s="0" t="s">
        <v>129</v>
      </c>
      <c r="E8238" s="7" t="n">
        <f aca="false">Sens!E8237/Sens!D8237-1</f>
        <v>0.104685888038225</v>
      </c>
      <c r="F8238" s="7" t="n">
        <f aca="false">Sens!$E$8238+(glt_ind-Sens!$E$8238)*MIN(1,(Sens!F8188-base_fy)/n_conv)</f>
        <v>0.0989049066985211</v>
      </c>
      <c r="G8238" s="7" t="n">
        <f aca="false">Sens!$E$8238+(glt_ind-Sens!$E$8238)*MIN(1,(Sens!G8188-base_fy)/n_conv)</f>
        <v>0.0931239253588169</v>
      </c>
      <c r="H8238" s="7" t="n">
        <f aca="false">Sens!$E$8238+(glt_ind-Sens!$E$8238)*MIN(1,(Sens!H8188-base_fy)/n_conv)</f>
        <v>0.0873429440191127</v>
      </c>
      <c r="I8238" s="7" t="n">
        <f aca="false">Sens!$E$8238+(glt_ind-Sens!$E$8238)*MIN(1,(Sens!I8188-base_fy)/n_conv)</f>
        <v>0.0815619626794085</v>
      </c>
      <c r="J8238" s="7" t="n">
        <f aca="false">Sens!$E$8238+(glt_ind-Sens!$E$8238)*MIN(1,(Sens!J8188-base_fy)/n_conv)</f>
        <v>0.0757809813397042</v>
      </c>
      <c r="K8238" s="7" t="n">
        <f aca="false">Sens!$E$8238+(glt_ind-Sens!$E$8238)*MIN(1,(Sens!K8188-base_fy)/n_conv)</f>
        <v>0.07</v>
      </c>
    </row>
    <row r="8239" customFormat="false" ht="15" hidden="false" customHeight="false" outlineLevel="0" collapsed="false">
      <c r="A8239" s="0" t="s">
        <v>886</v>
      </c>
      <c r="B8239" s="0" t="s">
        <v>98</v>
      </c>
      <c r="D8239" s="6" t="n">
        <f aca="false">Q!L10</f>
        <v>7.76</v>
      </c>
      <c r="E8239" s="6" t="n">
        <f aca="false">Q!M10</f>
        <v>8.26</v>
      </c>
      <c r="F8239" s="6" t="n">
        <f aca="false">Sens!E8239*(1+Sens!F8240)</f>
        <v>8.79988041237113</v>
      </c>
      <c r="G8239" s="6" t="n">
        <f aca="false">Sens!F8239*(1+Sens!G8240)</f>
        <v>9.38321269125306</v>
      </c>
      <c r="H8239" s="6" t="n">
        <f aca="false">Sens!G8239*(1+Sens!H8240)</f>
        <v>10.0139193587476</v>
      </c>
      <c r="I8239" s="6" t="n">
        <f aca="false">Sens!H8239*(1+Sens!I8240)</f>
        <v>10.6963111830911</v>
      </c>
      <c r="J8239" s="6" t="n">
        <f aca="false">Sens!I8239*(1+Sens!J8240)</f>
        <v>11.4351285534696</v>
      </c>
      <c r="K8239" s="6" t="n">
        <f aca="false">Sens!J8239*(1+Sens!K8240)</f>
        <v>12.2355875522124</v>
      </c>
    </row>
    <row r="8240" customFormat="false" ht="15" hidden="false" customHeight="false" outlineLevel="0" collapsed="false">
      <c r="A8240" s="1" t="s">
        <v>876</v>
      </c>
      <c r="B8240" s="0" t="s">
        <v>129</v>
      </c>
      <c r="E8240" s="7" t="n">
        <f aca="false">Sens!E8239/Sens!D8239-1</f>
        <v>0.0644329896907216</v>
      </c>
      <c r="F8240" s="7" t="n">
        <f aca="false">Sens!$E$8240+(glt_fro-Sens!$E$8240)*MIN(1,(Sens!F8188-base_fy)/n_conv)</f>
        <v>0.065360824742268</v>
      </c>
      <c r="G8240" s="7" t="n">
        <f aca="false">Sens!$E$8240+(glt_fro-Sens!$E$8240)*MIN(1,(Sens!G8188-base_fy)/n_conv)</f>
        <v>0.0662886597938144</v>
      </c>
      <c r="H8240" s="7" t="n">
        <f aca="false">Sens!$E$8240+(glt_fro-Sens!$E$8240)*MIN(1,(Sens!H8188-base_fy)/n_conv)</f>
        <v>0.0672164948453608</v>
      </c>
      <c r="I8240" s="7" t="n">
        <f aca="false">Sens!$E$8240+(glt_fro-Sens!$E$8240)*MIN(1,(Sens!I8188-base_fy)/n_conv)</f>
        <v>0.0681443298969072</v>
      </c>
      <c r="J8240" s="7" t="n">
        <f aca="false">Sens!$E$8240+(glt_fro-Sens!$E$8240)*MIN(1,(Sens!J8188-base_fy)/n_conv)</f>
        <v>0.0690721649484536</v>
      </c>
      <c r="K8240" s="7" t="n">
        <f aca="false">Sens!$E$8240+(glt_fro-Sens!$E$8240)*MIN(1,(Sens!K8188-base_fy)/n_conv)</f>
        <v>0.07</v>
      </c>
    </row>
    <row r="8241" customFormat="false" ht="15" hidden="false" customHeight="false" outlineLevel="0" collapsed="false">
      <c r="A8241" s="0" t="s">
        <v>715</v>
      </c>
      <c r="B8241" s="0" t="s">
        <v>98</v>
      </c>
      <c r="D8241" s="6" t="n">
        <f aca="false">Sens!D8229+Sens!D8234+Sens!D8235+Sens!D8237+Sens!D8239</f>
        <v>218.783</v>
      </c>
      <c r="E8241" s="6" t="n">
        <f aca="false">Sens!E8229+Sens!E8234+Sens!E8235+Sens!E8237+Sens!E8239</f>
        <v>268.127</v>
      </c>
      <c r="F8241" s="6" t="n">
        <f aca="false">Sens!F8229+Sens!F8234+Sens!F8235+Sens!F8237+Sens!F8239</f>
        <v>339.928130863943</v>
      </c>
      <c r="G8241" s="6" t="n">
        <f aca="false">Sens!G8229+Sens!G8234+Sens!G8235+Sens!G8237+Sens!G8239</f>
        <v>426.285497507103</v>
      </c>
      <c r="H8241" s="6" t="n">
        <f aca="false">Sens!H8229+Sens!H8234+Sens!H8235+Sens!H8237+Sens!H8239</f>
        <v>519.906734945446</v>
      </c>
      <c r="I8241" s="6" t="n">
        <f aca="false">Sens!I8229+Sens!I8234+Sens!I8235+Sens!I8237+Sens!I8239</f>
        <v>601.122971445195</v>
      </c>
      <c r="J8241" s="6" t="n">
        <f aca="false">Sens!J8229+Sens!J8234+Sens!J8235+Sens!J8237+Sens!J8239</f>
        <v>668.712773736635</v>
      </c>
      <c r="K8241" s="6" t="n">
        <f aca="false">Sens!K8229+Sens!K8234+Sens!K8235+Sens!K8237+Sens!K8239</f>
        <v>725.698990089891</v>
      </c>
    </row>
    <row r="8242" customFormat="false" ht="15" hidden="false" customHeight="false" outlineLevel="0" collapsed="false">
      <c r="A8242" s="0" t="s">
        <v>887</v>
      </c>
      <c r="B8242" s="0" t="s">
        <v>98</v>
      </c>
      <c r="D8242" s="6" t="n">
        <f aca="false">Q!L13</f>
        <v>22.171</v>
      </c>
      <c r="E8242" s="6" t="n">
        <f aca="false">Q!M13</f>
        <v>24.835</v>
      </c>
      <c r="F8242" s="6" t="n">
        <f aca="false">Sens!E8242*(1+Sens!F8243)</f>
        <v>27.6114901218559</v>
      </c>
      <c r="G8242" s="6" t="n">
        <f aca="false">Sens!F8242*(1+Sens!G8243)</f>
        <v>30.4675667338515</v>
      </c>
      <c r="H8242" s="6" t="n">
        <f aca="false">Sens!G8242*(1+Sens!H8243)</f>
        <v>33.3643766955789</v>
      </c>
      <c r="I8242" s="6" t="n">
        <f aca="false">Sens!H8242*(1+Sens!I8243)</f>
        <v>36.2577016533691</v>
      </c>
      <c r="J8242" s="6" t="n">
        <f aca="false">Sens!I8242*(1+Sens!J8243)</f>
        <v>39.0988367952171</v>
      </c>
      <c r="K8242" s="6" t="n">
        <f aca="false">Sens!J8242*(1+Sens!K8243)</f>
        <v>41.8357553708823</v>
      </c>
    </row>
    <row r="8243" customFormat="false" ht="15" hidden="false" customHeight="false" outlineLevel="0" collapsed="false">
      <c r="A8243" s="1" t="s">
        <v>876</v>
      </c>
      <c r="B8243" s="0" t="s">
        <v>129</v>
      </c>
      <c r="E8243" s="7" t="n">
        <f aca="false">Sens!E8242/Sens!D8242-1</f>
        <v>0.120156961796942</v>
      </c>
      <c r="F8243" s="7" t="n">
        <f aca="false">Sens!$E$8243+(glt_srch-Sens!$E$8243)*MIN(1,(Sens!F8188-base_fy)/n_conv)</f>
        <v>0.111797468164118</v>
      </c>
      <c r="G8243" s="7" t="n">
        <f aca="false">Sens!$E$8243+(glt_srch-Sens!$E$8243)*MIN(1,(Sens!G8188-base_fy)/n_conv)</f>
        <v>0.103437974531295</v>
      </c>
      <c r="H8243" s="7" t="n">
        <f aca="false">Sens!$E$8243+(glt_srch-Sens!$E$8243)*MIN(1,(Sens!H8188-base_fy)/n_conv)</f>
        <v>0.095078480898471</v>
      </c>
      <c r="I8243" s="7" t="n">
        <f aca="false">Sens!$E$8243+(glt_srch-Sens!$E$8243)*MIN(1,(Sens!I8188-base_fy)/n_conv)</f>
        <v>0.0867189872656474</v>
      </c>
      <c r="J8243" s="7" t="n">
        <f aca="false">Sens!$E$8243+(glt_srch-Sens!$E$8243)*MIN(1,(Sens!J8188-base_fy)/n_conv)</f>
        <v>0.0783594936328237</v>
      </c>
      <c r="K8243" s="7" t="n">
        <f aca="false">Sens!$E$8243+(glt_srch-Sens!$E$8243)*MIN(1,(Sens!K8188-base_fy)/n_conv)</f>
        <v>0.07</v>
      </c>
    </row>
    <row r="8244" customFormat="false" ht="15" hidden="false" customHeight="false" outlineLevel="0" collapsed="false">
      <c r="A8244" s="0" t="s">
        <v>888</v>
      </c>
      <c r="B8244" s="0" t="s">
        <v>98</v>
      </c>
      <c r="D8244" s="6" t="n">
        <f aca="false">Q!L14</f>
        <v>23.455</v>
      </c>
      <c r="E8244" s="6" t="n">
        <f aca="false">Q!M14</f>
        <v>21.79</v>
      </c>
      <c r="F8244" s="6" t="n">
        <f aca="false">Sens!E8244*(1+Sens!F8245)</f>
        <v>20.5736277908051</v>
      </c>
      <c r="G8244" s="6" t="n">
        <f aca="false">Sens!F8244*(1+Sens!G8245)</f>
        <v>19.7371452817919</v>
      </c>
      <c r="H8244" s="6" t="n">
        <f aca="false">Sens!G8244*(1+Sens!H8245)</f>
        <v>19.2339764043138</v>
      </c>
      <c r="I8244" s="6" t="n">
        <f aca="false">Sens!H8244*(1+Sens!I8245)</f>
        <v>19.0353086852681</v>
      </c>
      <c r="J8244" s="6" t="n">
        <f aca="false">Sens!I8244*(1+Sens!J8245)</f>
        <v>19.1273539319129</v>
      </c>
      <c r="K8244" s="6" t="n">
        <f aca="false">Sens!J8244*(1+Sens!K8245)</f>
        <v>19.5099010105511</v>
      </c>
    </row>
    <row r="8245" customFormat="false" ht="15" hidden="false" customHeight="false" outlineLevel="0" collapsed="false">
      <c r="A8245" s="1" t="s">
        <v>876</v>
      </c>
      <c r="B8245" s="0" t="s">
        <v>129</v>
      </c>
      <c r="E8245" s="7" t="n">
        <f aca="false">Sens!E8244/Sens!D8244-1</f>
        <v>-0.0709869963760392</v>
      </c>
      <c r="F8245" s="7" t="n">
        <f aca="false">Sens!$E$8245+(glt_xbox-Sens!$E$8245)*MIN(1,(Sens!F8188-base_fy)/n_conv)</f>
        <v>-0.0558224969800327</v>
      </c>
      <c r="G8245" s="7" t="n">
        <f aca="false">Sens!$E$8245+(glt_xbox-Sens!$E$8245)*MIN(1,(Sens!G8188-base_fy)/n_conv)</f>
        <v>-0.0406579975840262</v>
      </c>
      <c r="H8245" s="7" t="n">
        <f aca="false">Sens!$E$8245+(glt_xbox-Sens!$E$8245)*MIN(1,(Sens!H8188-base_fy)/n_conv)</f>
        <v>-0.0254934981880196</v>
      </c>
      <c r="I8245" s="7" t="n">
        <f aca="false">Sens!$E$8245+(glt_xbox-Sens!$E$8245)*MIN(1,(Sens!I8188-base_fy)/n_conv)</f>
        <v>-0.0103289987920131</v>
      </c>
      <c r="J8245" s="7" t="n">
        <f aca="false">Sens!$E$8245+(glt_xbox-Sens!$E$8245)*MIN(1,(Sens!J8188-base_fy)/n_conv)</f>
        <v>0.00483550060399347</v>
      </c>
      <c r="K8245" s="7" t="n">
        <f aca="false">Sens!$E$8245+(glt_xbox-Sens!$E$8245)*MIN(1,(Sens!K8188-base_fy)/n_conv)</f>
        <v>0.02</v>
      </c>
    </row>
    <row r="8246" customFormat="false" ht="15" hidden="false" customHeight="false" outlineLevel="0" collapsed="false">
      <c r="A8246" s="0" t="s">
        <v>889</v>
      </c>
      <c r="B8246" s="0" t="s">
        <v>98</v>
      </c>
      <c r="D8246" s="6" t="n">
        <f aca="false">Q!L15</f>
        <v>17.315</v>
      </c>
      <c r="E8246" s="6" t="n">
        <f aca="false">Q!M15</f>
        <v>17.087</v>
      </c>
      <c r="F8246" s="6" t="n">
        <f aca="false">Sens!E8246*(1+Sens!F8247)</f>
        <v>16.9564585436519</v>
      </c>
      <c r="G8246" s="6" t="n">
        <f aca="false">Sens!F8246*(1+Sens!G8247)</f>
        <v>16.9206490624268</v>
      </c>
      <c r="H8246" s="6" t="n">
        <f aca="false">Sens!G8246*(1+Sens!H8247)</f>
        <v>16.9784519149849</v>
      </c>
      <c r="I8246" s="6" t="n">
        <f aca="false">Sens!H8246*(1+Sens!I8247)</f>
        <v>17.1303084701817</v>
      </c>
      <c r="J8246" s="6" t="n">
        <f aca="false">Sens!I8246*(1+Sens!J8247)</f>
        <v>17.3782189407267</v>
      </c>
      <c r="K8246" s="6" t="n">
        <f aca="false">Sens!J8246*(1+Sens!K8247)</f>
        <v>17.7257833195413</v>
      </c>
    </row>
    <row r="8247" customFormat="false" ht="15" hidden="false" customHeight="false" outlineLevel="0" collapsed="false">
      <c r="A8247" s="1" t="s">
        <v>876</v>
      </c>
      <c r="B8247" s="0" t="s">
        <v>129</v>
      </c>
      <c r="E8247" s="7" t="n">
        <f aca="false">Sens!E8246/Sens!D8246-1</f>
        <v>-0.0131677736066995</v>
      </c>
      <c r="F8247" s="7" t="n">
        <f aca="false">Sens!$E$8247+(glt_win-Sens!$E$8247)*MIN(1,(Sens!F8188-base_fy)/n_conv)</f>
        <v>-0.00763981133891627</v>
      </c>
      <c r="G8247" s="7" t="n">
        <f aca="false">Sens!$E$8247+(glt_win-Sens!$E$8247)*MIN(1,(Sens!G8188-base_fy)/n_conv)</f>
        <v>-0.00211184907113301</v>
      </c>
      <c r="H8247" s="7" t="n">
        <f aca="false">Sens!$E$8247+(glt_win-Sens!$E$8247)*MIN(1,(Sens!H8188-base_fy)/n_conv)</f>
        <v>0.00341611319665024</v>
      </c>
      <c r="I8247" s="7" t="n">
        <f aca="false">Sens!$E$8247+(glt_win-Sens!$E$8247)*MIN(1,(Sens!I8188-base_fy)/n_conv)</f>
        <v>0.00894407546443349</v>
      </c>
      <c r="J8247" s="7" t="n">
        <f aca="false">Sens!$E$8247+(glt_win-Sens!$E$8247)*MIN(1,(Sens!J8188-base_fy)/n_conv)</f>
        <v>0.0144720377322168</v>
      </c>
      <c r="K8247" s="7" t="n">
        <f aca="false">Sens!$E$8247+(glt_win-Sens!$E$8247)*MIN(1,(Sens!K8188-base_fy)/n_conv)</f>
        <v>0.02</v>
      </c>
    </row>
    <row r="8248" customFormat="false" ht="15" hidden="false" customHeight="false" outlineLevel="0" collapsed="false">
      <c r="A8248" s="0" t="s">
        <v>729</v>
      </c>
      <c r="B8248" s="0" t="s">
        <v>98</v>
      </c>
      <c r="D8248" s="6" t="n">
        <f aca="false">Sens!D8242+Sens!D8244+Sens!D8246</f>
        <v>62.941</v>
      </c>
      <c r="E8248" s="6" t="n">
        <f aca="false">Sens!E8242+Sens!E8244+Sens!E8246</f>
        <v>63.712</v>
      </c>
      <c r="F8248" s="6" t="n">
        <f aca="false">Sens!F8242+Sens!F8244+Sens!F8246</f>
        <v>65.1415764563129</v>
      </c>
      <c r="G8248" s="6" t="n">
        <f aca="false">Sens!G8242+Sens!G8244+Sens!G8246</f>
        <v>67.1253610780702</v>
      </c>
      <c r="H8248" s="6" t="n">
        <f aca="false">Sens!H8242+Sens!H8244+Sens!H8246</f>
        <v>69.5768050148776</v>
      </c>
      <c r="I8248" s="6" t="n">
        <f aca="false">Sens!I8242+Sens!I8244+Sens!I8246</f>
        <v>72.4233188088189</v>
      </c>
      <c r="J8248" s="6" t="n">
        <f aca="false">Sens!J8242+Sens!J8244+Sens!J8246</f>
        <v>75.6044096678567</v>
      </c>
      <c r="K8248" s="6" t="n">
        <f aca="false">Sens!K8242+Sens!K8244+Sens!K8246</f>
        <v>79.0714397009747</v>
      </c>
    </row>
    <row r="8249" customFormat="false" ht="15" hidden="false" customHeight="false" outlineLevel="0" collapsed="false">
      <c r="A8249" s="1" t="s">
        <v>890</v>
      </c>
      <c r="B8249" s="0" t="s">
        <v>98</v>
      </c>
      <c r="D8249" s="6" t="n">
        <f aca="false">Sens!D8241+Sens!D8248</f>
        <v>281.724</v>
      </c>
      <c r="E8249" s="6" t="n">
        <f aca="false">Sens!E8241+Sens!E8248</f>
        <v>331.839</v>
      </c>
      <c r="F8249" s="6" t="n">
        <f aca="false">Sens!F8241+Sens!F8248</f>
        <v>405.069707320256</v>
      </c>
      <c r="G8249" s="6" t="n">
        <f aca="false">Sens!G8241+Sens!G8248</f>
        <v>493.410858585174</v>
      </c>
      <c r="H8249" s="6" t="n">
        <f aca="false">Sens!H8241+Sens!H8248</f>
        <v>589.483539960324</v>
      </c>
      <c r="I8249" s="6" t="n">
        <f aca="false">Sens!I8241+Sens!I8248</f>
        <v>673.546290254014</v>
      </c>
      <c r="J8249" s="6" t="n">
        <f aca="false">Sens!J8241+Sens!J8248</f>
        <v>744.317183404492</v>
      </c>
      <c r="K8249" s="6" t="n">
        <f aca="false">Sens!K8241+Sens!K8248</f>
        <v>804.770429790866</v>
      </c>
    </row>
    <row r="8250" customFormat="false" ht="15" hidden="false" customHeight="false" outlineLevel="0" collapsed="false">
      <c r="A8250" s="23" t="s">
        <v>891</v>
      </c>
      <c r="B8250" s="30" t="s">
        <v>98</v>
      </c>
      <c r="C8250" s="30"/>
      <c r="D8250" s="24" t="n">
        <f aca="false">(Sens!D8229+Sens!D8234+Sens!D8235+Sens!D8237+Sens!D8239-Sens!D8241)+(Sens!D8242+Sens!D8244+Sens!D8246-Sens!D8248)+(Sens!D8241-Q!L5)+(Sens!D8248-Q!L12)+(Sens!D8229-Q!L6)+(Sens!D8234-Q!L7)</f>
        <v>0</v>
      </c>
      <c r="E8250" s="24" t="n">
        <f aca="false">(Sens!E8229+Sens!E8234+Sens!E8235+Sens!E8237+Sens!E8239-Sens!E8241)+(Sens!E8242+Sens!E8244+Sens!E8246-Sens!E8248)+(Sens!E8241-Q!M5)+(Sens!E8248-Q!M12)+(Sens!E8229-Q!M6)+(Sens!E8234-Q!M7)</f>
        <v>0</v>
      </c>
      <c r="F8250" s="24" t="n">
        <f aca="false">(Sens!F8229+Sens!F8234+Sens!F8235+Sens!F8237+Sens!F8239-Sens!F8241)+(Sens!F8242+Sens!F8244+Sens!F8246-Sens!F8248)</f>
        <v>0</v>
      </c>
      <c r="G8250" s="24" t="n">
        <f aca="false">(Sens!G8229+Sens!G8234+Sens!G8235+Sens!G8237+Sens!G8239-Sens!G8241)+(Sens!G8242+Sens!G8244+Sens!G8246-Sens!G8248)</f>
        <v>0</v>
      </c>
      <c r="H8250" s="24" t="n">
        <f aca="false">(Sens!H8229+Sens!H8234+Sens!H8235+Sens!H8237+Sens!H8239-Sens!H8241)+(Sens!H8242+Sens!H8244+Sens!H8246-Sens!H8248)</f>
        <v>0</v>
      </c>
      <c r="I8250" s="24" t="n">
        <f aca="false">(Sens!I8229+Sens!I8234+Sens!I8235+Sens!I8237+Sens!I8239-Sens!I8241)+(Sens!I8242+Sens!I8244+Sens!I8246-Sens!I8248)</f>
        <v>0</v>
      </c>
      <c r="J8250" s="24" t="n">
        <f aca="false">(Sens!J8229+Sens!J8234+Sens!J8235+Sens!J8237+Sens!J8239-Sens!J8241)+(Sens!J8242+Sens!J8244+Sens!J8246-Sens!J8248)</f>
        <v>0</v>
      </c>
      <c r="K8250" s="24" t="n">
        <f aca="false">(Sens!K8229+Sens!K8234+Sens!K8235+Sens!K8237+Sens!K8239-Sens!K8241)+(Sens!K8242+Sens!K8244+Sens!K8246-Sens!K8248)</f>
        <v>0</v>
      </c>
    </row>
    <row r="8251" customFormat="false" ht="17.15" hidden="false" customHeight="false" outlineLevel="0" collapsed="false">
      <c r="A8251" s="3" t="s">
        <v>1474</v>
      </c>
    </row>
    <row r="8252" customFormat="false" ht="15" hidden="false" customHeight="false" outlineLevel="0" collapsed="false">
      <c r="A8252" s="4" t="s">
        <v>43</v>
      </c>
      <c r="B8252" s="4" t="s">
        <v>65</v>
      </c>
      <c r="C8252" s="20" t="s">
        <v>799</v>
      </c>
      <c r="D8252" s="20" t="s">
        <v>800</v>
      </c>
      <c r="E8252" s="20" t="s">
        <v>801</v>
      </c>
      <c r="F8252" s="20" t="s">
        <v>802</v>
      </c>
      <c r="G8252" s="20" t="s">
        <v>803</v>
      </c>
      <c r="H8252" s="20" t="s">
        <v>804</v>
      </c>
      <c r="I8252" s="20" t="s">
        <v>805</v>
      </c>
      <c r="J8252" s="20" t="s">
        <v>806</v>
      </c>
      <c r="K8252" s="20" t="s">
        <v>807</v>
      </c>
      <c r="L8252" s="4" t="s">
        <v>47</v>
      </c>
    </row>
    <row r="8253" customFormat="false" ht="15" hidden="false" customHeight="false" outlineLevel="0" collapsed="false">
      <c r="A8253" s="0" t="s">
        <v>877</v>
      </c>
      <c r="B8253" s="0" t="s">
        <v>98</v>
      </c>
      <c r="D8253" s="6" t="n">
        <f aca="false">Sens!D8229</f>
        <v>72.61</v>
      </c>
      <c r="E8253" s="6" t="n">
        <f aca="false">Sens!E8229</f>
        <v>101.938</v>
      </c>
      <c r="F8253" s="6" t="n">
        <f aca="false">Sens!F8229</f>
        <v>149.30655892476</v>
      </c>
      <c r="G8253" s="6" t="n">
        <f aca="false">Sens!G8229</f>
        <v>210.192340969674</v>
      </c>
      <c r="H8253" s="6" t="n">
        <f aca="false">Sens!H8229</f>
        <v>278.318052263931</v>
      </c>
      <c r="I8253" s="6" t="n">
        <f aca="false">Sens!I8229</f>
        <v>336.561616465709</v>
      </c>
      <c r="J8253" s="6" t="n">
        <f aca="false">Sens!J8229</f>
        <v>384.021876632466</v>
      </c>
      <c r="K8253" s="6" t="n">
        <f aca="false">Sens!K8229</f>
        <v>421.804920749715</v>
      </c>
    </row>
    <row r="8254" customFormat="false" ht="17.15" hidden="false" customHeight="false" outlineLevel="0" collapsed="false">
      <c r="A8254" s="0" t="s">
        <v>874</v>
      </c>
      <c r="B8254" s="0" t="s">
        <v>98</v>
      </c>
      <c r="D8254" s="6" t="n">
        <f aca="false">Sens!D8226</f>
        <v>12.9359794422418</v>
      </c>
      <c r="E8254" s="6" t="n">
        <f aca="false">Sens!E8226</f>
        <v>27.8095064661409</v>
      </c>
      <c r="F8254" s="6" t="n">
        <f aca="false">Sens!F8226</f>
        <v>58.7324192305018</v>
      </c>
      <c r="G8254" s="6" t="n">
        <f aca="false">Sens!G8226</f>
        <v>101.369089141153</v>
      </c>
      <c r="H8254" s="6" t="n">
        <f aca="false">Sens!H8226</f>
        <v>149.785610014234</v>
      </c>
      <c r="I8254" s="6" t="n">
        <f aca="false">Sens!I8226</f>
        <v>187.368703083263</v>
      </c>
      <c r="J8254" s="6" t="n">
        <f aca="false">Sens!J8226</f>
        <v>213.886657444854</v>
      </c>
      <c r="K8254" s="6" t="n">
        <f aca="false">Sens!K8226</f>
        <v>231.253475259589</v>
      </c>
    </row>
    <row r="8255" customFormat="false" ht="17.15" hidden="false" customHeight="false" outlineLevel="0" collapsed="false">
      <c r="A8255" s="0" t="s">
        <v>902</v>
      </c>
      <c r="B8255" s="0" t="s">
        <v>98</v>
      </c>
      <c r="D8255" s="6" t="n">
        <f aca="false">Sens!D8227</f>
        <v>59.6740205577583</v>
      </c>
      <c r="E8255" s="6" t="n">
        <f aca="false">Sens!E8227</f>
        <v>74.1284935338591</v>
      </c>
      <c r="F8255" s="6" t="n">
        <f aca="false">Sens!F8227</f>
        <v>90.5741396942587</v>
      </c>
      <c r="G8255" s="6" t="n">
        <f aca="false">Sens!G8227</f>
        <v>108.823251828521</v>
      </c>
      <c r="H8255" s="6" t="n">
        <f aca="false">Sens!H8227</f>
        <v>128.532442249697</v>
      </c>
      <c r="I8255" s="6" t="n">
        <f aca="false">Sens!I8227</f>
        <v>149.192913382446</v>
      </c>
      <c r="J8255" s="6" t="n">
        <f aca="false">Sens!J8227</f>
        <v>170.135219187612</v>
      </c>
      <c r="K8255" s="6" t="n">
        <f aca="false">Sens!K8227</f>
        <v>190.551445490125</v>
      </c>
    </row>
    <row r="8256" customFormat="false" ht="15" hidden="false" customHeight="false" outlineLevel="0" collapsed="false">
      <c r="A8256" s="0" t="s">
        <v>883</v>
      </c>
      <c r="B8256" s="0" t="s">
        <v>98</v>
      </c>
      <c r="D8256" s="6" t="n">
        <f aca="false">Sens!D8234</f>
        <v>84.605</v>
      </c>
      <c r="E8256" s="6" t="n">
        <f aca="false">Sens!E8234</f>
        <v>100.299</v>
      </c>
      <c r="F8256" s="6" t="n">
        <f aca="false">Sens!F8234</f>
        <v>120.39238776686</v>
      </c>
      <c r="G8256" s="6" t="n">
        <f aca="false">Sens!G8234</f>
        <v>141.544168448684</v>
      </c>
      <c r="H8256" s="6" t="n">
        <f aca="false">Sens!H8234</f>
        <v>162.777359388781</v>
      </c>
      <c r="I8256" s="6" t="n">
        <f aca="false">Sens!I8234</f>
        <v>181.584028071957</v>
      </c>
      <c r="J8256" s="6" t="n">
        <f aca="false">Sens!J8234</f>
        <v>197.682702785465</v>
      </c>
      <c r="K8256" s="6" t="n">
        <f aca="false">Sens!K8234</f>
        <v>213.027991980448</v>
      </c>
    </row>
    <row r="8257" customFormat="false" ht="17.15" hidden="false" customHeight="false" outlineLevel="0" collapsed="false">
      <c r="A8257" s="0" t="s">
        <v>903</v>
      </c>
      <c r="B8257" s="0" t="s">
        <v>98</v>
      </c>
      <c r="D8257" s="6" t="n">
        <f aca="false">Sens!D8232</f>
        <v>83.705</v>
      </c>
      <c r="E8257" s="6" t="n">
        <f aca="false">Sens!E8232</f>
        <v>95.049</v>
      </c>
      <c r="F8257" s="6" t="n">
        <f aca="false">Sens!F8232</f>
        <v>106.89238776686</v>
      </c>
      <c r="G8257" s="6" t="n">
        <f aca="false">Sens!G8232</f>
        <v>119.044168448684</v>
      </c>
      <c r="H8257" s="6" t="n">
        <f aca="false">Sens!H8232</f>
        <v>131.277359388781</v>
      </c>
      <c r="I8257" s="6" t="n">
        <f aca="false">Sens!I8232</f>
        <v>143.334028071957</v>
      </c>
      <c r="J8257" s="6" t="n">
        <f aca="false">Sens!J8232</f>
        <v>154.932702785465</v>
      </c>
      <c r="K8257" s="6" t="n">
        <f aca="false">Sens!K8232</f>
        <v>165.777991980448</v>
      </c>
    </row>
    <row r="8258" customFormat="false" ht="17.15" hidden="false" customHeight="false" outlineLevel="0" collapsed="false">
      <c r="A8258" s="0" t="s">
        <v>904</v>
      </c>
      <c r="B8258" s="0" t="s">
        <v>98</v>
      </c>
      <c r="D8258" s="6" t="n">
        <f aca="false">Sens!D8231</f>
        <v>0.9</v>
      </c>
      <c r="E8258" s="6" t="n">
        <f aca="false">Sens!E8231</f>
        <v>5.25</v>
      </c>
      <c r="F8258" s="6" t="n">
        <f aca="false">Sens!F8231</f>
        <v>13.5</v>
      </c>
      <c r="G8258" s="6" t="n">
        <f aca="false">Sens!G8231</f>
        <v>22.5</v>
      </c>
      <c r="H8258" s="6" t="n">
        <f aca="false">Sens!H8231</f>
        <v>31.5</v>
      </c>
      <c r="I8258" s="6" t="n">
        <f aca="false">Sens!I8231</f>
        <v>38.25</v>
      </c>
      <c r="J8258" s="6" t="n">
        <f aca="false">Sens!J8231</f>
        <v>42.75</v>
      </c>
      <c r="K8258" s="6" t="n">
        <f aca="false">Sens!K8231</f>
        <v>47.25</v>
      </c>
    </row>
    <row r="8259" customFormat="false" ht="15" hidden="false" customHeight="false" outlineLevel="0" collapsed="false">
      <c r="A8259" s="0" t="s">
        <v>884</v>
      </c>
      <c r="B8259" s="0" t="s">
        <v>98</v>
      </c>
      <c r="D8259" s="6" t="n">
        <f aca="false">Sens!D8235</f>
        <v>35.391</v>
      </c>
      <c r="E8259" s="6" t="n">
        <f aca="false">Sens!E8235</f>
        <v>37.285</v>
      </c>
      <c r="F8259" s="6" t="n">
        <f aca="false">Sens!F8235</f>
        <v>39.0720834331704</v>
      </c>
      <c r="G8259" s="6" t="n">
        <f aca="false">Sens!G8235</f>
        <v>40.726562953769</v>
      </c>
      <c r="H8259" s="6" t="n">
        <f aca="false">Sens!H8235</f>
        <v>42.2235987259198</v>
      </c>
      <c r="I8259" s="6" t="n">
        <f aca="false">Sens!I8235</f>
        <v>43.5397988077414</v>
      </c>
      <c r="J8259" s="6" t="n">
        <f aca="false">Sens!J8235</f>
        <v>44.653811225693</v>
      </c>
      <c r="K8259" s="6" t="n">
        <f aca="false">Sens!K8235</f>
        <v>45.5468874502068</v>
      </c>
    </row>
    <row r="8260" customFormat="false" ht="15" hidden="false" customHeight="false" outlineLevel="0" collapsed="false">
      <c r="A8260" s="0" t="s">
        <v>885</v>
      </c>
      <c r="B8260" s="0" t="s">
        <v>98</v>
      </c>
      <c r="D8260" s="6" t="n">
        <f aca="false">Sens!D8237</f>
        <v>18.417</v>
      </c>
      <c r="E8260" s="6" t="n">
        <f aca="false">Sens!E8237</f>
        <v>20.345</v>
      </c>
      <c r="F8260" s="6" t="n">
        <f aca="false">Sens!F8237</f>
        <v>22.3572203267814</v>
      </c>
      <c r="G8260" s="6" t="n">
        <f aca="false">Sens!G8237</f>
        <v>24.4392124437232</v>
      </c>
      <c r="H8260" s="6" t="n">
        <f aca="false">Sens!H8237</f>
        <v>26.5738052080665</v>
      </c>
      <c r="I8260" s="6" t="n">
        <f aca="false">Sens!I8237</f>
        <v>28.7412169166967</v>
      </c>
      <c r="J8260" s="6" t="n">
        <f aca="false">Sens!J8237</f>
        <v>30.9192545395413</v>
      </c>
      <c r="K8260" s="6" t="n">
        <f aca="false">Sens!K8237</f>
        <v>33.0836023573092</v>
      </c>
    </row>
    <row r="8261" customFormat="false" ht="15" hidden="false" customHeight="false" outlineLevel="0" collapsed="false">
      <c r="A8261" s="0" t="s">
        <v>886</v>
      </c>
      <c r="B8261" s="0" t="s">
        <v>98</v>
      </c>
      <c r="D8261" s="6" t="n">
        <f aca="false">Sens!D8239</f>
        <v>7.76</v>
      </c>
      <c r="E8261" s="6" t="n">
        <f aca="false">Sens!E8239</f>
        <v>8.26</v>
      </c>
      <c r="F8261" s="6" t="n">
        <f aca="false">Sens!F8239</f>
        <v>8.79988041237113</v>
      </c>
      <c r="G8261" s="6" t="n">
        <f aca="false">Sens!G8239</f>
        <v>9.38321269125306</v>
      </c>
      <c r="H8261" s="6" t="n">
        <f aca="false">Sens!H8239</f>
        <v>10.0139193587476</v>
      </c>
      <c r="I8261" s="6" t="n">
        <f aca="false">Sens!I8239</f>
        <v>10.6963111830911</v>
      </c>
      <c r="J8261" s="6" t="n">
        <f aca="false">Sens!J8239</f>
        <v>11.4351285534696</v>
      </c>
      <c r="K8261" s="6" t="n">
        <f aca="false">Sens!K8239</f>
        <v>12.2355875522124</v>
      </c>
    </row>
    <row r="8262" customFormat="false" ht="15" hidden="false" customHeight="false" outlineLevel="0" collapsed="false">
      <c r="A8262" s="0" t="s">
        <v>715</v>
      </c>
      <c r="B8262" s="0" t="s">
        <v>98</v>
      </c>
      <c r="D8262" s="6" t="n">
        <f aca="false">Sens!D8241</f>
        <v>218.783</v>
      </c>
      <c r="E8262" s="6" t="n">
        <f aca="false">Sens!E8241</f>
        <v>268.127</v>
      </c>
      <c r="F8262" s="6" t="n">
        <f aca="false">Sens!F8241</f>
        <v>339.928130863943</v>
      </c>
      <c r="G8262" s="6" t="n">
        <f aca="false">Sens!G8241</f>
        <v>426.285497507103</v>
      </c>
      <c r="H8262" s="6" t="n">
        <f aca="false">Sens!H8241</f>
        <v>519.906734945446</v>
      </c>
      <c r="I8262" s="6" t="n">
        <f aca="false">Sens!I8241</f>
        <v>601.122971445195</v>
      </c>
      <c r="J8262" s="6" t="n">
        <f aca="false">Sens!J8241</f>
        <v>668.712773736635</v>
      </c>
      <c r="K8262" s="6" t="n">
        <f aca="false">Sens!K8241</f>
        <v>725.698990089891</v>
      </c>
    </row>
    <row r="8263" customFormat="false" ht="15" hidden="false" customHeight="false" outlineLevel="0" collapsed="false">
      <c r="A8263" s="0" t="s">
        <v>887</v>
      </c>
      <c r="B8263" s="0" t="s">
        <v>98</v>
      </c>
      <c r="D8263" s="6" t="n">
        <f aca="false">Sens!D8242</f>
        <v>22.171</v>
      </c>
      <c r="E8263" s="6" t="n">
        <f aca="false">Sens!E8242</f>
        <v>24.835</v>
      </c>
      <c r="F8263" s="6" t="n">
        <f aca="false">Sens!F8242</f>
        <v>27.6114901218559</v>
      </c>
      <c r="G8263" s="6" t="n">
        <f aca="false">Sens!G8242</f>
        <v>30.4675667338515</v>
      </c>
      <c r="H8263" s="6" t="n">
        <f aca="false">Sens!H8242</f>
        <v>33.3643766955789</v>
      </c>
      <c r="I8263" s="6" t="n">
        <f aca="false">Sens!I8242</f>
        <v>36.2577016533691</v>
      </c>
      <c r="J8263" s="6" t="n">
        <f aca="false">Sens!J8242</f>
        <v>39.0988367952171</v>
      </c>
      <c r="K8263" s="6" t="n">
        <f aca="false">Sens!K8242</f>
        <v>41.8357553708823</v>
      </c>
    </row>
    <row r="8264" customFormat="false" ht="15" hidden="false" customHeight="false" outlineLevel="0" collapsed="false">
      <c r="A8264" s="0" t="s">
        <v>888</v>
      </c>
      <c r="B8264" s="0" t="s">
        <v>98</v>
      </c>
      <c r="D8264" s="6" t="n">
        <f aca="false">Sens!D8244</f>
        <v>23.455</v>
      </c>
      <c r="E8264" s="6" t="n">
        <f aca="false">Sens!E8244</f>
        <v>21.79</v>
      </c>
      <c r="F8264" s="6" t="n">
        <f aca="false">Sens!F8244</f>
        <v>20.5736277908051</v>
      </c>
      <c r="G8264" s="6" t="n">
        <f aca="false">Sens!G8244</f>
        <v>19.7371452817919</v>
      </c>
      <c r="H8264" s="6" t="n">
        <f aca="false">Sens!H8244</f>
        <v>19.2339764043138</v>
      </c>
      <c r="I8264" s="6" t="n">
        <f aca="false">Sens!I8244</f>
        <v>19.0353086852681</v>
      </c>
      <c r="J8264" s="6" t="n">
        <f aca="false">Sens!J8244</f>
        <v>19.1273539319129</v>
      </c>
      <c r="K8264" s="6" t="n">
        <f aca="false">Sens!K8244</f>
        <v>19.5099010105511</v>
      </c>
    </row>
    <row r="8265" customFormat="false" ht="15" hidden="false" customHeight="false" outlineLevel="0" collapsed="false">
      <c r="A8265" s="0" t="s">
        <v>889</v>
      </c>
      <c r="B8265" s="0" t="s">
        <v>98</v>
      </c>
      <c r="D8265" s="6" t="n">
        <f aca="false">Sens!D8246</f>
        <v>17.315</v>
      </c>
      <c r="E8265" s="6" t="n">
        <f aca="false">Sens!E8246</f>
        <v>17.087</v>
      </c>
      <c r="F8265" s="6" t="n">
        <f aca="false">Sens!F8246</f>
        <v>16.9564585436519</v>
      </c>
      <c r="G8265" s="6" t="n">
        <f aca="false">Sens!G8246</f>
        <v>16.9206490624268</v>
      </c>
      <c r="H8265" s="6" t="n">
        <f aca="false">Sens!H8246</f>
        <v>16.9784519149849</v>
      </c>
      <c r="I8265" s="6" t="n">
        <f aca="false">Sens!I8246</f>
        <v>17.1303084701817</v>
      </c>
      <c r="J8265" s="6" t="n">
        <f aca="false">Sens!J8246</f>
        <v>17.3782189407267</v>
      </c>
      <c r="K8265" s="6" t="n">
        <f aca="false">Sens!K8246</f>
        <v>17.7257833195413</v>
      </c>
    </row>
    <row r="8266" customFormat="false" ht="15" hidden="false" customHeight="false" outlineLevel="0" collapsed="false">
      <c r="A8266" s="0" t="s">
        <v>729</v>
      </c>
      <c r="B8266" s="0" t="s">
        <v>98</v>
      </c>
      <c r="D8266" s="6" t="n">
        <f aca="false">Sens!D8248</f>
        <v>62.941</v>
      </c>
      <c r="E8266" s="6" t="n">
        <f aca="false">Sens!E8248</f>
        <v>63.712</v>
      </c>
      <c r="F8266" s="6" t="n">
        <f aca="false">Sens!F8248</f>
        <v>65.1415764563129</v>
      </c>
      <c r="G8266" s="6" t="n">
        <f aca="false">Sens!G8248</f>
        <v>67.1253610780702</v>
      </c>
      <c r="H8266" s="6" t="n">
        <f aca="false">Sens!H8248</f>
        <v>69.5768050148776</v>
      </c>
      <c r="I8266" s="6" t="n">
        <f aca="false">Sens!I8248</f>
        <v>72.4233188088189</v>
      </c>
      <c r="J8266" s="6" t="n">
        <f aca="false">Sens!J8248</f>
        <v>75.6044096678567</v>
      </c>
      <c r="K8266" s="6" t="n">
        <f aca="false">Sens!K8248</f>
        <v>79.0714397009747</v>
      </c>
    </row>
    <row r="8267" customFormat="false" ht="15" hidden="false" customHeight="false" outlineLevel="0" collapsed="false">
      <c r="A8267" s="1" t="s">
        <v>905</v>
      </c>
      <c r="B8267" s="0" t="s">
        <v>98</v>
      </c>
      <c r="D8267" s="6" t="n">
        <f aca="false">Sens!D8249</f>
        <v>281.724</v>
      </c>
      <c r="E8267" s="6" t="n">
        <f aca="false">Sens!E8249</f>
        <v>331.839</v>
      </c>
      <c r="F8267" s="6" t="n">
        <f aca="false">Sens!F8249</f>
        <v>405.069707320256</v>
      </c>
      <c r="G8267" s="6" t="n">
        <f aca="false">Sens!G8249</f>
        <v>493.410858585174</v>
      </c>
      <c r="H8267" s="6" t="n">
        <f aca="false">Sens!H8249</f>
        <v>589.483539960324</v>
      </c>
      <c r="I8267" s="6" t="n">
        <f aca="false">Sens!I8249</f>
        <v>673.546290254014</v>
      </c>
      <c r="J8267" s="6" t="n">
        <f aca="false">Sens!J8249</f>
        <v>744.317183404492</v>
      </c>
      <c r="K8267" s="6" t="n">
        <f aca="false">Sens!K8249</f>
        <v>804.770429790866</v>
      </c>
    </row>
    <row r="8268" customFormat="false" ht="15" hidden="false" customHeight="false" outlineLevel="0" collapsed="false">
      <c r="A8268" s="1" t="s">
        <v>906</v>
      </c>
      <c r="B8268" s="0" t="s">
        <v>129</v>
      </c>
      <c r="E8268" s="7" t="n">
        <f aca="false">Sens!E8267/Sens!D8267-1</f>
        <v>0.177886867998467</v>
      </c>
      <c r="F8268" s="7" t="n">
        <f aca="false">Sens!F8267/Sens!E8267-1</f>
        <v>0.220681436842132</v>
      </c>
      <c r="G8268" s="7" t="n">
        <f aca="false">Sens!G8267/Sens!F8267-1</f>
        <v>0.218088762670849</v>
      </c>
      <c r="H8268" s="7" t="n">
        <f aca="false">Sens!H8267/Sens!G8267-1</f>
        <v>0.194711323643409</v>
      </c>
      <c r="I8268" s="7" t="n">
        <f aca="false">Sens!I8267/Sens!H8267-1</f>
        <v>0.142604067111607</v>
      </c>
      <c r="J8268" s="7" t="n">
        <f aca="false">Sens!J8267/Sens!I8267-1</f>
        <v>0.105072055439261</v>
      </c>
      <c r="K8268" s="7" t="n">
        <f aca="false">Sens!K8267/Sens!J8267-1</f>
        <v>0.0812197376793884</v>
      </c>
    </row>
    <row r="8269" customFormat="false" ht="17.15" hidden="false" customHeight="false" outlineLevel="0" collapsed="false">
      <c r="A8269" s="23" t="s">
        <v>907</v>
      </c>
      <c r="B8269" s="30" t="s">
        <v>98</v>
      </c>
      <c r="C8269" s="30"/>
      <c r="D8269" s="24" t="n">
        <f aca="false">(Sens!D8262+Sens!D8266-Sens!D8267)+(Sens!D8254+Sens!D8255-Sens!D8253)+(Sens!D8257+Sens!D8258-Sens!D8256)+(Sens!D8267-Q!L18)</f>
        <v>0</v>
      </c>
      <c r="E8269" s="24" t="n">
        <f aca="false">(Sens!E8262+Sens!E8266-Sens!E8267)+(Sens!E8254+Sens!E8255-Sens!E8253)+(Sens!E8257+Sens!E8258-Sens!E8256)+(Sens!E8267-Q!M18)</f>
        <v>0</v>
      </c>
      <c r="F8269" s="24" t="n">
        <f aca="false">(Sens!F8262+Sens!F8266-Sens!F8267)+(Sens!F8254+Sens!F8255-Sens!F8253)+(Sens!F8257+Sens!F8258-Sens!F8256)</f>
        <v>0</v>
      </c>
      <c r="G8269" s="24" t="n">
        <f aca="false">(Sens!G8262+Sens!G8266-Sens!G8267)+(Sens!G8254+Sens!G8255-Sens!G8253)+(Sens!G8257+Sens!G8258-Sens!G8256)</f>
        <v>0</v>
      </c>
      <c r="H8269" s="24" t="n">
        <f aca="false">(Sens!H8262+Sens!H8266-Sens!H8267)+(Sens!H8254+Sens!H8255-Sens!H8253)+(Sens!H8257+Sens!H8258-Sens!H8256)</f>
        <v>0</v>
      </c>
      <c r="I8269" s="24" t="n">
        <f aca="false">(Sens!I8262+Sens!I8266-Sens!I8267)+(Sens!I8254+Sens!I8255-Sens!I8253)+(Sens!I8257+Sens!I8258-Sens!I8256)</f>
        <v>0</v>
      </c>
      <c r="J8269" s="24" t="n">
        <f aca="false">(Sens!J8262+Sens!J8266-Sens!J8267)+(Sens!J8254+Sens!J8255-Sens!J8253)+(Sens!J8257+Sens!J8258-Sens!J8256)</f>
        <v>0</v>
      </c>
      <c r="K8269" s="24" t="n">
        <f aca="false">(Sens!K8262+Sens!K8266-Sens!K8267)+(Sens!K8254+Sens!K8255-Sens!K8253)+(Sens!K8257+Sens!K8258-Sens!K8256)</f>
        <v>0</v>
      </c>
    </row>
    <row r="8270" customFormat="false" ht="17.15" hidden="false" customHeight="false" outlineLevel="0" collapsed="false">
      <c r="A8270" s="0" t="s">
        <v>908</v>
      </c>
      <c r="B8270" s="0" t="s">
        <v>129</v>
      </c>
      <c r="E8270" s="7" t="n">
        <f aca="false">(Q!M21+Sens!E8207+Sens!E8208+Sens!E8209+Sens!E8222-Sens!E8205)/(Q!M5-Sens!E8205)</f>
        <v>0.570957350878296</v>
      </c>
      <c r="F8270" s="7" t="n">
        <f aca="false">Sens!$E$8270+dm_seg</f>
        <v>0.570957350878296</v>
      </c>
      <c r="G8270" s="7" t="n">
        <f aca="false">Sens!$E$8270+dm_seg</f>
        <v>0.570957350878296</v>
      </c>
      <c r="H8270" s="7" t="n">
        <f aca="false">Sens!$E$8270+dm_seg</f>
        <v>0.570957350878296</v>
      </c>
      <c r="I8270" s="7" t="n">
        <f aca="false">Sens!$E$8270+dm_seg</f>
        <v>0.570957350878296</v>
      </c>
      <c r="J8270" s="7" t="n">
        <f aca="false">Sens!$E$8270+dm_seg</f>
        <v>0.570957350878296</v>
      </c>
      <c r="K8270" s="7" t="n">
        <f aca="false">Sens!$E$8270+dm_seg</f>
        <v>0.570957350878296</v>
      </c>
      <c r="L8270" s="11" t="s">
        <v>909</v>
      </c>
    </row>
    <row r="8271" customFormat="false" ht="17.15" hidden="false" customHeight="false" outlineLevel="0" collapsed="false">
      <c r="A8271" s="0" t="s">
        <v>743</v>
      </c>
      <c r="B8271" s="0" t="s">
        <v>98</v>
      </c>
      <c r="D8271" s="6" t="n">
        <f aca="false">Q!L21</f>
        <v>110.814</v>
      </c>
      <c r="E8271" s="6" t="n">
        <f aca="false">Q!M21</f>
        <v>136.365</v>
      </c>
      <c r="F8271" s="6" t="n">
        <f aca="false">Sens!F8270*(Sens!F8241-Sens!F8205)+Sens!F8205-(Sens!F8207+Sens!F8208+Sens!F8209)-Sens!F8222-Sens!F8305</f>
        <v>162.29190017508</v>
      </c>
      <c r="G8271" s="6" t="n">
        <f aca="false">Sens!G8270*(Sens!G8241-Sens!G8205)+Sens!G8205-(Sens!G8207+Sens!G8208+Sens!G8209)-Sens!G8222-Sens!G8305</f>
        <v>193.351141371059</v>
      </c>
      <c r="H8271" s="6" t="n">
        <f aca="false">Sens!H8270*(Sens!H8241-Sens!H8205)+Sens!H8205-(Sens!H8207+Sens!H8208+Sens!H8209)-Sens!H8222-Sens!H8305</f>
        <v>229.217396859203</v>
      </c>
      <c r="I8271" s="6" t="n">
        <f aca="false">Sens!I8270*(Sens!I8241-Sens!I8205)+Sens!I8205-(Sens!I8207+Sens!I8208+Sens!I8209)-Sens!I8222-Sens!I8305</f>
        <v>257.833739503528</v>
      </c>
      <c r="J8271" s="6" t="n">
        <f aca="false">Sens!J8270*(Sens!J8241-Sens!J8205)+Sens!J8205-(Sens!J8207+Sens!J8208+Sens!J8209)-Sens!J8222-Sens!J8305</f>
        <v>283.850604918984</v>
      </c>
      <c r="K8271" s="6" t="n">
        <f aca="false">Sens!K8270*(Sens!K8241-Sens!K8205)+Sens!K8205-(Sens!K8207+Sens!K8208+Sens!K8209)-Sens!K8222-Sens!K8305</f>
        <v>308.976648495838</v>
      </c>
      <c r="L8271" s="1" t="s">
        <v>910</v>
      </c>
    </row>
    <row r="8272" customFormat="false" ht="17.15" hidden="false" customHeight="false" outlineLevel="0" collapsed="false">
      <c r="A8272" s="0" t="s">
        <v>911</v>
      </c>
      <c r="B8272" s="0" t="s">
        <v>129</v>
      </c>
      <c r="E8272" s="7" t="n">
        <f aca="false">Q!M22/Q!M12</f>
        <v>0.296207935710698</v>
      </c>
      <c r="F8272" s="7" t="n">
        <f aca="false">Sens!$E$8272+dm_seg</f>
        <v>0.296207935710698</v>
      </c>
      <c r="G8272" s="7" t="n">
        <f aca="false">Sens!$E$8272+dm_seg</f>
        <v>0.296207935710698</v>
      </c>
      <c r="H8272" s="7" t="n">
        <f aca="false">Sens!$E$8272+dm_seg</f>
        <v>0.296207935710698</v>
      </c>
      <c r="I8272" s="7" t="n">
        <f aca="false">Sens!$E$8272+dm_seg</f>
        <v>0.296207935710698</v>
      </c>
      <c r="J8272" s="7" t="n">
        <f aca="false">Sens!$E$8272+dm_seg</f>
        <v>0.296207935710698</v>
      </c>
      <c r="K8272" s="7" t="n">
        <f aca="false">Sens!$E$8272+dm_seg</f>
        <v>0.296207935710698</v>
      </c>
      <c r="L8272" s="11" t="s">
        <v>912</v>
      </c>
    </row>
    <row r="8273" customFormat="false" ht="17.15" hidden="false" customHeight="false" outlineLevel="0" collapsed="false">
      <c r="A8273" s="0" t="s">
        <v>745</v>
      </c>
      <c r="B8273" s="0" t="s">
        <v>98</v>
      </c>
      <c r="D8273" s="6" t="n">
        <f aca="false">Q!L22</f>
        <v>17.714</v>
      </c>
      <c r="E8273" s="6" t="n">
        <f aca="false">Q!M22</f>
        <v>18.872</v>
      </c>
      <c r="F8273" s="6" t="n">
        <f aca="false">Sens!F8248*Sens!F8272</f>
        <v>19.2954518910651</v>
      </c>
      <c r="G8273" s="6" t="n">
        <f aca="false">Sens!G8248*Sens!G8272</f>
        <v>19.8830646387704</v>
      </c>
      <c r="H8273" s="6" t="n">
        <f aca="false">Sens!H8248*Sens!H8272</f>
        <v>20.6092017868026</v>
      </c>
      <c r="I8273" s="6" t="n">
        <f aca="false">Sens!I8248*Sens!I8272</f>
        <v>21.452361761678</v>
      </c>
      <c r="J8273" s="6" t="n">
        <f aca="false">Sens!J8248*Sens!J8272</f>
        <v>22.3946261183418</v>
      </c>
      <c r="K8273" s="6" t="n">
        <f aca="false">Sens!K8248*Sens!K8272</f>
        <v>23.4215879274986</v>
      </c>
    </row>
    <row r="8274" customFormat="false" ht="15" hidden="false" customHeight="false" outlineLevel="0" collapsed="false">
      <c r="A8274" s="1" t="s">
        <v>913</v>
      </c>
      <c r="B8274" s="0" t="s">
        <v>98</v>
      </c>
      <c r="D8274" s="6" t="n">
        <f aca="false">Sens!D8271+Sens!D8273</f>
        <v>128.528</v>
      </c>
      <c r="E8274" s="6" t="n">
        <f aca="false">Sens!E8271+Sens!E8273</f>
        <v>155.237</v>
      </c>
      <c r="F8274" s="6" t="n">
        <f aca="false">Sens!F8271+Sens!F8273</f>
        <v>181.587352066145</v>
      </c>
      <c r="G8274" s="6" t="n">
        <f aca="false">Sens!G8271+Sens!G8273</f>
        <v>213.23420600983</v>
      </c>
      <c r="H8274" s="6" t="n">
        <f aca="false">Sens!H8271+Sens!H8273</f>
        <v>249.826598646005</v>
      </c>
      <c r="I8274" s="6" t="n">
        <f aca="false">Sens!I8271+Sens!I8273</f>
        <v>279.286101265206</v>
      </c>
      <c r="J8274" s="6" t="n">
        <f aca="false">Sens!J8271+Sens!J8273</f>
        <v>306.245231037326</v>
      </c>
      <c r="K8274" s="6" t="n">
        <f aca="false">Sens!K8271+Sens!K8273</f>
        <v>332.398236423337</v>
      </c>
    </row>
    <row r="8275" customFormat="false" ht="15" hidden="false" customHeight="false" outlineLevel="0" collapsed="false">
      <c r="A8275" s="23" t="s">
        <v>914</v>
      </c>
      <c r="B8275" s="30" t="s">
        <v>98</v>
      </c>
      <c r="C8275" s="30"/>
      <c r="D8275" s="24" t="n">
        <f aca="false">Sens!D8274-Q!L23</f>
        <v>0</v>
      </c>
      <c r="E8275" s="24" t="n">
        <f aca="false">Sens!E8274-Q!M23</f>
        <v>0</v>
      </c>
      <c r="F8275" s="30"/>
      <c r="G8275" s="30"/>
      <c r="H8275" s="30"/>
      <c r="I8275" s="30"/>
      <c r="J8275" s="30"/>
      <c r="K8275" s="30"/>
    </row>
    <row r="8276" customFormat="false" ht="15" hidden="false" customHeight="false" outlineLevel="0" collapsed="false">
      <c r="A8276" s="1" t="s">
        <v>915</v>
      </c>
      <c r="B8276" s="0" t="s">
        <v>129</v>
      </c>
      <c r="D8276" s="7" t="n">
        <f aca="false">Sens!D8274/Sens!D8267</f>
        <v>0.456219562408598</v>
      </c>
      <c r="E8276" s="7" t="n">
        <f aca="false">Sens!E8274/Sens!E8267</f>
        <v>0.467808184089272</v>
      </c>
      <c r="F8276" s="7" t="n">
        <f aca="false">Sens!F8274/Sens!F8267</f>
        <v>0.448286674576181</v>
      </c>
      <c r="G8276" s="7" t="n">
        <f aca="false">Sens!G8274/Sens!G8267</f>
        <v>0.43216358598444</v>
      </c>
      <c r="H8276" s="7" t="n">
        <f aca="false">Sens!H8274/Sens!H8267</f>
        <v>0.423805893991239</v>
      </c>
      <c r="I8276" s="7" t="n">
        <f aca="false">Sens!I8274/Sens!I8267</f>
        <v>0.414650195994517</v>
      </c>
      <c r="J8276" s="7" t="n">
        <f aca="false">Sens!J8274/Sens!J8267</f>
        <v>0.411444526426982</v>
      </c>
      <c r="K8276" s="7" t="n">
        <f aca="false">Sens!K8274/Sens!K8267</f>
        <v>0.413034853318004</v>
      </c>
    </row>
    <row r="8277" customFormat="false" ht="17.15" hidden="false" customHeight="false" outlineLevel="0" collapsed="false">
      <c r="A8277" s="1" t="s">
        <v>916</v>
      </c>
      <c r="B8277" s="0" t="s">
        <v>98</v>
      </c>
      <c r="F8277" s="6" t="n">
        <f aca="false">Sens!F8292</f>
        <v>8.44248444763781</v>
      </c>
      <c r="G8277" s="6" t="n">
        <f aca="false">Sens!G8292</f>
        <v>21.3653222817508</v>
      </c>
      <c r="H8277" s="6" t="n">
        <f aca="false">Sens!H8292</f>
        <v>35.8221390663856</v>
      </c>
      <c r="I8277" s="6" t="n">
        <f aca="false">Sens!I8292</f>
        <v>49.3691841492478</v>
      </c>
      <c r="J8277" s="6" t="n">
        <f aca="false">Sens!J8292</f>
        <v>59.0322720639359</v>
      </c>
      <c r="K8277" s="6" t="n">
        <f aca="false">Sens!K8292</f>
        <v>64.2195097796802</v>
      </c>
      <c r="L8277" s="1" t="s">
        <v>917</v>
      </c>
    </row>
    <row r="8278" customFormat="false" ht="17.15" hidden="false" customHeight="false" outlineLevel="0" collapsed="false">
      <c r="A8278" s="1" t="s">
        <v>918</v>
      </c>
      <c r="B8278" s="0" t="s">
        <v>98</v>
      </c>
      <c r="D8278" s="6" t="n">
        <f aca="false">Sens!D8274</f>
        <v>128.528</v>
      </c>
      <c r="E8278" s="6" t="n">
        <f aca="false">Sens!E8274</f>
        <v>155.237</v>
      </c>
      <c r="F8278" s="6" t="n">
        <f aca="false">Sens!F8274+Sens!F8277</f>
        <v>190.029836513782</v>
      </c>
      <c r="G8278" s="6" t="n">
        <f aca="false">Sens!G8274+Sens!G8277</f>
        <v>234.599528291581</v>
      </c>
      <c r="H8278" s="6" t="n">
        <f aca="false">Sens!H8274+Sens!H8277</f>
        <v>285.648737712391</v>
      </c>
      <c r="I8278" s="6" t="n">
        <f aca="false">Sens!I8274+Sens!I8277</f>
        <v>328.655285414454</v>
      </c>
      <c r="J8278" s="6" t="n">
        <f aca="false">Sens!J8274+Sens!J8277</f>
        <v>365.277503101262</v>
      </c>
      <c r="K8278" s="6" t="n">
        <f aca="false">Sens!K8274+Sens!K8277</f>
        <v>396.617746203017</v>
      </c>
    </row>
    <row r="8279" customFormat="false" ht="17.15" hidden="false" customHeight="false" outlineLevel="0" collapsed="false">
      <c r="A8279" s="1" t="s">
        <v>919</v>
      </c>
      <c r="B8279" s="0" t="s">
        <v>98</v>
      </c>
      <c r="E8279" s="6" t="n">
        <f aca="false">Sens!E8222</f>
        <v>16.3054059770833</v>
      </c>
      <c r="F8279" s="6" t="n">
        <f aca="false">Sens!F8222</f>
        <v>34.0498873809555</v>
      </c>
      <c r="G8279" s="6" t="n">
        <f aca="false">Sens!G8222</f>
        <v>59.1254371105111</v>
      </c>
      <c r="H8279" s="6" t="n">
        <f aca="false">Sens!H8222</f>
        <v>86.3610198433111</v>
      </c>
      <c r="I8279" s="6" t="n">
        <f aca="false">Sens!I8222</f>
        <v>110.605743832393</v>
      </c>
      <c r="J8279" s="6" t="n">
        <f aca="false">Sens!J8222</f>
        <v>127.998322852843</v>
      </c>
      <c r="K8279" s="6" t="n">
        <f aca="false">Sens!K8222</f>
        <v>139.131464044308</v>
      </c>
    </row>
    <row r="8280" customFormat="false" ht="17.15" hidden="false" customHeight="false" outlineLevel="0" collapsed="false">
      <c r="A8280" s="1" t="s">
        <v>920</v>
      </c>
      <c r="B8280" s="0" t="s">
        <v>98</v>
      </c>
      <c r="E8280" s="6" t="n">
        <f aca="false">Sens!E8304</f>
        <v>22.2285940229167</v>
      </c>
      <c r="F8280" s="6" t="n">
        <f aca="false">Sens!F8304</f>
        <v>24.3924470334783</v>
      </c>
      <c r="G8280" s="6" t="n">
        <f aca="false">Sens!G8304</f>
        <v>26.1493882196737</v>
      </c>
      <c r="H8280" s="6" t="n">
        <f aca="false">Sens!H8304</f>
        <v>28.3758099553965</v>
      </c>
      <c r="I8280" s="6" t="n">
        <f aca="false">Sens!I8304</f>
        <v>31.0207532110331</v>
      </c>
      <c r="J8280" s="6" t="n">
        <f aca="false">Sens!J8304</f>
        <v>34.0215962524327</v>
      </c>
      <c r="K8280" s="6" t="n">
        <f aca="false">Sens!K8304</f>
        <v>37.3248282772018</v>
      </c>
    </row>
    <row r="8281" customFormat="false" ht="17.15" hidden="false" customHeight="false" outlineLevel="0" collapsed="false">
      <c r="A8281" s="1" t="s">
        <v>921</v>
      </c>
      <c r="B8281" s="0" t="s">
        <v>98</v>
      </c>
      <c r="D8281" s="6" t="n">
        <f aca="false">Q!L27</f>
        <v>-4.901</v>
      </c>
      <c r="E8281" s="6" t="n">
        <f aca="false">Q!M27</f>
        <v>10.697</v>
      </c>
      <c r="F8281" s="6" t="n">
        <f aca="false">oie_f</f>
        <v>-0.4</v>
      </c>
      <c r="G8281" s="6" t="n">
        <f aca="false">oie_f</f>
        <v>-0.4</v>
      </c>
      <c r="H8281" s="6" t="n">
        <f aca="false">oie_f</f>
        <v>-0.4</v>
      </c>
      <c r="I8281" s="6" t="n">
        <f aca="false">oie_f</f>
        <v>-0.4</v>
      </c>
      <c r="J8281" s="6" t="n">
        <f aca="false">oie_f</f>
        <v>-0.4</v>
      </c>
      <c r="K8281" s="6" t="n">
        <f aca="false">oie_f</f>
        <v>-0.4</v>
      </c>
      <c r="L8281" s="11" t="s">
        <v>922</v>
      </c>
    </row>
    <row r="8282" customFormat="false" ht="15" hidden="false" customHeight="false" outlineLevel="0" collapsed="false">
      <c r="A8282" s="1" t="s">
        <v>923</v>
      </c>
      <c r="B8282" s="0" t="s">
        <v>98</v>
      </c>
      <c r="D8282" s="6" t="n">
        <f aca="false">Sens!D8274+Sens!D8281</f>
        <v>123.627</v>
      </c>
      <c r="E8282" s="6" t="n">
        <f aca="false">Sens!E8274+Sens!E8281</f>
        <v>165.934</v>
      </c>
      <c r="F8282" s="6" t="n">
        <f aca="false">Sens!F8274+Sens!F8281</f>
        <v>181.187352066145</v>
      </c>
      <c r="G8282" s="6" t="n">
        <f aca="false">Sens!G8274+Sens!G8281</f>
        <v>212.83420600983</v>
      </c>
      <c r="H8282" s="6" t="n">
        <f aca="false">Sens!H8274+Sens!H8281</f>
        <v>249.426598646005</v>
      </c>
      <c r="I8282" s="6" t="n">
        <f aca="false">Sens!I8274+Sens!I8281</f>
        <v>278.886101265206</v>
      </c>
      <c r="J8282" s="6" t="n">
        <f aca="false">Sens!J8274+Sens!J8281</f>
        <v>305.845231037326</v>
      </c>
      <c r="K8282" s="6" t="n">
        <f aca="false">Sens!K8274+Sens!K8281</f>
        <v>331.998236423337</v>
      </c>
    </row>
    <row r="8283" customFormat="false" ht="15" hidden="false" customHeight="false" outlineLevel="0" collapsed="false">
      <c r="A8283" s="1" t="s">
        <v>924</v>
      </c>
      <c r="B8283" s="0" t="s">
        <v>98</v>
      </c>
      <c r="D8283" s="6" t="n">
        <f aca="false">Q!L29</f>
        <v>21.795</v>
      </c>
      <c r="E8283" s="6" t="n">
        <f aca="false">Q!M29</f>
        <v>32.185</v>
      </c>
      <c r="F8283" s="6" t="n">
        <f aca="false">Sens!F8282*tax_f</f>
        <v>36.2374704132289</v>
      </c>
      <c r="G8283" s="6" t="n">
        <f aca="false">Sens!G8282*tax_f</f>
        <v>42.566841201966</v>
      </c>
      <c r="H8283" s="6" t="n">
        <f aca="false">Sens!H8282*tax_f</f>
        <v>49.8853197292011</v>
      </c>
      <c r="I8283" s="6" t="n">
        <f aca="false">Sens!I8282*tax_f</f>
        <v>55.7772202530413</v>
      </c>
      <c r="J8283" s="6" t="n">
        <f aca="false">Sens!J8282*tax_f</f>
        <v>61.1690462074652</v>
      </c>
      <c r="K8283" s="6" t="n">
        <f aca="false">Sens!K8282*tax_f</f>
        <v>66.3996472846674</v>
      </c>
    </row>
    <row r="8284" customFormat="false" ht="15" hidden="false" customHeight="false" outlineLevel="0" collapsed="false">
      <c r="A8284" s="1" t="s">
        <v>925</v>
      </c>
      <c r="B8284" s="0" t="s">
        <v>98</v>
      </c>
      <c r="D8284" s="6" t="n">
        <f aca="false">Sens!D8282-Sens!D8283</f>
        <v>101.832</v>
      </c>
      <c r="E8284" s="6" t="n">
        <f aca="false">Sens!E8282-Sens!E8283</f>
        <v>133.749</v>
      </c>
      <c r="F8284" s="6" t="n">
        <f aca="false">Sens!F8282-Sens!F8283</f>
        <v>144.949881652916</v>
      </c>
      <c r="G8284" s="6" t="n">
        <f aca="false">Sens!G8282-Sens!G8283</f>
        <v>170.267364807864</v>
      </c>
      <c r="H8284" s="6" t="n">
        <f aca="false">Sens!H8282-Sens!H8283</f>
        <v>199.541278916804</v>
      </c>
      <c r="I8284" s="6" t="n">
        <f aca="false">Sens!I8282-Sens!I8283</f>
        <v>223.108881012165</v>
      </c>
      <c r="J8284" s="6" t="n">
        <f aca="false">Sens!J8282-Sens!J8283</f>
        <v>244.676184829861</v>
      </c>
      <c r="K8284" s="6" t="n">
        <f aca="false">Sens!K8282-Sens!K8283</f>
        <v>265.598589138669</v>
      </c>
    </row>
    <row r="8285" customFormat="false" ht="17.15" hidden="false" customHeight="false" outlineLevel="0" collapsed="false">
      <c r="A8285" s="1" t="s">
        <v>926</v>
      </c>
      <c r="B8285" s="1" t="s">
        <v>81</v>
      </c>
      <c r="D8285" s="14" t="n">
        <f aca="false">Q!L31</f>
        <v>7.465</v>
      </c>
      <c r="E8285" s="14" t="n">
        <f aca="false">Q!M31</f>
        <v>7.453</v>
      </c>
      <c r="F8285" s="14" t="n">
        <f aca="false">Sens!F8328</f>
        <v>7.4735</v>
      </c>
      <c r="G8285" s="14" t="n">
        <f aca="false">Sens!G8328</f>
        <v>7.50771022556129</v>
      </c>
      <c r="H8285" s="14" t="n">
        <f aca="false">Sens!H8328</f>
        <v>7.52467203697252</v>
      </c>
      <c r="I8285" s="14" t="n">
        <f aca="false">Sens!I8328</f>
        <v>7.53645286897984</v>
      </c>
      <c r="J8285" s="14" t="n">
        <f aca="false">Sens!J8328</f>
        <v>7.55069438009772</v>
      </c>
      <c r="K8285" s="14" t="n">
        <f aca="false">Sens!K8328</f>
        <v>7.56721429779946</v>
      </c>
    </row>
    <row r="8286" customFormat="false" ht="17.15" hidden="false" customHeight="false" outlineLevel="0" collapsed="false">
      <c r="A8286" s="0" t="s">
        <v>927</v>
      </c>
      <c r="B8286" s="0" t="s">
        <v>75</v>
      </c>
      <c r="D8286" s="8" t="n">
        <f aca="false">Sens!D8284/Sens!D8285</f>
        <v>13.641259209645</v>
      </c>
      <c r="E8286" s="8" t="n">
        <f aca="false">Sens!E8284/Sens!E8285</f>
        <v>17.9456594659869</v>
      </c>
      <c r="F8286" s="8" t="n">
        <f aca="false">Sens!F8284/Sens!F8285</f>
        <v>19.3951805249101</v>
      </c>
      <c r="G8286" s="8" t="n">
        <f aca="false">Sens!G8284/Sens!G8285</f>
        <v>22.6790006130177</v>
      </c>
      <c r="H8286" s="8" t="n">
        <f aca="false">Sens!H8284/Sens!H8285</f>
        <v>26.5182692264004</v>
      </c>
      <c r="I8286" s="8" t="n">
        <f aca="false">Sens!I8284/Sens!I8285</f>
        <v>29.6039642111324</v>
      </c>
      <c r="J8286" s="8" t="n">
        <f aca="false">Sens!J8284/Sens!J8285</f>
        <v>32.4044614326841</v>
      </c>
      <c r="K8286" s="8" t="n">
        <f aca="false">Sens!K8284/Sens!K8285</f>
        <v>35.0985948971876</v>
      </c>
      <c r="L8286" s="1" t="s">
        <v>928</v>
      </c>
    </row>
    <row r="8287" customFormat="false" ht="17.15" hidden="false" customHeight="false" outlineLevel="0" collapsed="false">
      <c r="A8287" s="1" t="s">
        <v>929</v>
      </c>
      <c r="B8287" s="0" t="s">
        <v>98</v>
      </c>
      <c r="D8287" s="6" t="n">
        <f aca="false">Sens!D8284</f>
        <v>101.832</v>
      </c>
      <c r="E8287" s="6" t="n">
        <f aca="false">Sens!E8284</f>
        <v>133.749</v>
      </c>
      <c r="F8287" s="6" t="n">
        <f aca="false">Sens!F8284+Sens!F8277*(1-tax_f)</f>
        <v>151.703869211026</v>
      </c>
      <c r="G8287" s="6" t="n">
        <f aca="false">Sens!G8284+Sens!G8277*(1-tax_f)</f>
        <v>187.359622633265</v>
      </c>
      <c r="H8287" s="6" t="n">
        <f aca="false">Sens!H8284+Sens!H8277*(1-tax_f)</f>
        <v>228.198990169913</v>
      </c>
      <c r="I8287" s="6" t="n">
        <f aca="false">Sens!I8284+Sens!I8277*(1-tax_f)</f>
        <v>262.604228331563</v>
      </c>
      <c r="J8287" s="6" t="n">
        <f aca="false">Sens!J8284+Sens!J8277*(1-tax_f)</f>
        <v>291.90200248101</v>
      </c>
      <c r="K8287" s="6" t="n">
        <f aca="false">Sens!K8284+Sens!K8277*(1-tax_f)</f>
        <v>316.974196962414</v>
      </c>
    </row>
    <row r="8288" customFormat="false" ht="17.15" hidden="false" customHeight="false" outlineLevel="0" collapsed="false">
      <c r="A8288" s="0" t="s">
        <v>930</v>
      </c>
      <c r="B8288" s="0" t="s">
        <v>75</v>
      </c>
      <c r="D8288" s="8" t="n">
        <f aca="false">Sens!D8287/Sens!D8285</f>
        <v>13.641259209645</v>
      </c>
      <c r="E8288" s="8" t="n">
        <f aca="false">Sens!E8287/Sens!E8285</f>
        <v>17.9456594659869</v>
      </c>
      <c r="F8288" s="8" t="n">
        <f aca="false">Sens!F8287/Sens!F8285</f>
        <v>20.2989053604102</v>
      </c>
      <c r="G8288" s="8" t="n">
        <f aca="false">Sens!G8287/Sens!G8285</f>
        <v>24.9556278817697</v>
      </c>
      <c r="H8288" s="8" t="n">
        <f aca="false">Sens!H8287/Sens!H8285</f>
        <v>30.3267689340686</v>
      </c>
      <c r="I8288" s="8" t="n">
        <f aca="false">Sens!I8287/Sens!I8285</f>
        <v>34.8445393206726</v>
      </c>
      <c r="J8288" s="8" t="n">
        <f aca="false">Sens!J8287/Sens!J8285</f>
        <v>38.6589613864403</v>
      </c>
      <c r="K8288" s="8" t="n">
        <f aca="false">Sens!K8287/Sens!K8285</f>
        <v>41.8878314381277</v>
      </c>
      <c r="L8288" s="1" t="s">
        <v>931</v>
      </c>
    </row>
    <row r="8289" customFormat="false" ht="17.15" hidden="false" customHeight="false" outlineLevel="0" collapsed="false">
      <c r="A8289" s="0" t="s">
        <v>932</v>
      </c>
      <c r="B8289" s="0" t="s">
        <v>129</v>
      </c>
      <c r="E8289" s="7" t="n">
        <f aca="false">Sens!E8288/Sens!D8288-1</f>
        <v>0.315542736208578</v>
      </c>
      <c r="F8289" s="7" t="n">
        <f aca="false">Sens!F8288/Sens!E8288-1</f>
        <v>0.131131759124461</v>
      </c>
      <c r="G8289" s="7" t="n">
        <f aca="false">Sens!G8288/Sens!F8288-1</f>
        <v>0.229407568471235</v>
      </c>
      <c r="H8289" s="7" t="n">
        <f aca="false">Sens!H8288/Sens!G8288-1</f>
        <v>0.215227646354775</v>
      </c>
      <c r="I8289" s="7" t="n">
        <f aca="false">Sens!I8288/Sens!H8288-1</f>
        <v>0.148969723626865</v>
      </c>
      <c r="J8289" s="7" t="n">
        <f aca="false">Sens!J8288/Sens!I8288-1</f>
        <v>0.109469722950384</v>
      </c>
      <c r="K8289" s="7" t="n">
        <f aca="false">Sens!K8288/Sens!J8288-1</f>
        <v>0.083521903742088</v>
      </c>
    </row>
    <row r="8290" customFormat="false" ht="17.15" hidden="false" customHeight="false" outlineLevel="0" collapsed="false">
      <c r="A8290" s="0" t="s">
        <v>856</v>
      </c>
      <c r="B8290" s="0" t="s">
        <v>98</v>
      </c>
      <c r="E8290" s="6" t="n">
        <f aca="false">Sens!E8231</f>
        <v>5.25</v>
      </c>
      <c r="F8290" s="6" t="n">
        <f aca="false">Sens!F8231</f>
        <v>13.5</v>
      </c>
      <c r="G8290" s="6" t="n">
        <f aca="false">Sens!G8231</f>
        <v>22.5</v>
      </c>
      <c r="H8290" s="6" t="n">
        <f aca="false">Sens!H8231</f>
        <v>31.5</v>
      </c>
      <c r="I8290" s="6" t="n">
        <f aca="false">Sens!I8231</f>
        <v>38.25</v>
      </c>
      <c r="J8290" s="6" t="n">
        <f aca="false">Sens!J8231</f>
        <v>42.75</v>
      </c>
      <c r="K8290" s="6" t="n">
        <f aca="false">Sens!K8231</f>
        <v>47.25</v>
      </c>
    </row>
    <row r="8291" customFormat="false" ht="17.15" hidden="false" customHeight="false" outlineLevel="0" collapsed="false">
      <c r="A8291" s="1" t="s">
        <v>857</v>
      </c>
      <c r="B8291" s="0" t="s">
        <v>98</v>
      </c>
      <c r="F8291" s="6" t="n">
        <f aca="false">MAX(0,((Sens!E8194+Sens!F8194)/2-(shadow_base*(Sens!$D$8194+Sens!$E$8194)/2+(1-shadow_base)*Sens!$E$8194))*Sens!F8202/1000-(Sens!F8290-Sens!$E$8290)*Sens!F8270)</f>
        <v>8.44248444763781</v>
      </c>
      <c r="G8291" s="6" t="n">
        <f aca="false">MAX(0,((Sens!F8194+Sens!G8194)/2-(shadow_base*(Sens!$D$8194+Sens!$E$8194)/2+(1-shadow_base)*Sens!$E$8194))*Sens!G8202/1000-(Sens!G8290-Sens!$E$8290)*Sens!G8270)</f>
        <v>21.3653222817508</v>
      </c>
      <c r="H8291" s="6" t="n">
        <f aca="false">MAX(0,((Sens!G8194+Sens!H8194)/2-(shadow_base*(Sens!$D$8194+Sens!$E$8194)/2+(1-shadow_base)*Sens!$E$8194))*Sens!H8202/1000-(Sens!H8290-Sens!$E$8290)*Sens!H8270)</f>
        <v>35.8221390663856</v>
      </c>
      <c r="I8291" s="6" t="n">
        <f aca="false">MAX(0,((Sens!H8194+Sens!I8194)/2-(shadow_base*(Sens!$D$8194+Sens!$E$8194)/2+(1-shadow_base)*Sens!$E$8194))*Sens!I8202/1000-(Sens!I8290-Sens!$E$8290)*Sens!I8270)</f>
        <v>49.3691841492478</v>
      </c>
      <c r="J8291" s="6" t="n">
        <f aca="false">MAX(0,((Sens!I8194+Sens!J8194)/2-(shadow_base*(Sens!$D$8194+Sens!$E$8194)/2+(1-shadow_base)*Sens!$E$8194))*Sens!J8202/1000-(Sens!J8290-Sens!$E$8290)*Sens!J8270)</f>
        <v>59.0322720639359</v>
      </c>
      <c r="K8291" s="6" t="n">
        <f aca="false">MAX(0,((Sens!J8194+Sens!K8194)/2-(shadow_base*(Sens!$D$8194+Sens!$E$8194)/2+(1-shadow_base)*Sens!$E$8194))*Sens!K8202/1000-(Sens!K8290-Sens!$E$8290)*Sens!K8270)</f>
        <v>64.2195097796802</v>
      </c>
      <c r="L8291" s="1" t="s">
        <v>858</v>
      </c>
    </row>
    <row r="8292" customFormat="false" ht="17.15" hidden="false" customHeight="false" outlineLevel="0" collapsed="false">
      <c r="A8292" s="1" t="s">
        <v>859</v>
      </c>
      <c r="B8292" s="0" t="s">
        <v>98</v>
      </c>
      <c r="F8292" s="6" t="n">
        <f aca="false">IF(internal_ai_reading=2,1,0)*Sens!F8291</f>
        <v>8.44248444763781</v>
      </c>
      <c r="G8292" s="6" t="n">
        <f aca="false">IF(internal_ai_reading=2,1,0)*Sens!G8291</f>
        <v>21.3653222817508</v>
      </c>
      <c r="H8292" s="6" t="n">
        <f aca="false">IF(internal_ai_reading=2,1,0)*Sens!H8291</f>
        <v>35.8221390663856</v>
      </c>
      <c r="I8292" s="6" t="n">
        <f aca="false">IF(internal_ai_reading=2,1,0)*Sens!I8291</f>
        <v>49.3691841492478</v>
      </c>
      <c r="J8292" s="6" t="n">
        <f aca="false">IF(internal_ai_reading=2,1,0)*Sens!J8291</f>
        <v>59.0322720639359</v>
      </c>
      <c r="K8292" s="6" t="n">
        <f aca="false">IF(internal_ai_reading=2,1,0)*Sens!K8291</f>
        <v>64.2195097796802</v>
      </c>
    </row>
    <row r="8293" customFormat="false" ht="17.15" hidden="false" customHeight="false" outlineLevel="0" collapsed="false">
      <c r="A8293" s="0" t="s">
        <v>860</v>
      </c>
      <c r="B8293" s="0" t="s">
        <v>98</v>
      </c>
      <c r="F8293" s="6" t="n">
        <f aca="false">Sens!F8211+Sens!F8290*Sens!F8270+Sens!F8292-Sens!F8212-Sens!F8222</f>
        <v>18.6954441577666</v>
      </c>
      <c r="G8293" s="6" t="n">
        <f aca="false">Sens!G8211+Sens!G8290*Sens!G8270+Sens!G8292-Sens!G8212-Sens!G8222</f>
        <v>42.7730967717415</v>
      </c>
      <c r="H8293" s="6" t="n">
        <f aca="false">Sens!H8211+Sens!H8290*Sens!H8270+Sens!H8292-Sens!H8212-Sens!H8222</f>
        <v>72.3524695349497</v>
      </c>
      <c r="I8293" s="6" t="n">
        <f aca="false">Sens!I8211+Sens!I8290*Sens!I8270+Sens!I8292-Sens!I8212-Sens!I8222</f>
        <v>93.3920399917181</v>
      </c>
      <c r="J8293" s="6" t="n">
        <f aca="false">Sens!J8211+Sens!J8290*Sens!J8270+Sens!J8292-Sens!J8212-Sens!J8222</f>
        <v>108.132424046476</v>
      </c>
      <c r="K8293" s="6" t="n">
        <f aca="false">Sens!K8211+Sens!K8290*Sens!K8270+Sens!K8292-Sens!K8212-Sens!K8222</f>
        <v>118.341283106908</v>
      </c>
    </row>
    <row r="8294" customFormat="false" ht="17.15" hidden="false" customHeight="false" outlineLevel="0" collapsed="false">
      <c r="A8294" s="0" t="s">
        <v>861</v>
      </c>
      <c r="B8294" s="0" t="s">
        <v>98</v>
      </c>
      <c r="E8294" s="6" t="n">
        <f aca="false">Sens!E8193*(cxit_open+self_build*tk_cxfac)/1000*ai_net_open</f>
        <v>126.6980382</v>
      </c>
      <c r="F8294" s="6" t="n">
        <f aca="false">Sens!E8294+Sens!F8219-Sens!F8222</f>
        <v>252.981026690511</v>
      </c>
      <c r="G8294" s="6" t="n">
        <f aca="false">Sens!F8294+Sens!G8219-Sens!G8222</f>
        <v>377.4297700632</v>
      </c>
      <c r="H8294" s="6" t="n">
        <f aca="false">Sens!G8294+Sens!H8219-Sens!H8222</f>
        <v>479.149036130289</v>
      </c>
      <c r="I8294" s="6" t="n">
        <f aca="false">Sens!H8294+Sens!I8219-Sens!I8222</f>
        <v>532.249961452141</v>
      </c>
      <c r="J8294" s="6" t="n">
        <f aca="false">Sens!I8294+Sens!J8219-Sens!J8222</f>
        <v>531.43307519354</v>
      </c>
      <c r="K8294" s="6" t="n">
        <f aca="false">Sens!J8294+Sens!K8219-Sens!K8222</f>
        <v>513.709026452823</v>
      </c>
      <c r="L8294" s="1" t="s">
        <v>862</v>
      </c>
    </row>
    <row r="8295" customFormat="false" ht="17.15" hidden="false" customHeight="false" outlineLevel="0" collapsed="false">
      <c r="A8295" s="0" t="s">
        <v>863</v>
      </c>
      <c r="B8295" s="0" t="s">
        <v>129</v>
      </c>
      <c r="F8295" s="7" t="n">
        <f aca="false">Sens!F8293*(1-tax_f)/((Sens!E8294+Sens!F8294)/2)</f>
        <v>0.0787841980727922</v>
      </c>
      <c r="G8295" s="7" t="n">
        <f aca="false">Sens!G8293*(1-tax_f)/((Sens!F8294+Sens!G8294)/2)</f>
        <v>0.108559300042451</v>
      </c>
      <c r="H8295" s="7" t="n">
        <f aca="false">Sens!H8293*(1-tax_f)/((Sens!G8294+Sens!H8294)/2)</f>
        <v>0.135146877810762</v>
      </c>
      <c r="I8295" s="7" t="n">
        <f aca="false">Sens!I8293*(1-tax_f)/((Sens!H8294+Sens!I8294)/2)</f>
        <v>0.147743140287788</v>
      </c>
      <c r="J8295" s="7" t="n">
        <f aca="false">Sens!J8293*(1-tax_f)/((Sens!I8294+Sens!J8294)/2)</f>
        <v>0.162653603107137</v>
      </c>
      <c r="K8295" s="7" t="n">
        <f aca="false">Sens!K8293*(1-tax_f)/((Sens!J8294+Sens!K8294)/2)</f>
        <v>0.181167759554213</v>
      </c>
    </row>
    <row r="8296" customFormat="false" ht="17.15" hidden="false" customHeight="false" outlineLevel="0" collapsed="false">
      <c r="A8296" s="1" t="s">
        <v>864</v>
      </c>
      <c r="B8296" s="0" t="s">
        <v>129</v>
      </c>
      <c r="F8296" s="7" t="n">
        <f aca="false">(Sens!F8293-Sens!F8292)*(1-tax_f)/((Sens!E8294+Sens!F8294)/2)</f>
        <v>0.0432068477121243</v>
      </c>
      <c r="G8296" s="7" t="n">
        <f aca="false">(Sens!G8293-Sens!G8292)*(1-tax_f)/((Sens!F8294+Sens!G8294)/2)</f>
        <v>0.0543335224592717</v>
      </c>
      <c r="H8296" s="7" t="n">
        <f aca="false">(Sens!H8293-Sens!H8292)*(1-tax_f)/((Sens!G8294+Sens!H8294)/2)</f>
        <v>0.0682348527970699</v>
      </c>
      <c r="I8296" s="7" t="n">
        <f aca="false">(Sens!I8293-Sens!I8292)*(1-tax_f)/((Sens!H8294+Sens!I8294)/2)</f>
        <v>0.0696427122395006</v>
      </c>
      <c r="J8296" s="7" t="n">
        <f aca="false">(Sens!J8293-Sens!J8292)*(1-tax_f)/((Sens!I8294+Sens!J8294)/2)</f>
        <v>0.0738568168011806</v>
      </c>
      <c r="K8296" s="7" t="n">
        <f aca="false">(Sens!K8293-Sens!K8292)*(1-tax_f)/((Sens!J8294+Sens!K8294)/2)</f>
        <v>0.0828546062656513</v>
      </c>
    </row>
    <row r="8297" customFormat="false" ht="17.15" hidden="false" customHeight="false" outlineLevel="0" collapsed="false">
      <c r="A8297" s="1" t="s">
        <v>865</v>
      </c>
      <c r="B8297" s="0" t="s">
        <v>129</v>
      </c>
      <c r="F8297" s="7" t="n">
        <f aca="false">(Sens!F8293-Sens!F8292+Sens!F8291)*(1-tax_f)/((Sens!E8294+Sens!F8294)/2)</f>
        <v>0.0787841980727922</v>
      </c>
      <c r="G8297" s="7" t="n">
        <f aca="false">(Sens!G8293-Sens!G8292+Sens!G8291)*(1-tax_f)/((Sens!F8294+Sens!G8294)/2)</f>
        <v>0.108559300042451</v>
      </c>
      <c r="H8297" s="7" t="n">
        <f aca="false">(Sens!H8293-Sens!H8292+Sens!H8291)*(1-tax_f)/((Sens!G8294+Sens!H8294)/2)</f>
        <v>0.135146877810762</v>
      </c>
      <c r="I8297" s="7" t="n">
        <f aca="false">(Sens!I8293-Sens!I8292+Sens!I8291)*(1-tax_f)/((Sens!H8294+Sens!I8294)/2)</f>
        <v>0.147743140287788</v>
      </c>
      <c r="J8297" s="7" t="n">
        <f aca="false">(Sens!J8293-Sens!J8292+Sens!J8291)*(1-tax_f)/((Sens!I8294+Sens!J8294)/2)</f>
        <v>0.162653603107137</v>
      </c>
      <c r="K8297" s="7" t="n">
        <f aca="false">(Sens!K8293-Sens!K8292+Sens!K8291)*(1-tax_f)/((Sens!J8294+Sens!K8294)/2)</f>
        <v>0.181167759554213</v>
      </c>
    </row>
    <row r="8298" customFormat="false" ht="17.15" hidden="false" customHeight="false" outlineLevel="0" collapsed="false">
      <c r="A8298" s="1" t="s">
        <v>866</v>
      </c>
      <c r="B8298" s="0" t="s">
        <v>129</v>
      </c>
      <c r="F8298" s="7" t="n">
        <f aca="false">Sens!F8223*(1-tax_f)/(Sens!F8210*(Sens!E8294+Sens!F8294)/2)</f>
        <v>0.159418295257403</v>
      </c>
      <c r="G8298" s="7" t="n">
        <f aca="false">Sens!G8223*(1-tax_f)/(Sens!G8210*(Sens!F8294+Sens!G8294)/2)</f>
        <v>0.181875227327983</v>
      </c>
      <c r="H8298" s="7" t="n">
        <f aca="false">Sens!H8223*(1-tax_f)/(Sens!H8210*(Sens!G8294+Sens!H8294)/2)</f>
        <v>0.212793847216411</v>
      </c>
      <c r="I8298" s="7" t="n">
        <f aca="false">Sens!I8223*(1-tax_f)/(Sens!I8210*(Sens!H8294+Sens!I8294)/2)</f>
        <v>0.225613268329429</v>
      </c>
      <c r="J8298" s="7" t="n">
        <f aca="false">Sens!J8223*(1-tax_f)/(Sens!J8210*(Sens!I8294+Sens!J8294)/2)</f>
        <v>0.24488839563955</v>
      </c>
      <c r="K8298" s="7" t="n">
        <f aca="false">Sens!K8223*(1-tax_f)/(Sens!K8210*(Sens!J8294+Sens!K8294)/2)</f>
        <v>0.270711455180788</v>
      </c>
    </row>
    <row r="8299" customFormat="false" ht="17.15" hidden="false" customHeight="false" outlineLevel="0" collapsed="false">
      <c r="A8299" s="0" t="s">
        <v>867</v>
      </c>
      <c r="B8299" s="0" t="s">
        <v>209</v>
      </c>
      <c r="F8299" s="7" t="n">
        <f aca="false">Sens!F8295-wacc</f>
        <v>-0.0241502220200835</v>
      </c>
      <c r="G8299" s="7" t="n">
        <f aca="false">Sens!G8295-wacc</f>
        <v>0.00562487994957479</v>
      </c>
      <c r="H8299" s="7" t="n">
        <f aca="false">Sens!H8295-wacc</f>
        <v>0.0322124577178859</v>
      </c>
      <c r="I8299" s="7" t="n">
        <f aca="false">Sens!I8295-wacc</f>
        <v>0.0448087201949121</v>
      </c>
      <c r="J8299" s="7" t="n">
        <f aca="false">Sens!J8295-wacc</f>
        <v>0.0597191830142614</v>
      </c>
      <c r="K8299" s="7" t="n">
        <f aca="false">Sens!K8295-wacc</f>
        <v>0.0782333394613372</v>
      </c>
    </row>
    <row r="8300" customFormat="false" ht="17.15" hidden="false" customHeight="false" outlineLevel="0" collapsed="false">
      <c r="A8300" s="0" t="s">
        <v>868</v>
      </c>
      <c r="B8300" s="0" t="s">
        <v>98</v>
      </c>
      <c r="F8300" s="6" t="n">
        <f aca="false">Sens!F8293*(1-tax_f)-wacc*(Sens!E8294+Sens!F8294)/2</f>
        <v>-4.58466685674177</v>
      </c>
      <c r="G8300" s="6" t="n">
        <f aca="false">Sens!G8293*(1-tax_f)-wacc*(Sens!F8294+Sens!G8294)/2</f>
        <v>1.77299252532771</v>
      </c>
      <c r="H8300" s="6" t="n">
        <f aca="false">Sens!H8293*(1-tax_f)-wacc*(Sens!G8294+Sens!H8294)/2</f>
        <v>13.7962542882725</v>
      </c>
      <c r="I8300" s="6" t="n">
        <f aca="false">Sens!I8293*(1-tax_f)-wacc*(Sens!H8294+Sens!I8294)/2</f>
        <v>22.6597473440428</v>
      </c>
      <c r="J8300" s="6" t="n">
        <f aca="false">Sens!J8293*(1-tax_f)-wacc*(Sens!I8294+Sens!J8294)/2</f>
        <v>31.7611409673044</v>
      </c>
      <c r="K8300" s="6" t="n">
        <f aca="false">Sens!K8293*(1-tax_f)-wacc*(Sens!J8294+Sens!K8294)/2</f>
        <v>40.8824784117176</v>
      </c>
    </row>
    <row r="8301" customFormat="false" ht="17.15" hidden="false" customHeight="false" outlineLevel="0" collapsed="false">
      <c r="A8301" s="3" t="s">
        <v>1475</v>
      </c>
    </row>
    <row r="8302" customFormat="false" ht="15" hidden="false" customHeight="false" outlineLevel="0" collapsed="false">
      <c r="A8302" s="4" t="s">
        <v>43</v>
      </c>
      <c r="B8302" s="4" t="s">
        <v>65</v>
      </c>
      <c r="C8302" s="20" t="s">
        <v>799</v>
      </c>
      <c r="D8302" s="20" t="s">
        <v>800</v>
      </c>
      <c r="E8302" s="20" t="s">
        <v>801</v>
      </c>
      <c r="F8302" s="20" t="s">
        <v>802</v>
      </c>
      <c r="G8302" s="20" t="s">
        <v>803</v>
      </c>
      <c r="H8302" s="20" t="s">
        <v>804</v>
      </c>
      <c r="I8302" s="20" t="s">
        <v>805</v>
      </c>
      <c r="J8302" s="20" t="s">
        <v>806</v>
      </c>
      <c r="K8302" s="20" t="s">
        <v>807</v>
      </c>
      <c r="L8302" s="4" t="s">
        <v>47</v>
      </c>
    </row>
    <row r="8303" customFormat="false" ht="15" hidden="false" customHeight="false" outlineLevel="0" collapsed="false">
      <c r="A8303" s="1" t="s">
        <v>925</v>
      </c>
      <c r="B8303" s="0" t="s">
        <v>98</v>
      </c>
      <c r="F8303" s="6" t="n">
        <f aca="false">Sens!F8284</f>
        <v>144.949881652916</v>
      </c>
      <c r="G8303" s="6" t="n">
        <f aca="false">Sens!G8284</f>
        <v>170.267364807864</v>
      </c>
      <c r="H8303" s="6" t="n">
        <f aca="false">Sens!H8284</f>
        <v>199.541278916804</v>
      </c>
      <c r="I8303" s="6" t="n">
        <f aca="false">Sens!I8284</f>
        <v>223.108881012165</v>
      </c>
      <c r="J8303" s="6" t="n">
        <f aca="false">Sens!J8284</f>
        <v>244.676184829861</v>
      </c>
      <c r="K8303" s="6" t="n">
        <f aca="false">Sens!K8284</f>
        <v>265.598589138669</v>
      </c>
    </row>
    <row r="8304" customFormat="false" ht="17.15" hidden="false" customHeight="false" outlineLevel="0" collapsed="false">
      <c r="A8304" s="1" t="s">
        <v>947</v>
      </c>
      <c r="B8304" s="0" t="s">
        <v>98</v>
      </c>
      <c r="E8304" s="6" t="n">
        <f aca="false">Q!M38-Sens!E8222</f>
        <v>22.2285940229167</v>
      </c>
      <c r="F8304" s="6" t="n">
        <f aca="false">Sens!E8304*(1-1/life_nonai)+(Sens!F8311+Sens!F8312)/life_nonai</f>
        <v>24.3924470334783</v>
      </c>
      <c r="G8304" s="6" t="n">
        <f aca="false">Sens!F8304*(1-1/life_nonai)+(Sens!G8311)/life_nonai</f>
        <v>26.1493882196737</v>
      </c>
      <c r="H8304" s="6" t="n">
        <f aca="false">Sens!G8304*(1-1/life_nonai)+(Sens!H8311)/life_nonai</f>
        <v>28.3758099553965</v>
      </c>
      <c r="I8304" s="6" t="n">
        <f aca="false">Sens!H8304*(1-1/life_nonai)+(Sens!I8311)/life_nonai</f>
        <v>31.0207532110331</v>
      </c>
      <c r="J8304" s="6" t="n">
        <f aca="false">Sens!I8304*(1-1/life_nonai)+(Sens!J8311)/life_nonai</f>
        <v>34.0215962524327</v>
      </c>
      <c r="K8304" s="6" t="n">
        <f aca="false">Sens!J8304*(1-1/life_nonai)+(Sens!K8311)/life_nonai</f>
        <v>37.3248282772018</v>
      </c>
      <c r="L8304" s="11" t="s">
        <v>948</v>
      </c>
    </row>
    <row r="8305" customFormat="false" ht="17.15" hidden="false" customHeight="false" outlineLevel="0" collapsed="false">
      <c r="A8305" s="1" t="s">
        <v>949</v>
      </c>
      <c r="B8305" s="0" t="s">
        <v>98</v>
      </c>
      <c r="F8305" s="6" t="n">
        <f aca="false">Sens!$F$8312/life_nonai*(1-1/life_nonai)^(Sens!F8188-2027)</f>
        <v>0.80389389075924</v>
      </c>
      <c r="G8305" s="6" t="n">
        <f aca="false">Sens!$F$8312/life_nonai*(1-1/life_nonai)^(Sens!G8188-2027)</f>
        <v>0.723504501683316</v>
      </c>
      <c r="H8305" s="6" t="n">
        <f aca="false">Sens!$F$8312/life_nonai*(1-1/life_nonai)^(Sens!H8188-2027)</f>
        <v>0.651154051514985</v>
      </c>
      <c r="I8305" s="6" t="n">
        <f aca="false">Sens!$F$8312/life_nonai*(1-1/life_nonai)^(Sens!I8188-2027)</f>
        <v>0.586038646363486</v>
      </c>
      <c r="J8305" s="6" t="n">
        <f aca="false">Sens!$F$8312/life_nonai*(1-1/life_nonai)^(Sens!J8188-2027)</f>
        <v>0.527434781727138</v>
      </c>
      <c r="K8305" s="6" t="n">
        <f aca="false">Sens!$F$8312/life_nonai*(1-1/life_nonai)^(Sens!K8188-2027)</f>
        <v>0.474691303554424</v>
      </c>
      <c r="L8305" s="1" t="s">
        <v>950</v>
      </c>
    </row>
    <row r="8306" customFormat="false" ht="17.15" hidden="false" customHeight="false" outlineLevel="0" collapsed="false">
      <c r="A8306" s="1" t="s">
        <v>951</v>
      </c>
      <c r="B8306" s="0" t="s">
        <v>98</v>
      </c>
      <c r="E8306" s="6" t="n">
        <f aca="false">Sens!E8222+Sens!E8304</f>
        <v>38.534</v>
      </c>
      <c r="F8306" s="6" t="n">
        <f aca="false">Sens!F8222+Sens!F8304</f>
        <v>58.4423344144339</v>
      </c>
      <c r="G8306" s="6" t="n">
        <f aca="false">Sens!G8222+Sens!G8304</f>
        <v>85.2748253301848</v>
      </c>
      <c r="H8306" s="6" t="n">
        <f aca="false">Sens!H8222+Sens!H8304</f>
        <v>114.736829798708</v>
      </c>
      <c r="I8306" s="6" t="n">
        <f aca="false">Sens!I8222+Sens!I8304</f>
        <v>141.626497043426</v>
      </c>
      <c r="J8306" s="6" t="n">
        <f aca="false">Sens!J8222+Sens!J8304</f>
        <v>162.019919105276</v>
      </c>
      <c r="K8306" s="6" t="n">
        <f aca="false">Sens!K8222+Sens!K8304</f>
        <v>176.45629232151</v>
      </c>
    </row>
    <row r="8307" customFormat="false" ht="17.15" hidden="false" customHeight="false" outlineLevel="0" collapsed="false">
      <c r="A8307" s="1" t="s">
        <v>952</v>
      </c>
      <c r="B8307" s="0" t="s">
        <v>98</v>
      </c>
      <c r="F8307" s="6" t="n">
        <f aca="false">Sens!F8249*sbc_r</f>
        <v>15.1425532240266</v>
      </c>
      <c r="G8307" s="6" t="n">
        <f aca="false">Sens!G8249*sbc_r</f>
        <v>18.4449739203321</v>
      </c>
      <c r="H8307" s="6" t="n">
        <f aca="false">Sens!H8249*sbc_r</f>
        <v>22.0364192069281</v>
      </c>
      <c r="I8307" s="6" t="n">
        <f aca="false">Sens!I8249*sbc_r</f>
        <v>25.1789022104124</v>
      </c>
      <c r="J8307" s="6" t="n">
        <f aca="false">Sens!J8249*sbc_r</f>
        <v>27.8245012193646</v>
      </c>
      <c r="K8307" s="6" t="n">
        <f aca="false">Sens!K8249*sbc_r</f>
        <v>30.0843999094612</v>
      </c>
    </row>
    <row r="8308" customFormat="false" ht="17.15" hidden="false" customHeight="false" outlineLevel="0" collapsed="false">
      <c r="A8308" s="1" t="s">
        <v>953</v>
      </c>
      <c r="B8308" s="0" t="s">
        <v>98</v>
      </c>
      <c r="F8308" s="6" t="n">
        <f aca="false">wc27</f>
        <v>-4.895</v>
      </c>
      <c r="G8308" s="6" t="n">
        <f aca="false">wc_f</f>
        <v>0</v>
      </c>
      <c r="H8308" s="6" t="n">
        <f aca="false">wc_f</f>
        <v>0</v>
      </c>
      <c r="I8308" s="6" t="n">
        <f aca="false">wc_f</f>
        <v>0</v>
      </c>
      <c r="J8308" s="6" t="n">
        <f aca="false">wc_f</f>
        <v>0</v>
      </c>
      <c r="K8308" s="6" t="n">
        <f aca="false">wc_f</f>
        <v>0</v>
      </c>
      <c r="L8308" s="11" t="s">
        <v>954</v>
      </c>
    </row>
    <row r="8309" customFormat="false" ht="15" hidden="false" customHeight="false" outlineLevel="0" collapsed="false">
      <c r="A8309" s="1" t="s">
        <v>767</v>
      </c>
      <c r="B8309" s="0" t="s">
        <v>98</v>
      </c>
      <c r="E8309" s="6" t="n">
        <f aca="false">Q!M35</f>
        <v>182.935</v>
      </c>
      <c r="F8309" s="6" t="n">
        <f aca="false">Sens!F8303+Sens!F8306+Sens!F8307+Sens!F8308</f>
        <v>213.639769291376</v>
      </c>
      <c r="G8309" s="6" t="n">
        <f aca="false">Sens!G8303+Sens!G8306+Sens!G8307+Sens!G8308</f>
        <v>273.987164058381</v>
      </c>
      <c r="H8309" s="6" t="n">
        <f aca="false">Sens!H8303+Sens!H8306+Sens!H8307+Sens!H8308</f>
        <v>336.31452792244</v>
      </c>
      <c r="I8309" s="6" t="n">
        <f aca="false">Sens!I8303+Sens!I8306+Sens!I8307+Sens!I8308</f>
        <v>389.914280266003</v>
      </c>
      <c r="J8309" s="6" t="n">
        <f aca="false">Sens!J8303+Sens!J8306+Sens!J8307+Sens!J8308</f>
        <v>434.520605154502</v>
      </c>
      <c r="K8309" s="6" t="n">
        <f aca="false">Sens!K8303+Sens!K8306+Sens!K8307+Sens!K8308</f>
        <v>472.139281369641</v>
      </c>
    </row>
    <row r="8310" customFormat="false" ht="17.15" hidden="false" customHeight="false" outlineLevel="0" collapsed="false">
      <c r="A8310" s="0" t="s">
        <v>955</v>
      </c>
      <c r="B8310" s="0" t="s">
        <v>98</v>
      </c>
      <c r="F8310" s="6" t="n">
        <f aca="false">Sens!F8219</f>
        <v>160.332875871467</v>
      </c>
      <c r="G8310" s="6" t="n">
        <f aca="false">Sens!G8219</f>
        <v>183.5741804832</v>
      </c>
      <c r="H8310" s="6" t="n">
        <f aca="false">Sens!H8219</f>
        <v>188.0802859104</v>
      </c>
      <c r="I8310" s="6" t="n">
        <f aca="false">Sens!I8219</f>
        <v>163.706669154245</v>
      </c>
      <c r="J8310" s="6" t="n">
        <f aca="false">Sens!J8219</f>
        <v>127.181436594242</v>
      </c>
      <c r="K8310" s="6" t="n">
        <f aca="false">Sens!K8219</f>
        <v>121.407415303591</v>
      </c>
    </row>
    <row r="8311" customFormat="false" ht="17.15" hidden="false" customHeight="false" outlineLevel="0" collapsed="false">
      <c r="A8311" s="1" t="s">
        <v>956</v>
      </c>
      <c r="B8311" s="0" t="s">
        <v>98</v>
      </c>
      <c r="E8311" s="6" t="n">
        <f aca="false">Sens!E8227*cx_azo+Sens!E8234*cx_m365+Sens!E8235*cx_lic+(Sens!E8237+Sens!E8239)*cx_ind+Sens!E8242*cx_srch+(Sens!E8244+Sens!E8246)*cx_dev</f>
        <v>30.1846587067718</v>
      </c>
      <c r="F8311" s="6" t="n">
        <f aca="false">Sens!F8227*cx_azo+Sens!F8234*cx_m365+Sens!F8235*cx_lic+(Sens!F8237+Sens!F8239)*cx_ind+Sens!F8242*cx_srch+(Sens!F8244+Sens!F8246)*cx_dev</f>
        <v>35.8281852209409</v>
      </c>
      <c r="G8311" s="6" t="n">
        <f aca="false">Sens!G8227*cx_azo+Sens!G8234*cx_m365+Sens!G8235*cx_lic+(Sens!G8237+Sens!G8239)*cx_ind+Sens!G8242*cx_srch+(Sens!G8244+Sens!G8246)*cx_dev</f>
        <v>41.9618588954315</v>
      </c>
      <c r="H8311" s="6" t="n">
        <f aca="false">Sens!H8227*cx_azo+Sens!H8234*cx_m365+Sens!H8235*cx_lic+(Sens!H8237+Sens!H8239)*cx_ind+Sens!H8242*cx_srch+(Sens!H8244+Sens!H8246)*cx_dev</f>
        <v>48.413605576902</v>
      </c>
      <c r="I8311" s="6" t="n">
        <f aca="false">Sens!I8227*cx_azo+Sens!I8234*cx_m365+Sens!I8235*cx_lic+(Sens!I8237+Sens!I8239)*cx_ind+Sens!I8242*cx_srch+(Sens!I8244+Sens!I8246)*cx_dev</f>
        <v>54.8252425117621</v>
      </c>
      <c r="J8311" s="6" t="n">
        <f aca="false">Sens!J8227*cx_azo+Sens!J8234*cx_m365+Sens!J8235*cx_lic+(Sens!J8237+Sens!J8239)*cx_ind+Sens!J8242*cx_srch+(Sens!J8244+Sens!J8246)*cx_dev</f>
        <v>61.0291836250298</v>
      </c>
      <c r="K8311" s="6" t="n">
        <f aca="false">Sens!K8227*cx_azo+Sens!K8234*cx_m365+Sens!K8235*cx_lic+(Sens!K8237+Sens!K8239)*cx_ind+Sens!K8242*cx_srch+(Sens!K8244+Sens!K8246)*cx_dev</f>
        <v>67.0539165001234</v>
      </c>
    </row>
    <row r="8312" customFormat="false" ht="17.15" hidden="false" customHeight="false" outlineLevel="0" collapsed="false">
      <c r="A8312" s="0" t="s">
        <v>957</v>
      </c>
      <c r="B8312" s="0" t="s">
        <v>98</v>
      </c>
      <c r="F8312" s="6" t="n">
        <f aca="false">Sens!F8217</f>
        <v>8.0389389075924</v>
      </c>
      <c r="L8312" s="1" t="s">
        <v>958</v>
      </c>
    </row>
    <row r="8313" customFormat="false" ht="17.15" hidden="false" customHeight="false" outlineLevel="0" collapsed="false">
      <c r="A8313" s="1" t="s">
        <v>959</v>
      </c>
      <c r="B8313" s="0" t="s">
        <v>98</v>
      </c>
      <c r="E8313" s="6" t="n">
        <f aca="false">Q!M42</f>
        <v>145.3</v>
      </c>
      <c r="F8313" s="6" t="n">
        <f aca="false">Sens!F8310+Sens!F8311+Sens!F8312</f>
        <v>204.2</v>
      </c>
      <c r="G8313" s="6" t="n">
        <f aca="false">Sens!G8310+Sens!G8311</f>
        <v>225.536039378632</v>
      </c>
      <c r="H8313" s="6" t="n">
        <f aca="false">Sens!H8310+Sens!H8311</f>
        <v>236.493891487302</v>
      </c>
      <c r="I8313" s="6" t="n">
        <f aca="false">Sens!I8310+Sens!I8311</f>
        <v>218.531911666008</v>
      </c>
      <c r="J8313" s="6" t="n">
        <f aca="false">Sens!J8310+Sens!J8311</f>
        <v>188.210620219272</v>
      </c>
      <c r="K8313" s="6" t="n">
        <f aca="false">Sens!K8310+Sens!K8311</f>
        <v>188.461331803714</v>
      </c>
      <c r="L8313" s="1" t="s">
        <v>960</v>
      </c>
    </row>
    <row r="8314" customFormat="false" ht="15" hidden="false" customHeight="false" outlineLevel="0" collapsed="false">
      <c r="A8314" s="1" t="s">
        <v>961</v>
      </c>
      <c r="B8314" s="0" t="s">
        <v>98</v>
      </c>
      <c r="E8314" s="6" t="n">
        <f aca="false">fl_liab</f>
        <v>66.594</v>
      </c>
      <c r="F8314" s="6" t="n">
        <f aca="false">Sens!E8314-Sens!F8315</f>
        <v>62.46973</v>
      </c>
      <c r="G8314" s="6" t="n">
        <f aca="false">Sens!F8314-Sens!G8315</f>
        <v>57.98686785</v>
      </c>
      <c r="H8314" s="6" t="n">
        <f aca="false">Sens!G8314-Sens!H8315</f>
        <v>53.92827690325</v>
      </c>
      <c r="I8314" s="6" t="n">
        <f aca="false">Sens!H8314-Sens!I8315</f>
        <v>49.7850493638962</v>
      </c>
      <c r="J8314" s="6" t="n">
        <f aca="false">Sens!I8314-Sens!J8315</f>
        <v>45.4823765852716</v>
      </c>
      <c r="K8314" s="6" t="n">
        <f aca="false">Sens!J8314-Sens!K8315</f>
        <v>40.9860835316088</v>
      </c>
    </row>
    <row r="8315" customFormat="false" ht="15" hidden="false" customHeight="false" outlineLevel="0" collapsed="false">
      <c r="A8315" s="1" t="s">
        <v>962</v>
      </c>
      <c r="B8315" s="0" t="s">
        <v>98</v>
      </c>
      <c r="F8315" s="6" t="n">
        <f aca="false">fl_pay_27-Sens!E8314*fl_rate</f>
        <v>4.12427</v>
      </c>
      <c r="G8315" s="6" t="n">
        <f aca="false">fl_pay_28-Sens!F8314*fl_rate</f>
        <v>4.48286215</v>
      </c>
      <c r="H8315" s="6" t="n">
        <f aca="false">fl_pay_29-Sens!G8314*fl_rate</f>
        <v>4.05859094675</v>
      </c>
      <c r="I8315" s="6" t="n">
        <f aca="false">fl_pay_30-Sens!H8314*fl_rate</f>
        <v>4.14322753935375</v>
      </c>
      <c r="J8315" s="6" t="n">
        <f aca="false">fl_pay_31-Sens!I8314*fl_rate</f>
        <v>4.30267277862467</v>
      </c>
      <c r="K8315" s="6" t="n">
        <f aca="false">fl_pay_32-Sens!J8314*fl_rate</f>
        <v>4.49629305366278</v>
      </c>
    </row>
    <row r="8316" customFormat="false" ht="17.15" hidden="false" customHeight="false" outlineLevel="0" collapsed="false">
      <c r="A8316" s="1" t="s">
        <v>963</v>
      </c>
      <c r="B8316" s="0" t="s">
        <v>98</v>
      </c>
      <c r="E8316" s="6" t="n">
        <f aca="false">Q!M35-Q!M36-Q!M43</f>
        <v>63.886</v>
      </c>
      <c r="F8316" s="6" t="n">
        <f aca="false">Sens!F8309-Sens!F8313-Sens!F8315</f>
        <v>5.31549929137619</v>
      </c>
      <c r="G8316" s="6" t="n">
        <f aca="false">Sens!G8309-Sens!G8313-Sens!G8315</f>
        <v>43.9682625297492</v>
      </c>
      <c r="H8316" s="6" t="n">
        <f aca="false">Sens!H8309-Sens!H8313-Sens!H8315</f>
        <v>95.7620454883881</v>
      </c>
      <c r="I8316" s="6" t="n">
        <f aca="false">Sens!I8309-Sens!I8313-Sens!I8315</f>
        <v>167.239141060642</v>
      </c>
      <c r="J8316" s="6" t="n">
        <f aca="false">Sens!J8309-Sens!J8313-Sens!J8315</f>
        <v>242.007312156605</v>
      </c>
      <c r="K8316" s="6" t="n">
        <f aca="false">Sens!K8309-Sens!K8313-Sens!K8315</f>
        <v>279.181656512264</v>
      </c>
      <c r="L8316" s="11" t="s">
        <v>964</v>
      </c>
    </row>
    <row r="8317" customFormat="false" ht="15" hidden="false" customHeight="false" outlineLevel="0" collapsed="false">
      <c r="A8317" s="1" t="s">
        <v>965</v>
      </c>
      <c r="B8317" s="0" t="s">
        <v>75</v>
      </c>
      <c r="F8317" s="8" t="n">
        <f aca="false">dps_27</f>
        <v>3.85</v>
      </c>
      <c r="G8317" s="8" t="n">
        <f aca="false">Sens!F8317*(1+dps_g)</f>
        <v>4.158</v>
      </c>
      <c r="H8317" s="8" t="n">
        <f aca="false">Sens!G8317*(1+dps_g)</f>
        <v>4.49064</v>
      </c>
      <c r="I8317" s="8" t="n">
        <f aca="false">Sens!H8317*(1+dps_g)</f>
        <v>4.8498912</v>
      </c>
      <c r="J8317" s="8" t="n">
        <f aca="false">Sens!I8317*(1+dps_g)</f>
        <v>5.237882496</v>
      </c>
      <c r="K8317" s="8" t="n">
        <f aca="false">Sens!J8317*(1+dps_g)</f>
        <v>5.65691309568</v>
      </c>
    </row>
    <row r="8318" customFormat="false" ht="17.15" hidden="false" customHeight="false" outlineLevel="0" collapsed="false">
      <c r="A8318" s="1" t="s">
        <v>966</v>
      </c>
      <c r="B8318" s="0" t="s">
        <v>98</v>
      </c>
      <c r="E8318" s="6" t="n">
        <f aca="false">Q!M41</f>
        <v>26.445</v>
      </c>
      <c r="F8318" s="6" t="n">
        <f aca="false">Sens!F8317*Sens!E8327</f>
        <v>28.59395</v>
      </c>
      <c r="G8318" s="6" t="n">
        <f aca="false">Sens!G8317*Sens!F8327</f>
        <v>31.068576</v>
      </c>
      <c r="H8318" s="6" t="n">
        <f aca="false">Sens!H8317*Sens!G8327</f>
        <v>33.6592348946291</v>
      </c>
      <c r="I8318" s="6" t="n">
        <f aca="false">Sens!I8317*Sens!H8327</f>
        <v>36.4029129261988</v>
      </c>
      <c r="J8318" s="6" t="n">
        <f aca="false">Sens!J8317*Sens!I8327</f>
        <v>39.3835448086142</v>
      </c>
      <c r="K8318" s="6" t="n">
        <f aca="false">Sens!K8317*Sens!J8327</f>
        <v>42.6214836186084</v>
      </c>
      <c r="L8318" s="1" t="s">
        <v>967</v>
      </c>
    </row>
    <row r="8319" customFormat="false" ht="15" hidden="false" customHeight="false" outlineLevel="0" collapsed="false">
      <c r="A8319" s="1" t="s">
        <v>968</v>
      </c>
      <c r="B8319" s="0" t="s">
        <v>98</v>
      </c>
      <c r="E8319" s="6" t="n">
        <f aca="false">Sens!E8316-Sens!E8318</f>
        <v>37.441</v>
      </c>
      <c r="F8319" s="6" t="n">
        <f aca="false">Sens!F8316-Sens!F8318</f>
        <v>-23.2784507086238</v>
      </c>
      <c r="G8319" s="6" t="n">
        <f aca="false">Sens!G8316-Sens!G8318</f>
        <v>12.8996865297492</v>
      </c>
      <c r="H8319" s="6" t="n">
        <f aca="false">Sens!H8316-Sens!H8318</f>
        <v>62.102810593759</v>
      </c>
      <c r="I8319" s="6" t="n">
        <f aca="false">Sens!I8316-Sens!I8318</f>
        <v>130.836228134443</v>
      </c>
      <c r="J8319" s="6" t="n">
        <f aca="false">Sens!J8316-Sens!J8318</f>
        <v>202.623767347991</v>
      </c>
      <c r="K8319" s="6" t="n">
        <f aca="false">Sens!K8316-Sens!K8318</f>
        <v>236.560172893655</v>
      </c>
    </row>
    <row r="8320" customFormat="false" ht="15" hidden="false" customHeight="false" outlineLevel="0" collapsed="false">
      <c r="A8320" s="1" t="s">
        <v>969</v>
      </c>
      <c r="B8320" s="0" t="s">
        <v>98</v>
      </c>
      <c r="F8320" s="6" t="n">
        <f aca="false">debt_mat_27</f>
        <v>9.25</v>
      </c>
      <c r="G8320" s="6" t="n">
        <f aca="false">debt_mat_28</f>
        <v>0</v>
      </c>
      <c r="H8320" s="6" t="n">
        <f aca="false">debt_mat_29</f>
        <v>2.001</v>
      </c>
      <c r="I8320" s="6" t="n">
        <f aca="false">debt_mat_30</f>
        <v>0</v>
      </c>
      <c r="J8320" s="6" t="n">
        <f aca="false">debt_mat_31</f>
        <v>0.5</v>
      </c>
      <c r="K8320" s="6" t="n">
        <f aca="false">debt_mat_32</f>
        <v>0</v>
      </c>
    </row>
    <row r="8321" customFormat="false" ht="15" hidden="false" customHeight="false" outlineLevel="0" collapsed="false">
      <c r="A8321" s="1" t="s">
        <v>970</v>
      </c>
      <c r="B8321" s="0" t="s">
        <v>98</v>
      </c>
      <c r="E8321" s="6" t="n">
        <f aca="false">Q!M40</f>
        <v>22.271</v>
      </c>
      <c r="F8321" s="6" t="n">
        <f aca="false">MAX(0,MIN(bb_target,Sens!E8323+Sens!F8319-Sens!F8320-min_cash))</f>
        <v>0</v>
      </c>
      <c r="G8321" s="6" t="n">
        <f aca="false">MAX(0,MIN(bb_target,Sens!F8323+Sens!G8319-Sens!G8320-min_cash))</f>
        <v>12.8996865297492</v>
      </c>
      <c r="H8321" s="6" t="n">
        <f aca="false">MAX(0,MIN(bb_target,Sens!G8323+Sens!H8319-Sens!H8320-min_cash))</f>
        <v>22.271</v>
      </c>
      <c r="I8321" s="6" t="n">
        <f aca="false">MAX(0,MIN(bb_target,Sens!H8323+Sens!I8319-Sens!I8320-min_cash))</f>
        <v>22.271</v>
      </c>
      <c r="J8321" s="6" t="n">
        <f aca="false">MAX(0,MIN(bb_target,Sens!I8323+Sens!J8319-Sens!J8320-min_cash))</f>
        <v>22.271</v>
      </c>
      <c r="K8321" s="6" t="n">
        <f aca="false">MAX(0,MIN(bb_target,Sens!J8323+Sens!K8319-Sens!K8320-min_cash))</f>
        <v>22.271</v>
      </c>
    </row>
    <row r="8322" customFormat="false" ht="15" hidden="false" customHeight="false" outlineLevel="0" collapsed="false">
      <c r="A8322" s="1" t="s">
        <v>971</v>
      </c>
      <c r="B8322" s="0" t="s">
        <v>98</v>
      </c>
      <c r="F8322" s="6" t="n">
        <f aca="false">MAX(0,min_cash-(Sens!E8323+Sens!F8319-Sens!F8320-Sens!F8321))</f>
        <v>5.6854507086238</v>
      </c>
      <c r="G8322" s="6" t="n">
        <f aca="false">MAX(0,min_cash-(Sens!F8323+Sens!G8319-Sens!G8320-Sens!G8321))</f>
        <v>0</v>
      </c>
      <c r="H8322" s="6" t="n">
        <f aca="false">MAX(0,min_cash-(Sens!G8323+Sens!H8319-Sens!H8320-Sens!H8321))</f>
        <v>0</v>
      </c>
      <c r="I8322" s="6" t="n">
        <f aca="false">MAX(0,min_cash-(Sens!H8323+Sens!I8319-Sens!I8320-Sens!I8321))</f>
        <v>0</v>
      </c>
      <c r="J8322" s="6" t="n">
        <f aca="false">MAX(0,min_cash-(Sens!I8323+Sens!J8319-Sens!J8320-Sens!J8321))</f>
        <v>0</v>
      </c>
      <c r="K8322" s="6" t="n">
        <f aca="false">MAX(0,min_cash-(Sens!J8323+Sens!K8319-Sens!K8320-Sens!K8321))</f>
        <v>0</v>
      </c>
    </row>
    <row r="8323" customFormat="false" ht="15" hidden="false" customHeight="false" outlineLevel="0" collapsed="false">
      <c r="A8323" s="1" t="s">
        <v>972</v>
      </c>
      <c r="B8323" s="0" t="s">
        <v>98</v>
      </c>
      <c r="E8323" s="6" t="n">
        <f aca="false">cash_open</f>
        <v>76.843</v>
      </c>
      <c r="F8323" s="6" t="n">
        <f aca="false">Sens!E8323+Sens!F8319-Sens!F8320-Sens!F8321+Sens!F8322</f>
        <v>50</v>
      </c>
      <c r="G8323" s="6" t="n">
        <f aca="false">Sens!F8323+Sens!G8319-Sens!G8320-Sens!G8321+Sens!G8322</f>
        <v>50</v>
      </c>
      <c r="H8323" s="6" t="n">
        <f aca="false">Sens!G8323+Sens!H8319-Sens!H8320-Sens!H8321+Sens!H8322</f>
        <v>87.830810593759</v>
      </c>
      <c r="I8323" s="6" t="n">
        <f aca="false">Sens!H8323+Sens!I8319-Sens!I8320-Sens!I8321+Sens!I8322</f>
        <v>196.396038728202</v>
      </c>
      <c r="J8323" s="6" t="n">
        <f aca="false">Sens!I8323+Sens!J8319-Sens!J8320-Sens!J8321+Sens!J8322</f>
        <v>376.248806076193</v>
      </c>
      <c r="K8323" s="6" t="n">
        <f aca="false">Sens!J8323+Sens!K8319-Sens!K8320-Sens!K8321+Sens!K8322</f>
        <v>590.537978969848</v>
      </c>
    </row>
    <row r="8324" customFormat="false" ht="15" hidden="false" customHeight="false" outlineLevel="0" collapsed="false">
      <c r="A8324" s="1" t="s">
        <v>973</v>
      </c>
      <c r="B8324" s="0" t="s">
        <v>98</v>
      </c>
      <c r="E8324" s="6" t="n">
        <f aca="false">debt_face</f>
        <v>46.136</v>
      </c>
      <c r="F8324" s="6" t="n">
        <f aca="false">Sens!E8324-Sens!F8320+Sens!F8322</f>
        <v>42.5714507086238</v>
      </c>
      <c r="G8324" s="6" t="n">
        <f aca="false">Sens!F8324-Sens!G8320+Sens!G8322</f>
        <v>42.5714507086238</v>
      </c>
      <c r="H8324" s="6" t="n">
        <f aca="false">Sens!G8324-Sens!H8320+Sens!H8322</f>
        <v>40.5704507086238</v>
      </c>
      <c r="I8324" s="6" t="n">
        <f aca="false">Sens!H8324-Sens!I8320+Sens!I8322</f>
        <v>40.5704507086238</v>
      </c>
      <c r="J8324" s="6" t="n">
        <f aca="false">Sens!I8324-Sens!J8320+Sens!J8322</f>
        <v>40.0704507086238</v>
      </c>
      <c r="K8324" s="6" t="n">
        <f aca="false">Sens!J8324-Sens!K8320+Sens!K8322</f>
        <v>40.0704507086238</v>
      </c>
    </row>
    <row r="8325" customFormat="false" ht="15" hidden="false" customHeight="false" outlineLevel="0" collapsed="false">
      <c r="A8325" s="1" t="s">
        <v>974</v>
      </c>
      <c r="B8325" s="0" t="s">
        <v>98</v>
      </c>
      <c r="E8325" s="6" t="n">
        <f aca="false">Sens!E8323-Sens!E8324</f>
        <v>30.707</v>
      </c>
      <c r="F8325" s="6" t="n">
        <f aca="false">Sens!F8323-Sens!F8324</f>
        <v>7.42854929137619</v>
      </c>
      <c r="G8325" s="6" t="n">
        <f aca="false">Sens!G8323-Sens!G8324</f>
        <v>7.42854929137619</v>
      </c>
      <c r="H8325" s="6" t="n">
        <f aca="false">Sens!H8323-Sens!H8324</f>
        <v>47.2603598851352</v>
      </c>
      <c r="I8325" s="6" t="n">
        <f aca="false">Sens!I8323-Sens!I8324</f>
        <v>155.825588019578</v>
      </c>
      <c r="J8325" s="6" t="n">
        <f aca="false">Sens!J8323-Sens!J8324</f>
        <v>336.178355367569</v>
      </c>
      <c r="K8325" s="6" t="n">
        <f aca="false">Sens!K8323-Sens!K8324</f>
        <v>550.467528261224</v>
      </c>
    </row>
    <row r="8326" customFormat="false" ht="15" hidden="false" customHeight="false" outlineLevel="0" collapsed="false">
      <c r="A8326" s="1" t="s">
        <v>975</v>
      </c>
      <c r="B8326" s="0" t="s">
        <v>75</v>
      </c>
      <c r="F8326" s="29" t="n">
        <f aca="false">px*(1+bb_g)^(Sens!F8188-base_fy-mid_yr)</f>
        <v>553.494156066711</v>
      </c>
      <c r="G8326" s="29" t="n">
        <f aca="false">px*(1+bb_g)^(Sens!G8188-base_fy-mid_yr)</f>
        <v>597.773688552047</v>
      </c>
      <c r="H8326" s="29" t="n">
        <f aca="false">px*(1+bb_g)^(Sens!H8188-base_fy-mid_yr)</f>
        <v>645.595583636211</v>
      </c>
      <c r="I8326" s="29" t="n">
        <f aca="false">px*(1+bb_g)^(Sens!I8188-base_fy-mid_yr)</f>
        <v>697.243230327108</v>
      </c>
      <c r="J8326" s="29" t="n">
        <f aca="false">px*(1+bb_g)^(Sens!J8188-base_fy-mid_yr)</f>
        <v>753.022688753277</v>
      </c>
      <c r="K8326" s="29" t="n">
        <f aca="false">px*(1+bb_g)^(Sens!K8188-base_fy-mid_yr)</f>
        <v>813.264503853539</v>
      </c>
    </row>
    <row r="8327" customFormat="false" ht="15" hidden="false" customHeight="false" outlineLevel="0" collapsed="false">
      <c r="A8327" s="1" t="s">
        <v>976</v>
      </c>
      <c r="B8327" s="1" t="s">
        <v>81</v>
      </c>
      <c r="E8327" s="14" t="n">
        <f aca="false">sh_out26</f>
        <v>7.427</v>
      </c>
      <c r="F8327" s="14" t="n">
        <f aca="false">Sens!E8327+sh_iss-Sens!F8321/Sens!F8326</f>
        <v>7.472</v>
      </c>
      <c r="G8327" s="14" t="n">
        <f aca="false">Sens!F8327+sh_iss-Sens!G8321/Sens!G8326</f>
        <v>7.49542045112257</v>
      </c>
      <c r="H8327" s="14" t="n">
        <f aca="false">Sens!G8327+sh_iss-Sens!H8321/Sens!H8326</f>
        <v>7.50592362282247</v>
      </c>
      <c r="I8327" s="14" t="n">
        <f aca="false">Sens!H8327+sh_iss-Sens!I8321/Sens!I8326</f>
        <v>7.5189821151372</v>
      </c>
      <c r="J8327" s="14" t="n">
        <f aca="false">Sens!I8327+sh_iss-Sens!J8321/Sens!J8326</f>
        <v>7.53440664505824</v>
      </c>
      <c r="K8327" s="14" t="n">
        <f aca="false">Sens!J8327+sh_iss-Sens!K8321/Sens!K8326</f>
        <v>7.55202195054068</v>
      </c>
    </row>
    <row r="8328" customFormat="false" ht="15" hidden="false" customHeight="false" outlineLevel="0" collapsed="false">
      <c r="A8328" s="1" t="s">
        <v>977</v>
      </c>
      <c r="B8328" s="1" t="s">
        <v>81</v>
      </c>
      <c r="E8328" s="14" t="n">
        <f aca="false">sh_dil26</f>
        <v>7.453</v>
      </c>
      <c r="F8328" s="14" t="n">
        <f aca="false">(Sens!E8327+Sens!F8327)/2+dil_gap</f>
        <v>7.4735</v>
      </c>
      <c r="G8328" s="14" t="n">
        <f aca="false">(Sens!F8327+Sens!G8327)/2+dil_gap</f>
        <v>7.50771022556129</v>
      </c>
      <c r="H8328" s="14" t="n">
        <f aca="false">(Sens!G8327+Sens!H8327)/2+dil_gap</f>
        <v>7.52467203697252</v>
      </c>
      <c r="I8328" s="14" t="n">
        <f aca="false">(Sens!H8327+Sens!I8327)/2+dil_gap</f>
        <v>7.53645286897984</v>
      </c>
      <c r="J8328" s="14" t="n">
        <f aca="false">(Sens!I8327+Sens!J8327)/2+dil_gap</f>
        <v>7.55069438009772</v>
      </c>
      <c r="K8328" s="14" t="n">
        <f aca="false">(Sens!J8327+Sens!K8327)/2+dil_gap</f>
        <v>7.56721429779946</v>
      </c>
    </row>
    <row r="8329" customFormat="false" ht="17.15" hidden="false" customHeight="false" outlineLevel="0" collapsed="false">
      <c r="A8329" s="1" t="s">
        <v>978</v>
      </c>
      <c r="B8329" s="0" t="s">
        <v>98</v>
      </c>
      <c r="C8329" s="6" t="n">
        <f aca="false">SUM(Sens!F8319:J8319)</f>
        <v>385.184041897318</v>
      </c>
    </row>
    <row r="8330" customFormat="false" ht="15" hidden="false" customHeight="false" outlineLevel="0" collapsed="false">
      <c r="A8330" s="23" t="s">
        <v>945</v>
      </c>
      <c r="B8330" s="30" t="s">
        <v>98</v>
      </c>
      <c r="C8330" s="24" t="n">
        <f aca="false">Sens!$C$8329-(Sens!F8319+Sens!G8319+Sens!H8319+Sens!I8319+Sens!J8319)</f>
        <v>0</v>
      </c>
      <c r="D8330" s="30"/>
      <c r="E8330" s="30"/>
      <c r="F8330" s="30"/>
      <c r="G8330" s="30"/>
      <c r="H8330" s="30"/>
      <c r="I8330" s="30"/>
      <c r="J8330" s="30"/>
      <c r="K8330" s="30"/>
    </row>
    <row r="8331" customFormat="false" ht="17.15" hidden="false" customHeight="false" outlineLevel="0" collapsed="false">
      <c r="A8331" s="1" t="s">
        <v>939</v>
      </c>
      <c r="B8331" s="1" t="s">
        <v>979</v>
      </c>
      <c r="C8331" s="32" t="str">
        <f aca="false">IF(SUM(Sens!F8322:J8322)&gt;0.05,"需要舉債 "&amp;TEXT(SUM(Sens!F8322:J8322),"0.0")&amp;" 十億美元","不需舉債")&amp;"；"&amp;IF(SUM(Sens!F8321:J8321)&lt;COUNT(Sens!F8321:J8321)*bb_target-0.05,"回購較每年 "&amp;TEXT(bb_target,"0.0")&amp;" 的目標少 "&amp;TEXT(COUNT(Sens!F8321:J8321)*bb_target-SUM(Sens!F8321:J8321),"0.0")&amp;" 十億美元（"&amp;TEXT(COUNTIF(Sens!F8321:J8321,"&lt;"&amp;(bb_target-0.05)),"0")&amp;" 年減少）","回購不減")</f>
        <v>需要舉債 5.7 十億美元；回購較每年 22.3 的目標少 31.6 十億美元（2 年減少）</v>
      </c>
    </row>
    <row r="8332" customFormat="false" ht="17.15" hidden="false" customHeight="false" outlineLevel="0" collapsed="false">
      <c r="A8332" s="3" t="s">
        <v>1476</v>
      </c>
    </row>
    <row r="8333" customFormat="false" ht="15" hidden="false" customHeight="false" outlineLevel="0" collapsed="false">
      <c r="A8333" s="4" t="s">
        <v>43</v>
      </c>
      <c r="B8333" s="4" t="s">
        <v>65</v>
      </c>
      <c r="C8333" s="20" t="s">
        <v>799</v>
      </c>
      <c r="D8333" s="20" t="s">
        <v>800</v>
      </c>
      <c r="E8333" s="20" t="s">
        <v>801</v>
      </c>
      <c r="F8333" s="20" t="s">
        <v>802</v>
      </c>
      <c r="G8333" s="20" t="s">
        <v>803</v>
      </c>
      <c r="H8333" s="20" t="s">
        <v>804</v>
      </c>
      <c r="I8333" s="20" t="s">
        <v>805</v>
      </c>
      <c r="J8333" s="20" t="s">
        <v>806</v>
      </c>
      <c r="K8333" s="20" t="s">
        <v>807</v>
      </c>
      <c r="L8333" s="4" t="s">
        <v>47</v>
      </c>
    </row>
    <row r="8334" customFormat="false" ht="15" hidden="false" customHeight="false" outlineLevel="0" collapsed="false">
      <c r="A8334" s="1" t="s">
        <v>1057</v>
      </c>
      <c r="B8334" s="1" t="s">
        <v>235</v>
      </c>
      <c r="F8334" s="36" t="n">
        <f aca="false">Sens!F8188-base_fy-mid_yr</f>
        <v>0.5</v>
      </c>
      <c r="G8334" s="36" t="n">
        <f aca="false">Sens!G8188-base_fy-mid_yr</f>
        <v>1.5</v>
      </c>
      <c r="H8334" s="36" t="n">
        <f aca="false">Sens!H8188-base_fy-mid_yr</f>
        <v>2.5</v>
      </c>
      <c r="I8334" s="36" t="n">
        <f aca="false">Sens!I8188-base_fy-mid_yr</f>
        <v>3.5</v>
      </c>
      <c r="J8334" s="36" t="n">
        <f aca="false">Sens!J8188-base_fy-mid_yr</f>
        <v>4.5</v>
      </c>
      <c r="K8334" s="36" t="n">
        <f aca="false">Sens!K8188-base_fy-mid_yr</f>
        <v>5.5</v>
      </c>
    </row>
    <row r="8335" customFormat="false" ht="15" hidden="false" customHeight="false" outlineLevel="0" collapsed="false">
      <c r="A8335" s="1" t="s">
        <v>1058</v>
      </c>
      <c r="B8335" s="0" t="s">
        <v>185</v>
      </c>
      <c r="F8335" s="14" t="n">
        <f aca="false">1/(1+wacc)^Sens!F8334</f>
        <v>0.952193373608246</v>
      </c>
      <c r="G8335" s="14" t="n">
        <f aca="false">1/(1+wacc)^Sens!G8334</f>
        <v>0.863327280626589</v>
      </c>
      <c r="H8335" s="14" t="n">
        <f aca="false">1/(1+wacc)^Sens!H8334</f>
        <v>0.782754862754115</v>
      </c>
      <c r="I8335" s="14" t="n">
        <f aca="false">1/(1+wacc)^Sens!I8334</f>
        <v>0.709702089711011</v>
      </c>
      <c r="J8335" s="14" t="n">
        <f aca="false">1/(1+wacc)^Sens!J8334</f>
        <v>0.643467169744551</v>
      </c>
      <c r="K8335" s="14" t="n">
        <f aca="false">1/(1+wacc)^Sens!K8334</f>
        <v>0.583413807767797</v>
      </c>
    </row>
    <row r="8336" customFormat="false" ht="17.15" hidden="false" customHeight="false" outlineLevel="0" collapsed="false">
      <c r="A8336" s="1" t="s">
        <v>1059</v>
      </c>
      <c r="B8336" s="0" t="s">
        <v>98</v>
      </c>
      <c r="F8336" s="6" t="n">
        <f aca="false">Sens!F8309-Sens!F8307-Sens!F8313+Sens!F8292*(1-tax_f)</f>
        <v>1.0512036254598</v>
      </c>
      <c r="G8336" s="6" t="n">
        <f aca="false">Sens!G8309-Sens!G8307-Sens!G8313+Sens!G8292*(1-tax_f)</f>
        <v>47.0984085848178</v>
      </c>
      <c r="H8336" s="6" t="n">
        <f aca="false">Sens!H8309-Sens!H8307-Sens!H8313+Sens!H8292*(1-tax_f)</f>
        <v>106.441928481318</v>
      </c>
      <c r="I8336" s="6" t="n">
        <f aca="false">Sens!I8309-Sens!I8307-Sens!I8313+Sens!I8292*(1-tax_f)</f>
        <v>185.698813708982</v>
      </c>
      <c r="J8336" s="6" t="n">
        <f aca="false">Sens!J8309-Sens!J8307-Sens!J8313+Sens!J8292*(1-tax_f)</f>
        <v>265.711301367014</v>
      </c>
      <c r="K8336" s="6" t="n">
        <f aca="false">Sens!K8309-Sens!K8307-Sens!K8313+Sens!K8292*(1-tax_f)</f>
        <v>304.96915748021</v>
      </c>
      <c r="L8336" s="1" t="s">
        <v>1060</v>
      </c>
    </row>
    <row r="8337" customFormat="false" ht="15" hidden="false" customHeight="false" outlineLevel="0" collapsed="false">
      <c r="A8337" s="1" t="s">
        <v>1061</v>
      </c>
      <c r="B8337" s="0" t="s">
        <v>98</v>
      </c>
      <c r="F8337" s="6" t="n">
        <f aca="false">Sens!F8336*Sens!F8335</f>
        <v>1.00094912647579</v>
      </c>
      <c r="G8337" s="6" t="n">
        <f aca="false">Sens!G8336*Sens!G8335</f>
        <v>40.6613410053707</v>
      </c>
      <c r="H8337" s="6" t="n">
        <f aca="false">Sens!H8336*Sens!H8335</f>
        <v>83.3179371196778</v>
      </c>
      <c r="I8337" s="6" t="n">
        <f aca="false">Sens!I8336*Sens!I8335</f>
        <v>131.79083614612</v>
      </c>
      <c r="J8337" s="6" t="n">
        <f aca="false">Sens!J8336*Sens!J8335</f>
        <v>170.976499059774</v>
      </c>
      <c r="K8337" s="6" t="n">
        <f aca="false">Sens!K8336*Sens!K8335</f>
        <v>177.923217417266</v>
      </c>
    </row>
    <row r="8338" customFormat="false" ht="17.15" hidden="false" customHeight="false" outlineLevel="0" collapsed="false">
      <c r="A8338" s="1" t="s">
        <v>1062</v>
      </c>
      <c r="B8338" s="0" t="s">
        <v>98</v>
      </c>
      <c r="C8338" s="6" t="n">
        <f aca="false">SUM(Sens!F8337:K8337)</f>
        <v>605.670779874684</v>
      </c>
    </row>
    <row r="8339" customFormat="false" ht="17.15" hidden="false" customHeight="false" outlineLevel="0" collapsed="false">
      <c r="A8339" s="1" t="s">
        <v>1063</v>
      </c>
      <c r="B8339" s="0" t="s">
        <v>98</v>
      </c>
      <c r="C8339" s="6" t="n">
        <f aca="false">Sens!K8278*(1+g_tv)*(1-tax_f)</f>
        <v>326.813022871286</v>
      </c>
    </row>
    <row r="8340" customFormat="false" ht="17.15" hidden="false" customHeight="false" outlineLevel="0" collapsed="false">
      <c r="A8340" s="1" t="s">
        <v>1064</v>
      </c>
      <c r="B8340" s="0" t="s">
        <v>98</v>
      </c>
      <c r="C8340" s="6" t="n">
        <f aca="false">Sens!$C$8339*(1-g_tv/(wacc+ronic_prem))</f>
        <v>231.564118983818</v>
      </c>
    </row>
    <row r="8341" customFormat="false" ht="17.15" hidden="false" customHeight="false" outlineLevel="0" collapsed="false">
      <c r="A8341" s="1" t="s">
        <v>1065</v>
      </c>
      <c r="B8341" s="0" t="s">
        <v>98</v>
      </c>
      <c r="C8341" s="6" t="n">
        <f aca="false">Sens!$C$8340/(wacc-g_tv)</f>
        <v>3174.9634629156</v>
      </c>
    </row>
    <row r="8342" customFormat="false" ht="15" hidden="false" customHeight="false" outlineLevel="0" collapsed="false">
      <c r="A8342" s="1" t="s">
        <v>1066</v>
      </c>
      <c r="B8342" s="0" t="s">
        <v>98</v>
      </c>
      <c r="C8342" s="6" t="n">
        <f aca="false">Sens!$C$8341/(1+wacc)^(Sens!K8334+mid_yr)</f>
        <v>1763.76447162203</v>
      </c>
    </row>
    <row r="8343" customFormat="false" ht="17.15" hidden="false" customHeight="false" outlineLevel="0" collapsed="false">
      <c r="A8343" s="0" t="s">
        <v>986</v>
      </c>
      <c r="B8343" s="0" t="s">
        <v>98</v>
      </c>
      <c r="C8343" s="6" t="n">
        <f aca="false">Sens!$C$8338+Sens!$C$8342</f>
        <v>2369.43525149671</v>
      </c>
    </row>
    <row r="8344" customFormat="false" ht="15" hidden="false" customHeight="false" outlineLevel="0" collapsed="false">
      <c r="A8344" s="1" t="s">
        <v>987</v>
      </c>
      <c r="B8344" s="0" t="s">
        <v>129</v>
      </c>
      <c r="C8344" s="7" t="n">
        <f aca="false">Sens!$C$8342/Sens!$C$8343</f>
        <v>0.744381797522386</v>
      </c>
    </row>
    <row r="8345" customFormat="false" ht="17.15" hidden="false" customHeight="false" outlineLevel="0" collapsed="false">
      <c r="A8345" s="1" t="s">
        <v>1067</v>
      </c>
      <c r="B8345" s="0" t="s">
        <v>98</v>
      </c>
      <c r="C8345" s="6" t="n">
        <f aca="false">Sens!$C$8343+Sens!E8325-Sens!E8314+oai_v</f>
        <v>2503.94825149671</v>
      </c>
    </row>
    <row r="8346" customFormat="false" ht="17.15" hidden="false" customHeight="false" outlineLevel="0" collapsed="false">
      <c r="A8346" s="0" t="s">
        <v>994</v>
      </c>
      <c r="B8346" s="0" t="s">
        <v>75</v>
      </c>
      <c r="C8346" s="5" t="n">
        <f aca="false">Sens!$C$8345/sh_dil26</f>
        <v>335.965148463265</v>
      </c>
    </row>
    <row r="8347" customFormat="false" ht="15" hidden="false" customHeight="false" outlineLevel="0" collapsed="false">
      <c r="A8347" s="1" t="s">
        <v>1068</v>
      </c>
      <c r="B8347" s="0" t="s">
        <v>75</v>
      </c>
      <c r="C8347" s="8" t="n">
        <f aca="false">dps_27+Sens!G8317*roll_div_q/q_per_yr</f>
        <v>4.8895</v>
      </c>
    </row>
    <row r="8348" customFormat="false" ht="17.15" hidden="false" customHeight="false" outlineLevel="0" collapsed="false">
      <c r="A8348" s="0" t="s">
        <v>1069</v>
      </c>
      <c r="B8348" s="0" t="s">
        <v>75</v>
      </c>
      <c r="C8348" s="5" t="n">
        <f aca="false">Sens!$C$8346*(1+wacc)^t_roll-Sens!$C$8347</f>
        <v>377.685232272093</v>
      </c>
    </row>
    <row r="8349" customFormat="false" ht="17.15" hidden="false" customHeight="false" outlineLevel="0" collapsed="false">
      <c r="A8349" s="1" t="s">
        <v>1070</v>
      </c>
      <c r="B8349" s="0" t="s">
        <v>129</v>
      </c>
      <c r="F8349" s="7" t="n">
        <f aca="false">Sens!F8304/(Sens!F8249-Sens!F8205)</f>
        <v>0.070429745431156</v>
      </c>
      <c r="G8349" s="7" t="n">
        <f aca="false">Sens!G8304/(Sens!G8249-Sens!G8205)</f>
        <v>0.0667005157556496</v>
      </c>
      <c r="H8349" s="7" t="n">
        <f aca="false">Sens!H8304/(Sens!H8249-Sens!H8205)</f>
        <v>0.0645347817736498</v>
      </c>
      <c r="I8349" s="7" t="n">
        <f aca="false">Sens!I8304/(Sens!I8249-Sens!I8205)</f>
        <v>0.0638053954555051</v>
      </c>
      <c r="J8349" s="7" t="n">
        <f aca="false">Sens!J8304/(Sens!J8249-Sens!J8205)</f>
        <v>0.0641395896114425</v>
      </c>
      <c r="K8349" s="7" t="n">
        <f aca="false">Sens!K8304/(Sens!K8249-Sens!K8205)</f>
        <v>0.0650806013358518</v>
      </c>
    </row>
    <row r="8350" customFormat="false" ht="17.15" hidden="false" customHeight="false" outlineLevel="0" collapsed="false">
      <c r="A8350" s="0" t="s">
        <v>1071</v>
      </c>
      <c r="B8350" s="0" t="s">
        <v>98</v>
      </c>
      <c r="F8350" s="6" t="n">
        <f aca="false">Sens!F8234*(al_m365+Sens!F8349+sbc_r)</f>
        <v>85.2152166879137</v>
      </c>
      <c r="G8350" s="6" t="n">
        <f aca="false">Sens!G8234*(al_m365+Sens!G8349+sbc_r)</f>
        <v>99.6588571756891</v>
      </c>
      <c r="H8350" s="6" t="n">
        <f aca="false">Sens!H8234*(al_m365+Sens!H8349+sbc_r)</f>
        <v>114.256255657072</v>
      </c>
      <c r="I8350" s="6" t="n">
        <f aca="false">Sens!I8234*(al_m365+Sens!I8349+sbc_r)</f>
        <v>127.324538132601</v>
      </c>
      <c r="J8350" s="6" t="n">
        <f aca="false">Sens!J8234*(al_m365+Sens!J8349+sbc_r)</f>
        <v>138.678799765227</v>
      </c>
      <c r="K8350" s="6" t="n">
        <f aca="false">Sens!K8234*(al_m365+Sens!K8349+sbc_r)</f>
        <v>149.64432226681</v>
      </c>
      <c r="L8350" s="11" t="s">
        <v>1072</v>
      </c>
    </row>
    <row r="8351" customFormat="false" ht="17.15" hidden="false" customHeight="false" outlineLevel="0" collapsed="false">
      <c r="A8351" s="0" t="s">
        <v>1073</v>
      </c>
      <c r="B8351" s="0" t="s">
        <v>98</v>
      </c>
      <c r="F8351" s="6" t="n">
        <f aca="false">Sens!F8235*(al_lic+Sens!F8349+sbc_r)</f>
        <v>33.516514988902</v>
      </c>
      <c r="G8351" s="6" t="n">
        <f aca="false">Sens!G8235*(al_lic+Sens!G8349+sbc_r)</f>
        <v>34.7838692168443</v>
      </c>
      <c r="H8351" s="6" t="n">
        <f aca="false">Sens!H8235*(al_lic+Sens!H8349+sbc_r)</f>
        <v>35.971017090159</v>
      </c>
      <c r="I8351" s="6" t="n">
        <f aca="false">Sens!I8235*(al_lic+Sens!I8349+sbc_r)</f>
        <v>37.0605534659588</v>
      </c>
      <c r="J8351" s="6" t="n">
        <f aca="false">Sens!J8235*(al_lic+Sens!J8349+sbc_r)</f>
        <v>38.0237104902121</v>
      </c>
      <c r="K8351" s="6" t="n">
        <f aca="false">Sens!K8235*(al_lic+Sens!K8349+sbc_r)</f>
        <v>38.8270448551174</v>
      </c>
    </row>
    <row r="8352" customFormat="false" ht="17.15" hidden="false" customHeight="false" outlineLevel="0" collapsed="false">
      <c r="A8352" s="0" t="s">
        <v>1074</v>
      </c>
      <c r="B8352" s="0" t="s">
        <v>98</v>
      </c>
      <c r="F8352" s="6" t="n">
        <f aca="false">Sens!F8237*(al_ind+Sens!F8349+sbc_r)</f>
        <v>9.11755014877251</v>
      </c>
      <c r="G8352" s="6" t="n">
        <f aca="false">Sens!G8237*(al_ind+Sens!G8349+sbc_r)</f>
        <v>9.87547277199094</v>
      </c>
      <c r="H8352" s="6" t="n">
        <f aca="false">Sens!H8237*(al_ind+Sens!H8349+sbc_r)</f>
        <v>10.6804738445071</v>
      </c>
      <c r="I8352" s="6" t="n">
        <f aca="false">Sens!I8237*(al_ind+Sens!I8349+sbc_r)</f>
        <v>11.5306308032253</v>
      </c>
      <c r="J8352" s="6" t="n">
        <f aca="false">Sens!J8237*(al_ind+Sens!J8349+sbc_r)</f>
        <v>12.4147663551326</v>
      </c>
      <c r="K8352" s="6" t="n">
        <f aca="false">Sens!K8237*(al_ind+Sens!K8349+sbc_r)</f>
        <v>13.3149320576958</v>
      </c>
    </row>
    <row r="8353" customFormat="false" ht="17.15" hidden="false" customHeight="false" outlineLevel="0" collapsed="false">
      <c r="A8353" s="0" t="s">
        <v>1075</v>
      </c>
      <c r="B8353" s="0" t="s">
        <v>98</v>
      </c>
      <c r="F8353" s="6" t="n">
        <f aca="false">Sens!F8239*(al_fro+Sens!F8349+sbc_r)</f>
        <v>3.58869974846043</v>
      </c>
      <c r="G8353" s="6" t="n">
        <f aca="false">Sens!G8239*(al_fro+Sens!G8349+sbc_r)</f>
        <v>3.79159768996846</v>
      </c>
      <c r="H8353" s="6" t="n">
        <f aca="false">Sens!H8239*(al_fro+Sens!H8349+sbc_r)</f>
        <v>4.02476811110366</v>
      </c>
      <c r="I8353" s="6" t="n">
        <f aca="false">Sens!I8239*(al_fro+Sens!I8349+sbc_r)</f>
        <v>4.29123149399369</v>
      </c>
      <c r="J8353" s="6" t="n">
        <f aca="false">Sens!J8239*(al_fro+Sens!J8349+sbc_r)</f>
        <v>4.59145769671379</v>
      </c>
      <c r="K8353" s="6" t="n">
        <f aca="false">Sens!K8239*(al_fro+Sens!K8349+sbc_r)</f>
        <v>4.92437356682542</v>
      </c>
    </row>
    <row r="8354" customFormat="false" ht="17.15" hidden="false" customHeight="false" outlineLevel="0" collapsed="false">
      <c r="A8354" s="0" t="s">
        <v>1076</v>
      </c>
      <c r="B8354" s="0" t="s">
        <v>98</v>
      </c>
      <c r="F8354" s="6" t="n">
        <f aca="false">Sens!F8242*(al_srch+Sens!F8349+sbc_r)</f>
        <v>11.2603061645723</v>
      </c>
      <c r="G8354" s="6" t="n">
        <f aca="false">Sens!G8242*(al_srch+Sens!G8349+sbc_r)</f>
        <v>12.3114288728336</v>
      </c>
      <c r="H8354" s="6" t="n">
        <f aca="false">Sens!H8242*(al_srch+Sens!H8349+sbc_r)</f>
        <v>13.4097224633543</v>
      </c>
      <c r="I8354" s="6" t="n">
        <f aca="false">Sens!I8242*(al_srch+Sens!I8349+sbc_r)</f>
        <v>14.5461541433764</v>
      </c>
      <c r="J8354" s="6" t="n">
        <f aca="false">Sens!J8242*(al_srch+Sens!J8349+sbc_r)</f>
        <v>15.6990500191173</v>
      </c>
      <c r="K8354" s="6" t="n">
        <f aca="false">Sens!K8242*(al_srch+Sens!K8349+sbc_r)</f>
        <v>16.8373514567591</v>
      </c>
    </row>
    <row r="8355" customFormat="false" ht="17.15" hidden="false" customHeight="false" outlineLevel="0" collapsed="false">
      <c r="A8355" s="0" t="s">
        <v>1077</v>
      </c>
      <c r="B8355" s="0" t="s">
        <v>98</v>
      </c>
      <c r="F8355" s="6" t="n">
        <f aca="false">Sens!F8211-Sens!F8212+Sens!F8292</f>
        <v>45.0374073018652</v>
      </c>
      <c r="G8355" s="6" t="n">
        <f aca="false">Sens!G8211-Sens!G8212+Sens!G8292</f>
        <v>89.051993487491</v>
      </c>
      <c r="H8355" s="6" t="n">
        <f aca="false">Sens!H8211-Sens!H8212+Sens!H8292</f>
        <v>140.728332825594</v>
      </c>
      <c r="I8355" s="6" t="n">
        <f aca="false">Sens!I8211-Sens!I8212+Sens!I8292</f>
        <v>182.158665153016</v>
      </c>
      <c r="J8355" s="6" t="n">
        <f aca="false">Sens!J8211-Sens!J8212+Sens!J8292</f>
        <v>211.722320149272</v>
      </c>
      <c r="K8355" s="6" t="n">
        <f aca="false">Sens!K8211-Sens!K8212+Sens!K8292</f>
        <v>230.495012322217</v>
      </c>
    </row>
    <row r="8356" customFormat="false" ht="17.15" hidden="false" customHeight="false" outlineLevel="0" collapsed="false">
      <c r="A8356" s="0" t="s">
        <v>1078</v>
      </c>
      <c r="B8356" s="0" t="s">
        <v>98</v>
      </c>
      <c r="F8356" s="6" t="n">
        <f aca="false">Sens!F8271+Sens!F8292+Sens!F8222+Sens!F8349*(Sens!F8241-Sens!F8205)+sbc_r*Sens!F8241</f>
        <v>237.296207021617</v>
      </c>
      <c r="G8356" s="6" t="n">
        <f aca="false">Sens!G8271+Sens!G8292+Sens!G8222+Sens!G8349*(Sens!G8241-Sens!G8205)+sbc_r*Sens!G8241</f>
        <v>311.449647106883</v>
      </c>
      <c r="H8356" s="6" t="n">
        <f aca="false">Sens!H8271+Sens!H8292+Sens!H8222+Sens!H8349*(Sens!H8241-Sens!H8205)+sbc_r*Sens!H8241</f>
        <v>394.721700096709</v>
      </c>
      <c r="I8356" s="6" t="n">
        <f aca="false">Sens!I8271+Sens!I8292+Sens!I8222+Sens!I8349*(Sens!I8241-Sens!I8205)+sbc_r*Sens!I8241</f>
        <v>466.679953456363</v>
      </c>
      <c r="J8356" s="6" t="n">
        <f aca="false">Sens!J8271+Sens!J8292+Sens!J8222+Sens!J8349*(Sens!J8241-Sens!J8205)+sbc_r*Sens!J8241</f>
        <v>525.051773142158</v>
      </c>
      <c r="K8356" s="6" t="n">
        <f aca="false">Sens!K8271+Sens!K8292+Sens!K8222+Sens!K8349*(Sens!K8241-Sens!K8205)+sbc_r*Sens!K8241</f>
        <v>571.634938756926</v>
      </c>
    </row>
    <row r="8357" customFormat="false" ht="17.15" hidden="false" customHeight="false" outlineLevel="0" collapsed="false">
      <c r="A8357" s="0" t="s">
        <v>1079</v>
      </c>
      <c r="B8357" s="0" t="s">
        <v>98</v>
      </c>
      <c r="F8357" s="6" t="n">
        <f aca="false">Sens!F8356-Sens!F8350-Sens!F8351-Sens!F8352-Sens!F8353-Sens!F8355</f>
        <v>60.8208181457028</v>
      </c>
      <c r="G8357" s="6" t="n">
        <f aca="false">Sens!G8356-Sens!G8350-Sens!G8351-Sens!G8352-Sens!G8353-Sens!G8355</f>
        <v>74.2878567648995</v>
      </c>
      <c r="H8357" s="6" t="n">
        <f aca="false">Sens!H8356-Sens!H8350-Sens!H8351-Sens!H8352-Sens!H8353-Sens!H8355</f>
        <v>89.0608525682733</v>
      </c>
      <c r="I8357" s="6" t="n">
        <f aca="false">Sens!I8356-Sens!I8350-Sens!I8351-Sens!I8352-Sens!I8353-Sens!I8355</f>
        <v>104.314334407568</v>
      </c>
      <c r="J8357" s="6" t="n">
        <f aca="false">Sens!J8356-Sens!J8350-Sens!J8351-Sens!J8352-Sens!J8353-Sens!J8355</f>
        <v>119.6207186856</v>
      </c>
      <c r="K8357" s="6" t="n">
        <f aca="false">Sens!K8356-Sens!K8350-Sens!K8351-Sens!K8352-Sens!K8353-Sens!K8355</f>
        <v>134.429253688261</v>
      </c>
    </row>
    <row r="8358" customFormat="false" ht="17.15" hidden="false" customHeight="false" outlineLevel="0" collapsed="false">
      <c r="A8358" s="0" t="s">
        <v>1080</v>
      </c>
      <c r="B8358" s="0" t="s">
        <v>98</v>
      </c>
      <c r="F8358" s="6" t="n">
        <f aca="false">Sens!F8273+Sens!F8349*Sens!F8248+sbc_r*Sens!F8248</f>
        <v>26.3185171306264</v>
      </c>
      <c r="G8358" s="6" t="n">
        <f aca="false">Sens!G8273+Sens!G8349*Sens!G8248+sbc_r*Sens!G8248</f>
        <v>26.8696804352144</v>
      </c>
      <c r="H8358" s="6" t="n">
        <f aca="false">Sens!H8273+Sens!H8349*Sens!H8248+sbc_r*Sens!H8248</f>
        <v>27.7002866213175</v>
      </c>
      <c r="I8358" s="6" t="n">
        <f aca="false">Sens!I8273+Sens!I8349*Sens!I8248+sbc_r*Sens!I8248</f>
        <v>28.7807312119293</v>
      </c>
      <c r="J8358" s="6" t="n">
        <f aca="false">Sens!J8273+Sens!J8349*Sens!J8248+sbc_r*Sens!J8248</f>
        <v>30.0701502837449</v>
      </c>
      <c r="K8358" s="6" t="n">
        <f aca="false">Sens!K8273+Sens!K8349*Sens!K8248+sbc_r*Sens!K8248</f>
        <v>31.523499677062</v>
      </c>
    </row>
    <row r="8359" customFormat="false" ht="17.15" hidden="false" customHeight="false" outlineLevel="0" collapsed="false">
      <c r="A8359" s="0" t="s">
        <v>1081</v>
      </c>
      <c r="B8359" s="0" t="s">
        <v>98</v>
      </c>
      <c r="F8359" s="6" t="n">
        <f aca="false">(Sens!F8358-Sens!F8354)*Sens!F8244/(Sens!F8244+Sens!F8246)</f>
        <v>8.25476458674122</v>
      </c>
      <c r="G8359" s="6" t="n">
        <f aca="false">(Sens!G8358-Sens!G8354)*Sens!G8244/(Sens!G8244+Sens!G8246)</f>
        <v>7.83839647954432</v>
      </c>
      <c r="H8359" s="6" t="n">
        <f aca="false">(Sens!H8358-Sens!H8354)*Sens!H8244/(Sens!H8244+Sens!H8246)</f>
        <v>7.59033256193188</v>
      </c>
      <c r="I8359" s="6" t="n">
        <f aca="false">(Sens!I8358-Sens!I8354)*Sens!I8244/(Sens!I8244+Sens!I8246)</f>
        <v>7.49218704991218</v>
      </c>
      <c r="J8359" s="6" t="n">
        <f aca="false">(Sens!J8358-Sens!J8354)*Sens!J8244/(Sens!J8244+Sens!J8246)</f>
        <v>7.52983995379396</v>
      </c>
      <c r="K8359" s="6" t="n">
        <f aca="false">(Sens!K8358-Sens!K8354)*Sens!K8244/(Sens!K8244+Sens!K8246)</f>
        <v>7.69491156559284</v>
      </c>
    </row>
    <row r="8360" customFormat="false" ht="17.15" hidden="false" customHeight="false" outlineLevel="0" collapsed="false">
      <c r="A8360" s="0" t="s">
        <v>1082</v>
      </c>
      <c r="B8360" s="0" t="s">
        <v>98</v>
      </c>
      <c r="F8360" s="6" t="n">
        <f aca="false">Sens!F8358-Sens!F8354-Sens!F8359</f>
        <v>6.80344637931287</v>
      </c>
      <c r="G8360" s="6" t="n">
        <f aca="false">Sens!G8358-Sens!G8354-Sens!G8359</f>
        <v>6.71985508283648</v>
      </c>
      <c r="H8360" s="6" t="n">
        <f aca="false">Sens!H8358-Sens!H8354-Sens!H8359</f>
        <v>6.70023159603131</v>
      </c>
      <c r="I8360" s="6" t="n">
        <f aca="false">Sens!I8358-Sens!I8354-Sens!I8359</f>
        <v>6.74239001864073</v>
      </c>
      <c r="J8360" s="6" t="n">
        <f aca="false">Sens!J8358-Sens!J8354-Sens!J8359</f>
        <v>6.84126031083362</v>
      </c>
      <c r="K8360" s="6" t="n">
        <f aca="false">Sens!K8358-Sens!K8354-Sens!K8359</f>
        <v>6.9912366547101</v>
      </c>
    </row>
    <row r="8361" customFormat="false" ht="17.15" hidden="false" customHeight="false" outlineLevel="0" collapsed="false">
      <c r="A8361" s="0" t="s">
        <v>1083</v>
      </c>
      <c r="B8361" s="0" t="s">
        <v>98</v>
      </c>
      <c r="F8361" s="6" t="n">
        <f aca="false">Sens!F8355-tax_f*(Sens!F8355-Sens!F8222)-Sens!F8219</f>
        <v>-117.492972553783</v>
      </c>
      <c r="G8361" s="6" t="n">
        <f aca="false">Sens!G8355-tax_f*(Sens!G8355-Sens!G8222)-Sens!G8219</f>
        <v>-100.507498271105</v>
      </c>
      <c r="H8361" s="6" t="n">
        <f aca="false">Sens!H8355-tax_f*(Sens!H8355-Sens!H8222)-Sens!H8219</f>
        <v>-58.2254156812621</v>
      </c>
      <c r="I8361" s="6" t="n">
        <f aca="false">Sens!I8355-tax_f*(Sens!I8355-Sens!I8222)-Sens!I8219</f>
        <v>4.14141173464586</v>
      </c>
      <c r="J8361" s="6" t="n">
        <f aca="false">Sens!J8355-tax_f*(Sens!J8355-Sens!J8222)-Sens!J8219</f>
        <v>67.7960840957439</v>
      </c>
      <c r="K8361" s="6" t="n">
        <f aca="false">Sens!K8355-tax_f*(Sens!K8355-Sens!K8222)-Sens!K8219</f>
        <v>90.8148873630444</v>
      </c>
    </row>
    <row r="8362" customFormat="false" ht="17.15" hidden="false" customHeight="false" outlineLevel="0" collapsed="false">
      <c r="A8362" s="0" t="s">
        <v>1084</v>
      </c>
      <c r="B8362" s="0" t="s">
        <v>98</v>
      </c>
      <c r="G8362" s="6" t="n">
        <f aca="false">Sens!G8361/(1+wacc)^(Sens!G8334-(Sens!F8334+mid_yr))</f>
        <v>-95.7025738516884</v>
      </c>
      <c r="H8362" s="6" t="n">
        <f aca="false">Sens!H8361/(1+wacc)^(Sens!H8334-(Sens!F8334+mid_yr))</f>
        <v>-50.2675897834568</v>
      </c>
      <c r="I8362" s="6" t="n">
        <f aca="false">Sens!I8361/(1+wacc)^(Sens!I8334-(Sens!F8334+mid_yr))</f>
        <v>3.241710173961</v>
      </c>
      <c r="J8362" s="6" t="n">
        <f aca="false">Sens!J8361/(1+wacc)^(Sens!J8334-(Sens!F8334+mid_yr))</f>
        <v>48.1150225569729</v>
      </c>
      <c r="K8362" s="6" t="n">
        <f aca="false">Sens!K8361/(1+wacc)^(Sens!K8334-(Sens!F8334+mid_yr))</f>
        <v>58.4363985421684</v>
      </c>
      <c r="L8362" s="1" t="s">
        <v>1085</v>
      </c>
    </row>
    <row r="8363" customFormat="false" ht="17.15" hidden="false" customHeight="false" outlineLevel="0" collapsed="false">
      <c r="A8363" s="0" t="s">
        <v>1086</v>
      </c>
      <c r="B8363" s="0" t="s">
        <v>98</v>
      </c>
      <c r="C8363" s="6" t="n">
        <f aca="false">(Sens!K8355-Sens!K8222)*(1-tax_f)*(1+g_tv)*(1-g_tv/(wacc+ronic_prem))/(wacc-g_tv)/(1+wacc)^(Sens!K8334+mid_yr-(Sens!F8334+mid_yr))</f>
        <v>448.116665852667</v>
      </c>
    </row>
    <row r="8364" customFormat="false" ht="17.15" hidden="false" customHeight="false" outlineLevel="0" collapsed="false">
      <c r="A8364" s="1" t="s">
        <v>1087</v>
      </c>
      <c r="B8364" s="0" t="s">
        <v>98</v>
      </c>
      <c r="C8364" s="6" t="n">
        <f aca="false">(SUM(Sens!G8362:K8362)+Sens!$C$8363)*(1+wacc)^(t_roll-(Sens!F8334+mid_yr))</f>
        <v>425.310341738423</v>
      </c>
      <c r="L8364" s="11" t="s">
        <v>1088</v>
      </c>
    </row>
    <row r="8365" customFormat="false" ht="17.15" hidden="false" customHeight="false" outlineLevel="0" collapsed="false">
      <c r="A8365" s="1" t="s">
        <v>1089</v>
      </c>
      <c r="B8365" s="0" t="s">
        <v>98</v>
      </c>
      <c r="C8365" s="6" t="n">
        <f aca="false">(w_ntm28*Sens!G8211+(1-w_ntm28)*Sens!H8211)*m_ai</f>
        <v>551.711134531404</v>
      </c>
    </row>
    <row r="8366" customFormat="false" ht="17.15" hidden="false" customHeight="false" outlineLevel="0" collapsed="false">
      <c r="A8366" s="1" t="s">
        <v>1090</v>
      </c>
      <c r="B8366" s="0" t="s">
        <v>98</v>
      </c>
      <c r="C8366" s="6" t="n">
        <f aca="false">(w_ntm28*Sens!G8357+(1-w_ntm28)*Sens!H8357)*m_cloud</f>
        <v>1092.66149730272</v>
      </c>
    </row>
    <row r="8367" customFormat="false" ht="17.15" hidden="false" customHeight="false" outlineLevel="0" collapsed="false">
      <c r="A8367" s="1" t="s">
        <v>1091</v>
      </c>
      <c r="B8367" s="0" t="s">
        <v>98</v>
      </c>
      <c r="C8367" s="6" t="n">
        <f aca="false">(w_ntm28*Sens!G8350+(1-w_ntm28)*Sens!H8350)*m_sw</f>
        <v>1127.28257427737</v>
      </c>
    </row>
    <row r="8368" customFormat="false" ht="17.15" hidden="false" customHeight="false" outlineLevel="0" collapsed="false">
      <c r="A8368" s="1" t="s">
        <v>1092</v>
      </c>
      <c r="B8368" s="0" t="s">
        <v>98</v>
      </c>
      <c r="C8368" s="6" t="n">
        <f aca="false">(w_ntm28*Sens!G8351+(1-w_ntm28)*Sens!H8351)*m_sw</f>
        <v>379.810722472747</v>
      </c>
    </row>
    <row r="8369" customFormat="false" ht="17.15" hidden="false" customHeight="false" outlineLevel="0" collapsed="false">
      <c r="A8369" s="1" t="s">
        <v>1093</v>
      </c>
      <c r="B8369" s="0" t="s">
        <v>98</v>
      </c>
      <c r="C8369" s="6" t="n">
        <f aca="false">(w_ntm28*Sens!G8352+(1-w_ntm28)*Sens!H8352)*m_sw</f>
        <v>109.465772695898</v>
      </c>
    </row>
    <row r="8370" customFormat="false" ht="17.15" hidden="false" customHeight="false" outlineLevel="0" collapsed="false">
      <c r="A8370" s="1" t="s">
        <v>1094</v>
      </c>
      <c r="B8370" s="0" t="s">
        <v>98</v>
      </c>
      <c r="C8370" s="6" t="n">
        <f aca="false">(w_ntm28*Sens!G8353+(1-w_ntm28)*Sens!H8353)*m_sw</f>
        <v>41.7633711741106</v>
      </c>
    </row>
    <row r="8371" customFormat="false" ht="17.15" hidden="false" customHeight="false" outlineLevel="0" collapsed="false">
      <c r="A8371" s="1" t="s">
        <v>1095</v>
      </c>
      <c r="B8371" s="0" t="s">
        <v>98</v>
      </c>
      <c r="C8371" s="6" t="n">
        <f aca="false">(w_ntm28*Sens!G8354+(1-w_ntm28)*Sens!H8354)*m_ads</f>
        <v>115.391757151892</v>
      </c>
    </row>
    <row r="8372" customFormat="false" ht="17.15" hidden="false" customHeight="false" outlineLevel="0" collapsed="false">
      <c r="A8372" s="1" t="s">
        <v>1096</v>
      </c>
      <c r="B8372" s="0" t="s">
        <v>98</v>
      </c>
      <c r="C8372" s="6" t="n">
        <f aca="false">(w_ntm28*Sens!G8359+(1-w_ntm28)*Sens!H8359)*m_game</f>
        <v>97.9860719778104</v>
      </c>
    </row>
    <row r="8373" customFormat="false" ht="17.15" hidden="false" customHeight="false" outlineLevel="0" collapsed="false">
      <c r="A8373" s="1" t="s">
        <v>1097</v>
      </c>
      <c r="B8373" s="0" t="s">
        <v>98</v>
      </c>
      <c r="C8373" s="6" t="n">
        <f aca="false">(w_ntm28*Sens!G8360+(1-w_ntm28)*Sens!H8360)*m_pc</f>
        <v>97.1445049149991</v>
      </c>
    </row>
    <row r="8374" customFormat="false" ht="17.15" hidden="false" customHeight="false" outlineLevel="0" collapsed="false">
      <c r="A8374" s="1" t="s">
        <v>1098</v>
      </c>
      <c r="B8374" s="0" t="s">
        <v>98</v>
      </c>
      <c r="C8374" s="6" t="n">
        <f aca="false">Sens!$C$8364+Sens!$C$8366+Sens!$C$8367+Sens!$C$8368+Sens!$C$8369+Sens!$C$8370+Sens!$C$8371+Sens!$C$8372+Sens!$C$8373</f>
        <v>3486.81661370597</v>
      </c>
    </row>
    <row r="8375" customFormat="false" ht="17.15" hidden="false" customHeight="false" outlineLevel="0" collapsed="false">
      <c r="A8375" s="1" t="s">
        <v>1099</v>
      </c>
      <c r="B8375" s="0" t="s">
        <v>98</v>
      </c>
      <c r="C8375" s="6" t="n">
        <f aca="false">(Sens!G8336-Sens!G8361)*t_stub</f>
        <v>48.1235696324789</v>
      </c>
      <c r="L8375" s="1" t="s">
        <v>1100</v>
      </c>
    </row>
    <row r="8376" customFormat="false" ht="17.15" hidden="false" customHeight="false" outlineLevel="0" collapsed="false">
      <c r="A8376" s="1" t="s">
        <v>1014</v>
      </c>
      <c r="B8376" s="0" t="s">
        <v>98</v>
      </c>
      <c r="C8376" s="6" t="n">
        <f aca="false">Sens!F8325+oai_v-Sens!F8314+Sens!$C$8375</f>
        <v>163.482388923855</v>
      </c>
      <c r="L8376" s="1" t="s">
        <v>1101</v>
      </c>
    </row>
    <row r="8377" customFormat="false" ht="17.15" hidden="false" customHeight="false" outlineLevel="0" collapsed="false">
      <c r="A8377" s="1" t="s">
        <v>1102</v>
      </c>
      <c r="B8377" s="0" t="s">
        <v>75</v>
      </c>
      <c r="C8377" s="5" t="n">
        <f aca="false">(Sens!$C$8374+Sens!$C$8376)/(Sens!F8327+dil_gap)-Sens!G8317*roll_div_q/q_per_yr</f>
        <v>485.926749016786</v>
      </c>
      <c r="L8377" s="1" t="s">
        <v>1103</v>
      </c>
    </row>
    <row r="8378" customFormat="false" ht="17.15" hidden="false" customHeight="false" outlineLevel="0" collapsed="false">
      <c r="A8378" s="1" t="s">
        <v>1104</v>
      </c>
      <c r="B8378" s="0" t="s">
        <v>75</v>
      </c>
      <c r="C8378" s="5" t="n">
        <f aca="false">w_dcf*Sens!$C$8348+(1-w_dcf)*Sens!$C$8377</f>
        <v>431.805990644439</v>
      </c>
    </row>
    <row r="8379" customFormat="false" ht="17.15" hidden="false" customHeight="false" outlineLevel="0" collapsed="false">
      <c r="A8379" s="3" t="s">
        <v>1477</v>
      </c>
    </row>
    <row r="8380" customFormat="false" ht="15" hidden="false" customHeight="false" outlineLevel="0" collapsed="false">
      <c r="A8380" s="4" t="s">
        <v>43</v>
      </c>
      <c r="B8380" s="4" t="s">
        <v>65</v>
      </c>
      <c r="C8380" s="20" t="s">
        <v>799</v>
      </c>
      <c r="D8380" s="20" t="s">
        <v>800</v>
      </c>
      <c r="E8380" s="20" t="s">
        <v>801</v>
      </c>
      <c r="F8380" s="20" t="s">
        <v>802</v>
      </c>
      <c r="G8380" s="20" t="s">
        <v>803</v>
      </c>
      <c r="H8380" s="20" t="s">
        <v>804</v>
      </c>
      <c r="I8380" s="20" t="s">
        <v>805</v>
      </c>
      <c r="J8380" s="20" t="s">
        <v>806</v>
      </c>
      <c r="K8380" s="20" t="s">
        <v>807</v>
      </c>
      <c r="L8380" s="4" t="s">
        <v>47</v>
      </c>
    </row>
    <row r="8381" customFormat="false" ht="17.15" hidden="false" customHeight="false" outlineLevel="0" collapsed="false">
      <c r="A8381" s="1" t="s">
        <v>808</v>
      </c>
      <c r="B8381" s="1" t="s">
        <v>235</v>
      </c>
      <c r="C8381" s="28" t="n">
        <v>2024</v>
      </c>
      <c r="D8381" s="28" t="n">
        <v>2025</v>
      </c>
      <c r="E8381" s="28" t="n">
        <v>2026</v>
      </c>
      <c r="F8381" s="28" t="n">
        <v>2027</v>
      </c>
      <c r="G8381" s="28" t="n">
        <v>2028</v>
      </c>
      <c r="H8381" s="28" t="n">
        <v>2029</v>
      </c>
      <c r="I8381" s="28" t="n">
        <v>2030</v>
      </c>
      <c r="J8381" s="28" t="n">
        <v>2031</v>
      </c>
      <c r="K8381" s="28" t="n">
        <v>2032</v>
      </c>
    </row>
    <row r="8382" customFormat="false" ht="17.15" hidden="false" customHeight="false" outlineLevel="0" collapsed="false">
      <c r="A8382" s="1" t="s">
        <v>809</v>
      </c>
      <c r="B8382" s="0" t="s">
        <v>399</v>
      </c>
      <c r="F8382" s="29" t="n">
        <f aca="false">pace</f>
        <v>2527.2</v>
      </c>
      <c r="G8382" s="29" t="n">
        <f aca="false">pace</f>
        <v>2527.2</v>
      </c>
      <c r="H8382" s="29" t="n">
        <f aca="false">pace</f>
        <v>2527.2</v>
      </c>
      <c r="I8382" s="29" t="n">
        <f aca="false">pace+(g_tv*Sens!H8383-pace)*MIN(1,(Sens!I8381-pace_y0)/(pace_y1-pace_y0))</f>
        <v>1793.116</v>
      </c>
      <c r="J8382" s="29" t="n">
        <f aca="false">pace+(g_tv*Sens!I8383-pace)*MIN(1,(Sens!J8381-pace_y0)/(pace_y1-pace_y0))</f>
        <v>1094.89432</v>
      </c>
      <c r="K8382" s="29" t="n">
        <f aca="false">pace+(g_tv*Sens!J8383-pace)*MIN(1,(Sens!K8381-pace_y0)/(pace_y1-pace_y0))</f>
        <v>411.5883096</v>
      </c>
      <c r="L8382" s="11" t="s">
        <v>810</v>
      </c>
    </row>
    <row r="8383" customFormat="false" ht="17.15" hidden="false" customHeight="false" outlineLevel="0" collapsed="false">
      <c r="A8383" s="1" t="s">
        <v>811</v>
      </c>
      <c r="B8383" s="0" t="s">
        <v>399</v>
      </c>
      <c r="C8383" s="29" t="n">
        <f aca="false">mw_ext_24</f>
        <v>640</v>
      </c>
      <c r="D8383" s="29" t="n">
        <f aca="false">mw_ext_25</f>
        <v>1630</v>
      </c>
      <c r="E8383" s="29" t="n">
        <f aca="false">mw_ext_26</f>
        <v>3250</v>
      </c>
      <c r="F8383" s="29" t="n">
        <f aca="false">Sens!E8383+Sens!F8382</f>
        <v>5777.2</v>
      </c>
      <c r="G8383" s="29" t="n">
        <f aca="false">Sens!F8383+Sens!G8382</f>
        <v>8304.4</v>
      </c>
      <c r="H8383" s="29" t="n">
        <f aca="false">Sens!G8383+Sens!H8382</f>
        <v>10831.6</v>
      </c>
      <c r="I8383" s="29" t="n">
        <f aca="false">Sens!H8383+Sens!I8382</f>
        <v>12624.716</v>
      </c>
      <c r="J8383" s="29" t="n">
        <f aca="false">Sens!I8383+Sens!J8382</f>
        <v>13719.61032</v>
      </c>
      <c r="K8383" s="29" t="n">
        <f aca="false">Sens!J8383+Sens!K8382</f>
        <v>14131.1986296</v>
      </c>
      <c r="L8383" s="1" t="s">
        <v>812</v>
      </c>
    </row>
    <row r="8384" customFormat="false" ht="17.15" hidden="false" customHeight="false" outlineLevel="0" collapsed="false">
      <c r="A8384" s="1" t="s">
        <v>813</v>
      </c>
      <c r="B8384" s="0" t="s">
        <v>399</v>
      </c>
      <c r="C8384" s="29" t="n">
        <f aca="false">rent_ext_24</f>
        <v>150</v>
      </c>
      <c r="D8384" s="29" t="n">
        <f aca="false">rent_ext_25</f>
        <v>400</v>
      </c>
      <c r="E8384" s="29" t="n">
        <f aca="false">rent_ext_26</f>
        <v>550</v>
      </c>
      <c r="F8384" s="29" t="n">
        <f aca="false">rent_ext_f</f>
        <v>756</v>
      </c>
      <c r="G8384" s="29" t="n">
        <f aca="false">rent_ext_f</f>
        <v>756</v>
      </c>
      <c r="H8384" s="29" t="n">
        <f aca="false">rent_ext_f</f>
        <v>756</v>
      </c>
      <c r="I8384" s="29" t="n">
        <f aca="false">rent_ext_f</f>
        <v>756</v>
      </c>
      <c r="J8384" s="29" t="n">
        <f aca="false">rent_ext_f</f>
        <v>756</v>
      </c>
      <c r="K8384" s="29" t="n">
        <f aca="false">rent_ext_f</f>
        <v>756</v>
      </c>
      <c r="L8384" s="1" t="s">
        <v>814</v>
      </c>
    </row>
    <row r="8385" customFormat="false" ht="17.15" hidden="false" customHeight="false" outlineLevel="0" collapsed="false">
      <c r="A8385" s="1" t="s">
        <v>815</v>
      </c>
      <c r="B8385" s="0" t="s">
        <v>399</v>
      </c>
      <c r="C8385" s="29" t="n">
        <f aca="false">Sens!C8383-Sens!C8384</f>
        <v>490</v>
      </c>
      <c r="D8385" s="29" t="n">
        <f aca="false">Sens!D8383-Sens!D8384</f>
        <v>1230</v>
      </c>
      <c r="E8385" s="29" t="n">
        <f aca="false">Sens!E8383-Sens!E8384</f>
        <v>2700</v>
      </c>
      <c r="F8385" s="29" t="n">
        <f aca="false">Sens!F8383-Sens!F8384</f>
        <v>5021.2</v>
      </c>
      <c r="G8385" s="29" t="n">
        <f aca="false">Sens!G8383-Sens!G8384</f>
        <v>7548.4</v>
      </c>
      <c r="H8385" s="29" t="n">
        <f aca="false">Sens!H8383-Sens!H8384</f>
        <v>10075.6</v>
      </c>
      <c r="I8385" s="29" t="n">
        <f aca="false">Sens!I8383-Sens!I8384</f>
        <v>11868.716</v>
      </c>
      <c r="J8385" s="29" t="n">
        <f aca="false">Sens!J8383-Sens!J8384</f>
        <v>12963.61032</v>
      </c>
      <c r="K8385" s="29" t="n">
        <f aca="false">Sens!K8383-Sens!K8384</f>
        <v>13375.1986296</v>
      </c>
    </row>
    <row r="8386" customFormat="false" ht="17.15" hidden="false" customHeight="false" outlineLevel="0" collapsed="false">
      <c r="A8386" s="1" t="s">
        <v>816</v>
      </c>
      <c r="B8386" s="0" t="s">
        <v>399</v>
      </c>
      <c r="C8386" s="29" t="n">
        <f aca="false">Sens!C8385/ext_sh</f>
        <v>816.666666666667</v>
      </c>
      <c r="D8386" s="29" t="n">
        <f aca="false">Sens!D8385/ext_sh</f>
        <v>2050</v>
      </c>
      <c r="E8386" s="29" t="n">
        <f aca="false">Sens!E8385/ext_sh</f>
        <v>4500</v>
      </c>
      <c r="F8386" s="29" t="n">
        <f aca="false">Sens!F8385/ext_sh</f>
        <v>8368.66666666667</v>
      </c>
      <c r="G8386" s="29" t="n">
        <f aca="false">Sens!G8385/ext_sh</f>
        <v>12580.6666666667</v>
      </c>
      <c r="H8386" s="29" t="n">
        <f aca="false">Sens!H8385/ext_sh</f>
        <v>16792.6666666667</v>
      </c>
      <c r="I8386" s="29" t="n">
        <f aca="false">Sens!I8385/ext_sh</f>
        <v>19781.1933333333</v>
      </c>
      <c r="J8386" s="29" t="n">
        <f aca="false">Sens!J8385/ext_sh</f>
        <v>21606.0172</v>
      </c>
      <c r="K8386" s="29" t="n">
        <f aca="false">Sens!K8385/ext_sh</f>
        <v>22291.997716</v>
      </c>
      <c r="L8386" s="1" t="s">
        <v>817</v>
      </c>
    </row>
    <row r="8387" customFormat="false" ht="17.15" hidden="false" customHeight="false" outlineLevel="0" collapsed="false">
      <c r="A8387" s="1" t="s">
        <v>818</v>
      </c>
      <c r="B8387" s="0" t="s">
        <v>399</v>
      </c>
      <c r="C8387" s="29" t="n">
        <f aca="false">Sens!C8386-Sens!C8385</f>
        <v>326.666666666667</v>
      </c>
      <c r="D8387" s="29" t="n">
        <f aca="false">Sens!D8386-Sens!D8385</f>
        <v>820</v>
      </c>
      <c r="E8387" s="29" t="n">
        <f aca="false">Sens!E8386-Sens!E8385</f>
        <v>1800</v>
      </c>
      <c r="F8387" s="29" t="n">
        <f aca="false">Sens!F8386-Sens!F8385</f>
        <v>3347.46666666667</v>
      </c>
      <c r="G8387" s="29" t="n">
        <f aca="false">Sens!G8386-Sens!G8385</f>
        <v>5032.26666666667</v>
      </c>
      <c r="H8387" s="29" t="n">
        <f aca="false">Sens!H8386-Sens!H8385</f>
        <v>6717.06666666667</v>
      </c>
      <c r="I8387" s="29" t="n">
        <f aca="false">Sens!I8386-Sens!I8385</f>
        <v>7912.47733333333</v>
      </c>
      <c r="J8387" s="29" t="n">
        <f aca="false">Sens!J8386-Sens!J8385</f>
        <v>8642.40688</v>
      </c>
      <c r="K8387" s="29" t="n">
        <f aca="false">Sens!K8386-Sens!K8385</f>
        <v>8916.7990864</v>
      </c>
    </row>
    <row r="8388" customFormat="false" ht="17.15" hidden="false" customHeight="false" outlineLevel="0" collapsed="false">
      <c r="A8388" s="1" t="s">
        <v>819</v>
      </c>
      <c r="B8388" s="0" t="s">
        <v>399</v>
      </c>
      <c r="C8388" s="29" t="n">
        <f aca="false">Sens!C8386</f>
        <v>816.666666666667</v>
      </c>
      <c r="D8388" s="29" t="n">
        <f aca="false">Sens!D8386-Sens!C8386</f>
        <v>1233.33333333333</v>
      </c>
      <c r="E8388" s="29" t="n">
        <f aca="false">Sens!E8386-Sens!D8386</f>
        <v>2450</v>
      </c>
      <c r="F8388" s="29" t="n">
        <f aca="false">Sens!F8386-Sens!E8386</f>
        <v>3868.66666666667</v>
      </c>
      <c r="G8388" s="29" t="n">
        <f aca="false">Sens!G8386-Sens!F8386</f>
        <v>4212</v>
      </c>
      <c r="H8388" s="29" t="n">
        <f aca="false">Sens!H8386-Sens!G8386</f>
        <v>4212</v>
      </c>
      <c r="I8388" s="29" t="n">
        <f aca="false">Sens!I8386-Sens!H8386</f>
        <v>2988.52666666667</v>
      </c>
      <c r="J8388" s="29" t="n">
        <f aca="false">Sens!J8386-Sens!I8386</f>
        <v>1824.82386666667</v>
      </c>
      <c r="K8388" s="29" t="n">
        <f aca="false">Sens!K8386-Sens!J8386</f>
        <v>685.980516</v>
      </c>
    </row>
    <row r="8389" customFormat="false" ht="17.15" hidden="false" customHeight="false" outlineLevel="0" collapsed="false">
      <c r="A8389" s="1" t="s">
        <v>820</v>
      </c>
      <c r="B8389" s="0" t="s">
        <v>399</v>
      </c>
      <c r="D8389" s="29" t="n">
        <f aca="false">Sens!D8383-Sens!C8383</f>
        <v>990</v>
      </c>
      <c r="E8389" s="29" t="n">
        <f aca="false">Sens!E8383-Sens!D8383</f>
        <v>1620</v>
      </c>
      <c r="F8389" s="29" t="n">
        <f aca="false">Sens!F8383-Sens!E8383</f>
        <v>2527.2</v>
      </c>
      <c r="G8389" s="29" t="n">
        <f aca="false">Sens!G8383-Sens!F8383</f>
        <v>2527.2</v>
      </c>
      <c r="H8389" s="29" t="n">
        <f aca="false">Sens!H8383-Sens!G8383</f>
        <v>2527.2</v>
      </c>
      <c r="I8389" s="29" t="n">
        <f aca="false">Sens!I8383-Sens!H8383</f>
        <v>1793.116</v>
      </c>
      <c r="J8389" s="29" t="n">
        <f aca="false">Sens!J8383-Sens!I8383</f>
        <v>1094.89432</v>
      </c>
      <c r="K8389" s="29" t="n">
        <f aca="false">Sens!K8383-Sens!J8383</f>
        <v>411.5883096</v>
      </c>
    </row>
    <row r="8390" customFormat="false" ht="17.15" hidden="false" customHeight="false" outlineLevel="0" collapsed="false">
      <c r="A8390" s="1" t="s">
        <v>821</v>
      </c>
      <c r="B8390" s="0" t="s">
        <v>399</v>
      </c>
      <c r="F8390" s="29" t="n">
        <f aca="false">Sens!F8407*ext_sh</f>
        <v>0</v>
      </c>
      <c r="G8390" s="29" t="n">
        <f aca="false">Sens!G8407*ext_sh</f>
        <v>0</v>
      </c>
      <c r="H8390" s="29" t="n">
        <f aca="false">Sens!H8407*ext_sh</f>
        <v>0</v>
      </c>
      <c r="I8390" s="29" t="n">
        <f aca="false">Sens!I8407*ext_sh</f>
        <v>490</v>
      </c>
      <c r="J8390" s="29" t="n">
        <f aca="false">Sens!J8407*ext_sh</f>
        <v>740</v>
      </c>
      <c r="K8390" s="29" t="n">
        <f aca="false">Sens!K8407*ext_sh</f>
        <v>1470</v>
      </c>
      <c r="L8390" s="1" t="s">
        <v>822</v>
      </c>
    </row>
    <row r="8391" customFormat="false" ht="17.15" hidden="false" customHeight="false" outlineLevel="0" collapsed="false">
      <c r="A8391" s="1" t="s">
        <v>823</v>
      </c>
      <c r="B8391" s="0" t="s">
        <v>399</v>
      </c>
      <c r="C8391" s="29" t="n">
        <f aca="false">mix_h*Sens!C8383</f>
        <v>128</v>
      </c>
      <c r="D8391" s="29" t="n">
        <f aca="false">mix_h*Sens!D8383</f>
        <v>326</v>
      </c>
      <c r="E8391" s="29" t="n">
        <f aca="false">mix_h*Sens!E8383</f>
        <v>650</v>
      </c>
      <c r="F8391" s="29" t="n">
        <f aca="false">Sens!E8391-Sens!F8390*mix_h</f>
        <v>650</v>
      </c>
      <c r="G8391" s="29" t="n">
        <f aca="false">Sens!F8391-Sens!G8390*mix_h</f>
        <v>650</v>
      </c>
      <c r="H8391" s="29" t="n">
        <f aca="false">Sens!G8391-Sens!H8390*mix_h</f>
        <v>650</v>
      </c>
      <c r="I8391" s="29" t="n">
        <f aca="false">Sens!H8391-Sens!I8390*mix_h</f>
        <v>552</v>
      </c>
      <c r="J8391" s="29" t="n">
        <f aca="false">Sens!I8391-Sens!J8390*mix_h</f>
        <v>404</v>
      </c>
      <c r="K8391" s="29" t="n">
        <f aca="false">Sens!J8391-Sens!K8390*mix_h</f>
        <v>110</v>
      </c>
    </row>
    <row r="8392" customFormat="false" ht="17.15" hidden="false" customHeight="false" outlineLevel="0" collapsed="false">
      <c r="A8392" s="1" t="s">
        <v>824</v>
      </c>
      <c r="B8392" s="0" t="s">
        <v>399</v>
      </c>
      <c r="C8392" s="29" t="n">
        <f aca="false">mix_g2*Sens!C8383</f>
        <v>288</v>
      </c>
      <c r="D8392" s="29" t="n">
        <f aca="false">mix_g2*Sens!D8383</f>
        <v>733.5</v>
      </c>
      <c r="E8392" s="29" t="n">
        <f aca="false">mix_g2*Sens!E8383</f>
        <v>1462.5</v>
      </c>
      <c r="F8392" s="29" t="n">
        <f aca="false">Sens!E8392-Sens!F8390*mix_g2</f>
        <v>1462.5</v>
      </c>
      <c r="G8392" s="29" t="n">
        <f aca="false">Sens!F8392-Sens!G8390*mix_g2</f>
        <v>1462.5</v>
      </c>
      <c r="H8392" s="29" t="n">
        <f aca="false">Sens!G8392-Sens!H8390*mix_g2</f>
        <v>1462.5</v>
      </c>
      <c r="I8392" s="29" t="n">
        <f aca="false">Sens!H8392-Sens!I8390*mix_g2</f>
        <v>1242</v>
      </c>
      <c r="J8392" s="29" t="n">
        <f aca="false">Sens!I8392-Sens!J8390*mix_g2</f>
        <v>909</v>
      </c>
      <c r="K8392" s="29" t="n">
        <f aca="false">Sens!J8392-Sens!K8390*mix_g2</f>
        <v>247.5</v>
      </c>
    </row>
    <row r="8393" customFormat="false" ht="17.15" hidden="false" customHeight="false" outlineLevel="0" collapsed="false">
      <c r="A8393" s="1" t="s">
        <v>825</v>
      </c>
      <c r="B8393" s="0" t="s">
        <v>399</v>
      </c>
      <c r="C8393" s="29" t="n">
        <f aca="false">mix_g3*Sens!C8383</f>
        <v>224</v>
      </c>
      <c r="D8393" s="29" t="n">
        <f aca="false">mix_g3*Sens!D8383</f>
        <v>570.5</v>
      </c>
      <c r="E8393" s="29" t="n">
        <f aca="false">mix_g3*Sens!E8383</f>
        <v>1137.5</v>
      </c>
      <c r="F8393" s="29" t="n">
        <f aca="false">Sens!E8393+(Sens!F8389+Sens!F8390)*a_g3_27-Sens!F8390*mix_g3</f>
        <v>2906.54</v>
      </c>
      <c r="G8393" s="29" t="n">
        <f aca="false">Sens!F8393+(Sens!G8389+Sens!G8390)*a_g3_28-Sens!G8390*mix_g3</f>
        <v>3664.7</v>
      </c>
      <c r="H8393" s="29" t="n">
        <f aca="false">Sens!G8393+(Sens!H8389+Sens!H8390)*a_g3_29-Sens!H8390*mix_g3</f>
        <v>3917.42</v>
      </c>
      <c r="I8393" s="29" t="n">
        <f aca="false">Sens!H8393+(Sens!I8389+Sens!I8390)*a_g3_29-Sens!I8390*mix_g3</f>
        <v>3974.2316</v>
      </c>
      <c r="J8393" s="29" t="n">
        <f aca="false">Sens!I8393+(Sens!J8389+Sens!J8390)*a_g3_29-Sens!J8390*mix_g3</f>
        <v>3898.721032</v>
      </c>
      <c r="K8393" s="29" t="n">
        <f aca="false">Sens!J8393+(Sens!K8389+Sens!K8390)*a_g3_29-Sens!K8390*mix_g3</f>
        <v>3572.37986296</v>
      </c>
    </row>
    <row r="8394" customFormat="false" ht="17.15" hidden="false" customHeight="false" outlineLevel="0" collapsed="false">
      <c r="A8394" s="1" t="s">
        <v>826</v>
      </c>
      <c r="B8394" s="0" t="s">
        <v>399</v>
      </c>
      <c r="C8394" s="29" t="n">
        <v>0</v>
      </c>
      <c r="D8394" s="29" t="n">
        <v>0</v>
      </c>
      <c r="E8394" s="29" t="n">
        <v>0</v>
      </c>
      <c r="F8394" s="29" t="n">
        <f aca="false">Sens!E8394+(Sens!F8389+Sens!F8390)*(1-a_g3_27)</f>
        <v>758.16</v>
      </c>
      <c r="G8394" s="29" t="n">
        <f aca="false">Sens!F8394+(Sens!G8389+Sens!G8390)*(1-a_g3_28)</f>
        <v>2527.2</v>
      </c>
      <c r="H8394" s="29" t="n">
        <f aca="false">Sens!G8394+(Sens!H8389+Sens!H8390)*(1-a_g3_29)</f>
        <v>4801.68</v>
      </c>
      <c r="I8394" s="29" t="n">
        <f aca="false">Sens!H8394+(Sens!I8389+Sens!I8390)*(1-a_g3_29)</f>
        <v>6856.4844</v>
      </c>
      <c r="J8394" s="29" t="n">
        <f aca="false">Sens!I8394+(Sens!J8389+Sens!J8390)*(1-a_g3_29)</f>
        <v>8507.889288</v>
      </c>
      <c r="K8394" s="29" t="n">
        <f aca="false">Sens!J8394+(Sens!K8389+Sens!K8390)*(1-a_g3_29)</f>
        <v>10201.31876664</v>
      </c>
    </row>
    <row r="8395" customFormat="false" ht="17.15" hidden="false" customHeight="false" outlineLevel="0" collapsed="false">
      <c r="A8395" s="1" t="s">
        <v>827</v>
      </c>
      <c r="B8395" s="0" t="s">
        <v>346</v>
      </c>
      <c r="C8395" s="14" t="n">
        <f aca="false">(Sens!C8391*tk_hold_h100+Sens!C8392*tk_hold_gb200+Sens!C8393*tk_hold_gb300+Sens!C8394*tk_hold_vr200)/Sens!C8383</f>
        <v>9.7235358126469</v>
      </c>
      <c r="D8395" s="14" t="n">
        <f aca="false">(Sens!D8391*tk_hold_h100+Sens!D8392*tk_hold_gb200+Sens!D8393*tk_hold_gb300+Sens!D8394*tk_hold_vr200)/Sens!D8383</f>
        <v>9.7235358126469</v>
      </c>
      <c r="E8395" s="14" t="n">
        <f aca="false">(Sens!E8391*tk_hold_h100+Sens!E8392*tk_hold_gb200+Sens!E8393*tk_hold_gb300+Sens!E8394*tk_hold_vr200)/Sens!E8383</f>
        <v>9.7235358126469</v>
      </c>
      <c r="F8395" s="14" t="n">
        <f aca="false">(Sens!F8391*tk_hold_h100+Sens!F8392*tk_hold_gb200+Sens!F8393*tk_hold_gb300+Sens!F8394*tk_hold_vr200)/Sens!F8383</f>
        <v>10.4079573161931</v>
      </c>
      <c r="G8395" s="14" t="n">
        <f aca="false">(Sens!G8391*tk_hold_h100+Sens!G8392*tk_hold_gb200+Sens!G8393*tk_hold_gb300+Sens!G8394*tk_hold_vr200)/Sens!G8383</f>
        <v>10.8388131109316</v>
      </c>
      <c r="H8395" s="14" t="n">
        <f aca="false">(Sens!H8391*tk_hold_h100+Sens!H8392*tk_hold_gb200+Sens!H8393*tk_hold_gb300+Sens!H8394*tk_hold_vr200)/Sens!H8383</f>
        <v>11.1311018388216</v>
      </c>
      <c r="I8395" s="14" t="n">
        <f aca="false">(Sens!I8391*tk_hold_h100+Sens!I8392*tk_hold_gb200+Sens!I8393*tk_hold_gb300+Sens!I8394*tk_hold_vr200)/Sens!I8383</f>
        <v>11.3594282560989</v>
      </c>
      <c r="J8395" s="14" t="n">
        <f aca="false">(Sens!J8391*tk_hold_h100+Sens!J8392*tk_hold_gb200+Sens!J8393*tk_hold_gb300+Sens!J8394*tk_hold_vr200)/Sens!J8383</f>
        <v>11.5455817917599</v>
      </c>
      <c r="K8395" s="14" t="n">
        <f aca="false">(Sens!K8391*tk_hold_h100+Sens!K8392*tk_hold_gb200+Sens!K8393*tk_hold_gb300+Sens!K8394*tk_hold_vr200)/Sens!K8383</f>
        <v>11.8078187977246</v>
      </c>
    </row>
    <row r="8396" customFormat="false" ht="17.15" hidden="false" customHeight="false" outlineLevel="0" collapsed="false">
      <c r="A8396" s="0" t="s">
        <v>828</v>
      </c>
      <c r="B8396" s="0" t="s">
        <v>185</v>
      </c>
      <c r="C8396" s="14" t="n">
        <f aca="false">k_B</f>
        <v>1.17213932619116</v>
      </c>
      <c r="D8396" s="14" t="n">
        <f aca="false">k_B</f>
        <v>1.17213932619116</v>
      </c>
      <c r="E8396" s="14" t="n">
        <f aca="false">k_B</f>
        <v>1.17213932619116</v>
      </c>
      <c r="F8396" s="14" t="n">
        <f aca="false">(k_B+((ls_B*k_long+(1-ls_B)*k_spot)-k_B)*MIN(1,(Sens!F8381-base_fy)/k_ramp))</f>
        <v>1.17213932619116</v>
      </c>
      <c r="G8396" s="14" t="n">
        <f aca="false">(k_B+((ls_B*k_long+(1-ls_B)*k_spot)-k_B)*MIN(1,(Sens!G8381-base_fy)/k_ramp))</f>
        <v>1.17213932619116</v>
      </c>
      <c r="H8396" s="14" t="n">
        <f aca="false">(k_B+((ls_B*k_long+(1-ls_B)*k_spot)-k_B)*MIN(1,(Sens!H8381-base_fy)/k_ramp))</f>
        <v>1.17213932619116</v>
      </c>
      <c r="I8396" s="14" t="n">
        <f aca="false">(k_B+((ls_B*k_long+(1-ls_B)*k_spot)-k_B)*MIN(1,(Sens!I8381-base_fy)/k_ramp))</f>
        <v>1.17213932619116</v>
      </c>
      <c r="J8396" s="14" t="n">
        <f aca="false">(k_B+((ls_B*k_long+(1-ls_B)*k_spot)-k_B)*MIN(1,(Sens!J8381-base_fy)/k_ramp))</f>
        <v>1.17213932619116</v>
      </c>
      <c r="K8396" s="14" t="n">
        <f aca="false">(k_B+((ls_B*k_long+(1-ls_B)*k_spot)-k_B)*MIN(1,(Sens!K8381-base_fy)/k_ramp))</f>
        <v>1.17213932619116</v>
      </c>
      <c r="L8396" s="1" t="s">
        <v>829</v>
      </c>
    </row>
    <row r="8397" customFormat="false" ht="17.15" hidden="false" customHeight="false" outlineLevel="0" collapsed="false">
      <c r="A8397" s="1" t="s">
        <v>830</v>
      </c>
      <c r="B8397" s="0" t="s">
        <v>346</v>
      </c>
      <c r="C8397" s="14" t="n">
        <f aca="false">Sens!C8395*Sens!C8396*chip_f</f>
        <v>11.3973387156315</v>
      </c>
      <c r="D8397" s="14" t="n">
        <f aca="false">Sens!D8395*Sens!D8396*chip_f</f>
        <v>11.3973387156315</v>
      </c>
      <c r="E8397" s="14" t="n">
        <f aca="false">Sens!E8395*Sens!E8396*chip_f</f>
        <v>11.3973387156315</v>
      </c>
      <c r="F8397" s="14" t="n">
        <f aca="false">Sens!F8395*Sens!F8396*chip_f</f>
        <v>12.1995760756289</v>
      </c>
      <c r="G8397" s="14" t="n">
        <f aca="false">Sens!G8395*Sens!G8396*chip_f</f>
        <v>12.7045990965592</v>
      </c>
      <c r="H8397" s="14" t="n">
        <f aca="false">Sens!H8395*Sens!H8396*chip_f</f>
        <v>13.0472022091214</v>
      </c>
      <c r="I8397" s="14" t="n">
        <f aca="false">Sens!I8395*Sens!I8396*chip_f</f>
        <v>13.3148325820205</v>
      </c>
      <c r="J8397" s="14" t="n">
        <f aca="false">Sens!J8395*Sens!J8396*chip_f</f>
        <v>13.5330304618783</v>
      </c>
      <c r="K8397" s="14" t="n">
        <f aca="false">Sens!K8395*Sens!K8396*chip_f</f>
        <v>13.8404087693522</v>
      </c>
      <c r="L8397" s="1" t="s">
        <v>831</v>
      </c>
    </row>
    <row r="8398" customFormat="false" ht="17.15" hidden="false" customHeight="false" outlineLevel="0" collapsed="false">
      <c r="A8398" s="0" t="s">
        <v>832</v>
      </c>
      <c r="B8398" s="0" t="s">
        <v>98</v>
      </c>
      <c r="D8398" s="6" t="n">
        <f aca="false">(Sens!C8383+Sens!D8383)/2*Sens!D8397/1000</f>
        <v>12.9359794422418</v>
      </c>
      <c r="E8398" s="6" t="n">
        <f aca="false">(Sens!D8383+Sens!E8383)/2*Sens!E8397/1000</f>
        <v>27.8095064661409</v>
      </c>
      <c r="F8398" s="6" t="n">
        <f aca="false">(Sens!E8383+Sens!F8383)/2*Sens!F8397/1000</f>
        <v>55.0640065749585</v>
      </c>
      <c r="G8398" s="6" t="n">
        <f aca="false">(Sens!F8383+Sens!G8383)/2*Sens!G8397/1000</f>
        <v>89.4505413190538</v>
      </c>
      <c r="H8398" s="6" t="n">
        <f aca="false">(Sens!G8383+Sens!H8383)/2*Sens!H8397/1000</f>
        <v>124.835630736874</v>
      </c>
      <c r="I8398" s="6" t="n">
        <f aca="false">(Sens!H8383+Sens!I8383)/2*Sens!I8397/1000</f>
        <v>156.158460265485</v>
      </c>
      <c r="J8398" s="6" t="n">
        <f aca="false">(Sens!I8383+Sens!J8383)/2*Sens!J8397/1000</f>
        <v>178.259285293112</v>
      </c>
      <c r="K8398" s="6" t="n">
        <f aca="false">(Sens!J8383+Sens!K8383)/2*Sens!K8397/1000</f>
        <v>192.733290209798</v>
      </c>
      <c r="L8398" s="11" t="s">
        <v>833</v>
      </c>
    </row>
    <row r="8399" customFormat="false" ht="17.15" hidden="false" customHeight="false" outlineLevel="0" collapsed="false">
      <c r="A8399" s="1" t="s">
        <v>834</v>
      </c>
      <c r="B8399" s="0" t="s">
        <v>346</v>
      </c>
      <c r="C8399" s="14" t="n">
        <f aca="false">(Sens!C8391*tk_opex_h100+Sens!C8392*tk_opex_gb200+Sens!C8393*tk_opex_gb300+Sens!C8394*tk_opex_vr200)/Sens!C8383</f>
        <v>1.88636041306092</v>
      </c>
      <c r="D8399" s="14" t="n">
        <f aca="false">(Sens!D8391*tk_opex_h100+Sens!D8392*tk_opex_gb200+Sens!D8393*tk_opex_gb300+Sens!D8394*tk_opex_vr200)/Sens!D8383</f>
        <v>1.88636041306092</v>
      </c>
      <c r="E8399" s="14" t="n">
        <f aca="false">(Sens!E8391*tk_opex_h100+Sens!E8392*tk_opex_gb200+Sens!E8393*tk_opex_gb300+Sens!E8394*tk_opex_vr200)/Sens!E8383</f>
        <v>1.88636041306092</v>
      </c>
      <c r="F8399" s="14" t="n">
        <f aca="false">(Sens!F8391*tk_opex_h100+Sens!F8392*tk_opex_gb200+Sens!F8393*tk_opex_gb300+Sens!F8394*tk_opex_vr200)/Sens!F8383</f>
        <v>1.9430236476499</v>
      </c>
      <c r="G8399" s="14" t="n">
        <f aca="false">(Sens!G8391*tk_opex_h100+Sens!G8392*tk_opex_gb200+Sens!G8393*tk_opex_gb300+Sens!G8394*tk_opex_vr200)/Sens!G8383</f>
        <v>1.9786941852423</v>
      </c>
      <c r="H8399" s="14" t="n">
        <f aca="false">(Sens!H8391*tk_opex_h100+Sens!H8392*tk_opex_gb200+Sens!H8393*tk_opex_gb300+Sens!H8394*tk_opex_vr200)/Sens!H8383</f>
        <v>2.00289275976156</v>
      </c>
      <c r="I8399" s="14" t="n">
        <f aca="false">(Sens!I8391*tk_opex_h100+Sens!I8392*tk_opex_gb200+Sens!I8393*tk_opex_gb300+Sens!I8394*tk_opex_vr200)/Sens!I8383</f>
        <v>2.02179589661219</v>
      </c>
      <c r="J8399" s="14" t="n">
        <f aca="false">(Sens!J8391*tk_opex_h100+Sens!J8392*tk_opex_gb200+Sens!J8393*tk_opex_gb300+Sens!J8394*tk_opex_vr200)/Sens!J8383</f>
        <v>2.03720754193029</v>
      </c>
      <c r="K8399" s="14" t="n">
        <f aca="false">(Sens!K8391*tk_opex_h100+Sens!K8392*tk_opex_gb200+Sens!K8393*tk_opex_gb300+Sens!K8394*tk_opex_vr200)/Sens!K8383</f>
        <v>2.0589181353437</v>
      </c>
    </row>
    <row r="8400" customFormat="false" ht="17.15" hidden="false" customHeight="false" outlineLevel="0" collapsed="false">
      <c r="A8400" s="0" t="s">
        <v>835</v>
      </c>
      <c r="B8400" s="0" t="s">
        <v>98</v>
      </c>
      <c r="D8400" s="6" t="n">
        <f aca="false">(Sens!C8386+Sens!D8386)/2*Sens!D8399/1000</f>
        <v>2.70378325872065</v>
      </c>
      <c r="E8400" s="6" t="n">
        <f aca="false">(Sens!D8386+Sens!E8386)/2*Sens!E8399/1000</f>
        <v>6.17783035277451</v>
      </c>
      <c r="F8400" s="6" t="n">
        <f aca="false">(Sens!E8386+Sens!F8386)/2*Sens!F8399/1000</f>
        <v>12.5020618235287</v>
      </c>
      <c r="G8400" s="6" t="n">
        <f aca="false">(Sens!F8386+Sens!G8386)/2*Sens!G8399/1000</f>
        <v>20.7261620256847</v>
      </c>
      <c r="H8400" s="6" t="n">
        <f aca="false">(Sens!G8386+Sens!H8386)/2*Sens!H8399/1000</f>
        <v>29.4158183316982</v>
      </c>
      <c r="I8400" s="6" t="n">
        <f aca="false">(Sens!H8386+Sens!I8386)/2*Sens!I8399/1000</f>
        <v>36.9724400356344</v>
      </c>
      <c r="J8400" s="6" t="n">
        <f aca="false">(Sens!I8386+Sens!J8386)/2*Sens!J8399/1000</f>
        <v>42.1571687189816</v>
      </c>
      <c r="K8400" s="6" t="n">
        <f aca="false">(Sens!J8386+Sens!K8386)/2*Sens!K8399/1000</f>
        <v>45.1912095080704</v>
      </c>
    </row>
    <row r="8401" customFormat="false" ht="17.15" hidden="false" customHeight="false" outlineLevel="0" collapsed="false">
      <c r="A8401" s="0" t="s">
        <v>836</v>
      </c>
      <c r="B8401" s="0" t="s">
        <v>98</v>
      </c>
      <c r="D8401" s="6" t="n">
        <f aca="false">(Sens!C8384+Sens!D8384)/2*rent_mw/1000</f>
        <v>2.44475</v>
      </c>
      <c r="E8401" s="6" t="n">
        <f aca="false">(Sens!D8384+Sens!E8384)/2*rent_mw/1000</f>
        <v>4.22275</v>
      </c>
      <c r="F8401" s="6" t="n">
        <f aca="false">(Sens!E8384+Sens!F8384)/2*rent_mw/1000</f>
        <v>5.80517</v>
      </c>
      <c r="G8401" s="6" t="n">
        <f aca="false">(Sens!F8384+Sens!G8384)/2*rent_mw/1000</f>
        <v>6.72084</v>
      </c>
      <c r="H8401" s="6" t="n">
        <f aca="false">(Sens!G8384+Sens!H8384)/2*rent_mw/1000</f>
        <v>6.72084</v>
      </c>
      <c r="I8401" s="6" t="n">
        <f aca="false">(Sens!H8384+Sens!I8384)/2*rent_mw/1000</f>
        <v>6.72084</v>
      </c>
      <c r="J8401" s="6" t="n">
        <f aca="false">(Sens!I8384+Sens!J8384)/2*rent_mw/1000</f>
        <v>6.72084</v>
      </c>
      <c r="K8401" s="6" t="n">
        <f aca="false">(Sens!J8384+Sens!K8384)/2*rent_mw/1000</f>
        <v>6.72084</v>
      </c>
    </row>
    <row r="8402" customFormat="false" ht="17.15" hidden="false" customHeight="false" outlineLevel="0" collapsed="false">
      <c r="A8402" s="0" t="s">
        <v>837</v>
      </c>
      <c r="B8402" s="0" t="s">
        <v>98</v>
      </c>
      <c r="D8402" s="6" t="n">
        <f aca="false">(Sens!C8386+Sens!D8386)/2*(1-self_build)*fac_rent/1000</f>
        <v>0.853242375631075</v>
      </c>
      <c r="E8402" s="6" t="n">
        <f aca="false">(Sens!D8386+Sens!E8386)/2*(1-self_build)*fac_rent/1000</f>
        <v>1.94955961408728</v>
      </c>
      <c r="F8402" s="6" t="n">
        <f aca="false">(Sens!E8386+Sens!F8386)/2*(1-self_build)*fac_rent/1000</f>
        <v>3.83026455274573</v>
      </c>
      <c r="G8402" s="6" t="n">
        <f aca="false">(Sens!F8386+Sens!G8386)/2*(1-self_build)*fac_rent/1000</f>
        <v>6.23541590972812</v>
      </c>
      <c r="H8402" s="6" t="n">
        <f aca="false">(Sens!G8386+Sens!H8386)/2*(1-self_build)*fac_rent/1000</f>
        <v>8.74275792332679</v>
      </c>
      <c r="I8402" s="6" t="n">
        <f aca="false">(Sens!H8386+Sens!I8386)/2*(1-self_build)*fac_rent/1000</f>
        <v>10.8859420438599</v>
      </c>
      <c r="J8402" s="6" t="n">
        <f aca="false">(Sens!I8386+Sens!J8386)/2*(1-self_build)*fac_rent/1000</f>
        <v>12.3186006405366</v>
      </c>
      <c r="K8402" s="6" t="n">
        <f aca="false">(Sens!J8386+Sens!K8386)/2*(1-self_build)*fac_rent/1000</f>
        <v>13.0659232089824</v>
      </c>
      <c r="L8402" s="11" t="s">
        <v>838</v>
      </c>
    </row>
    <row r="8403" customFormat="false" ht="17.15" hidden="false" customHeight="false" outlineLevel="0" collapsed="false">
      <c r="A8403" s="1" t="s">
        <v>839</v>
      </c>
      <c r="B8403" s="0" t="s">
        <v>129</v>
      </c>
      <c r="D8403" s="7" t="n">
        <f aca="false">(Sens!C8385+Sens!D8385)/(Sens!C8386+Sens!D8386)</f>
        <v>0.6</v>
      </c>
      <c r="E8403" s="7" t="n">
        <f aca="false">(Sens!D8385+Sens!E8385)/(Sens!D8386+Sens!E8386)</f>
        <v>0.6</v>
      </c>
      <c r="F8403" s="7" t="n">
        <f aca="false">(Sens!E8385+Sens!F8385)/(Sens!E8386+Sens!F8386)</f>
        <v>0.6</v>
      </c>
      <c r="G8403" s="7" t="n">
        <f aca="false">(Sens!F8385+Sens!G8385)/(Sens!F8386+Sens!G8386)</f>
        <v>0.6</v>
      </c>
      <c r="H8403" s="7" t="n">
        <f aca="false">(Sens!G8385+Sens!H8385)/(Sens!G8386+Sens!H8386)</f>
        <v>0.6</v>
      </c>
      <c r="I8403" s="7" t="n">
        <f aca="false">(Sens!H8385+Sens!I8385)/(Sens!H8386+Sens!I8386)</f>
        <v>0.6</v>
      </c>
      <c r="J8403" s="7" t="n">
        <f aca="false">(Sens!I8385+Sens!J8385)/(Sens!I8386+Sens!J8386)</f>
        <v>0.6</v>
      </c>
      <c r="K8403" s="7" t="n">
        <f aca="false">(Sens!J8385+Sens!K8385)/(Sens!J8386+Sens!K8386)</f>
        <v>0.6</v>
      </c>
    </row>
    <row r="8404" customFormat="false" ht="17.15" hidden="false" customHeight="false" outlineLevel="0" collapsed="false">
      <c r="A8404" s="0" t="s">
        <v>840</v>
      </c>
      <c r="B8404" s="0" t="s">
        <v>98</v>
      </c>
      <c r="D8404" s="6" t="n">
        <f aca="false">Sens!D8398-Sens!D8403*(Sens!D8400+Sens!D8402)-Sens!D8401</f>
        <v>8.35701406163072</v>
      </c>
      <c r="E8404" s="6" t="n">
        <f aca="false">Sens!E8398-Sens!E8403*(Sens!E8400+Sens!E8402)-Sens!E8401</f>
        <v>18.7103224860238</v>
      </c>
      <c r="F8404" s="6" t="n">
        <f aca="false">Sens!F8398-Sens!F8403*(Sens!F8400+Sens!F8402)-Sens!F8401</f>
        <v>39.4594407491938</v>
      </c>
      <c r="G8404" s="6" t="n">
        <f aca="false">Sens!G8398-Sens!G8403*(Sens!G8400+Sens!G8402)-Sens!G8401</f>
        <v>66.5527545578061</v>
      </c>
      <c r="H8404" s="6" t="n">
        <f aca="false">Sens!H8398-Sens!H8403*(Sens!H8400+Sens!H8402)-Sens!H8401</f>
        <v>95.219644983859</v>
      </c>
      <c r="I8404" s="6" t="n">
        <f aca="false">Sens!I8398-Sens!I8403*(Sens!I8400+Sens!I8402)-Sens!I8401</f>
        <v>120.722591017788</v>
      </c>
      <c r="J8404" s="6" t="n">
        <f aca="false">Sens!J8398-Sens!J8403*(Sens!J8400+Sens!J8402)-Sens!J8401</f>
        <v>138.852983677401</v>
      </c>
      <c r="K8404" s="6" t="n">
        <f aca="false">Sens!K8398-Sens!K8403*(Sens!K8400+Sens!K8402)-Sens!K8401</f>
        <v>151.058170579566</v>
      </c>
    </row>
    <row r="8405" customFormat="false" ht="17.15" hidden="false" customHeight="false" outlineLevel="0" collapsed="false">
      <c r="A8405" s="1" t="s">
        <v>841</v>
      </c>
      <c r="B8405" s="0" t="s">
        <v>98</v>
      </c>
      <c r="D8405" s="6" t="n">
        <f aca="false">(1-Sens!D8403)*(Sens!D8400+Sens!D8402)</f>
        <v>1.42281025374069</v>
      </c>
      <c r="E8405" s="6" t="n">
        <f aca="false">(1-Sens!E8403)*(Sens!E8400+Sens!E8402)</f>
        <v>3.25095598674472</v>
      </c>
      <c r="F8405" s="6" t="n">
        <f aca="false">(1-Sens!F8403)*(Sens!F8400+Sens!F8402)</f>
        <v>6.53293055050977</v>
      </c>
      <c r="G8405" s="6" t="n">
        <f aca="false">(1-Sens!G8403)*(Sens!G8400+Sens!G8402)</f>
        <v>10.7846311741651</v>
      </c>
      <c r="H8405" s="6" t="n">
        <f aca="false">(1-Sens!H8403)*(Sens!H8400+Sens!H8402)</f>
        <v>15.26343050201</v>
      </c>
      <c r="I8405" s="6" t="n">
        <f aca="false">(1-Sens!I8403)*(Sens!I8400+Sens!I8402)</f>
        <v>19.1433528317977</v>
      </c>
      <c r="J8405" s="6" t="n">
        <f aca="false">(1-Sens!J8403)*(Sens!J8400+Sens!J8402)</f>
        <v>21.7903077438073</v>
      </c>
      <c r="K8405" s="6" t="n">
        <f aca="false">(1-Sens!K8403)*(Sens!K8400+Sens!K8402)</f>
        <v>23.3028530868211</v>
      </c>
    </row>
    <row r="8406" customFormat="false" ht="17.15" hidden="false" customHeight="false" outlineLevel="0" collapsed="false">
      <c r="A8406" s="1" t="s">
        <v>842</v>
      </c>
      <c r="B8406" s="0" t="s">
        <v>357</v>
      </c>
      <c r="C8406" s="8" t="n">
        <f aca="false">cxit_open</f>
        <v>27.5918995</v>
      </c>
      <c r="D8406" s="8" t="n">
        <f aca="false">cxit_open</f>
        <v>27.5918995</v>
      </c>
      <c r="E8406" s="8" t="n">
        <f aca="false">cxit_open</f>
        <v>27.5918995</v>
      </c>
      <c r="F8406" s="8" t="n">
        <f aca="false">(a_g3_27*tk_cxit_gb300+(1-a_g3_27)*tk_cxit_vr200)</f>
        <v>33.8419624</v>
      </c>
      <c r="G8406" s="8" t="n">
        <f aca="false">(a_g3_28*tk_cxit_gb300+(1-a_g3_28)*tk_cxit_vr200)</f>
        <v>35.9816136</v>
      </c>
      <c r="H8406" s="8" t="n">
        <f aca="false">(a_g3_29*tk_cxit_gb300+(1-a_g3_29)*tk_cxit_vr200)</f>
        <v>37.0514392</v>
      </c>
      <c r="I8406" s="8" t="n">
        <f aca="false">(a_g3_29*tk_cxit_gb300+(1-a_g3_29)*tk_cxit_vr200)</f>
        <v>37.0514392</v>
      </c>
      <c r="J8406" s="8" t="n">
        <f aca="false">(a_g3_29*tk_cxit_gb300+(1-a_g3_29)*tk_cxit_vr200)</f>
        <v>37.0514392</v>
      </c>
      <c r="K8406" s="8" t="n">
        <f aca="false">(a_g3_29*tk_cxit_gb300+(1-a_g3_29)*tk_cxit_vr200)</f>
        <v>37.0514392</v>
      </c>
      <c r="L8406" s="11" t="s">
        <v>843</v>
      </c>
    </row>
    <row r="8407" customFormat="false" ht="17.15" hidden="false" customHeight="false" outlineLevel="0" collapsed="false">
      <c r="A8407" s="0" t="s">
        <v>844</v>
      </c>
      <c r="B8407" s="0" t="s">
        <v>399</v>
      </c>
      <c r="F8407" s="29" t="n">
        <f aca="false">Sens!C8388*IF(Sens!F8381-Sens!C8381=life_it,1,0)+Sens!D8388*IF(Sens!F8381-Sens!D8381=life_it,1,0)+Sens!E8388*IF(Sens!F8381-Sens!E8381=life_it,1,0)</f>
        <v>0</v>
      </c>
      <c r="G8407" s="29" t="n">
        <f aca="false">Sens!C8388*IF(Sens!G8381-Sens!C8381=life_it,1,0)+Sens!D8388*IF(Sens!G8381-Sens!D8381=life_it,1,0)+Sens!E8388*IF(Sens!G8381-Sens!E8381=life_it,1,0)+Sens!F8388*IF(Sens!G8381-Sens!F8381=life_it,1,0)</f>
        <v>0</v>
      </c>
      <c r="H8407" s="29" t="n">
        <f aca="false">Sens!C8388*IF(Sens!H8381-Sens!C8381=life_it,1,0)+Sens!D8388*IF(Sens!H8381-Sens!D8381=life_it,1,0)+Sens!E8388*IF(Sens!H8381-Sens!E8381=life_it,1,0)+Sens!F8388*IF(Sens!H8381-Sens!F8381=life_it,1,0)+Sens!G8388*IF(Sens!H8381-Sens!G8381=life_it,1,0)</f>
        <v>0</v>
      </c>
      <c r="I8407" s="29" t="n">
        <f aca="false">Sens!C8388*IF(Sens!I8381-Sens!C8381=life_it,1,0)+Sens!D8388*IF(Sens!I8381-Sens!D8381=life_it,1,0)+Sens!E8388*IF(Sens!I8381-Sens!E8381=life_it,1,0)+Sens!F8388*IF(Sens!I8381-Sens!F8381=life_it,1,0)+Sens!G8388*IF(Sens!I8381-Sens!G8381=life_it,1,0)+Sens!H8388*IF(Sens!I8381-Sens!H8381=life_it,1,0)</f>
        <v>816.666666666667</v>
      </c>
      <c r="J8407" s="29" t="n">
        <f aca="false">Sens!C8388*IF(Sens!J8381-Sens!C8381=life_it,1,0)+Sens!D8388*IF(Sens!J8381-Sens!D8381=life_it,1,0)+Sens!E8388*IF(Sens!J8381-Sens!E8381=life_it,1,0)+Sens!F8388*IF(Sens!J8381-Sens!F8381=life_it,1,0)+Sens!G8388*IF(Sens!J8381-Sens!G8381=life_it,1,0)+Sens!H8388*IF(Sens!J8381-Sens!H8381=life_it,1,0)+Sens!I8388*IF(Sens!J8381-Sens!I8381=life_it,1,0)</f>
        <v>1233.33333333333</v>
      </c>
      <c r="K8407" s="29" t="n">
        <f aca="false">Sens!C8388*IF(Sens!K8381-Sens!C8381=life_it,1,0)+Sens!D8388*IF(Sens!K8381-Sens!D8381=life_it,1,0)+Sens!E8388*IF(Sens!K8381-Sens!E8381=life_it,1,0)+Sens!F8388*IF(Sens!K8381-Sens!F8381=life_it,1,0)+Sens!G8388*IF(Sens!K8381-Sens!G8381=life_it,1,0)+Sens!H8388*IF(Sens!K8381-Sens!H8381=life_it,1,0)+Sens!I8388*IF(Sens!K8381-Sens!I8381=life_it,1,0)+Sens!J8388*IF(Sens!K8381-Sens!J8381=life_it,1,0)</f>
        <v>2450</v>
      </c>
      <c r="L8407" s="1" t="s">
        <v>845</v>
      </c>
    </row>
    <row r="8408" customFormat="false" ht="17.15" hidden="false" customHeight="false" outlineLevel="0" collapsed="false">
      <c r="A8408" s="0" t="s">
        <v>846</v>
      </c>
      <c r="B8408" s="0" t="s">
        <v>98</v>
      </c>
      <c r="C8408" s="6" t="n">
        <f aca="false">Sens!C8388*Sens!C8406/1000</f>
        <v>22.5333845916667</v>
      </c>
      <c r="D8408" s="6" t="n">
        <f aca="false">Sens!D8388*Sens!D8406/1000</f>
        <v>34.0300093833333</v>
      </c>
      <c r="E8408" s="6" t="n">
        <f aca="false">Sens!E8388*Sens!E8406/1000</f>
        <v>67.600153775</v>
      </c>
      <c r="F8408" s="6" t="n">
        <f aca="false">(Sens!F8388+Sens!F8407)*Sens!F8406/1000</f>
        <v>130.923271871467</v>
      </c>
      <c r="G8408" s="6" t="n">
        <f aca="false">(Sens!G8388+Sens!G8407)*Sens!G8406/1000</f>
        <v>151.5545564832</v>
      </c>
      <c r="H8408" s="6" t="n">
        <f aca="false">(Sens!H8388+Sens!H8407)*Sens!H8406/1000</f>
        <v>156.0606619104</v>
      </c>
      <c r="I8408" s="6" t="n">
        <f aca="false">(Sens!I8388+Sens!I8407)*Sens!I8406/1000</f>
        <v>140.987889434245</v>
      </c>
      <c r="J8408" s="6" t="n">
        <f aca="false">(Sens!J8388+Sens!J8407)*Sens!J8406/1000</f>
        <v>113.309125559842</v>
      </c>
      <c r="K8408" s="6" t="n">
        <f aca="false">(Sens!K8388+Sens!K8407)*Sens!K8406/1000</f>
        <v>116.192591420959</v>
      </c>
    </row>
    <row r="8409" customFormat="false" ht="17.15" hidden="false" customHeight="false" outlineLevel="0" collapsed="false">
      <c r="A8409" s="0" t="s">
        <v>847</v>
      </c>
      <c r="B8409" s="0" t="s">
        <v>98</v>
      </c>
      <c r="C8409" s="6" t="n">
        <f aca="false">Sens!C8388*self_build*tk_cxfac/1000</f>
        <v>6.2083</v>
      </c>
      <c r="D8409" s="6" t="n">
        <f aca="false">Sens!D8388*self_build*tk_cxfac/1000</f>
        <v>9.3758</v>
      </c>
      <c r="E8409" s="6" t="n">
        <f aca="false">Sens!E8388*self_build*tk_cxfac/1000</f>
        <v>18.6249</v>
      </c>
      <c r="F8409" s="6" t="n">
        <f aca="false">Sens!F8388*self_build*tk_cxfac/1000</f>
        <v>29.409604</v>
      </c>
      <c r="G8409" s="6" t="n">
        <f aca="false">Sens!G8388*self_build*tk_cxfac/1000</f>
        <v>32.019624</v>
      </c>
      <c r="H8409" s="6" t="n">
        <f aca="false">Sens!H8388*self_build*tk_cxfac/1000</f>
        <v>32.019624</v>
      </c>
      <c r="I8409" s="6" t="n">
        <f aca="false">Sens!I8388*self_build*tk_cxfac/1000</f>
        <v>22.71877972</v>
      </c>
      <c r="J8409" s="6" t="n">
        <f aca="false">Sens!J8388*self_build*tk_cxfac/1000</f>
        <v>13.8723110344</v>
      </c>
      <c r="K8409" s="6" t="n">
        <f aca="false">Sens!K8388*self_build*tk_cxfac/1000</f>
        <v>5.214823882632</v>
      </c>
    </row>
    <row r="8410" customFormat="false" ht="17.15" hidden="false" customHeight="false" outlineLevel="0" collapsed="false">
      <c r="A8410" s="0" t="s">
        <v>848</v>
      </c>
      <c r="B8410" s="0" t="s">
        <v>98</v>
      </c>
      <c r="F8410" s="6" t="n">
        <f aca="false">MAX(0,capex_floor27-Sens!F8408-Sens!F8409-Sens!F8504)</f>
        <v>8.18893890759241</v>
      </c>
    </row>
    <row r="8411" customFormat="false" ht="17.15" hidden="false" customHeight="false" outlineLevel="0" collapsed="false">
      <c r="A8411" s="0" t="s">
        <v>849</v>
      </c>
      <c r="B8411" s="0" t="s">
        <v>98</v>
      </c>
      <c r="C8411" s="6" t="n">
        <f aca="false">Sens!C8408</f>
        <v>22.5333845916667</v>
      </c>
      <c r="D8411" s="6" t="n">
        <f aca="false">Sens!D8408</f>
        <v>34.0300093833333</v>
      </c>
      <c r="E8411" s="6" t="n">
        <f aca="false">Sens!E8408</f>
        <v>67.600153775</v>
      </c>
      <c r="F8411" s="6" t="n">
        <f aca="false">Sens!F8408</f>
        <v>130.923271871467</v>
      </c>
      <c r="G8411" s="6" t="n">
        <f aca="false">Sens!G8408</f>
        <v>151.5545564832</v>
      </c>
      <c r="H8411" s="6" t="n">
        <f aca="false">Sens!H8408</f>
        <v>156.0606619104</v>
      </c>
      <c r="I8411" s="6" t="n">
        <f aca="false">Sens!I8408</f>
        <v>140.987889434245</v>
      </c>
      <c r="J8411" s="6" t="n">
        <f aca="false">Sens!J8408</f>
        <v>113.309125559842</v>
      </c>
      <c r="K8411" s="6" t="n">
        <f aca="false">Sens!K8408</f>
        <v>116.192591420959</v>
      </c>
    </row>
    <row r="8412" customFormat="false" ht="17.15" hidden="false" customHeight="false" outlineLevel="0" collapsed="false">
      <c r="A8412" s="0" t="s">
        <v>850</v>
      </c>
      <c r="B8412" s="0" t="s">
        <v>98</v>
      </c>
      <c r="C8412" s="6" t="n">
        <f aca="false">Sens!C8411+Sens!C8409</f>
        <v>28.7416845916667</v>
      </c>
      <c r="D8412" s="6" t="n">
        <f aca="false">Sens!D8411+Sens!D8409</f>
        <v>43.4058093833333</v>
      </c>
      <c r="E8412" s="6" t="n">
        <f aca="false">Sens!E8411+Sens!E8409</f>
        <v>86.225053775</v>
      </c>
      <c r="F8412" s="6" t="n">
        <f aca="false">Sens!F8411+Sens!F8409</f>
        <v>160.332875871467</v>
      </c>
      <c r="G8412" s="6" t="n">
        <f aca="false">Sens!G8411+Sens!G8409</f>
        <v>183.5741804832</v>
      </c>
      <c r="H8412" s="6" t="n">
        <f aca="false">Sens!H8411+Sens!H8409</f>
        <v>188.0802859104</v>
      </c>
      <c r="I8412" s="6" t="n">
        <f aca="false">Sens!I8411+Sens!I8409</f>
        <v>163.706669154245</v>
      </c>
      <c r="J8412" s="6" t="n">
        <f aca="false">Sens!J8411+Sens!J8409</f>
        <v>127.181436594242</v>
      </c>
      <c r="K8412" s="6" t="n">
        <f aca="false">Sens!K8411+Sens!K8409</f>
        <v>121.407415303591</v>
      </c>
      <c r="L8412" s="11" t="s">
        <v>851</v>
      </c>
    </row>
    <row r="8413" customFormat="false" ht="17.15" hidden="false" customHeight="false" outlineLevel="0" collapsed="false">
      <c r="A8413" s="0" t="s">
        <v>852</v>
      </c>
      <c r="B8413" s="0" t="s">
        <v>98</v>
      </c>
      <c r="E8413" s="6" t="n">
        <f aca="false">(Sens!C8411*IF(2&lt;life_it,1,IF(2=life_it,0.5,0))+Sens!D8411*IF(1&lt;life_it,1,IF(1=life_it,0.5,0))+Sens!E8411*0.5)/life_it</f>
        <v>15.0605784770833</v>
      </c>
      <c r="F8413" s="6" t="n">
        <f aca="false">(Sens!C8411*IF(3&lt;life_it,1,IF(3=life_it,0.5,0))+Sens!D8411*IF(2&lt;life_it,1,IF(2=life_it,0.5,0))+Sens!E8411*IF(1&lt;life_it,1,IF(1=life_it,0.5,0))+Sens!F8411*0.5)/life_it</f>
        <v>31.6041972809556</v>
      </c>
      <c r="G8413" s="6" t="n">
        <f aca="false">(Sens!C8411*IF(4&lt;life_it,1,IF(4=life_it,0.5,0))+Sens!D8411*IF(3&lt;life_it,1,IF(3=life_it,0.5,0))+Sens!E8411*IF(2&lt;life_it,1,IF(2=life_it,0.5,0))+Sens!F8411*IF(1&lt;life_it,1,IF(1=life_it,0.5,0))+Sens!G8411*0.5)/life_it</f>
        <v>55.1440163105111</v>
      </c>
      <c r="H8413" s="6" t="n">
        <f aca="false">(Sens!C8411*IF(5&lt;life_it,1,IF(5=life_it,0.5,0))+Sens!D8411*IF(4&lt;life_it,1,IF(4=life_it,0.5,0))+Sens!E8411*IF(3&lt;life_it,1,IF(3=life_it,0.5,0))+Sens!F8411*IF(2&lt;life_it,1,IF(2=life_it,0.5,0))+Sens!G8411*IF(1&lt;life_it,1,IF(1=life_it,0.5,0))+Sens!H8411*0.5)/life_it</f>
        <v>80.7786178433111</v>
      </c>
      <c r="I8413" s="6" t="n">
        <f aca="false">(Sens!C8411*IF(6&lt;life_it,1,IF(6=life_it,0.5,0))+Sens!D8411*IF(5&lt;life_it,1,IF(5=life_it,0.5,0))+Sens!E8411*IF(4&lt;life_it,1,IF(4=life_it,0.5,0))+Sens!F8411*IF(3&lt;life_it,1,IF(3=life_it,0.5,0))+Sens!G8411*IF(2&lt;life_it,1,IF(2=life_it,0.5,0))+Sens!H8411*IF(1&lt;life_it,1,IF(1=life_it,0.5,0))+Sens!I8411*0.5)/life_it</f>
        <v>103.654881739393</v>
      </c>
      <c r="J8413" s="6" t="n">
        <f aca="false">(Sens!C8411*IF(7&lt;life_it,1,IF(7=life_it,0.5,0))+Sens!D8411*IF(6&lt;life_it,1,IF(6=life_it,0.5,0))+Sens!E8411*IF(5&lt;life_it,1,IF(5=life_it,0.5,0))+Sens!F8411*IF(4&lt;life_it,1,IF(4=life_it,0.5,0))+Sens!G8411*IF(3&lt;life_it,1,IF(3=life_it,0.5,0))+Sens!H8411*IF(2&lt;life_it,1,IF(2=life_it,0.5,0))+Sens!I8411*IF(1&lt;life_it,1,IF(1=life_it,0.5,0))+Sens!J8411*0.5)/life_it</f>
        <v>120.132683490983</v>
      </c>
      <c r="K8413" s="6" t="n">
        <f aca="false">(Sens!C8411*IF(8&lt;life_it,1,IF(8=life_it,0.5,0))+Sens!D8411*IF(7&lt;life_it,1,IF(7=life_it,0.5,0))+Sens!E8411*IF(6&lt;life_it,1,IF(6=life_it,0.5,0))+Sens!F8411*IF(5&lt;life_it,1,IF(5=life_it,0.5,0))+Sens!G8411*IF(4&lt;life_it,1,IF(4=life_it,0.5,0))+Sens!H8411*IF(3&lt;life_it,1,IF(3=life_it,0.5,0))+Sens!I8411*IF(2&lt;life_it,1,IF(2=life_it,0.5,0))+Sens!J8411*IF(1&lt;life_it,1,IF(1=life_it,0.5,0))+Sens!K8411*0.5)/life_it</f>
        <v>130.788646309522</v>
      </c>
    </row>
    <row r="8414" customFormat="false" ht="17.15" hidden="false" customHeight="false" outlineLevel="0" collapsed="false">
      <c r="A8414" s="0" t="s">
        <v>853</v>
      </c>
      <c r="B8414" s="0" t="s">
        <v>98</v>
      </c>
      <c r="E8414" s="6" t="n">
        <f aca="false">(Sens!C8409*IF(2&lt;life_fac,1,IF(2=life_fac,0.5,0))+Sens!D8409*IF(1&lt;life_fac,1,IF(1=life_fac,0.5,0))+Sens!E8409*0.5)/life_fac</f>
        <v>1.2448275</v>
      </c>
      <c r="F8414" s="6" t="n">
        <f aca="false">(Sens!C8409*IF(3&lt;life_fac,1,IF(3=life_fac,0.5,0))+Sens!D8409*IF(2&lt;life_fac,1,IF(2=life_fac,0.5,0))+Sens!E8409*IF(1&lt;life_fac,1,IF(1=life_fac,0.5,0))+Sens!F8409*0.5)/life_fac</f>
        <v>2.4456901</v>
      </c>
      <c r="G8414" s="6" t="n">
        <f aca="false">(Sens!C8409*IF(4&lt;life_fac,1,IF(4=life_fac,0.5,0))+Sens!D8409*IF(3&lt;life_fac,1,IF(3=life_fac,0.5,0))+Sens!E8409*IF(2&lt;life_fac,1,IF(2=life_fac,0.5,0))+Sens!F8409*IF(1&lt;life_fac,1,IF(1=life_fac,0.5,0))+Sens!G8409*0.5)/life_fac</f>
        <v>3.9814208</v>
      </c>
      <c r="H8414" s="6" t="n">
        <f aca="false">(Sens!C8409*IF(5&lt;life_fac,1,IF(5=life_fac,0.5,0))+Sens!D8409*IF(4&lt;life_fac,1,IF(4=life_fac,0.5,0))+Sens!E8409*IF(3&lt;life_fac,1,IF(3=life_fac,0.5,0))+Sens!F8409*IF(2&lt;life_fac,1,IF(2=life_fac,0.5,0))+Sens!G8409*IF(1&lt;life_fac,1,IF(1=life_fac,0.5,0))+Sens!H8409*0.5)/life_fac</f>
        <v>5.582402</v>
      </c>
      <c r="I8414" s="6" t="n">
        <f aca="false">(Sens!C8409*IF(6&lt;life_fac,1,IF(6=life_fac,0.5,0))+Sens!D8409*IF(5&lt;life_fac,1,IF(5=life_fac,0.5,0))+Sens!E8409*IF(4&lt;life_fac,1,IF(4=life_fac,0.5,0))+Sens!F8409*IF(3&lt;life_fac,1,IF(3=life_fac,0.5,0))+Sens!G8409*IF(2&lt;life_fac,1,IF(2=life_fac,0.5,0))+Sens!H8409*IF(1&lt;life_fac,1,IF(1=life_fac,0.5,0))+Sens!I8409*0.5)/life_fac</f>
        <v>6.950862093</v>
      </c>
      <c r="J8414" s="6" t="n">
        <f aca="false">(Sens!C8409*IF(7&lt;life_fac,1,IF(7=life_fac,0.5,0))+Sens!D8409*IF(6&lt;life_fac,1,IF(6=life_fac,0.5,0))+Sens!E8409*IF(5&lt;life_fac,1,IF(5=life_fac,0.5,0))+Sens!F8409*IF(4&lt;life_fac,1,IF(4=life_fac,0.5,0))+Sens!G8409*IF(3&lt;life_fac,1,IF(3=life_fac,0.5,0))+Sens!H8409*IF(2&lt;life_fac,1,IF(2=life_fac,0.5,0))+Sens!I8409*IF(1&lt;life_fac,1,IF(1=life_fac,0.5,0))+Sens!J8409*0.5)/life_fac</f>
        <v>7.86563936186</v>
      </c>
      <c r="K8414" s="6" t="n">
        <f aca="false">(Sens!C8409*IF(8&lt;life_fac,1,IF(8=life_fac,0.5,0))+Sens!D8409*IF(7&lt;life_fac,1,IF(7=life_fac,0.5,0))+Sens!E8409*IF(6&lt;life_fac,1,IF(6=life_fac,0.5,0))+Sens!F8409*IF(5&lt;life_fac,1,IF(5=life_fac,0.5,0))+Sens!G8409*IF(4&lt;life_fac,1,IF(4=life_fac,0.5,0))+Sens!H8409*IF(3&lt;life_fac,1,IF(3=life_fac,0.5,0))+Sens!I8409*IF(2&lt;life_fac,1,IF(2=life_fac,0.5,0))+Sens!J8409*IF(1&lt;life_fac,1,IF(1=life_fac,0.5,0))+Sens!K8409*0.5)/life_fac</f>
        <v>8.3428177347858</v>
      </c>
    </row>
    <row r="8415" customFormat="false" ht="17.15" hidden="false" customHeight="false" outlineLevel="0" collapsed="false">
      <c r="A8415" s="0" t="s">
        <v>854</v>
      </c>
      <c r="B8415" s="0" t="s">
        <v>98</v>
      </c>
      <c r="E8415" s="6" t="n">
        <f aca="false">Sens!E8413+Sens!E8414</f>
        <v>16.3054059770833</v>
      </c>
      <c r="F8415" s="6" t="n">
        <f aca="false">Sens!F8413+Sens!F8414</f>
        <v>34.0498873809555</v>
      </c>
      <c r="G8415" s="6" t="n">
        <f aca="false">Sens!G8413+Sens!G8414</f>
        <v>59.1254371105111</v>
      </c>
      <c r="H8415" s="6" t="n">
        <f aca="false">Sens!H8413+Sens!H8414</f>
        <v>86.3610198433111</v>
      </c>
      <c r="I8415" s="6" t="n">
        <f aca="false">Sens!I8413+Sens!I8414</f>
        <v>110.605743832393</v>
      </c>
      <c r="J8415" s="6" t="n">
        <f aca="false">Sens!J8413+Sens!J8414</f>
        <v>127.998322852843</v>
      </c>
      <c r="K8415" s="6" t="n">
        <f aca="false">Sens!K8413+Sens!K8414</f>
        <v>139.131464044308</v>
      </c>
    </row>
    <row r="8416" customFormat="false" ht="17.15" hidden="false" customHeight="false" outlineLevel="0" collapsed="false">
      <c r="A8416" s="0" t="s">
        <v>855</v>
      </c>
      <c r="B8416" s="0" t="s">
        <v>98</v>
      </c>
      <c r="E8416" s="6" t="n">
        <f aca="false">Sens!E8404-Sens!E8403*Sens!E8415</f>
        <v>8.92707889977379</v>
      </c>
      <c r="F8416" s="6" t="n">
        <f aca="false">Sens!F8404-Sens!F8403*Sens!F8415</f>
        <v>19.0295083206205</v>
      </c>
      <c r="G8416" s="6" t="n">
        <f aca="false">Sens!G8404-Sens!G8403*Sens!G8415</f>
        <v>31.0774922914994</v>
      </c>
      <c r="H8416" s="6" t="n">
        <f aca="false">Sens!H8404-Sens!H8403*Sens!H8415</f>
        <v>43.4030330778723</v>
      </c>
      <c r="I8416" s="6" t="n">
        <f aca="false">Sens!I8404-Sens!I8403*Sens!I8415</f>
        <v>54.3591447183526</v>
      </c>
      <c r="J8416" s="6" t="n">
        <f aca="false">Sens!J8404-Sens!J8403*Sens!J8415</f>
        <v>62.0539899656947</v>
      </c>
      <c r="K8416" s="6" t="n">
        <f aca="false">Sens!K8404-Sens!K8403*Sens!K8415</f>
        <v>67.5792921529812</v>
      </c>
    </row>
    <row r="8417" customFormat="false" ht="17.15" hidden="false" customHeight="false" outlineLevel="0" collapsed="false">
      <c r="A8417" s="3" t="s">
        <v>1478</v>
      </c>
    </row>
    <row r="8418" customFormat="false" ht="15" hidden="false" customHeight="false" outlineLevel="0" collapsed="false">
      <c r="A8418" s="4" t="s">
        <v>43</v>
      </c>
      <c r="B8418" s="4" t="s">
        <v>65</v>
      </c>
      <c r="C8418" s="20" t="s">
        <v>799</v>
      </c>
      <c r="D8418" s="20" t="s">
        <v>800</v>
      </c>
      <c r="E8418" s="20" t="s">
        <v>801</v>
      </c>
      <c r="F8418" s="20" t="s">
        <v>802</v>
      </c>
      <c r="G8418" s="20" t="s">
        <v>803</v>
      </c>
      <c r="H8418" s="20" t="s">
        <v>804</v>
      </c>
      <c r="I8418" s="20" t="s">
        <v>805</v>
      </c>
      <c r="J8418" s="20" t="s">
        <v>806</v>
      </c>
      <c r="K8418" s="20" t="s">
        <v>807</v>
      </c>
      <c r="L8418" s="4" t="s">
        <v>47</v>
      </c>
    </row>
    <row r="8419" customFormat="false" ht="17.15" hidden="false" customHeight="false" outlineLevel="0" collapsed="false">
      <c r="A8419" s="0" t="s">
        <v>874</v>
      </c>
      <c r="B8419" s="0" t="s">
        <v>98</v>
      </c>
      <c r="D8419" s="6" t="n">
        <f aca="false">Sens!D8398</f>
        <v>12.9359794422418</v>
      </c>
      <c r="E8419" s="6" t="n">
        <f aca="false">Sens!E8398</f>
        <v>27.8095064661409</v>
      </c>
      <c r="F8419" s="6" t="n">
        <f aca="false">Sens!F8398</f>
        <v>55.0640065749585</v>
      </c>
      <c r="G8419" s="6" t="n">
        <f aca="false">Sens!G8398</f>
        <v>89.4505413190538</v>
      </c>
      <c r="H8419" s="6" t="n">
        <f aca="false">Sens!H8398</f>
        <v>124.835630736874</v>
      </c>
      <c r="I8419" s="6" t="n">
        <f aca="false">Sens!I8398</f>
        <v>156.158460265485</v>
      </c>
      <c r="J8419" s="6" t="n">
        <f aca="false">Sens!J8398</f>
        <v>178.259285293112</v>
      </c>
      <c r="K8419" s="6" t="n">
        <f aca="false">Sens!K8398</f>
        <v>192.733290209798</v>
      </c>
    </row>
    <row r="8420" customFormat="false" ht="17.15" hidden="false" customHeight="false" outlineLevel="0" collapsed="false">
      <c r="A8420" s="0" t="s">
        <v>875</v>
      </c>
      <c r="B8420" s="0" t="s">
        <v>98</v>
      </c>
      <c r="D8420" s="6" t="n">
        <f aca="false">Q!L6-Sens!D8419</f>
        <v>59.6740205577583</v>
      </c>
      <c r="E8420" s="6" t="n">
        <f aca="false">Q!M6-Sens!E8419</f>
        <v>74.1284935338591</v>
      </c>
      <c r="F8420" s="6" t="n">
        <f aca="false">Sens!E8420*(1+Sens!F8421)</f>
        <v>90.5741396942587</v>
      </c>
      <c r="G8420" s="6" t="n">
        <f aca="false">Sens!F8420*(1+Sens!G8421)</f>
        <v>108.823251828521</v>
      </c>
      <c r="H8420" s="6" t="n">
        <f aca="false">Sens!G8420*(1+Sens!H8421)</f>
        <v>128.532442249697</v>
      </c>
      <c r="I8420" s="6" t="n">
        <f aca="false">Sens!H8420*(1+Sens!I8421)</f>
        <v>149.192913382446</v>
      </c>
      <c r="J8420" s="6" t="n">
        <f aca="false">Sens!I8420*(1+Sens!J8421)</f>
        <v>170.135219187612</v>
      </c>
      <c r="K8420" s="6" t="n">
        <f aca="false">Sens!J8420*(1+Sens!K8421)</f>
        <v>190.551445490125</v>
      </c>
    </row>
    <row r="8421" customFormat="false" ht="15" hidden="false" customHeight="false" outlineLevel="0" collapsed="false">
      <c r="A8421" s="1" t="s">
        <v>876</v>
      </c>
      <c r="B8421" s="0" t="s">
        <v>129</v>
      </c>
      <c r="E8421" s="7" t="n">
        <f aca="false">Sens!E8420/Sens!D8420-1</f>
        <v>0.242223883039864</v>
      </c>
      <c r="F8421" s="7" t="n">
        <f aca="false">Sens!$E$8421+(glt_azo_hi-Sens!$E$8421)*MIN(1,(Sens!F8381-base_fy)/n_conv)</f>
        <v>0.221853235866554</v>
      </c>
      <c r="G8421" s="7" t="n">
        <f aca="false">Sens!$E$8421+(glt_azo_hi-Sens!$E$8421)*MIN(1,(Sens!G8381-base_fy)/n_conv)</f>
        <v>0.201482588693243</v>
      </c>
      <c r="H8421" s="7" t="n">
        <f aca="false">Sens!$E$8421+(glt_azo_hi-Sens!$E$8421)*MIN(1,(Sens!H8381-base_fy)/n_conv)</f>
        <v>0.181111941519932</v>
      </c>
      <c r="I8421" s="7" t="n">
        <f aca="false">Sens!$E$8421+(glt_azo_hi-Sens!$E$8421)*MIN(1,(Sens!I8381-base_fy)/n_conv)</f>
        <v>0.160741294346622</v>
      </c>
      <c r="J8421" s="7" t="n">
        <f aca="false">Sens!$E$8421+(glt_azo_hi-Sens!$E$8421)*MIN(1,(Sens!J8381-base_fy)/n_conv)</f>
        <v>0.140370647173311</v>
      </c>
      <c r="K8421" s="7" t="n">
        <f aca="false">Sens!$E$8421+(glt_azo_hi-Sens!$E$8421)*MIN(1,(Sens!K8381-base_fy)/n_conv)</f>
        <v>0.12</v>
      </c>
    </row>
    <row r="8422" customFormat="false" ht="15" hidden="false" customHeight="false" outlineLevel="0" collapsed="false">
      <c r="A8422" s="0" t="s">
        <v>877</v>
      </c>
      <c r="B8422" s="0" t="s">
        <v>98</v>
      </c>
      <c r="D8422" s="6" t="n">
        <f aca="false">Sens!D8419+Sens!D8420</f>
        <v>72.61</v>
      </c>
      <c r="E8422" s="6" t="n">
        <f aca="false">Sens!E8419+Sens!E8420</f>
        <v>101.938</v>
      </c>
      <c r="F8422" s="6" t="n">
        <f aca="false">Sens!F8419+Sens!F8420</f>
        <v>145.638146269217</v>
      </c>
      <c r="G8422" s="6" t="n">
        <f aca="false">Sens!G8419+Sens!G8420</f>
        <v>198.273793147575</v>
      </c>
      <c r="H8422" s="6" t="n">
        <f aca="false">Sens!H8419+Sens!H8420</f>
        <v>253.368072986571</v>
      </c>
      <c r="I8422" s="6" t="n">
        <f aca="false">Sens!I8419+Sens!I8420</f>
        <v>305.351373647931</v>
      </c>
      <c r="J8422" s="6" t="n">
        <f aca="false">Sens!J8419+Sens!J8420</f>
        <v>348.394504480723</v>
      </c>
      <c r="K8422" s="6" t="n">
        <f aca="false">Sens!K8419+Sens!K8420</f>
        <v>383.284735699923</v>
      </c>
    </row>
    <row r="8423" customFormat="false" ht="17.15" hidden="false" customHeight="false" outlineLevel="0" collapsed="false">
      <c r="A8423" s="0" t="s">
        <v>878</v>
      </c>
      <c r="B8423" s="1" t="s">
        <v>528</v>
      </c>
      <c r="C8423" s="29" t="n">
        <f aca="false">cop_s24</f>
        <v>1</v>
      </c>
      <c r="D8423" s="29" t="n">
        <f aca="false">cop_s25</f>
        <v>5</v>
      </c>
      <c r="E8423" s="29" t="n">
        <f aca="false">cop_s26</f>
        <v>30</v>
      </c>
      <c r="F8423" s="29" t="n">
        <f aca="false">Sens!E8423+cop_add_B</f>
        <v>50</v>
      </c>
      <c r="G8423" s="29" t="n">
        <f aca="false">Sens!F8423+cop_add_B</f>
        <v>70</v>
      </c>
      <c r="H8423" s="29" t="n">
        <f aca="false">Sens!G8423+cop_add_B</f>
        <v>90</v>
      </c>
      <c r="I8423" s="29" t="n">
        <f aca="false">Sens!H8423+cop_add_B*cop_tail</f>
        <v>100</v>
      </c>
      <c r="J8423" s="29" t="n">
        <f aca="false">Sens!I8423+cop_add_B*cop_tail</f>
        <v>110</v>
      </c>
      <c r="K8423" s="29" t="n">
        <f aca="false">Sens!J8423+cop_add_B*cop_tail</f>
        <v>120</v>
      </c>
      <c r="L8423" s="11" t="s">
        <v>879</v>
      </c>
    </row>
    <row r="8424" customFormat="false" ht="17.15" hidden="false" customHeight="false" outlineLevel="0" collapsed="false">
      <c r="A8424" s="0" t="s">
        <v>880</v>
      </c>
      <c r="B8424" s="0" t="s">
        <v>98</v>
      </c>
      <c r="D8424" s="6" t="n">
        <f aca="false">(Sens!C8423+Sens!D8423)/2*cop_px*12/1000</f>
        <v>0.9</v>
      </c>
      <c r="E8424" s="6" t="n">
        <f aca="false">(Sens!D8423+Sens!E8423)/2*cop_px*12/1000</f>
        <v>5.25</v>
      </c>
      <c r="F8424" s="6" t="n">
        <f aca="false">(Sens!E8423+Sens!F8423)/2*cop_px*12/1000</f>
        <v>12</v>
      </c>
      <c r="G8424" s="6" t="n">
        <f aca="false">(Sens!F8423+Sens!G8423)/2*cop_px*12/1000</f>
        <v>18</v>
      </c>
      <c r="H8424" s="6" t="n">
        <f aca="false">(Sens!G8423+Sens!H8423)/2*cop_px*12/1000</f>
        <v>24</v>
      </c>
      <c r="I8424" s="6" t="n">
        <f aca="false">(Sens!H8423+Sens!I8423)/2*cop_px*12/1000</f>
        <v>28.5</v>
      </c>
      <c r="J8424" s="6" t="n">
        <f aca="false">(Sens!I8423+Sens!J8423)/2*cop_px*12/1000</f>
        <v>31.5</v>
      </c>
      <c r="K8424" s="6" t="n">
        <f aca="false">(Sens!J8423+Sens!K8423)/2*cop_px*12/1000</f>
        <v>34.5</v>
      </c>
      <c r="L8424" s="1" t="s">
        <v>881</v>
      </c>
    </row>
    <row r="8425" customFormat="false" ht="17.15" hidden="false" customHeight="false" outlineLevel="0" collapsed="false">
      <c r="A8425" s="0" t="s">
        <v>882</v>
      </c>
      <c r="B8425" s="0" t="s">
        <v>98</v>
      </c>
      <c r="D8425" s="6" t="n">
        <f aca="false">Q!L7-Sens!D8424</f>
        <v>83.705</v>
      </c>
      <c r="E8425" s="6" t="n">
        <f aca="false">Q!M7-Sens!E8424</f>
        <v>95.049</v>
      </c>
      <c r="F8425" s="6" t="n">
        <f aca="false">Sens!E8425*(1+Sens!F8426)</f>
        <v>106.89238776686</v>
      </c>
      <c r="G8425" s="6" t="n">
        <f aca="false">Sens!F8425*(1+Sens!G8426)</f>
        <v>119.044168448684</v>
      </c>
      <c r="H8425" s="6" t="n">
        <f aca="false">Sens!G8425*(1+Sens!H8426)</f>
        <v>131.277359388781</v>
      </c>
      <c r="I8425" s="6" t="n">
        <f aca="false">Sens!H8425*(1+Sens!I8426)</f>
        <v>143.334028071957</v>
      </c>
      <c r="J8425" s="6" t="n">
        <f aca="false">Sens!I8425*(1+Sens!J8426)</f>
        <v>154.932702785465</v>
      </c>
      <c r="K8425" s="6" t="n">
        <f aca="false">Sens!J8425*(1+Sens!K8426)</f>
        <v>165.777991980448</v>
      </c>
    </row>
    <row r="8426" customFormat="false" ht="15" hidden="false" customHeight="false" outlineLevel="0" collapsed="false">
      <c r="A8426" s="1" t="s">
        <v>876</v>
      </c>
      <c r="B8426" s="0" t="s">
        <v>129</v>
      </c>
      <c r="E8426" s="7" t="n">
        <f aca="false">Sens!E8425/Sens!D8425-1</f>
        <v>0.135523564900544</v>
      </c>
      <c r="F8426" s="7" t="n">
        <f aca="false">Sens!$E$8426+(glt_m365b-Sens!$E$8426)*MIN(1,(Sens!F8381-base_fy)/n_conv)</f>
        <v>0.124602970750453</v>
      </c>
      <c r="G8426" s="7" t="n">
        <f aca="false">Sens!$E$8426+(glt_m365b-Sens!$E$8426)*MIN(1,(Sens!G8381-base_fy)/n_conv)</f>
        <v>0.113682376600363</v>
      </c>
      <c r="H8426" s="7" t="n">
        <f aca="false">Sens!$E$8426+(glt_m365b-Sens!$E$8426)*MIN(1,(Sens!H8381-base_fy)/n_conv)</f>
        <v>0.102761782450272</v>
      </c>
      <c r="I8426" s="7" t="n">
        <f aca="false">Sens!$E$8426+(glt_m365b-Sens!$E$8426)*MIN(1,(Sens!I8381-base_fy)/n_conv)</f>
        <v>0.0918411883001813</v>
      </c>
      <c r="J8426" s="7" t="n">
        <f aca="false">Sens!$E$8426+(glt_m365b-Sens!$E$8426)*MIN(1,(Sens!J8381-base_fy)/n_conv)</f>
        <v>0.0809205941500906</v>
      </c>
      <c r="K8426" s="7" t="n">
        <f aca="false">Sens!$E$8426+(glt_m365b-Sens!$E$8426)*MIN(1,(Sens!K8381-base_fy)/n_conv)</f>
        <v>0.07</v>
      </c>
    </row>
    <row r="8427" customFormat="false" ht="15" hidden="false" customHeight="false" outlineLevel="0" collapsed="false">
      <c r="A8427" s="0" t="s">
        <v>883</v>
      </c>
      <c r="B8427" s="0" t="s">
        <v>98</v>
      </c>
      <c r="D8427" s="6" t="n">
        <f aca="false">Sens!D8425+Sens!D8424</f>
        <v>84.605</v>
      </c>
      <c r="E8427" s="6" t="n">
        <f aca="false">Sens!E8425+Sens!E8424</f>
        <v>100.299</v>
      </c>
      <c r="F8427" s="6" t="n">
        <f aca="false">Sens!F8425+Sens!F8424</f>
        <v>118.89238776686</v>
      </c>
      <c r="G8427" s="6" t="n">
        <f aca="false">Sens!G8425+Sens!G8424</f>
        <v>137.044168448684</v>
      </c>
      <c r="H8427" s="6" t="n">
        <f aca="false">Sens!H8425+Sens!H8424</f>
        <v>155.277359388781</v>
      </c>
      <c r="I8427" s="6" t="n">
        <f aca="false">Sens!I8425+Sens!I8424</f>
        <v>171.834028071957</v>
      </c>
      <c r="J8427" s="6" t="n">
        <f aca="false">Sens!J8425+Sens!J8424</f>
        <v>186.432702785465</v>
      </c>
      <c r="K8427" s="6" t="n">
        <f aca="false">Sens!K8425+Sens!K8424</f>
        <v>200.277991980448</v>
      </c>
    </row>
    <row r="8428" customFormat="false" ht="15" hidden="false" customHeight="false" outlineLevel="0" collapsed="false">
      <c r="A8428" s="0" t="s">
        <v>884</v>
      </c>
      <c r="B8428" s="0" t="s">
        <v>98</v>
      </c>
      <c r="D8428" s="6" t="n">
        <f aca="false">Q!L8</f>
        <v>35.391</v>
      </c>
      <c r="E8428" s="6" t="n">
        <f aca="false">Q!M8</f>
        <v>37.285</v>
      </c>
      <c r="F8428" s="6" t="n">
        <f aca="false">Sens!E8428*(1+Sens!F8429)</f>
        <v>39.0720834331704</v>
      </c>
      <c r="G8428" s="6" t="n">
        <f aca="false">Sens!F8428*(1+Sens!G8429)</f>
        <v>40.726562953769</v>
      </c>
      <c r="H8428" s="6" t="n">
        <f aca="false">Sens!G8428*(1+Sens!H8429)</f>
        <v>42.2235987259198</v>
      </c>
      <c r="I8428" s="6" t="n">
        <f aca="false">Sens!H8428*(1+Sens!I8429)</f>
        <v>43.5397988077414</v>
      </c>
      <c r="J8428" s="6" t="n">
        <f aca="false">Sens!I8428*(1+Sens!J8429)</f>
        <v>44.653811225693</v>
      </c>
      <c r="K8428" s="6" t="n">
        <f aca="false">Sens!J8428*(1+Sens!K8429)</f>
        <v>45.5468874502068</v>
      </c>
    </row>
    <row r="8429" customFormat="false" ht="15" hidden="false" customHeight="false" outlineLevel="0" collapsed="false">
      <c r="A8429" s="1" t="s">
        <v>876</v>
      </c>
      <c r="B8429" s="0" t="s">
        <v>129</v>
      </c>
      <c r="E8429" s="7" t="n">
        <f aca="false">Sens!E8428/Sens!D8428-1</f>
        <v>0.0535164307309768</v>
      </c>
      <c r="F8429" s="7" t="n">
        <f aca="false">Sens!$E$8429+(glt_lic-Sens!$E$8429)*MIN(1,(Sens!F8381-base_fy)/n_conv)</f>
        <v>0.0479303589424807</v>
      </c>
      <c r="G8429" s="7" t="n">
        <f aca="false">Sens!$E$8429+(glt_lic-Sens!$E$8429)*MIN(1,(Sens!G8381-base_fy)/n_conv)</f>
        <v>0.0423442871539845</v>
      </c>
      <c r="H8429" s="7" t="n">
        <f aca="false">Sens!$E$8429+(glt_lic-Sens!$E$8429)*MIN(1,(Sens!H8381-base_fy)/n_conv)</f>
        <v>0.0367582153654884</v>
      </c>
      <c r="I8429" s="7" t="n">
        <f aca="false">Sens!$E$8429+(glt_lic-Sens!$E$8429)*MIN(1,(Sens!I8381-base_fy)/n_conv)</f>
        <v>0.0311721435769923</v>
      </c>
      <c r="J8429" s="7" t="n">
        <f aca="false">Sens!$E$8429+(glt_lic-Sens!$E$8429)*MIN(1,(Sens!J8381-base_fy)/n_conv)</f>
        <v>0.0255860717884961</v>
      </c>
      <c r="K8429" s="7" t="n">
        <f aca="false">Sens!$E$8429+(glt_lic-Sens!$E$8429)*MIN(1,(Sens!K8381-base_fy)/n_conv)</f>
        <v>0.02</v>
      </c>
    </row>
    <row r="8430" customFormat="false" ht="15" hidden="false" customHeight="false" outlineLevel="0" collapsed="false">
      <c r="A8430" s="0" t="s">
        <v>885</v>
      </c>
      <c r="B8430" s="0" t="s">
        <v>98</v>
      </c>
      <c r="D8430" s="6" t="n">
        <f aca="false">Q!L9</f>
        <v>18.417</v>
      </c>
      <c r="E8430" s="6" t="n">
        <f aca="false">Q!M9</f>
        <v>20.345</v>
      </c>
      <c r="F8430" s="6" t="n">
        <f aca="false">Sens!E8430*(1+Sens!F8431)</f>
        <v>22.3572203267814</v>
      </c>
      <c r="G8430" s="6" t="n">
        <f aca="false">Sens!F8430*(1+Sens!G8431)</f>
        <v>24.4392124437232</v>
      </c>
      <c r="H8430" s="6" t="n">
        <f aca="false">Sens!G8430*(1+Sens!H8431)</f>
        <v>26.5738052080665</v>
      </c>
      <c r="I8430" s="6" t="n">
        <f aca="false">Sens!H8430*(1+Sens!I8431)</f>
        <v>28.7412169166967</v>
      </c>
      <c r="J8430" s="6" t="n">
        <f aca="false">Sens!I8430*(1+Sens!J8431)</f>
        <v>30.9192545395413</v>
      </c>
      <c r="K8430" s="6" t="n">
        <f aca="false">Sens!J8430*(1+Sens!K8431)</f>
        <v>33.0836023573092</v>
      </c>
    </row>
    <row r="8431" customFormat="false" ht="15" hidden="false" customHeight="false" outlineLevel="0" collapsed="false">
      <c r="A8431" s="1" t="s">
        <v>876</v>
      </c>
      <c r="B8431" s="0" t="s">
        <v>129</v>
      </c>
      <c r="E8431" s="7" t="n">
        <f aca="false">Sens!E8430/Sens!D8430-1</f>
        <v>0.104685888038225</v>
      </c>
      <c r="F8431" s="7" t="n">
        <f aca="false">Sens!$E$8431+(glt_ind-Sens!$E$8431)*MIN(1,(Sens!F8381-base_fy)/n_conv)</f>
        <v>0.0989049066985211</v>
      </c>
      <c r="G8431" s="7" t="n">
        <f aca="false">Sens!$E$8431+(glt_ind-Sens!$E$8431)*MIN(1,(Sens!G8381-base_fy)/n_conv)</f>
        <v>0.0931239253588169</v>
      </c>
      <c r="H8431" s="7" t="n">
        <f aca="false">Sens!$E$8431+(glt_ind-Sens!$E$8431)*MIN(1,(Sens!H8381-base_fy)/n_conv)</f>
        <v>0.0873429440191127</v>
      </c>
      <c r="I8431" s="7" t="n">
        <f aca="false">Sens!$E$8431+(glt_ind-Sens!$E$8431)*MIN(1,(Sens!I8381-base_fy)/n_conv)</f>
        <v>0.0815619626794085</v>
      </c>
      <c r="J8431" s="7" t="n">
        <f aca="false">Sens!$E$8431+(glt_ind-Sens!$E$8431)*MIN(1,(Sens!J8381-base_fy)/n_conv)</f>
        <v>0.0757809813397042</v>
      </c>
      <c r="K8431" s="7" t="n">
        <f aca="false">Sens!$E$8431+(glt_ind-Sens!$E$8431)*MIN(1,(Sens!K8381-base_fy)/n_conv)</f>
        <v>0.07</v>
      </c>
    </row>
    <row r="8432" customFormat="false" ht="15" hidden="false" customHeight="false" outlineLevel="0" collapsed="false">
      <c r="A8432" s="0" t="s">
        <v>886</v>
      </c>
      <c r="B8432" s="0" t="s">
        <v>98</v>
      </c>
      <c r="D8432" s="6" t="n">
        <f aca="false">Q!L10</f>
        <v>7.76</v>
      </c>
      <c r="E8432" s="6" t="n">
        <f aca="false">Q!M10</f>
        <v>8.26</v>
      </c>
      <c r="F8432" s="6" t="n">
        <f aca="false">Sens!E8432*(1+Sens!F8433)</f>
        <v>8.79988041237113</v>
      </c>
      <c r="G8432" s="6" t="n">
        <f aca="false">Sens!F8432*(1+Sens!G8433)</f>
        <v>9.38321269125306</v>
      </c>
      <c r="H8432" s="6" t="n">
        <f aca="false">Sens!G8432*(1+Sens!H8433)</f>
        <v>10.0139193587476</v>
      </c>
      <c r="I8432" s="6" t="n">
        <f aca="false">Sens!H8432*(1+Sens!I8433)</f>
        <v>10.6963111830911</v>
      </c>
      <c r="J8432" s="6" t="n">
        <f aca="false">Sens!I8432*(1+Sens!J8433)</f>
        <v>11.4351285534696</v>
      </c>
      <c r="K8432" s="6" t="n">
        <f aca="false">Sens!J8432*(1+Sens!K8433)</f>
        <v>12.2355875522124</v>
      </c>
    </row>
    <row r="8433" customFormat="false" ht="15" hidden="false" customHeight="false" outlineLevel="0" collapsed="false">
      <c r="A8433" s="1" t="s">
        <v>876</v>
      </c>
      <c r="B8433" s="0" t="s">
        <v>129</v>
      </c>
      <c r="E8433" s="7" t="n">
        <f aca="false">Sens!E8432/Sens!D8432-1</f>
        <v>0.0644329896907216</v>
      </c>
      <c r="F8433" s="7" t="n">
        <f aca="false">Sens!$E$8433+(glt_fro-Sens!$E$8433)*MIN(1,(Sens!F8381-base_fy)/n_conv)</f>
        <v>0.065360824742268</v>
      </c>
      <c r="G8433" s="7" t="n">
        <f aca="false">Sens!$E$8433+(glt_fro-Sens!$E$8433)*MIN(1,(Sens!G8381-base_fy)/n_conv)</f>
        <v>0.0662886597938144</v>
      </c>
      <c r="H8433" s="7" t="n">
        <f aca="false">Sens!$E$8433+(glt_fro-Sens!$E$8433)*MIN(1,(Sens!H8381-base_fy)/n_conv)</f>
        <v>0.0672164948453608</v>
      </c>
      <c r="I8433" s="7" t="n">
        <f aca="false">Sens!$E$8433+(glt_fro-Sens!$E$8433)*MIN(1,(Sens!I8381-base_fy)/n_conv)</f>
        <v>0.0681443298969072</v>
      </c>
      <c r="J8433" s="7" t="n">
        <f aca="false">Sens!$E$8433+(glt_fro-Sens!$E$8433)*MIN(1,(Sens!J8381-base_fy)/n_conv)</f>
        <v>0.0690721649484536</v>
      </c>
      <c r="K8433" s="7" t="n">
        <f aca="false">Sens!$E$8433+(glt_fro-Sens!$E$8433)*MIN(1,(Sens!K8381-base_fy)/n_conv)</f>
        <v>0.07</v>
      </c>
    </row>
    <row r="8434" customFormat="false" ht="15" hidden="false" customHeight="false" outlineLevel="0" collapsed="false">
      <c r="A8434" s="0" t="s">
        <v>715</v>
      </c>
      <c r="B8434" s="0" t="s">
        <v>98</v>
      </c>
      <c r="D8434" s="6" t="n">
        <f aca="false">Sens!D8422+Sens!D8427+Sens!D8428+Sens!D8430+Sens!D8432</f>
        <v>218.783</v>
      </c>
      <c r="E8434" s="6" t="n">
        <f aca="false">Sens!E8422+Sens!E8427+Sens!E8428+Sens!E8430+Sens!E8432</f>
        <v>268.127</v>
      </c>
      <c r="F8434" s="6" t="n">
        <f aca="false">Sens!F8422+Sens!F8427+Sens!F8428+Sens!F8430+Sens!F8432</f>
        <v>334.7597182084</v>
      </c>
      <c r="G8434" s="6" t="n">
        <f aca="false">Sens!G8422+Sens!G8427+Sens!G8428+Sens!G8430+Sens!G8432</f>
        <v>409.866949685004</v>
      </c>
      <c r="H8434" s="6" t="n">
        <f aca="false">Sens!H8422+Sens!H8427+Sens!H8428+Sens!H8430+Sens!H8432</f>
        <v>487.456755668086</v>
      </c>
      <c r="I8434" s="6" t="n">
        <f aca="false">Sens!I8422+Sens!I8427+Sens!I8428+Sens!I8430+Sens!I8432</f>
        <v>560.162728627417</v>
      </c>
      <c r="J8434" s="6" t="n">
        <f aca="false">Sens!J8422+Sens!J8427+Sens!J8428+Sens!J8430+Sens!J8432</f>
        <v>621.835401584892</v>
      </c>
      <c r="K8434" s="6" t="n">
        <f aca="false">Sens!K8422+Sens!K8427+Sens!K8428+Sens!K8430+Sens!K8432</f>
        <v>674.428805040099</v>
      </c>
    </row>
    <row r="8435" customFormat="false" ht="15" hidden="false" customHeight="false" outlineLevel="0" collapsed="false">
      <c r="A8435" s="0" t="s">
        <v>887</v>
      </c>
      <c r="B8435" s="0" t="s">
        <v>98</v>
      </c>
      <c r="D8435" s="6" t="n">
        <f aca="false">Q!L13</f>
        <v>22.171</v>
      </c>
      <c r="E8435" s="6" t="n">
        <f aca="false">Q!M13</f>
        <v>24.835</v>
      </c>
      <c r="F8435" s="6" t="n">
        <f aca="false">Sens!E8435*(1+Sens!F8436)</f>
        <v>27.6114901218559</v>
      </c>
      <c r="G8435" s="6" t="n">
        <f aca="false">Sens!F8435*(1+Sens!G8436)</f>
        <v>30.4675667338515</v>
      </c>
      <c r="H8435" s="6" t="n">
        <f aca="false">Sens!G8435*(1+Sens!H8436)</f>
        <v>33.3643766955789</v>
      </c>
      <c r="I8435" s="6" t="n">
        <f aca="false">Sens!H8435*(1+Sens!I8436)</f>
        <v>36.2577016533691</v>
      </c>
      <c r="J8435" s="6" t="n">
        <f aca="false">Sens!I8435*(1+Sens!J8436)</f>
        <v>39.0988367952171</v>
      </c>
      <c r="K8435" s="6" t="n">
        <f aca="false">Sens!J8435*(1+Sens!K8436)</f>
        <v>41.8357553708823</v>
      </c>
    </row>
    <row r="8436" customFormat="false" ht="15" hidden="false" customHeight="false" outlineLevel="0" collapsed="false">
      <c r="A8436" s="1" t="s">
        <v>876</v>
      </c>
      <c r="B8436" s="0" t="s">
        <v>129</v>
      </c>
      <c r="E8436" s="7" t="n">
        <f aca="false">Sens!E8435/Sens!D8435-1</f>
        <v>0.120156961796942</v>
      </c>
      <c r="F8436" s="7" t="n">
        <f aca="false">Sens!$E$8436+(glt_srch-Sens!$E$8436)*MIN(1,(Sens!F8381-base_fy)/n_conv)</f>
        <v>0.111797468164118</v>
      </c>
      <c r="G8436" s="7" t="n">
        <f aca="false">Sens!$E$8436+(glt_srch-Sens!$E$8436)*MIN(1,(Sens!G8381-base_fy)/n_conv)</f>
        <v>0.103437974531295</v>
      </c>
      <c r="H8436" s="7" t="n">
        <f aca="false">Sens!$E$8436+(glt_srch-Sens!$E$8436)*MIN(1,(Sens!H8381-base_fy)/n_conv)</f>
        <v>0.095078480898471</v>
      </c>
      <c r="I8436" s="7" t="n">
        <f aca="false">Sens!$E$8436+(glt_srch-Sens!$E$8436)*MIN(1,(Sens!I8381-base_fy)/n_conv)</f>
        <v>0.0867189872656474</v>
      </c>
      <c r="J8436" s="7" t="n">
        <f aca="false">Sens!$E$8436+(glt_srch-Sens!$E$8436)*MIN(1,(Sens!J8381-base_fy)/n_conv)</f>
        <v>0.0783594936328237</v>
      </c>
      <c r="K8436" s="7" t="n">
        <f aca="false">Sens!$E$8436+(glt_srch-Sens!$E$8436)*MIN(1,(Sens!K8381-base_fy)/n_conv)</f>
        <v>0.07</v>
      </c>
    </row>
    <row r="8437" customFormat="false" ht="15" hidden="false" customHeight="false" outlineLevel="0" collapsed="false">
      <c r="A8437" s="0" t="s">
        <v>888</v>
      </c>
      <c r="B8437" s="0" t="s">
        <v>98</v>
      </c>
      <c r="D8437" s="6" t="n">
        <f aca="false">Q!L14</f>
        <v>23.455</v>
      </c>
      <c r="E8437" s="6" t="n">
        <f aca="false">Q!M14</f>
        <v>21.79</v>
      </c>
      <c r="F8437" s="6" t="n">
        <f aca="false">Sens!E8437*(1+Sens!F8438)</f>
        <v>20.5736277908051</v>
      </c>
      <c r="G8437" s="6" t="n">
        <f aca="false">Sens!F8437*(1+Sens!G8438)</f>
        <v>19.7371452817919</v>
      </c>
      <c r="H8437" s="6" t="n">
        <f aca="false">Sens!G8437*(1+Sens!H8438)</f>
        <v>19.2339764043138</v>
      </c>
      <c r="I8437" s="6" t="n">
        <f aca="false">Sens!H8437*(1+Sens!I8438)</f>
        <v>19.0353086852681</v>
      </c>
      <c r="J8437" s="6" t="n">
        <f aca="false">Sens!I8437*(1+Sens!J8438)</f>
        <v>19.1273539319129</v>
      </c>
      <c r="K8437" s="6" t="n">
        <f aca="false">Sens!J8437*(1+Sens!K8438)</f>
        <v>19.5099010105511</v>
      </c>
    </row>
    <row r="8438" customFormat="false" ht="15" hidden="false" customHeight="false" outlineLevel="0" collapsed="false">
      <c r="A8438" s="1" t="s">
        <v>876</v>
      </c>
      <c r="B8438" s="0" t="s">
        <v>129</v>
      </c>
      <c r="E8438" s="7" t="n">
        <f aca="false">Sens!E8437/Sens!D8437-1</f>
        <v>-0.0709869963760392</v>
      </c>
      <c r="F8438" s="7" t="n">
        <f aca="false">Sens!$E$8438+(glt_xbox-Sens!$E$8438)*MIN(1,(Sens!F8381-base_fy)/n_conv)</f>
        <v>-0.0558224969800327</v>
      </c>
      <c r="G8438" s="7" t="n">
        <f aca="false">Sens!$E$8438+(glt_xbox-Sens!$E$8438)*MIN(1,(Sens!G8381-base_fy)/n_conv)</f>
        <v>-0.0406579975840262</v>
      </c>
      <c r="H8438" s="7" t="n">
        <f aca="false">Sens!$E$8438+(glt_xbox-Sens!$E$8438)*MIN(1,(Sens!H8381-base_fy)/n_conv)</f>
        <v>-0.0254934981880196</v>
      </c>
      <c r="I8438" s="7" t="n">
        <f aca="false">Sens!$E$8438+(glt_xbox-Sens!$E$8438)*MIN(1,(Sens!I8381-base_fy)/n_conv)</f>
        <v>-0.0103289987920131</v>
      </c>
      <c r="J8438" s="7" t="n">
        <f aca="false">Sens!$E$8438+(glt_xbox-Sens!$E$8438)*MIN(1,(Sens!J8381-base_fy)/n_conv)</f>
        <v>0.00483550060399347</v>
      </c>
      <c r="K8438" s="7" t="n">
        <f aca="false">Sens!$E$8438+(glt_xbox-Sens!$E$8438)*MIN(1,(Sens!K8381-base_fy)/n_conv)</f>
        <v>0.02</v>
      </c>
    </row>
    <row r="8439" customFormat="false" ht="15" hidden="false" customHeight="false" outlineLevel="0" collapsed="false">
      <c r="A8439" s="0" t="s">
        <v>889</v>
      </c>
      <c r="B8439" s="0" t="s">
        <v>98</v>
      </c>
      <c r="D8439" s="6" t="n">
        <f aca="false">Q!L15</f>
        <v>17.315</v>
      </c>
      <c r="E8439" s="6" t="n">
        <f aca="false">Q!M15</f>
        <v>17.087</v>
      </c>
      <c r="F8439" s="6" t="n">
        <f aca="false">Sens!E8439*(1+Sens!F8440)</f>
        <v>16.9564585436519</v>
      </c>
      <c r="G8439" s="6" t="n">
        <f aca="false">Sens!F8439*(1+Sens!G8440)</f>
        <v>16.9206490624268</v>
      </c>
      <c r="H8439" s="6" t="n">
        <f aca="false">Sens!G8439*(1+Sens!H8440)</f>
        <v>16.9784519149849</v>
      </c>
      <c r="I8439" s="6" t="n">
        <f aca="false">Sens!H8439*(1+Sens!I8440)</f>
        <v>17.1303084701817</v>
      </c>
      <c r="J8439" s="6" t="n">
        <f aca="false">Sens!I8439*(1+Sens!J8440)</f>
        <v>17.3782189407267</v>
      </c>
      <c r="K8439" s="6" t="n">
        <f aca="false">Sens!J8439*(1+Sens!K8440)</f>
        <v>17.7257833195413</v>
      </c>
    </row>
    <row r="8440" customFormat="false" ht="15" hidden="false" customHeight="false" outlineLevel="0" collapsed="false">
      <c r="A8440" s="1" t="s">
        <v>876</v>
      </c>
      <c r="B8440" s="0" t="s">
        <v>129</v>
      </c>
      <c r="E8440" s="7" t="n">
        <f aca="false">Sens!E8439/Sens!D8439-1</f>
        <v>-0.0131677736066995</v>
      </c>
      <c r="F8440" s="7" t="n">
        <f aca="false">Sens!$E$8440+(glt_win-Sens!$E$8440)*MIN(1,(Sens!F8381-base_fy)/n_conv)</f>
        <v>-0.00763981133891627</v>
      </c>
      <c r="G8440" s="7" t="n">
        <f aca="false">Sens!$E$8440+(glt_win-Sens!$E$8440)*MIN(1,(Sens!G8381-base_fy)/n_conv)</f>
        <v>-0.00211184907113301</v>
      </c>
      <c r="H8440" s="7" t="n">
        <f aca="false">Sens!$E$8440+(glt_win-Sens!$E$8440)*MIN(1,(Sens!H8381-base_fy)/n_conv)</f>
        <v>0.00341611319665024</v>
      </c>
      <c r="I8440" s="7" t="n">
        <f aca="false">Sens!$E$8440+(glt_win-Sens!$E$8440)*MIN(1,(Sens!I8381-base_fy)/n_conv)</f>
        <v>0.00894407546443349</v>
      </c>
      <c r="J8440" s="7" t="n">
        <f aca="false">Sens!$E$8440+(glt_win-Sens!$E$8440)*MIN(1,(Sens!J8381-base_fy)/n_conv)</f>
        <v>0.0144720377322168</v>
      </c>
      <c r="K8440" s="7" t="n">
        <f aca="false">Sens!$E$8440+(glt_win-Sens!$E$8440)*MIN(1,(Sens!K8381-base_fy)/n_conv)</f>
        <v>0.02</v>
      </c>
    </row>
    <row r="8441" customFormat="false" ht="15" hidden="false" customHeight="false" outlineLevel="0" collapsed="false">
      <c r="A8441" s="0" t="s">
        <v>729</v>
      </c>
      <c r="B8441" s="0" t="s">
        <v>98</v>
      </c>
      <c r="D8441" s="6" t="n">
        <f aca="false">Sens!D8435+Sens!D8437+Sens!D8439</f>
        <v>62.941</v>
      </c>
      <c r="E8441" s="6" t="n">
        <f aca="false">Sens!E8435+Sens!E8437+Sens!E8439</f>
        <v>63.712</v>
      </c>
      <c r="F8441" s="6" t="n">
        <f aca="false">Sens!F8435+Sens!F8437+Sens!F8439</f>
        <v>65.1415764563129</v>
      </c>
      <c r="G8441" s="6" t="n">
        <f aca="false">Sens!G8435+Sens!G8437+Sens!G8439</f>
        <v>67.1253610780702</v>
      </c>
      <c r="H8441" s="6" t="n">
        <f aca="false">Sens!H8435+Sens!H8437+Sens!H8439</f>
        <v>69.5768050148776</v>
      </c>
      <c r="I8441" s="6" t="n">
        <f aca="false">Sens!I8435+Sens!I8437+Sens!I8439</f>
        <v>72.4233188088189</v>
      </c>
      <c r="J8441" s="6" t="n">
        <f aca="false">Sens!J8435+Sens!J8437+Sens!J8439</f>
        <v>75.6044096678567</v>
      </c>
      <c r="K8441" s="6" t="n">
        <f aca="false">Sens!K8435+Sens!K8437+Sens!K8439</f>
        <v>79.0714397009747</v>
      </c>
    </row>
    <row r="8442" customFormat="false" ht="15" hidden="false" customHeight="false" outlineLevel="0" collapsed="false">
      <c r="A8442" s="1" t="s">
        <v>890</v>
      </c>
      <c r="B8442" s="0" t="s">
        <v>98</v>
      </c>
      <c r="D8442" s="6" t="n">
        <f aca="false">Sens!D8434+Sens!D8441</f>
        <v>281.724</v>
      </c>
      <c r="E8442" s="6" t="n">
        <f aca="false">Sens!E8434+Sens!E8441</f>
        <v>331.839</v>
      </c>
      <c r="F8442" s="6" t="n">
        <f aca="false">Sens!F8434+Sens!F8441</f>
        <v>399.901294664713</v>
      </c>
      <c r="G8442" s="6" t="n">
        <f aca="false">Sens!G8434+Sens!G8441</f>
        <v>476.992310763075</v>
      </c>
      <c r="H8442" s="6" t="n">
        <f aca="false">Sens!H8434+Sens!H8441</f>
        <v>557.033560682964</v>
      </c>
      <c r="I8442" s="6" t="n">
        <f aca="false">Sens!I8434+Sens!I8441</f>
        <v>632.586047436236</v>
      </c>
      <c r="J8442" s="6" t="n">
        <f aca="false">Sens!J8434+Sens!J8441</f>
        <v>697.439811252749</v>
      </c>
      <c r="K8442" s="6" t="n">
        <f aca="false">Sens!K8434+Sens!K8441</f>
        <v>753.500244741074</v>
      </c>
    </row>
    <row r="8443" customFormat="false" ht="15" hidden="false" customHeight="false" outlineLevel="0" collapsed="false">
      <c r="A8443" s="23" t="s">
        <v>891</v>
      </c>
      <c r="B8443" s="30" t="s">
        <v>98</v>
      </c>
      <c r="C8443" s="30"/>
      <c r="D8443" s="24" t="n">
        <f aca="false">(Sens!D8422+Sens!D8427+Sens!D8428+Sens!D8430+Sens!D8432-Sens!D8434)+(Sens!D8435+Sens!D8437+Sens!D8439-Sens!D8441)+(Sens!D8434-Q!L5)+(Sens!D8441-Q!L12)+(Sens!D8422-Q!L6)+(Sens!D8427-Q!L7)</f>
        <v>0</v>
      </c>
      <c r="E8443" s="24" t="n">
        <f aca="false">(Sens!E8422+Sens!E8427+Sens!E8428+Sens!E8430+Sens!E8432-Sens!E8434)+(Sens!E8435+Sens!E8437+Sens!E8439-Sens!E8441)+(Sens!E8434-Q!M5)+(Sens!E8441-Q!M12)+(Sens!E8422-Q!M6)+(Sens!E8427-Q!M7)</f>
        <v>0</v>
      </c>
      <c r="F8443" s="24" t="n">
        <f aca="false">(Sens!F8422+Sens!F8427+Sens!F8428+Sens!F8430+Sens!F8432-Sens!F8434)+(Sens!F8435+Sens!F8437+Sens!F8439-Sens!F8441)</f>
        <v>0</v>
      </c>
      <c r="G8443" s="24" t="n">
        <f aca="false">(Sens!G8422+Sens!G8427+Sens!G8428+Sens!G8430+Sens!G8432-Sens!G8434)+(Sens!G8435+Sens!G8437+Sens!G8439-Sens!G8441)</f>
        <v>0</v>
      </c>
      <c r="H8443" s="24" t="n">
        <f aca="false">(Sens!H8422+Sens!H8427+Sens!H8428+Sens!H8430+Sens!H8432-Sens!H8434)+(Sens!H8435+Sens!H8437+Sens!H8439-Sens!H8441)</f>
        <v>0</v>
      </c>
      <c r="I8443" s="24" t="n">
        <f aca="false">(Sens!I8422+Sens!I8427+Sens!I8428+Sens!I8430+Sens!I8432-Sens!I8434)+(Sens!I8435+Sens!I8437+Sens!I8439-Sens!I8441)</f>
        <v>0</v>
      </c>
      <c r="J8443" s="24" t="n">
        <f aca="false">(Sens!J8422+Sens!J8427+Sens!J8428+Sens!J8430+Sens!J8432-Sens!J8434)+(Sens!J8435+Sens!J8437+Sens!J8439-Sens!J8441)</f>
        <v>0</v>
      </c>
      <c r="K8443" s="24" t="n">
        <f aca="false">(Sens!K8422+Sens!K8427+Sens!K8428+Sens!K8430+Sens!K8432-Sens!K8434)+(Sens!K8435+Sens!K8437+Sens!K8439-Sens!K8441)</f>
        <v>0</v>
      </c>
    </row>
    <row r="8444" customFormat="false" ht="17.15" hidden="false" customHeight="false" outlineLevel="0" collapsed="false">
      <c r="A8444" s="3" t="s">
        <v>1479</v>
      </c>
    </row>
    <row r="8445" customFormat="false" ht="15" hidden="false" customHeight="false" outlineLevel="0" collapsed="false">
      <c r="A8445" s="4" t="s">
        <v>43</v>
      </c>
      <c r="B8445" s="4" t="s">
        <v>65</v>
      </c>
      <c r="C8445" s="20" t="s">
        <v>799</v>
      </c>
      <c r="D8445" s="20" t="s">
        <v>800</v>
      </c>
      <c r="E8445" s="20" t="s">
        <v>801</v>
      </c>
      <c r="F8445" s="20" t="s">
        <v>802</v>
      </c>
      <c r="G8445" s="20" t="s">
        <v>803</v>
      </c>
      <c r="H8445" s="20" t="s">
        <v>804</v>
      </c>
      <c r="I8445" s="20" t="s">
        <v>805</v>
      </c>
      <c r="J8445" s="20" t="s">
        <v>806</v>
      </c>
      <c r="K8445" s="20" t="s">
        <v>807</v>
      </c>
      <c r="L8445" s="4" t="s">
        <v>47</v>
      </c>
    </row>
    <row r="8446" customFormat="false" ht="15" hidden="false" customHeight="false" outlineLevel="0" collapsed="false">
      <c r="A8446" s="0" t="s">
        <v>877</v>
      </c>
      <c r="B8446" s="0" t="s">
        <v>98</v>
      </c>
      <c r="D8446" s="6" t="n">
        <f aca="false">Sens!D8422</f>
        <v>72.61</v>
      </c>
      <c r="E8446" s="6" t="n">
        <f aca="false">Sens!E8422</f>
        <v>101.938</v>
      </c>
      <c r="F8446" s="6" t="n">
        <f aca="false">Sens!F8422</f>
        <v>145.638146269217</v>
      </c>
      <c r="G8446" s="6" t="n">
        <f aca="false">Sens!G8422</f>
        <v>198.273793147575</v>
      </c>
      <c r="H8446" s="6" t="n">
        <f aca="false">Sens!H8422</f>
        <v>253.368072986571</v>
      </c>
      <c r="I8446" s="6" t="n">
        <f aca="false">Sens!I8422</f>
        <v>305.351373647931</v>
      </c>
      <c r="J8446" s="6" t="n">
        <f aca="false">Sens!J8422</f>
        <v>348.394504480723</v>
      </c>
      <c r="K8446" s="6" t="n">
        <f aca="false">Sens!K8422</f>
        <v>383.284735699923</v>
      </c>
    </row>
    <row r="8447" customFormat="false" ht="17.15" hidden="false" customHeight="false" outlineLevel="0" collapsed="false">
      <c r="A8447" s="0" t="s">
        <v>874</v>
      </c>
      <c r="B8447" s="0" t="s">
        <v>98</v>
      </c>
      <c r="D8447" s="6" t="n">
        <f aca="false">Sens!D8419</f>
        <v>12.9359794422418</v>
      </c>
      <c r="E8447" s="6" t="n">
        <f aca="false">Sens!E8419</f>
        <v>27.8095064661409</v>
      </c>
      <c r="F8447" s="6" t="n">
        <f aca="false">Sens!F8419</f>
        <v>55.0640065749585</v>
      </c>
      <c r="G8447" s="6" t="n">
        <f aca="false">Sens!G8419</f>
        <v>89.4505413190538</v>
      </c>
      <c r="H8447" s="6" t="n">
        <f aca="false">Sens!H8419</f>
        <v>124.835630736874</v>
      </c>
      <c r="I8447" s="6" t="n">
        <f aca="false">Sens!I8419</f>
        <v>156.158460265485</v>
      </c>
      <c r="J8447" s="6" t="n">
        <f aca="false">Sens!J8419</f>
        <v>178.259285293112</v>
      </c>
      <c r="K8447" s="6" t="n">
        <f aca="false">Sens!K8419</f>
        <v>192.733290209798</v>
      </c>
    </row>
    <row r="8448" customFormat="false" ht="17.15" hidden="false" customHeight="false" outlineLevel="0" collapsed="false">
      <c r="A8448" s="0" t="s">
        <v>902</v>
      </c>
      <c r="B8448" s="0" t="s">
        <v>98</v>
      </c>
      <c r="D8448" s="6" t="n">
        <f aca="false">Sens!D8420</f>
        <v>59.6740205577583</v>
      </c>
      <c r="E8448" s="6" t="n">
        <f aca="false">Sens!E8420</f>
        <v>74.1284935338591</v>
      </c>
      <c r="F8448" s="6" t="n">
        <f aca="false">Sens!F8420</f>
        <v>90.5741396942587</v>
      </c>
      <c r="G8448" s="6" t="n">
        <f aca="false">Sens!G8420</f>
        <v>108.823251828521</v>
      </c>
      <c r="H8448" s="6" t="n">
        <f aca="false">Sens!H8420</f>
        <v>128.532442249697</v>
      </c>
      <c r="I8448" s="6" t="n">
        <f aca="false">Sens!I8420</f>
        <v>149.192913382446</v>
      </c>
      <c r="J8448" s="6" t="n">
        <f aca="false">Sens!J8420</f>
        <v>170.135219187612</v>
      </c>
      <c r="K8448" s="6" t="n">
        <f aca="false">Sens!K8420</f>
        <v>190.551445490125</v>
      </c>
    </row>
    <row r="8449" customFormat="false" ht="15" hidden="false" customHeight="false" outlineLevel="0" collapsed="false">
      <c r="A8449" s="0" t="s">
        <v>883</v>
      </c>
      <c r="B8449" s="0" t="s">
        <v>98</v>
      </c>
      <c r="D8449" s="6" t="n">
        <f aca="false">Sens!D8427</f>
        <v>84.605</v>
      </c>
      <c r="E8449" s="6" t="n">
        <f aca="false">Sens!E8427</f>
        <v>100.299</v>
      </c>
      <c r="F8449" s="6" t="n">
        <f aca="false">Sens!F8427</f>
        <v>118.89238776686</v>
      </c>
      <c r="G8449" s="6" t="n">
        <f aca="false">Sens!G8427</f>
        <v>137.044168448684</v>
      </c>
      <c r="H8449" s="6" t="n">
        <f aca="false">Sens!H8427</f>
        <v>155.277359388781</v>
      </c>
      <c r="I8449" s="6" t="n">
        <f aca="false">Sens!I8427</f>
        <v>171.834028071957</v>
      </c>
      <c r="J8449" s="6" t="n">
        <f aca="false">Sens!J8427</f>
        <v>186.432702785465</v>
      </c>
      <c r="K8449" s="6" t="n">
        <f aca="false">Sens!K8427</f>
        <v>200.277991980448</v>
      </c>
    </row>
    <row r="8450" customFormat="false" ht="17.15" hidden="false" customHeight="false" outlineLevel="0" collapsed="false">
      <c r="A8450" s="0" t="s">
        <v>903</v>
      </c>
      <c r="B8450" s="0" t="s">
        <v>98</v>
      </c>
      <c r="D8450" s="6" t="n">
        <f aca="false">Sens!D8425</f>
        <v>83.705</v>
      </c>
      <c r="E8450" s="6" t="n">
        <f aca="false">Sens!E8425</f>
        <v>95.049</v>
      </c>
      <c r="F8450" s="6" t="n">
        <f aca="false">Sens!F8425</f>
        <v>106.89238776686</v>
      </c>
      <c r="G8450" s="6" t="n">
        <f aca="false">Sens!G8425</f>
        <v>119.044168448684</v>
      </c>
      <c r="H8450" s="6" t="n">
        <f aca="false">Sens!H8425</f>
        <v>131.277359388781</v>
      </c>
      <c r="I8450" s="6" t="n">
        <f aca="false">Sens!I8425</f>
        <v>143.334028071957</v>
      </c>
      <c r="J8450" s="6" t="n">
        <f aca="false">Sens!J8425</f>
        <v>154.932702785465</v>
      </c>
      <c r="K8450" s="6" t="n">
        <f aca="false">Sens!K8425</f>
        <v>165.777991980448</v>
      </c>
    </row>
    <row r="8451" customFormat="false" ht="17.15" hidden="false" customHeight="false" outlineLevel="0" collapsed="false">
      <c r="A8451" s="0" t="s">
        <v>904</v>
      </c>
      <c r="B8451" s="0" t="s">
        <v>98</v>
      </c>
      <c r="D8451" s="6" t="n">
        <f aca="false">Sens!D8424</f>
        <v>0.9</v>
      </c>
      <c r="E8451" s="6" t="n">
        <f aca="false">Sens!E8424</f>
        <v>5.25</v>
      </c>
      <c r="F8451" s="6" t="n">
        <f aca="false">Sens!F8424</f>
        <v>12</v>
      </c>
      <c r="G8451" s="6" t="n">
        <f aca="false">Sens!G8424</f>
        <v>18</v>
      </c>
      <c r="H8451" s="6" t="n">
        <f aca="false">Sens!H8424</f>
        <v>24</v>
      </c>
      <c r="I8451" s="6" t="n">
        <f aca="false">Sens!I8424</f>
        <v>28.5</v>
      </c>
      <c r="J8451" s="6" t="n">
        <f aca="false">Sens!J8424</f>
        <v>31.5</v>
      </c>
      <c r="K8451" s="6" t="n">
        <f aca="false">Sens!K8424</f>
        <v>34.5</v>
      </c>
    </row>
    <row r="8452" customFormat="false" ht="15" hidden="false" customHeight="false" outlineLevel="0" collapsed="false">
      <c r="A8452" s="0" t="s">
        <v>884</v>
      </c>
      <c r="B8452" s="0" t="s">
        <v>98</v>
      </c>
      <c r="D8452" s="6" t="n">
        <f aca="false">Sens!D8428</f>
        <v>35.391</v>
      </c>
      <c r="E8452" s="6" t="n">
        <f aca="false">Sens!E8428</f>
        <v>37.285</v>
      </c>
      <c r="F8452" s="6" t="n">
        <f aca="false">Sens!F8428</f>
        <v>39.0720834331704</v>
      </c>
      <c r="G8452" s="6" t="n">
        <f aca="false">Sens!G8428</f>
        <v>40.726562953769</v>
      </c>
      <c r="H8452" s="6" t="n">
        <f aca="false">Sens!H8428</f>
        <v>42.2235987259198</v>
      </c>
      <c r="I8452" s="6" t="n">
        <f aca="false">Sens!I8428</f>
        <v>43.5397988077414</v>
      </c>
      <c r="J8452" s="6" t="n">
        <f aca="false">Sens!J8428</f>
        <v>44.653811225693</v>
      </c>
      <c r="K8452" s="6" t="n">
        <f aca="false">Sens!K8428</f>
        <v>45.5468874502068</v>
      </c>
    </row>
    <row r="8453" customFormat="false" ht="15" hidden="false" customHeight="false" outlineLevel="0" collapsed="false">
      <c r="A8453" s="0" t="s">
        <v>885</v>
      </c>
      <c r="B8453" s="0" t="s">
        <v>98</v>
      </c>
      <c r="D8453" s="6" t="n">
        <f aca="false">Sens!D8430</f>
        <v>18.417</v>
      </c>
      <c r="E8453" s="6" t="n">
        <f aca="false">Sens!E8430</f>
        <v>20.345</v>
      </c>
      <c r="F8453" s="6" t="n">
        <f aca="false">Sens!F8430</f>
        <v>22.3572203267814</v>
      </c>
      <c r="G8453" s="6" t="n">
        <f aca="false">Sens!G8430</f>
        <v>24.4392124437232</v>
      </c>
      <c r="H8453" s="6" t="n">
        <f aca="false">Sens!H8430</f>
        <v>26.5738052080665</v>
      </c>
      <c r="I8453" s="6" t="n">
        <f aca="false">Sens!I8430</f>
        <v>28.7412169166967</v>
      </c>
      <c r="J8453" s="6" t="n">
        <f aca="false">Sens!J8430</f>
        <v>30.9192545395413</v>
      </c>
      <c r="K8453" s="6" t="n">
        <f aca="false">Sens!K8430</f>
        <v>33.0836023573092</v>
      </c>
    </row>
    <row r="8454" customFormat="false" ht="15" hidden="false" customHeight="false" outlineLevel="0" collapsed="false">
      <c r="A8454" s="0" t="s">
        <v>886</v>
      </c>
      <c r="B8454" s="0" t="s">
        <v>98</v>
      </c>
      <c r="D8454" s="6" t="n">
        <f aca="false">Sens!D8432</f>
        <v>7.76</v>
      </c>
      <c r="E8454" s="6" t="n">
        <f aca="false">Sens!E8432</f>
        <v>8.26</v>
      </c>
      <c r="F8454" s="6" t="n">
        <f aca="false">Sens!F8432</f>
        <v>8.79988041237113</v>
      </c>
      <c r="G8454" s="6" t="n">
        <f aca="false">Sens!G8432</f>
        <v>9.38321269125306</v>
      </c>
      <c r="H8454" s="6" t="n">
        <f aca="false">Sens!H8432</f>
        <v>10.0139193587476</v>
      </c>
      <c r="I8454" s="6" t="n">
        <f aca="false">Sens!I8432</f>
        <v>10.6963111830911</v>
      </c>
      <c r="J8454" s="6" t="n">
        <f aca="false">Sens!J8432</f>
        <v>11.4351285534696</v>
      </c>
      <c r="K8454" s="6" t="n">
        <f aca="false">Sens!K8432</f>
        <v>12.2355875522124</v>
      </c>
    </row>
    <row r="8455" customFormat="false" ht="15" hidden="false" customHeight="false" outlineLevel="0" collapsed="false">
      <c r="A8455" s="0" t="s">
        <v>715</v>
      </c>
      <c r="B8455" s="0" t="s">
        <v>98</v>
      </c>
      <c r="D8455" s="6" t="n">
        <f aca="false">Sens!D8434</f>
        <v>218.783</v>
      </c>
      <c r="E8455" s="6" t="n">
        <f aca="false">Sens!E8434</f>
        <v>268.127</v>
      </c>
      <c r="F8455" s="6" t="n">
        <f aca="false">Sens!F8434</f>
        <v>334.7597182084</v>
      </c>
      <c r="G8455" s="6" t="n">
        <f aca="false">Sens!G8434</f>
        <v>409.866949685004</v>
      </c>
      <c r="H8455" s="6" t="n">
        <f aca="false">Sens!H8434</f>
        <v>487.456755668086</v>
      </c>
      <c r="I8455" s="6" t="n">
        <f aca="false">Sens!I8434</f>
        <v>560.162728627417</v>
      </c>
      <c r="J8455" s="6" t="n">
        <f aca="false">Sens!J8434</f>
        <v>621.835401584892</v>
      </c>
      <c r="K8455" s="6" t="n">
        <f aca="false">Sens!K8434</f>
        <v>674.428805040099</v>
      </c>
    </row>
    <row r="8456" customFormat="false" ht="15" hidden="false" customHeight="false" outlineLevel="0" collapsed="false">
      <c r="A8456" s="0" t="s">
        <v>887</v>
      </c>
      <c r="B8456" s="0" t="s">
        <v>98</v>
      </c>
      <c r="D8456" s="6" t="n">
        <f aca="false">Sens!D8435</f>
        <v>22.171</v>
      </c>
      <c r="E8456" s="6" t="n">
        <f aca="false">Sens!E8435</f>
        <v>24.835</v>
      </c>
      <c r="F8456" s="6" t="n">
        <f aca="false">Sens!F8435</f>
        <v>27.6114901218559</v>
      </c>
      <c r="G8456" s="6" t="n">
        <f aca="false">Sens!G8435</f>
        <v>30.4675667338515</v>
      </c>
      <c r="H8456" s="6" t="n">
        <f aca="false">Sens!H8435</f>
        <v>33.3643766955789</v>
      </c>
      <c r="I8456" s="6" t="n">
        <f aca="false">Sens!I8435</f>
        <v>36.2577016533691</v>
      </c>
      <c r="J8456" s="6" t="n">
        <f aca="false">Sens!J8435</f>
        <v>39.0988367952171</v>
      </c>
      <c r="K8456" s="6" t="n">
        <f aca="false">Sens!K8435</f>
        <v>41.8357553708823</v>
      </c>
    </row>
    <row r="8457" customFormat="false" ht="15" hidden="false" customHeight="false" outlineLevel="0" collapsed="false">
      <c r="A8457" s="0" t="s">
        <v>888</v>
      </c>
      <c r="B8457" s="0" t="s">
        <v>98</v>
      </c>
      <c r="D8457" s="6" t="n">
        <f aca="false">Sens!D8437</f>
        <v>23.455</v>
      </c>
      <c r="E8457" s="6" t="n">
        <f aca="false">Sens!E8437</f>
        <v>21.79</v>
      </c>
      <c r="F8457" s="6" t="n">
        <f aca="false">Sens!F8437</f>
        <v>20.5736277908051</v>
      </c>
      <c r="G8457" s="6" t="n">
        <f aca="false">Sens!G8437</f>
        <v>19.7371452817919</v>
      </c>
      <c r="H8457" s="6" t="n">
        <f aca="false">Sens!H8437</f>
        <v>19.2339764043138</v>
      </c>
      <c r="I8457" s="6" t="n">
        <f aca="false">Sens!I8437</f>
        <v>19.0353086852681</v>
      </c>
      <c r="J8457" s="6" t="n">
        <f aca="false">Sens!J8437</f>
        <v>19.1273539319129</v>
      </c>
      <c r="K8457" s="6" t="n">
        <f aca="false">Sens!K8437</f>
        <v>19.5099010105511</v>
      </c>
    </row>
    <row r="8458" customFormat="false" ht="15" hidden="false" customHeight="false" outlineLevel="0" collapsed="false">
      <c r="A8458" s="0" t="s">
        <v>889</v>
      </c>
      <c r="B8458" s="0" t="s">
        <v>98</v>
      </c>
      <c r="D8458" s="6" t="n">
        <f aca="false">Sens!D8439</f>
        <v>17.315</v>
      </c>
      <c r="E8458" s="6" t="n">
        <f aca="false">Sens!E8439</f>
        <v>17.087</v>
      </c>
      <c r="F8458" s="6" t="n">
        <f aca="false">Sens!F8439</f>
        <v>16.9564585436519</v>
      </c>
      <c r="G8458" s="6" t="n">
        <f aca="false">Sens!G8439</f>
        <v>16.9206490624268</v>
      </c>
      <c r="H8458" s="6" t="n">
        <f aca="false">Sens!H8439</f>
        <v>16.9784519149849</v>
      </c>
      <c r="I8458" s="6" t="n">
        <f aca="false">Sens!I8439</f>
        <v>17.1303084701817</v>
      </c>
      <c r="J8458" s="6" t="n">
        <f aca="false">Sens!J8439</f>
        <v>17.3782189407267</v>
      </c>
      <c r="K8458" s="6" t="n">
        <f aca="false">Sens!K8439</f>
        <v>17.7257833195413</v>
      </c>
    </row>
    <row r="8459" customFormat="false" ht="15" hidden="false" customHeight="false" outlineLevel="0" collapsed="false">
      <c r="A8459" s="0" t="s">
        <v>729</v>
      </c>
      <c r="B8459" s="0" t="s">
        <v>98</v>
      </c>
      <c r="D8459" s="6" t="n">
        <f aca="false">Sens!D8441</f>
        <v>62.941</v>
      </c>
      <c r="E8459" s="6" t="n">
        <f aca="false">Sens!E8441</f>
        <v>63.712</v>
      </c>
      <c r="F8459" s="6" t="n">
        <f aca="false">Sens!F8441</f>
        <v>65.1415764563129</v>
      </c>
      <c r="G8459" s="6" t="n">
        <f aca="false">Sens!G8441</f>
        <v>67.1253610780702</v>
      </c>
      <c r="H8459" s="6" t="n">
        <f aca="false">Sens!H8441</f>
        <v>69.5768050148776</v>
      </c>
      <c r="I8459" s="6" t="n">
        <f aca="false">Sens!I8441</f>
        <v>72.4233188088189</v>
      </c>
      <c r="J8459" s="6" t="n">
        <f aca="false">Sens!J8441</f>
        <v>75.6044096678567</v>
      </c>
      <c r="K8459" s="6" t="n">
        <f aca="false">Sens!K8441</f>
        <v>79.0714397009747</v>
      </c>
    </row>
    <row r="8460" customFormat="false" ht="15" hidden="false" customHeight="false" outlineLevel="0" collapsed="false">
      <c r="A8460" s="1" t="s">
        <v>905</v>
      </c>
      <c r="B8460" s="0" t="s">
        <v>98</v>
      </c>
      <c r="D8460" s="6" t="n">
        <f aca="false">Sens!D8442</f>
        <v>281.724</v>
      </c>
      <c r="E8460" s="6" t="n">
        <f aca="false">Sens!E8442</f>
        <v>331.839</v>
      </c>
      <c r="F8460" s="6" t="n">
        <f aca="false">Sens!F8442</f>
        <v>399.901294664713</v>
      </c>
      <c r="G8460" s="6" t="n">
        <f aca="false">Sens!G8442</f>
        <v>476.992310763075</v>
      </c>
      <c r="H8460" s="6" t="n">
        <f aca="false">Sens!H8442</f>
        <v>557.033560682964</v>
      </c>
      <c r="I8460" s="6" t="n">
        <f aca="false">Sens!I8442</f>
        <v>632.586047436236</v>
      </c>
      <c r="J8460" s="6" t="n">
        <f aca="false">Sens!J8442</f>
        <v>697.439811252749</v>
      </c>
      <c r="K8460" s="6" t="n">
        <f aca="false">Sens!K8442</f>
        <v>753.500244741074</v>
      </c>
    </row>
    <row r="8461" customFormat="false" ht="15" hidden="false" customHeight="false" outlineLevel="0" collapsed="false">
      <c r="A8461" s="1" t="s">
        <v>906</v>
      </c>
      <c r="B8461" s="0" t="s">
        <v>129</v>
      </c>
      <c r="E8461" s="7" t="n">
        <f aca="false">Sens!E8460/Sens!D8460-1</f>
        <v>0.177886867998467</v>
      </c>
      <c r="F8461" s="7" t="n">
        <f aca="false">Sens!F8460/Sens!E8460-1</f>
        <v>0.205106375877196</v>
      </c>
      <c r="G8461" s="7" t="n">
        <f aca="false">Sens!G8460/Sens!F8460-1</f>
        <v>0.192775110075592</v>
      </c>
      <c r="H8461" s="7" t="n">
        <f aca="false">Sens!H8460/Sens!G8460-1</f>
        <v>0.167804067515978</v>
      </c>
      <c r="I8461" s="7" t="n">
        <f aca="false">Sens!I8460/Sens!H8460-1</f>
        <v>0.135633635181045</v>
      </c>
      <c r="J8461" s="7" t="n">
        <f aca="false">Sens!J8460/Sens!I8460-1</f>
        <v>0.102521647575621</v>
      </c>
      <c r="K8461" s="7" t="n">
        <f aca="false">Sens!K8460/Sens!J8460-1</f>
        <v>0.0803803175325317</v>
      </c>
    </row>
    <row r="8462" customFormat="false" ht="17.15" hidden="false" customHeight="false" outlineLevel="0" collapsed="false">
      <c r="A8462" s="23" t="s">
        <v>907</v>
      </c>
      <c r="B8462" s="30" t="s">
        <v>98</v>
      </c>
      <c r="C8462" s="30"/>
      <c r="D8462" s="24" t="n">
        <f aca="false">(Sens!D8455+Sens!D8459-Sens!D8460)+(Sens!D8447+Sens!D8448-Sens!D8446)+(Sens!D8450+Sens!D8451-Sens!D8449)+(Sens!D8460-Q!L18)</f>
        <v>0</v>
      </c>
      <c r="E8462" s="24" t="n">
        <f aca="false">(Sens!E8455+Sens!E8459-Sens!E8460)+(Sens!E8447+Sens!E8448-Sens!E8446)+(Sens!E8450+Sens!E8451-Sens!E8449)+(Sens!E8460-Q!M18)</f>
        <v>0</v>
      </c>
      <c r="F8462" s="24" t="n">
        <f aca="false">(Sens!F8455+Sens!F8459-Sens!F8460)+(Sens!F8447+Sens!F8448-Sens!F8446)+(Sens!F8450+Sens!F8451-Sens!F8449)</f>
        <v>0</v>
      </c>
      <c r="G8462" s="24" t="n">
        <f aca="false">(Sens!G8455+Sens!G8459-Sens!G8460)+(Sens!G8447+Sens!G8448-Sens!G8446)+(Sens!G8450+Sens!G8451-Sens!G8449)</f>
        <v>0</v>
      </c>
      <c r="H8462" s="24" t="n">
        <f aca="false">(Sens!H8455+Sens!H8459-Sens!H8460)+(Sens!H8447+Sens!H8448-Sens!H8446)+(Sens!H8450+Sens!H8451-Sens!H8449)</f>
        <v>0</v>
      </c>
      <c r="I8462" s="24" t="n">
        <f aca="false">(Sens!I8455+Sens!I8459-Sens!I8460)+(Sens!I8447+Sens!I8448-Sens!I8446)+(Sens!I8450+Sens!I8451-Sens!I8449)</f>
        <v>0</v>
      </c>
      <c r="J8462" s="24" t="n">
        <f aca="false">(Sens!J8455+Sens!J8459-Sens!J8460)+(Sens!J8447+Sens!J8448-Sens!J8446)+(Sens!J8450+Sens!J8451-Sens!J8449)</f>
        <v>0</v>
      </c>
      <c r="K8462" s="24" t="n">
        <f aca="false">(Sens!K8455+Sens!K8459-Sens!K8460)+(Sens!K8447+Sens!K8448-Sens!K8446)+(Sens!K8450+Sens!K8451-Sens!K8449)</f>
        <v>0</v>
      </c>
    </row>
    <row r="8463" customFormat="false" ht="17.15" hidden="false" customHeight="false" outlineLevel="0" collapsed="false">
      <c r="A8463" s="0" t="s">
        <v>908</v>
      </c>
      <c r="B8463" s="0" t="s">
        <v>129</v>
      </c>
      <c r="E8463" s="7" t="n">
        <f aca="false">(Q!M21+Sens!E8400+Sens!E8401+Sens!E8402+Sens!E8415-Sens!E8398)/(Q!M5-Sens!E8398)</f>
        <v>0.570957350878296</v>
      </c>
      <c r="F8463" s="7" t="n">
        <f aca="false">Sens!$E$8463+dm_seg</f>
        <v>0.570957350878296</v>
      </c>
      <c r="G8463" s="7" t="n">
        <f aca="false">Sens!$E$8463+dm_seg</f>
        <v>0.570957350878296</v>
      </c>
      <c r="H8463" s="7" t="n">
        <f aca="false">Sens!$E$8463+dm_seg</f>
        <v>0.570957350878296</v>
      </c>
      <c r="I8463" s="7" t="n">
        <f aca="false">Sens!$E$8463+dm_seg</f>
        <v>0.570957350878296</v>
      </c>
      <c r="J8463" s="7" t="n">
        <f aca="false">Sens!$E$8463+dm_seg</f>
        <v>0.570957350878296</v>
      </c>
      <c r="K8463" s="7" t="n">
        <f aca="false">Sens!$E$8463+dm_seg</f>
        <v>0.570957350878296</v>
      </c>
      <c r="L8463" s="11" t="s">
        <v>909</v>
      </c>
    </row>
    <row r="8464" customFormat="false" ht="17.15" hidden="false" customHeight="false" outlineLevel="0" collapsed="false">
      <c r="A8464" s="0" t="s">
        <v>743</v>
      </c>
      <c r="B8464" s="0" t="s">
        <v>98</v>
      </c>
      <c r="D8464" s="6" t="n">
        <f aca="false">Q!L21</f>
        <v>110.814</v>
      </c>
      <c r="E8464" s="6" t="n">
        <f aca="false">Q!M21</f>
        <v>136.365</v>
      </c>
      <c r="F8464" s="6" t="n">
        <f aca="false">Sens!F8463*(Sens!F8434-Sens!F8398)+Sens!F8398-(Sens!F8400+Sens!F8401+Sens!F8402)-Sens!F8415-Sens!F8498</f>
        <v>157.752051493219</v>
      </c>
      <c r="G8464" s="6" t="n">
        <f aca="false">Sens!G8463*(Sens!G8434-Sens!G8398)+Sens!G8398-(Sens!G8400+Sens!G8401+Sens!G8402)-Sens!G8415-Sens!G8498</f>
        <v>178.849785470008</v>
      </c>
      <c r="H8464" s="6" t="n">
        <f aca="false">Sens!H8463*(Sens!H8434-Sens!H8398)+Sens!H8398-(Sens!H8400+Sens!H8401+Sens!H8402)-Sens!H8415-Sens!H8498</f>
        <v>199.973087450256</v>
      </c>
      <c r="I8464" s="6" t="n">
        <f aca="false">Sens!I8463*(Sens!I8434-Sens!I8398)+Sens!I8398-(Sens!I8400+Sens!I8401+Sens!I8402)-Sens!I8415-Sens!I8498</f>
        <v>221.045727514687</v>
      </c>
      <c r="J8464" s="6" t="n">
        <f aca="false">Sens!J8463*(Sens!J8434-Sens!J8398)+Sens!J8398-(Sens!J8400+Sens!J8401+Sens!J8402)-Sens!J8415-Sens!J8498</f>
        <v>241.790121069861</v>
      </c>
      <c r="K8464" s="6" t="n">
        <f aca="false">Sens!K8463*(Sens!K8434-Sens!K8398)+Sens!K8398-(Sens!K8400+Sens!K8401+Sens!K8402)-Sens!K8415-Sens!K8498</f>
        <v>263.167899872348</v>
      </c>
      <c r="L8464" s="1" t="s">
        <v>910</v>
      </c>
    </row>
    <row r="8465" customFormat="false" ht="17.15" hidden="false" customHeight="false" outlineLevel="0" collapsed="false">
      <c r="A8465" s="0" t="s">
        <v>911</v>
      </c>
      <c r="B8465" s="0" t="s">
        <v>129</v>
      </c>
      <c r="E8465" s="7" t="n">
        <f aca="false">Q!M22/Q!M12</f>
        <v>0.296207935710698</v>
      </c>
      <c r="F8465" s="7" t="n">
        <f aca="false">Sens!$E$8465+dm_seg</f>
        <v>0.296207935710698</v>
      </c>
      <c r="G8465" s="7" t="n">
        <f aca="false">Sens!$E$8465+dm_seg</f>
        <v>0.296207935710698</v>
      </c>
      <c r="H8465" s="7" t="n">
        <f aca="false">Sens!$E$8465+dm_seg</f>
        <v>0.296207935710698</v>
      </c>
      <c r="I8465" s="7" t="n">
        <f aca="false">Sens!$E$8465+dm_seg</f>
        <v>0.296207935710698</v>
      </c>
      <c r="J8465" s="7" t="n">
        <f aca="false">Sens!$E$8465+dm_seg</f>
        <v>0.296207935710698</v>
      </c>
      <c r="K8465" s="7" t="n">
        <f aca="false">Sens!$E$8465+dm_seg</f>
        <v>0.296207935710698</v>
      </c>
      <c r="L8465" s="11" t="s">
        <v>912</v>
      </c>
    </row>
    <row r="8466" customFormat="false" ht="17.15" hidden="false" customHeight="false" outlineLevel="0" collapsed="false">
      <c r="A8466" s="0" t="s">
        <v>745</v>
      </c>
      <c r="B8466" s="0" t="s">
        <v>98</v>
      </c>
      <c r="D8466" s="6" t="n">
        <f aca="false">Q!L22</f>
        <v>17.714</v>
      </c>
      <c r="E8466" s="6" t="n">
        <f aca="false">Q!M22</f>
        <v>18.872</v>
      </c>
      <c r="F8466" s="6" t="n">
        <f aca="false">Sens!F8441*Sens!F8465</f>
        <v>19.2954518910651</v>
      </c>
      <c r="G8466" s="6" t="n">
        <f aca="false">Sens!G8441*Sens!G8465</f>
        <v>19.8830646387704</v>
      </c>
      <c r="H8466" s="6" t="n">
        <f aca="false">Sens!H8441*Sens!H8465</f>
        <v>20.6092017868026</v>
      </c>
      <c r="I8466" s="6" t="n">
        <f aca="false">Sens!I8441*Sens!I8465</f>
        <v>21.452361761678</v>
      </c>
      <c r="J8466" s="6" t="n">
        <f aca="false">Sens!J8441*Sens!J8465</f>
        <v>22.3946261183418</v>
      </c>
      <c r="K8466" s="6" t="n">
        <f aca="false">Sens!K8441*Sens!K8465</f>
        <v>23.4215879274986</v>
      </c>
    </row>
    <row r="8467" customFormat="false" ht="15" hidden="false" customHeight="false" outlineLevel="0" collapsed="false">
      <c r="A8467" s="1" t="s">
        <v>913</v>
      </c>
      <c r="B8467" s="0" t="s">
        <v>98</v>
      </c>
      <c r="D8467" s="6" t="n">
        <f aca="false">Sens!D8464+Sens!D8466</f>
        <v>128.528</v>
      </c>
      <c r="E8467" s="6" t="n">
        <f aca="false">Sens!E8464+Sens!E8466</f>
        <v>155.237</v>
      </c>
      <c r="F8467" s="6" t="n">
        <f aca="false">Sens!F8464+Sens!F8466</f>
        <v>177.047503384284</v>
      </c>
      <c r="G8467" s="6" t="n">
        <f aca="false">Sens!G8464+Sens!G8466</f>
        <v>198.732850108778</v>
      </c>
      <c r="H8467" s="6" t="n">
        <f aca="false">Sens!H8464+Sens!H8466</f>
        <v>220.582289237058</v>
      </c>
      <c r="I8467" s="6" t="n">
        <f aca="false">Sens!I8464+Sens!I8466</f>
        <v>242.498089276365</v>
      </c>
      <c r="J8467" s="6" t="n">
        <f aca="false">Sens!J8464+Sens!J8466</f>
        <v>264.184747188203</v>
      </c>
      <c r="K8467" s="6" t="n">
        <f aca="false">Sens!K8464+Sens!K8466</f>
        <v>286.589487799847</v>
      </c>
    </row>
    <row r="8468" customFormat="false" ht="15" hidden="false" customHeight="false" outlineLevel="0" collapsed="false">
      <c r="A8468" s="23" t="s">
        <v>914</v>
      </c>
      <c r="B8468" s="30" t="s">
        <v>98</v>
      </c>
      <c r="C8468" s="30"/>
      <c r="D8468" s="24" t="n">
        <f aca="false">Sens!D8467-Q!L23</f>
        <v>0</v>
      </c>
      <c r="E8468" s="24" t="n">
        <f aca="false">Sens!E8467-Q!M23</f>
        <v>0</v>
      </c>
      <c r="F8468" s="30"/>
      <c r="G8468" s="30"/>
      <c r="H8468" s="30"/>
      <c r="I8468" s="30"/>
      <c r="J8468" s="30"/>
      <c r="K8468" s="30"/>
    </row>
    <row r="8469" customFormat="false" ht="15" hidden="false" customHeight="false" outlineLevel="0" collapsed="false">
      <c r="A8469" s="1" t="s">
        <v>915</v>
      </c>
      <c r="B8469" s="0" t="s">
        <v>129</v>
      </c>
      <c r="D8469" s="7" t="n">
        <f aca="false">Sens!D8467/Sens!D8460</f>
        <v>0.456219562408598</v>
      </c>
      <c r="E8469" s="7" t="n">
        <f aca="false">Sens!E8467/Sens!E8460</f>
        <v>0.467808184089272</v>
      </c>
      <c r="F8469" s="7" t="n">
        <f aca="false">Sens!F8467/Sens!F8460</f>
        <v>0.442728007501764</v>
      </c>
      <c r="G8469" s="7" t="n">
        <f aca="false">Sens!G8467/Sens!G8460</f>
        <v>0.41663742920898</v>
      </c>
      <c r="H8469" s="7" t="n">
        <f aca="false">Sens!H8467/Sens!H8460</f>
        <v>0.395994612903769</v>
      </c>
      <c r="I8469" s="7" t="n">
        <f aca="false">Sens!I8467/Sens!I8460</f>
        <v>0.383344037161694</v>
      </c>
      <c r="J8469" s="7" t="n">
        <f aca="false">Sens!J8467/Sens!J8460</f>
        <v>0.378792180953467</v>
      </c>
      <c r="K8469" s="7" t="n">
        <f aca="false">Sens!K8467/Sens!K8460</f>
        <v>0.380344253104162</v>
      </c>
    </row>
    <row r="8470" customFormat="false" ht="17.15" hidden="false" customHeight="false" outlineLevel="0" collapsed="false">
      <c r="A8470" s="1" t="s">
        <v>916</v>
      </c>
      <c r="B8470" s="0" t="s">
        <v>98</v>
      </c>
      <c r="F8470" s="6" t="n">
        <f aca="false">Sens!F8485</f>
        <v>9.29892047395526</v>
      </c>
      <c r="G8470" s="6" t="n">
        <f aca="false">Sens!G8485</f>
        <v>23.9346303607031</v>
      </c>
      <c r="H8470" s="6" t="n">
        <f aca="false">Sens!H8485</f>
        <v>40.1043191979728</v>
      </c>
      <c r="I8470" s="6" t="n">
        <f aca="false">Sens!I8485</f>
        <v>54.9360183203111</v>
      </c>
      <c r="J8470" s="6" t="n">
        <f aca="false">Sens!J8485</f>
        <v>65.4555422613168</v>
      </c>
      <c r="K8470" s="6" t="n">
        <f aca="false">Sens!K8485</f>
        <v>71.4992160033785</v>
      </c>
      <c r="L8470" s="1" t="s">
        <v>917</v>
      </c>
    </row>
    <row r="8471" customFormat="false" ht="17.15" hidden="false" customHeight="false" outlineLevel="0" collapsed="false">
      <c r="A8471" s="1" t="s">
        <v>918</v>
      </c>
      <c r="B8471" s="0" t="s">
        <v>98</v>
      </c>
      <c r="D8471" s="6" t="n">
        <f aca="false">Sens!D8467</f>
        <v>128.528</v>
      </c>
      <c r="E8471" s="6" t="n">
        <f aca="false">Sens!E8467</f>
        <v>155.237</v>
      </c>
      <c r="F8471" s="6" t="n">
        <f aca="false">Sens!F8467+Sens!F8470</f>
        <v>186.346423858239</v>
      </c>
      <c r="G8471" s="6" t="n">
        <f aca="false">Sens!G8467+Sens!G8470</f>
        <v>222.667480469482</v>
      </c>
      <c r="H8471" s="6" t="n">
        <f aca="false">Sens!H8467+Sens!H8470</f>
        <v>260.686608435031</v>
      </c>
      <c r="I8471" s="6" t="n">
        <f aca="false">Sens!I8467+Sens!I8470</f>
        <v>297.434107596676</v>
      </c>
      <c r="J8471" s="6" t="n">
        <f aca="false">Sens!J8467+Sens!J8470</f>
        <v>329.64028944952</v>
      </c>
      <c r="K8471" s="6" t="n">
        <f aca="false">Sens!K8467+Sens!K8470</f>
        <v>358.088703803226</v>
      </c>
    </row>
    <row r="8472" customFormat="false" ht="17.15" hidden="false" customHeight="false" outlineLevel="0" collapsed="false">
      <c r="A8472" s="1" t="s">
        <v>919</v>
      </c>
      <c r="B8472" s="0" t="s">
        <v>98</v>
      </c>
      <c r="E8472" s="6" t="n">
        <f aca="false">Sens!E8415</f>
        <v>16.3054059770833</v>
      </c>
      <c r="F8472" s="6" t="n">
        <f aca="false">Sens!F8415</f>
        <v>34.0498873809555</v>
      </c>
      <c r="G8472" s="6" t="n">
        <f aca="false">Sens!G8415</f>
        <v>59.1254371105111</v>
      </c>
      <c r="H8472" s="6" t="n">
        <f aca="false">Sens!H8415</f>
        <v>86.3610198433111</v>
      </c>
      <c r="I8472" s="6" t="n">
        <f aca="false">Sens!I8415</f>
        <v>110.605743832393</v>
      </c>
      <c r="J8472" s="6" t="n">
        <f aca="false">Sens!J8415</f>
        <v>127.998322852843</v>
      </c>
      <c r="K8472" s="6" t="n">
        <f aca="false">Sens!K8415</f>
        <v>139.131464044308</v>
      </c>
    </row>
    <row r="8473" customFormat="false" ht="17.15" hidden="false" customHeight="false" outlineLevel="0" collapsed="false">
      <c r="A8473" s="1" t="s">
        <v>920</v>
      </c>
      <c r="B8473" s="0" t="s">
        <v>98</v>
      </c>
      <c r="E8473" s="6" t="n">
        <f aca="false">Sens!E8497</f>
        <v>22.2285940229167</v>
      </c>
      <c r="F8473" s="6" t="n">
        <f aca="false">Sens!F8497</f>
        <v>24.3924470334783</v>
      </c>
      <c r="G8473" s="6" t="n">
        <f aca="false">Sens!G8497</f>
        <v>26.1043882196737</v>
      </c>
      <c r="H8473" s="6" t="n">
        <f aca="false">Sens!H8497</f>
        <v>28.2603099553965</v>
      </c>
      <c r="I8473" s="6" t="n">
        <f aca="false">Sens!I8497</f>
        <v>30.8193032110331</v>
      </c>
      <c r="J8473" s="6" t="n">
        <f aca="false">Sens!J8497</f>
        <v>33.7277912524327</v>
      </c>
      <c r="K8473" s="6" t="n">
        <f aca="false">Sens!K8497</f>
        <v>36.9329037772018</v>
      </c>
    </row>
    <row r="8474" customFormat="false" ht="17.15" hidden="false" customHeight="false" outlineLevel="0" collapsed="false">
      <c r="A8474" s="1" t="s">
        <v>921</v>
      </c>
      <c r="B8474" s="0" t="s">
        <v>98</v>
      </c>
      <c r="D8474" s="6" t="n">
        <f aca="false">Q!L27</f>
        <v>-4.901</v>
      </c>
      <c r="E8474" s="6" t="n">
        <f aca="false">Q!M27</f>
        <v>10.697</v>
      </c>
      <c r="F8474" s="6" t="n">
        <f aca="false">oie_f</f>
        <v>-0.4</v>
      </c>
      <c r="G8474" s="6" t="n">
        <f aca="false">oie_f</f>
        <v>-0.4</v>
      </c>
      <c r="H8474" s="6" t="n">
        <f aca="false">oie_f</f>
        <v>-0.4</v>
      </c>
      <c r="I8474" s="6" t="n">
        <f aca="false">oie_f</f>
        <v>-0.4</v>
      </c>
      <c r="J8474" s="6" t="n">
        <f aca="false">oie_f</f>
        <v>-0.4</v>
      </c>
      <c r="K8474" s="6" t="n">
        <f aca="false">oie_f</f>
        <v>-0.4</v>
      </c>
      <c r="L8474" s="11" t="s">
        <v>922</v>
      </c>
    </row>
    <row r="8475" customFormat="false" ht="15" hidden="false" customHeight="false" outlineLevel="0" collapsed="false">
      <c r="A8475" s="1" t="s">
        <v>923</v>
      </c>
      <c r="B8475" s="0" t="s">
        <v>98</v>
      </c>
      <c r="D8475" s="6" t="n">
        <f aca="false">Sens!D8467+Sens!D8474</f>
        <v>123.627</v>
      </c>
      <c r="E8475" s="6" t="n">
        <f aca="false">Sens!E8467+Sens!E8474</f>
        <v>165.934</v>
      </c>
      <c r="F8475" s="6" t="n">
        <f aca="false">Sens!F8467+Sens!F8474</f>
        <v>176.647503384284</v>
      </c>
      <c r="G8475" s="6" t="n">
        <f aca="false">Sens!G8467+Sens!G8474</f>
        <v>198.332850108778</v>
      </c>
      <c r="H8475" s="6" t="n">
        <f aca="false">Sens!H8467+Sens!H8474</f>
        <v>220.182289237058</v>
      </c>
      <c r="I8475" s="6" t="n">
        <f aca="false">Sens!I8467+Sens!I8474</f>
        <v>242.098089276365</v>
      </c>
      <c r="J8475" s="6" t="n">
        <f aca="false">Sens!J8467+Sens!J8474</f>
        <v>263.784747188203</v>
      </c>
      <c r="K8475" s="6" t="n">
        <f aca="false">Sens!K8467+Sens!K8474</f>
        <v>286.189487799847</v>
      </c>
    </row>
    <row r="8476" customFormat="false" ht="15" hidden="false" customHeight="false" outlineLevel="0" collapsed="false">
      <c r="A8476" s="1" t="s">
        <v>924</v>
      </c>
      <c r="B8476" s="0" t="s">
        <v>98</v>
      </c>
      <c r="D8476" s="6" t="n">
        <f aca="false">Q!L29</f>
        <v>21.795</v>
      </c>
      <c r="E8476" s="6" t="n">
        <f aca="false">Q!M29</f>
        <v>32.185</v>
      </c>
      <c r="F8476" s="6" t="n">
        <f aca="false">Sens!F8475*tax_f</f>
        <v>35.3295006768568</v>
      </c>
      <c r="G8476" s="6" t="n">
        <f aca="false">Sens!G8475*tax_f</f>
        <v>39.6665700217557</v>
      </c>
      <c r="H8476" s="6" t="n">
        <f aca="false">Sens!H8475*tax_f</f>
        <v>44.0364578474116</v>
      </c>
      <c r="I8476" s="6" t="n">
        <f aca="false">Sens!I8475*tax_f</f>
        <v>48.4196178552731</v>
      </c>
      <c r="J8476" s="6" t="n">
        <f aca="false">Sens!J8475*tax_f</f>
        <v>52.7569494376406</v>
      </c>
      <c r="K8476" s="6" t="n">
        <f aca="false">Sens!K8475*tax_f</f>
        <v>57.2378975599694</v>
      </c>
    </row>
    <row r="8477" customFormat="false" ht="15" hidden="false" customHeight="false" outlineLevel="0" collapsed="false">
      <c r="A8477" s="1" t="s">
        <v>925</v>
      </c>
      <c r="B8477" s="0" t="s">
        <v>98</v>
      </c>
      <c r="D8477" s="6" t="n">
        <f aca="false">Sens!D8475-Sens!D8476</f>
        <v>101.832</v>
      </c>
      <c r="E8477" s="6" t="n">
        <f aca="false">Sens!E8475-Sens!E8476</f>
        <v>133.749</v>
      </c>
      <c r="F8477" s="6" t="n">
        <f aca="false">Sens!F8475-Sens!F8476</f>
        <v>141.318002707427</v>
      </c>
      <c r="G8477" s="6" t="n">
        <f aca="false">Sens!G8475-Sens!G8476</f>
        <v>158.666280087023</v>
      </c>
      <c r="H8477" s="6" t="n">
        <f aca="false">Sens!H8475-Sens!H8476</f>
        <v>176.145831389647</v>
      </c>
      <c r="I8477" s="6" t="n">
        <f aca="false">Sens!I8475-Sens!I8476</f>
        <v>193.678471421092</v>
      </c>
      <c r="J8477" s="6" t="n">
        <f aca="false">Sens!J8475-Sens!J8476</f>
        <v>211.027797750562</v>
      </c>
      <c r="K8477" s="6" t="n">
        <f aca="false">Sens!K8475-Sens!K8476</f>
        <v>228.951590239878</v>
      </c>
    </row>
    <row r="8478" customFormat="false" ht="17.15" hidden="false" customHeight="false" outlineLevel="0" collapsed="false">
      <c r="A8478" s="1" t="s">
        <v>926</v>
      </c>
      <c r="B8478" s="1" t="s">
        <v>81</v>
      </c>
      <c r="D8478" s="14" t="n">
        <f aca="false">Q!L31</f>
        <v>7.465</v>
      </c>
      <c r="E8478" s="14" t="n">
        <f aca="false">Q!M31</f>
        <v>7.453</v>
      </c>
      <c r="F8478" s="14" t="n">
        <f aca="false">Sens!F8521</f>
        <v>7.4735</v>
      </c>
      <c r="G8478" s="14" t="n">
        <f aca="false">Sens!G8521</f>
        <v>7.51758842254884</v>
      </c>
      <c r="H8478" s="14" t="n">
        <f aca="false">Sens!H8521</f>
        <v>7.54442843094764</v>
      </c>
      <c r="I8478" s="14" t="n">
        <f aca="false">Sens!I8521</f>
        <v>7.55620926295495</v>
      </c>
      <c r="J8478" s="14" t="n">
        <f aca="false">Sens!J8521</f>
        <v>7.57045077407283</v>
      </c>
      <c r="K8478" s="14" t="n">
        <f aca="false">Sens!K8521</f>
        <v>7.58697069177457</v>
      </c>
    </row>
    <row r="8479" customFormat="false" ht="17.15" hidden="false" customHeight="false" outlineLevel="0" collapsed="false">
      <c r="A8479" s="0" t="s">
        <v>927</v>
      </c>
      <c r="B8479" s="0" t="s">
        <v>75</v>
      </c>
      <c r="D8479" s="8" t="n">
        <f aca="false">Sens!D8477/Sens!D8478</f>
        <v>13.641259209645</v>
      </c>
      <c r="E8479" s="8" t="n">
        <f aca="false">Sens!E8477/Sens!E8478</f>
        <v>17.9456594659869</v>
      </c>
      <c r="F8479" s="8" t="n">
        <f aca="false">Sens!F8477/Sens!F8478</f>
        <v>18.9092129132839</v>
      </c>
      <c r="G8479" s="8" t="n">
        <f aca="false">Sens!G8477/Sens!G8478</f>
        <v>21.1060078270721</v>
      </c>
      <c r="H8479" s="8" t="n">
        <f aca="false">Sens!H8477/Sens!H8478</f>
        <v>23.3478033494343</v>
      </c>
      <c r="I8479" s="8" t="n">
        <f aca="false">Sens!I8477/Sens!I8478</f>
        <v>25.6316976781757</v>
      </c>
      <c r="J8479" s="8" t="n">
        <f aca="false">Sens!J8477/Sens!J8478</f>
        <v>27.8751958170427</v>
      </c>
      <c r="K8479" s="8" t="n">
        <f aca="false">Sens!K8477/Sens!K8478</f>
        <v>30.176944071775</v>
      </c>
      <c r="L8479" s="1" t="s">
        <v>928</v>
      </c>
    </row>
    <row r="8480" customFormat="false" ht="17.15" hidden="false" customHeight="false" outlineLevel="0" collapsed="false">
      <c r="A8480" s="1" t="s">
        <v>929</v>
      </c>
      <c r="B8480" s="0" t="s">
        <v>98</v>
      </c>
      <c r="D8480" s="6" t="n">
        <f aca="false">Sens!D8477</f>
        <v>101.832</v>
      </c>
      <c r="E8480" s="6" t="n">
        <f aca="false">Sens!E8477</f>
        <v>133.749</v>
      </c>
      <c r="F8480" s="6" t="n">
        <f aca="false">Sens!F8477+Sens!F8470*(1-tax_f)</f>
        <v>148.757139086591</v>
      </c>
      <c r="G8480" s="6" t="n">
        <f aca="false">Sens!G8477+Sens!G8470*(1-tax_f)</f>
        <v>177.813984375585</v>
      </c>
      <c r="H8480" s="6" t="n">
        <f aca="false">Sens!H8477+Sens!H8470*(1-tax_f)</f>
        <v>208.229286748025</v>
      </c>
      <c r="I8480" s="6" t="n">
        <f aca="false">Sens!I8477+Sens!I8470*(1-tax_f)</f>
        <v>237.627286077341</v>
      </c>
      <c r="J8480" s="6" t="n">
        <f aca="false">Sens!J8477+Sens!J8470*(1-tax_f)</f>
        <v>263.392231559616</v>
      </c>
      <c r="K8480" s="6" t="n">
        <f aca="false">Sens!K8477+Sens!K8470*(1-tax_f)</f>
        <v>286.150963042581</v>
      </c>
    </row>
    <row r="8481" customFormat="false" ht="17.15" hidden="false" customHeight="false" outlineLevel="0" collapsed="false">
      <c r="A8481" s="0" t="s">
        <v>930</v>
      </c>
      <c r="B8481" s="0" t="s">
        <v>75</v>
      </c>
      <c r="D8481" s="8" t="n">
        <f aca="false">Sens!D8480/Sens!D8478</f>
        <v>13.641259209645</v>
      </c>
      <c r="E8481" s="8" t="n">
        <f aca="false">Sens!E8480/Sens!E8478</f>
        <v>17.9456594659869</v>
      </c>
      <c r="F8481" s="8" t="n">
        <f aca="false">Sens!F8480/Sens!F8478</f>
        <v>19.9046148506846</v>
      </c>
      <c r="G8481" s="8" t="n">
        <f aca="false">Sens!G8480/Sens!G8478</f>
        <v>23.6530619104175</v>
      </c>
      <c r="H8481" s="8" t="n">
        <f aca="false">Sens!H8480/Sens!H8478</f>
        <v>27.600405869563</v>
      </c>
      <c r="I8481" s="8" t="n">
        <f aca="false">Sens!I8480/Sens!I8478</f>
        <v>31.4479493364923</v>
      </c>
      <c r="J8481" s="8" t="n">
        <f aca="false">Sens!J8480/Sens!J8478</f>
        <v>34.7921463886507</v>
      </c>
      <c r="K8481" s="8" t="n">
        <f aca="false">Sens!K8480/Sens!K8478</f>
        <v>37.7161023374997</v>
      </c>
      <c r="L8481" s="1" t="s">
        <v>931</v>
      </c>
    </row>
    <row r="8482" customFormat="false" ht="17.15" hidden="false" customHeight="false" outlineLevel="0" collapsed="false">
      <c r="A8482" s="0" t="s">
        <v>932</v>
      </c>
      <c r="B8482" s="0" t="s">
        <v>129</v>
      </c>
      <c r="E8482" s="7" t="n">
        <f aca="false">Sens!E8481/Sens!D8481-1</f>
        <v>0.315542736208578</v>
      </c>
      <c r="F8482" s="7" t="n">
        <f aca="false">Sens!F8481/Sens!E8481-1</f>
        <v>0.10916040106582</v>
      </c>
      <c r="G8482" s="7" t="n">
        <f aca="false">Sens!G8481/Sens!F8481-1</f>
        <v>0.188320501946509</v>
      </c>
      <c r="H8482" s="7" t="n">
        <f aca="false">Sens!H8481/Sens!G8481-1</f>
        <v>0.166885115089772</v>
      </c>
      <c r="I8482" s="7" t="n">
        <f aca="false">Sens!I8481/Sens!H8481-1</f>
        <v>0.139401698841404</v>
      </c>
      <c r="J8482" s="7" t="n">
        <f aca="false">Sens!J8481/Sens!I8481-1</f>
        <v>0.106340703375458</v>
      </c>
      <c r="K8482" s="7" t="n">
        <f aca="false">Sens!K8481/Sens!J8481-1</f>
        <v>0.0840406888435834</v>
      </c>
    </row>
    <row r="8483" customFormat="false" ht="17.15" hidden="false" customHeight="false" outlineLevel="0" collapsed="false">
      <c r="A8483" s="0" t="s">
        <v>856</v>
      </c>
      <c r="B8483" s="0" t="s">
        <v>98</v>
      </c>
      <c r="E8483" s="6" t="n">
        <f aca="false">Sens!E8424</f>
        <v>5.25</v>
      </c>
      <c r="F8483" s="6" t="n">
        <f aca="false">Sens!F8424</f>
        <v>12</v>
      </c>
      <c r="G8483" s="6" t="n">
        <f aca="false">Sens!G8424</f>
        <v>18</v>
      </c>
      <c r="H8483" s="6" t="n">
        <f aca="false">Sens!H8424</f>
        <v>24</v>
      </c>
      <c r="I8483" s="6" t="n">
        <f aca="false">Sens!I8424</f>
        <v>28.5</v>
      </c>
      <c r="J8483" s="6" t="n">
        <f aca="false">Sens!J8424</f>
        <v>31.5</v>
      </c>
      <c r="K8483" s="6" t="n">
        <f aca="false">Sens!K8424</f>
        <v>34.5</v>
      </c>
    </row>
    <row r="8484" customFormat="false" ht="17.15" hidden="false" customHeight="false" outlineLevel="0" collapsed="false">
      <c r="A8484" s="1" t="s">
        <v>857</v>
      </c>
      <c r="B8484" s="0" t="s">
        <v>98</v>
      </c>
      <c r="F8484" s="6" t="n">
        <f aca="false">MAX(0,((Sens!E8387+Sens!F8387)/2-(shadow_base*(Sens!$D$8387+Sens!$E$8387)/2+(1-shadow_base)*Sens!$E$8387))*Sens!F8395/1000-(Sens!F8483-Sens!$E$8483)*Sens!F8463)</f>
        <v>9.29892047395526</v>
      </c>
      <c r="G8484" s="6" t="n">
        <f aca="false">MAX(0,((Sens!F8387+Sens!G8387)/2-(shadow_base*(Sens!$D$8387+Sens!$E$8387)/2+(1-shadow_base)*Sens!$E$8387))*Sens!G8395/1000-(Sens!G8483-Sens!$E$8483)*Sens!G8463)</f>
        <v>23.9346303607031</v>
      </c>
      <c r="H8484" s="6" t="n">
        <f aca="false">MAX(0,((Sens!G8387+Sens!H8387)/2-(shadow_base*(Sens!$D$8387+Sens!$E$8387)/2+(1-shadow_base)*Sens!$E$8387))*Sens!H8395/1000-(Sens!H8483-Sens!$E$8483)*Sens!H8463)</f>
        <v>40.1043191979728</v>
      </c>
      <c r="I8484" s="6" t="n">
        <f aca="false">MAX(0,((Sens!H8387+Sens!I8387)/2-(shadow_base*(Sens!$D$8387+Sens!$E$8387)/2+(1-shadow_base)*Sens!$E$8387))*Sens!I8395/1000-(Sens!I8483-Sens!$E$8483)*Sens!I8463)</f>
        <v>54.9360183203111</v>
      </c>
      <c r="J8484" s="6" t="n">
        <f aca="false">MAX(0,((Sens!I8387+Sens!J8387)/2-(shadow_base*(Sens!$D$8387+Sens!$E$8387)/2+(1-shadow_base)*Sens!$E$8387))*Sens!J8395/1000-(Sens!J8483-Sens!$E$8483)*Sens!J8463)</f>
        <v>65.4555422613168</v>
      </c>
      <c r="K8484" s="6" t="n">
        <f aca="false">MAX(0,((Sens!J8387+Sens!K8387)/2-(shadow_base*(Sens!$D$8387+Sens!$E$8387)/2+(1-shadow_base)*Sens!$E$8387))*Sens!K8395/1000-(Sens!K8483-Sens!$E$8483)*Sens!K8463)</f>
        <v>71.4992160033785</v>
      </c>
      <c r="L8484" s="1" t="s">
        <v>858</v>
      </c>
    </row>
    <row r="8485" customFormat="false" ht="17.15" hidden="false" customHeight="false" outlineLevel="0" collapsed="false">
      <c r="A8485" s="1" t="s">
        <v>859</v>
      </c>
      <c r="B8485" s="0" t="s">
        <v>98</v>
      </c>
      <c r="F8485" s="6" t="n">
        <f aca="false">IF(internal_ai_reading=2,1,0)*Sens!F8484</f>
        <v>9.29892047395526</v>
      </c>
      <c r="G8485" s="6" t="n">
        <f aca="false">IF(internal_ai_reading=2,1,0)*Sens!G8484</f>
        <v>23.9346303607031</v>
      </c>
      <c r="H8485" s="6" t="n">
        <f aca="false">IF(internal_ai_reading=2,1,0)*Sens!H8484</f>
        <v>40.1043191979728</v>
      </c>
      <c r="I8485" s="6" t="n">
        <f aca="false">IF(internal_ai_reading=2,1,0)*Sens!I8484</f>
        <v>54.9360183203111</v>
      </c>
      <c r="J8485" s="6" t="n">
        <f aca="false">IF(internal_ai_reading=2,1,0)*Sens!J8484</f>
        <v>65.4555422613168</v>
      </c>
      <c r="K8485" s="6" t="n">
        <f aca="false">IF(internal_ai_reading=2,1,0)*Sens!K8484</f>
        <v>71.4992160033785</v>
      </c>
    </row>
    <row r="8486" customFormat="false" ht="17.15" hidden="false" customHeight="false" outlineLevel="0" collapsed="false">
      <c r="A8486" s="0" t="s">
        <v>860</v>
      </c>
      <c r="B8486" s="0" t="s">
        <v>98</v>
      </c>
      <c r="F8486" s="6" t="n">
        <f aca="false">Sens!F8404+Sens!F8483*Sens!F8463+Sens!F8485-Sens!F8405-Sens!F8415</f>
        <v>15.0270315022233</v>
      </c>
      <c r="G8486" s="6" t="n">
        <f aca="false">Sens!G8404+Sens!G8483*Sens!G8463+Sens!G8485-Sens!G8405-Sens!G8415</f>
        <v>30.8545489496424</v>
      </c>
      <c r="H8486" s="6" t="n">
        <f aca="false">Sens!H8404+Sens!H8483*Sens!H8463+Sens!H8485-Sens!H8405-Sens!H8415</f>
        <v>47.4024902575898</v>
      </c>
      <c r="I8486" s="6" t="n">
        <f aca="false">Sens!I8404+Sens!I8483*Sens!I8463+Sens!I8485-Sens!I8405-Sens!I8415</f>
        <v>62.1817971739404</v>
      </c>
      <c r="J8486" s="6" t="n">
        <f aca="false">Sens!J8404+Sens!J8483*Sens!J8463+Sens!J8485-Sens!J8405-Sens!J8415</f>
        <v>72.5050518947332</v>
      </c>
      <c r="K8486" s="6" t="n">
        <f aca="false">Sens!K8404+Sens!K8483*Sens!K8463+Sens!K8485-Sens!K8405-Sens!K8415</f>
        <v>79.8210980571165</v>
      </c>
    </row>
    <row r="8487" customFormat="false" ht="17.15" hidden="false" customHeight="false" outlineLevel="0" collapsed="false">
      <c r="A8487" s="0" t="s">
        <v>861</v>
      </c>
      <c r="B8487" s="0" t="s">
        <v>98</v>
      </c>
      <c r="E8487" s="6" t="n">
        <f aca="false">Sens!E8386*(cxit_open+self_build*tk_cxfac)/1000*ai_net_open</f>
        <v>126.6980382</v>
      </c>
      <c r="F8487" s="6" t="n">
        <f aca="false">Sens!E8487+Sens!F8412-Sens!F8415</f>
        <v>252.981026690511</v>
      </c>
      <c r="G8487" s="6" t="n">
        <f aca="false">Sens!F8487+Sens!G8412-Sens!G8415</f>
        <v>377.4297700632</v>
      </c>
      <c r="H8487" s="6" t="n">
        <f aca="false">Sens!G8487+Sens!H8412-Sens!H8415</f>
        <v>479.149036130289</v>
      </c>
      <c r="I8487" s="6" t="n">
        <f aca="false">Sens!H8487+Sens!I8412-Sens!I8415</f>
        <v>532.249961452141</v>
      </c>
      <c r="J8487" s="6" t="n">
        <f aca="false">Sens!I8487+Sens!J8412-Sens!J8415</f>
        <v>531.43307519354</v>
      </c>
      <c r="K8487" s="6" t="n">
        <f aca="false">Sens!J8487+Sens!K8412-Sens!K8415</f>
        <v>513.709026452823</v>
      </c>
      <c r="L8487" s="1" t="s">
        <v>862</v>
      </c>
    </row>
    <row r="8488" customFormat="false" ht="17.15" hidden="false" customHeight="false" outlineLevel="0" collapsed="false">
      <c r="A8488" s="0" t="s">
        <v>863</v>
      </c>
      <c r="B8488" s="0" t="s">
        <v>129</v>
      </c>
      <c r="F8488" s="7" t="n">
        <f aca="false">Sens!F8486*(1-tax_f)/((Sens!E8487+Sens!F8487)/2)</f>
        <v>0.0633251938989334</v>
      </c>
      <c r="G8488" s="7" t="n">
        <f aca="false">Sens!G8486*(1-tax_f)/((Sens!F8487+Sens!G8487)/2)</f>
        <v>0.0783096967463813</v>
      </c>
      <c r="H8488" s="7" t="n">
        <f aca="false">Sens!H8486*(1-tax_f)/((Sens!G8487+Sens!H8487)/2)</f>
        <v>0.0885429149819656</v>
      </c>
      <c r="I8488" s="7" t="n">
        <f aca="false">Sens!I8486*(1-tax_f)/((Sens!H8487+Sens!I8487)/2)</f>
        <v>0.0983695610892634</v>
      </c>
      <c r="J8488" s="7" t="n">
        <f aca="false">Sens!J8486*(1-tax_f)/((Sens!I8487+Sens!J8487)/2)</f>
        <v>0.109062642756252</v>
      </c>
      <c r="K8488" s="7" t="n">
        <f aca="false">Sens!K8486*(1-tax_f)/((Sens!J8487+Sens!K8487)/2)</f>
        <v>0.122197504712713</v>
      </c>
    </row>
    <row r="8489" customFormat="false" ht="17.15" hidden="false" customHeight="false" outlineLevel="0" collapsed="false">
      <c r="A8489" s="1" t="s">
        <v>864</v>
      </c>
      <c r="B8489" s="0" t="s">
        <v>129</v>
      </c>
      <c r="F8489" s="7" t="n">
        <f aca="false">(Sens!F8486-Sens!F8485)*(1-tax_f)/((Sens!E8487+Sens!F8487)/2)</f>
        <v>0.0241387489928418</v>
      </c>
      <c r="G8489" s="7" t="n">
        <f aca="false">(Sens!G8486-Sens!G8485)*(1-tax_f)/((Sens!F8487+Sens!G8487)/2)</f>
        <v>0.0175629443520275</v>
      </c>
      <c r="H8489" s="7" t="n">
        <f aca="false">(Sens!H8486-Sens!H8485)*(1-tax_f)/((Sens!G8487+Sens!H8487)/2)</f>
        <v>0.0136322234579658</v>
      </c>
      <c r="I8489" s="7" t="n">
        <f aca="false">(Sens!I8486-Sens!I8485)*(1-tax_f)/((Sens!H8487+Sens!I8487)/2)</f>
        <v>0.0114625841962651</v>
      </c>
      <c r="J8489" s="7" t="n">
        <f aca="false">(Sens!J8486-Sens!J8485)*(1-tax_f)/((Sens!I8487+Sens!J8487)/2)</f>
        <v>0.0106039252529919</v>
      </c>
      <c r="K8489" s="7" t="n">
        <f aca="false">(Sens!K8486-Sens!K8485)*(1-tax_f)/((Sens!J8487+Sens!K8487)/2)</f>
        <v>0.0127399051908886</v>
      </c>
    </row>
    <row r="8490" customFormat="false" ht="17.15" hidden="false" customHeight="false" outlineLevel="0" collapsed="false">
      <c r="A8490" s="1" t="s">
        <v>865</v>
      </c>
      <c r="B8490" s="0" t="s">
        <v>129</v>
      </c>
      <c r="F8490" s="7" t="n">
        <f aca="false">(Sens!F8486-Sens!F8485+Sens!F8484)*(1-tax_f)/((Sens!E8487+Sens!F8487)/2)</f>
        <v>0.0633251938989334</v>
      </c>
      <c r="G8490" s="7" t="n">
        <f aca="false">(Sens!G8486-Sens!G8485+Sens!G8484)*(1-tax_f)/((Sens!F8487+Sens!G8487)/2)</f>
        <v>0.0783096967463813</v>
      </c>
      <c r="H8490" s="7" t="n">
        <f aca="false">(Sens!H8486-Sens!H8485+Sens!H8484)*(1-tax_f)/((Sens!G8487+Sens!H8487)/2)</f>
        <v>0.0885429149819656</v>
      </c>
      <c r="I8490" s="7" t="n">
        <f aca="false">(Sens!I8486-Sens!I8485+Sens!I8484)*(1-tax_f)/((Sens!H8487+Sens!I8487)/2)</f>
        <v>0.0983695610892634</v>
      </c>
      <c r="J8490" s="7" t="n">
        <f aca="false">(Sens!J8486-Sens!J8485+Sens!J8484)*(1-tax_f)/((Sens!I8487+Sens!J8487)/2)</f>
        <v>0.109062642756252</v>
      </c>
      <c r="K8490" s="7" t="n">
        <f aca="false">(Sens!K8486-Sens!K8485+Sens!K8484)*(1-tax_f)/((Sens!J8487+Sens!K8487)/2)</f>
        <v>0.122197504712713</v>
      </c>
    </row>
    <row r="8491" customFormat="false" ht="17.15" hidden="false" customHeight="false" outlineLevel="0" collapsed="false">
      <c r="A8491" s="1" t="s">
        <v>866</v>
      </c>
      <c r="B8491" s="0" t="s">
        <v>129</v>
      </c>
      <c r="F8491" s="7" t="n">
        <f aca="false">Sens!F8416*(1-tax_f)/(Sens!F8403*(Sens!E8487+Sens!F8487)/2)</f>
        <v>0.133653288300971</v>
      </c>
      <c r="G8491" s="7" t="n">
        <f aca="false">Sens!G8416*(1-tax_f)/(Sens!G8403*(Sens!F8487+Sens!G8487)/2)</f>
        <v>0.131459221834535</v>
      </c>
      <c r="H8491" s="7" t="n">
        <f aca="false">Sens!H8416*(1-tax_f)/(Sens!H8403*(Sens!G8487+Sens!H8487)/2)</f>
        <v>0.135120575835084</v>
      </c>
      <c r="I8491" s="7" t="n">
        <f aca="false">Sens!I8416*(1-tax_f)/(Sens!I8403*(Sens!H8487+Sens!I8487)/2)</f>
        <v>0.143323969665222</v>
      </c>
      <c r="J8491" s="7" t="n">
        <f aca="false">Sens!J8416*(1-tax_f)/(Sens!J8403*(Sens!I8487+Sens!J8487)/2)</f>
        <v>0.155570128388075</v>
      </c>
      <c r="K8491" s="7" t="n">
        <f aca="false">Sens!K8416*(1-tax_f)/(Sens!K8403*(Sens!J8487+Sens!K8487)/2)</f>
        <v>0.172427697111622</v>
      </c>
    </row>
    <row r="8492" customFormat="false" ht="17.15" hidden="false" customHeight="false" outlineLevel="0" collapsed="false">
      <c r="A8492" s="0" t="s">
        <v>867</v>
      </c>
      <c r="B8492" s="0" t="s">
        <v>209</v>
      </c>
      <c r="F8492" s="7" t="n">
        <f aca="false">Sens!F8488-wacc</f>
        <v>-0.0396092261939423</v>
      </c>
      <c r="G8492" s="7" t="n">
        <f aca="false">Sens!G8488-wacc</f>
        <v>-0.0246247233464944</v>
      </c>
      <c r="H8492" s="7" t="n">
        <f aca="false">Sens!H8488-wacc</f>
        <v>-0.0143915051109101</v>
      </c>
      <c r="I8492" s="7" t="n">
        <f aca="false">Sens!I8488-wacc</f>
        <v>-0.00456485900361238</v>
      </c>
      <c r="J8492" s="7" t="n">
        <f aca="false">Sens!J8488-wacc</f>
        <v>0.00612822266337605</v>
      </c>
      <c r="K8492" s="7" t="n">
        <f aca="false">Sens!K8488-wacc</f>
        <v>0.0192630846198374</v>
      </c>
    </row>
    <row r="8493" customFormat="false" ht="17.15" hidden="false" customHeight="false" outlineLevel="0" collapsed="false">
      <c r="A8493" s="0" t="s">
        <v>868</v>
      </c>
      <c r="B8493" s="0" t="s">
        <v>98</v>
      </c>
      <c r="F8493" s="6" t="n">
        <f aca="false">Sens!F8486*(1-tax_f)-wacc*(Sens!E8487+Sens!F8487)/2</f>
        <v>-7.51939698117638</v>
      </c>
      <c r="G8493" s="6" t="n">
        <f aca="false">Sens!G8486*(1-tax_f)-wacc*(Sens!F8487+Sens!G8487)/2</f>
        <v>-7.76184573235162</v>
      </c>
      <c r="H8493" s="6" t="n">
        <f aca="false">Sens!H8486*(1-tax_f)-wacc*(Sens!G8487+Sens!H8487)/2</f>
        <v>-6.16372913361546</v>
      </c>
      <c r="I8493" s="6" t="n">
        <f aca="false">Sens!I8486*(1-tax_f)-wacc*(Sens!H8487+Sens!I8487)/2</f>
        <v>-2.30844691017934</v>
      </c>
      <c r="J8493" s="6" t="n">
        <f aca="false">Sens!J8486*(1-tax_f)-wacc*(Sens!I8487+Sens!J8487)/2</f>
        <v>3.25924324591036</v>
      </c>
      <c r="K8493" s="6" t="n">
        <f aca="false">Sens!K8486*(1-tax_f)-wacc*(Sens!J8487+Sens!K8487)/2</f>
        <v>10.0663303718843</v>
      </c>
    </row>
    <row r="8494" customFormat="false" ht="17.15" hidden="false" customHeight="false" outlineLevel="0" collapsed="false">
      <c r="A8494" s="3" t="s">
        <v>1480</v>
      </c>
    </row>
    <row r="8495" customFormat="false" ht="15" hidden="false" customHeight="false" outlineLevel="0" collapsed="false">
      <c r="A8495" s="4" t="s">
        <v>43</v>
      </c>
      <c r="B8495" s="4" t="s">
        <v>65</v>
      </c>
      <c r="C8495" s="20" t="s">
        <v>799</v>
      </c>
      <c r="D8495" s="20" t="s">
        <v>800</v>
      </c>
      <c r="E8495" s="20" t="s">
        <v>801</v>
      </c>
      <c r="F8495" s="20" t="s">
        <v>802</v>
      </c>
      <c r="G8495" s="20" t="s">
        <v>803</v>
      </c>
      <c r="H8495" s="20" t="s">
        <v>804</v>
      </c>
      <c r="I8495" s="20" t="s">
        <v>805</v>
      </c>
      <c r="J8495" s="20" t="s">
        <v>806</v>
      </c>
      <c r="K8495" s="20" t="s">
        <v>807</v>
      </c>
      <c r="L8495" s="4" t="s">
        <v>47</v>
      </c>
    </row>
    <row r="8496" customFormat="false" ht="15" hidden="false" customHeight="false" outlineLevel="0" collapsed="false">
      <c r="A8496" s="1" t="s">
        <v>925</v>
      </c>
      <c r="B8496" s="0" t="s">
        <v>98</v>
      </c>
      <c r="F8496" s="6" t="n">
        <f aca="false">Sens!F8477</f>
        <v>141.318002707427</v>
      </c>
      <c r="G8496" s="6" t="n">
        <f aca="false">Sens!G8477</f>
        <v>158.666280087023</v>
      </c>
      <c r="H8496" s="6" t="n">
        <f aca="false">Sens!H8477</f>
        <v>176.145831389647</v>
      </c>
      <c r="I8496" s="6" t="n">
        <f aca="false">Sens!I8477</f>
        <v>193.678471421092</v>
      </c>
      <c r="J8496" s="6" t="n">
        <f aca="false">Sens!J8477</f>
        <v>211.027797750562</v>
      </c>
      <c r="K8496" s="6" t="n">
        <f aca="false">Sens!K8477</f>
        <v>228.951590239878</v>
      </c>
    </row>
    <row r="8497" customFormat="false" ht="17.15" hidden="false" customHeight="false" outlineLevel="0" collapsed="false">
      <c r="A8497" s="1" t="s">
        <v>947</v>
      </c>
      <c r="B8497" s="0" t="s">
        <v>98</v>
      </c>
      <c r="E8497" s="6" t="n">
        <f aca="false">Q!M38-Sens!E8415</f>
        <v>22.2285940229167</v>
      </c>
      <c r="F8497" s="6" t="n">
        <f aca="false">Sens!E8497*(1-1/life_nonai)+(Sens!F8504+Sens!F8505)/life_nonai</f>
        <v>24.3924470334783</v>
      </c>
      <c r="G8497" s="6" t="n">
        <f aca="false">Sens!F8497*(1-1/life_nonai)+(Sens!G8504)/life_nonai</f>
        <v>26.1043882196737</v>
      </c>
      <c r="H8497" s="6" t="n">
        <f aca="false">Sens!G8497*(1-1/life_nonai)+(Sens!H8504)/life_nonai</f>
        <v>28.2603099553965</v>
      </c>
      <c r="I8497" s="6" t="n">
        <f aca="false">Sens!H8497*(1-1/life_nonai)+(Sens!I8504)/life_nonai</f>
        <v>30.8193032110331</v>
      </c>
      <c r="J8497" s="6" t="n">
        <f aca="false">Sens!I8497*(1-1/life_nonai)+(Sens!J8504)/life_nonai</f>
        <v>33.7277912524327</v>
      </c>
      <c r="K8497" s="6" t="n">
        <f aca="false">Sens!J8497*(1-1/life_nonai)+(Sens!K8504)/life_nonai</f>
        <v>36.9329037772018</v>
      </c>
      <c r="L8497" s="11" t="s">
        <v>948</v>
      </c>
    </row>
    <row r="8498" customFormat="false" ht="17.15" hidden="false" customHeight="false" outlineLevel="0" collapsed="false">
      <c r="A8498" s="1" t="s">
        <v>949</v>
      </c>
      <c r="B8498" s="0" t="s">
        <v>98</v>
      </c>
      <c r="F8498" s="6" t="n">
        <f aca="false">Sens!$F$8505/life_nonai*(1-1/life_nonai)^(Sens!F8381-2027)</f>
        <v>0.818893890759241</v>
      </c>
      <c r="G8498" s="6" t="n">
        <f aca="false">Sens!$F$8505/life_nonai*(1-1/life_nonai)^(Sens!G8381-2027)</f>
        <v>0.737004501683317</v>
      </c>
      <c r="H8498" s="6" t="n">
        <f aca="false">Sens!$F$8505/life_nonai*(1-1/life_nonai)^(Sens!H8381-2027)</f>
        <v>0.663304051514985</v>
      </c>
      <c r="I8498" s="6" t="n">
        <f aca="false">Sens!$F$8505/life_nonai*(1-1/life_nonai)^(Sens!I8381-2027)</f>
        <v>0.596973646363487</v>
      </c>
      <c r="J8498" s="6" t="n">
        <f aca="false">Sens!$F$8505/life_nonai*(1-1/life_nonai)^(Sens!J8381-2027)</f>
        <v>0.537276281727138</v>
      </c>
      <c r="K8498" s="6" t="n">
        <f aca="false">Sens!$F$8505/life_nonai*(1-1/life_nonai)^(Sens!K8381-2027)</f>
        <v>0.483548653554424</v>
      </c>
      <c r="L8498" s="1" t="s">
        <v>950</v>
      </c>
    </row>
    <row r="8499" customFormat="false" ht="17.15" hidden="false" customHeight="false" outlineLevel="0" collapsed="false">
      <c r="A8499" s="1" t="s">
        <v>951</v>
      </c>
      <c r="B8499" s="0" t="s">
        <v>98</v>
      </c>
      <c r="E8499" s="6" t="n">
        <f aca="false">Sens!E8415+Sens!E8497</f>
        <v>38.534</v>
      </c>
      <c r="F8499" s="6" t="n">
        <f aca="false">Sens!F8415+Sens!F8497</f>
        <v>58.4423344144339</v>
      </c>
      <c r="G8499" s="6" t="n">
        <f aca="false">Sens!G8415+Sens!G8497</f>
        <v>85.2298253301848</v>
      </c>
      <c r="H8499" s="6" t="n">
        <f aca="false">Sens!H8415+Sens!H8497</f>
        <v>114.621329798708</v>
      </c>
      <c r="I8499" s="6" t="n">
        <f aca="false">Sens!I8415+Sens!I8497</f>
        <v>141.425047043426</v>
      </c>
      <c r="J8499" s="6" t="n">
        <f aca="false">Sens!J8415+Sens!J8497</f>
        <v>161.726114105276</v>
      </c>
      <c r="K8499" s="6" t="n">
        <f aca="false">Sens!K8415+Sens!K8497</f>
        <v>176.06436782151</v>
      </c>
    </row>
    <row r="8500" customFormat="false" ht="17.15" hidden="false" customHeight="false" outlineLevel="0" collapsed="false">
      <c r="A8500" s="1" t="s">
        <v>952</v>
      </c>
      <c r="B8500" s="0" t="s">
        <v>98</v>
      </c>
      <c r="F8500" s="6" t="n">
        <f aca="false">Sens!F8442*sbc_r</f>
        <v>14.9493445927566</v>
      </c>
      <c r="G8500" s="6" t="n">
        <f aca="false">Sens!G8442*sbc_r</f>
        <v>17.8312061421832</v>
      </c>
      <c r="H8500" s="6" t="n">
        <f aca="false">Sens!H8442*sbc_r</f>
        <v>20.8233550615575</v>
      </c>
      <c r="I8500" s="6" t="n">
        <f aca="false">Sens!I8442*sbc_r</f>
        <v>23.6477024052221</v>
      </c>
      <c r="J8500" s="6" t="n">
        <f aca="false">Sens!J8442*sbc_r</f>
        <v>26.0721038171835</v>
      </c>
      <c r="K8500" s="6" t="n">
        <f aca="false">Sens!K8442*sbc_r</f>
        <v>28.1677878007498</v>
      </c>
    </row>
    <row r="8501" customFormat="false" ht="17.15" hidden="false" customHeight="false" outlineLevel="0" collapsed="false">
      <c r="A8501" s="1" t="s">
        <v>953</v>
      </c>
      <c r="B8501" s="0" t="s">
        <v>98</v>
      </c>
      <c r="F8501" s="6" t="n">
        <f aca="false">wc27</f>
        <v>-4.895</v>
      </c>
      <c r="G8501" s="6" t="n">
        <f aca="false">wc_f</f>
        <v>0</v>
      </c>
      <c r="H8501" s="6" t="n">
        <f aca="false">wc_f</f>
        <v>0</v>
      </c>
      <c r="I8501" s="6" t="n">
        <f aca="false">wc_f</f>
        <v>0</v>
      </c>
      <c r="J8501" s="6" t="n">
        <f aca="false">wc_f</f>
        <v>0</v>
      </c>
      <c r="K8501" s="6" t="n">
        <f aca="false">wc_f</f>
        <v>0</v>
      </c>
      <c r="L8501" s="11" t="s">
        <v>954</v>
      </c>
    </row>
    <row r="8502" customFormat="false" ht="15" hidden="false" customHeight="false" outlineLevel="0" collapsed="false">
      <c r="A8502" s="1" t="s">
        <v>767</v>
      </c>
      <c r="B8502" s="0" t="s">
        <v>98</v>
      </c>
      <c r="E8502" s="6" t="n">
        <f aca="false">Q!M35</f>
        <v>182.935</v>
      </c>
      <c r="F8502" s="6" t="n">
        <f aca="false">Sens!F8496+Sens!F8499+Sens!F8500+Sens!F8501</f>
        <v>209.814681714618</v>
      </c>
      <c r="G8502" s="6" t="n">
        <f aca="false">Sens!G8496+Sens!G8499+Sens!G8500+Sens!G8501</f>
        <v>261.727311559391</v>
      </c>
      <c r="H8502" s="6" t="n">
        <f aca="false">Sens!H8496+Sens!H8499+Sens!H8500+Sens!H8501</f>
        <v>311.590516249912</v>
      </c>
      <c r="I8502" s="6" t="n">
        <f aca="false">Sens!I8496+Sens!I8499+Sens!I8500+Sens!I8501</f>
        <v>358.75122086974</v>
      </c>
      <c r="J8502" s="6" t="n">
        <f aca="false">Sens!J8496+Sens!J8499+Sens!J8500+Sens!J8501</f>
        <v>398.826015673022</v>
      </c>
      <c r="K8502" s="6" t="n">
        <f aca="false">Sens!K8496+Sens!K8499+Sens!K8500+Sens!K8501</f>
        <v>433.183745862137</v>
      </c>
    </row>
    <row r="8503" customFormat="false" ht="17.15" hidden="false" customHeight="false" outlineLevel="0" collapsed="false">
      <c r="A8503" s="0" t="s">
        <v>955</v>
      </c>
      <c r="B8503" s="0" t="s">
        <v>98</v>
      </c>
      <c r="F8503" s="6" t="n">
        <f aca="false">Sens!F8412</f>
        <v>160.332875871467</v>
      </c>
      <c r="G8503" s="6" t="n">
        <f aca="false">Sens!G8412</f>
        <v>183.5741804832</v>
      </c>
      <c r="H8503" s="6" t="n">
        <f aca="false">Sens!H8412</f>
        <v>188.0802859104</v>
      </c>
      <c r="I8503" s="6" t="n">
        <f aca="false">Sens!I8412</f>
        <v>163.706669154245</v>
      </c>
      <c r="J8503" s="6" t="n">
        <f aca="false">Sens!J8412</f>
        <v>127.181436594242</v>
      </c>
      <c r="K8503" s="6" t="n">
        <f aca="false">Sens!K8412</f>
        <v>121.407415303591</v>
      </c>
    </row>
    <row r="8504" customFormat="false" ht="17.15" hidden="false" customHeight="false" outlineLevel="0" collapsed="false">
      <c r="A8504" s="1" t="s">
        <v>956</v>
      </c>
      <c r="B8504" s="0" t="s">
        <v>98</v>
      </c>
      <c r="E8504" s="6" t="n">
        <f aca="false">Sens!E8420*cx_azo+Sens!E8427*cx_m365+Sens!E8428*cx_lic+(Sens!E8430+Sens!E8432)*cx_ind+Sens!E8435*cx_srch+(Sens!E8437+Sens!E8439)*cx_dev</f>
        <v>30.1846587067718</v>
      </c>
      <c r="F8504" s="6" t="n">
        <f aca="false">Sens!F8420*cx_azo+Sens!F8427*cx_m365+Sens!F8428*cx_lic+(Sens!F8430+Sens!F8432)*cx_ind+Sens!F8435*cx_srch+(Sens!F8437+Sens!F8439)*cx_dev</f>
        <v>35.6781852209409</v>
      </c>
      <c r="G8504" s="6" t="n">
        <f aca="false">Sens!G8420*cx_azo+Sens!G8427*cx_m365+Sens!G8428*cx_lic+(Sens!G8430+Sens!G8432)*cx_ind+Sens!G8435*cx_srch+(Sens!G8437+Sens!G8439)*cx_dev</f>
        <v>41.5118588954315</v>
      </c>
      <c r="H8504" s="6" t="n">
        <f aca="false">Sens!H8420*cx_azo+Sens!H8427*cx_m365+Sens!H8428*cx_lic+(Sens!H8430+Sens!H8432)*cx_ind+Sens!H8435*cx_srch+(Sens!H8437+Sens!H8439)*cx_dev</f>
        <v>47.663605576902</v>
      </c>
      <c r="I8504" s="6" t="n">
        <f aca="false">Sens!I8420*cx_azo+Sens!I8427*cx_m365+Sens!I8428*cx_lic+(Sens!I8430+Sens!I8432)*cx_ind+Sens!I8435*cx_srch+(Sens!I8437+Sens!I8439)*cx_dev</f>
        <v>53.8502425117622</v>
      </c>
      <c r="J8504" s="6" t="n">
        <f aca="false">Sens!J8420*cx_azo+Sens!J8427*cx_m365+Sens!J8428*cx_lic+(Sens!J8430+Sens!J8432)*cx_ind+Sens!J8435*cx_srch+(Sens!J8437+Sens!J8439)*cx_dev</f>
        <v>59.9041836250298</v>
      </c>
      <c r="K8504" s="6" t="n">
        <f aca="false">Sens!K8420*cx_azo+Sens!K8427*cx_m365+Sens!K8428*cx_lic+(Sens!K8430+Sens!K8432)*cx_ind+Sens!K8435*cx_srch+(Sens!K8437+Sens!K8439)*cx_dev</f>
        <v>65.7789165001234</v>
      </c>
    </row>
    <row r="8505" customFormat="false" ht="17.15" hidden="false" customHeight="false" outlineLevel="0" collapsed="false">
      <c r="A8505" s="0" t="s">
        <v>957</v>
      </c>
      <c r="B8505" s="0" t="s">
        <v>98</v>
      </c>
      <c r="F8505" s="6" t="n">
        <f aca="false">Sens!F8410</f>
        <v>8.18893890759241</v>
      </c>
      <c r="L8505" s="1" t="s">
        <v>958</v>
      </c>
    </row>
    <row r="8506" customFormat="false" ht="17.15" hidden="false" customHeight="false" outlineLevel="0" collapsed="false">
      <c r="A8506" s="1" t="s">
        <v>959</v>
      </c>
      <c r="B8506" s="0" t="s">
        <v>98</v>
      </c>
      <c r="E8506" s="6" t="n">
        <f aca="false">Q!M42</f>
        <v>145.3</v>
      </c>
      <c r="F8506" s="6" t="n">
        <f aca="false">Sens!F8503+Sens!F8504+Sens!F8505</f>
        <v>204.2</v>
      </c>
      <c r="G8506" s="6" t="n">
        <f aca="false">Sens!G8503+Sens!G8504</f>
        <v>225.086039378632</v>
      </c>
      <c r="H8506" s="6" t="n">
        <f aca="false">Sens!H8503+Sens!H8504</f>
        <v>235.743891487302</v>
      </c>
      <c r="I8506" s="6" t="n">
        <f aca="false">Sens!I8503+Sens!I8504</f>
        <v>217.556911666008</v>
      </c>
      <c r="J8506" s="6" t="n">
        <f aca="false">Sens!J8503+Sens!J8504</f>
        <v>187.085620219272</v>
      </c>
      <c r="K8506" s="6" t="n">
        <f aca="false">Sens!K8503+Sens!K8504</f>
        <v>187.186331803714</v>
      </c>
      <c r="L8506" s="1" t="s">
        <v>960</v>
      </c>
    </row>
    <row r="8507" customFormat="false" ht="15" hidden="false" customHeight="false" outlineLevel="0" collapsed="false">
      <c r="A8507" s="1" t="s">
        <v>961</v>
      </c>
      <c r="B8507" s="0" t="s">
        <v>98</v>
      </c>
      <c r="E8507" s="6" t="n">
        <f aca="false">fl_liab</f>
        <v>66.594</v>
      </c>
      <c r="F8507" s="6" t="n">
        <f aca="false">Sens!E8507-Sens!F8508</f>
        <v>62.46973</v>
      </c>
      <c r="G8507" s="6" t="n">
        <f aca="false">Sens!F8507-Sens!G8508</f>
        <v>57.98686785</v>
      </c>
      <c r="H8507" s="6" t="n">
        <f aca="false">Sens!G8507-Sens!H8508</f>
        <v>53.92827690325</v>
      </c>
      <c r="I8507" s="6" t="n">
        <f aca="false">Sens!H8507-Sens!I8508</f>
        <v>49.7850493638962</v>
      </c>
      <c r="J8507" s="6" t="n">
        <f aca="false">Sens!I8507-Sens!J8508</f>
        <v>45.4823765852716</v>
      </c>
      <c r="K8507" s="6" t="n">
        <f aca="false">Sens!J8507-Sens!K8508</f>
        <v>40.9860835316088</v>
      </c>
    </row>
    <row r="8508" customFormat="false" ht="15" hidden="false" customHeight="false" outlineLevel="0" collapsed="false">
      <c r="A8508" s="1" t="s">
        <v>962</v>
      </c>
      <c r="B8508" s="0" t="s">
        <v>98</v>
      </c>
      <c r="F8508" s="6" t="n">
        <f aca="false">fl_pay_27-Sens!E8507*fl_rate</f>
        <v>4.12427</v>
      </c>
      <c r="G8508" s="6" t="n">
        <f aca="false">fl_pay_28-Sens!F8507*fl_rate</f>
        <v>4.48286215</v>
      </c>
      <c r="H8508" s="6" t="n">
        <f aca="false">fl_pay_29-Sens!G8507*fl_rate</f>
        <v>4.05859094675</v>
      </c>
      <c r="I8508" s="6" t="n">
        <f aca="false">fl_pay_30-Sens!H8507*fl_rate</f>
        <v>4.14322753935375</v>
      </c>
      <c r="J8508" s="6" t="n">
        <f aca="false">fl_pay_31-Sens!I8507*fl_rate</f>
        <v>4.30267277862467</v>
      </c>
      <c r="K8508" s="6" t="n">
        <f aca="false">fl_pay_32-Sens!J8507*fl_rate</f>
        <v>4.49629305366278</v>
      </c>
    </row>
    <row r="8509" customFormat="false" ht="17.15" hidden="false" customHeight="false" outlineLevel="0" collapsed="false">
      <c r="A8509" s="1" t="s">
        <v>963</v>
      </c>
      <c r="B8509" s="0" t="s">
        <v>98</v>
      </c>
      <c r="E8509" s="6" t="n">
        <f aca="false">Q!M35-Q!M36-Q!M43</f>
        <v>63.886</v>
      </c>
      <c r="F8509" s="6" t="n">
        <f aca="false">Sens!F8502-Sens!F8506-Sens!F8508</f>
        <v>1.49041171461763</v>
      </c>
      <c r="G8509" s="6" t="n">
        <f aca="false">Sens!G8502-Sens!G8506-Sens!G8508</f>
        <v>32.1584100307592</v>
      </c>
      <c r="H8509" s="6" t="n">
        <f aca="false">Sens!H8502-Sens!H8506-Sens!H8508</f>
        <v>71.7880338158597</v>
      </c>
      <c r="I8509" s="6" t="n">
        <f aca="false">Sens!I8502-Sens!I8506-Sens!I8508</f>
        <v>137.051081664379</v>
      </c>
      <c r="J8509" s="6" t="n">
        <f aca="false">Sens!J8502-Sens!J8506-Sens!J8508</f>
        <v>207.437722675125</v>
      </c>
      <c r="K8509" s="6" t="n">
        <f aca="false">Sens!K8502-Sens!K8506-Sens!K8508</f>
        <v>241.501121004761</v>
      </c>
      <c r="L8509" s="11" t="s">
        <v>964</v>
      </c>
    </row>
    <row r="8510" customFormat="false" ht="15" hidden="false" customHeight="false" outlineLevel="0" collapsed="false">
      <c r="A8510" s="1" t="s">
        <v>965</v>
      </c>
      <c r="B8510" s="0" t="s">
        <v>75</v>
      </c>
      <c r="F8510" s="8" t="n">
        <f aca="false">dps_27</f>
        <v>3.85</v>
      </c>
      <c r="G8510" s="8" t="n">
        <f aca="false">Sens!F8510*(1+dps_g)</f>
        <v>4.158</v>
      </c>
      <c r="H8510" s="8" t="n">
        <f aca="false">Sens!G8510*(1+dps_g)</f>
        <v>4.49064</v>
      </c>
      <c r="I8510" s="8" t="n">
        <f aca="false">Sens!H8510*(1+dps_g)</f>
        <v>4.8498912</v>
      </c>
      <c r="J8510" s="8" t="n">
        <f aca="false">Sens!I8510*(1+dps_g)</f>
        <v>5.237882496</v>
      </c>
      <c r="K8510" s="8" t="n">
        <f aca="false">Sens!J8510*(1+dps_g)</f>
        <v>5.65691309568</v>
      </c>
    </row>
    <row r="8511" customFormat="false" ht="17.15" hidden="false" customHeight="false" outlineLevel="0" collapsed="false">
      <c r="A8511" s="1" t="s">
        <v>966</v>
      </c>
      <c r="B8511" s="0" t="s">
        <v>98</v>
      </c>
      <c r="E8511" s="6" t="n">
        <f aca="false">Q!M41</f>
        <v>26.445</v>
      </c>
      <c r="F8511" s="6" t="n">
        <f aca="false">Sens!F8510*Sens!E8520</f>
        <v>28.59395</v>
      </c>
      <c r="G8511" s="6" t="n">
        <f aca="false">Sens!G8510*Sens!F8520</f>
        <v>31.068576</v>
      </c>
      <c r="H8511" s="6" t="n">
        <f aca="false">Sens!H8510*Sens!G8520</f>
        <v>33.7479537476695</v>
      </c>
      <c r="I8511" s="6" t="n">
        <f aca="false">Sens!I8510*Sens!H8520</f>
        <v>36.4987292874825</v>
      </c>
      <c r="J8511" s="6" t="n">
        <f aca="false">Sens!J8510*Sens!I8520</f>
        <v>39.4870264788005</v>
      </c>
      <c r="K8511" s="6" t="n">
        <f aca="false">Sens!K8510*Sens!J8520</f>
        <v>42.7332438224096</v>
      </c>
      <c r="L8511" s="1" t="s">
        <v>967</v>
      </c>
    </row>
    <row r="8512" customFormat="false" ht="15" hidden="false" customHeight="false" outlineLevel="0" collapsed="false">
      <c r="A8512" s="1" t="s">
        <v>968</v>
      </c>
      <c r="B8512" s="0" t="s">
        <v>98</v>
      </c>
      <c r="E8512" s="6" t="n">
        <f aca="false">Sens!E8509-Sens!E8511</f>
        <v>37.441</v>
      </c>
      <c r="F8512" s="6" t="n">
        <f aca="false">Sens!F8509-Sens!F8511</f>
        <v>-27.1035382853824</v>
      </c>
      <c r="G8512" s="6" t="n">
        <f aca="false">Sens!G8509-Sens!G8511</f>
        <v>1.08983403075919</v>
      </c>
      <c r="H8512" s="6" t="n">
        <f aca="false">Sens!H8509-Sens!H8511</f>
        <v>38.0400800681903</v>
      </c>
      <c r="I8512" s="6" t="n">
        <f aca="false">Sens!I8509-Sens!I8511</f>
        <v>100.552352376896</v>
      </c>
      <c r="J8512" s="6" t="n">
        <f aca="false">Sens!J8509-Sens!J8511</f>
        <v>167.950696196325</v>
      </c>
      <c r="K8512" s="6" t="n">
        <f aca="false">Sens!K8509-Sens!K8511</f>
        <v>198.767877182351</v>
      </c>
    </row>
    <row r="8513" customFormat="false" ht="15" hidden="false" customHeight="false" outlineLevel="0" collapsed="false">
      <c r="A8513" s="1" t="s">
        <v>969</v>
      </c>
      <c r="B8513" s="0" t="s">
        <v>98</v>
      </c>
      <c r="F8513" s="6" t="n">
        <f aca="false">debt_mat_27</f>
        <v>9.25</v>
      </c>
      <c r="G8513" s="6" t="n">
        <f aca="false">debt_mat_28</f>
        <v>0</v>
      </c>
      <c r="H8513" s="6" t="n">
        <f aca="false">debt_mat_29</f>
        <v>2.001</v>
      </c>
      <c r="I8513" s="6" t="n">
        <f aca="false">debt_mat_30</f>
        <v>0</v>
      </c>
      <c r="J8513" s="6" t="n">
        <f aca="false">debt_mat_31</f>
        <v>0.5</v>
      </c>
      <c r="K8513" s="6" t="n">
        <f aca="false">debt_mat_32</f>
        <v>0</v>
      </c>
    </row>
    <row r="8514" customFormat="false" ht="15" hidden="false" customHeight="false" outlineLevel="0" collapsed="false">
      <c r="A8514" s="1" t="s">
        <v>970</v>
      </c>
      <c r="B8514" s="0" t="s">
        <v>98</v>
      </c>
      <c r="E8514" s="6" t="n">
        <f aca="false">Q!M40</f>
        <v>22.271</v>
      </c>
      <c r="F8514" s="6" t="n">
        <f aca="false">MAX(0,MIN(bb_target,Sens!E8516+Sens!F8512-Sens!F8513-min_cash))</f>
        <v>0</v>
      </c>
      <c r="G8514" s="6" t="n">
        <f aca="false">MAX(0,MIN(bb_target,Sens!F8516+Sens!G8512-Sens!G8513-min_cash))</f>
        <v>1.08983403075919</v>
      </c>
      <c r="H8514" s="6" t="n">
        <f aca="false">MAX(0,MIN(bb_target,Sens!G8516+Sens!H8512-Sens!H8513-min_cash))</f>
        <v>22.271</v>
      </c>
      <c r="I8514" s="6" t="n">
        <f aca="false">MAX(0,MIN(bb_target,Sens!H8516+Sens!I8512-Sens!I8513-min_cash))</f>
        <v>22.271</v>
      </c>
      <c r="J8514" s="6" t="n">
        <f aca="false">MAX(0,MIN(bb_target,Sens!I8516+Sens!J8512-Sens!J8513-min_cash))</f>
        <v>22.271</v>
      </c>
      <c r="K8514" s="6" t="n">
        <f aca="false">MAX(0,MIN(bb_target,Sens!J8516+Sens!K8512-Sens!K8513-min_cash))</f>
        <v>22.271</v>
      </c>
    </row>
    <row r="8515" customFormat="false" ht="15" hidden="false" customHeight="false" outlineLevel="0" collapsed="false">
      <c r="A8515" s="1" t="s">
        <v>971</v>
      </c>
      <c r="B8515" s="0" t="s">
        <v>98</v>
      </c>
      <c r="F8515" s="6" t="n">
        <f aca="false">MAX(0,min_cash-(Sens!E8516+Sens!F8512-Sens!F8513-Sens!F8514))</f>
        <v>9.51053828538237</v>
      </c>
      <c r="G8515" s="6" t="n">
        <f aca="false">MAX(0,min_cash-(Sens!F8516+Sens!G8512-Sens!G8513-Sens!G8514))</f>
        <v>0</v>
      </c>
      <c r="H8515" s="6" t="n">
        <f aca="false">MAX(0,min_cash-(Sens!G8516+Sens!H8512-Sens!H8513-Sens!H8514))</f>
        <v>0</v>
      </c>
      <c r="I8515" s="6" t="n">
        <f aca="false">MAX(0,min_cash-(Sens!H8516+Sens!I8512-Sens!I8513-Sens!I8514))</f>
        <v>0</v>
      </c>
      <c r="J8515" s="6" t="n">
        <f aca="false">MAX(0,min_cash-(Sens!I8516+Sens!J8512-Sens!J8513-Sens!J8514))</f>
        <v>0</v>
      </c>
      <c r="K8515" s="6" t="n">
        <f aca="false">MAX(0,min_cash-(Sens!J8516+Sens!K8512-Sens!K8513-Sens!K8514))</f>
        <v>0</v>
      </c>
    </row>
    <row r="8516" customFormat="false" ht="15" hidden="false" customHeight="false" outlineLevel="0" collapsed="false">
      <c r="A8516" s="1" t="s">
        <v>972</v>
      </c>
      <c r="B8516" s="0" t="s">
        <v>98</v>
      </c>
      <c r="E8516" s="6" t="n">
        <f aca="false">cash_open</f>
        <v>76.843</v>
      </c>
      <c r="F8516" s="6" t="n">
        <f aca="false">Sens!E8516+Sens!F8512-Sens!F8513-Sens!F8514+Sens!F8515</f>
        <v>50</v>
      </c>
      <c r="G8516" s="6" t="n">
        <f aca="false">Sens!F8516+Sens!G8512-Sens!G8513-Sens!G8514+Sens!G8515</f>
        <v>50</v>
      </c>
      <c r="H8516" s="6" t="n">
        <f aca="false">Sens!G8516+Sens!H8512-Sens!H8513-Sens!H8514+Sens!H8515</f>
        <v>63.7680800681903</v>
      </c>
      <c r="I8516" s="6" t="n">
        <f aca="false">Sens!H8516+Sens!I8512-Sens!I8513-Sens!I8514+Sens!I8515</f>
        <v>142.049432445087</v>
      </c>
      <c r="J8516" s="6" t="n">
        <f aca="false">Sens!I8516+Sens!J8512-Sens!J8513-Sens!J8514+Sens!J8515</f>
        <v>287.229128641411</v>
      </c>
      <c r="K8516" s="6" t="n">
        <f aca="false">Sens!J8516+Sens!K8512-Sens!K8513-Sens!K8514+Sens!K8515</f>
        <v>463.726005823762</v>
      </c>
    </row>
    <row r="8517" customFormat="false" ht="15" hidden="false" customHeight="false" outlineLevel="0" collapsed="false">
      <c r="A8517" s="1" t="s">
        <v>973</v>
      </c>
      <c r="B8517" s="0" t="s">
        <v>98</v>
      </c>
      <c r="E8517" s="6" t="n">
        <f aca="false">debt_face</f>
        <v>46.136</v>
      </c>
      <c r="F8517" s="6" t="n">
        <f aca="false">Sens!E8517-Sens!F8513+Sens!F8515</f>
        <v>46.3965382853824</v>
      </c>
      <c r="G8517" s="6" t="n">
        <f aca="false">Sens!F8517-Sens!G8513+Sens!G8515</f>
        <v>46.3965382853824</v>
      </c>
      <c r="H8517" s="6" t="n">
        <f aca="false">Sens!G8517-Sens!H8513+Sens!H8515</f>
        <v>44.3955382853824</v>
      </c>
      <c r="I8517" s="6" t="n">
        <f aca="false">Sens!H8517-Sens!I8513+Sens!I8515</f>
        <v>44.3955382853824</v>
      </c>
      <c r="J8517" s="6" t="n">
        <f aca="false">Sens!I8517-Sens!J8513+Sens!J8515</f>
        <v>43.8955382853824</v>
      </c>
      <c r="K8517" s="6" t="n">
        <f aca="false">Sens!J8517-Sens!K8513+Sens!K8515</f>
        <v>43.8955382853824</v>
      </c>
    </row>
    <row r="8518" customFormat="false" ht="15" hidden="false" customHeight="false" outlineLevel="0" collapsed="false">
      <c r="A8518" s="1" t="s">
        <v>974</v>
      </c>
      <c r="B8518" s="0" t="s">
        <v>98</v>
      </c>
      <c r="E8518" s="6" t="n">
        <f aca="false">Sens!E8516-Sens!E8517</f>
        <v>30.707</v>
      </c>
      <c r="F8518" s="6" t="n">
        <f aca="false">Sens!F8516-Sens!F8517</f>
        <v>3.60346171461763</v>
      </c>
      <c r="G8518" s="6" t="n">
        <f aca="false">Sens!G8516-Sens!G8517</f>
        <v>3.60346171461763</v>
      </c>
      <c r="H8518" s="6" t="n">
        <f aca="false">Sens!H8516-Sens!H8517</f>
        <v>19.3725417828079</v>
      </c>
      <c r="I8518" s="6" t="n">
        <f aca="false">Sens!I8516-Sens!I8517</f>
        <v>97.6538941597041</v>
      </c>
      <c r="J8518" s="6" t="n">
        <f aca="false">Sens!J8516-Sens!J8517</f>
        <v>243.333590356029</v>
      </c>
      <c r="K8518" s="6" t="n">
        <f aca="false">Sens!K8516-Sens!K8517</f>
        <v>419.83046753838</v>
      </c>
    </row>
    <row r="8519" customFormat="false" ht="15" hidden="false" customHeight="false" outlineLevel="0" collapsed="false">
      <c r="A8519" s="1" t="s">
        <v>975</v>
      </c>
      <c r="B8519" s="0" t="s">
        <v>75</v>
      </c>
      <c r="F8519" s="29" t="n">
        <f aca="false">px*(1+bb_g)^(Sens!F8381-base_fy-mid_yr)</f>
        <v>553.494156066711</v>
      </c>
      <c r="G8519" s="29" t="n">
        <f aca="false">px*(1+bb_g)^(Sens!G8381-base_fy-mid_yr)</f>
        <v>597.773688552047</v>
      </c>
      <c r="H8519" s="29" t="n">
        <f aca="false">px*(1+bb_g)^(Sens!H8381-base_fy-mid_yr)</f>
        <v>645.595583636211</v>
      </c>
      <c r="I8519" s="29" t="n">
        <f aca="false">px*(1+bb_g)^(Sens!I8381-base_fy-mid_yr)</f>
        <v>697.243230327108</v>
      </c>
      <c r="J8519" s="29" t="n">
        <f aca="false">px*(1+bb_g)^(Sens!J8381-base_fy-mid_yr)</f>
        <v>753.022688753277</v>
      </c>
      <c r="K8519" s="29" t="n">
        <f aca="false">px*(1+bb_g)^(Sens!K8381-base_fy-mid_yr)</f>
        <v>813.264503853539</v>
      </c>
    </row>
    <row r="8520" customFormat="false" ht="15" hidden="false" customHeight="false" outlineLevel="0" collapsed="false">
      <c r="A8520" s="1" t="s">
        <v>976</v>
      </c>
      <c r="B8520" s="1" t="s">
        <v>81</v>
      </c>
      <c r="E8520" s="14" t="n">
        <f aca="false">sh_out26</f>
        <v>7.427</v>
      </c>
      <c r="F8520" s="14" t="n">
        <f aca="false">Sens!E8520+sh_iss-Sens!F8514/Sens!F8519</f>
        <v>7.472</v>
      </c>
      <c r="G8520" s="14" t="n">
        <f aca="false">Sens!F8520+sh_iss-Sens!G8514/Sens!G8519</f>
        <v>7.51517684509768</v>
      </c>
      <c r="H8520" s="14" t="n">
        <f aca="false">Sens!G8520+sh_iss-Sens!H8514/Sens!H8519</f>
        <v>7.52568001679759</v>
      </c>
      <c r="I8520" s="14" t="n">
        <f aca="false">Sens!H8520+sh_iss-Sens!I8514/Sens!I8519</f>
        <v>7.53873850911231</v>
      </c>
      <c r="J8520" s="14" t="n">
        <f aca="false">Sens!I8520+sh_iss-Sens!J8514/Sens!J8519</f>
        <v>7.55416303903335</v>
      </c>
      <c r="K8520" s="14" t="n">
        <f aca="false">Sens!J8520+sh_iss-Sens!K8514/Sens!K8519</f>
        <v>7.5717783445158</v>
      </c>
    </row>
    <row r="8521" customFormat="false" ht="15" hidden="false" customHeight="false" outlineLevel="0" collapsed="false">
      <c r="A8521" s="1" t="s">
        <v>977</v>
      </c>
      <c r="B8521" s="1" t="s">
        <v>81</v>
      </c>
      <c r="E8521" s="14" t="n">
        <f aca="false">sh_dil26</f>
        <v>7.453</v>
      </c>
      <c r="F8521" s="14" t="n">
        <f aca="false">(Sens!E8520+Sens!F8520)/2+dil_gap</f>
        <v>7.4735</v>
      </c>
      <c r="G8521" s="14" t="n">
        <f aca="false">(Sens!F8520+Sens!G8520)/2+dil_gap</f>
        <v>7.51758842254884</v>
      </c>
      <c r="H8521" s="14" t="n">
        <f aca="false">(Sens!G8520+Sens!H8520)/2+dil_gap</f>
        <v>7.54442843094764</v>
      </c>
      <c r="I8521" s="14" t="n">
        <f aca="false">(Sens!H8520+Sens!I8520)/2+dil_gap</f>
        <v>7.55620926295495</v>
      </c>
      <c r="J8521" s="14" t="n">
        <f aca="false">(Sens!I8520+Sens!J8520)/2+dil_gap</f>
        <v>7.57045077407283</v>
      </c>
      <c r="K8521" s="14" t="n">
        <f aca="false">(Sens!J8520+Sens!K8520)/2+dil_gap</f>
        <v>7.58697069177457</v>
      </c>
    </row>
    <row r="8522" customFormat="false" ht="17.15" hidden="false" customHeight="false" outlineLevel="0" collapsed="false">
      <c r="A8522" s="1" t="s">
        <v>978</v>
      </c>
      <c r="B8522" s="0" t="s">
        <v>98</v>
      </c>
      <c r="C8522" s="6" t="n">
        <f aca="false">SUM(Sens!F8512:J8512)</f>
        <v>280.529424386788</v>
      </c>
    </row>
    <row r="8523" customFormat="false" ht="15" hidden="false" customHeight="false" outlineLevel="0" collapsed="false">
      <c r="A8523" s="23" t="s">
        <v>945</v>
      </c>
      <c r="B8523" s="30" t="s">
        <v>98</v>
      </c>
      <c r="C8523" s="24" t="n">
        <f aca="false">Sens!$C$8522-(Sens!F8512+Sens!G8512+Sens!H8512+Sens!I8512+Sens!J8512)</f>
        <v>0</v>
      </c>
      <c r="D8523" s="30"/>
      <c r="E8523" s="30"/>
      <c r="F8523" s="30"/>
      <c r="G8523" s="30"/>
      <c r="H8523" s="30"/>
      <c r="I8523" s="30"/>
      <c r="J8523" s="30"/>
      <c r="K8523" s="30"/>
    </row>
    <row r="8524" customFormat="false" ht="17.15" hidden="false" customHeight="false" outlineLevel="0" collapsed="false">
      <c r="A8524" s="1" t="s">
        <v>939</v>
      </c>
      <c r="B8524" s="1" t="s">
        <v>979</v>
      </c>
      <c r="C8524" s="32" t="str">
        <f aca="false">IF(SUM(Sens!F8515:J8515)&gt;0.05,"需要舉債 "&amp;TEXT(SUM(Sens!F8515:J8515),"0.0")&amp;" 十億美元","不需舉債")&amp;"；"&amp;IF(SUM(Sens!F8514:J8514)&lt;COUNT(Sens!F8514:J8514)*bb_target-0.05,"回購較每年 "&amp;TEXT(bb_target,"0.0")&amp;" 的目標少 "&amp;TEXT(COUNT(Sens!F8514:J8514)*bb_target-SUM(Sens!F8514:J8514),"0.0")&amp;" 十億美元（"&amp;TEXT(COUNTIF(Sens!F8514:J8514,"&lt;"&amp;(bb_target-0.05)),"0")&amp;" 年減少）","回購不減")</f>
        <v>需要舉債 9.5 十億美元；回購較每年 22.3 的目標少 43.5 十億美元（2 年減少）</v>
      </c>
    </row>
    <row r="8525" customFormat="false" ht="17.15" hidden="false" customHeight="false" outlineLevel="0" collapsed="false">
      <c r="A8525" s="3" t="s">
        <v>1481</v>
      </c>
    </row>
    <row r="8526" customFormat="false" ht="15" hidden="false" customHeight="false" outlineLevel="0" collapsed="false">
      <c r="A8526" s="4" t="s">
        <v>43</v>
      </c>
      <c r="B8526" s="4" t="s">
        <v>65</v>
      </c>
      <c r="C8526" s="20" t="s">
        <v>799</v>
      </c>
      <c r="D8526" s="20" t="s">
        <v>800</v>
      </c>
      <c r="E8526" s="20" t="s">
        <v>801</v>
      </c>
      <c r="F8526" s="20" t="s">
        <v>802</v>
      </c>
      <c r="G8526" s="20" t="s">
        <v>803</v>
      </c>
      <c r="H8526" s="20" t="s">
        <v>804</v>
      </c>
      <c r="I8526" s="20" t="s">
        <v>805</v>
      </c>
      <c r="J8526" s="20" t="s">
        <v>806</v>
      </c>
      <c r="K8526" s="20" t="s">
        <v>807</v>
      </c>
      <c r="L8526" s="4" t="s">
        <v>47</v>
      </c>
    </row>
    <row r="8527" customFormat="false" ht="15" hidden="false" customHeight="false" outlineLevel="0" collapsed="false">
      <c r="A8527" s="1" t="s">
        <v>1057</v>
      </c>
      <c r="B8527" s="1" t="s">
        <v>235</v>
      </c>
      <c r="F8527" s="36" t="n">
        <f aca="false">Sens!F8381-base_fy-mid_yr</f>
        <v>0.5</v>
      </c>
      <c r="G8527" s="36" t="n">
        <f aca="false">Sens!G8381-base_fy-mid_yr</f>
        <v>1.5</v>
      </c>
      <c r="H8527" s="36" t="n">
        <f aca="false">Sens!H8381-base_fy-mid_yr</f>
        <v>2.5</v>
      </c>
      <c r="I8527" s="36" t="n">
        <f aca="false">Sens!I8381-base_fy-mid_yr</f>
        <v>3.5</v>
      </c>
      <c r="J8527" s="36" t="n">
        <f aca="false">Sens!J8381-base_fy-mid_yr</f>
        <v>4.5</v>
      </c>
      <c r="K8527" s="36" t="n">
        <f aca="false">Sens!K8381-base_fy-mid_yr</f>
        <v>5.5</v>
      </c>
    </row>
    <row r="8528" customFormat="false" ht="15" hidden="false" customHeight="false" outlineLevel="0" collapsed="false">
      <c r="A8528" s="1" t="s">
        <v>1058</v>
      </c>
      <c r="B8528" s="0" t="s">
        <v>185</v>
      </c>
      <c r="F8528" s="14" t="n">
        <f aca="false">1/(1+wacc)^Sens!F8527</f>
        <v>0.952193373608246</v>
      </c>
      <c r="G8528" s="14" t="n">
        <f aca="false">1/(1+wacc)^Sens!G8527</f>
        <v>0.863327280626589</v>
      </c>
      <c r="H8528" s="14" t="n">
        <f aca="false">1/(1+wacc)^Sens!H8527</f>
        <v>0.782754862754115</v>
      </c>
      <c r="I8528" s="14" t="n">
        <f aca="false">1/(1+wacc)^Sens!I8527</f>
        <v>0.709702089711011</v>
      </c>
      <c r="J8528" s="14" t="n">
        <f aca="false">1/(1+wacc)^Sens!J8527</f>
        <v>0.643467169744551</v>
      </c>
      <c r="K8528" s="14" t="n">
        <f aca="false">1/(1+wacc)^Sens!K8527</f>
        <v>0.583413807767797</v>
      </c>
    </row>
    <row r="8529" customFormat="false" ht="17.15" hidden="false" customHeight="false" outlineLevel="0" collapsed="false">
      <c r="A8529" s="1" t="s">
        <v>1059</v>
      </c>
      <c r="B8529" s="0" t="s">
        <v>98</v>
      </c>
      <c r="F8529" s="6" t="n">
        <f aca="false">Sens!F8502-Sens!F8500-Sens!F8506+Sens!F8485*(1-tax_f)</f>
        <v>-1.89552649897477</v>
      </c>
      <c r="G8529" s="6" t="n">
        <f aca="false">Sens!G8502-Sens!G8500-Sens!G8506+Sens!G8485*(1-tax_f)</f>
        <v>37.9577703271385</v>
      </c>
      <c r="H8529" s="6" t="n">
        <f aca="false">Sens!H8502-Sens!H8500-Sens!H8506+Sens!H8485*(1-tax_f)</f>
        <v>87.1067250594305</v>
      </c>
      <c r="I8529" s="6" t="n">
        <f aca="false">Sens!I8502-Sens!I8500-Sens!I8506+Sens!I8485*(1-tax_f)</f>
        <v>161.495421454759</v>
      </c>
      <c r="J8529" s="6" t="n">
        <f aca="false">Sens!J8502-Sens!J8500-Sens!J8506+Sens!J8485*(1-tax_f)</f>
        <v>238.03272544562</v>
      </c>
      <c r="K8529" s="6" t="n">
        <f aca="false">Sens!K8502-Sens!K8500-Sens!K8506+Sens!K8485*(1-tax_f)</f>
        <v>275.028999060376</v>
      </c>
      <c r="L8529" s="1" t="s">
        <v>1060</v>
      </c>
    </row>
    <row r="8530" customFormat="false" ht="15" hidden="false" customHeight="false" outlineLevel="0" collapsed="false">
      <c r="A8530" s="1" t="s">
        <v>1061</v>
      </c>
      <c r="B8530" s="0" t="s">
        <v>98</v>
      </c>
      <c r="F8530" s="6" t="n">
        <f aca="false">Sens!F8529*Sens!F8528</f>
        <v>-1.80490777182261</v>
      </c>
      <c r="G8530" s="6" t="n">
        <f aca="false">Sens!G8529*Sens!G8528</f>
        <v>32.7699786351771</v>
      </c>
      <c r="H8530" s="6" t="n">
        <f aca="false">Sens!H8529*Sens!H8528</f>
        <v>68.183212618855</v>
      </c>
      <c r="I8530" s="6" t="n">
        <f aca="false">Sens!I8529*Sens!I8528</f>
        <v>114.613638085203</v>
      </c>
      <c r="J8530" s="6" t="n">
        <f aca="false">Sens!J8529*Sens!J8528</f>
        <v>153.166244149075</v>
      </c>
      <c r="K8530" s="6" t="n">
        <f aca="false">Sens!K8529*Sens!K8528</f>
        <v>160.45571558838</v>
      </c>
    </row>
    <row r="8531" customFormat="false" ht="17.15" hidden="false" customHeight="false" outlineLevel="0" collapsed="false">
      <c r="A8531" s="1" t="s">
        <v>1062</v>
      </c>
      <c r="B8531" s="0" t="s">
        <v>98</v>
      </c>
      <c r="C8531" s="6" t="n">
        <f aca="false">SUM(Sens!F8530:K8530)</f>
        <v>527.383881304867</v>
      </c>
    </row>
    <row r="8532" customFormat="false" ht="17.15" hidden="false" customHeight="false" outlineLevel="0" collapsed="false">
      <c r="A8532" s="1" t="s">
        <v>1063</v>
      </c>
      <c r="B8532" s="0" t="s">
        <v>98</v>
      </c>
      <c r="C8532" s="6" t="n">
        <f aca="false">Sens!K8471*(1+g_tv)*(1-tax_f)</f>
        <v>295.065091933858</v>
      </c>
    </row>
    <row r="8533" customFormat="false" ht="17.15" hidden="false" customHeight="false" outlineLevel="0" collapsed="false">
      <c r="A8533" s="1" t="s">
        <v>1064</v>
      </c>
      <c r="B8533" s="0" t="s">
        <v>98</v>
      </c>
      <c r="C8533" s="6" t="n">
        <f aca="false">Sens!$C$8532*(1-g_tv/(wacc+ronic_prem))</f>
        <v>209.069049501902</v>
      </c>
    </row>
    <row r="8534" customFormat="false" ht="17.15" hidden="false" customHeight="false" outlineLevel="0" collapsed="false">
      <c r="A8534" s="1" t="s">
        <v>1065</v>
      </c>
      <c r="B8534" s="0" t="s">
        <v>98</v>
      </c>
      <c r="C8534" s="6" t="n">
        <f aca="false">Sens!$C$8533/(wacc-g_tv)</f>
        <v>2866.53474773187</v>
      </c>
    </row>
    <row r="8535" customFormat="false" ht="15" hidden="false" customHeight="false" outlineLevel="0" collapsed="false">
      <c r="A8535" s="1" t="s">
        <v>1066</v>
      </c>
      <c r="B8535" s="0" t="s">
        <v>98</v>
      </c>
      <c r="C8535" s="6" t="n">
        <f aca="false">Sens!$C$8534/(1+wacc)^(Sens!K8527+mid_yr)</f>
        <v>1592.42529993608</v>
      </c>
    </row>
    <row r="8536" customFormat="false" ht="17.15" hidden="false" customHeight="false" outlineLevel="0" collapsed="false">
      <c r="A8536" s="0" t="s">
        <v>986</v>
      </c>
      <c r="B8536" s="0" t="s">
        <v>98</v>
      </c>
      <c r="C8536" s="6" t="n">
        <f aca="false">Sens!$C$8531+Sens!$C$8535</f>
        <v>2119.80918124095</v>
      </c>
    </row>
    <row r="8537" customFormat="false" ht="15" hidden="false" customHeight="false" outlineLevel="0" collapsed="false">
      <c r="A8537" s="1" t="s">
        <v>987</v>
      </c>
      <c r="B8537" s="0" t="s">
        <v>129</v>
      </c>
      <c r="C8537" s="7" t="n">
        <f aca="false">Sens!$C$8535/Sens!$C$8536</f>
        <v>0.751211625097249</v>
      </c>
    </row>
    <row r="8538" customFormat="false" ht="17.15" hidden="false" customHeight="false" outlineLevel="0" collapsed="false">
      <c r="A8538" s="1" t="s">
        <v>1067</v>
      </c>
      <c r="B8538" s="0" t="s">
        <v>98</v>
      </c>
      <c r="C8538" s="6" t="n">
        <f aca="false">Sens!$C$8536+Sens!E8518-Sens!E8507+oai_v</f>
        <v>2254.32218124095</v>
      </c>
    </row>
    <row r="8539" customFormat="false" ht="17.15" hidden="false" customHeight="false" outlineLevel="0" collapsed="false">
      <c r="A8539" s="0" t="s">
        <v>994</v>
      </c>
      <c r="B8539" s="0" t="s">
        <v>75</v>
      </c>
      <c r="C8539" s="5" t="n">
        <f aca="false">Sens!$C$8538/sh_dil26</f>
        <v>302.471780657581</v>
      </c>
    </row>
    <row r="8540" customFormat="false" ht="15" hidden="false" customHeight="false" outlineLevel="0" collapsed="false">
      <c r="A8540" s="1" t="s">
        <v>1068</v>
      </c>
      <c r="B8540" s="0" t="s">
        <v>75</v>
      </c>
      <c r="C8540" s="8" t="n">
        <f aca="false">dps_27+Sens!G8510*roll_div_q/q_per_yr</f>
        <v>4.8895</v>
      </c>
    </row>
    <row r="8541" customFormat="false" ht="17.15" hidden="false" customHeight="false" outlineLevel="0" collapsed="false">
      <c r="A8541" s="0" t="s">
        <v>1069</v>
      </c>
      <c r="B8541" s="0" t="s">
        <v>75</v>
      </c>
      <c r="C8541" s="5" t="n">
        <f aca="false">Sens!$C$8539*(1+wacc)^t_roll-Sens!$C$8540</f>
        <v>339.545216024094</v>
      </c>
    </row>
    <row r="8542" customFormat="false" ht="17.15" hidden="false" customHeight="false" outlineLevel="0" collapsed="false">
      <c r="A8542" s="1" t="s">
        <v>1070</v>
      </c>
      <c r="B8542" s="0" t="s">
        <v>129</v>
      </c>
      <c r="F8542" s="7" t="n">
        <f aca="false">Sens!F8497/(Sens!F8442-Sens!F8398)</f>
        <v>0.0707361062041802</v>
      </c>
      <c r="G8542" s="7" t="n">
        <f aca="false">Sens!G8497/(Sens!G8442-Sens!G8398)</f>
        <v>0.0673589023890865</v>
      </c>
      <c r="H8542" s="7" t="n">
        <f aca="false">Sens!H8497/(Sens!H8442-Sens!H8398)</f>
        <v>0.065387425522657</v>
      </c>
      <c r="I8542" s="7" t="n">
        <f aca="false">Sens!I8497/(Sens!I8442-Sens!I8398)</f>
        <v>0.0646883262870071</v>
      </c>
      <c r="J8542" s="7" t="n">
        <f aca="false">Sens!J8497/(Sens!J8442-Sens!J8398)</f>
        <v>0.0649635137798963</v>
      </c>
      <c r="K8542" s="7" t="n">
        <f aca="false">Sens!K8497/(Sens!K8442-Sens!K8398)</f>
        <v>0.0658614126220626</v>
      </c>
    </row>
    <row r="8543" customFormat="false" ht="17.15" hidden="false" customHeight="false" outlineLevel="0" collapsed="false">
      <c r="A8543" s="0" t="s">
        <v>1071</v>
      </c>
      <c r="B8543" s="0" t="s">
        <v>98</v>
      </c>
      <c r="F8543" s="6" t="n">
        <f aca="false">Sens!F8427*(al_m365+Sens!F8542+sbc_r)</f>
        <v>84.1899221543895</v>
      </c>
      <c r="G8543" s="6" t="n">
        <f aca="false">Sens!G8427*(al_m365+Sens!G8542+sbc_r)</f>
        <v>96.5807112658844</v>
      </c>
      <c r="H8543" s="6" t="n">
        <f aca="false">Sens!H8427*(al_m365+Sens!H8542+sbc_r)</f>
        <v>109.124271667612</v>
      </c>
      <c r="I8543" s="6" t="n">
        <f aca="false">Sens!I8427*(al_m365+Sens!I8542+sbc_r)</f>
        <v>120.639672873393</v>
      </c>
      <c r="J8543" s="6" t="n">
        <f aca="false">Sens!J8427*(al_m365+Sens!J8542+sbc_r)</f>
        <v>130.94028169771</v>
      </c>
      <c r="K8543" s="6" t="n">
        <f aca="false">Sens!K8427*(al_m365+Sens!K8542+sbc_r)</f>
        <v>140.844295943092</v>
      </c>
      <c r="L8543" s="11" t="s">
        <v>1072</v>
      </c>
    </row>
    <row r="8544" customFormat="false" ht="17.15" hidden="false" customHeight="false" outlineLevel="0" collapsed="false">
      <c r="A8544" s="0" t="s">
        <v>1073</v>
      </c>
      <c r="B8544" s="0" t="s">
        <v>98</v>
      </c>
      <c r="F8544" s="6" t="n">
        <f aca="false">Sens!F8428*(al_lic+Sens!F8542+sbc_r)</f>
        <v>33.5284851425863</v>
      </c>
      <c r="G8544" s="6" t="n">
        <f aca="false">Sens!G8428*(al_lic+Sens!G8542+sbc_r)</f>
        <v>34.8106830415189</v>
      </c>
      <c r="H8544" s="6" t="n">
        <f aca="false">Sens!H8428*(al_lic+Sens!H8542+sbc_r)</f>
        <v>36.0070187776733</v>
      </c>
      <c r="I8544" s="6" t="n">
        <f aca="false">Sens!I8428*(al_lic+Sens!I8542+sbc_r)</f>
        <v>37.0989960967235</v>
      </c>
      <c r="J8544" s="6" t="n">
        <f aca="false">Sens!J8428*(al_lic+Sens!J8542+sbc_r)</f>
        <v>38.0605018444946</v>
      </c>
      <c r="K8544" s="6" t="n">
        <f aca="false">Sens!K8428*(al_lic+Sens!K8542+sbc_r)</f>
        <v>38.8626083788903</v>
      </c>
    </row>
    <row r="8545" customFormat="false" ht="17.15" hidden="false" customHeight="false" outlineLevel="0" collapsed="false">
      <c r="A8545" s="0" t="s">
        <v>1074</v>
      </c>
      <c r="B8545" s="0" t="s">
        <v>98</v>
      </c>
      <c r="F8545" s="6" t="n">
        <f aca="false">Sens!F8430*(al_ind+Sens!F8542+sbc_r)</f>
        <v>9.1243995240745</v>
      </c>
      <c r="G8545" s="6" t="n">
        <f aca="false">Sens!G8430*(al_ind+Sens!G8542+sbc_r)</f>
        <v>9.89156322279561</v>
      </c>
      <c r="H8545" s="6" t="n">
        <f aca="false">Sens!H8430*(al_ind+Sens!H8542+sbc_r)</f>
        <v>10.7031318334051</v>
      </c>
      <c r="I8545" s="6" t="n">
        <f aca="false">Sens!I8430*(al_ind+Sens!I8542+sbc_r)</f>
        <v>11.5560073097759</v>
      </c>
      <c r="J8545" s="6" t="n">
        <f aca="false">Sens!J8430*(al_ind+Sens!J8542+sbc_r)</f>
        <v>12.4402414762183</v>
      </c>
      <c r="K8545" s="6" t="n">
        <f aca="false">Sens!K8430*(al_ind+Sens!K8542+sbc_r)</f>
        <v>13.3407641078049</v>
      </c>
    </row>
    <row r="8546" customFormat="false" ht="17.15" hidden="false" customHeight="false" outlineLevel="0" collapsed="false">
      <c r="A8546" s="0" t="s">
        <v>1075</v>
      </c>
      <c r="B8546" s="0" t="s">
        <v>98</v>
      </c>
      <c r="F8546" s="6" t="n">
        <f aca="false">Sens!F8432*(al_fro+Sens!F8542+sbc_r)</f>
        <v>3.59139568662608</v>
      </c>
      <c r="G8546" s="6" t="n">
        <f aca="false">Sens!G8432*(al_fro+Sens!G8542+sbc_r)</f>
        <v>3.79777547178307</v>
      </c>
      <c r="H8546" s="6" t="n">
        <f aca="false">Sens!H8432*(al_fro+Sens!H8542+sbc_r)</f>
        <v>4.03330641684796</v>
      </c>
      <c r="I8546" s="6" t="n">
        <f aca="false">Sens!I8432*(al_fro+Sens!I8542+sbc_r)</f>
        <v>4.30067559692058</v>
      </c>
      <c r="J8546" s="6" t="n">
        <f aca="false">Sens!J8432*(al_fro+Sens!J8542+sbc_r)</f>
        <v>4.60087937549837</v>
      </c>
      <c r="K8546" s="6" t="n">
        <f aca="false">Sens!K8432*(al_fro+Sens!K8542+sbc_r)</f>
        <v>4.93392725167961</v>
      </c>
    </row>
    <row r="8547" customFormat="false" ht="17.15" hidden="false" customHeight="false" outlineLevel="0" collapsed="false">
      <c r="A8547" s="0" t="s">
        <v>1076</v>
      </c>
      <c r="B8547" s="0" t="s">
        <v>98</v>
      </c>
      <c r="F8547" s="6" t="n">
        <f aca="false">Sens!F8435*(al_srch+Sens!F8542+sbc_r)</f>
        <v>11.2687652420304</v>
      </c>
      <c r="G8547" s="6" t="n">
        <f aca="false">Sens!G8435*(al_srch+Sens!G8542+sbc_r)</f>
        <v>12.3314883115245</v>
      </c>
      <c r="H8547" s="6" t="n">
        <f aca="false">Sens!H8435*(al_srch+Sens!H8542+sbc_r)</f>
        <v>13.4381703905833</v>
      </c>
      <c r="I8547" s="6" t="n">
        <f aca="false">Sens!I8435*(al_srch+Sens!I8542+sbc_r)</f>
        <v>14.5781671860456</v>
      </c>
      <c r="J8547" s="6" t="n">
        <f aca="false">Sens!J8435*(al_srch+Sens!J8542+sbc_r)</f>
        <v>15.7312644957113</v>
      </c>
      <c r="K8547" s="6" t="n">
        <f aca="false">Sens!K8435*(al_srch+Sens!K8542+sbc_r)</f>
        <v>16.8700172867198</v>
      </c>
    </row>
    <row r="8548" customFormat="false" ht="17.15" hidden="false" customHeight="false" outlineLevel="0" collapsed="false">
      <c r="A8548" s="0" t="s">
        <v>1077</v>
      </c>
      <c r="B8548" s="0" t="s">
        <v>98</v>
      </c>
      <c r="F8548" s="6" t="n">
        <f aca="false">Sens!F8404-Sens!F8405+Sens!F8485</f>
        <v>42.2254306726393</v>
      </c>
      <c r="G8548" s="6" t="n">
        <f aca="false">Sens!G8404-Sens!G8405+Sens!G8485</f>
        <v>79.7027537443441</v>
      </c>
      <c r="H8548" s="6" t="n">
        <f aca="false">Sens!H8404-Sens!H8405+Sens!H8485</f>
        <v>120.060533679822</v>
      </c>
      <c r="I8548" s="6" t="n">
        <f aca="false">Sens!I8404-Sens!I8405+Sens!I8485</f>
        <v>156.515256506302</v>
      </c>
      <c r="J8548" s="6" t="n">
        <f aca="false">Sens!J8404-Sens!J8405+Sens!J8485</f>
        <v>182.51821819491</v>
      </c>
      <c r="K8548" s="6" t="n">
        <f aca="false">Sens!K8404-Sens!K8405+Sens!K8485</f>
        <v>199.254533496123</v>
      </c>
    </row>
    <row r="8549" customFormat="false" ht="17.15" hidden="false" customHeight="false" outlineLevel="0" collapsed="false">
      <c r="A8549" s="0" t="s">
        <v>1078</v>
      </c>
      <c r="B8549" s="0" t="s">
        <v>98</v>
      </c>
      <c r="F8549" s="6" t="n">
        <f aca="false">Sens!F8464+Sens!F8485+Sens!F8415+Sens!F8542*(Sens!F8434-Sens!F8398)+sbc_r*Sens!F8434</f>
        <v>233.399628911084</v>
      </c>
      <c r="G8549" s="6" t="n">
        <f aca="false">Sens!G8464+Sens!G8485+Sens!G8415+Sens!G8542*(Sens!G8434-Sens!G8398)+sbc_r*Sens!G8434</f>
        <v>298.814637066137</v>
      </c>
      <c r="H8549" s="6" t="n">
        <f aca="false">Sens!H8464+Sens!H8485+Sens!H8415+Sens!H8542*(Sens!H8434-Sens!H8398)+sbc_r*Sens!H8434</f>
        <v>368.371682446107</v>
      </c>
      <c r="I8549" s="6" t="n">
        <f aca="false">Sens!I8464+Sens!I8485+Sens!I8415+Sens!I8542*(Sens!I8434-Sens!I8398)+sbc_r*Sens!I8434</f>
        <v>433.662181052299</v>
      </c>
      <c r="J8549" s="6" t="n">
        <f aca="false">Sens!J8464+Sens!J8485+Sens!J8415+Sens!J8542*(Sens!J8434-Sens!J8398)+sbc_r*Sens!J8434</f>
        <v>487.306064787867</v>
      </c>
      <c r="K8549" s="6" t="n">
        <f aca="false">Sens!K8464+Sens!K8485+Sens!K8415+Sens!K8542*(Sens!K8434-Sens!K8398)+sbc_r*Sens!K8434</f>
        <v>530.735619875888</v>
      </c>
    </row>
    <row r="8550" customFormat="false" ht="17.15" hidden="false" customHeight="false" outlineLevel="0" collapsed="false">
      <c r="A8550" s="0" t="s">
        <v>1079</v>
      </c>
      <c r="B8550" s="0" t="s">
        <v>98</v>
      </c>
      <c r="F8550" s="6" t="n">
        <f aca="false">Sens!F8549-Sens!F8543-Sens!F8544-Sens!F8545-Sens!F8546-Sens!F8548</f>
        <v>60.7399957307685</v>
      </c>
      <c r="G8550" s="6" t="n">
        <f aca="false">Sens!G8549-Sens!G8543-Sens!G8544-Sens!G8545-Sens!G8546-Sens!G8548</f>
        <v>74.0311503198107</v>
      </c>
      <c r="H8550" s="6" t="n">
        <f aca="false">Sens!H8549-Sens!H8543-Sens!H8544-Sens!H8545-Sens!H8546-Sens!H8548</f>
        <v>88.4434200707464</v>
      </c>
      <c r="I8550" s="6" t="n">
        <f aca="false">Sens!I8549-Sens!I8543-Sens!I8544-Sens!I8545-Sens!I8546-Sens!I8548</f>
        <v>103.551572669184</v>
      </c>
      <c r="J8550" s="6" t="n">
        <f aca="false">Sens!J8549-Sens!J8543-Sens!J8544-Sens!J8545-Sens!J8546-Sens!J8548</f>
        <v>118.745942199035</v>
      </c>
      <c r="K8550" s="6" t="n">
        <f aca="false">Sens!K8549-Sens!K8543-Sens!K8544-Sens!K8545-Sens!K8546-Sens!K8548</f>
        <v>133.499490698298</v>
      </c>
    </row>
    <row r="8551" customFormat="false" ht="17.15" hidden="false" customHeight="false" outlineLevel="0" collapsed="false">
      <c r="A8551" s="0" t="s">
        <v>1080</v>
      </c>
      <c r="B8551" s="0" t="s">
        <v>98</v>
      </c>
      <c r="F8551" s="6" t="n">
        <f aca="false">Sens!F8466+Sens!F8542*Sens!F8441+sbc_r*Sens!F8441</f>
        <v>26.3384739543456</v>
      </c>
      <c r="G8551" s="6" t="n">
        <f aca="false">Sens!G8466+Sens!G8542*Sens!G8441+sbc_r*Sens!G8441</f>
        <v>26.9138748757128</v>
      </c>
      <c r="H8551" s="6" t="n">
        <f aca="false">Sens!H8466+Sens!H8542*Sens!H8441+sbc_r*Sens!H8441</f>
        <v>27.7596108491893</v>
      </c>
      <c r="I8551" s="6" t="n">
        <f aca="false">Sens!I8466+Sens!I8542*Sens!I8441+sbc_r*Sens!I8441</f>
        <v>28.8446759930254</v>
      </c>
      <c r="J8551" s="6" t="n">
        <f aca="false">Sens!J8466+Sens!J8542*Sens!J8441+sbc_r*Sens!J8441</f>
        <v>30.1324425841119</v>
      </c>
      <c r="K8551" s="6" t="n">
        <f aca="false">Sens!K8466+Sens!K8542*Sens!K8441+sbc_r*Sens!K8441</f>
        <v>31.5852395495975</v>
      </c>
    </row>
    <row r="8552" customFormat="false" ht="17.15" hidden="false" customHeight="false" outlineLevel="0" collapsed="false">
      <c r="A8552" s="0" t="s">
        <v>1081</v>
      </c>
      <c r="B8552" s="0" t="s">
        <v>98</v>
      </c>
      <c r="F8552" s="6" t="n">
        <f aca="false">(Sens!F8551-Sens!F8547)*Sens!F8437/(Sens!F8437+Sens!F8439)</f>
        <v>8.26106753925512</v>
      </c>
      <c r="G8552" s="6" t="n">
        <f aca="false">(Sens!G8551-Sens!G8547)*Sens!G8437/(Sens!G8437+Sens!G8439)</f>
        <v>7.85139115218005</v>
      </c>
      <c r="H8552" s="6" t="n">
        <f aca="false">(Sens!H8551-Sens!H8547)*Sens!H8437/(Sens!H8437+Sens!H8439)</f>
        <v>7.60673229168157</v>
      </c>
      <c r="I8552" s="6" t="n">
        <f aca="false">(Sens!I8551-Sens!I8547)*Sens!I8437/(Sens!I8437+Sens!I8439)</f>
        <v>7.50899391083757</v>
      </c>
      <c r="J8552" s="6" t="n">
        <f aca="false">(Sens!J8551-Sens!J8547)*Sens!J8437/(Sens!J8437+Sens!J8439)</f>
        <v>7.54559944297704</v>
      </c>
      <c r="K8552" s="6" t="n">
        <f aca="false">(Sens!K8551-Sens!K8547)*Sens!K8437/(Sens!K8437+Sens!K8439)</f>
        <v>7.71014511649474</v>
      </c>
    </row>
    <row r="8553" customFormat="false" ht="17.15" hidden="false" customHeight="false" outlineLevel="0" collapsed="false">
      <c r="A8553" s="0" t="s">
        <v>1082</v>
      </c>
      <c r="B8553" s="0" t="s">
        <v>98</v>
      </c>
      <c r="F8553" s="6" t="n">
        <f aca="false">Sens!F8551-Sens!F8547-Sens!F8552</f>
        <v>6.80864117306006</v>
      </c>
      <c r="G8553" s="6" t="n">
        <f aca="false">Sens!G8551-Sens!G8547-Sens!G8552</f>
        <v>6.73099541200826</v>
      </c>
      <c r="H8553" s="6" t="n">
        <f aca="false">Sens!H8551-Sens!H8547-Sens!H8552</f>
        <v>6.71470816692444</v>
      </c>
      <c r="I8553" s="6" t="n">
        <f aca="false">Sens!I8551-Sens!I8547-Sens!I8552</f>
        <v>6.75751489614219</v>
      </c>
      <c r="J8553" s="6" t="n">
        <f aca="false">Sens!J8551-Sens!J8547-Sens!J8552</f>
        <v>6.85557864542357</v>
      </c>
      <c r="K8553" s="6" t="n">
        <f aca="false">Sens!K8551-Sens!K8547-Sens!K8552</f>
        <v>7.00507714638292</v>
      </c>
    </row>
    <row r="8554" customFormat="false" ht="17.15" hidden="false" customHeight="false" outlineLevel="0" collapsed="false">
      <c r="A8554" s="0" t="s">
        <v>1083</v>
      </c>
      <c r="B8554" s="0" t="s">
        <v>98</v>
      </c>
      <c r="F8554" s="6" t="n">
        <f aca="false">Sens!F8548-tax_f*(Sens!F8548-Sens!F8415)-Sens!F8412</f>
        <v>-119.742553857164</v>
      </c>
      <c r="G8554" s="6" t="n">
        <f aca="false">Sens!G8548-tax_f*(Sens!G8548-Sens!G8415)-Sens!G8412</f>
        <v>-107.986890065622</v>
      </c>
      <c r="H8554" s="6" t="n">
        <f aca="false">Sens!H8548-tax_f*(Sens!H8548-Sens!H8415)-Sens!H8412</f>
        <v>-74.7596549978803</v>
      </c>
      <c r="I8554" s="6" t="n">
        <f aca="false">Sens!I8548-tax_f*(Sens!I8548-Sens!I8415)-Sens!I8412</f>
        <v>-16.3733151827256</v>
      </c>
      <c r="J8554" s="6" t="n">
        <f aca="false">Sens!J8548-tax_f*(Sens!J8548-Sens!J8415)-Sens!J8412</f>
        <v>44.4328025322546</v>
      </c>
      <c r="K8554" s="6" t="n">
        <f aca="false">Sens!K8548-tax_f*(Sens!K8548-Sens!K8415)-Sens!K8412</f>
        <v>65.8225043021697</v>
      </c>
    </row>
    <row r="8555" customFormat="false" ht="17.15" hidden="false" customHeight="false" outlineLevel="0" collapsed="false">
      <c r="A8555" s="0" t="s">
        <v>1084</v>
      </c>
      <c r="B8555" s="0" t="s">
        <v>98</v>
      </c>
      <c r="G8555" s="6" t="n">
        <f aca="false">Sens!G8554/(1+wacc)^(Sens!G8527-(Sens!F8527+mid_yr))</f>
        <v>-102.824401157048</v>
      </c>
      <c r="H8555" s="6" t="n">
        <f aca="false">Sens!H8554/(1+wacc)^(Sens!H8527-(Sens!F8527+mid_yr))</f>
        <v>-64.5420496499019</v>
      </c>
      <c r="I8555" s="6" t="n">
        <f aca="false">Sens!I8554/(1+wacc)^(Sens!I8527-(Sens!F8527+mid_yr))</f>
        <v>-12.8162920786843</v>
      </c>
      <c r="J8555" s="6" t="n">
        <f aca="false">Sens!J8554/(1+wacc)^(Sens!J8527-(Sens!F8527+mid_yr))</f>
        <v>31.5340528088578</v>
      </c>
      <c r="K8555" s="6" t="n">
        <f aca="false">Sens!K8554/(1+wacc)^(Sens!K8527-(Sens!F8527+mid_yr))</f>
        <v>42.3546205488157</v>
      </c>
      <c r="L8555" s="1" t="s">
        <v>1085</v>
      </c>
    </row>
    <row r="8556" customFormat="false" ht="17.15" hidden="false" customHeight="false" outlineLevel="0" collapsed="false">
      <c r="A8556" s="0" t="s">
        <v>1086</v>
      </c>
      <c r="B8556" s="0" t="s">
        <v>98</v>
      </c>
      <c r="C8556" s="6" t="n">
        <f aca="false">(Sens!K8548-Sens!K8415)*(1-tax_f)*(1+g_tv)*(1-g_tv/(wacc+ronic_prem))/(wacc-g_tv)/(1+wacc)^(Sens!K8527+mid_yr-(Sens!F8527+mid_yr))</f>
        <v>294.889481980532</v>
      </c>
    </row>
    <row r="8557" customFormat="false" ht="17.15" hidden="false" customHeight="false" outlineLevel="0" collapsed="false">
      <c r="A8557" s="1" t="s">
        <v>1087</v>
      </c>
      <c r="B8557" s="0" t="s">
        <v>98</v>
      </c>
      <c r="C8557" s="6" t="n">
        <f aca="false">(SUM(Sens!G8555:K8555)+Sens!$C$8556)*(1+wacc)^(t_roll-(Sens!F8527+mid_yr))</f>
        <v>194.716829358755</v>
      </c>
      <c r="L8557" s="11" t="s">
        <v>1088</v>
      </c>
    </row>
    <row r="8558" customFormat="false" ht="17.15" hidden="false" customHeight="false" outlineLevel="0" collapsed="false">
      <c r="A8558" s="1" t="s">
        <v>1089</v>
      </c>
      <c r="B8558" s="0" t="s">
        <v>98</v>
      </c>
      <c r="C8558" s="6" t="n">
        <f aca="false">(w_ntm28*Sens!G8404+(1-w_ntm28)*Sens!H8404)*m_ai</f>
        <v>454.922440830797</v>
      </c>
    </row>
    <row r="8559" customFormat="false" ht="17.15" hidden="false" customHeight="false" outlineLevel="0" collapsed="false">
      <c r="A8559" s="1" t="s">
        <v>1090</v>
      </c>
      <c r="B8559" s="0" t="s">
        <v>98</v>
      </c>
      <c r="C8559" s="6" t="n">
        <f aca="false">(w_ntm28*Sens!G8550+(1-w_ntm28)*Sens!H8550)*m_cloud</f>
        <v>1087.50214952673</v>
      </c>
    </row>
    <row r="8560" customFormat="false" ht="17.15" hidden="false" customHeight="false" outlineLevel="0" collapsed="false">
      <c r="A8560" s="1" t="s">
        <v>1091</v>
      </c>
      <c r="B8560" s="0" t="s">
        <v>98</v>
      </c>
      <c r="C8560" s="6" t="n">
        <f aca="false">(w_ntm28*Sens!G8543+(1-w_ntm28)*Sens!H8543)*m_sw</f>
        <v>1086.86760872898</v>
      </c>
    </row>
    <row r="8561" customFormat="false" ht="17.15" hidden="false" customHeight="false" outlineLevel="0" collapsed="false">
      <c r="A8561" s="1" t="s">
        <v>1092</v>
      </c>
      <c r="B8561" s="0" t="s">
        <v>98</v>
      </c>
      <c r="C8561" s="6" t="n">
        <f aca="false">(w_ntm28*Sens!G8544+(1-w_ntm28)*Sens!H8544)*m_sw</f>
        <v>380.132391265268</v>
      </c>
    </row>
    <row r="8562" customFormat="false" ht="17.15" hidden="false" customHeight="false" outlineLevel="0" collapsed="false">
      <c r="A8562" s="1" t="s">
        <v>1093</v>
      </c>
      <c r="B8562" s="0" t="s">
        <v>98</v>
      </c>
      <c r="C8562" s="6" t="n">
        <f aca="false">(w_ntm28*Sens!G8545+(1-w_ntm28)*Sens!H8545)*m_sw</f>
        <v>109.662480168825</v>
      </c>
    </row>
    <row r="8563" customFormat="false" ht="17.15" hidden="false" customHeight="false" outlineLevel="0" collapsed="false">
      <c r="A8563" s="1" t="s">
        <v>1094</v>
      </c>
      <c r="B8563" s="0" t="s">
        <v>98</v>
      </c>
      <c r="C8563" s="6" t="n">
        <f aca="false">(w_ntm28*Sens!G8546+(1-w_ntm28)*Sens!H8546)*m_sw</f>
        <v>41.8383330031769</v>
      </c>
    </row>
    <row r="8564" customFormat="false" ht="17.15" hidden="false" customHeight="false" outlineLevel="0" collapsed="false">
      <c r="A8564" s="1" t="s">
        <v>1095</v>
      </c>
      <c r="B8564" s="0" t="s">
        <v>98</v>
      </c>
      <c r="C8564" s="6" t="n">
        <f aca="false">(w_ntm28*Sens!G8547+(1-w_ntm28)*Sens!H8547)*m_ads</f>
        <v>115.599204001129</v>
      </c>
    </row>
    <row r="8565" customFormat="false" ht="17.15" hidden="false" customHeight="false" outlineLevel="0" collapsed="false">
      <c r="A8565" s="1" t="s">
        <v>1096</v>
      </c>
      <c r="B8565" s="0" t="s">
        <v>98</v>
      </c>
      <c r="C8565" s="6" t="n">
        <f aca="false">(w_ntm28*Sens!G8552+(1-w_ntm28)*Sens!H8552)*m_game</f>
        <v>98.1640979611976</v>
      </c>
    </row>
    <row r="8566" customFormat="false" ht="17.15" hidden="false" customHeight="false" outlineLevel="0" collapsed="false">
      <c r="A8566" s="1" t="s">
        <v>1097</v>
      </c>
      <c r="B8566" s="0" t="s">
        <v>98</v>
      </c>
      <c r="C8566" s="6" t="n">
        <f aca="false">(w_ntm28*Sens!G8553+(1-w_ntm28)*Sens!H8553)*m_pc</f>
        <v>97.3213123254833</v>
      </c>
    </row>
    <row r="8567" customFormat="false" ht="17.15" hidden="false" customHeight="false" outlineLevel="0" collapsed="false">
      <c r="A8567" s="1" t="s">
        <v>1098</v>
      </c>
      <c r="B8567" s="0" t="s">
        <v>98</v>
      </c>
      <c r="C8567" s="6" t="n">
        <f aca="false">Sens!$C$8557+Sens!$C$8559+Sens!$C$8560+Sens!$C$8561+Sens!$C$8562+Sens!$C$8563+Sens!$C$8564+Sens!$C$8565+Sens!$C$8566</f>
        <v>3211.80440633955</v>
      </c>
    </row>
    <row r="8568" customFormat="false" ht="17.15" hidden="false" customHeight="false" outlineLevel="0" collapsed="false">
      <c r="A8568" s="1" t="s">
        <v>1099</v>
      </c>
      <c r="B8568" s="0" t="s">
        <v>98</v>
      </c>
      <c r="C8568" s="6" t="n">
        <f aca="false">(Sens!G8529-Sens!G8554)*t_stub</f>
        <v>47.5819577718865</v>
      </c>
      <c r="L8568" s="1" t="s">
        <v>1100</v>
      </c>
    </row>
    <row r="8569" customFormat="false" ht="17.15" hidden="false" customHeight="false" outlineLevel="0" collapsed="false">
      <c r="A8569" s="1" t="s">
        <v>1014</v>
      </c>
      <c r="B8569" s="0" t="s">
        <v>98</v>
      </c>
      <c r="C8569" s="6" t="n">
        <f aca="false">Sens!F8518+oai_v-Sens!F8507+Sens!$C$8568</f>
        <v>159.115689486504</v>
      </c>
      <c r="L8569" s="1" t="s">
        <v>1101</v>
      </c>
    </row>
    <row r="8570" customFormat="false" ht="17.15" hidden="false" customHeight="false" outlineLevel="0" collapsed="false">
      <c r="A8570" s="1" t="s">
        <v>1102</v>
      </c>
      <c r="B8570" s="0" t="s">
        <v>75</v>
      </c>
      <c r="C8570" s="5" t="n">
        <f aca="false">(Sens!$C$8567+Sens!$C$8569)/(Sens!F8520+dil_gap)-Sens!G8510*roll_div_q/q_per_yr</f>
        <v>448.656350563774</v>
      </c>
      <c r="L8570" s="1" t="s">
        <v>1103</v>
      </c>
    </row>
    <row r="8571" customFormat="false" ht="17.15" hidden="false" customHeight="false" outlineLevel="0" collapsed="false">
      <c r="A8571" s="1" t="s">
        <v>1104</v>
      </c>
      <c r="B8571" s="0" t="s">
        <v>75</v>
      </c>
      <c r="C8571" s="5" t="n">
        <f aca="false">w_dcf*Sens!$C$8541+(1-w_dcf)*Sens!$C$8570</f>
        <v>394.100783293934</v>
      </c>
    </row>
    <row r="8572" customFormat="false" ht="17.15" hidden="false" customHeight="false" outlineLevel="0" collapsed="false">
      <c r="A8572" s="3" t="s">
        <v>1482</v>
      </c>
    </row>
    <row r="8573" customFormat="false" ht="15" hidden="false" customHeight="false" outlineLevel="0" collapsed="false">
      <c r="A8573" s="4" t="s">
        <v>43</v>
      </c>
      <c r="B8573" s="4" t="s">
        <v>65</v>
      </c>
      <c r="C8573" s="20" t="s">
        <v>799</v>
      </c>
      <c r="D8573" s="20" t="s">
        <v>800</v>
      </c>
      <c r="E8573" s="20" t="s">
        <v>801</v>
      </c>
      <c r="F8573" s="20" t="s">
        <v>802</v>
      </c>
      <c r="G8573" s="20" t="s">
        <v>803</v>
      </c>
      <c r="H8573" s="20" t="s">
        <v>804</v>
      </c>
      <c r="I8573" s="20" t="s">
        <v>805</v>
      </c>
      <c r="J8573" s="20" t="s">
        <v>806</v>
      </c>
      <c r="K8573" s="20" t="s">
        <v>807</v>
      </c>
      <c r="L8573" s="4" t="s">
        <v>47</v>
      </c>
    </row>
    <row r="8574" customFormat="false" ht="17.15" hidden="false" customHeight="false" outlineLevel="0" collapsed="false">
      <c r="A8574" s="1" t="s">
        <v>808</v>
      </c>
      <c r="B8574" s="1" t="s">
        <v>235</v>
      </c>
      <c r="C8574" s="28" t="n">
        <v>2024</v>
      </c>
      <c r="D8574" s="28" t="n">
        <v>2025</v>
      </c>
      <c r="E8574" s="28" t="n">
        <v>2026</v>
      </c>
      <c r="F8574" s="28" t="n">
        <v>2027</v>
      </c>
      <c r="G8574" s="28" t="n">
        <v>2028</v>
      </c>
      <c r="H8574" s="28" t="n">
        <v>2029</v>
      </c>
      <c r="I8574" s="28" t="n">
        <v>2030</v>
      </c>
      <c r="J8574" s="28" t="n">
        <v>2031</v>
      </c>
      <c r="K8574" s="28" t="n">
        <v>2032</v>
      </c>
    </row>
    <row r="8575" customFormat="false" ht="17.15" hidden="false" customHeight="false" outlineLevel="0" collapsed="false">
      <c r="A8575" s="1" t="s">
        <v>809</v>
      </c>
      <c r="B8575" s="0" t="s">
        <v>399</v>
      </c>
      <c r="F8575" s="29" t="n">
        <f aca="false">pace</f>
        <v>2527.2</v>
      </c>
      <c r="G8575" s="29" t="n">
        <f aca="false">pace</f>
        <v>2527.2</v>
      </c>
      <c r="H8575" s="29" t="n">
        <f aca="false">pace</f>
        <v>2527.2</v>
      </c>
      <c r="I8575" s="29" t="n">
        <f aca="false">pace+(g_tv*Sens!H8576-pace)*MIN(1,(Sens!I8574-pace_y0)/(pace_y1-pace_y0))</f>
        <v>1793.116</v>
      </c>
      <c r="J8575" s="29" t="n">
        <f aca="false">pace+(g_tv*Sens!I8576-pace)*MIN(1,(Sens!J8574-pace_y0)/(pace_y1-pace_y0))</f>
        <v>1094.89432</v>
      </c>
      <c r="K8575" s="29" t="n">
        <f aca="false">pace+(g_tv*Sens!J8576-pace)*MIN(1,(Sens!K8574-pace_y0)/(pace_y1-pace_y0))</f>
        <v>411.5883096</v>
      </c>
      <c r="L8575" s="11" t="s">
        <v>810</v>
      </c>
    </row>
    <row r="8576" customFormat="false" ht="17.15" hidden="false" customHeight="false" outlineLevel="0" collapsed="false">
      <c r="A8576" s="1" t="s">
        <v>811</v>
      </c>
      <c r="B8576" s="0" t="s">
        <v>399</v>
      </c>
      <c r="C8576" s="29" t="n">
        <f aca="false">mw_ext_24</f>
        <v>640</v>
      </c>
      <c r="D8576" s="29" t="n">
        <f aca="false">mw_ext_25</f>
        <v>1630</v>
      </c>
      <c r="E8576" s="29" t="n">
        <f aca="false">mw_ext_26</f>
        <v>3250</v>
      </c>
      <c r="F8576" s="29" t="n">
        <f aca="false">Sens!E8576+Sens!F8575</f>
        <v>5777.2</v>
      </c>
      <c r="G8576" s="29" t="n">
        <f aca="false">Sens!F8576+Sens!G8575</f>
        <v>8304.4</v>
      </c>
      <c r="H8576" s="29" t="n">
        <f aca="false">Sens!G8576+Sens!H8575</f>
        <v>10831.6</v>
      </c>
      <c r="I8576" s="29" t="n">
        <f aca="false">Sens!H8576+Sens!I8575</f>
        <v>12624.716</v>
      </c>
      <c r="J8576" s="29" t="n">
        <f aca="false">Sens!I8576+Sens!J8575</f>
        <v>13719.61032</v>
      </c>
      <c r="K8576" s="29" t="n">
        <f aca="false">Sens!J8576+Sens!K8575</f>
        <v>14131.1986296</v>
      </c>
      <c r="L8576" s="1" t="s">
        <v>812</v>
      </c>
    </row>
    <row r="8577" customFormat="false" ht="17.15" hidden="false" customHeight="false" outlineLevel="0" collapsed="false">
      <c r="A8577" s="1" t="s">
        <v>813</v>
      </c>
      <c r="B8577" s="0" t="s">
        <v>399</v>
      </c>
      <c r="C8577" s="29" t="n">
        <f aca="false">rent_ext_24</f>
        <v>150</v>
      </c>
      <c r="D8577" s="29" t="n">
        <f aca="false">rent_ext_25</f>
        <v>400</v>
      </c>
      <c r="E8577" s="29" t="n">
        <f aca="false">rent_ext_26</f>
        <v>550</v>
      </c>
      <c r="F8577" s="29" t="n">
        <f aca="false">rent_ext_f</f>
        <v>756</v>
      </c>
      <c r="G8577" s="29" t="n">
        <f aca="false">rent_ext_f</f>
        <v>756</v>
      </c>
      <c r="H8577" s="29" t="n">
        <f aca="false">rent_ext_f</f>
        <v>756</v>
      </c>
      <c r="I8577" s="29" t="n">
        <f aca="false">rent_ext_f</f>
        <v>756</v>
      </c>
      <c r="J8577" s="29" t="n">
        <f aca="false">rent_ext_f</f>
        <v>756</v>
      </c>
      <c r="K8577" s="29" t="n">
        <f aca="false">rent_ext_f</f>
        <v>756</v>
      </c>
      <c r="L8577" s="1" t="s">
        <v>814</v>
      </c>
    </row>
    <row r="8578" customFormat="false" ht="17.15" hidden="false" customHeight="false" outlineLevel="0" collapsed="false">
      <c r="A8578" s="1" t="s">
        <v>815</v>
      </c>
      <c r="B8578" s="0" t="s">
        <v>399</v>
      </c>
      <c r="C8578" s="29" t="n">
        <f aca="false">Sens!C8576-Sens!C8577</f>
        <v>490</v>
      </c>
      <c r="D8578" s="29" t="n">
        <f aca="false">Sens!D8576-Sens!D8577</f>
        <v>1230</v>
      </c>
      <c r="E8578" s="29" t="n">
        <f aca="false">Sens!E8576-Sens!E8577</f>
        <v>2700</v>
      </c>
      <c r="F8578" s="29" t="n">
        <f aca="false">Sens!F8576-Sens!F8577</f>
        <v>5021.2</v>
      </c>
      <c r="G8578" s="29" t="n">
        <f aca="false">Sens!G8576-Sens!G8577</f>
        <v>7548.4</v>
      </c>
      <c r="H8578" s="29" t="n">
        <f aca="false">Sens!H8576-Sens!H8577</f>
        <v>10075.6</v>
      </c>
      <c r="I8578" s="29" t="n">
        <f aca="false">Sens!I8576-Sens!I8577</f>
        <v>11868.716</v>
      </c>
      <c r="J8578" s="29" t="n">
        <f aca="false">Sens!J8576-Sens!J8577</f>
        <v>12963.61032</v>
      </c>
      <c r="K8578" s="29" t="n">
        <f aca="false">Sens!K8576-Sens!K8577</f>
        <v>13375.1986296</v>
      </c>
    </row>
    <row r="8579" customFormat="false" ht="17.15" hidden="false" customHeight="false" outlineLevel="0" collapsed="false">
      <c r="A8579" s="1" t="s">
        <v>816</v>
      </c>
      <c r="B8579" s="0" t="s">
        <v>399</v>
      </c>
      <c r="C8579" s="29" t="n">
        <f aca="false">Sens!C8578/ext_sh</f>
        <v>816.666666666667</v>
      </c>
      <c r="D8579" s="29" t="n">
        <f aca="false">Sens!D8578/ext_sh</f>
        <v>2050</v>
      </c>
      <c r="E8579" s="29" t="n">
        <f aca="false">Sens!E8578/ext_sh</f>
        <v>4500</v>
      </c>
      <c r="F8579" s="29" t="n">
        <f aca="false">Sens!F8578/ext_sh</f>
        <v>8368.66666666667</v>
      </c>
      <c r="G8579" s="29" t="n">
        <f aca="false">Sens!G8578/ext_sh</f>
        <v>12580.6666666667</v>
      </c>
      <c r="H8579" s="29" t="n">
        <f aca="false">Sens!H8578/ext_sh</f>
        <v>16792.6666666667</v>
      </c>
      <c r="I8579" s="29" t="n">
        <f aca="false">Sens!I8578/ext_sh</f>
        <v>19781.1933333333</v>
      </c>
      <c r="J8579" s="29" t="n">
        <f aca="false">Sens!J8578/ext_sh</f>
        <v>21606.0172</v>
      </c>
      <c r="K8579" s="29" t="n">
        <f aca="false">Sens!K8578/ext_sh</f>
        <v>22291.997716</v>
      </c>
      <c r="L8579" s="1" t="s">
        <v>817</v>
      </c>
    </row>
    <row r="8580" customFormat="false" ht="17.15" hidden="false" customHeight="false" outlineLevel="0" collapsed="false">
      <c r="A8580" s="1" t="s">
        <v>818</v>
      </c>
      <c r="B8580" s="0" t="s">
        <v>399</v>
      </c>
      <c r="C8580" s="29" t="n">
        <f aca="false">Sens!C8579-Sens!C8578</f>
        <v>326.666666666667</v>
      </c>
      <c r="D8580" s="29" t="n">
        <f aca="false">Sens!D8579-Sens!D8578</f>
        <v>820</v>
      </c>
      <c r="E8580" s="29" t="n">
        <f aca="false">Sens!E8579-Sens!E8578</f>
        <v>1800</v>
      </c>
      <c r="F8580" s="29" t="n">
        <f aca="false">Sens!F8579-Sens!F8578</f>
        <v>3347.46666666667</v>
      </c>
      <c r="G8580" s="29" t="n">
        <f aca="false">Sens!G8579-Sens!G8578</f>
        <v>5032.26666666667</v>
      </c>
      <c r="H8580" s="29" t="n">
        <f aca="false">Sens!H8579-Sens!H8578</f>
        <v>6717.06666666667</v>
      </c>
      <c r="I8580" s="29" t="n">
        <f aca="false">Sens!I8579-Sens!I8578</f>
        <v>7912.47733333333</v>
      </c>
      <c r="J8580" s="29" t="n">
        <f aca="false">Sens!J8579-Sens!J8578</f>
        <v>8642.40688</v>
      </c>
      <c r="K8580" s="29" t="n">
        <f aca="false">Sens!K8579-Sens!K8578</f>
        <v>8916.7990864</v>
      </c>
    </row>
    <row r="8581" customFormat="false" ht="17.15" hidden="false" customHeight="false" outlineLevel="0" collapsed="false">
      <c r="A8581" s="1" t="s">
        <v>819</v>
      </c>
      <c r="B8581" s="0" t="s">
        <v>399</v>
      </c>
      <c r="C8581" s="29" t="n">
        <f aca="false">Sens!C8579</f>
        <v>816.666666666667</v>
      </c>
      <c r="D8581" s="29" t="n">
        <f aca="false">Sens!D8579-Sens!C8579</f>
        <v>1233.33333333333</v>
      </c>
      <c r="E8581" s="29" t="n">
        <f aca="false">Sens!E8579-Sens!D8579</f>
        <v>2450</v>
      </c>
      <c r="F8581" s="29" t="n">
        <f aca="false">Sens!F8579-Sens!E8579</f>
        <v>3868.66666666667</v>
      </c>
      <c r="G8581" s="29" t="n">
        <f aca="false">Sens!G8579-Sens!F8579</f>
        <v>4212</v>
      </c>
      <c r="H8581" s="29" t="n">
        <f aca="false">Sens!H8579-Sens!G8579</f>
        <v>4212</v>
      </c>
      <c r="I8581" s="29" t="n">
        <f aca="false">Sens!I8579-Sens!H8579</f>
        <v>2988.52666666667</v>
      </c>
      <c r="J8581" s="29" t="n">
        <f aca="false">Sens!J8579-Sens!I8579</f>
        <v>1824.82386666667</v>
      </c>
      <c r="K8581" s="29" t="n">
        <f aca="false">Sens!K8579-Sens!J8579</f>
        <v>685.980516</v>
      </c>
    </row>
    <row r="8582" customFormat="false" ht="17.15" hidden="false" customHeight="false" outlineLevel="0" collapsed="false">
      <c r="A8582" s="1" t="s">
        <v>820</v>
      </c>
      <c r="B8582" s="0" t="s">
        <v>399</v>
      </c>
      <c r="D8582" s="29" t="n">
        <f aca="false">Sens!D8576-Sens!C8576</f>
        <v>990</v>
      </c>
      <c r="E8582" s="29" t="n">
        <f aca="false">Sens!E8576-Sens!D8576</f>
        <v>1620</v>
      </c>
      <c r="F8582" s="29" t="n">
        <f aca="false">Sens!F8576-Sens!E8576</f>
        <v>2527.2</v>
      </c>
      <c r="G8582" s="29" t="n">
        <f aca="false">Sens!G8576-Sens!F8576</f>
        <v>2527.2</v>
      </c>
      <c r="H8582" s="29" t="n">
        <f aca="false">Sens!H8576-Sens!G8576</f>
        <v>2527.2</v>
      </c>
      <c r="I8582" s="29" t="n">
        <f aca="false">Sens!I8576-Sens!H8576</f>
        <v>1793.116</v>
      </c>
      <c r="J8582" s="29" t="n">
        <f aca="false">Sens!J8576-Sens!I8576</f>
        <v>1094.89432</v>
      </c>
      <c r="K8582" s="29" t="n">
        <f aca="false">Sens!K8576-Sens!J8576</f>
        <v>411.5883096</v>
      </c>
    </row>
    <row r="8583" customFormat="false" ht="17.15" hidden="false" customHeight="false" outlineLevel="0" collapsed="false">
      <c r="A8583" s="1" t="s">
        <v>821</v>
      </c>
      <c r="B8583" s="0" t="s">
        <v>399</v>
      </c>
      <c r="F8583" s="29" t="n">
        <f aca="false">Sens!F8600*ext_sh</f>
        <v>0</v>
      </c>
      <c r="G8583" s="29" t="n">
        <f aca="false">Sens!G8600*ext_sh</f>
        <v>0</v>
      </c>
      <c r="H8583" s="29" t="n">
        <f aca="false">Sens!H8600*ext_sh</f>
        <v>0</v>
      </c>
      <c r="I8583" s="29" t="n">
        <f aca="false">Sens!I8600*ext_sh</f>
        <v>490</v>
      </c>
      <c r="J8583" s="29" t="n">
        <f aca="false">Sens!J8600*ext_sh</f>
        <v>740</v>
      </c>
      <c r="K8583" s="29" t="n">
        <f aca="false">Sens!K8600*ext_sh</f>
        <v>1470</v>
      </c>
      <c r="L8583" s="1" t="s">
        <v>822</v>
      </c>
    </row>
    <row r="8584" customFormat="false" ht="17.15" hidden="false" customHeight="false" outlineLevel="0" collapsed="false">
      <c r="A8584" s="1" t="s">
        <v>823</v>
      </c>
      <c r="B8584" s="0" t="s">
        <v>399</v>
      </c>
      <c r="C8584" s="29" t="n">
        <f aca="false">mix_h*Sens!C8576</f>
        <v>128</v>
      </c>
      <c r="D8584" s="29" t="n">
        <f aca="false">mix_h*Sens!D8576</f>
        <v>326</v>
      </c>
      <c r="E8584" s="29" t="n">
        <f aca="false">mix_h*Sens!E8576</f>
        <v>650</v>
      </c>
      <c r="F8584" s="29" t="n">
        <f aca="false">Sens!E8584-Sens!F8583*mix_h</f>
        <v>650</v>
      </c>
      <c r="G8584" s="29" t="n">
        <f aca="false">Sens!F8584-Sens!G8583*mix_h</f>
        <v>650</v>
      </c>
      <c r="H8584" s="29" t="n">
        <f aca="false">Sens!G8584-Sens!H8583*mix_h</f>
        <v>650</v>
      </c>
      <c r="I8584" s="29" t="n">
        <f aca="false">Sens!H8584-Sens!I8583*mix_h</f>
        <v>552</v>
      </c>
      <c r="J8584" s="29" t="n">
        <f aca="false">Sens!I8584-Sens!J8583*mix_h</f>
        <v>404</v>
      </c>
      <c r="K8584" s="29" t="n">
        <f aca="false">Sens!J8584-Sens!K8583*mix_h</f>
        <v>110</v>
      </c>
    </row>
    <row r="8585" customFormat="false" ht="17.15" hidden="false" customHeight="false" outlineLevel="0" collapsed="false">
      <c r="A8585" s="1" t="s">
        <v>824</v>
      </c>
      <c r="B8585" s="0" t="s">
        <v>399</v>
      </c>
      <c r="C8585" s="29" t="n">
        <f aca="false">mix_g2*Sens!C8576</f>
        <v>288</v>
      </c>
      <c r="D8585" s="29" t="n">
        <f aca="false">mix_g2*Sens!D8576</f>
        <v>733.5</v>
      </c>
      <c r="E8585" s="29" t="n">
        <f aca="false">mix_g2*Sens!E8576</f>
        <v>1462.5</v>
      </c>
      <c r="F8585" s="29" t="n">
        <f aca="false">Sens!E8585-Sens!F8583*mix_g2</f>
        <v>1462.5</v>
      </c>
      <c r="G8585" s="29" t="n">
        <f aca="false">Sens!F8585-Sens!G8583*mix_g2</f>
        <v>1462.5</v>
      </c>
      <c r="H8585" s="29" t="n">
        <f aca="false">Sens!G8585-Sens!H8583*mix_g2</f>
        <v>1462.5</v>
      </c>
      <c r="I8585" s="29" t="n">
        <f aca="false">Sens!H8585-Sens!I8583*mix_g2</f>
        <v>1242</v>
      </c>
      <c r="J8585" s="29" t="n">
        <f aca="false">Sens!I8585-Sens!J8583*mix_g2</f>
        <v>909</v>
      </c>
      <c r="K8585" s="29" t="n">
        <f aca="false">Sens!J8585-Sens!K8583*mix_g2</f>
        <v>247.5</v>
      </c>
    </row>
    <row r="8586" customFormat="false" ht="17.15" hidden="false" customHeight="false" outlineLevel="0" collapsed="false">
      <c r="A8586" s="1" t="s">
        <v>825</v>
      </c>
      <c r="B8586" s="0" t="s">
        <v>399</v>
      </c>
      <c r="C8586" s="29" t="n">
        <f aca="false">mix_g3*Sens!C8576</f>
        <v>224</v>
      </c>
      <c r="D8586" s="29" t="n">
        <f aca="false">mix_g3*Sens!D8576</f>
        <v>570.5</v>
      </c>
      <c r="E8586" s="29" t="n">
        <f aca="false">mix_g3*Sens!E8576</f>
        <v>1137.5</v>
      </c>
      <c r="F8586" s="29" t="n">
        <f aca="false">Sens!E8586+(Sens!F8582+Sens!F8583)*a_g3_27-Sens!F8583*mix_g3</f>
        <v>2906.54</v>
      </c>
      <c r="G8586" s="29" t="n">
        <f aca="false">Sens!F8586+(Sens!G8582+Sens!G8583)*a_g3_28-Sens!G8583*mix_g3</f>
        <v>3664.7</v>
      </c>
      <c r="H8586" s="29" t="n">
        <f aca="false">Sens!G8586+(Sens!H8582+Sens!H8583)*a_g3_29-Sens!H8583*mix_g3</f>
        <v>3917.42</v>
      </c>
      <c r="I8586" s="29" t="n">
        <f aca="false">Sens!H8586+(Sens!I8582+Sens!I8583)*a_g3_29-Sens!I8583*mix_g3</f>
        <v>3974.2316</v>
      </c>
      <c r="J8586" s="29" t="n">
        <f aca="false">Sens!I8586+(Sens!J8582+Sens!J8583)*a_g3_29-Sens!J8583*mix_g3</f>
        <v>3898.721032</v>
      </c>
      <c r="K8586" s="29" t="n">
        <f aca="false">Sens!J8586+(Sens!K8582+Sens!K8583)*a_g3_29-Sens!K8583*mix_g3</f>
        <v>3572.37986296</v>
      </c>
    </row>
    <row r="8587" customFormat="false" ht="17.15" hidden="false" customHeight="false" outlineLevel="0" collapsed="false">
      <c r="A8587" s="1" t="s">
        <v>826</v>
      </c>
      <c r="B8587" s="0" t="s">
        <v>399</v>
      </c>
      <c r="C8587" s="29" t="n">
        <v>0</v>
      </c>
      <c r="D8587" s="29" t="n">
        <v>0</v>
      </c>
      <c r="E8587" s="29" t="n">
        <v>0</v>
      </c>
      <c r="F8587" s="29" t="n">
        <f aca="false">Sens!E8587+(Sens!F8582+Sens!F8583)*(1-a_g3_27)</f>
        <v>758.16</v>
      </c>
      <c r="G8587" s="29" t="n">
        <f aca="false">Sens!F8587+(Sens!G8582+Sens!G8583)*(1-a_g3_28)</f>
        <v>2527.2</v>
      </c>
      <c r="H8587" s="29" t="n">
        <f aca="false">Sens!G8587+(Sens!H8582+Sens!H8583)*(1-a_g3_29)</f>
        <v>4801.68</v>
      </c>
      <c r="I8587" s="29" t="n">
        <f aca="false">Sens!H8587+(Sens!I8582+Sens!I8583)*(1-a_g3_29)</f>
        <v>6856.4844</v>
      </c>
      <c r="J8587" s="29" t="n">
        <f aca="false">Sens!I8587+(Sens!J8582+Sens!J8583)*(1-a_g3_29)</f>
        <v>8507.889288</v>
      </c>
      <c r="K8587" s="29" t="n">
        <f aca="false">Sens!J8587+(Sens!K8582+Sens!K8583)*(1-a_g3_29)</f>
        <v>10201.31876664</v>
      </c>
    </row>
    <row r="8588" customFormat="false" ht="17.15" hidden="false" customHeight="false" outlineLevel="0" collapsed="false">
      <c r="A8588" s="1" t="s">
        <v>827</v>
      </c>
      <c r="B8588" s="0" t="s">
        <v>346</v>
      </c>
      <c r="C8588" s="14" t="n">
        <f aca="false">(Sens!C8584*tk_hold_h100+Sens!C8585*tk_hold_gb200+Sens!C8586*tk_hold_gb300+Sens!C8587*tk_hold_vr200)/Sens!C8576</f>
        <v>9.7235358126469</v>
      </c>
      <c r="D8588" s="14" t="n">
        <f aca="false">(Sens!D8584*tk_hold_h100+Sens!D8585*tk_hold_gb200+Sens!D8586*tk_hold_gb300+Sens!D8587*tk_hold_vr200)/Sens!D8576</f>
        <v>9.7235358126469</v>
      </c>
      <c r="E8588" s="14" t="n">
        <f aca="false">(Sens!E8584*tk_hold_h100+Sens!E8585*tk_hold_gb200+Sens!E8586*tk_hold_gb300+Sens!E8587*tk_hold_vr200)/Sens!E8576</f>
        <v>9.7235358126469</v>
      </c>
      <c r="F8588" s="14" t="n">
        <f aca="false">(Sens!F8584*tk_hold_h100+Sens!F8585*tk_hold_gb200+Sens!F8586*tk_hold_gb300+Sens!F8587*tk_hold_vr200)/Sens!F8576</f>
        <v>10.4079573161931</v>
      </c>
      <c r="G8588" s="14" t="n">
        <f aca="false">(Sens!G8584*tk_hold_h100+Sens!G8585*tk_hold_gb200+Sens!G8586*tk_hold_gb300+Sens!G8587*tk_hold_vr200)/Sens!G8576</f>
        <v>10.8388131109316</v>
      </c>
      <c r="H8588" s="14" t="n">
        <f aca="false">(Sens!H8584*tk_hold_h100+Sens!H8585*tk_hold_gb200+Sens!H8586*tk_hold_gb300+Sens!H8587*tk_hold_vr200)/Sens!H8576</f>
        <v>11.1311018388216</v>
      </c>
      <c r="I8588" s="14" t="n">
        <f aca="false">(Sens!I8584*tk_hold_h100+Sens!I8585*tk_hold_gb200+Sens!I8586*tk_hold_gb300+Sens!I8587*tk_hold_vr200)/Sens!I8576</f>
        <v>11.3594282560989</v>
      </c>
      <c r="J8588" s="14" t="n">
        <f aca="false">(Sens!J8584*tk_hold_h100+Sens!J8585*tk_hold_gb200+Sens!J8586*tk_hold_gb300+Sens!J8587*tk_hold_vr200)/Sens!J8576</f>
        <v>11.5455817917599</v>
      </c>
      <c r="K8588" s="14" t="n">
        <f aca="false">(Sens!K8584*tk_hold_h100+Sens!K8585*tk_hold_gb200+Sens!K8586*tk_hold_gb300+Sens!K8587*tk_hold_vr200)/Sens!K8576</f>
        <v>11.8078187977246</v>
      </c>
    </row>
    <row r="8589" customFormat="false" ht="17.15" hidden="false" customHeight="false" outlineLevel="0" collapsed="false">
      <c r="A8589" s="0" t="s">
        <v>828</v>
      </c>
      <c r="B8589" s="0" t="s">
        <v>185</v>
      </c>
      <c r="C8589" s="14" t="n">
        <f aca="false">k_B</f>
        <v>1.17213932619116</v>
      </c>
      <c r="D8589" s="14" t="n">
        <f aca="false">k_B</f>
        <v>1.17213932619116</v>
      </c>
      <c r="E8589" s="14" t="n">
        <f aca="false">k_B</f>
        <v>1.17213932619116</v>
      </c>
      <c r="F8589" s="14" t="n">
        <f aca="false">(k_B+((ls_C*k_long+(1-ls_C)*k_spot)-k_B)*MIN(1,(Sens!F8574-base_fy)/k_ramp))</f>
        <v>1.07843258004497</v>
      </c>
      <c r="G8589" s="14" t="n">
        <f aca="false">(k_B+((ls_C*k_long+(1-ls_C)*k_spot)-k_B)*MIN(1,(Sens!G8574-base_fy)/k_ramp))</f>
        <v>0.984725833898784</v>
      </c>
      <c r="H8589" s="14" t="n">
        <f aca="false">(k_B+((ls_C*k_long+(1-ls_C)*k_spot)-k_B)*MIN(1,(Sens!H8574-base_fy)/k_ramp))</f>
        <v>0.891019087752599</v>
      </c>
      <c r="I8589" s="14" t="n">
        <f aca="false">(k_B+((ls_C*k_long+(1-ls_C)*k_spot)-k_B)*MIN(1,(Sens!I8574-base_fy)/k_ramp))</f>
        <v>0.891019087752599</v>
      </c>
      <c r="J8589" s="14" t="n">
        <f aca="false">(k_B+((ls_C*k_long+(1-ls_C)*k_spot)-k_B)*MIN(1,(Sens!J8574-base_fy)/k_ramp))</f>
        <v>0.891019087752599</v>
      </c>
      <c r="K8589" s="14" t="n">
        <f aca="false">(k_B+((ls_C*k_long+(1-ls_C)*k_spot)-k_B)*MIN(1,(Sens!K8574-base_fy)/k_ramp))</f>
        <v>0.891019087752599</v>
      </c>
      <c r="L8589" s="1" t="s">
        <v>829</v>
      </c>
    </row>
    <row r="8590" customFormat="false" ht="17.15" hidden="false" customHeight="false" outlineLevel="0" collapsed="false">
      <c r="A8590" s="1" t="s">
        <v>830</v>
      </c>
      <c r="B8590" s="0" t="s">
        <v>346</v>
      </c>
      <c r="C8590" s="14" t="n">
        <f aca="false">Sens!C8588*Sens!C8589*chip_f</f>
        <v>11.3973387156315</v>
      </c>
      <c r="D8590" s="14" t="n">
        <f aca="false">Sens!D8588*Sens!D8589*chip_f</f>
        <v>11.3973387156315</v>
      </c>
      <c r="E8590" s="14" t="n">
        <f aca="false">Sens!E8588*Sens!E8589*chip_f</f>
        <v>11.3973387156315</v>
      </c>
      <c r="F8590" s="14" t="n">
        <f aca="false">Sens!F8588*Sens!F8589*chip_f</f>
        <v>11.2242802615</v>
      </c>
      <c r="G8590" s="14" t="n">
        <f aca="false">Sens!G8588*Sens!G8589*chip_f</f>
        <v>10.6732592791352</v>
      </c>
      <c r="H8590" s="14" t="n">
        <f aca="false">Sens!H8588*Sens!H8589*chip_f</f>
        <v>9.91802420610807</v>
      </c>
      <c r="I8590" s="14" t="n">
        <f aca="false">Sens!I8588*Sens!I8589*chip_f</f>
        <v>10.1214674021403</v>
      </c>
      <c r="J8590" s="14" t="n">
        <f aca="false">Sens!J8588*Sens!J8589*chip_f</f>
        <v>10.2873337556669</v>
      </c>
      <c r="K8590" s="14" t="n">
        <f aca="false">Sens!K8588*Sens!K8589*chip_f</f>
        <v>10.5209919334966</v>
      </c>
      <c r="L8590" s="1" t="s">
        <v>831</v>
      </c>
    </row>
    <row r="8591" customFormat="false" ht="17.15" hidden="false" customHeight="false" outlineLevel="0" collapsed="false">
      <c r="A8591" s="0" t="s">
        <v>832</v>
      </c>
      <c r="B8591" s="0" t="s">
        <v>98</v>
      </c>
      <c r="D8591" s="6" t="n">
        <f aca="false">(Sens!C8576+Sens!D8576)/2*Sens!D8590/1000</f>
        <v>12.9359794422418</v>
      </c>
      <c r="E8591" s="6" t="n">
        <f aca="false">(Sens!D8576+Sens!E8576)/2*Sens!E8590/1000</f>
        <v>27.8095064661409</v>
      </c>
      <c r="F8591" s="6" t="n">
        <f aca="false">(Sens!E8576+Sens!F8576)/2*Sens!F8590/1000</f>
        <v>50.6619113883066</v>
      </c>
      <c r="G8591" s="6" t="n">
        <f aca="false">(Sens!F8576+Sens!G8576)/2*Sens!G8590/1000</f>
        <v>75.1482839325348</v>
      </c>
      <c r="H8591" s="6" t="n">
        <f aca="false">(Sens!G8576+Sens!H8576)/2*Sens!H8590/1000</f>
        <v>94.895655604042</v>
      </c>
      <c r="I8591" s="6" t="n">
        <f aca="false">(Sens!H8576+Sens!I8576)/2*Sens!I8590/1000</f>
        <v>118.706168884151</v>
      </c>
      <c r="J8591" s="6" t="n">
        <f aca="false">(Sens!I8576+Sens!J8576)/2*Sens!J8590/1000</f>
        <v>135.50643871102</v>
      </c>
      <c r="K8591" s="6" t="n">
        <f aca="false">(Sens!J8576+Sens!K8576)/2*Sens!K8590/1000</f>
        <v>146.509068150048</v>
      </c>
      <c r="L8591" s="11" t="s">
        <v>833</v>
      </c>
    </row>
    <row r="8592" customFormat="false" ht="17.15" hidden="false" customHeight="false" outlineLevel="0" collapsed="false">
      <c r="A8592" s="1" t="s">
        <v>834</v>
      </c>
      <c r="B8592" s="0" t="s">
        <v>346</v>
      </c>
      <c r="C8592" s="14" t="n">
        <f aca="false">(Sens!C8584*tk_opex_h100+Sens!C8585*tk_opex_gb200+Sens!C8586*tk_opex_gb300+Sens!C8587*tk_opex_vr200)/Sens!C8576</f>
        <v>1.88636041306092</v>
      </c>
      <c r="D8592" s="14" t="n">
        <f aca="false">(Sens!D8584*tk_opex_h100+Sens!D8585*tk_opex_gb200+Sens!D8586*tk_opex_gb300+Sens!D8587*tk_opex_vr200)/Sens!D8576</f>
        <v>1.88636041306092</v>
      </c>
      <c r="E8592" s="14" t="n">
        <f aca="false">(Sens!E8584*tk_opex_h100+Sens!E8585*tk_opex_gb200+Sens!E8586*tk_opex_gb300+Sens!E8587*tk_opex_vr200)/Sens!E8576</f>
        <v>1.88636041306092</v>
      </c>
      <c r="F8592" s="14" t="n">
        <f aca="false">(Sens!F8584*tk_opex_h100+Sens!F8585*tk_opex_gb200+Sens!F8586*tk_opex_gb300+Sens!F8587*tk_opex_vr200)/Sens!F8576</f>
        <v>1.9430236476499</v>
      </c>
      <c r="G8592" s="14" t="n">
        <f aca="false">(Sens!G8584*tk_opex_h100+Sens!G8585*tk_opex_gb200+Sens!G8586*tk_opex_gb300+Sens!G8587*tk_opex_vr200)/Sens!G8576</f>
        <v>1.9786941852423</v>
      </c>
      <c r="H8592" s="14" t="n">
        <f aca="false">(Sens!H8584*tk_opex_h100+Sens!H8585*tk_opex_gb200+Sens!H8586*tk_opex_gb300+Sens!H8587*tk_opex_vr200)/Sens!H8576</f>
        <v>2.00289275976156</v>
      </c>
      <c r="I8592" s="14" t="n">
        <f aca="false">(Sens!I8584*tk_opex_h100+Sens!I8585*tk_opex_gb200+Sens!I8586*tk_opex_gb300+Sens!I8587*tk_opex_vr200)/Sens!I8576</f>
        <v>2.02179589661219</v>
      </c>
      <c r="J8592" s="14" t="n">
        <f aca="false">(Sens!J8584*tk_opex_h100+Sens!J8585*tk_opex_gb200+Sens!J8586*tk_opex_gb300+Sens!J8587*tk_opex_vr200)/Sens!J8576</f>
        <v>2.03720754193029</v>
      </c>
      <c r="K8592" s="14" t="n">
        <f aca="false">(Sens!K8584*tk_opex_h100+Sens!K8585*tk_opex_gb200+Sens!K8586*tk_opex_gb300+Sens!K8587*tk_opex_vr200)/Sens!K8576</f>
        <v>2.0589181353437</v>
      </c>
    </row>
    <row r="8593" customFormat="false" ht="17.15" hidden="false" customHeight="false" outlineLevel="0" collapsed="false">
      <c r="A8593" s="0" t="s">
        <v>835</v>
      </c>
      <c r="B8593" s="0" t="s">
        <v>98</v>
      </c>
      <c r="D8593" s="6" t="n">
        <f aca="false">(Sens!C8579+Sens!D8579)/2*Sens!D8592/1000</f>
        <v>2.70378325872065</v>
      </c>
      <c r="E8593" s="6" t="n">
        <f aca="false">(Sens!D8579+Sens!E8579)/2*Sens!E8592/1000</f>
        <v>6.17783035277451</v>
      </c>
      <c r="F8593" s="6" t="n">
        <f aca="false">(Sens!E8579+Sens!F8579)/2*Sens!F8592/1000</f>
        <v>12.5020618235287</v>
      </c>
      <c r="G8593" s="6" t="n">
        <f aca="false">(Sens!F8579+Sens!G8579)/2*Sens!G8592/1000</f>
        <v>20.7261620256847</v>
      </c>
      <c r="H8593" s="6" t="n">
        <f aca="false">(Sens!G8579+Sens!H8579)/2*Sens!H8592/1000</f>
        <v>29.4158183316982</v>
      </c>
      <c r="I8593" s="6" t="n">
        <f aca="false">(Sens!H8579+Sens!I8579)/2*Sens!I8592/1000</f>
        <v>36.9724400356344</v>
      </c>
      <c r="J8593" s="6" t="n">
        <f aca="false">(Sens!I8579+Sens!J8579)/2*Sens!J8592/1000</f>
        <v>42.1571687189816</v>
      </c>
      <c r="K8593" s="6" t="n">
        <f aca="false">(Sens!J8579+Sens!K8579)/2*Sens!K8592/1000</f>
        <v>45.1912095080704</v>
      </c>
    </row>
    <row r="8594" customFormat="false" ht="17.15" hidden="false" customHeight="false" outlineLevel="0" collapsed="false">
      <c r="A8594" s="0" t="s">
        <v>836</v>
      </c>
      <c r="B8594" s="0" t="s">
        <v>98</v>
      </c>
      <c r="D8594" s="6" t="n">
        <f aca="false">(Sens!C8577+Sens!D8577)/2*rent_mw/1000</f>
        <v>2.44475</v>
      </c>
      <c r="E8594" s="6" t="n">
        <f aca="false">(Sens!D8577+Sens!E8577)/2*rent_mw/1000</f>
        <v>4.22275</v>
      </c>
      <c r="F8594" s="6" t="n">
        <f aca="false">(Sens!E8577+Sens!F8577)/2*rent_mw/1000</f>
        <v>5.80517</v>
      </c>
      <c r="G8594" s="6" t="n">
        <f aca="false">(Sens!F8577+Sens!G8577)/2*rent_mw/1000</f>
        <v>6.72084</v>
      </c>
      <c r="H8594" s="6" t="n">
        <f aca="false">(Sens!G8577+Sens!H8577)/2*rent_mw/1000</f>
        <v>6.72084</v>
      </c>
      <c r="I8594" s="6" t="n">
        <f aca="false">(Sens!H8577+Sens!I8577)/2*rent_mw/1000</f>
        <v>6.72084</v>
      </c>
      <c r="J8594" s="6" t="n">
        <f aca="false">(Sens!I8577+Sens!J8577)/2*rent_mw/1000</f>
        <v>6.72084</v>
      </c>
      <c r="K8594" s="6" t="n">
        <f aca="false">(Sens!J8577+Sens!K8577)/2*rent_mw/1000</f>
        <v>6.72084</v>
      </c>
    </row>
    <row r="8595" customFormat="false" ht="17.15" hidden="false" customHeight="false" outlineLevel="0" collapsed="false">
      <c r="A8595" s="0" t="s">
        <v>837</v>
      </c>
      <c r="B8595" s="0" t="s">
        <v>98</v>
      </c>
      <c r="D8595" s="6" t="n">
        <f aca="false">(Sens!C8579+Sens!D8579)/2*(1-self_build)*fac_rent/1000</f>
        <v>0.853242375631075</v>
      </c>
      <c r="E8595" s="6" t="n">
        <f aca="false">(Sens!D8579+Sens!E8579)/2*(1-self_build)*fac_rent/1000</f>
        <v>1.94955961408728</v>
      </c>
      <c r="F8595" s="6" t="n">
        <f aca="false">(Sens!E8579+Sens!F8579)/2*(1-self_build)*fac_rent/1000</f>
        <v>3.83026455274573</v>
      </c>
      <c r="G8595" s="6" t="n">
        <f aca="false">(Sens!F8579+Sens!G8579)/2*(1-self_build)*fac_rent/1000</f>
        <v>6.23541590972812</v>
      </c>
      <c r="H8595" s="6" t="n">
        <f aca="false">(Sens!G8579+Sens!H8579)/2*(1-self_build)*fac_rent/1000</f>
        <v>8.74275792332679</v>
      </c>
      <c r="I8595" s="6" t="n">
        <f aca="false">(Sens!H8579+Sens!I8579)/2*(1-self_build)*fac_rent/1000</f>
        <v>10.8859420438599</v>
      </c>
      <c r="J8595" s="6" t="n">
        <f aca="false">(Sens!I8579+Sens!J8579)/2*(1-self_build)*fac_rent/1000</f>
        <v>12.3186006405366</v>
      </c>
      <c r="K8595" s="6" t="n">
        <f aca="false">(Sens!J8579+Sens!K8579)/2*(1-self_build)*fac_rent/1000</f>
        <v>13.0659232089824</v>
      </c>
      <c r="L8595" s="11" t="s">
        <v>838</v>
      </c>
    </row>
    <row r="8596" customFormat="false" ht="17.15" hidden="false" customHeight="false" outlineLevel="0" collapsed="false">
      <c r="A8596" s="1" t="s">
        <v>839</v>
      </c>
      <c r="B8596" s="0" t="s">
        <v>129</v>
      </c>
      <c r="D8596" s="7" t="n">
        <f aca="false">(Sens!C8578+Sens!D8578)/(Sens!C8579+Sens!D8579)</f>
        <v>0.6</v>
      </c>
      <c r="E8596" s="7" t="n">
        <f aca="false">(Sens!D8578+Sens!E8578)/(Sens!D8579+Sens!E8579)</f>
        <v>0.6</v>
      </c>
      <c r="F8596" s="7" t="n">
        <f aca="false">(Sens!E8578+Sens!F8578)/(Sens!E8579+Sens!F8579)</f>
        <v>0.6</v>
      </c>
      <c r="G8596" s="7" t="n">
        <f aca="false">(Sens!F8578+Sens!G8578)/(Sens!F8579+Sens!G8579)</f>
        <v>0.6</v>
      </c>
      <c r="H8596" s="7" t="n">
        <f aca="false">(Sens!G8578+Sens!H8578)/(Sens!G8579+Sens!H8579)</f>
        <v>0.6</v>
      </c>
      <c r="I8596" s="7" t="n">
        <f aca="false">(Sens!H8578+Sens!I8578)/(Sens!H8579+Sens!I8579)</f>
        <v>0.6</v>
      </c>
      <c r="J8596" s="7" t="n">
        <f aca="false">(Sens!I8578+Sens!J8578)/(Sens!I8579+Sens!J8579)</f>
        <v>0.6</v>
      </c>
      <c r="K8596" s="7" t="n">
        <f aca="false">(Sens!J8578+Sens!K8578)/(Sens!J8579+Sens!K8579)</f>
        <v>0.6</v>
      </c>
    </row>
    <row r="8597" customFormat="false" ht="17.15" hidden="false" customHeight="false" outlineLevel="0" collapsed="false">
      <c r="A8597" s="0" t="s">
        <v>840</v>
      </c>
      <c r="B8597" s="0" t="s">
        <v>98</v>
      </c>
      <c r="D8597" s="6" t="n">
        <f aca="false">Sens!D8591-Sens!D8596*(Sens!D8593+Sens!D8595)-Sens!D8594</f>
        <v>8.35701406163072</v>
      </c>
      <c r="E8597" s="6" t="n">
        <f aca="false">Sens!E8591-Sens!E8596*(Sens!E8593+Sens!E8595)-Sens!E8594</f>
        <v>18.7103224860238</v>
      </c>
      <c r="F8597" s="6" t="n">
        <f aca="false">Sens!F8591-Sens!F8596*(Sens!F8593+Sens!F8595)-Sens!F8594</f>
        <v>35.0573455625419</v>
      </c>
      <c r="G8597" s="6" t="n">
        <f aca="false">Sens!G8591-Sens!G8596*(Sens!G8593+Sens!G8595)-Sens!G8594</f>
        <v>52.2504971712871</v>
      </c>
      <c r="H8597" s="6" t="n">
        <f aca="false">Sens!H8591-Sens!H8596*(Sens!H8593+Sens!H8595)-Sens!H8594</f>
        <v>65.2796698510271</v>
      </c>
      <c r="I8597" s="6" t="n">
        <f aca="false">Sens!I8591-Sens!I8596*(Sens!I8593+Sens!I8595)-Sens!I8594</f>
        <v>83.2702996364549</v>
      </c>
      <c r="J8597" s="6" t="n">
        <f aca="false">Sens!J8591-Sens!J8596*(Sens!J8593+Sens!J8595)-Sens!J8594</f>
        <v>96.1001370953095</v>
      </c>
      <c r="K8597" s="6" t="n">
        <f aca="false">Sens!K8591-Sens!K8596*(Sens!K8593+Sens!K8595)-Sens!K8594</f>
        <v>104.833948519816</v>
      </c>
    </row>
    <row r="8598" customFormat="false" ht="17.15" hidden="false" customHeight="false" outlineLevel="0" collapsed="false">
      <c r="A8598" s="1" t="s">
        <v>841</v>
      </c>
      <c r="B8598" s="0" t="s">
        <v>98</v>
      </c>
      <c r="D8598" s="6" t="n">
        <f aca="false">(1-Sens!D8596)*(Sens!D8593+Sens!D8595)</f>
        <v>1.42281025374069</v>
      </c>
      <c r="E8598" s="6" t="n">
        <f aca="false">(1-Sens!E8596)*(Sens!E8593+Sens!E8595)</f>
        <v>3.25095598674472</v>
      </c>
      <c r="F8598" s="6" t="n">
        <f aca="false">(1-Sens!F8596)*(Sens!F8593+Sens!F8595)</f>
        <v>6.53293055050977</v>
      </c>
      <c r="G8598" s="6" t="n">
        <f aca="false">(1-Sens!G8596)*(Sens!G8593+Sens!G8595)</f>
        <v>10.7846311741651</v>
      </c>
      <c r="H8598" s="6" t="n">
        <f aca="false">(1-Sens!H8596)*(Sens!H8593+Sens!H8595)</f>
        <v>15.26343050201</v>
      </c>
      <c r="I8598" s="6" t="n">
        <f aca="false">(1-Sens!I8596)*(Sens!I8593+Sens!I8595)</f>
        <v>19.1433528317977</v>
      </c>
      <c r="J8598" s="6" t="n">
        <f aca="false">(1-Sens!J8596)*(Sens!J8593+Sens!J8595)</f>
        <v>21.7903077438073</v>
      </c>
      <c r="K8598" s="6" t="n">
        <f aca="false">(1-Sens!K8596)*(Sens!K8593+Sens!K8595)</f>
        <v>23.3028530868211</v>
      </c>
    </row>
    <row r="8599" customFormat="false" ht="17.15" hidden="false" customHeight="false" outlineLevel="0" collapsed="false">
      <c r="A8599" s="1" t="s">
        <v>842</v>
      </c>
      <c r="B8599" s="0" t="s">
        <v>357</v>
      </c>
      <c r="C8599" s="8" t="n">
        <f aca="false">cxit_open</f>
        <v>27.5918995</v>
      </c>
      <c r="D8599" s="8" t="n">
        <f aca="false">cxit_open</f>
        <v>27.5918995</v>
      </c>
      <c r="E8599" s="8" t="n">
        <f aca="false">cxit_open</f>
        <v>27.5918995</v>
      </c>
      <c r="F8599" s="8" t="n">
        <f aca="false">(a_g3_27*tk_cxit_gb300+(1-a_g3_27)*tk_cxit_vr200)</f>
        <v>33.8419624</v>
      </c>
      <c r="G8599" s="8" t="n">
        <f aca="false">(a_g3_28*tk_cxit_gb300+(1-a_g3_28)*tk_cxit_vr200)</f>
        <v>35.9816136</v>
      </c>
      <c r="H8599" s="8" t="n">
        <f aca="false">(a_g3_29*tk_cxit_gb300+(1-a_g3_29)*tk_cxit_vr200)</f>
        <v>37.0514392</v>
      </c>
      <c r="I8599" s="8" t="n">
        <f aca="false">(a_g3_29*tk_cxit_gb300+(1-a_g3_29)*tk_cxit_vr200)</f>
        <v>37.0514392</v>
      </c>
      <c r="J8599" s="8" t="n">
        <f aca="false">(a_g3_29*tk_cxit_gb300+(1-a_g3_29)*tk_cxit_vr200)</f>
        <v>37.0514392</v>
      </c>
      <c r="K8599" s="8" t="n">
        <f aca="false">(a_g3_29*tk_cxit_gb300+(1-a_g3_29)*tk_cxit_vr200)</f>
        <v>37.0514392</v>
      </c>
      <c r="L8599" s="11" t="s">
        <v>843</v>
      </c>
    </row>
    <row r="8600" customFormat="false" ht="17.15" hidden="false" customHeight="false" outlineLevel="0" collapsed="false">
      <c r="A8600" s="0" t="s">
        <v>844</v>
      </c>
      <c r="B8600" s="0" t="s">
        <v>399</v>
      </c>
      <c r="F8600" s="29" t="n">
        <f aca="false">Sens!C8581*IF(Sens!F8574-Sens!C8574=life_it,1,0)+Sens!D8581*IF(Sens!F8574-Sens!D8574=life_it,1,0)+Sens!E8581*IF(Sens!F8574-Sens!E8574=life_it,1,0)</f>
        <v>0</v>
      </c>
      <c r="G8600" s="29" t="n">
        <f aca="false">Sens!C8581*IF(Sens!G8574-Sens!C8574=life_it,1,0)+Sens!D8581*IF(Sens!G8574-Sens!D8574=life_it,1,0)+Sens!E8581*IF(Sens!G8574-Sens!E8574=life_it,1,0)+Sens!F8581*IF(Sens!G8574-Sens!F8574=life_it,1,0)</f>
        <v>0</v>
      </c>
      <c r="H8600" s="29" t="n">
        <f aca="false">Sens!C8581*IF(Sens!H8574-Sens!C8574=life_it,1,0)+Sens!D8581*IF(Sens!H8574-Sens!D8574=life_it,1,0)+Sens!E8581*IF(Sens!H8574-Sens!E8574=life_it,1,0)+Sens!F8581*IF(Sens!H8574-Sens!F8574=life_it,1,0)+Sens!G8581*IF(Sens!H8574-Sens!G8574=life_it,1,0)</f>
        <v>0</v>
      </c>
      <c r="I8600" s="29" t="n">
        <f aca="false">Sens!C8581*IF(Sens!I8574-Sens!C8574=life_it,1,0)+Sens!D8581*IF(Sens!I8574-Sens!D8574=life_it,1,0)+Sens!E8581*IF(Sens!I8574-Sens!E8574=life_it,1,0)+Sens!F8581*IF(Sens!I8574-Sens!F8574=life_it,1,0)+Sens!G8581*IF(Sens!I8574-Sens!G8574=life_it,1,0)+Sens!H8581*IF(Sens!I8574-Sens!H8574=life_it,1,0)</f>
        <v>816.666666666667</v>
      </c>
      <c r="J8600" s="29" t="n">
        <f aca="false">Sens!C8581*IF(Sens!J8574-Sens!C8574=life_it,1,0)+Sens!D8581*IF(Sens!J8574-Sens!D8574=life_it,1,0)+Sens!E8581*IF(Sens!J8574-Sens!E8574=life_it,1,0)+Sens!F8581*IF(Sens!J8574-Sens!F8574=life_it,1,0)+Sens!G8581*IF(Sens!J8574-Sens!G8574=life_it,1,0)+Sens!H8581*IF(Sens!J8574-Sens!H8574=life_it,1,0)+Sens!I8581*IF(Sens!J8574-Sens!I8574=life_it,1,0)</f>
        <v>1233.33333333333</v>
      </c>
      <c r="K8600" s="29" t="n">
        <f aca="false">Sens!C8581*IF(Sens!K8574-Sens!C8574=life_it,1,0)+Sens!D8581*IF(Sens!K8574-Sens!D8574=life_it,1,0)+Sens!E8581*IF(Sens!K8574-Sens!E8574=life_it,1,0)+Sens!F8581*IF(Sens!K8574-Sens!F8574=life_it,1,0)+Sens!G8581*IF(Sens!K8574-Sens!G8574=life_it,1,0)+Sens!H8581*IF(Sens!K8574-Sens!H8574=life_it,1,0)+Sens!I8581*IF(Sens!K8574-Sens!I8574=life_it,1,0)+Sens!J8581*IF(Sens!K8574-Sens!J8574=life_it,1,0)</f>
        <v>2450</v>
      </c>
      <c r="L8600" s="1" t="s">
        <v>845</v>
      </c>
    </row>
    <row r="8601" customFormat="false" ht="17.15" hidden="false" customHeight="false" outlineLevel="0" collapsed="false">
      <c r="A8601" s="0" t="s">
        <v>846</v>
      </c>
      <c r="B8601" s="0" t="s">
        <v>98</v>
      </c>
      <c r="C8601" s="6" t="n">
        <f aca="false">Sens!C8581*Sens!C8599/1000</f>
        <v>22.5333845916667</v>
      </c>
      <c r="D8601" s="6" t="n">
        <f aca="false">Sens!D8581*Sens!D8599/1000</f>
        <v>34.0300093833333</v>
      </c>
      <c r="E8601" s="6" t="n">
        <f aca="false">Sens!E8581*Sens!E8599/1000</f>
        <v>67.600153775</v>
      </c>
      <c r="F8601" s="6" t="n">
        <f aca="false">(Sens!F8581+Sens!F8600)*Sens!F8599/1000</f>
        <v>130.923271871467</v>
      </c>
      <c r="G8601" s="6" t="n">
        <f aca="false">(Sens!G8581+Sens!G8600)*Sens!G8599/1000</f>
        <v>151.5545564832</v>
      </c>
      <c r="H8601" s="6" t="n">
        <f aca="false">(Sens!H8581+Sens!H8600)*Sens!H8599/1000</f>
        <v>156.0606619104</v>
      </c>
      <c r="I8601" s="6" t="n">
        <f aca="false">(Sens!I8581+Sens!I8600)*Sens!I8599/1000</f>
        <v>140.987889434245</v>
      </c>
      <c r="J8601" s="6" t="n">
        <f aca="false">(Sens!J8581+Sens!J8600)*Sens!J8599/1000</f>
        <v>113.309125559842</v>
      </c>
      <c r="K8601" s="6" t="n">
        <f aca="false">(Sens!K8581+Sens!K8600)*Sens!K8599/1000</f>
        <v>116.192591420959</v>
      </c>
    </row>
    <row r="8602" customFormat="false" ht="17.15" hidden="false" customHeight="false" outlineLevel="0" collapsed="false">
      <c r="A8602" s="0" t="s">
        <v>847</v>
      </c>
      <c r="B8602" s="0" t="s">
        <v>98</v>
      </c>
      <c r="C8602" s="6" t="n">
        <f aca="false">Sens!C8581*self_build*tk_cxfac/1000</f>
        <v>6.2083</v>
      </c>
      <c r="D8602" s="6" t="n">
        <f aca="false">Sens!D8581*self_build*tk_cxfac/1000</f>
        <v>9.3758</v>
      </c>
      <c r="E8602" s="6" t="n">
        <f aca="false">Sens!E8581*self_build*tk_cxfac/1000</f>
        <v>18.6249</v>
      </c>
      <c r="F8602" s="6" t="n">
        <f aca="false">Sens!F8581*self_build*tk_cxfac/1000</f>
        <v>29.409604</v>
      </c>
      <c r="G8602" s="6" t="n">
        <f aca="false">Sens!G8581*self_build*tk_cxfac/1000</f>
        <v>32.019624</v>
      </c>
      <c r="H8602" s="6" t="n">
        <f aca="false">Sens!H8581*self_build*tk_cxfac/1000</f>
        <v>32.019624</v>
      </c>
      <c r="I8602" s="6" t="n">
        <f aca="false">Sens!I8581*self_build*tk_cxfac/1000</f>
        <v>22.71877972</v>
      </c>
      <c r="J8602" s="6" t="n">
        <f aca="false">Sens!J8581*self_build*tk_cxfac/1000</f>
        <v>13.8723110344</v>
      </c>
      <c r="K8602" s="6" t="n">
        <f aca="false">Sens!K8581*self_build*tk_cxfac/1000</f>
        <v>5.214823882632</v>
      </c>
    </row>
    <row r="8603" customFormat="false" ht="17.15" hidden="false" customHeight="false" outlineLevel="0" collapsed="false">
      <c r="A8603" s="0" t="s">
        <v>848</v>
      </c>
      <c r="B8603" s="0" t="s">
        <v>98</v>
      </c>
      <c r="F8603" s="6" t="n">
        <f aca="false">MAX(0,capex_floor27-Sens!F8601-Sens!F8602-Sens!F8697)</f>
        <v>8.33893890759241</v>
      </c>
    </row>
    <row r="8604" customFormat="false" ht="17.15" hidden="false" customHeight="false" outlineLevel="0" collapsed="false">
      <c r="A8604" s="0" t="s">
        <v>849</v>
      </c>
      <c r="B8604" s="0" t="s">
        <v>98</v>
      </c>
      <c r="C8604" s="6" t="n">
        <f aca="false">Sens!C8601</f>
        <v>22.5333845916667</v>
      </c>
      <c r="D8604" s="6" t="n">
        <f aca="false">Sens!D8601</f>
        <v>34.0300093833333</v>
      </c>
      <c r="E8604" s="6" t="n">
        <f aca="false">Sens!E8601</f>
        <v>67.600153775</v>
      </c>
      <c r="F8604" s="6" t="n">
        <f aca="false">Sens!F8601</f>
        <v>130.923271871467</v>
      </c>
      <c r="G8604" s="6" t="n">
        <f aca="false">Sens!G8601</f>
        <v>151.5545564832</v>
      </c>
      <c r="H8604" s="6" t="n">
        <f aca="false">Sens!H8601</f>
        <v>156.0606619104</v>
      </c>
      <c r="I8604" s="6" t="n">
        <f aca="false">Sens!I8601</f>
        <v>140.987889434245</v>
      </c>
      <c r="J8604" s="6" t="n">
        <f aca="false">Sens!J8601</f>
        <v>113.309125559842</v>
      </c>
      <c r="K8604" s="6" t="n">
        <f aca="false">Sens!K8601</f>
        <v>116.192591420959</v>
      </c>
    </row>
    <row r="8605" customFormat="false" ht="17.15" hidden="false" customHeight="false" outlineLevel="0" collapsed="false">
      <c r="A8605" s="0" t="s">
        <v>850</v>
      </c>
      <c r="B8605" s="0" t="s">
        <v>98</v>
      </c>
      <c r="C8605" s="6" t="n">
        <f aca="false">Sens!C8604+Sens!C8602</f>
        <v>28.7416845916667</v>
      </c>
      <c r="D8605" s="6" t="n">
        <f aca="false">Sens!D8604+Sens!D8602</f>
        <v>43.4058093833333</v>
      </c>
      <c r="E8605" s="6" t="n">
        <f aca="false">Sens!E8604+Sens!E8602</f>
        <v>86.225053775</v>
      </c>
      <c r="F8605" s="6" t="n">
        <f aca="false">Sens!F8604+Sens!F8602</f>
        <v>160.332875871467</v>
      </c>
      <c r="G8605" s="6" t="n">
        <f aca="false">Sens!G8604+Sens!G8602</f>
        <v>183.5741804832</v>
      </c>
      <c r="H8605" s="6" t="n">
        <f aca="false">Sens!H8604+Sens!H8602</f>
        <v>188.0802859104</v>
      </c>
      <c r="I8605" s="6" t="n">
        <f aca="false">Sens!I8604+Sens!I8602</f>
        <v>163.706669154245</v>
      </c>
      <c r="J8605" s="6" t="n">
        <f aca="false">Sens!J8604+Sens!J8602</f>
        <v>127.181436594242</v>
      </c>
      <c r="K8605" s="6" t="n">
        <f aca="false">Sens!K8604+Sens!K8602</f>
        <v>121.407415303591</v>
      </c>
      <c r="L8605" s="11" t="s">
        <v>851</v>
      </c>
    </row>
    <row r="8606" customFormat="false" ht="17.15" hidden="false" customHeight="false" outlineLevel="0" collapsed="false">
      <c r="A8606" s="0" t="s">
        <v>852</v>
      </c>
      <c r="B8606" s="0" t="s">
        <v>98</v>
      </c>
      <c r="E8606" s="6" t="n">
        <f aca="false">(Sens!C8604*IF(2&lt;life_it,1,IF(2=life_it,0.5,0))+Sens!D8604*IF(1&lt;life_it,1,IF(1=life_it,0.5,0))+Sens!E8604*0.5)/life_it</f>
        <v>15.0605784770833</v>
      </c>
      <c r="F8606" s="6" t="n">
        <f aca="false">(Sens!C8604*IF(3&lt;life_it,1,IF(3=life_it,0.5,0))+Sens!D8604*IF(2&lt;life_it,1,IF(2=life_it,0.5,0))+Sens!E8604*IF(1&lt;life_it,1,IF(1=life_it,0.5,0))+Sens!F8604*0.5)/life_it</f>
        <v>31.6041972809556</v>
      </c>
      <c r="G8606" s="6" t="n">
        <f aca="false">(Sens!C8604*IF(4&lt;life_it,1,IF(4=life_it,0.5,0))+Sens!D8604*IF(3&lt;life_it,1,IF(3=life_it,0.5,0))+Sens!E8604*IF(2&lt;life_it,1,IF(2=life_it,0.5,0))+Sens!F8604*IF(1&lt;life_it,1,IF(1=life_it,0.5,0))+Sens!G8604*0.5)/life_it</f>
        <v>55.1440163105111</v>
      </c>
      <c r="H8606" s="6" t="n">
        <f aca="false">(Sens!C8604*IF(5&lt;life_it,1,IF(5=life_it,0.5,0))+Sens!D8604*IF(4&lt;life_it,1,IF(4=life_it,0.5,0))+Sens!E8604*IF(3&lt;life_it,1,IF(3=life_it,0.5,0))+Sens!F8604*IF(2&lt;life_it,1,IF(2=life_it,0.5,0))+Sens!G8604*IF(1&lt;life_it,1,IF(1=life_it,0.5,0))+Sens!H8604*0.5)/life_it</f>
        <v>80.7786178433111</v>
      </c>
      <c r="I8606" s="6" t="n">
        <f aca="false">(Sens!C8604*IF(6&lt;life_it,1,IF(6=life_it,0.5,0))+Sens!D8604*IF(5&lt;life_it,1,IF(5=life_it,0.5,0))+Sens!E8604*IF(4&lt;life_it,1,IF(4=life_it,0.5,0))+Sens!F8604*IF(3&lt;life_it,1,IF(3=life_it,0.5,0))+Sens!G8604*IF(2&lt;life_it,1,IF(2=life_it,0.5,0))+Sens!H8604*IF(1&lt;life_it,1,IF(1=life_it,0.5,0))+Sens!I8604*0.5)/life_it</f>
        <v>103.654881739393</v>
      </c>
      <c r="J8606" s="6" t="n">
        <f aca="false">(Sens!C8604*IF(7&lt;life_it,1,IF(7=life_it,0.5,0))+Sens!D8604*IF(6&lt;life_it,1,IF(6=life_it,0.5,0))+Sens!E8604*IF(5&lt;life_it,1,IF(5=life_it,0.5,0))+Sens!F8604*IF(4&lt;life_it,1,IF(4=life_it,0.5,0))+Sens!G8604*IF(3&lt;life_it,1,IF(3=life_it,0.5,0))+Sens!H8604*IF(2&lt;life_it,1,IF(2=life_it,0.5,0))+Sens!I8604*IF(1&lt;life_it,1,IF(1=life_it,0.5,0))+Sens!J8604*0.5)/life_it</f>
        <v>120.132683490983</v>
      </c>
      <c r="K8606" s="6" t="n">
        <f aca="false">(Sens!C8604*IF(8&lt;life_it,1,IF(8=life_it,0.5,0))+Sens!D8604*IF(7&lt;life_it,1,IF(7=life_it,0.5,0))+Sens!E8604*IF(6&lt;life_it,1,IF(6=life_it,0.5,0))+Sens!F8604*IF(5&lt;life_it,1,IF(5=life_it,0.5,0))+Sens!G8604*IF(4&lt;life_it,1,IF(4=life_it,0.5,0))+Sens!H8604*IF(3&lt;life_it,1,IF(3=life_it,0.5,0))+Sens!I8604*IF(2&lt;life_it,1,IF(2=life_it,0.5,0))+Sens!J8604*IF(1&lt;life_it,1,IF(1=life_it,0.5,0))+Sens!K8604*0.5)/life_it</f>
        <v>130.788646309522</v>
      </c>
    </row>
    <row r="8607" customFormat="false" ht="17.15" hidden="false" customHeight="false" outlineLevel="0" collapsed="false">
      <c r="A8607" s="0" t="s">
        <v>853</v>
      </c>
      <c r="B8607" s="0" t="s">
        <v>98</v>
      </c>
      <c r="E8607" s="6" t="n">
        <f aca="false">(Sens!C8602*IF(2&lt;life_fac,1,IF(2=life_fac,0.5,0))+Sens!D8602*IF(1&lt;life_fac,1,IF(1=life_fac,0.5,0))+Sens!E8602*0.5)/life_fac</f>
        <v>1.2448275</v>
      </c>
      <c r="F8607" s="6" t="n">
        <f aca="false">(Sens!C8602*IF(3&lt;life_fac,1,IF(3=life_fac,0.5,0))+Sens!D8602*IF(2&lt;life_fac,1,IF(2=life_fac,0.5,0))+Sens!E8602*IF(1&lt;life_fac,1,IF(1=life_fac,0.5,0))+Sens!F8602*0.5)/life_fac</f>
        <v>2.4456901</v>
      </c>
      <c r="G8607" s="6" t="n">
        <f aca="false">(Sens!C8602*IF(4&lt;life_fac,1,IF(4=life_fac,0.5,0))+Sens!D8602*IF(3&lt;life_fac,1,IF(3=life_fac,0.5,0))+Sens!E8602*IF(2&lt;life_fac,1,IF(2=life_fac,0.5,0))+Sens!F8602*IF(1&lt;life_fac,1,IF(1=life_fac,0.5,0))+Sens!G8602*0.5)/life_fac</f>
        <v>3.9814208</v>
      </c>
      <c r="H8607" s="6" t="n">
        <f aca="false">(Sens!C8602*IF(5&lt;life_fac,1,IF(5=life_fac,0.5,0))+Sens!D8602*IF(4&lt;life_fac,1,IF(4=life_fac,0.5,0))+Sens!E8602*IF(3&lt;life_fac,1,IF(3=life_fac,0.5,0))+Sens!F8602*IF(2&lt;life_fac,1,IF(2=life_fac,0.5,0))+Sens!G8602*IF(1&lt;life_fac,1,IF(1=life_fac,0.5,0))+Sens!H8602*0.5)/life_fac</f>
        <v>5.582402</v>
      </c>
      <c r="I8607" s="6" t="n">
        <f aca="false">(Sens!C8602*IF(6&lt;life_fac,1,IF(6=life_fac,0.5,0))+Sens!D8602*IF(5&lt;life_fac,1,IF(5=life_fac,0.5,0))+Sens!E8602*IF(4&lt;life_fac,1,IF(4=life_fac,0.5,0))+Sens!F8602*IF(3&lt;life_fac,1,IF(3=life_fac,0.5,0))+Sens!G8602*IF(2&lt;life_fac,1,IF(2=life_fac,0.5,0))+Sens!H8602*IF(1&lt;life_fac,1,IF(1=life_fac,0.5,0))+Sens!I8602*0.5)/life_fac</f>
        <v>6.950862093</v>
      </c>
      <c r="J8607" s="6" t="n">
        <f aca="false">(Sens!C8602*IF(7&lt;life_fac,1,IF(7=life_fac,0.5,0))+Sens!D8602*IF(6&lt;life_fac,1,IF(6=life_fac,0.5,0))+Sens!E8602*IF(5&lt;life_fac,1,IF(5=life_fac,0.5,0))+Sens!F8602*IF(4&lt;life_fac,1,IF(4=life_fac,0.5,0))+Sens!G8602*IF(3&lt;life_fac,1,IF(3=life_fac,0.5,0))+Sens!H8602*IF(2&lt;life_fac,1,IF(2=life_fac,0.5,0))+Sens!I8602*IF(1&lt;life_fac,1,IF(1=life_fac,0.5,0))+Sens!J8602*0.5)/life_fac</f>
        <v>7.86563936186</v>
      </c>
      <c r="K8607" s="6" t="n">
        <f aca="false">(Sens!C8602*IF(8&lt;life_fac,1,IF(8=life_fac,0.5,0))+Sens!D8602*IF(7&lt;life_fac,1,IF(7=life_fac,0.5,0))+Sens!E8602*IF(6&lt;life_fac,1,IF(6=life_fac,0.5,0))+Sens!F8602*IF(5&lt;life_fac,1,IF(5=life_fac,0.5,0))+Sens!G8602*IF(4&lt;life_fac,1,IF(4=life_fac,0.5,0))+Sens!H8602*IF(3&lt;life_fac,1,IF(3=life_fac,0.5,0))+Sens!I8602*IF(2&lt;life_fac,1,IF(2=life_fac,0.5,0))+Sens!J8602*IF(1&lt;life_fac,1,IF(1=life_fac,0.5,0))+Sens!K8602*0.5)/life_fac</f>
        <v>8.3428177347858</v>
      </c>
    </row>
    <row r="8608" customFormat="false" ht="17.15" hidden="false" customHeight="false" outlineLevel="0" collapsed="false">
      <c r="A8608" s="0" t="s">
        <v>854</v>
      </c>
      <c r="B8608" s="0" t="s">
        <v>98</v>
      </c>
      <c r="E8608" s="6" t="n">
        <f aca="false">Sens!E8606+Sens!E8607</f>
        <v>16.3054059770833</v>
      </c>
      <c r="F8608" s="6" t="n">
        <f aca="false">Sens!F8606+Sens!F8607</f>
        <v>34.0498873809555</v>
      </c>
      <c r="G8608" s="6" t="n">
        <f aca="false">Sens!G8606+Sens!G8607</f>
        <v>59.1254371105111</v>
      </c>
      <c r="H8608" s="6" t="n">
        <f aca="false">Sens!H8606+Sens!H8607</f>
        <v>86.3610198433111</v>
      </c>
      <c r="I8608" s="6" t="n">
        <f aca="false">Sens!I8606+Sens!I8607</f>
        <v>110.605743832393</v>
      </c>
      <c r="J8608" s="6" t="n">
        <f aca="false">Sens!J8606+Sens!J8607</f>
        <v>127.998322852843</v>
      </c>
      <c r="K8608" s="6" t="n">
        <f aca="false">Sens!K8606+Sens!K8607</f>
        <v>139.131464044308</v>
      </c>
    </row>
    <row r="8609" customFormat="false" ht="17.15" hidden="false" customHeight="false" outlineLevel="0" collapsed="false">
      <c r="A8609" s="0" t="s">
        <v>855</v>
      </c>
      <c r="B8609" s="0" t="s">
        <v>98</v>
      </c>
      <c r="E8609" s="6" t="n">
        <f aca="false">Sens!E8597-Sens!E8596*Sens!E8608</f>
        <v>8.92707889977379</v>
      </c>
      <c r="F8609" s="6" t="n">
        <f aca="false">Sens!F8597-Sens!F8596*Sens!F8608</f>
        <v>14.6274131339686</v>
      </c>
      <c r="G8609" s="6" t="n">
        <f aca="false">Sens!G8597-Sens!G8596*Sens!G8608</f>
        <v>16.7752349049804</v>
      </c>
      <c r="H8609" s="6" t="n">
        <f aca="false">Sens!H8597-Sens!H8596*Sens!H8608</f>
        <v>13.4630579450404</v>
      </c>
      <c r="I8609" s="6" t="n">
        <f aca="false">Sens!I8597-Sens!I8596*Sens!I8608</f>
        <v>16.9068533370192</v>
      </c>
      <c r="J8609" s="6" t="n">
        <f aca="false">Sens!J8597-Sens!J8596*Sens!J8608</f>
        <v>19.3011433836036</v>
      </c>
      <c r="K8609" s="6" t="n">
        <f aca="false">Sens!K8597-Sens!K8596*Sens!K8608</f>
        <v>21.3550700932312</v>
      </c>
    </row>
    <row r="8610" customFormat="false" ht="17.15" hidden="false" customHeight="false" outlineLevel="0" collapsed="false">
      <c r="A8610" s="3" t="s">
        <v>1483</v>
      </c>
    </row>
    <row r="8611" customFormat="false" ht="15" hidden="false" customHeight="false" outlineLevel="0" collapsed="false">
      <c r="A8611" s="4" t="s">
        <v>43</v>
      </c>
      <c r="B8611" s="4" t="s">
        <v>65</v>
      </c>
      <c r="C8611" s="20" t="s">
        <v>799</v>
      </c>
      <c r="D8611" s="20" t="s">
        <v>800</v>
      </c>
      <c r="E8611" s="20" t="s">
        <v>801</v>
      </c>
      <c r="F8611" s="20" t="s">
        <v>802</v>
      </c>
      <c r="G8611" s="20" t="s">
        <v>803</v>
      </c>
      <c r="H8611" s="20" t="s">
        <v>804</v>
      </c>
      <c r="I8611" s="20" t="s">
        <v>805</v>
      </c>
      <c r="J8611" s="20" t="s">
        <v>806</v>
      </c>
      <c r="K8611" s="20" t="s">
        <v>807</v>
      </c>
      <c r="L8611" s="4" t="s">
        <v>47</v>
      </c>
    </row>
    <row r="8612" customFormat="false" ht="17.15" hidden="false" customHeight="false" outlineLevel="0" collapsed="false">
      <c r="A8612" s="0" t="s">
        <v>874</v>
      </c>
      <c r="B8612" s="0" t="s">
        <v>98</v>
      </c>
      <c r="D8612" s="6" t="n">
        <f aca="false">Sens!D8591</f>
        <v>12.9359794422418</v>
      </c>
      <c r="E8612" s="6" t="n">
        <f aca="false">Sens!E8591</f>
        <v>27.8095064661409</v>
      </c>
      <c r="F8612" s="6" t="n">
        <f aca="false">Sens!F8591</f>
        <v>50.6619113883066</v>
      </c>
      <c r="G8612" s="6" t="n">
        <f aca="false">Sens!G8591</f>
        <v>75.1482839325348</v>
      </c>
      <c r="H8612" s="6" t="n">
        <f aca="false">Sens!H8591</f>
        <v>94.895655604042</v>
      </c>
      <c r="I8612" s="6" t="n">
        <f aca="false">Sens!I8591</f>
        <v>118.706168884151</v>
      </c>
      <c r="J8612" s="6" t="n">
        <f aca="false">Sens!J8591</f>
        <v>135.50643871102</v>
      </c>
      <c r="K8612" s="6" t="n">
        <f aca="false">Sens!K8591</f>
        <v>146.509068150048</v>
      </c>
    </row>
    <row r="8613" customFormat="false" ht="17.15" hidden="false" customHeight="false" outlineLevel="0" collapsed="false">
      <c r="A8613" s="0" t="s">
        <v>875</v>
      </c>
      <c r="B8613" s="0" t="s">
        <v>98</v>
      </c>
      <c r="D8613" s="6" t="n">
        <f aca="false">Q!L6-Sens!D8612</f>
        <v>59.6740205577583</v>
      </c>
      <c r="E8613" s="6" t="n">
        <f aca="false">Q!M6-Sens!E8612</f>
        <v>74.1284935338591</v>
      </c>
      <c r="F8613" s="6" t="n">
        <f aca="false">Sens!E8613*(1+Sens!F8614)</f>
        <v>90.5741396942587</v>
      </c>
      <c r="G8613" s="6" t="n">
        <f aca="false">Sens!F8613*(1+Sens!G8614)</f>
        <v>108.823251828521</v>
      </c>
      <c r="H8613" s="6" t="n">
        <f aca="false">Sens!G8613*(1+Sens!H8614)</f>
        <v>128.532442249697</v>
      </c>
      <c r="I8613" s="6" t="n">
        <f aca="false">Sens!H8613*(1+Sens!I8614)</f>
        <v>149.192913382446</v>
      </c>
      <c r="J8613" s="6" t="n">
        <f aca="false">Sens!I8613*(1+Sens!J8614)</f>
        <v>170.135219187612</v>
      </c>
      <c r="K8613" s="6" t="n">
        <f aca="false">Sens!J8613*(1+Sens!K8614)</f>
        <v>190.551445490125</v>
      </c>
    </row>
    <row r="8614" customFormat="false" ht="15" hidden="false" customHeight="false" outlineLevel="0" collapsed="false">
      <c r="A8614" s="1" t="s">
        <v>876</v>
      </c>
      <c r="B8614" s="0" t="s">
        <v>129</v>
      </c>
      <c r="E8614" s="7" t="n">
        <f aca="false">Sens!E8613/Sens!D8613-1</f>
        <v>0.242223883039864</v>
      </c>
      <c r="F8614" s="7" t="n">
        <f aca="false">Sens!$E$8614+(glt_azo_hi-Sens!$E$8614)*MIN(1,(Sens!F8574-base_fy)/n_conv)</f>
        <v>0.221853235866554</v>
      </c>
      <c r="G8614" s="7" t="n">
        <f aca="false">Sens!$E$8614+(glt_azo_hi-Sens!$E$8614)*MIN(1,(Sens!G8574-base_fy)/n_conv)</f>
        <v>0.201482588693243</v>
      </c>
      <c r="H8614" s="7" t="n">
        <f aca="false">Sens!$E$8614+(glt_azo_hi-Sens!$E$8614)*MIN(1,(Sens!H8574-base_fy)/n_conv)</f>
        <v>0.181111941519932</v>
      </c>
      <c r="I8614" s="7" t="n">
        <f aca="false">Sens!$E$8614+(glt_azo_hi-Sens!$E$8614)*MIN(1,(Sens!I8574-base_fy)/n_conv)</f>
        <v>0.160741294346622</v>
      </c>
      <c r="J8614" s="7" t="n">
        <f aca="false">Sens!$E$8614+(glt_azo_hi-Sens!$E$8614)*MIN(1,(Sens!J8574-base_fy)/n_conv)</f>
        <v>0.140370647173311</v>
      </c>
      <c r="K8614" s="7" t="n">
        <f aca="false">Sens!$E$8614+(glt_azo_hi-Sens!$E$8614)*MIN(1,(Sens!K8574-base_fy)/n_conv)</f>
        <v>0.12</v>
      </c>
    </row>
    <row r="8615" customFormat="false" ht="15" hidden="false" customHeight="false" outlineLevel="0" collapsed="false">
      <c r="A8615" s="0" t="s">
        <v>877</v>
      </c>
      <c r="B8615" s="0" t="s">
        <v>98</v>
      </c>
      <c r="D8615" s="6" t="n">
        <f aca="false">Sens!D8612+Sens!D8613</f>
        <v>72.61</v>
      </c>
      <c r="E8615" s="6" t="n">
        <f aca="false">Sens!E8612+Sens!E8613</f>
        <v>101.938</v>
      </c>
      <c r="F8615" s="6" t="n">
        <f aca="false">Sens!F8612+Sens!F8613</f>
        <v>141.236051082565</v>
      </c>
      <c r="G8615" s="6" t="n">
        <f aca="false">Sens!G8612+Sens!G8613</f>
        <v>183.971535761056</v>
      </c>
      <c r="H8615" s="6" t="n">
        <f aca="false">Sens!H8612+Sens!H8613</f>
        <v>223.428097853739</v>
      </c>
      <c r="I8615" s="6" t="n">
        <f aca="false">Sens!I8612+Sens!I8613</f>
        <v>267.899082266598</v>
      </c>
      <c r="J8615" s="6" t="n">
        <f aca="false">Sens!J8612+Sens!J8613</f>
        <v>305.641657898632</v>
      </c>
      <c r="K8615" s="6" t="n">
        <f aca="false">Sens!K8612+Sens!K8613</f>
        <v>337.060513640173</v>
      </c>
    </row>
    <row r="8616" customFormat="false" ht="17.15" hidden="false" customHeight="false" outlineLevel="0" collapsed="false">
      <c r="A8616" s="0" t="s">
        <v>878</v>
      </c>
      <c r="B8616" s="1" t="s">
        <v>528</v>
      </c>
      <c r="C8616" s="29" t="n">
        <f aca="false">cop_s24</f>
        <v>1</v>
      </c>
      <c r="D8616" s="29" t="n">
        <f aca="false">cop_s25</f>
        <v>5</v>
      </c>
      <c r="E8616" s="29" t="n">
        <f aca="false">cop_s26</f>
        <v>30</v>
      </c>
      <c r="F8616" s="29" t="n">
        <f aca="false">Sens!E8616+cop_add_C</f>
        <v>40</v>
      </c>
      <c r="G8616" s="29" t="n">
        <f aca="false">Sens!F8616+cop_add_C</f>
        <v>50</v>
      </c>
      <c r="H8616" s="29" t="n">
        <f aca="false">Sens!G8616+cop_add_C</f>
        <v>60</v>
      </c>
      <c r="I8616" s="29" t="n">
        <f aca="false">Sens!H8616+cop_add_C*cop_tail</f>
        <v>65</v>
      </c>
      <c r="J8616" s="29" t="n">
        <f aca="false">Sens!I8616+cop_add_C*cop_tail</f>
        <v>70</v>
      </c>
      <c r="K8616" s="29" t="n">
        <f aca="false">Sens!J8616+cop_add_C*cop_tail</f>
        <v>75</v>
      </c>
      <c r="L8616" s="11" t="s">
        <v>879</v>
      </c>
    </row>
    <row r="8617" customFormat="false" ht="17.15" hidden="false" customHeight="false" outlineLevel="0" collapsed="false">
      <c r="A8617" s="0" t="s">
        <v>880</v>
      </c>
      <c r="B8617" s="0" t="s">
        <v>98</v>
      </c>
      <c r="D8617" s="6" t="n">
        <f aca="false">(Sens!C8616+Sens!D8616)/2*cop_px*12/1000</f>
        <v>0.9</v>
      </c>
      <c r="E8617" s="6" t="n">
        <f aca="false">(Sens!D8616+Sens!E8616)/2*cop_px*12/1000</f>
        <v>5.25</v>
      </c>
      <c r="F8617" s="6" t="n">
        <f aca="false">(Sens!E8616+Sens!F8616)/2*cop_px*12/1000</f>
        <v>10.5</v>
      </c>
      <c r="G8617" s="6" t="n">
        <f aca="false">(Sens!F8616+Sens!G8616)/2*cop_px*12/1000</f>
        <v>13.5</v>
      </c>
      <c r="H8617" s="6" t="n">
        <f aca="false">(Sens!G8616+Sens!H8616)/2*cop_px*12/1000</f>
        <v>16.5</v>
      </c>
      <c r="I8617" s="6" t="n">
        <f aca="false">(Sens!H8616+Sens!I8616)/2*cop_px*12/1000</f>
        <v>18.75</v>
      </c>
      <c r="J8617" s="6" t="n">
        <f aca="false">(Sens!I8616+Sens!J8616)/2*cop_px*12/1000</f>
        <v>20.25</v>
      </c>
      <c r="K8617" s="6" t="n">
        <f aca="false">(Sens!J8616+Sens!K8616)/2*cop_px*12/1000</f>
        <v>21.75</v>
      </c>
      <c r="L8617" s="1" t="s">
        <v>881</v>
      </c>
    </row>
    <row r="8618" customFormat="false" ht="17.15" hidden="false" customHeight="false" outlineLevel="0" collapsed="false">
      <c r="A8618" s="0" t="s">
        <v>882</v>
      </c>
      <c r="B8618" s="0" t="s">
        <v>98</v>
      </c>
      <c r="D8618" s="6" t="n">
        <f aca="false">Q!L7-Sens!D8617</f>
        <v>83.705</v>
      </c>
      <c r="E8618" s="6" t="n">
        <f aca="false">Q!M7-Sens!E8617</f>
        <v>95.049</v>
      </c>
      <c r="F8618" s="6" t="n">
        <f aca="false">Sens!E8618*(1+Sens!F8619)</f>
        <v>106.89238776686</v>
      </c>
      <c r="G8618" s="6" t="n">
        <f aca="false">Sens!F8618*(1+Sens!G8619)</f>
        <v>119.044168448684</v>
      </c>
      <c r="H8618" s="6" t="n">
        <f aca="false">Sens!G8618*(1+Sens!H8619)</f>
        <v>131.277359388781</v>
      </c>
      <c r="I8618" s="6" t="n">
        <f aca="false">Sens!H8618*(1+Sens!I8619)</f>
        <v>143.334028071957</v>
      </c>
      <c r="J8618" s="6" t="n">
        <f aca="false">Sens!I8618*(1+Sens!J8619)</f>
        <v>154.932702785465</v>
      </c>
      <c r="K8618" s="6" t="n">
        <f aca="false">Sens!J8618*(1+Sens!K8619)</f>
        <v>165.777991980448</v>
      </c>
    </row>
    <row r="8619" customFormat="false" ht="15" hidden="false" customHeight="false" outlineLevel="0" collapsed="false">
      <c r="A8619" s="1" t="s">
        <v>876</v>
      </c>
      <c r="B8619" s="0" t="s">
        <v>129</v>
      </c>
      <c r="E8619" s="7" t="n">
        <f aca="false">Sens!E8618/Sens!D8618-1</f>
        <v>0.135523564900544</v>
      </c>
      <c r="F8619" s="7" t="n">
        <f aca="false">Sens!$E$8619+(glt_m365b-Sens!$E$8619)*MIN(1,(Sens!F8574-base_fy)/n_conv)</f>
        <v>0.124602970750453</v>
      </c>
      <c r="G8619" s="7" t="n">
        <f aca="false">Sens!$E$8619+(glt_m365b-Sens!$E$8619)*MIN(1,(Sens!G8574-base_fy)/n_conv)</f>
        <v>0.113682376600363</v>
      </c>
      <c r="H8619" s="7" t="n">
        <f aca="false">Sens!$E$8619+(glt_m365b-Sens!$E$8619)*MIN(1,(Sens!H8574-base_fy)/n_conv)</f>
        <v>0.102761782450272</v>
      </c>
      <c r="I8619" s="7" t="n">
        <f aca="false">Sens!$E$8619+(glt_m365b-Sens!$E$8619)*MIN(1,(Sens!I8574-base_fy)/n_conv)</f>
        <v>0.0918411883001813</v>
      </c>
      <c r="J8619" s="7" t="n">
        <f aca="false">Sens!$E$8619+(glt_m365b-Sens!$E$8619)*MIN(1,(Sens!J8574-base_fy)/n_conv)</f>
        <v>0.0809205941500906</v>
      </c>
      <c r="K8619" s="7" t="n">
        <f aca="false">Sens!$E$8619+(glt_m365b-Sens!$E$8619)*MIN(1,(Sens!K8574-base_fy)/n_conv)</f>
        <v>0.07</v>
      </c>
    </row>
    <row r="8620" customFormat="false" ht="15" hidden="false" customHeight="false" outlineLevel="0" collapsed="false">
      <c r="A8620" s="0" t="s">
        <v>883</v>
      </c>
      <c r="B8620" s="0" t="s">
        <v>98</v>
      </c>
      <c r="D8620" s="6" t="n">
        <f aca="false">Sens!D8618+Sens!D8617</f>
        <v>84.605</v>
      </c>
      <c r="E8620" s="6" t="n">
        <f aca="false">Sens!E8618+Sens!E8617</f>
        <v>100.299</v>
      </c>
      <c r="F8620" s="6" t="n">
        <f aca="false">Sens!F8618+Sens!F8617</f>
        <v>117.39238776686</v>
      </c>
      <c r="G8620" s="6" t="n">
        <f aca="false">Sens!G8618+Sens!G8617</f>
        <v>132.544168448684</v>
      </c>
      <c r="H8620" s="6" t="n">
        <f aca="false">Sens!H8618+Sens!H8617</f>
        <v>147.777359388781</v>
      </c>
      <c r="I8620" s="6" t="n">
        <f aca="false">Sens!I8618+Sens!I8617</f>
        <v>162.084028071957</v>
      </c>
      <c r="J8620" s="6" t="n">
        <f aca="false">Sens!J8618+Sens!J8617</f>
        <v>175.182702785465</v>
      </c>
      <c r="K8620" s="6" t="n">
        <f aca="false">Sens!K8618+Sens!K8617</f>
        <v>187.527991980448</v>
      </c>
    </row>
    <row r="8621" customFormat="false" ht="15" hidden="false" customHeight="false" outlineLevel="0" collapsed="false">
      <c r="A8621" s="0" t="s">
        <v>884</v>
      </c>
      <c r="B8621" s="0" t="s">
        <v>98</v>
      </c>
      <c r="D8621" s="6" t="n">
        <f aca="false">Q!L8</f>
        <v>35.391</v>
      </c>
      <c r="E8621" s="6" t="n">
        <f aca="false">Q!M8</f>
        <v>37.285</v>
      </c>
      <c r="F8621" s="6" t="n">
        <f aca="false">Sens!E8621*(1+Sens!F8622)</f>
        <v>39.0720834331704</v>
      </c>
      <c r="G8621" s="6" t="n">
        <f aca="false">Sens!F8621*(1+Sens!G8622)</f>
        <v>40.726562953769</v>
      </c>
      <c r="H8621" s="6" t="n">
        <f aca="false">Sens!G8621*(1+Sens!H8622)</f>
        <v>42.2235987259198</v>
      </c>
      <c r="I8621" s="6" t="n">
        <f aca="false">Sens!H8621*(1+Sens!I8622)</f>
        <v>43.5397988077414</v>
      </c>
      <c r="J8621" s="6" t="n">
        <f aca="false">Sens!I8621*(1+Sens!J8622)</f>
        <v>44.653811225693</v>
      </c>
      <c r="K8621" s="6" t="n">
        <f aca="false">Sens!J8621*(1+Sens!K8622)</f>
        <v>45.5468874502068</v>
      </c>
    </row>
    <row r="8622" customFormat="false" ht="15" hidden="false" customHeight="false" outlineLevel="0" collapsed="false">
      <c r="A8622" s="1" t="s">
        <v>876</v>
      </c>
      <c r="B8622" s="0" t="s">
        <v>129</v>
      </c>
      <c r="E8622" s="7" t="n">
        <f aca="false">Sens!E8621/Sens!D8621-1</f>
        <v>0.0535164307309768</v>
      </c>
      <c r="F8622" s="7" t="n">
        <f aca="false">Sens!$E$8622+(glt_lic-Sens!$E$8622)*MIN(1,(Sens!F8574-base_fy)/n_conv)</f>
        <v>0.0479303589424807</v>
      </c>
      <c r="G8622" s="7" t="n">
        <f aca="false">Sens!$E$8622+(glt_lic-Sens!$E$8622)*MIN(1,(Sens!G8574-base_fy)/n_conv)</f>
        <v>0.0423442871539845</v>
      </c>
      <c r="H8622" s="7" t="n">
        <f aca="false">Sens!$E$8622+(glt_lic-Sens!$E$8622)*MIN(1,(Sens!H8574-base_fy)/n_conv)</f>
        <v>0.0367582153654884</v>
      </c>
      <c r="I8622" s="7" t="n">
        <f aca="false">Sens!$E$8622+(glt_lic-Sens!$E$8622)*MIN(1,(Sens!I8574-base_fy)/n_conv)</f>
        <v>0.0311721435769923</v>
      </c>
      <c r="J8622" s="7" t="n">
        <f aca="false">Sens!$E$8622+(glt_lic-Sens!$E$8622)*MIN(1,(Sens!J8574-base_fy)/n_conv)</f>
        <v>0.0255860717884961</v>
      </c>
      <c r="K8622" s="7" t="n">
        <f aca="false">Sens!$E$8622+(glt_lic-Sens!$E$8622)*MIN(1,(Sens!K8574-base_fy)/n_conv)</f>
        <v>0.02</v>
      </c>
    </row>
    <row r="8623" customFormat="false" ht="15" hidden="false" customHeight="false" outlineLevel="0" collapsed="false">
      <c r="A8623" s="0" t="s">
        <v>885</v>
      </c>
      <c r="B8623" s="0" t="s">
        <v>98</v>
      </c>
      <c r="D8623" s="6" t="n">
        <f aca="false">Q!L9</f>
        <v>18.417</v>
      </c>
      <c r="E8623" s="6" t="n">
        <f aca="false">Q!M9</f>
        <v>20.345</v>
      </c>
      <c r="F8623" s="6" t="n">
        <f aca="false">Sens!E8623*(1+Sens!F8624)</f>
        <v>22.3572203267814</v>
      </c>
      <c r="G8623" s="6" t="n">
        <f aca="false">Sens!F8623*(1+Sens!G8624)</f>
        <v>24.4392124437232</v>
      </c>
      <c r="H8623" s="6" t="n">
        <f aca="false">Sens!G8623*(1+Sens!H8624)</f>
        <v>26.5738052080665</v>
      </c>
      <c r="I8623" s="6" t="n">
        <f aca="false">Sens!H8623*(1+Sens!I8624)</f>
        <v>28.7412169166967</v>
      </c>
      <c r="J8623" s="6" t="n">
        <f aca="false">Sens!I8623*(1+Sens!J8624)</f>
        <v>30.9192545395413</v>
      </c>
      <c r="K8623" s="6" t="n">
        <f aca="false">Sens!J8623*(1+Sens!K8624)</f>
        <v>33.0836023573092</v>
      </c>
    </row>
    <row r="8624" customFormat="false" ht="15" hidden="false" customHeight="false" outlineLevel="0" collapsed="false">
      <c r="A8624" s="1" t="s">
        <v>876</v>
      </c>
      <c r="B8624" s="0" t="s">
        <v>129</v>
      </c>
      <c r="E8624" s="7" t="n">
        <f aca="false">Sens!E8623/Sens!D8623-1</f>
        <v>0.104685888038225</v>
      </c>
      <c r="F8624" s="7" t="n">
        <f aca="false">Sens!$E$8624+(glt_ind-Sens!$E$8624)*MIN(1,(Sens!F8574-base_fy)/n_conv)</f>
        <v>0.0989049066985211</v>
      </c>
      <c r="G8624" s="7" t="n">
        <f aca="false">Sens!$E$8624+(glt_ind-Sens!$E$8624)*MIN(1,(Sens!G8574-base_fy)/n_conv)</f>
        <v>0.0931239253588169</v>
      </c>
      <c r="H8624" s="7" t="n">
        <f aca="false">Sens!$E$8624+(glt_ind-Sens!$E$8624)*MIN(1,(Sens!H8574-base_fy)/n_conv)</f>
        <v>0.0873429440191127</v>
      </c>
      <c r="I8624" s="7" t="n">
        <f aca="false">Sens!$E$8624+(glt_ind-Sens!$E$8624)*MIN(1,(Sens!I8574-base_fy)/n_conv)</f>
        <v>0.0815619626794085</v>
      </c>
      <c r="J8624" s="7" t="n">
        <f aca="false">Sens!$E$8624+(glt_ind-Sens!$E$8624)*MIN(1,(Sens!J8574-base_fy)/n_conv)</f>
        <v>0.0757809813397042</v>
      </c>
      <c r="K8624" s="7" t="n">
        <f aca="false">Sens!$E$8624+(glt_ind-Sens!$E$8624)*MIN(1,(Sens!K8574-base_fy)/n_conv)</f>
        <v>0.07</v>
      </c>
    </row>
    <row r="8625" customFormat="false" ht="15" hidden="false" customHeight="false" outlineLevel="0" collapsed="false">
      <c r="A8625" s="0" t="s">
        <v>886</v>
      </c>
      <c r="B8625" s="0" t="s">
        <v>98</v>
      </c>
      <c r="D8625" s="6" t="n">
        <f aca="false">Q!L10</f>
        <v>7.76</v>
      </c>
      <c r="E8625" s="6" t="n">
        <f aca="false">Q!M10</f>
        <v>8.26</v>
      </c>
      <c r="F8625" s="6" t="n">
        <f aca="false">Sens!E8625*(1+Sens!F8626)</f>
        <v>8.79988041237113</v>
      </c>
      <c r="G8625" s="6" t="n">
        <f aca="false">Sens!F8625*(1+Sens!G8626)</f>
        <v>9.38321269125306</v>
      </c>
      <c r="H8625" s="6" t="n">
        <f aca="false">Sens!G8625*(1+Sens!H8626)</f>
        <v>10.0139193587476</v>
      </c>
      <c r="I8625" s="6" t="n">
        <f aca="false">Sens!H8625*(1+Sens!I8626)</f>
        <v>10.6963111830911</v>
      </c>
      <c r="J8625" s="6" t="n">
        <f aca="false">Sens!I8625*(1+Sens!J8626)</f>
        <v>11.4351285534696</v>
      </c>
      <c r="K8625" s="6" t="n">
        <f aca="false">Sens!J8625*(1+Sens!K8626)</f>
        <v>12.2355875522124</v>
      </c>
    </row>
    <row r="8626" customFormat="false" ht="15" hidden="false" customHeight="false" outlineLevel="0" collapsed="false">
      <c r="A8626" s="1" t="s">
        <v>876</v>
      </c>
      <c r="B8626" s="0" t="s">
        <v>129</v>
      </c>
      <c r="E8626" s="7" t="n">
        <f aca="false">Sens!E8625/Sens!D8625-1</f>
        <v>0.0644329896907216</v>
      </c>
      <c r="F8626" s="7" t="n">
        <f aca="false">Sens!$E$8626+(glt_fro-Sens!$E$8626)*MIN(1,(Sens!F8574-base_fy)/n_conv)</f>
        <v>0.065360824742268</v>
      </c>
      <c r="G8626" s="7" t="n">
        <f aca="false">Sens!$E$8626+(glt_fro-Sens!$E$8626)*MIN(1,(Sens!G8574-base_fy)/n_conv)</f>
        <v>0.0662886597938144</v>
      </c>
      <c r="H8626" s="7" t="n">
        <f aca="false">Sens!$E$8626+(glt_fro-Sens!$E$8626)*MIN(1,(Sens!H8574-base_fy)/n_conv)</f>
        <v>0.0672164948453608</v>
      </c>
      <c r="I8626" s="7" t="n">
        <f aca="false">Sens!$E$8626+(glt_fro-Sens!$E$8626)*MIN(1,(Sens!I8574-base_fy)/n_conv)</f>
        <v>0.0681443298969072</v>
      </c>
      <c r="J8626" s="7" t="n">
        <f aca="false">Sens!$E$8626+(glt_fro-Sens!$E$8626)*MIN(1,(Sens!J8574-base_fy)/n_conv)</f>
        <v>0.0690721649484536</v>
      </c>
      <c r="K8626" s="7" t="n">
        <f aca="false">Sens!$E$8626+(glt_fro-Sens!$E$8626)*MIN(1,(Sens!K8574-base_fy)/n_conv)</f>
        <v>0.07</v>
      </c>
    </row>
    <row r="8627" customFormat="false" ht="15" hidden="false" customHeight="false" outlineLevel="0" collapsed="false">
      <c r="A8627" s="0" t="s">
        <v>715</v>
      </c>
      <c r="B8627" s="0" t="s">
        <v>98</v>
      </c>
      <c r="D8627" s="6" t="n">
        <f aca="false">Sens!D8615+Sens!D8620+Sens!D8621+Sens!D8623+Sens!D8625</f>
        <v>218.783</v>
      </c>
      <c r="E8627" s="6" t="n">
        <f aca="false">Sens!E8615+Sens!E8620+Sens!E8621+Sens!E8623+Sens!E8625</f>
        <v>268.127</v>
      </c>
      <c r="F8627" s="6" t="n">
        <f aca="false">Sens!F8615+Sens!F8620+Sens!F8621+Sens!F8623+Sens!F8625</f>
        <v>328.857623021748</v>
      </c>
      <c r="G8627" s="6" t="n">
        <f aca="false">Sens!G8615+Sens!G8620+Sens!G8621+Sens!G8623+Sens!G8625</f>
        <v>391.064692298485</v>
      </c>
      <c r="H8627" s="6" t="n">
        <f aca="false">Sens!H8615+Sens!H8620+Sens!H8621+Sens!H8623+Sens!H8625</f>
        <v>450.016780535254</v>
      </c>
      <c r="I8627" s="6" t="n">
        <f aca="false">Sens!I8615+Sens!I8620+Sens!I8621+Sens!I8623+Sens!I8625</f>
        <v>512.960437246084</v>
      </c>
      <c r="J8627" s="6" t="n">
        <f aca="false">Sens!J8615+Sens!J8620+Sens!J8621+Sens!J8623+Sens!J8625</f>
        <v>567.832555002801</v>
      </c>
      <c r="K8627" s="6" t="n">
        <f aca="false">Sens!K8615+Sens!K8620+Sens!K8621+Sens!K8623+Sens!K8625</f>
        <v>615.454582980349</v>
      </c>
    </row>
    <row r="8628" customFormat="false" ht="15" hidden="false" customHeight="false" outlineLevel="0" collapsed="false">
      <c r="A8628" s="0" t="s">
        <v>887</v>
      </c>
      <c r="B8628" s="0" t="s">
        <v>98</v>
      </c>
      <c r="D8628" s="6" t="n">
        <f aca="false">Q!L13</f>
        <v>22.171</v>
      </c>
      <c r="E8628" s="6" t="n">
        <f aca="false">Q!M13</f>
        <v>24.835</v>
      </c>
      <c r="F8628" s="6" t="n">
        <f aca="false">Sens!E8628*(1+Sens!F8629)</f>
        <v>27.6114901218559</v>
      </c>
      <c r="G8628" s="6" t="n">
        <f aca="false">Sens!F8628*(1+Sens!G8629)</f>
        <v>30.4675667338515</v>
      </c>
      <c r="H8628" s="6" t="n">
        <f aca="false">Sens!G8628*(1+Sens!H8629)</f>
        <v>33.3643766955789</v>
      </c>
      <c r="I8628" s="6" t="n">
        <f aca="false">Sens!H8628*(1+Sens!I8629)</f>
        <v>36.2577016533691</v>
      </c>
      <c r="J8628" s="6" t="n">
        <f aca="false">Sens!I8628*(1+Sens!J8629)</f>
        <v>39.0988367952171</v>
      </c>
      <c r="K8628" s="6" t="n">
        <f aca="false">Sens!J8628*(1+Sens!K8629)</f>
        <v>41.8357553708823</v>
      </c>
    </row>
    <row r="8629" customFormat="false" ht="15" hidden="false" customHeight="false" outlineLevel="0" collapsed="false">
      <c r="A8629" s="1" t="s">
        <v>876</v>
      </c>
      <c r="B8629" s="0" t="s">
        <v>129</v>
      </c>
      <c r="E8629" s="7" t="n">
        <f aca="false">Sens!E8628/Sens!D8628-1</f>
        <v>0.120156961796942</v>
      </c>
      <c r="F8629" s="7" t="n">
        <f aca="false">Sens!$E$8629+(glt_srch-Sens!$E$8629)*MIN(1,(Sens!F8574-base_fy)/n_conv)</f>
        <v>0.111797468164118</v>
      </c>
      <c r="G8629" s="7" t="n">
        <f aca="false">Sens!$E$8629+(glt_srch-Sens!$E$8629)*MIN(1,(Sens!G8574-base_fy)/n_conv)</f>
        <v>0.103437974531295</v>
      </c>
      <c r="H8629" s="7" t="n">
        <f aca="false">Sens!$E$8629+(glt_srch-Sens!$E$8629)*MIN(1,(Sens!H8574-base_fy)/n_conv)</f>
        <v>0.095078480898471</v>
      </c>
      <c r="I8629" s="7" t="n">
        <f aca="false">Sens!$E$8629+(glt_srch-Sens!$E$8629)*MIN(1,(Sens!I8574-base_fy)/n_conv)</f>
        <v>0.0867189872656474</v>
      </c>
      <c r="J8629" s="7" t="n">
        <f aca="false">Sens!$E$8629+(glt_srch-Sens!$E$8629)*MIN(1,(Sens!J8574-base_fy)/n_conv)</f>
        <v>0.0783594936328237</v>
      </c>
      <c r="K8629" s="7" t="n">
        <f aca="false">Sens!$E$8629+(glt_srch-Sens!$E$8629)*MIN(1,(Sens!K8574-base_fy)/n_conv)</f>
        <v>0.07</v>
      </c>
    </row>
    <row r="8630" customFormat="false" ht="15" hidden="false" customHeight="false" outlineLevel="0" collapsed="false">
      <c r="A8630" s="0" t="s">
        <v>888</v>
      </c>
      <c r="B8630" s="0" t="s">
        <v>98</v>
      </c>
      <c r="D8630" s="6" t="n">
        <f aca="false">Q!L14</f>
        <v>23.455</v>
      </c>
      <c r="E8630" s="6" t="n">
        <f aca="false">Q!M14</f>
        <v>21.79</v>
      </c>
      <c r="F8630" s="6" t="n">
        <f aca="false">Sens!E8630*(1+Sens!F8631)</f>
        <v>20.5736277908051</v>
      </c>
      <c r="G8630" s="6" t="n">
        <f aca="false">Sens!F8630*(1+Sens!G8631)</f>
        <v>19.7371452817919</v>
      </c>
      <c r="H8630" s="6" t="n">
        <f aca="false">Sens!G8630*(1+Sens!H8631)</f>
        <v>19.2339764043138</v>
      </c>
      <c r="I8630" s="6" t="n">
        <f aca="false">Sens!H8630*(1+Sens!I8631)</f>
        <v>19.0353086852681</v>
      </c>
      <c r="J8630" s="6" t="n">
        <f aca="false">Sens!I8630*(1+Sens!J8631)</f>
        <v>19.1273539319129</v>
      </c>
      <c r="K8630" s="6" t="n">
        <f aca="false">Sens!J8630*(1+Sens!K8631)</f>
        <v>19.5099010105511</v>
      </c>
    </row>
    <row r="8631" customFormat="false" ht="15" hidden="false" customHeight="false" outlineLevel="0" collapsed="false">
      <c r="A8631" s="1" t="s">
        <v>876</v>
      </c>
      <c r="B8631" s="0" t="s">
        <v>129</v>
      </c>
      <c r="E8631" s="7" t="n">
        <f aca="false">Sens!E8630/Sens!D8630-1</f>
        <v>-0.0709869963760392</v>
      </c>
      <c r="F8631" s="7" t="n">
        <f aca="false">Sens!$E$8631+(glt_xbox-Sens!$E$8631)*MIN(1,(Sens!F8574-base_fy)/n_conv)</f>
        <v>-0.0558224969800327</v>
      </c>
      <c r="G8631" s="7" t="n">
        <f aca="false">Sens!$E$8631+(glt_xbox-Sens!$E$8631)*MIN(1,(Sens!G8574-base_fy)/n_conv)</f>
        <v>-0.0406579975840262</v>
      </c>
      <c r="H8631" s="7" t="n">
        <f aca="false">Sens!$E$8631+(glt_xbox-Sens!$E$8631)*MIN(1,(Sens!H8574-base_fy)/n_conv)</f>
        <v>-0.0254934981880196</v>
      </c>
      <c r="I8631" s="7" t="n">
        <f aca="false">Sens!$E$8631+(glt_xbox-Sens!$E$8631)*MIN(1,(Sens!I8574-base_fy)/n_conv)</f>
        <v>-0.0103289987920131</v>
      </c>
      <c r="J8631" s="7" t="n">
        <f aca="false">Sens!$E$8631+(glt_xbox-Sens!$E$8631)*MIN(1,(Sens!J8574-base_fy)/n_conv)</f>
        <v>0.00483550060399347</v>
      </c>
      <c r="K8631" s="7" t="n">
        <f aca="false">Sens!$E$8631+(glt_xbox-Sens!$E$8631)*MIN(1,(Sens!K8574-base_fy)/n_conv)</f>
        <v>0.02</v>
      </c>
    </row>
    <row r="8632" customFormat="false" ht="15" hidden="false" customHeight="false" outlineLevel="0" collapsed="false">
      <c r="A8632" s="0" t="s">
        <v>889</v>
      </c>
      <c r="B8632" s="0" t="s">
        <v>98</v>
      </c>
      <c r="D8632" s="6" t="n">
        <f aca="false">Q!L15</f>
        <v>17.315</v>
      </c>
      <c r="E8632" s="6" t="n">
        <f aca="false">Q!M15</f>
        <v>17.087</v>
      </c>
      <c r="F8632" s="6" t="n">
        <f aca="false">Sens!E8632*(1+Sens!F8633)</f>
        <v>16.9564585436519</v>
      </c>
      <c r="G8632" s="6" t="n">
        <f aca="false">Sens!F8632*(1+Sens!G8633)</f>
        <v>16.9206490624268</v>
      </c>
      <c r="H8632" s="6" t="n">
        <f aca="false">Sens!G8632*(1+Sens!H8633)</f>
        <v>16.9784519149849</v>
      </c>
      <c r="I8632" s="6" t="n">
        <f aca="false">Sens!H8632*(1+Sens!I8633)</f>
        <v>17.1303084701817</v>
      </c>
      <c r="J8632" s="6" t="n">
        <f aca="false">Sens!I8632*(1+Sens!J8633)</f>
        <v>17.3782189407267</v>
      </c>
      <c r="K8632" s="6" t="n">
        <f aca="false">Sens!J8632*(1+Sens!K8633)</f>
        <v>17.7257833195413</v>
      </c>
    </row>
    <row r="8633" customFormat="false" ht="15" hidden="false" customHeight="false" outlineLevel="0" collapsed="false">
      <c r="A8633" s="1" t="s">
        <v>876</v>
      </c>
      <c r="B8633" s="0" t="s">
        <v>129</v>
      </c>
      <c r="E8633" s="7" t="n">
        <f aca="false">Sens!E8632/Sens!D8632-1</f>
        <v>-0.0131677736066995</v>
      </c>
      <c r="F8633" s="7" t="n">
        <f aca="false">Sens!$E$8633+(glt_win-Sens!$E$8633)*MIN(1,(Sens!F8574-base_fy)/n_conv)</f>
        <v>-0.00763981133891627</v>
      </c>
      <c r="G8633" s="7" t="n">
        <f aca="false">Sens!$E$8633+(glt_win-Sens!$E$8633)*MIN(1,(Sens!G8574-base_fy)/n_conv)</f>
        <v>-0.00211184907113301</v>
      </c>
      <c r="H8633" s="7" t="n">
        <f aca="false">Sens!$E$8633+(glt_win-Sens!$E$8633)*MIN(1,(Sens!H8574-base_fy)/n_conv)</f>
        <v>0.00341611319665024</v>
      </c>
      <c r="I8633" s="7" t="n">
        <f aca="false">Sens!$E$8633+(glt_win-Sens!$E$8633)*MIN(1,(Sens!I8574-base_fy)/n_conv)</f>
        <v>0.00894407546443349</v>
      </c>
      <c r="J8633" s="7" t="n">
        <f aca="false">Sens!$E$8633+(glt_win-Sens!$E$8633)*MIN(1,(Sens!J8574-base_fy)/n_conv)</f>
        <v>0.0144720377322168</v>
      </c>
      <c r="K8633" s="7" t="n">
        <f aca="false">Sens!$E$8633+(glt_win-Sens!$E$8633)*MIN(1,(Sens!K8574-base_fy)/n_conv)</f>
        <v>0.02</v>
      </c>
    </row>
    <row r="8634" customFormat="false" ht="15" hidden="false" customHeight="false" outlineLevel="0" collapsed="false">
      <c r="A8634" s="0" t="s">
        <v>729</v>
      </c>
      <c r="B8634" s="0" t="s">
        <v>98</v>
      </c>
      <c r="D8634" s="6" t="n">
        <f aca="false">Sens!D8628+Sens!D8630+Sens!D8632</f>
        <v>62.941</v>
      </c>
      <c r="E8634" s="6" t="n">
        <f aca="false">Sens!E8628+Sens!E8630+Sens!E8632</f>
        <v>63.712</v>
      </c>
      <c r="F8634" s="6" t="n">
        <f aca="false">Sens!F8628+Sens!F8630+Sens!F8632</f>
        <v>65.1415764563129</v>
      </c>
      <c r="G8634" s="6" t="n">
        <f aca="false">Sens!G8628+Sens!G8630+Sens!G8632</f>
        <v>67.1253610780702</v>
      </c>
      <c r="H8634" s="6" t="n">
        <f aca="false">Sens!H8628+Sens!H8630+Sens!H8632</f>
        <v>69.5768050148776</v>
      </c>
      <c r="I8634" s="6" t="n">
        <f aca="false">Sens!I8628+Sens!I8630+Sens!I8632</f>
        <v>72.4233188088189</v>
      </c>
      <c r="J8634" s="6" t="n">
        <f aca="false">Sens!J8628+Sens!J8630+Sens!J8632</f>
        <v>75.6044096678567</v>
      </c>
      <c r="K8634" s="6" t="n">
        <f aca="false">Sens!K8628+Sens!K8630+Sens!K8632</f>
        <v>79.0714397009747</v>
      </c>
    </row>
    <row r="8635" customFormat="false" ht="15" hidden="false" customHeight="false" outlineLevel="0" collapsed="false">
      <c r="A8635" s="1" t="s">
        <v>890</v>
      </c>
      <c r="B8635" s="0" t="s">
        <v>98</v>
      </c>
      <c r="D8635" s="6" t="n">
        <f aca="false">Sens!D8627+Sens!D8634</f>
        <v>281.724</v>
      </c>
      <c r="E8635" s="6" t="n">
        <f aca="false">Sens!E8627+Sens!E8634</f>
        <v>331.839</v>
      </c>
      <c r="F8635" s="6" t="n">
        <f aca="false">Sens!F8627+Sens!F8634</f>
        <v>393.999199478061</v>
      </c>
      <c r="G8635" s="6" t="n">
        <f aca="false">Sens!G8627+Sens!G8634</f>
        <v>458.190053376556</v>
      </c>
      <c r="H8635" s="6" t="n">
        <f aca="false">Sens!H8627+Sens!H8634</f>
        <v>519.593585550132</v>
      </c>
      <c r="I8635" s="6" t="n">
        <f aca="false">Sens!I8627+Sens!I8634</f>
        <v>585.383756054902</v>
      </c>
      <c r="J8635" s="6" t="n">
        <f aca="false">Sens!J8627+Sens!J8634</f>
        <v>643.436964670658</v>
      </c>
      <c r="K8635" s="6" t="n">
        <f aca="false">Sens!K8627+Sens!K8634</f>
        <v>694.526022681324</v>
      </c>
    </row>
    <row r="8636" customFormat="false" ht="15" hidden="false" customHeight="false" outlineLevel="0" collapsed="false">
      <c r="A8636" s="23" t="s">
        <v>891</v>
      </c>
      <c r="B8636" s="30" t="s">
        <v>98</v>
      </c>
      <c r="C8636" s="30"/>
      <c r="D8636" s="24" t="n">
        <f aca="false">(Sens!D8615+Sens!D8620+Sens!D8621+Sens!D8623+Sens!D8625-Sens!D8627)+(Sens!D8628+Sens!D8630+Sens!D8632-Sens!D8634)+(Sens!D8627-Q!L5)+(Sens!D8634-Q!L12)+(Sens!D8615-Q!L6)+(Sens!D8620-Q!L7)</f>
        <v>0</v>
      </c>
      <c r="E8636" s="24" t="n">
        <f aca="false">(Sens!E8615+Sens!E8620+Sens!E8621+Sens!E8623+Sens!E8625-Sens!E8627)+(Sens!E8628+Sens!E8630+Sens!E8632-Sens!E8634)+(Sens!E8627-Q!M5)+(Sens!E8634-Q!M12)+(Sens!E8615-Q!M6)+(Sens!E8620-Q!M7)</f>
        <v>0</v>
      </c>
      <c r="F8636" s="24" t="n">
        <f aca="false">(Sens!F8615+Sens!F8620+Sens!F8621+Sens!F8623+Sens!F8625-Sens!F8627)+(Sens!F8628+Sens!F8630+Sens!F8632-Sens!F8634)</f>
        <v>0</v>
      </c>
      <c r="G8636" s="24" t="n">
        <f aca="false">(Sens!G8615+Sens!G8620+Sens!G8621+Sens!G8623+Sens!G8625-Sens!G8627)+(Sens!G8628+Sens!G8630+Sens!G8632-Sens!G8634)</f>
        <v>0</v>
      </c>
      <c r="H8636" s="24" t="n">
        <f aca="false">(Sens!H8615+Sens!H8620+Sens!H8621+Sens!H8623+Sens!H8625-Sens!H8627)+(Sens!H8628+Sens!H8630+Sens!H8632-Sens!H8634)</f>
        <v>0</v>
      </c>
      <c r="I8636" s="24" t="n">
        <f aca="false">(Sens!I8615+Sens!I8620+Sens!I8621+Sens!I8623+Sens!I8625-Sens!I8627)+(Sens!I8628+Sens!I8630+Sens!I8632-Sens!I8634)</f>
        <v>0</v>
      </c>
      <c r="J8636" s="24" t="n">
        <f aca="false">(Sens!J8615+Sens!J8620+Sens!J8621+Sens!J8623+Sens!J8625-Sens!J8627)+(Sens!J8628+Sens!J8630+Sens!J8632-Sens!J8634)</f>
        <v>0</v>
      </c>
      <c r="K8636" s="24" t="n">
        <f aca="false">(Sens!K8615+Sens!K8620+Sens!K8621+Sens!K8623+Sens!K8625-Sens!K8627)+(Sens!K8628+Sens!K8630+Sens!K8632-Sens!K8634)</f>
        <v>0</v>
      </c>
    </row>
    <row r="8637" customFormat="false" ht="17.15" hidden="false" customHeight="false" outlineLevel="0" collapsed="false">
      <c r="A8637" s="3" t="s">
        <v>1484</v>
      </c>
    </row>
    <row r="8638" customFormat="false" ht="15" hidden="false" customHeight="false" outlineLevel="0" collapsed="false">
      <c r="A8638" s="4" t="s">
        <v>43</v>
      </c>
      <c r="B8638" s="4" t="s">
        <v>65</v>
      </c>
      <c r="C8638" s="20" t="s">
        <v>799</v>
      </c>
      <c r="D8638" s="20" t="s">
        <v>800</v>
      </c>
      <c r="E8638" s="20" t="s">
        <v>801</v>
      </c>
      <c r="F8638" s="20" t="s">
        <v>802</v>
      </c>
      <c r="G8638" s="20" t="s">
        <v>803</v>
      </c>
      <c r="H8638" s="20" t="s">
        <v>804</v>
      </c>
      <c r="I8638" s="20" t="s">
        <v>805</v>
      </c>
      <c r="J8638" s="20" t="s">
        <v>806</v>
      </c>
      <c r="K8638" s="20" t="s">
        <v>807</v>
      </c>
      <c r="L8638" s="4" t="s">
        <v>47</v>
      </c>
    </row>
    <row r="8639" customFormat="false" ht="15" hidden="false" customHeight="false" outlineLevel="0" collapsed="false">
      <c r="A8639" s="0" t="s">
        <v>877</v>
      </c>
      <c r="B8639" s="0" t="s">
        <v>98</v>
      </c>
      <c r="D8639" s="6" t="n">
        <f aca="false">Sens!D8615</f>
        <v>72.61</v>
      </c>
      <c r="E8639" s="6" t="n">
        <f aca="false">Sens!E8615</f>
        <v>101.938</v>
      </c>
      <c r="F8639" s="6" t="n">
        <f aca="false">Sens!F8615</f>
        <v>141.236051082565</v>
      </c>
      <c r="G8639" s="6" t="n">
        <f aca="false">Sens!G8615</f>
        <v>183.971535761056</v>
      </c>
      <c r="H8639" s="6" t="n">
        <f aca="false">Sens!H8615</f>
        <v>223.428097853739</v>
      </c>
      <c r="I8639" s="6" t="n">
        <f aca="false">Sens!I8615</f>
        <v>267.899082266598</v>
      </c>
      <c r="J8639" s="6" t="n">
        <f aca="false">Sens!J8615</f>
        <v>305.641657898632</v>
      </c>
      <c r="K8639" s="6" t="n">
        <f aca="false">Sens!K8615</f>
        <v>337.060513640173</v>
      </c>
    </row>
    <row r="8640" customFormat="false" ht="17.15" hidden="false" customHeight="false" outlineLevel="0" collapsed="false">
      <c r="A8640" s="0" t="s">
        <v>874</v>
      </c>
      <c r="B8640" s="0" t="s">
        <v>98</v>
      </c>
      <c r="D8640" s="6" t="n">
        <f aca="false">Sens!D8612</f>
        <v>12.9359794422418</v>
      </c>
      <c r="E8640" s="6" t="n">
        <f aca="false">Sens!E8612</f>
        <v>27.8095064661409</v>
      </c>
      <c r="F8640" s="6" t="n">
        <f aca="false">Sens!F8612</f>
        <v>50.6619113883066</v>
      </c>
      <c r="G8640" s="6" t="n">
        <f aca="false">Sens!G8612</f>
        <v>75.1482839325348</v>
      </c>
      <c r="H8640" s="6" t="n">
        <f aca="false">Sens!H8612</f>
        <v>94.895655604042</v>
      </c>
      <c r="I8640" s="6" t="n">
        <f aca="false">Sens!I8612</f>
        <v>118.706168884151</v>
      </c>
      <c r="J8640" s="6" t="n">
        <f aca="false">Sens!J8612</f>
        <v>135.50643871102</v>
      </c>
      <c r="K8640" s="6" t="n">
        <f aca="false">Sens!K8612</f>
        <v>146.509068150048</v>
      </c>
    </row>
    <row r="8641" customFormat="false" ht="17.15" hidden="false" customHeight="false" outlineLevel="0" collapsed="false">
      <c r="A8641" s="0" t="s">
        <v>902</v>
      </c>
      <c r="B8641" s="0" t="s">
        <v>98</v>
      </c>
      <c r="D8641" s="6" t="n">
        <f aca="false">Sens!D8613</f>
        <v>59.6740205577583</v>
      </c>
      <c r="E8641" s="6" t="n">
        <f aca="false">Sens!E8613</f>
        <v>74.1284935338591</v>
      </c>
      <c r="F8641" s="6" t="n">
        <f aca="false">Sens!F8613</f>
        <v>90.5741396942587</v>
      </c>
      <c r="G8641" s="6" t="n">
        <f aca="false">Sens!G8613</f>
        <v>108.823251828521</v>
      </c>
      <c r="H8641" s="6" t="n">
        <f aca="false">Sens!H8613</f>
        <v>128.532442249697</v>
      </c>
      <c r="I8641" s="6" t="n">
        <f aca="false">Sens!I8613</f>
        <v>149.192913382446</v>
      </c>
      <c r="J8641" s="6" t="n">
        <f aca="false">Sens!J8613</f>
        <v>170.135219187612</v>
      </c>
      <c r="K8641" s="6" t="n">
        <f aca="false">Sens!K8613</f>
        <v>190.551445490125</v>
      </c>
    </row>
    <row r="8642" customFormat="false" ht="15" hidden="false" customHeight="false" outlineLevel="0" collapsed="false">
      <c r="A8642" s="0" t="s">
        <v>883</v>
      </c>
      <c r="B8642" s="0" t="s">
        <v>98</v>
      </c>
      <c r="D8642" s="6" t="n">
        <f aca="false">Sens!D8620</f>
        <v>84.605</v>
      </c>
      <c r="E8642" s="6" t="n">
        <f aca="false">Sens!E8620</f>
        <v>100.299</v>
      </c>
      <c r="F8642" s="6" t="n">
        <f aca="false">Sens!F8620</f>
        <v>117.39238776686</v>
      </c>
      <c r="G8642" s="6" t="n">
        <f aca="false">Sens!G8620</f>
        <v>132.544168448684</v>
      </c>
      <c r="H8642" s="6" t="n">
        <f aca="false">Sens!H8620</f>
        <v>147.777359388781</v>
      </c>
      <c r="I8642" s="6" t="n">
        <f aca="false">Sens!I8620</f>
        <v>162.084028071957</v>
      </c>
      <c r="J8642" s="6" t="n">
        <f aca="false">Sens!J8620</f>
        <v>175.182702785465</v>
      </c>
      <c r="K8642" s="6" t="n">
        <f aca="false">Sens!K8620</f>
        <v>187.527991980448</v>
      </c>
    </row>
    <row r="8643" customFormat="false" ht="17.15" hidden="false" customHeight="false" outlineLevel="0" collapsed="false">
      <c r="A8643" s="0" t="s">
        <v>903</v>
      </c>
      <c r="B8643" s="0" t="s">
        <v>98</v>
      </c>
      <c r="D8643" s="6" t="n">
        <f aca="false">Sens!D8618</f>
        <v>83.705</v>
      </c>
      <c r="E8643" s="6" t="n">
        <f aca="false">Sens!E8618</f>
        <v>95.049</v>
      </c>
      <c r="F8643" s="6" t="n">
        <f aca="false">Sens!F8618</f>
        <v>106.89238776686</v>
      </c>
      <c r="G8643" s="6" t="n">
        <f aca="false">Sens!G8618</f>
        <v>119.044168448684</v>
      </c>
      <c r="H8643" s="6" t="n">
        <f aca="false">Sens!H8618</f>
        <v>131.277359388781</v>
      </c>
      <c r="I8643" s="6" t="n">
        <f aca="false">Sens!I8618</f>
        <v>143.334028071957</v>
      </c>
      <c r="J8643" s="6" t="n">
        <f aca="false">Sens!J8618</f>
        <v>154.932702785465</v>
      </c>
      <c r="K8643" s="6" t="n">
        <f aca="false">Sens!K8618</f>
        <v>165.777991980448</v>
      </c>
    </row>
    <row r="8644" customFormat="false" ht="17.15" hidden="false" customHeight="false" outlineLevel="0" collapsed="false">
      <c r="A8644" s="0" t="s">
        <v>904</v>
      </c>
      <c r="B8644" s="0" t="s">
        <v>98</v>
      </c>
      <c r="D8644" s="6" t="n">
        <f aca="false">Sens!D8617</f>
        <v>0.9</v>
      </c>
      <c r="E8644" s="6" t="n">
        <f aca="false">Sens!E8617</f>
        <v>5.25</v>
      </c>
      <c r="F8644" s="6" t="n">
        <f aca="false">Sens!F8617</f>
        <v>10.5</v>
      </c>
      <c r="G8644" s="6" t="n">
        <f aca="false">Sens!G8617</f>
        <v>13.5</v>
      </c>
      <c r="H8644" s="6" t="n">
        <f aca="false">Sens!H8617</f>
        <v>16.5</v>
      </c>
      <c r="I8644" s="6" t="n">
        <f aca="false">Sens!I8617</f>
        <v>18.75</v>
      </c>
      <c r="J8644" s="6" t="n">
        <f aca="false">Sens!J8617</f>
        <v>20.25</v>
      </c>
      <c r="K8644" s="6" t="n">
        <f aca="false">Sens!K8617</f>
        <v>21.75</v>
      </c>
    </row>
    <row r="8645" customFormat="false" ht="15" hidden="false" customHeight="false" outlineLevel="0" collapsed="false">
      <c r="A8645" s="0" t="s">
        <v>884</v>
      </c>
      <c r="B8645" s="0" t="s">
        <v>98</v>
      </c>
      <c r="D8645" s="6" t="n">
        <f aca="false">Sens!D8621</f>
        <v>35.391</v>
      </c>
      <c r="E8645" s="6" t="n">
        <f aca="false">Sens!E8621</f>
        <v>37.285</v>
      </c>
      <c r="F8645" s="6" t="n">
        <f aca="false">Sens!F8621</f>
        <v>39.0720834331704</v>
      </c>
      <c r="G8645" s="6" t="n">
        <f aca="false">Sens!G8621</f>
        <v>40.726562953769</v>
      </c>
      <c r="H8645" s="6" t="n">
        <f aca="false">Sens!H8621</f>
        <v>42.2235987259198</v>
      </c>
      <c r="I8645" s="6" t="n">
        <f aca="false">Sens!I8621</f>
        <v>43.5397988077414</v>
      </c>
      <c r="J8645" s="6" t="n">
        <f aca="false">Sens!J8621</f>
        <v>44.653811225693</v>
      </c>
      <c r="K8645" s="6" t="n">
        <f aca="false">Sens!K8621</f>
        <v>45.5468874502068</v>
      </c>
    </row>
    <row r="8646" customFormat="false" ht="15" hidden="false" customHeight="false" outlineLevel="0" collapsed="false">
      <c r="A8646" s="0" t="s">
        <v>885</v>
      </c>
      <c r="B8646" s="0" t="s">
        <v>98</v>
      </c>
      <c r="D8646" s="6" t="n">
        <f aca="false">Sens!D8623</f>
        <v>18.417</v>
      </c>
      <c r="E8646" s="6" t="n">
        <f aca="false">Sens!E8623</f>
        <v>20.345</v>
      </c>
      <c r="F8646" s="6" t="n">
        <f aca="false">Sens!F8623</f>
        <v>22.3572203267814</v>
      </c>
      <c r="G8646" s="6" t="n">
        <f aca="false">Sens!G8623</f>
        <v>24.4392124437232</v>
      </c>
      <c r="H8646" s="6" t="n">
        <f aca="false">Sens!H8623</f>
        <v>26.5738052080665</v>
      </c>
      <c r="I8646" s="6" t="n">
        <f aca="false">Sens!I8623</f>
        <v>28.7412169166967</v>
      </c>
      <c r="J8646" s="6" t="n">
        <f aca="false">Sens!J8623</f>
        <v>30.9192545395413</v>
      </c>
      <c r="K8646" s="6" t="n">
        <f aca="false">Sens!K8623</f>
        <v>33.0836023573092</v>
      </c>
    </row>
    <row r="8647" customFormat="false" ht="15" hidden="false" customHeight="false" outlineLevel="0" collapsed="false">
      <c r="A8647" s="0" t="s">
        <v>886</v>
      </c>
      <c r="B8647" s="0" t="s">
        <v>98</v>
      </c>
      <c r="D8647" s="6" t="n">
        <f aca="false">Sens!D8625</f>
        <v>7.76</v>
      </c>
      <c r="E8647" s="6" t="n">
        <f aca="false">Sens!E8625</f>
        <v>8.26</v>
      </c>
      <c r="F8647" s="6" t="n">
        <f aca="false">Sens!F8625</f>
        <v>8.79988041237113</v>
      </c>
      <c r="G8647" s="6" t="n">
        <f aca="false">Sens!G8625</f>
        <v>9.38321269125306</v>
      </c>
      <c r="H8647" s="6" t="n">
        <f aca="false">Sens!H8625</f>
        <v>10.0139193587476</v>
      </c>
      <c r="I8647" s="6" t="n">
        <f aca="false">Sens!I8625</f>
        <v>10.6963111830911</v>
      </c>
      <c r="J8647" s="6" t="n">
        <f aca="false">Sens!J8625</f>
        <v>11.4351285534696</v>
      </c>
      <c r="K8647" s="6" t="n">
        <f aca="false">Sens!K8625</f>
        <v>12.2355875522124</v>
      </c>
    </row>
    <row r="8648" customFormat="false" ht="15" hidden="false" customHeight="false" outlineLevel="0" collapsed="false">
      <c r="A8648" s="0" t="s">
        <v>715</v>
      </c>
      <c r="B8648" s="0" t="s">
        <v>98</v>
      </c>
      <c r="D8648" s="6" t="n">
        <f aca="false">Sens!D8627</f>
        <v>218.783</v>
      </c>
      <c r="E8648" s="6" t="n">
        <f aca="false">Sens!E8627</f>
        <v>268.127</v>
      </c>
      <c r="F8648" s="6" t="n">
        <f aca="false">Sens!F8627</f>
        <v>328.857623021748</v>
      </c>
      <c r="G8648" s="6" t="n">
        <f aca="false">Sens!G8627</f>
        <v>391.064692298485</v>
      </c>
      <c r="H8648" s="6" t="n">
        <f aca="false">Sens!H8627</f>
        <v>450.016780535254</v>
      </c>
      <c r="I8648" s="6" t="n">
        <f aca="false">Sens!I8627</f>
        <v>512.960437246084</v>
      </c>
      <c r="J8648" s="6" t="n">
        <f aca="false">Sens!J8627</f>
        <v>567.832555002801</v>
      </c>
      <c r="K8648" s="6" t="n">
        <f aca="false">Sens!K8627</f>
        <v>615.454582980349</v>
      </c>
    </row>
    <row r="8649" customFormat="false" ht="15" hidden="false" customHeight="false" outlineLevel="0" collapsed="false">
      <c r="A8649" s="0" t="s">
        <v>887</v>
      </c>
      <c r="B8649" s="0" t="s">
        <v>98</v>
      </c>
      <c r="D8649" s="6" t="n">
        <f aca="false">Sens!D8628</f>
        <v>22.171</v>
      </c>
      <c r="E8649" s="6" t="n">
        <f aca="false">Sens!E8628</f>
        <v>24.835</v>
      </c>
      <c r="F8649" s="6" t="n">
        <f aca="false">Sens!F8628</f>
        <v>27.6114901218559</v>
      </c>
      <c r="G8649" s="6" t="n">
        <f aca="false">Sens!G8628</f>
        <v>30.4675667338515</v>
      </c>
      <c r="H8649" s="6" t="n">
        <f aca="false">Sens!H8628</f>
        <v>33.3643766955789</v>
      </c>
      <c r="I8649" s="6" t="n">
        <f aca="false">Sens!I8628</f>
        <v>36.2577016533691</v>
      </c>
      <c r="J8649" s="6" t="n">
        <f aca="false">Sens!J8628</f>
        <v>39.0988367952171</v>
      </c>
      <c r="K8649" s="6" t="n">
        <f aca="false">Sens!K8628</f>
        <v>41.8357553708823</v>
      </c>
    </row>
    <row r="8650" customFormat="false" ht="15" hidden="false" customHeight="false" outlineLevel="0" collapsed="false">
      <c r="A8650" s="0" t="s">
        <v>888</v>
      </c>
      <c r="B8650" s="0" t="s">
        <v>98</v>
      </c>
      <c r="D8650" s="6" t="n">
        <f aca="false">Sens!D8630</f>
        <v>23.455</v>
      </c>
      <c r="E8650" s="6" t="n">
        <f aca="false">Sens!E8630</f>
        <v>21.79</v>
      </c>
      <c r="F8650" s="6" t="n">
        <f aca="false">Sens!F8630</f>
        <v>20.5736277908051</v>
      </c>
      <c r="G8650" s="6" t="n">
        <f aca="false">Sens!G8630</f>
        <v>19.7371452817919</v>
      </c>
      <c r="H8650" s="6" t="n">
        <f aca="false">Sens!H8630</f>
        <v>19.2339764043138</v>
      </c>
      <c r="I8650" s="6" t="n">
        <f aca="false">Sens!I8630</f>
        <v>19.0353086852681</v>
      </c>
      <c r="J8650" s="6" t="n">
        <f aca="false">Sens!J8630</f>
        <v>19.1273539319129</v>
      </c>
      <c r="K8650" s="6" t="n">
        <f aca="false">Sens!K8630</f>
        <v>19.5099010105511</v>
      </c>
    </row>
    <row r="8651" customFormat="false" ht="15" hidden="false" customHeight="false" outlineLevel="0" collapsed="false">
      <c r="A8651" s="0" t="s">
        <v>889</v>
      </c>
      <c r="B8651" s="0" t="s">
        <v>98</v>
      </c>
      <c r="D8651" s="6" t="n">
        <f aca="false">Sens!D8632</f>
        <v>17.315</v>
      </c>
      <c r="E8651" s="6" t="n">
        <f aca="false">Sens!E8632</f>
        <v>17.087</v>
      </c>
      <c r="F8651" s="6" t="n">
        <f aca="false">Sens!F8632</f>
        <v>16.9564585436519</v>
      </c>
      <c r="G8651" s="6" t="n">
        <f aca="false">Sens!G8632</f>
        <v>16.9206490624268</v>
      </c>
      <c r="H8651" s="6" t="n">
        <f aca="false">Sens!H8632</f>
        <v>16.9784519149849</v>
      </c>
      <c r="I8651" s="6" t="n">
        <f aca="false">Sens!I8632</f>
        <v>17.1303084701817</v>
      </c>
      <c r="J8651" s="6" t="n">
        <f aca="false">Sens!J8632</f>
        <v>17.3782189407267</v>
      </c>
      <c r="K8651" s="6" t="n">
        <f aca="false">Sens!K8632</f>
        <v>17.7257833195413</v>
      </c>
    </row>
    <row r="8652" customFormat="false" ht="15" hidden="false" customHeight="false" outlineLevel="0" collapsed="false">
      <c r="A8652" s="0" t="s">
        <v>729</v>
      </c>
      <c r="B8652" s="0" t="s">
        <v>98</v>
      </c>
      <c r="D8652" s="6" t="n">
        <f aca="false">Sens!D8634</f>
        <v>62.941</v>
      </c>
      <c r="E8652" s="6" t="n">
        <f aca="false">Sens!E8634</f>
        <v>63.712</v>
      </c>
      <c r="F8652" s="6" t="n">
        <f aca="false">Sens!F8634</f>
        <v>65.1415764563129</v>
      </c>
      <c r="G8652" s="6" t="n">
        <f aca="false">Sens!G8634</f>
        <v>67.1253610780702</v>
      </c>
      <c r="H8652" s="6" t="n">
        <f aca="false">Sens!H8634</f>
        <v>69.5768050148776</v>
      </c>
      <c r="I8652" s="6" t="n">
        <f aca="false">Sens!I8634</f>
        <v>72.4233188088189</v>
      </c>
      <c r="J8652" s="6" t="n">
        <f aca="false">Sens!J8634</f>
        <v>75.6044096678567</v>
      </c>
      <c r="K8652" s="6" t="n">
        <f aca="false">Sens!K8634</f>
        <v>79.0714397009747</v>
      </c>
    </row>
    <row r="8653" customFormat="false" ht="15" hidden="false" customHeight="false" outlineLevel="0" collapsed="false">
      <c r="A8653" s="1" t="s">
        <v>905</v>
      </c>
      <c r="B8653" s="0" t="s">
        <v>98</v>
      </c>
      <c r="D8653" s="6" t="n">
        <f aca="false">Sens!D8635</f>
        <v>281.724</v>
      </c>
      <c r="E8653" s="6" t="n">
        <f aca="false">Sens!E8635</f>
        <v>331.839</v>
      </c>
      <c r="F8653" s="6" t="n">
        <f aca="false">Sens!F8635</f>
        <v>393.999199478061</v>
      </c>
      <c r="G8653" s="6" t="n">
        <f aca="false">Sens!G8635</f>
        <v>458.190053376556</v>
      </c>
      <c r="H8653" s="6" t="n">
        <f aca="false">Sens!H8635</f>
        <v>519.593585550132</v>
      </c>
      <c r="I8653" s="6" t="n">
        <f aca="false">Sens!I8635</f>
        <v>585.383756054902</v>
      </c>
      <c r="J8653" s="6" t="n">
        <f aca="false">Sens!J8635</f>
        <v>643.436964670658</v>
      </c>
      <c r="K8653" s="6" t="n">
        <f aca="false">Sens!K8635</f>
        <v>694.526022681324</v>
      </c>
    </row>
    <row r="8654" customFormat="false" ht="15" hidden="false" customHeight="false" outlineLevel="0" collapsed="false">
      <c r="A8654" s="1" t="s">
        <v>906</v>
      </c>
      <c r="B8654" s="0" t="s">
        <v>129</v>
      </c>
      <c r="E8654" s="7" t="n">
        <f aca="false">Sens!E8653/Sens!D8653-1</f>
        <v>0.177886867998467</v>
      </c>
      <c r="F8654" s="7" t="n">
        <f aca="false">Sens!F8653/Sens!E8653-1</f>
        <v>0.187320355588285</v>
      </c>
      <c r="G8654" s="7" t="n">
        <f aca="false">Sens!G8653/Sens!F8653-1</f>
        <v>0.162921280001405</v>
      </c>
      <c r="H8654" s="7" t="n">
        <f aca="false">Sens!H8653/Sens!G8653-1</f>
        <v>0.13401323691135</v>
      </c>
      <c r="I8654" s="7" t="n">
        <f aca="false">Sens!I8653/Sens!H8653-1</f>
        <v>0.126618519424395</v>
      </c>
      <c r="J8654" s="7" t="n">
        <f aca="false">Sens!J8653/Sens!I8653-1</f>
        <v>0.0991711984066581</v>
      </c>
      <c r="K8654" s="7" t="n">
        <f aca="false">Sens!K8653/Sens!J8653-1</f>
        <v>0.0794002533516487</v>
      </c>
    </row>
    <row r="8655" customFormat="false" ht="17.15" hidden="false" customHeight="false" outlineLevel="0" collapsed="false">
      <c r="A8655" s="23" t="s">
        <v>907</v>
      </c>
      <c r="B8655" s="30" t="s">
        <v>98</v>
      </c>
      <c r="C8655" s="30"/>
      <c r="D8655" s="24" t="n">
        <f aca="false">(Sens!D8648+Sens!D8652-Sens!D8653)+(Sens!D8640+Sens!D8641-Sens!D8639)+(Sens!D8643+Sens!D8644-Sens!D8642)+(Sens!D8653-Q!L18)</f>
        <v>0</v>
      </c>
      <c r="E8655" s="24" t="n">
        <f aca="false">(Sens!E8648+Sens!E8652-Sens!E8653)+(Sens!E8640+Sens!E8641-Sens!E8639)+(Sens!E8643+Sens!E8644-Sens!E8642)+(Sens!E8653-Q!M18)</f>
        <v>0</v>
      </c>
      <c r="F8655" s="24" t="n">
        <f aca="false">(Sens!F8648+Sens!F8652-Sens!F8653)+(Sens!F8640+Sens!F8641-Sens!F8639)+(Sens!F8643+Sens!F8644-Sens!F8642)</f>
        <v>0</v>
      </c>
      <c r="G8655" s="24" t="n">
        <f aca="false">(Sens!G8648+Sens!G8652-Sens!G8653)+(Sens!G8640+Sens!G8641-Sens!G8639)+(Sens!G8643+Sens!G8644-Sens!G8642)</f>
        <v>0</v>
      </c>
      <c r="H8655" s="24" t="n">
        <f aca="false">(Sens!H8648+Sens!H8652-Sens!H8653)+(Sens!H8640+Sens!H8641-Sens!H8639)+(Sens!H8643+Sens!H8644-Sens!H8642)</f>
        <v>0</v>
      </c>
      <c r="I8655" s="24" t="n">
        <f aca="false">(Sens!I8648+Sens!I8652-Sens!I8653)+(Sens!I8640+Sens!I8641-Sens!I8639)+(Sens!I8643+Sens!I8644-Sens!I8642)</f>
        <v>0</v>
      </c>
      <c r="J8655" s="24" t="n">
        <f aca="false">(Sens!J8648+Sens!J8652-Sens!J8653)+(Sens!J8640+Sens!J8641-Sens!J8639)+(Sens!J8643+Sens!J8644-Sens!J8642)</f>
        <v>0</v>
      </c>
      <c r="K8655" s="24" t="n">
        <f aca="false">(Sens!K8648+Sens!K8652-Sens!K8653)+(Sens!K8640+Sens!K8641-Sens!K8639)+(Sens!K8643+Sens!K8644-Sens!K8642)</f>
        <v>0</v>
      </c>
    </row>
    <row r="8656" customFormat="false" ht="17.15" hidden="false" customHeight="false" outlineLevel="0" collapsed="false">
      <c r="A8656" s="0" t="s">
        <v>908</v>
      </c>
      <c r="B8656" s="0" t="s">
        <v>129</v>
      </c>
      <c r="E8656" s="7" t="n">
        <f aca="false">(Q!M21+Sens!E8593+Sens!E8594+Sens!E8595+Sens!E8608-Sens!E8591)/(Q!M5-Sens!E8591)</f>
        <v>0.570957350878296</v>
      </c>
      <c r="F8656" s="7" t="n">
        <f aca="false">Sens!$E$8656+dm_seg</f>
        <v>0.570957350878296</v>
      </c>
      <c r="G8656" s="7" t="n">
        <f aca="false">Sens!$E$8656+dm_seg</f>
        <v>0.570957350878296</v>
      </c>
      <c r="H8656" s="7" t="n">
        <f aca="false">Sens!$E$8656+dm_seg</f>
        <v>0.570957350878296</v>
      </c>
      <c r="I8656" s="7" t="n">
        <f aca="false">Sens!$E$8656+dm_seg</f>
        <v>0.570957350878296</v>
      </c>
      <c r="J8656" s="7" t="n">
        <f aca="false">Sens!$E$8656+dm_seg</f>
        <v>0.570957350878296</v>
      </c>
      <c r="K8656" s="7" t="n">
        <f aca="false">Sens!$E$8656+dm_seg</f>
        <v>0.570957350878296</v>
      </c>
      <c r="L8656" s="11" t="s">
        <v>909</v>
      </c>
    </row>
    <row r="8657" customFormat="false" ht="17.15" hidden="false" customHeight="false" outlineLevel="0" collapsed="false">
      <c r="A8657" s="0" t="s">
        <v>743</v>
      </c>
      <c r="B8657" s="0" t="s">
        <v>98</v>
      </c>
      <c r="D8657" s="6" t="n">
        <f aca="false">Q!L21</f>
        <v>110.814</v>
      </c>
      <c r="E8657" s="6" t="n">
        <f aca="false">Q!M21</f>
        <v>136.365</v>
      </c>
      <c r="F8657" s="6" t="n">
        <f aca="false">Sens!F8656*(Sens!F8627-Sens!F8591)+Sens!F8591-(Sens!F8593+Sens!F8594+Sens!F8595)-Sens!F8608-Sens!F8691</f>
        <v>152.478520280249</v>
      </c>
      <c r="G8657" s="6" t="n">
        <f aca="false">Sens!G8656*(Sens!G8627-Sens!G8591)+Sens!G8591-(Sens!G8593+Sens!G8594+Sens!G8595)-Sens!G8608-Sens!G8691</f>
        <v>161.964720004537</v>
      </c>
      <c r="H8657" s="6" t="n">
        <f aca="false">Sens!H8656*(Sens!H8627-Sens!H8591)+Sens!H8591-(Sens!H8593+Sens!H8594+Sens!H8595)-Sens!H8608-Sens!H8691</f>
        <v>165.738782185836</v>
      </c>
      <c r="I8657" s="6" t="n">
        <f aca="false">Sens!I8656*(Sens!I8627-Sens!I8591)+Sens!I8591-(Sens!I8593+Sens!I8594+Sens!I8595)-Sens!I8608-Sens!I8691</f>
        <v>178.01566696229</v>
      </c>
      <c r="J8657" s="6" t="n">
        <f aca="false">Sens!J8656*(Sens!J8627-Sens!J8591)+Sens!J8591-(Sens!J8593+Sens!J8594+Sens!J8595)-Sens!J8608-Sens!J8691</f>
        <v>192.604162790389</v>
      </c>
      <c r="K8657" s="6" t="n">
        <f aca="false">Sens!K8656*(Sens!K8627-Sens!K8591)+Sens!K8591-(Sens!K8593+Sens!K8594+Sens!K8595)-Sens!K8608-Sens!K8691</f>
        <v>209.6551142389</v>
      </c>
      <c r="L8657" s="1" t="s">
        <v>910</v>
      </c>
    </row>
    <row r="8658" customFormat="false" ht="17.15" hidden="false" customHeight="false" outlineLevel="0" collapsed="false">
      <c r="A8658" s="0" t="s">
        <v>911</v>
      </c>
      <c r="B8658" s="0" t="s">
        <v>129</v>
      </c>
      <c r="E8658" s="7" t="n">
        <f aca="false">Q!M22/Q!M12</f>
        <v>0.296207935710698</v>
      </c>
      <c r="F8658" s="7" t="n">
        <f aca="false">Sens!$E$8658+dm_seg</f>
        <v>0.296207935710698</v>
      </c>
      <c r="G8658" s="7" t="n">
        <f aca="false">Sens!$E$8658+dm_seg</f>
        <v>0.296207935710698</v>
      </c>
      <c r="H8658" s="7" t="n">
        <f aca="false">Sens!$E$8658+dm_seg</f>
        <v>0.296207935710698</v>
      </c>
      <c r="I8658" s="7" t="n">
        <f aca="false">Sens!$E$8658+dm_seg</f>
        <v>0.296207935710698</v>
      </c>
      <c r="J8658" s="7" t="n">
        <f aca="false">Sens!$E$8658+dm_seg</f>
        <v>0.296207935710698</v>
      </c>
      <c r="K8658" s="7" t="n">
        <f aca="false">Sens!$E$8658+dm_seg</f>
        <v>0.296207935710698</v>
      </c>
      <c r="L8658" s="11" t="s">
        <v>912</v>
      </c>
    </row>
    <row r="8659" customFormat="false" ht="17.15" hidden="false" customHeight="false" outlineLevel="0" collapsed="false">
      <c r="A8659" s="0" t="s">
        <v>745</v>
      </c>
      <c r="B8659" s="0" t="s">
        <v>98</v>
      </c>
      <c r="D8659" s="6" t="n">
        <f aca="false">Q!L22</f>
        <v>17.714</v>
      </c>
      <c r="E8659" s="6" t="n">
        <f aca="false">Q!M22</f>
        <v>18.872</v>
      </c>
      <c r="F8659" s="6" t="n">
        <f aca="false">Sens!F8634*Sens!F8658</f>
        <v>19.2954518910651</v>
      </c>
      <c r="G8659" s="6" t="n">
        <f aca="false">Sens!G8634*Sens!G8658</f>
        <v>19.8830646387704</v>
      </c>
      <c r="H8659" s="6" t="n">
        <f aca="false">Sens!H8634*Sens!H8658</f>
        <v>20.6092017868026</v>
      </c>
      <c r="I8659" s="6" t="n">
        <f aca="false">Sens!I8634*Sens!I8658</f>
        <v>21.452361761678</v>
      </c>
      <c r="J8659" s="6" t="n">
        <f aca="false">Sens!J8634*Sens!J8658</f>
        <v>22.3946261183418</v>
      </c>
      <c r="K8659" s="6" t="n">
        <f aca="false">Sens!K8634*Sens!K8658</f>
        <v>23.4215879274986</v>
      </c>
    </row>
    <row r="8660" customFormat="false" ht="15" hidden="false" customHeight="false" outlineLevel="0" collapsed="false">
      <c r="A8660" s="1" t="s">
        <v>913</v>
      </c>
      <c r="B8660" s="0" t="s">
        <v>98</v>
      </c>
      <c r="D8660" s="6" t="n">
        <f aca="false">Sens!D8657+Sens!D8659</f>
        <v>128.528</v>
      </c>
      <c r="E8660" s="6" t="n">
        <f aca="false">Sens!E8657+Sens!E8659</f>
        <v>155.237</v>
      </c>
      <c r="F8660" s="6" t="n">
        <f aca="false">Sens!F8657+Sens!F8659</f>
        <v>171.773972171315</v>
      </c>
      <c r="G8660" s="6" t="n">
        <f aca="false">Sens!G8657+Sens!G8659</f>
        <v>181.847784643307</v>
      </c>
      <c r="H8660" s="6" t="n">
        <f aca="false">Sens!H8657+Sens!H8659</f>
        <v>186.347983972639</v>
      </c>
      <c r="I8660" s="6" t="n">
        <f aca="false">Sens!I8657+Sens!I8659</f>
        <v>199.468028723969</v>
      </c>
      <c r="J8660" s="6" t="n">
        <f aca="false">Sens!J8657+Sens!J8659</f>
        <v>214.998788908731</v>
      </c>
      <c r="K8660" s="6" t="n">
        <f aca="false">Sens!K8657+Sens!K8659</f>
        <v>233.076702166399</v>
      </c>
    </row>
    <row r="8661" customFormat="false" ht="15" hidden="false" customHeight="false" outlineLevel="0" collapsed="false">
      <c r="A8661" s="23" t="s">
        <v>914</v>
      </c>
      <c r="B8661" s="30" t="s">
        <v>98</v>
      </c>
      <c r="C8661" s="30"/>
      <c r="D8661" s="24" t="n">
        <f aca="false">Sens!D8660-Q!L23</f>
        <v>0</v>
      </c>
      <c r="E8661" s="24" t="n">
        <f aca="false">Sens!E8660-Q!M23</f>
        <v>0</v>
      </c>
      <c r="F8661" s="30"/>
      <c r="G8661" s="30"/>
      <c r="H8661" s="30"/>
      <c r="I8661" s="30"/>
      <c r="J8661" s="30"/>
      <c r="K8661" s="30"/>
    </row>
    <row r="8662" customFormat="false" ht="15" hidden="false" customHeight="false" outlineLevel="0" collapsed="false">
      <c r="A8662" s="1" t="s">
        <v>915</v>
      </c>
      <c r="B8662" s="0" t="s">
        <v>129</v>
      </c>
      <c r="D8662" s="7" t="n">
        <f aca="false">Sens!D8660/Sens!D8653</f>
        <v>0.456219562408598</v>
      </c>
      <c r="E8662" s="7" t="n">
        <f aca="false">Sens!E8660/Sens!E8653</f>
        <v>0.467808184089272</v>
      </c>
      <c r="F8662" s="7" t="n">
        <f aca="false">Sens!F8660/Sens!F8653</f>
        <v>0.435975434465012</v>
      </c>
      <c r="G8662" s="7" t="n">
        <f aca="false">Sens!G8660/Sens!G8653</f>
        <v>0.396882872736346</v>
      </c>
      <c r="H8662" s="7" t="n">
        <f aca="false">Sens!H8660/Sens!H8653</f>
        <v>0.358641809974114</v>
      </c>
      <c r="I8662" s="7" t="n">
        <f aca="false">Sens!I8660/Sens!I8653</f>
        <v>0.340747461235089</v>
      </c>
      <c r="J8662" s="7" t="n">
        <f aca="false">Sens!J8660/Sens!J8653</f>
        <v>0.334141183540454</v>
      </c>
      <c r="K8662" s="7" t="n">
        <f aca="false">Sens!K8660/Sens!K8653</f>
        <v>0.335591028348471</v>
      </c>
    </row>
    <row r="8663" customFormat="false" ht="17.15" hidden="false" customHeight="false" outlineLevel="0" collapsed="false">
      <c r="A8663" s="1" t="s">
        <v>916</v>
      </c>
      <c r="B8663" s="0" t="s">
        <v>98</v>
      </c>
      <c r="F8663" s="6" t="n">
        <f aca="false">Sens!F8678</f>
        <v>10.1553565002727</v>
      </c>
      <c r="G8663" s="6" t="n">
        <f aca="false">Sens!G8678</f>
        <v>26.5039384396555</v>
      </c>
      <c r="H8663" s="6" t="n">
        <f aca="false">Sens!H8678</f>
        <v>44.38649932956</v>
      </c>
      <c r="I8663" s="6" t="n">
        <f aca="false">Sens!I8678</f>
        <v>60.5028524913745</v>
      </c>
      <c r="J8663" s="6" t="n">
        <f aca="false">Sens!J8678</f>
        <v>71.8788124586976</v>
      </c>
      <c r="K8663" s="6" t="n">
        <f aca="false">Sens!K8678</f>
        <v>78.7789222270768</v>
      </c>
      <c r="L8663" s="1" t="s">
        <v>917</v>
      </c>
    </row>
    <row r="8664" customFormat="false" ht="17.15" hidden="false" customHeight="false" outlineLevel="0" collapsed="false">
      <c r="A8664" s="1" t="s">
        <v>918</v>
      </c>
      <c r="B8664" s="0" t="s">
        <v>98</v>
      </c>
      <c r="D8664" s="6" t="n">
        <f aca="false">Sens!D8660</f>
        <v>128.528</v>
      </c>
      <c r="E8664" s="6" t="n">
        <f aca="false">Sens!E8660</f>
        <v>155.237</v>
      </c>
      <c r="F8664" s="6" t="n">
        <f aca="false">Sens!F8660+Sens!F8663</f>
        <v>181.929328671587</v>
      </c>
      <c r="G8664" s="6" t="n">
        <f aca="false">Sens!G8660+Sens!G8663</f>
        <v>208.351723082963</v>
      </c>
      <c r="H8664" s="6" t="n">
        <f aca="false">Sens!H8660+Sens!H8663</f>
        <v>230.734483302199</v>
      </c>
      <c r="I8664" s="6" t="n">
        <f aca="false">Sens!I8660+Sens!I8663</f>
        <v>259.970881215343</v>
      </c>
      <c r="J8664" s="6" t="n">
        <f aca="false">Sens!J8660+Sens!J8663</f>
        <v>286.877601367428</v>
      </c>
      <c r="K8664" s="6" t="n">
        <f aca="false">Sens!K8660+Sens!K8663</f>
        <v>311.855624393476</v>
      </c>
    </row>
    <row r="8665" customFormat="false" ht="17.15" hidden="false" customHeight="false" outlineLevel="0" collapsed="false">
      <c r="A8665" s="1" t="s">
        <v>919</v>
      </c>
      <c r="B8665" s="0" t="s">
        <v>98</v>
      </c>
      <c r="E8665" s="6" t="n">
        <f aca="false">Sens!E8608</f>
        <v>16.3054059770833</v>
      </c>
      <c r="F8665" s="6" t="n">
        <f aca="false">Sens!F8608</f>
        <v>34.0498873809555</v>
      </c>
      <c r="G8665" s="6" t="n">
        <f aca="false">Sens!G8608</f>
        <v>59.1254371105111</v>
      </c>
      <c r="H8665" s="6" t="n">
        <f aca="false">Sens!H8608</f>
        <v>86.3610198433111</v>
      </c>
      <c r="I8665" s="6" t="n">
        <f aca="false">Sens!I8608</f>
        <v>110.605743832393</v>
      </c>
      <c r="J8665" s="6" t="n">
        <f aca="false">Sens!J8608</f>
        <v>127.998322852843</v>
      </c>
      <c r="K8665" s="6" t="n">
        <f aca="false">Sens!K8608</f>
        <v>139.131464044308</v>
      </c>
    </row>
    <row r="8666" customFormat="false" ht="17.15" hidden="false" customHeight="false" outlineLevel="0" collapsed="false">
      <c r="A8666" s="1" t="s">
        <v>920</v>
      </c>
      <c r="B8666" s="0" t="s">
        <v>98</v>
      </c>
      <c r="E8666" s="6" t="n">
        <f aca="false">Sens!E8690</f>
        <v>22.2285940229167</v>
      </c>
      <c r="F8666" s="6" t="n">
        <f aca="false">Sens!F8690</f>
        <v>24.3924470334783</v>
      </c>
      <c r="G8666" s="6" t="n">
        <f aca="false">Sens!G8690</f>
        <v>26.0593882196737</v>
      </c>
      <c r="H8666" s="6" t="n">
        <f aca="false">Sens!H8690</f>
        <v>28.1448099553965</v>
      </c>
      <c r="I8666" s="6" t="n">
        <f aca="false">Sens!I8690</f>
        <v>30.6178532110331</v>
      </c>
      <c r="J8666" s="6" t="n">
        <f aca="false">Sens!J8690</f>
        <v>33.4339862524327</v>
      </c>
      <c r="K8666" s="6" t="n">
        <f aca="false">Sens!K8690</f>
        <v>36.5409792772018</v>
      </c>
    </row>
    <row r="8667" customFormat="false" ht="17.15" hidden="false" customHeight="false" outlineLevel="0" collapsed="false">
      <c r="A8667" s="1" t="s">
        <v>921</v>
      </c>
      <c r="B8667" s="0" t="s">
        <v>98</v>
      </c>
      <c r="D8667" s="6" t="n">
        <f aca="false">Q!L27</f>
        <v>-4.901</v>
      </c>
      <c r="E8667" s="6" t="n">
        <f aca="false">Q!M27</f>
        <v>10.697</v>
      </c>
      <c r="F8667" s="6" t="n">
        <f aca="false">oie_f</f>
        <v>-0.4</v>
      </c>
      <c r="G8667" s="6" t="n">
        <f aca="false">oie_f</f>
        <v>-0.4</v>
      </c>
      <c r="H8667" s="6" t="n">
        <f aca="false">oie_f</f>
        <v>-0.4</v>
      </c>
      <c r="I8667" s="6" t="n">
        <f aca="false">oie_f</f>
        <v>-0.4</v>
      </c>
      <c r="J8667" s="6" t="n">
        <f aca="false">oie_f</f>
        <v>-0.4</v>
      </c>
      <c r="K8667" s="6" t="n">
        <f aca="false">oie_f</f>
        <v>-0.4</v>
      </c>
      <c r="L8667" s="11" t="s">
        <v>922</v>
      </c>
    </row>
    <row r="8668" customFormat="false" ht="15" hidden="false" customHeight="false" outlineLevel="0" collapsed="false">
      <c r="A8668" s="1" t="s">
        <v>923</v>
      </c>
      <c r="B8668" s="0" t="s">
        <v>98</v>
      </c>
      <c r="D8668" s="6" t="n">
        <f aca="false">Sens!D8660+Sens!D8667</f>
        <v>123.627</v>
      </c>
      <c r="E8668" s="6" t="n">
        <f aca="false">Sens!E8660+Sens!E8667</f>
        <v>165.934</v>
      </c>
      <c r="F8668" s="6" t="n">
        <f aca="false">Sens!F8660+Sens!F8667</f>
        <v>171.373972171315</v>
      </c>
      <c r="G8668" s="6" t="n">
        <f aca="false">Sens!G8660+Sens!G8667</f>
        <v>181.447784643307</v>
      </c>
      <c r="H8668" s="6" t="n">
        <f aca="false">Sens!H8660+Sens!H8667</f>
        <v>185.947983972639</v>
      </c>
      <c r="I8668" s="6" t="n">
        <f aca="false">Sens!I8660+Sens!I8667</f>
        <v>199.068028723969</v>
      </c>
      <c r="J8668" s="6" t="n">
        <f aca="false">Sens!J8660+Sens!J8667</f>
        <v>214.598788908731</v>
      </c>
      <c r="K8668" s="6" t="n">
        <f aca="false">Sens!K8660+Sens!K8667</f>
        <v>232.676702166399</v>
      </c>
    </row>
    <row r="8669" customFormat="false" ht="15" hidden="false" customHeight="false" outlineLevel="0" collapsed="false">
      <c r="A8669" s="1" t="s">
        <v>924</v>
      </c>
      <c r="B8669" s="0" t="s">
        <v>98</v>
      </c>
      <c r="D8669" s="6" t="n">
        <f aca="false">Q!L29</f>
        <v>21.795</v>
      </c>
      <c r="E8669" s="6" t="n">
        <f aca="false">Q!M29</f>
        <v>32.185</v>
      </c>
      <c r="F8669" s="6" t="n">
        <f aca="false">Sens!F8668*tax_f</f>
        <v>34.2747944342629</v>
      </c>
      <c r="G8669" s="6" t="n">
        <f aca="false">Sens!G8668*tax_f</f>
        <v>36.2895569286614</v>
      </c>
      <c r="H8669" s="6" t="n">
        <f aca="false">Sens!H8668*tax_f</f>
        <v>37.1895967945278</v>
      </c>
      <c r="I8669" s="6" t="n">
        <f aca="false">Sens!I8668*tax_f</f>
        <v>39.8136057447937</v>
      </c>
      <c r="J8669" s="6" t="n">
        <f aca="false">Sens!J8668*tax_f</f>
        <v>42.9197577817462</v>
      </c>
      <c r="K8669" s="6" t="n">
        <f aca="false">Sens!K8668*tax_f</f>
        <v>46.5353404332798</v>
      </c>
    </row>
    <row r="8670" customFormat="false" ht="15" hidden="false" customHeight="false" outlineLevel="0" collapsed="false">
      <c r="A8670" s="1" t="s">
        <v>925</v>
      </c>
      <c r="B8670" s="0" t="s">
        <v>98</v>
      </c>
      <c r="D8670" s="6" t="n">
        <f aca="false">Sens!D8668-Sens!D8669</f>
        <v>101.832</v>
      </c>
      <c r="E8670" s="6" t="n">
        <f aca="false">Sens!E8668-Sens!E8669</f>
        <v>133.749</v>
      </c>
      <c r="F8670" s="6" t="n">
        <f aca="false">Sens!F8668-Sens!F8669</f>
        <v>137.099177737052</v>
      </c>
      <c r="G8670" s="6" t="n">
        <f aca="false">Sens!G8668-Sens!G8669</f>
        <v>145.158227714646</v>
      </c>
      <c r="H8670" s="6" t="n">
        <f aca="false">Sens!H8668-Sens!H8669</f>
        <v>148.758387178111</v>
      </c>
      <c r="I8670" s="6" t="n">
        <f aca="false">Sens!I8668-Sens!I8669</f>
        <v>159.254422979175</v>
      </c>
      <c r="J8670" s="6" t="n">
        <f aca="false">Sens!J8668-Sens!J8669</f>
        <v>171.679031126985</v>
      </c>
      <c r="K8670" s="6" t="n">
        <f aca="false">Sens!K8668-Sens!K8669</f>
        <v>186.141361733119</v>
      </c>
    </row>
    <row r="8671" customFormat="false" ht="17.15" hidden="false" customHeight="false" outlineLevel="0" collapsed="false">
      <c r="A8671" s="1" t="s">
        <v>926</v>
      </c>
      <c r="B8671" s="1" t="s">
        <v>81</v>
      </c>
      <c r="D8671" s="14" t="n">
        <f aca="false">Q!L31</f>
        <v>7.465</v>
      </c>
      <c r="E8671" s="14" t="n">
        <f aca="false">Q!M31</f>
        <v>7.453</v>
      </c>
      <c r="F8671" s="14" t="n">
        <f aca="false">Sens!F8714</f>
        <v>7.4735</v>
      </c>
      <c r="G8671" s="14" t="n">
        <f aca="false">Sens!G8714</f>
        <v>7.5185</v>
      </c>
      <c r="H8671" s="14" t="n">
        <f aca="false">Sens!H8714</f>
        <v>7.55739838946488</v>
      </c>
      <c r="I8671" s="14" t="n">
        <f aca="false">Sens!I8714</f>
        <v>7.58032602508713</v>
      </c>
      <c r="J8671" s="14" t="n">
        <f aca="false">Sens!J8714</f>
        <v>7.59456753620501</v>
      </c>
      <c r="K8671" s="14" t="n">
        <f aca="false">Sens!K8714</f>
        <v>7.61108745390675</v>
      </c>
    </row>
    <row r="8672" customFormat="false" ht="17.15" hidden="false" customHeight="false" outlineLevel="0" collapsed="false">
      <c r="A8672" s="0" t="s">
        <v>927</v>
      </c>
      <c r="B8672" s="0" t="s">
        <v>75</v>
      </c>
      <c r="D8672" s="8" t="n">
        <f aca="false">Sens!D8670/Sens!D8671</f>
        <v>13.641259209645</v>
      </c>
      <c r="E8672" s="8" t="n">
        <f aca="false">Sens!E8670/Sens!E8671</f>
        <v>17.9456594659869</v>
      </c>
      <c r="F8672" s="8" t="n">
        <f aca="false">Sens!F8670/Sens!F8671</f>
        <v>18.3447083343884</v>
      </c>
      <c r="G8672" s="8" t="n">
        <f aca="false">Sens!G8670/Sens!G8671</f>
        <v>19.3068069049206</v>
      </c>
      <c r="H8672" s="8" t="n">
        <f aca="false">Sens!H8670/Sens!H8671</f>
        <v>19.6838090983112</v>
      </c>
      <c r="I8672" s="8" t="n">
        <f aca="false">Sens!I8670/Sens!I8671</f>
        <v>21.0089147158211</v>
      </c>
      <c r="J8672" s="8" t="n">
        <f aca="false">Sens!J8670/Sens!J8671</f>
        <v>22.6055045673835</v>
      </c>
      <c r="K8672" s="8" t="n">
        <f aca="false">Sens!K8670/Sens!K8671</f>
        <v>24.4566052959453</v>
      </c>
      <c r="L8672" s="1" t="s">
        <v>928</v>
      </c>
    </row>
    <row r="8673" customFormat="false" ht="17.15" hidden="false" customHeight="false" outlineLevel="0" collapsed="false">
      <c r="A8673" s="1" t="s">
        <v>929</v>
      </c>
      <c r="B8673" s="0" t="s">
        <v>98</v>
      </c>
      <c r="D8673" s="6" t="n">
        <f aca="false">Sens!D8670</f>
        <v>101.832</v>
      </c>
      <c r="E8673" s="6" t="n">
        <f aca="false">Sens!E8670</f>
        <v>133.749</v>
      </c>
      <c r="F8673" s="6" t="n">
        <f aca="false">Sens!F8670+Sens!F8663*(1-tax_f)</f>
        <v>145.22346293727</v>
      </c>
      <c r="G8673" s="6" t="n">
        <f aca="false">Sens!G8670+Sens!G8663*(1-tax_f)</f>
        <v>166.36137846637</v>
      </c>
      <c r="H8673" s="6" t="n">
        <f aca="false">Sens!H8670+Sens!H8663*(1-tax_f)</f>
        <v>184.267586641759</v>
      </c>
      <c r="I8673" s="6" t="n">
        <f aca="false">Sens!I8670+Sens!I8663*(1-tax_f)</f>
        <v>207.656704972274</v>
      </c>
      <c r="J8673" s="6" t="n">
        <f aca="false">Sens!J8670+Sens!J8663*(1-tax_f)</f>
        <v>229.182081093943</v>
      </c>
      <c r="K8673" s="6" t="n">
        <f aca="false">Sens!K8670+Sens!K8663*(1-tax_f)</f>
        <v>249.16449951478</v>
      </c>
    </row>
    <row r="8674" customFormat="false" ht="17.15" hidden="false" customHeight="false" outlineLevel="0" collapsed="false">
      <c r="A8674" s="0" t="s">
        <v>930</v>
      </c>
      <c r="B8674" s="0" t="s">
        <v>75</v>
      </c>
      <c r="D8674" s="8" t="n">
        <f aca="false">Sens!D8673/Sens!D8671</f>
        <v>13.641259209645</v>
      </c>
      <c r="E8674" s="8" t="n">
        <f aca="false">Sens!E8673/Sens!E8671</f>
        <v>17.9456594659869</v>
      </c>
      <c r="F8674" s="8" t="n">
        <f aca="false">Sens!F8673/Sens!F8671</f>
        <v>19.4317873736897</v>
      </c>
      <c r="G8674" s="8" t="n">
        <f aca="false">Sens!G8673/Sens!G8671</f>
        <v>22.1269373500525</v>
      </c>
      <c r="H8674" s="8" t="n">
        <f aca="false">Sens!H8673/Sens!H8671</f>
        <v>24.3824100762811</v>
      </c>
      <c r="I8674" s="8" t="n">
        <f aca="false">Sens!I8673/Sens!I8671</f>
        <v>27.3941654072706</v>
      </c>
      <c r="J8674" s="8" t="n">
        <f aca="false">Sens!J8673/Sens!J8671</f>
        <v>30.1771075181543</v>
      </c>
      <c r="K8674" s="8" t="n">
        <f aca="false">Sens!K8673/Sens!K8671</f>
        <v>32.7370432968662</v>
      </c>
      <c r="L8674" s="1" t="s">
        <v>931</v>
      </c>
    </row>
    <row r="8675" customFormat="false" ht="17.15" hidden="false" customHeight="false" outlineLevel="0" collapsed="false">
      <c r="A8675" s="0" t="s">
        <v>932</v>
      </c>
      <c r="B8675" s="0" t="s">
        <v>129</v>
      </c>
      <c r="E8675" s="7" t="n">
        <f aca="false">Sens!E8674/Sens!D8674-1</f>
        <v>0.315542736208578</v>
      </c>
      <c r="F8675" s="7" t="n">
        <f aca="false">Sens!F8674/Sens!E8674-1</f>
        <v>0.0828126662338347</v>
      </c>
      <c r="G8675" s="7" t="n">
        <f aca="false">Sens!G8674/Sens!F8674-1</f>
        <v>0.138697996459762</v>
      </c>
      <c r="H8675" s="7" t="n">
        <f aca="false">Sens!H8674/Sens!G8674-1</f>
        <v>0.101933344436537</v>
      </c>
      <c r="I8675" s="7" t="n">
        <f aca="false">Sens!I8674/Sens!H8674-1</f>
        <v>0.123521642100476</v>
      </c>
      <c r="J8675" s="7" t="n">
        <f aca="false">Sens!J8674/Sens!I8674-1</f>
        <v>0.101588862792847</v>
      </c>
      <c r="K8675" s="7" t="n">
        <f aca="false">Sens!K8674/Sens!J8674-1</f>
        <v>0.0848303892999638</v>
      </c>
    </row>
    <row r="8676" customFormat="false" ht="17.15" hidden="false" customHeight="false" outlineLevel="0" collapsed="false">
      <c r="A8676" s="0" t="s">
        <v>856</v>
      </c>
      <c r="B8676" s="0" t="s">
        <v>98</v>
      </c>
      <c r="E8676" s="6" t="n">
        <f aca="false">Sens!E8617</f>
        <v>5.25</v>
      </c>
      <c r="F8676" s="6" t="n">
        <f aca="false">Sens!F8617</f>
        <v>10.5</v>
      </c>
      <c r="G8676" s="6" t="n">
        <f aca="false">Sens!G8617</f>
        <v>13.5</v>
      </c>
      <c r="H8676" s="6" t="n">
        <f aca="false">Sens!H8617</f>
        <v>16.5</v>
      </c>
      <c r="I8676" s="6" t="n">
        <f aca="false">Sens!I8617</f>
        <v>18.75</v>
      </c>
      <c r="J8676" s="6" t="n">
        <f aca="false">Sens!J8617</f>
        <v>20.25</v>
      </c>
      <c r="K8676" s="6" t="n">
        <f aca="false">Sens!K8617</f>
        <v>21.75</v>
      </c>
    </row>
    <row r="8677" customFormat="false" ht="17.15" hidden="false" customHeight="false" outlineLevel="0" collapsed="false">
      <c r="A8677" s="1" t="s">
        <v>857</v>
      </c>
      <c r="B8677" s="0" t="s">
        <v>98</v>
      </c>
      <c r="F8677" s="6" t="n">
        <f aca="false">MAX(0,((Sens!E8580+Sens!F8580)/2-(shadow_base*(Sens!$D$8580+Sens!$E$8580)/2+(1-shadow_base)*Sens!$E$8580))*Sens!F8588/1000-(Sens!F8676-Sens!$E$8676)*Sens!F8656)</f>
        <v>10.1553565002727</v>
      </c>
      <c r="G8677" s="6" t="n">
        <f aca="false">MAX(0,((Sens!F8580+Sens!G8580)/2-(shadow_base*(Sens!$D$8580+Sens!$E$8580)/2+(1-shadow_base)*Sens!$E$8580))*Sens!G8588/1000-(Sens!G8676-Sens!$E$8676)*Sens!G8656)</f>
        <v>26.5039384396555</v>
      </c>
      <c r="H8677" s="6" t="n">
        <f aca="false">MAX(0,((Sens!G8580+Sens!H8580)/2-(shadow_base*(Sens!$D$8580+Sens!$E$8580)/2+(1-shadow_base)*Sens!$E$8580))*Sens!H8588/1000-(Sens!H8676-Sens!$E$8676)*Sens!H8656)</f>
        <v>44.38649932956</v>
      </c>
      <c r="I8677" s="6" t="n">
        <f aca="false">MAX(0,((Sens!H8580+Sens!I8580)/2-(shadow_base*(Sens!$D$8580+Sens!$E$8580)/2+(1-shadow_base)*Sens!$E$8580))*Sens!I8588/1000-(Sens!I8676-Sens!$E$8676)*Sens!I8656)</f>
        <v>60.5028524913745</v>
      </c>
      <c r="J8677" s="6" t="n">
        <f aca="false">MAX(0,((Sens!I8580+Sens!J8580)/2-(shadow_base*(Sens!$D$8580+Sens!$E$8580)/2+(1-shadow_base)*Sens!$E$8580))*Sens!J8588/1000-(Sens!J8676-Sens!$E$8676)*Sens!J8656)</f>
        <v>71.8788124586976</v>
      </c>
      <c r="K8677" s="6" t="n">
        <f aca="false">MAX(0,((Sens!J8580+Sens!K8580)/2-(shadow_base*(Sens!$D$8580+Sens!$E$8580)/2+(1-shadow_base)*Sens!$E$8580))*Sens!K8588/1000-(Sens!K8676-Sens!$E$8676)*Sens!K8656)</f>
        <v>78.7789222270768</v>
      </c>
      <c r="L8677" s="1" t="s">
        <v>858</v>
      </c>
    </row>
    <row r="8678" customFormat="false" ht="17.15" hidden="false" customHeight="false" outlineLevel="0" collapsed="false">
      <c r="A8678" s="1" t="s">
        <v>859</v>
      </c>
      <c r="B8678" s="0" t="s">
        <v>98</v>
      </c>
      <c r="F8678" s="6" t="n">
        <f aca="false">IF(internal_ai_reading=2,1,0)*Sens!F8677</f>
        <v>10.1553565002727</v>
      </c>
      <c r="G8678" s="6" t="n">
        <f aca="false">IF(internal_ai_reading=2,1,0)*Sens!G8677</f>
        <v>26.5039384396555</v>
      </c>
      <c r="H8678" s="6" t="n">
        <f aca="false">IF(internal_ai_reading=2,1,0)*Sens!H8677</f>
        <v>44.38649932956</v>
      </c>
      <c r="I8678" s="6" t="n">
        <f aca="false">IF(internal_ai_reading=2,1,0)*Sens!I8677</f>
        <v>60.5028524913745</v>
      </c>
      <c r="J8678" s="6" t="n">
        <f aca="false">IF(internal_ai_reading=2,1,0)*Sens!J8677</f>
        <v>71.8788124586976</v>
      </c>
      <c r="K8678" s="6" t="n">
        <f aca="false">IF(internal_ai_reading=2,1,0)*Sens!K8677</f>
        <v>78.7789222270768</v>
      </c>
    </row>
    <row r="8679" customFormat="false" ht="17.15" hidden="false" customHeight="false" outlineLevel="0" collapsed="false">
      <c r="A8679" s="0" t="s">
        <v>860</v>
      </c>
      <c r="B8679" s="0" t="s">
        <v>98</v>
      </c>
      <c r="F8679" s="6" t="n">
        <f aca="false">Sens!F8597+Sens!F8676*Sens!F8656+Sens!F8678-Sens!F8598-Sens!F8608</f>
        <v>10.6249363155714</v>
      </c>
      <c r="G8679" s="6" t="n">
        <f aca="false">Sens!G8597+Sens!G8676*Sens!G8656+Sens!G8678-Sens!G8598-Sens!G8608</f>
        <v>16.5522915631233</v>
      </c>
      <c r="H8679" s="6" t="n">
        <f aca="false">Sens!H8597+Sens!H8676*Sens!H8656+Sens!H8678-Sens!H8598-Sens!H8608</f>
        <v>17.4625151247579</v>
      </c>
      <c r="I8679" s="6" t="n">
        <f aca="false">Sens!I8597+Sens!I8676*Sens!I8656+Sens!I8678-Sens!I8598-Sens!I8608</f>
        <v>24.729505792607</v>
      </c>
      <c r="J8679" s="6" t="n">
        <f aca="false">Sens!J8597+Sens!J8676*Sens!J8656+Sens!J8678-Sens!J8598-Sens!J8608</f>
        <v>29.752205312642</v>
      </c>
      <c r="K8679" s="6" t="n">
        <f aca="false">Sens!K8597+Sens!K8676*Sens!K8656+Sens!K8678-Sens!K8598-Sens!K8608</f>
        <v>33.5968759973665</v>
      </c>
    </row>
    <row r="8680" customFormat="false" ht="17.15" hidden="false" customHeight="false" outlineLevel="0" collapsed="false">
      <c r="A8680" s="0" t="s">
        <v>861</v>
      </c>
      <c r="B8680" s="0" t="s">
        <v>98</v>
      </c>
      <c r="E8680" s="6" t="n">
        <f aca="false">Sens!E8579*(cxit_open+self_build*tk_cxfac)/1000*ai_net_open</f>
        <v>126.6980382</v>
      </c>
      <c r="F8680" s="6" t="n">
        <f aca="false">Sens!E8680+Sens!F8605-Sens!F8608</f>
        <v>252.981026690511</v>
      </c>
      <c r="G8680" s="6" t="n">
        <f aca="false">Sens!F8680+Sens!G8605-Sens!G8608</f>
        <v>377.4297700632</v>
      </c>
      <c r="H8680" s="6" t="n">
        <f aca="false">Sens!G8680+Sens!H8605-Sens!H8608</f>
        <v>479.149036130289</v>
      </c>
      <c r="I8680" s="6" t="n">
        <f aca="false">Sens!H8680+Sens!I8605-Sens!I8608</f>
        <v>532.249961452141</v>
      </c>
      <c r="J8680" s="6" t="n">
        <f aca="false">Sens!I8680+Sens!J8605-Sens!J8608</f>
        <v>531.43307519354</v>
      </c>
      <c r="K8680" s="6" t="n">
        <f aca="false">Sens!J8680+Sens!K8605-Sens!K8608</f>
        <v>513.709026452823</v>
      </c>
      <c r="L8680" s="1" t="s">
        <v>862</v>
      </c>
    </row>
    <row r="8681" customFormat="false" ht="17.15" hidden="false" customHeight="false" outlineLevel="0" collapsed="false">
      <c r="A8681" s="0" t="s">
        <v>863</v>
      </c>
      <c r="B8681" s="0" t="s">
        <v>129</v>
      </c>
      <c r="F8681" s="7" t="n">
        <f aca="false">Sens!F8679*(1-tax_f)/((Sens!E8680+Sens!F8680)/2)</f>
        <v>0.0447743888903029</v>
      </c>
      <c r="G8681" s="7" t="n">
        <f aca="false">Sens!G8679*(1-tax_f)/((Sens!F8680+Sens!G8680)/2)</f>
        <v>0.0420101727910983</v>
      </c>
      <c r="H8681" s="7" t="n">
        <f aca="false">Sens!H8679*(1-tax_f)/((Sens!G8680+Sens!H8680)/2)</f>
        <v>0.0326181595874103</v>
      </c>
      <c r="I8681" s="7" t="n">
        <f aca="false">Sens!I8679*(1-tax_f)/((Sens!H8680+Sens!I8680)/2)</f>
        <v>0.0391212660510339</v>
      </c>
      <c r="J8681" s="7" t="n">
        <f aca="false">Sens!J8679*(1-tax_f)/((Sens!I8680+Sens!J8680)/2)</f>
        <v>0.0447534903351892</v>
      </c>
      <c r="K8681" s="7" t="n">
        <f aca="false">Sens!K8679*(1-tax_f)/((Sens!J8680+Sens!K8680)/2)</f>
        <v>0.0514331989029135</v>
      </c>
    </row>
    <row r="8682" customFormat="false" ht="17.15" hidden="false" customHeight="false" outlineLevel="0" collapsed="false">
      <c r="A8682" s="1" t="s">
        <v>864</v>
      </c>
      <c r="B8682" s="0" t="s">
        <v>129</v>
      </c>
      <c r="F8682" s="7" t="n">
        <f aca="false">(Sens!F8679-Sens!F8678)*(1-tax_f)/((Sens!E8680+Sens!F8680)/2)</f>
        <v>0.00197884943878752</v>
      </c>
      <c r="G8682" s="7" t="n">
        <f aca="false">(Sens!G8679-Sens!G8678)*(1-tax_f)/((Sens!F8680+Sens!G8680)/2)</f>
        <v>-0.0252575544144306</v>
      </c>
      <c r="H8682" s="7" t="n">
        <f aca="false">(Sens!H8679-Sens!H8678)*(1-tax_f)/((Sens!G8680+Sens!H8680)/2)</f>
        <v>-0.0502911984468976</v>
      </c>
      <c r="I8682" s="7" t="n">
        <f aca="false">(Sens!I8679-Sens!I8678)*(1-tax_f)/((Sens!H8680+Sens!I8680)/2)</f>
        <v>-0.0565922596866753</v>
      </c>
      <c r="J8682" s="7" t="n">
        <f aca="false">(Sens!J8679-Sens!J8678)*(1-tax_f)/((Sens!I8680+Sens!J8680)/2)</f>
        <v>-0.0633671583653741</v>
      </c>
      <c r="K8682" s="7" t="n">
        <f aca="false">(Sens!K8679-Sens!K8678)*(1-tax_f)/((Sens!J8680+Sens!K8680)/2)</f>
        <v>-0.0691688468521739</v>
      </c>
    </row>
    <row r="8683" customFormat="false" ht="17.15" hidden="false" customHeight="false" outlineLevel="0" collapsed="false">
      <c r="A8683" s="1" t="s">
        <v>865</v>
      </c>
      <c r="B8683" s="0" t="s">
        <v>129</v>
      </c>
      <c r="F8683" s="7" t="n">
        <f aca="false">(Sens!F8679-Sens!F8678+Sens!F8677)*(1-tax_f)/((Sens!E8680+Sens!F8680)/2)</f>
        <v>0.0447743888903029</v>
      </c>
      <c r="G8683" s="7" t="n">
        <f aca="false">(Sens!G8679-Sens!G8678+Sens!G8677)*(1-tax_f)/((Sens!F8680+Sens!G8680)/2)</f>
        <v>0.0420101727910983</v>
      </c>
      <c r="H8683" s="7" t="n">
        <f aca="false">(Sens!H8679-Sens!H8678+Sens!H8677)*(1-tax_f)/((Sens!G8680+Sens!H8680)/2)</f>
        <v>0.0326181595874103</v>
      </c>
      <c r="I8683" s="7" t="n">
        <f aca="false">(Sens!I8679-Sens!I8678+Sens!I8677)*(1-tax_f)/((Sens!H8680+Sens!I8680)/2)</f>
        <v>0.0391212660510339</v>
      </c>
      <c r="J8683" s="7" t="n">
        <f aca="false">(Sens!J8679-Sens!J8678+Sens!J8677)*(1-tax_f)/((Sens!I8680+Sens!J8680)/2)</f>
        <v>0.0447534903351892</v>
      </c>
      <c r="K8683" s="7" t="n">
        <f aca="false">(Sens!K8679-Sens!K8678+Sens!K8677)*(1-tax_f)/((Sens!J8680+Sens!K8680)/2)</f>
        <v>0.0514331989029135</v>
      </c>
    </row>
    <row r="8684" customFormat="false" ht="17.15" hidden="false" customHeight="false" outlineLevel="0" collapsed="false">
      <c r="A8684" s="1" t="s">
        <v>866</v>
      </c>
      <c r="B8684" s="0" t="s">
        <v>129</v>
      </c>
      <c r="F8684" s="7" t="n">
        <f aca="false">Sens!F8609*(1-tax_f)/(Sens!F8596*(Sens!E8680+Sens!F8680)/2)</f>
        <v>0.102735279953254</v>
      </c>
      <c r="G8684" s="7" t="n">
        <f aca="false">Sens!G8609*(1-tax_f)/(Sens!G8596*(Sens!F8680+Sens!G8680)/2)</f>
        <v>0.0709600152423962</v>
      </c>
      <c r="H8684" s="7" t="n">
        <f aca="false">Sens!H8609*(1-tax_f)/(Sens!H8596*(Sens!G8680+Sens!H8680)/2)</f>
        <v>0.0419126501774916</v>
      </c>
      <c r="I8684" s="7" t="n">
        <f aca="false">Sens!I8609*(1-tax_f)/(Sens!I8596*(Sens!H8680+Sens!I8680)/2)</f>
        <v>0.044576811268173</v>
      </c>
      <c r="J8684" s="7" t="n">
        <f aca="false">Sens!J8609*(1-tax_f)/(Sens!J8596*(Sens!I8680+Sens!J8680)/2)</f>
        <v>0.0483882076863038</v>
      </c>
      <c r="K8684" s="7" t="n">
        <f aca="false">Sens!K8609*(1-tax_f)/(Sens!K8596*(Sens!J8680+Sens!K8680)/2)</f>
        <v>0.0544871874286225</v>
      </c>
    </row>
    <row r="8685" customFormat="false" ht="17.15" hidden="false" customHeight="false" outlineLevel="0" collapsed="false">
      <c r="A8685" s="0" t="s">
        <v>867</v>
      </c>
      <c r="B8685" s="0" t="s">
        <v>209</v>
      </c>
      <c r="F8685" s="7" t="n">
        <f aca="false">Sens!F8681-wacc</f>
        <v>-0.0581600312025729</v>
      </c>
      <c r="G8685" s="7" t="n">
        <f aca="false">Sens!G8681-wacc</f>
        <v>-0.0609242473017775</v>
      </c>
      <c r="H8685" s="7" t="n">
        <f aca="false">Sens!H8681-wacc</f>
        <v>-0.0703162605054654</v>
      </c>
      <c r="I8685" s="7" t="n">
        <f aca="false">Sens!I8681-wacc</f>
        <v>-0.0638131540418418</v>
      </c>
      <c r="J8685" s="7" t="n">
        <f aca="false">Sens!J8681-wacc</f>
        <v>-0.0581809297576865</v>
      </c>
      <c r="K8685" s="7" t="n">
        <f aca="false">Sens!K8681-wacc</f>
        <v>-0.0515012211899623</v>
      </c>
    </row>
    <row r="8686" customFormat="false" ht="17.15" hidden="false" customHeight="false" outlineLevel="0" collapsed="false">
      <c r="A8686" s="0" t="s">
        <v>868</v>
      </c>
      <c r="B8686" s="0" t="s">
        <v>98</v>
      </c>
      <c r="F8686" s="6" t="n">
        <f aca="false">Sens!F8679*(1-tax_f)-wacc*(Sens!E8680+Sens!F8680)/2</f>
        <v>-11.0410731304979</v>
      </c>
      <c r="G8686" s="6" t="n">
        <f aca="false">Sens!G8679*(1-tax_f)-wacc*(Sens!F8680+Sens!G8680)/2</f>
        <v>-19.2036516415668</v>
      </c>
      <c r="H8686" s="6" t="n">
        <f aca="false">Sens!H8679*(1-tax_f)-wacc*(Sens!G8680+Sens!H8680)/2</f>
        <v>-30.115709239881</v>
      </c>
      <c r="I8686" s="6" t="n">
        <f aca="false">Sens!I8679*(1-tax_f)-wacc*(Sens!H8680+Sens!I8680)/2</f>
        <v>-32.270280015246</v>
      </c>
      <c r="J8686" s="6" t="n">
        <f aca="false">Sens!J8679*(1-tax_f)-wacc*(Sens!I8680+Sens!J8680)/2</f>
        <v>-30.9430340197625</v>
      </c>
      <c r="K8686" s="6" t="n">
        <f aca="false">Sens!K8679*(1-tax_f)-wacc*(Sens!J8680+Sens!K8680)/2</f>
        <v>-26.9130472759157</v>
      </c>
    </row>
    <row r="8687" customFormat="false" ht="17.15" hidden="false" customHeight="false" outlineLevel="0" collapsed="false">
      <c r="A8687" s="3" t="s">
        <v>1485</v>
      </c>
    </row>
    <row r="8688" customFormat="false" ht="15" hidden="false" customHeight="false" outlineLevel="0" collapsed="false">
      <c r="A8688" s="4" t="s">
        <v>43</v>
      </c>
      <c r="B8688" s="4" t="s">
        <v>65</v>
      </c>
      <c r="C8688" s="20" t="s">
        <v>799</v>
      </c>
      <c r="D8688" s="20" t="s">
        <v>800</v>
      </c>
      <c r="E8688" s="20" t="s">
        <v>801</v>
      </c>
      <c r="F8688" s="20" t="s">
        <v>802</v>
      </c>
      <c r="G8688" s="20" t="s">
        <v>803</v>
      </c>
      <c r="H8688" s="20" t="s">
        <v>804</v>
      </c>
      <c r="I8688" s="20" t="s">
        <v>805</v>
      </c>
      <c r="J8688" s="20" t="s">
        <v>806</v>
      </c>
      <c r="K8688" s="20" t="s">
        <v>807</v>
      </c>
      <c r="L8688" s="4" t="s">
        <v>47</v>
      </c>
    </row>
    <row r="8689" customFormat="false" ht="15" hidden="false" customHeight="false" outlineLevel="0" collapsed="false">
      <c r="A8689" s="1" t="s">
        <v>925</v>
      </c>
      <c r="B8689" s="0" t="s">
        <v>98</v>
      </c>
      <c r="F8689" s="6" t="n">
        <f aca="false">Sens!F8670</f>
        <v>137.099177737052</v>
      </c>
      <c r="G8689" s="6" t="n">
        <f aca="false">Sens!G8670</f>
        <v>145.158227714646</v>
      </c>
      <c r="H8689" s="6" t="n">
        <f aca="false">Sens!H8670</f>
        <v>148.758387178111</v>
      </c>
      <c r="I8689" s="6" t="n">
        <f aca="false">Sens!I8670</f>
        <v>159.254422979175</v>
      </c>
      <c r="J8689" s="6" t="n">
        <f aca="false">Sens!J8670</f>
        <v>171.679031126985</v>
      </c>
      <c r="K8689" s="6" t="n">
        <f aca="false">Sens!K8670</f>
        <v>186.141361733119</v>
      </c>
    </row>
    <row r="8690" customFormat="false" ht="17.15" hidden="false" customHeight="false" outlineLevel="0" collapsed="false">
      <c r="A8690" s="1" t="s">
        <v>947</v>
      </c>
      <c r="B8690" s="0" t="s">
        <v>98</v>
      </c>
      <c r="E8690" s="6" t="n">
        <f aca="false">Q!M38-Sens!E8608</f>
        <v>22.2285940229167</v>
      </c>
      <c r="F8690" s="6" t="n">
        <f aca="false">Sens!E8690*(1-1/life_nonai)+(Sens!F8697+Sens!F8698)/life_nonai</f>
        <v>24.3924470334783</v>
      </c>
      <c r="G8690" s="6" t="n">
        <f aca="false">Sens!F8690*(1-1/life_nonai)+(Sens!G8697)/life_nonai</f>
        <v>26.0593882196737</v>
      </c>
      <c r="H8690" s="6" t="n">
        <f aca="false">Sens!G8690*(1-1/life_nonai)+(Sens!H8697)/life_nonai</f>
        <v>28.1448099553965</v>
      </c>
      <c r="I8690" s="6" t="n">
        <f aca="false">Sens!H8690*(1-1/life_nonai)+(Sens!I8697)/life_nonai</f>
        <v>30.6178532110331</v>
      </c>
      <c r="J8690" s="6" t="n">
        <f aca="false">Sens!I8690*(1-1/life_nonai)+(Sens!J8697)/life_nonai</f>
        <v>33.4339862524327</v>
      </c>
      <c r="K8690" s="6" t="n">
        <f aca="false">Sens!J8690*(1-1/life_nonai)+(Sens!K8697)/life_nonai</f>
        <v>36.5409792772018</v>
      </c>
      <c r="L8690" s="11" t="s">
        <v>948</v>
      </c>
    </row>
    <row r="8691" customFormat="false" ht="17.15" hidden="false" customHeight="false" outlineLevel="0" collapsed="false">
      <c r="A8691" s="1" t="s">
        <v>949</v>
      </c>
      <c r="B8691" s="0" t="s">
        <v>98</v>
      </c>
      <c r="F8691" s="6" t="n">
        <f aca="false">Sens!$F$8698/life_nonai*(1-1/life_nonai)^(Sens!F8574-2027)</f>
        <v>0.833893890759241</v>
      </c>
      <c r="G8691" s="6" t="n">
        <f aca="false">Sens!$F$8698/life_nonai*(1-1/life_nonai)^(Sens!G8574-2027)</f>
        <v>0.750504501683317</v>
      </c>
      <c r="H8691" s="6" t="n">
        <f aca="false">Sens!$F$8698/life_nonai*(1-1/life_nonai)^(Sens!H8574-2027)</f>
        <v>0.675454051514985</v>
      </c>
      <c r="I8691" s="6" t="n">
        <f aca="false">Sens!$F$8698/life_nonai*(1-1/life_nonai)^(Sens!I8574-2027)</f>
        <v>0.607908646363487</v>
      </c>
      <c r="J8691" s="6" t="n">
        <f aca="false">Sens!$F$8698/life_nonai*(1-1/life_nonai)^(Sens!J8574-2027)</f>
        <v>0.547117781727138</v>
      </c>
      <c r="K8691" s="6" t="n">
        <f aca="false">Sens!$F$8698/life_nonai*(1-1/life_nonai)^(Sens!K8574-2027)</f>
        <v>0.492406003554424</v>
      </c>
      <c r="L8691" s="1" t="s">
        <v>950</v>
      </c>
    </row>
    <row r="8692" customFormat="false" ht="17.15" hidden="false" customHeight="false" outlineLevel="0" collapsed="false">
      <c r="A8692" s="1" t="s">
        <v>951</v>
      </c>
      <c r="B8692" s="0" t="s">
        <v>98</v>
      </c>
      <c r="E8692" s="6" t="n">
        <f aca="false">Sens!E8608+Sens!E8690</f>
        <v>38.534</v>
      </c>
      <c r="F8692" s="6" t="n">
        <f aca="false">Sens!F8608+Sens!F8690</f>
        <v>58.4423344144339</v>
      </c>
      <c r="G8692" s="6" t="n">
        <f aca="false">Sens!G8608+Sens!G8690</f>
        <v>85.1848253301848</v>
      </c>
      <c r="H8692" s="6" t="n">
        <f aca="false">Sens!H8608+Sens!H8690</f>
        <v>114.505829798708</v>
      </c>
      <c r="I8692" s="6" t="n">
        <f aca="false">Sens!I8608+Sens!I8690</f>
        <v>141.223597043426</v>
      </c>
      <c r="J8692" s="6" t="n">
        <f aca="false">Sens!J8608+Sens!J8690</f>
        <v>161.432309105276</v>
      </c>
      <c r="K8692" s="6" t="n">
        <f aca="false">Sens!K8608+Sens!K8690</f>
        <v>175.67244332151</v>
      </c>
    </row>
    <row r="8693" customFormat="false" ht="17.15" hidden="false" customHeight="false" outlineLevel="0" collapsed="false">
      <c r="A8693" s="1" t="s">
        <v>952</v>
      </c>
      <c r="B8693" s="0" t="s">
        <v>98</v>
      </c>
      <c r="F8693" s="6" t="n">
        <f aca="false">Sens!F8635*sbc_r</f>
        <v>14.7287090110727</v>
      </c>
      <c r="G8693" s="6" t="n">
        <f aca="false">Sens!G8635*sbc_r</f>
        <v>17.1283291359249</v>
      </c>
      <c r="H8693" s="6" t="n">
        <f aca="false">Sens!H8635*sbc_r</f>
        <v>19.4237519663131</v>
      </c>
      <c r="I8693" s="6" t="n">
        <f aca="false">Sens!I8635*sbc_r</f>
        <v>21.8831586819544</v>
      </c>
      <c r="J8693" s="6" t="n">
        <f aca="false">Sens!J8635*sbc_r</f>
        <v>24.0533377533669</v>
      </c>
      <c r="K8693" s="6" t="n">
        <f aca="false">Sens!K8635*sbc_r</f>
        <v>25.963178864937</v>
      </c>
    </row>
    <row r="8694" customFormat="false" ht="17.15" hidden="false" customHeight="false" outlineLevel="0" collapsed="false">
      <c r="A8694" s="1" t="s">
        <v>953</v>
      </c>
      <c r="B8694" s="0" t="s">
        <v>98</v>
      </c>
      <c r="F8694" s="6" t="n">
        <f aca="false">wc27</f>
        <v>-4.895</v>
      </c>
      <c r="G8694" s="6" t="n">
        <f aca="false">wc_f</f>
        <v>0</v>
      </c>
      <c r="H8694" s="6" t="n">
        <f aca="false">wc_f</f>
        <v>0</v>
      </c>
      <c r="I8694" s="6" t="n">
        <f aca="false">wc_f</f>
        <v>0</v>
      </c>
      <c r="J8694" s="6" t="n">
        <f aca="false">wc_f</f>
        <v>0</v>
      </c>
      <c r="K8694" s="6" t="n">
        <f aca="false">wc_f</f>
        <v>0</v>
      </c>
      <c r="L8694" s="11" t="s">
        <v>954</v>
      </c>
    </row>
    <row r="8695" customFormat="false" ht="15" hidden="false" customHeight="false" outlineLevel="0" collapsed="false">
      <c r="A8695" s="1" t="s">
        <v>767</v>
      </c>
      <c r="B8695" s="0" t="s">
        <v>98</v>
      </c>
      <c r="E8695" s="6" t="n">
        <f aca="false">Q!M35</f>
        <v>182.935</v>
      </c>
      <c r="F8695" s="6" t="n">
        <f aca="false">Sens!F8689+Sens!F8692+Sens!F8693+Sens!F8694</f>
        <v>205.375221162558</v>
      </c>
      <c r="G8695" s="6" t="n">
        <f aca="false">Sens!G8689+Sens!G8692+Sens!G8693+Sens!G8694</f>
        <v>247.471382180755</v>
      </c>
      <c r="H8695" s="6" t="n">
        <f aca="false">Sens!H8689+Sens!H8692+Sens!H8693+Sens!H8694</f>
        <v>282.687968943132</v>
      </c>
      <c r="I8695" s="6" t="n">
        <f aca="false">Sens!I8689+Sens!I8692+Sens!I8693+Sens!I8694</f>
        <v>322.361178704555</v>
      </c>
      <c r="J8695" s="6" t="n">
        <f aca="false">Sens!J8689+Sens!J8692+Sens!J8693+Sens!J8694</f>
        <v>357.164677985628</v>
      </c>
      <c r="K8695" s="6" t="n">
        <f aca="false">Sens!K8689+Sens!K8692+Sens!K8693+Sens!K8694</f>
        <v>387.776983919566</v>
      </c>
    </row>
    <row r="8696" customFormat="false" ht="17.15" hidden="false" customHeight="false" outlineLevel="0" collapsed="false">
      <c r="A8696" s="0" t="s">
        <v>955</v>
      </c>
      <c r="B8696" s="0" t="s">
        <v>98</v>
      </c>
      <c r="F8696" s="6" t="n">
        <f aca="false">Sens!F8605</f>
        <v>160.332875871467</v>
      </c>
      <c r="G8696" s="6" t="n">
        <f aca="false">Sens!G8605</f>
        <v>183.5741804832</v>
      </c>
      <c r="H8696" s="6" t="n">
        <f aca="false">Sens!H8605</f>
        <v>188.0802859104</v>
      </c>
      <c r="I8696" s="6" t="n">
        <f aca="false">Sens!I8605</f>
        <v>163.706669154245</v>
      </c>
      <c r="J8696" s="6" t="n">
        <f aca="false">Sens!J8605</f>
        <v>127.181436594242</v>
      </c>
      <c r="K8696" s="6" t="n">
        <f aca="false">Sens!K8605</f>
        <v>121.407415303591</v>
      </c>
    </row>
    <row r="8697" customFormat="false" ht="17.15" hidden="false" customHeight="false" outlineLevel="0" collapsed="false">
      <c r="A8697" s="1" t="s">
        <v>956</v>
      </c>
      <c r="B8697" s="0" t="s">
        <v>98</v>
      </c>
      <c r="E8697" s="6" t="n">
        <f aca="false">Sens!E8613*cx_azo+Sens!E8620*cx_m365+Sens!E8621*cx_lic+(Sens!E8623+Sens!E8625)*cx_ind+Sens!E8628*cx_srch+(Sens!E8630+Sens!E8632)*cx_dev</f>
        <v>30.1846587067718</v>
      </c>
      <c r="F8697" s="6" t="n">
        <f aca="false">Sens!F8613*cx_azo+Sens!F8620*cx_m365+Sens!F8621*cx_lic+(Sens!F8623+Sens!F8625)*cx_ind+Sens!F8628*cx_srch+(Sens!F8630+Sens!F8632)*cx_dev</f>
        <v>35.5281852209409</v>
      </c>
      <c r="G8697" s="6" t="n">
        <f aca="false">Sens!G8613*cx_azo+Sens!G8620*cx_m365+Sens!G8621*cx_lic+(Sens!G8623+Sens!G8625)*cx_ind+Sens!G8628*cx_srch+(Sens!G8630+Sens!G8632)*cx_dev</f>
        <v>41.0618588954315</v>
      </c>
      <c r="H8697" s="6" t="n">
        <f aca="false">Sens!H8613*cx_azo+Sens!H8620*cx_m365+Sens!H8621*cx_lic+(Sens!H8623+Sens!H8625)*cx_ind+Sens!H8628*cx_srch+(Sens!H8630+Sens!H8632)*cx_dev</f>
        <v>46.913605576902</v>
      </c>
      <c r="I8697" s="6" t="n">
        <f aca="false">Sens!I8613*cx_azo+Sens!I8620*cx_m365+Sens!I8621*cx_lic+(Sens!I8623+Sens!I8625)*cx_ind+Sens!I8628*cx_srch+(Sens!I8630+Sens!I8632)*cx_dev</f>
        <v>52.8752425117621</v>
      </c>
      <c r="J8697" s="6" t="n">
        <f aca="false">Sens!J8613*cx_azo+Sens!J8620*cx_m365+Sens!J8621*cx_lic+(Sens!J8623+Sens!J8625)*cx_ind+Sens!J8628*cx_srch+(Sens!J8630+Sens!J8632)*cx_dev</f>
        <v>58.7791836250298</v>
      </c>
      <c r="K8697" s="6" t="n">
        <f aca="false">Sens!K8613*cx_azo+Sens!K8620*cx_m365+Sens!K8621*cx_lic+(Sens!K8623+Sens!K8625)*cx_ind+Sens!K8628*cx_srch+(Sens!K8630+Sens!K8632)*cx_dev</f>
        <v>64.5039165001234</v>
      </c>
    </row>
    <row r="8698" customFormat="false" ht="17.15" hidden="false" customHeight="false" outlineLevel="0" collapsed="false">
      <c r="A8698" s="0" t="s">
        <v>957</v>
      </c>
      <c r="B8698" s="0" t="s">
        <v>98</v>
      </c>
      <c r="F8698" s="6" t="n">
        <f aca="false">Sens!F8603</f>
        <v>8.33893890759241</v>
      </c>
      <c r="L8698" s="1" t="s">
        <v>958</v>
      </c>
    </row>
    <row r="8699" customFormat="false" ht="17.15" hidden="false" customHeight="false" outlineLevel="0" collapsed="false">
      <c r="A8699" s="1" t="s">
        <v>959</v>
      </c>
      <c r="B8699" s="0" t="s">
        <v>98</v>
      </c>
      <c r="E8699" s="6" t="n">
        <f aca="false">Q!M42</f>
        <v>145.3</v>
      </c>
      <c r="F8699" s="6" t="n">
        <f aca="false">Sens!F8696+Sens!F8697+Sens!F8698</f>
        <v>204.2</v>
      </c>
      <c r="G8699" s="6" t="n">
        <f aca="false">Sens!G8696+Sens!G8697</f>
        <v>224.636039378632</v>
      </c>
      <c r="H8699" s="6" t="n">
        <f aca="false">Sens!H8696+Sens!H8697</f>
        <v>234.993891487302</v>
      </c>
      <c r="I8699" s="6" t="n">
        <f aca="false">Sens!I8696+Sens!I8697</f>
        <v>216.581911666008</v>
      </c>
      <c r="J8699" s="6" t="n">
        <f aca="false">Sens!J8696+Sens!J8697</f>
        <v>185.960620219272</v>
      </c>
      <c r="K8699" s="6" t="n">
        <f aca="false">Sens!K8696+Sens!K8697</f>
        <v>185.911331803714</v>
      </c>
      <c r="L8699" s="1" t="s">
        <v>960</v>
      </c>
    </row>
    <row r="8700" customFormat="false" ht="15" hidden="false" customHeight="false" outlineLevel="0" collapsed="false">
      <c r="A8700" s="1" t="s">
        <v>961</v>
      </c>
      <c r="B8700" s="0" t="s">
        <v>98</v>
      </c>
      <c r="E8700" s="6" t="n">
        <f aca="false">fl_liab</f>
        <v>66.594</v>
      </c>
      <c r="F8700" s="6" t="n">
        <f aca="false">Sens!E8700-Sens!F8701</f>
        <v>62.46973</v>
      </c>
      <c r="G8700" s="6" t="n">
        <f aca="false">Sens!F8700-Sens!G8701</f>
        <v>57.98686785</v>
      </c>
      <c r="H8700" s="6" t="n">
        <f aca="false">Sens!G8700-Sens!H8701</f>
        <v>53.92827690325</v>
      </c>
      <c r="I8700" s="6" t="n">
        <f aca="false">Sens!H8700-Sens!I8701</f>
        <v>49.7850493638962</v>
      </c>
      <c r="J8700" s="6" t="n">
        <f aca="false">Sens!I8700-Sens!J8701</f>
        <v>45.4823765852716</v>
      </c>
      <c r="K8700" s="6" t="n">
        <f aca="false">Sens!J8700-Sens!K8701</f>
        <v>40.9860835316088</v>
      </c>
    </row>
    <row r="8701" customFormat="false" ht="15" hidden="false" customHeight="false" outlineLevel="0" collapsed="false">
      <c r="A8701" s="1" t="s">
        <v>962</v>
      </c>
      <c r="B8701" s="0" t="s">
        <v>98</v>
      </c>
      <c r="F8701" s="6" t="n">
        <f aca="false">fl_pay_27-Sens!E8700*fl_rate</f>
        <v>4.12427</v>
      </c>
      <c r="G8701" s="6" t="n">
        <f aca="false">fl_pay_28-Sens!F8700*fl_rate</f>
        <v>4.48286215</v>
      </c>
      <c r="H8701" s="6" t="n">
        <f aca="false">fl_pay_29-Sens!G8700*fl_rate</f>
        <v>4.05859094675</v>
      </c>
      <c r="I8701" s="6" t="n">
        <f aca="false">fl_pay_30-Sens!H8700*fl_rate</f>
        <v>4.14322753935375</v>
      </c>
      <c r="J8701" s="6" t="n">
        <f aca="false">fl_pay_31-Sens!I8700*fl_rate</f>
        <v>4.30267277862467</v>
      </c>
      <c r="K8701" s="6" t="n">
        <f aca="false">fl_pay_32-Sens!J8700*fl_rate</f>
        <v>4.49629305366278</v>
      </c>
    </row>
    <row r="8702" customFormat="false" ht="17.15" hidden="false" customHeight="false" outlineLevel="0" collapsed="false">
      <c r="A8702" s="1" t="s">
        <v>963</v>
      </c>
      <c r="B8702" s="0" t="s">
        <v>98</v>
      </c>
      <c r="E8702" s="6" t="n">
        <f aca="false">Q!M35-Q!M36-Q!M43</f>
        <v>63.886</v>
      </c>
      <c r="F8702" s="6" t="n">
        <f aca="false">Sens!F8695-Sens!F8699-Sens!F8701</f>
        <v>-2.94904883744181</v>
      </c>
      <c r="G8702" s="6" t="n">
        <f aca="false">Sens!G8695-Sens!G8699-Sens!G8701</f>
        <v>18.3524806521237</v>
      </c>
      <c r="H8702" s="6" t="n">
        <f aca="false">Sens!H8695-Sens!H8699-Sens!H8701</f>
        <v>43.6354865090801</v>
      </c>
      <c r="I8702" s="6" t="n">
        <f aca="false">Sens!I8695-Sens!I8699-Sens!I8701</f>
        <v>101.636039499194</v>
      </c>
      <c r="J8702" s="6" t="n">
        <f aca="false">Sens!J8695-Sens!J8699-Sens!J8701</f>
        <v>166.901384987731</v>
      </c>
      <c r="K8702" s="6" t="n">
        <f aca="false">Sens!K8695-Sens!K8699-Sens!K8701</f>
        <v>197.369359062189</v>
      </c>
      <c r="L8702" s="11" t="s">
        <v>964</v>
      </c>
    </row>
    <row r="8703" customFormat="false" ht="15" hidden="false" customHeight="false" outlineLevel="0" collapsed="false">
      <c r="A8703" s="1" t="s">
        <v>965</v>
      </c>
      <c r="B8703" s="0" t="s">
        <v>75</v>
      </c>
      <c r="F8703" s="8" t="n">
        <f aca="false">dps_27</f>
        <v>3.85</v>
      </c>
      <c r="G8703" s="8" t="n">
        <f aca="false">Sens!F8703*(1+dps_g)</f>
        <v>4.158</v>
      </c>
      <c r="H8703" s="8" t="n">
        <f aca="false">Sens!G8703*(1+dps_g)</f>
        <v>4.49064</v>
      </c>
      <c r="I8703" s="8" t="n">
        <f aca="false">Sens!H8703*(1+dps_g)</f>
        <v>4.8498912</v>
      </c>
      <c r="J8703" s="8" t="n">
        <f aca="false">Sens!I8703*(1+dps_g)</f>
        <v>5.237882496</v>
      </c>
      <c r="K8703" s="8" t="n">
        <f aca="false">Sens!J8703*(1+dps_g)</f>
        <v>5.65691309568</v>
      </c>
    </row>
    <row r="8704" customFormat="false" ht="17.15" hidden="false" customHeight="false" outlineLevel="0" collapsed="false">
      <c r="A8704" s="1" t="s">
        <v>966</v>
      </c>
      <c r="B8704" s="0" t="s">
        <v>98</v>
      </c>
      <c r="E8704" s="6" t="n">
        <f aca="false">Q!M41</f>
        <v>26.445</v>
      </c>
      <c r="F8704" s="6" t="n">
        <f aca="false">Sens!F8703*Sens!E8713</f>
        <v>28.59395</v>
      </c>
      <c r="G8704" s="6" t="n">
        <f aca="false">Sens!G8703*Sens!F8713</f>
        <v>31.068576</v>
      </c>
      <c r="H8704" s="6" t="n">
        <f aca="false">Sens!H8703*Sens!G8713</f>
        <v>33.75614088</v>
      </c>
      <c r="I8704" s="6" t="n">
        <f aca="false">Sens!I8703*Sens!H8713</f>
        <v>36.6156929599198</v>
      </c>
      <c r="J8704" s="6" t="n">
        <f aca="false">Sens!J8703*Sens!I8713</f>
        <v>39.6133472450328</v>
      </c>
      <c r="K8704" s="6" t="n">
        <f aca="false">Sens!K8703*Sens!J8713</f>
        <v>42.8696702499405</v>
      </c>
      <c r="L8704" s="1" t="s">
        <v>967</v>
      </c>
    </row>
    <row r="8705" customFormat="false" ht="15" hidden="false" customHeight="false" outlineLevel="0" collapsed="false">
      <c r="A8705" s="1" t="s">
        <v>968</v>
      </c>
      <c r="B8705" s="0" t="s">
        <v>98</v>
      </c>
      <c r="E8705" s="6" t="n">
        <f aca="false">Sens!E8702-Sens!E8704</f>
        <v>37.441</v>
      </c>
      <c r="F8705" s="6" t="n">
        <f aca="false">Sens!F8702-Sens!F8704</f>
        <v>-31.5429988374418</v>
      </c>
      <c r="G8705" s="6" t="n">
        <f aca="false">Sens!G8702-Sens!G8704</f>
        <v>-12.7160953478763</v>
      </c>
      <c r="H8705" s="6" t="n">
        <f aca="false">Sens!H8702-Sens!H8704</f>
        <v>9.87934562908009</v>
      </c>
      <c r="I8705" s="6" t="n">
        <f aca="false">Sens!I8702-Sens!I8704</f>
        <v>65.0203465392738</v>
      </c>
      <c r="J8705" s="6" t="n">
        <f aca="false">Sens!J8702-Sens!J8704</f>
        <v>127.288037742698</v>
      </c>
      <c r="K8705" s="6" t="n">
        <f aca="false">Sens!K8702-Sens!K8704</f>
        <v>154.499688812249</v>
      </c>
    </row>
    <row r="8706" customFormat="false" ht="15" hidden="false" customHeight="false" outlineLevel="0" collapsed="false">
      <c r="A8706" s="1" t="s">
        <v>969</v>
      </c>
      <c r="B8706" s="0" t="s">
        <v>98</v>
      </c>
      <c r="F8706" s="6" t="n">
        <f aca="false">debt_mat_27</f>
        <v>9.25</v>
      </c>
      <c r="G8706" s="6" t="n">
        <f aca="false">debt_mat_28</f>
        <v>0</v>
      </c>
      <c r="H8706" s="6" t="n">
        <f aca="false">debt_mat_29</f>
        <v>2.001</v>
      </c>
      <c r="I8706" s="6" t="n">
        <f aca="false">debt_mat_30</f>
        <v>0</v>
      </c>
      <c r="J8706" s="6" t="n">
        <f aca="false">debt_mat_31</f>
        <v>0.5</v>
      </c>
      <c r="K8706" s="6" t="n">
        <f aca="false">debt_mat_32</f>
        <v>0</v>
      </c>
    </row>
    <row r="8707" customFormat="false" ht="15" hidden="false" customHeight="false" outlineLevel="0" collapsed="false">
      <c r="A8707" s="1" t="s">
        <v>970</v>
      </c>
      <c r="B8707" s="0" t="s">
        <v>98</v>
      </c>
      <c r="E8707" s="6" t="n">
        <f aca="false">Q!M40</f>
        <v>22.271</v>
      </c>
      <c r="F8707" s="6" t="n">
        <f aca="false">MAX(0,MIN(bb_target,Sens!E8709+Sens!F8705-Sens!F8706-min_cash))</f>
        <v>0</v>
      </c>
      <c r="G8707" s="6" t="n">
        <f aca="false">MAX(0,MIN(bb_target,Sens!F8709+Sens!G8705-Sens!G8706-min_cash))</f>
        <v>0</v>
      </c>
      <c r="H8707" s="6" t="n">
        <f aca="false">MAX(0,MIN(bb_target,Sens!G8709+Sens!H8705-Sens!H8706-min_cash))</f>
        <v>7.87834562908009</v>
      </c>
      <c r="I8707" s="6" t="n">
        <f aca="false">MAX(0,MIN(bb_target,Sens!H8709+Sens!I8705-Sens!I8706-min_cash))</f>
        <v>22.271</v>
      </c>
      <c r="J8707" s="6" t="n">
        <f aca="false">MAX(0,MIN(bb_target,Sens!I8709+Sens!J8705-Sens!J8706-min_cash))</f>
        <v>22.271</v>
      </c>
      <c r="K8707" s="6" t="n">
        <f aca="false">MAX(0,MIN(bb_target,Sens!J8709+Sens!K8705-Sens!K8706-min_cash))</f>
        <v>22.271</v>
      </c>
    </row>
    <row r="8708" customFormat="false" ht="15" hidden="false" customHeight="false" outlineLevel="0" collapsed="false">
      <c r="A8708" s="1" t="s">
        <v>971</v>
      </c>
      <c r="B8708" s="0" t="s">
        <v>98</v>
      </c>
      <c r="F8708" s="6" t="n">
        <f aca="false">MAX(0,min_cash-(Sens!E8709+Sens!F8705-Sens!F8706-Sens!F8707))</f>
        <v>13.9499988374418</v>
      </c>
      <c r="G8708" s="6" t="n">
        <f aca="false">MAX(0,min_cash-(Sens!F8709+Sens!G8705-Sens!G8706-Sens!G8707))</f>
        <v>12.7160953478763</v>
      </c>
      <c r="H8708" s="6" t="n">
        <f aca="false">MAX(0,min_cash-(Sens!G8709+Sens!H8705-Sens!H8706-Sens!H8707))</f>
        <v>0</v>
      </c>
      <c r="I8708" s="6" t="n">
        <f aca="false">MAX(0,min_cash-(Sens!H8709+Sens!I8705-Sens!I8706-Sens!I8707))</f>
        <v>0</v>
      </c>
      <c r="J8708" s="6" t="n">
        <f aca="false">MAX(0,min_cash-(Sens!I8709+Sens!J8705-Sens!J8706-Sens!J8707))</f>
        <v>0</v>
      </c>
      <c r="K8708" s="6" t="n">
        <f aca="false">MAX(0,min_cash-(Sens!J8709+Sens!K8705-Sens!K8706-Sens!K8707))</f>
        <v>0</v>
      </c>
    </row>
    <row r="8709" customFormat="false" ht="15" hidden="false" customHeight="false" outlineLevel="0" collapsed="false">
      <c r="A8709" s="1" t="s">
        <v>972</v>
      </c>
      <c r="B8709" s="0" t="s">
        <v>98</v>
      </c>
      <c r="E8709" s="6" t="n">
        <f aca="false">cash_open</f>
        <v>76.843</v>
      </c>
      <c r="F8709" s="6" t="n">
        <f aca="false">Sens!E8709+Sens!F8705-Sens!F8706-Sens!F8707+Sens!F8708</f>
        <v>50</v>
      </c>
      <c r="G8709" s="6" t="n">
        <f aca="false">Sens!F8709+Sens!G8705-Sens!G8706-Sens!G8707+Sens!G8708</f>
        <v>50</v>
      </c>
      <c r="H8709" s="6" t="n">
        <f aca="false">Sens!G8709+Sens!H8705-Sens!H8706-Sens!H8707+Sens!H8708</f>
        <v>50</v>
      </c>
      <c r="I8709" s="6" t="n">
        <f aca="false">Sens!H8709+Sens!I8705-Sens!I8706-Sens!I8707+Sens!I8708</f>
        <v>92.7493465392738</v>
      </c>
      <c r="J8709" s="6" t="n">
        <f aca="false">Sens!I8709+Sens!J8705-Sens!J8706-Sens!J8707+Sens!J8708</f>
        <v>197.266384281972</v>
      </c>
      <c r="K8709" s="6" t="n">
        <f aca="false">Sens!J8709+Sens!K8705-Sens!K8706-Sens!K8707+Sens!K8708</f>
        <v>329.49507309422</v>
      </c>
    </row>
    <row r="8710" customFormat="false" ht="15" hidden="false" customHeight="false" outlineLevel="0" collapsed="false">
      <c r="A8710" s="1" t="s">
        <v>973</v>
      </c>
      <c r="B8710" s="0" t="s">
        <v>98</v>
      </c>
      <c r="E8710" s="6" t="n">
        <f aca="false">debt_face</f>
        <v>46.136</v>
      </c>
      <c r="F8710" s="6" t="n">
        <f aca="false">Sens!E8710-Sens!F8706+Sens!F8708</f>
        <v>50.8359988374418</v>
      </c>
      <c r="G8710" s="6" t="n">
        <f aca="false">Sens!F8710-Sens!G8706+Sens!G8708</f>
        <v>63.5520941853181</v>
      </c>
      <c r="H8710" s="6" t="n">
        <f aca="false">Sens!G8710-Sens!H8706+Sens!H8708</f>
        <v>61.5510941853181</v>
      </c>
      <c r="I8710" s="6" t="n">
        <f aca="false">Sens!H8710-Sens!I8706+Sens!I8708</f>
        <v>61.5510941853181</v>
      </c>
      <c r="J8710" s="6" t="n">
        <f aca="false">Sens!I8710-Sens!J8706+Sens!J8708</f>
        <v>61.0510941853181</v>
      </c>
      <c r="K8710" s="6" t="n">
        <f aca="false">Sens!J8710-Sens!K8706+Sens!K8708</f>
        <v>61.0510941853181</v>
      </c>
    </row>
    <row r="8711" customFormat="false" ht="15" hidden="false" customHeight="false" outlineLevel="0" collapsed="false">
      <c r="A8711" s="1" t="s">
        <v>974</v>
      </c>
      <c r="B8711" s="0" t="s">
        <v>98</v>
      </c>
      <c r="E8711" s="6" t="n">
        <f aca="false">Sens!E8709-Sens!E8710</f>
        <v>30.707</v>
      </c>
      <c r="F8711" s="6" t="n">
        <f aca="false">Sens!F8709-Sens!F8710</f>
        <v>-0.835998837441814</v>
      </c>
      <c r="G8711" s="6" t="n">
        <f aca="false">Sens!G8709-Sens!G8710</f>
        <v>-13.5520941853181</v>
      </c>
      <c r="H8711" s="6" t="n">
        <f aca="false">Sens!H8709-Sens!H8710</f>
        <v>-11.5510941853181</v>
      </c>
      <c r="I8711" s="6" t="n">
        <f aca="false">Sens!I8709-Sens!I8710</f>
        <v>31.1982523539557</v>
      </c>
      <c r="J8711" s="6" t="n">
        <f aca="false">Sens!J8709-Sens!J8710</f>
        <v>136.215290096654</v>
      </c>
      <c r="K8711" s="6" t="n">
        <f aca="false">Sens!K8709-Sens!K8710</f>
        <v>268.443978908902</v>
      </c>
    </row>
    <row r="8712" customFormat="false" ht="15" hidden="false" customHeight="false" outlineLevel="0" collapsed="false">
      <c r="A8712" s="1" t="s">
        <v>975</v>
      </c>
      <c r="B8712" s="0" t="s">
        <v>75</v>
      </c>
      <c r="F8712" s="29" t="n">
        <f aca="false">px*(1+bb_g)^(Sens!F8574-base_fy-mid_yr)</f>
        <v>553.494156066711</v>
      </c>
      <c r="G8712" s="29" t="n">
        <f aca="false">px*(1+bb_g)^(Sens!G8574-base_fy-mid_yr)</f>
        <v>597.773688552047</v>
      </c>
      <c r="H8712" s="29" t="n">
        <f aca="false">px*(1+bb_g)^(Sens!H8574-base_fy-mid_yr)</f>
        <v>645.595583636211</v>
      </c>
      <c r="I8712" s="29" t="n">
        <f aca="false">px*(1+bb_g)^(Sens!I8574-base_fy-mid_yr)</f>
        <v>697.243230327108</v>
      </c>
      <c r="J8712" s="29" t="n">
        <f aca="false">px*(1+bb_g)^(Sens!J8574-base_fy-mid_yr)</f>
        <v>753.022688753277</v>
      </c>
      <c r="K8712" s="29" t="n">
        <f aca="false">px*(1+bb_g)^(Sens!K8574-base_fy-mid_yr)</f>
        <v>813.264503853539</v>
      </c>
    </row>
    <row r="8713" customFormat="false" ht="15" hidden="false" customHeight="false" outlineLevel="0" collapsed="false">
      <c r="A8713" s="1" t="s">
        <v>976</v>
      </c>
      <c r="B8713" s="1" t="s">
        <v>81</v>
      </c>
      <c r="E8713" s="14" t="n">
        <f aca="false">sh_out26</f>
        <v>7.427</v>
      </c>
      <c r="F8713" s="14" t="n">
        <f aca="false">Sens!E8713+sh_iss-Sens!F8707/Sens!F8712</f>
        <v>7.472</v>
      </c>
      <c r="G8713" s="14" t="n">
        <f aca="false">Sens!F8713+sh_iss-Sens!G8707/Sens!G8712</f>
        <v>7.517</v>
      </c>
      <c r="H8713" s="14" t="n">
        <f aca="false">Sens!G8713+sh_iss-Sens!H8707/Sens!H8712</f>
        <v>7.54979677892976</v>
      </c>
      <c r="I8713" s="14" t="n">
        <f aca="false">Sens!H8713+sh_iss-Sens!I8707/Sens!I8712</f>
        <v>7.56285527124449</v>
      </c>
      <c r="J8713" s="14" t="n">
        <f aca="false">Sens!I8713+sh_iss-Sens!J8707/Sens!J8712</f>
        <v>7.57827980116553</v>
      </c>
      <c r="K8713" s="14" t="n">
        <f aca="false">Sens!J8713+sh_iss-Sens!K8707/Sens!K8712</f>
        <v>7.59589510664797</v>
      </c>
    </row>
    <row r="8714" customFormat="false" ht="15" hidden="false" customHeight="false" outlineLevel="0" collapsed="false">
      <c r="A8714" s="1" t="s">
        <v>977</v>
      </c>
      <c r="B8714" s="1" t="s">
        <v>81</v>
      </c>
      <c r="E8714" s="14" t="n">
        <f aca="false">sh_dil26</f>
        <v>7.453</v>
      </c>
      <c r="F8714" s="14" t="n">
        <f aca="false">(Sens!E8713+Sens!F8713)/2+dil_gap</f>
        <v>7.4735</v>
      </c>
      <c r="G8714" s="14" t="n">
        <f aca="false">(Sens!F8713+Sens!G8713)/2+dil_gap</f>
        <v>7.5185</v>
      </c>
      <c r="H8714" s="14" t="n">
        <f aca="false">(Sens!G8713+Sens!H8713)/2+dil_gap</f>
        <v>7.55739838946488</v>
      </c>
      <c r="I8714" s="14" t="n">
        <f aca="false">(Sens!H8713+Sens!I8713)/2+dil_gap</f>
        <v>7.58032602508713</v>
      </c>
      <c r="J8714" s="14" t="n">
        <f aca="false">(Sens!I8713+Sens!J8713)/2+dil_gap</f>
        <v>7.59456753620501</v>
      </c>
      <c r="K8714" s="14" t="n">
        <f aca="false">(Sens!J8713+Sens!K8713)/2+dil_gap</f>
        <v>7.61108745390675</v>
      </c>
    </row>
    <row r="8715" customFormat="false" ht="17.15" hidden="false" customHeight="false" outlineLevel="0" collapsed="false">
      <c r="A8715" s="1" t="s">
        <v>978</v>
      </c>
      <c r="B8715" s="0" t="s">
        <v>98</v>
      </c>
      <c r="C8715" s="6" t="n">
        <f aca="false">SUM(Sens!F8705:J8705)</f>
        <v>157.928635725734</v>
      </c>
    </row>
    <row r="8716" customFormat="false" ht="15" hidden="false" customHeight="false" outlineLevel="0" collapsed="false">
      <c r="A8716" s="23" t="s">
        <v>945</v>
      </c>
      <c r="B8716" s="30" t="s">
        <v>98</v>
      </c>
      <c r="C8716" s="24" t="n">
        <f aca="false">Sens!$C$8715-(Sens!F8705+Sens!G8705+Sens!H8705+Sens!I8705+Sens!J8705)</f>
        <v>0</v>
      </c>
      <c r="D8716" s="30"/>
      <c r="E8716" s="30"/>
      <c r="F8716" s="30"/>
      <c r="G8716" s="30"/>
      <c r="H8716" s="30"/>
      <c r="I8716" s="30"/>
      <c r="J8716" s="30"/>
      <c r="K8716" s="30"/>
    </row>
    <row r="8717" customFormat="false" ht="17.15" hidden="false" customHeight="false" outlineLevel="0" collapsed="false">
      <c r="A8717" s="1" t="s">
        <v>939</v>
      </c>
      <c r="B8717" s="1" t="s">
        <v>979</v>
      </c>
      <c r="C8717" s="32" t="str">
        <f aca="false">IF(SUM(Sens!F8708:J8708)&gt;0.05,"需要舉債 "&amp;TEXT(SUM(Sens!F8708:J8708),"0.0")&amp;" 十億美元","不需舉債")&amp;"；"&amp;IF(SUM(Sens!F8707:J8707)&lt;COUNT(Sens!F8707:J8707)*bb_target-0.05,"回購較每年 "&amp;TEXT(bb_target,"0.0")&amp;" 的目標少 "&amp;TEXT(COUNT(Sens!F8707:J8707)*bb_target-SUM(Sens!F8707:J8707),"0.0")&amp;" 十億美元（"&amp;TEXT(COUNTIF(Sens!F8707:J8707,"&lt;"&amp;(bb_target-0.05)),"0")&amp;" 年減少）","回購不減")</f>
        <v>需要舉債 26.7 十億美元；回購較每年 22.3 的目標少 58.9 十億美元（3 年減少）</v>
      </c>
    </row>
    <row r="8718" customFormat="false" ht="17.15" hidden="false" customHeight="false" outlineLevel="0" collapsed="false">
      <c r="A8718" s="3" t="s">
        <v>1486</v>
      </c>
    </row>
    <row r="8719" customFormat="false" ht="15" hidden="false" customHeight="false" outlineLevel="0" collapsed="false">
      <c r="A8719" s="4" t="s">
        <v>43</v>
      </c>
      <c r="B8719" s="4" t="s">
        <v>65</v>
      </c>
      <c r="C8719" s="20" t="s">
        <v>799</v>
      </c>
      <c r="D8719" s="20" t="s">
        <v>800</v>
      </c>
      <c r="E8719" s="20" t="s">
        <v>801</v>
      </c>
      <c r="F8719" s="20" t="s">
        <v>802</v>
      </c>
      <c r="G8719" s="20" t="s">
        <v>803</v>
      </c>
      <c r="H8719" s="20" t="s">
        <v>804</v>
      </c>
      <c r="I8719" s="20" t="s">
        <v>805</v>
      </c>
      <c r="J8719" s="20" t="s">
        <v>806</v>
      </c>
      <c r="K8719" s="20" t="s">
        <v>807</v>
      </c>
      <c r="L8719" s="4" t="s">
        <v>47</v>
      </c>
    </row>
    <row r="8720" customFormat="false" ht="15" hidden="false" customHeight="false" outlineLevel="0" collapsed="false">
      <c r="A8720" s="1" t="s">
        <v>1057</v>
      </c>
      <c r="B8720" s="1" t="s">
        <v>235</v>
      </c>
      <c r="F8720" s="36" t="n">
        <f aca="false">Sens!F8574-base_fy-mid_yr</f>
        <v>0.5</v>
      </c>
      <c r="G8720" s="36" t="n">
        <f aca="false">Sens!G8574-base_fy-mid_yr</f>
        <v>1.5</v>
      </c>
      <c r="H8720" s="36" t="n">
        <f aca="false">Sens!H8574-base_fy-mid_yr</f>
        <v>2.5</v>
      </c>
      <c r="I8720" s="36" t="n">
        <f aca="false">Sens!I8574-base_fy-mid_yr</f>
        <v>3.5</v>
      </c>
      <c r="J8720" s="36" t="n">
        <f aca="false">Sens!J8574-base_fy-mid_yr</f>
        <v>4.5</v>
      </c>
      <c r="K8720" s="36" t="n">
        <f aca="false">Sens!K8574-base_fy-mid_yr</f>
        <v>5.5</v>
      </c>
    </row>
    <row r="8721" customFormat="false" ht="15" hidden="false" customHeight="false" outlineLevel="0" collapsed="false">
      <c r="A8721" s="1" t="s">
        <v>1058</v>
      </c>
      <c r="B8721" s="0" t="s">
        <v>185</v>
      </c>
      <c r="F8721" s="14" t="n">
        <f aca="false">1/(1+wacc)^Sens!F8720</f>
        <v>0.952193373608246</v>
      </c>
      <c r="G8721" s="14" t="n">
        <f aca="false">1/(1+wacc)^Sens!G8720</f>
        <v>0.863327280626589</v>
      </c>
      <c r="H8721" s="14" t="n">
        <f aca="false">1/(1+wacc)^Sens!H8720</f>
        <v>0.782754862754115</v>
      </c>
      <c r="I8721" s="14" t="n">
        <f aca="false">1/(1+wacc)^Sens!I8720</f>
        <v>0.709702089711011</v>
      </c>
      <c r="J8721" s="14" t="n">
        <f aca="false">1/(1+wacc)^Sens!J8720</f>
        <v>0.643467169744551</v>
      </c>
      <c r="K8721" s="14" t="n">
        <f aca="false">1/(1+wacc)^Sens!K8720</f>
        <v>0.583413807767797</v>
      </c>
    </row>
    <row r="8722" customFormat="false" ht="17.15" hidden="false" customHeight="false" outlineLevel="0" collapsed="false">
      <c r="A8722" s="1" t="s">
        <v>1059</v>
      </c>
      <c r="B8722" s="0" t="s">
        <v>98</v>
      </c>
      <c r="F8722" s="6" t="n">
        <f aca="false">Sens!F8695-Sens!F8693-Sens!F8699+Sens!F8678*(1-tax_f)</f>
        <v>-5.42920264829633</v>
      </c>
      <c r="G8722" s="6" t="n">
        <f aca="false">Sens!G8695-Sens!G8693-Sens!G8699+Sens!G8678*(1-tax_f)</f>
        <v>26.9101644179232</v>
      </c>
      <c r="H8722" s="6" t="n">
        <f aca="false">Sens!H8695-Sens!H8693-Sens!H8699+Sens!H8678*(1-tax_f)</f>
        <v>63.779524953165</v>
      </c>
      <c r="I8722" s="6" t="n">
        <f aca="false">Sens!I8695-Sens!I8693-Sens!I8699+Sens!I8678*(1-tax_f)</f>
        <v>132.298390349693</v>
      </c>
      <c r="J8722" s="6" t="n">
        <f aca="false">Sens!J8695-Sens!J8693-Sens!J8699+Sens!J8678*(1-tax_f)</f>
        <v>204.653769979947</v>
      </c>
      <c r="K8722" s="6" t="n">
        <f aca="false">Sens!K8695-Sens!K8693-Sens!K8699+Sens!K8678*(1-tax_f)</f>
        <v>238.925611032576</v>
      </c>
      <c r="L8722" s="1" t="s">
        <v>1060</v>
      </c>
    </row>
    <row r="8723" customFormat="false" ht="15" hidden="false" customHeight="false" outlineLevel="0" collapsed="false">
      <c r="A8723" s="1" t="s">
        <v>1061</v>
      </c>
      <c r="B8723" s="0" t="s">
        <v>98</v>
      </c>
      <c r="F8723" s="6" t="n">
        <f aca="false">Sens!F8722*Sens!F8721</f>
        <v>-5.16965078568411</v>
      </c>
      <c r="G8723" s="6" t="n">
        <f aca="false">Sens!G8722*Sens!G8721</f>
        <v>23.2322790681401</v>
      </c>
      <c r="H8723" s="6" t="n">
        <f aca="false">Sens!H8722*Sens!H8721</f>
        <v>49.9237333012373</v>
      </c>
      <c r="I8723" s="6" t="n">
        <f aca="false">Sens!I8722*Sens!I8721</f>
        <v>93.8924440965798</v>
      </c>
      <c r="J8723" s="6" t="n">
        <f aca="false">Sens!J8722*Sens!J8721</f>
        <v>131.687982146549</v>
      </c>
      <c r="K8723" s="6" t="n">
        <f aca="false">Sens!K8722*Sens!K8721</f>
        <v>139.392500505763</v>
      </c>
    </row>
    <row r="8724" customFormat="false" ht="17.15" hidden="false" customHeight="false" outlineLevel="0" collapsed="false">
      <c r="A8724" s="1" t="s">
        <v>1062</v>
      </c>
      <c r="B8724" s="0" t="s">
        <v>98</v>
      </c>
      <c r="C8724" s="6" t="n">
        <f aca="false">SUM(Sens!F8723:K8723)</f>
        <v>432.959288332585</v>
      </c>
    </row>
    <row r="8725" customFormat="false" ht="17.15" hidden="false" customHeight="false" outlineLevel="0" collapsed="false">
      <c r="A8725" s="1" t="s">
        <v>1063</v>
      </c>
      <c r="B8725" s="0" t="s">
        <v>98</v>
      </c>
      <c r="C8725" s="6" t="n">
        <f aca="false">Sens!K8664*(1+g_tv)*(1-tax_f)</f>
        <v>256.969034500224</v>
      </c>
    </row>
    <row r="8726" customFormat="false" ht="17.15" hidden="false" customHeight="false" outlineLevel="0" collapsed="false">
      <c r="A8726" s="1" t="s">
        <v>1064</v>
      </c>
      <c r="B8726" s="0" t="s">
        <v>98</v>
      </c>
      <c r="C8726" s="6" t="n">
        <f aca="false">Sens!$C$8725*(1-g_tv/(wacc+ronic_prem))</f>
        <v>182.076000391216</v>
      </c>
    </row>
    <row r="8727" customFormat="false" ht="17.15" hidden="false" customHeight="false" outlineLevel="0" collapsed="false">
      <c r="A8727" s="1" t="s">
        <v>1065</v>
      </c>
      <c r="B8727" s="0" t="s">
        <v>98</v>
      </c>
      <c r="C8727" s="6" t="n">
        <f aca="false">Sens!$C$8726/(wacc-g_tv)</f>
        <v>2496.43447030027</v>
      </c>
    </row>
    <row r="8728" customFormat="false" ht="15" hidden="false" customHeight="false" outlineLevel="0" collapsed="false">
      <c r="A8728" s="1" t="s">
        <v>1066</v>
      </c>
      <c r="B8728" s="0" t="s">
        <v>98</v>
      </c>
      <c r="C8728" s="6" t="n">
        <f aca="false">Sens!$C$8727/(1+wacc)^(Sens!K8720+mid_yr)</f>
        <v>1386.82617166395</v>
      </c>
    </row>
    <row r="8729" customFormat="false" ht="17.15" hidden="false" customHeight="false" outlineLevel="0" collapsed="false">
      <c r="A8729" s="0" t="s">
        <v>986</v>
      </c>
      <c r="B8729" s="0" t="s">
        <v>98</v>
      </c>
      <c r="C8729" s="6" t="n">
        <f aca="false">Sens!$C$8724+Sens!$C$8728</f>
        <v>1819.78545999654</v>
      </c>
    </row>
    <row r="8730" customFormat="false" ht="15" hidden="false" customHeight="false" outlineLevel="0" collapsed="false">
      <c r="A8730" s="1" t="s">
        <v>987</v>
      </c>
      <c r="B8730" s="0" t="s">
        <v>129</v>
      </c>
      <c r="C8730" s="7" t="n">
        <f aca="false">Sens!$C$8728/Sens!$C$8729</f>
        <v>0.762082235598581</v>
      </c>
    </row>
    <row r="8731" customFormat="false" ht="17.15" hidden="false" customHeight="false" outlineLevel="0" collapsed="false">
      <c r="A8731" s="1" t="s">
        <v>1067</v>
      </c>
      <c r="B8731" s="0" t="s">
        <v>98</v>
      </c>
      <c r="C8731" s="6" t="n">
        <f aca="false">Sens!$C$8729+Sens!E8711-Sens!E8700+oai_v</f>
        <v>1954.29845999654</v>
      </c>
    </row>
    <row r="8732" customFormat="false" ht="17.15" hidden="false" customHeight="false" outlineLevel="0" collapsed="false">
      <c r="A8732" s="0" t="s">
        <v>994</v>
      </c>
      <c r="B8732" s="0" t="s">
        <v>75</v>
      </c>
      <c r="C8732" s="5" t="n">
        <f aca="false">Sens!$C$8731/sh_dil26</f>
        <v>262.216350462437</v>
      </c>
    </row>
    <row r="8733" customFormat="false" ht="15" hidden="false" customHeight="false" outlineLevel="0" collapsed="false">
      <c r="A8733" s="1" t="s">
        <v>1068</v>
      </c>
      <c r="B8733" s="0" t="s">
        <v>75</v>
      </c>
      <c r="C8733" s="8" t="n">
        <f aca="false">dps_27+Sens!G8703*roll_div_q/q_per_yr</f>
        <v>4.8895</v>
      </c>
    </row>
    <row r="8734" customFormat="false" ht="17.15" hidden="false" customHeight="false" outlineLevel="0" collapsed="false">
      <c r="A8734" s="0" t="s">
        <v>1069</v>
      </c>
      <c r="B8734" s="0" t="s">
        <v>75</v>
      </c>
      <c r="C8734" s="5" t="n">
        <f aca="false">Sens!$C$8732*(1+wacc)^t_roll-Sens!$C$8733</f>
        <v>293.70501355116</v>
      </c>
    </row>
    <row r="8735" customFormat="false" ht="17.15" hidden="false" customHeight="false" outlineLevel="0" collapsed="false">
      <c r="A8735" s="1" t="s">
        <v>1070</v>
      </c>
      <c r="B8735" s="0" t="s">
        <v>129</v>
      </c>
      <c r="F8735" s="7" t="n">
        <f aca="false">Sens!F8690/(Sens!F8635-Sens!F8591)</f>
        <v>0.0710451438851632</v>
      </c>
      <c r="G8735" s="7" t="n">
        <f aca="false">Sens!G8690/(Sens!G8635-Sens!G8591)</f>
        <v>0.0680327585618103</v>
      </c>
      <c r="H8735" s="7" t="n">
        <f aca="false">Sens!H8690/(Sens!H8635-Sens!H8591)</f>
        <v>0.0662701839845773</v>
      </c>
      <c r="I8735" s="7" t="n">
        <f aca="false">Sens!I8690/(Sens!I8635-Sens!I8591)</f>
        <v>0.0656081501506315</v>
      </c>
      <c r="J8735" s="7" t="n">
        <f aca="false">Sens!J8690/(Sens!J8635-Sens!J8591)</f>
        <v>0.0658239356440837</v>
      </c>
      <c r="K8735" s="7" t="n">
        <f aca="false">Sens!K8690/(Sens!K8635-Sens!K8591)</f>
        <v>0.0666785561560876</v>
      </c>
    </row>
    <row r="8736" customFormat="false" ht="17.15" hidden="false" customHeight="false" outlineLevel="0" collapsed="false">
      <c r="A8736" s="0" t="s">
        <v>1071</v>
      </c>
      <c r="B8736" s="0" t="s">
        <v>98</v>
      </c>
      <c r="F8736" s="6" t="n">
        <f aca="false">Sens!F8620*(al_m365+Sens!F8735+sbc_r)</f>
        <v>83.1640227871633</v>
      </c>
      <c r="G8736" s="6" t="n">
        <f aca="false">Sens!G8620*(al_m365+Sens!G8735+sbc_r)</f>
        <v>93.4986902735998</v>
      </c>
      <c r="H8736" s="6" t="n">
        <f aca="false">Sens!H8620*(al_m365+Sens!H8735+sbc_r)</f>
        <v>103.983948294671</v>
      </c>
      <c r="I8736" s="6" t="n">
        <f aca="false">Sens!I8620*(al_m365+Sens!I8735+sbc_r)</f>
        <v>113.943570234225</v>
      </c>
      <c r="J8736" s="6" t="n">
        <f aca="false">Sens!J8620*(al_m365+Sens!J8735+sbc_r)</f>
        <v>123.189619101387</v>
      </c>
      <c r="K8736" s="6" t="n">
        <f aca="false">Sens!K8620*(al_m365+Sens!K8735+sbc_r)</f>
        <v>132.031172245052</v>
      </c>
      <c r="L8736" s="11" t="s">
        <v>1072</v>
      </c>
    </row>
    <row r="8737" customFormat="false" ht="17.15" hidden="false" customHeight="false" outlineLevel="0" collapsed="false">
      <c r="A8737" s="0" t="s">
        <v>1073</v>
      </c>
      <c r="B8737" s="0" t="s">
        <v>98</v>
      </c>
      <c r="F8737" s="6" t="n">
        <f aca="false">Sens!F8621*(al_lic+Sens!F8735+sbc_r)</f>
        <v>33.5405598886416</v>
      </c>
      <c r="G8737" s="6" t="n">
        <f aca="false">Sens!G8621*(al_lic+Sens!G8735+sbc_r)</f>
        <v>34.8381268873591</v>
      </c>
      <c r="H8737" s="6" t="n">
        <f aca="false">Sens!H8621*(al_lic+Sens!H8735+sbc_r)</f>
        <v>36.0442920167413</v>
      </c>
      <c r="I8737" s="6" t="n">
        <f aca="false">Sens!I8621*(al_lic+Sens!I8735+sbc_r)</f>
        <v>37.1390450426843</v>
      </c>
      <c r="J8737" s="6" t="n">
        <f aca="false">Sens!J8621*(al_lic+Sens!J8735+sbc_r)</f>
        <v>38.0989229599924</v>
      </c>
      <c r="K8737" s="6" t="n">
        <f aca="false">Sens!K8621*(al_lic+Sens!K8735+sbc_r)</f>
        <v>38.8998267234652</v>
      </c>
    </row>
    <row r="8738" customFormat="false" ht="17.15" hidden="false" customHeight="false" outlineLevel="0" collapsed="false">
      <c r="A8738" s="0" t="s">
        <v>1074</v>
      </c>
      <c r="B8738" s="0" t="s">
        <v>98</v>
      </c>
      <c r="F8738" s="6" t="n">
        <f aca="false">Sens!F8623*(al_ind+Sens!F8735+sbc_r)</f>
        <v>9.13130874759751</v>
      </c>
      <c r="G8738" s="6" t="n">
        <f aca="false">Sens!G8623*(al_ind+Sens!G8735+sbc_r)</f>
        <v>9.90803173695732</v>
      </c>
      <c r="H8738" s="6" t="n">
        <f aca="false">Sens!H8623*(al_ind+Sens!H8735+sbc_r)</f>
        <v>10.7265900848179</v>
      </c>
      <c r="I8738" s="6" t="n">
        <f aca="false">Sens!I8623*(al_ind+Sens!I8735+sbc_r)</f>
        <v>11.5824441669655</v>
      </c>
      <c r="J8738" s="6" t="n">
        <f aca="false">Sens!J8623*(al_ind+Sens!J8735+sbc_r)</f>
        <v>12.4668450788485</v>
      </c>
      <c r="K8738" s="6" t="n">
        <f aca="false">Sens!K8623*(al_ind+Sens!K8735+sbc_r)</f>
        <v>13.3677981595534</v>
      </c>
    </row>
    <row r="8739" customFormat="false" ht="17.15" hidden="false" customHeight="false" outlineLevel="0" collapsed="false">
      <c r="A8739" s="0" t="s">
        <v>1075</v>
      </c>
      <c r="B8739" s="0" t="s">
        <v>98</v>
      </c>
      <c r="F8739" s="6" t="n">
        <f aca="false">Sens!F8625*(al_fro+Sens!F8735+sbc_r)</f>
        <v>3.59411518126165</v>
      </c>
      <c r="G8739" s="6" t="n">
        <f aca="false">Sens!G8625*(al_fro+Sens!G8735+sbc_r)</f>
        <v>3.80409840757505</v>
      </c>
      <c r="H8739" s="6" t="n">
        <f aca="false">Sens!H8625*(al_fro+Sens!H8735+sbc_r)</f>
        <v>4.04214628889888</v>
      </c>
      <c r="I8739" s="6" t="n">
        <f aca="false">Sens!I8625*(al_fro+Sens!I8735+sbc_r)</f>
        <v>4.31051431919954</v>
      </c>
      <c r="J8739" s="6" t="n">
        <f aca="false">Sens!J8625*(al_fro+Sens!J8735+sbc_r)</f>
        <v>4.61071841012557</v>
      </c>
      <c r="K8739" s="6" t="n">
        <f aca="false">Sens!K8625*(al_fro+Sens!K8735+sbc_r)</f>
        <v>4.9439254829329</v>
      </c>
    </row>
    <row r="8740" customFormat="false" ht="17.15" hidden="false" customHeight="false" outlineLevel="0" collapsed="false">
      <c r="A8740" s="0" t="s">
        <v>1076</v>
      </c>
      <c r="B8740" s="0" t="s">
        <v>98</v>
      </c>
      <c r="F8740" s="6" t="n">
        <f aca="false">Sens!F8628*(al_srch+Sens!F8735+sbc_r)</f>
        <v>11.2772982329061</v>
      </c>
      <c r="G8740" s="6" t="n">
        <f aca="false">Sens!G8628*(al_srch+Sens!G8735+sbc_r)</f>
        <v>12.352019069436</v>
      </c>
      <c r="H8740" s="6" t="n">
        <f aca="false">Sens!H8628*(al_srch+Sens!H8735+sbc_r)</f>
        <v>13.467623076438</v>
      </c>
      <c r="I8740" s="6" t="n">
        <f aca="false">Sens!I8628*(al_srch+Sens!I8735+sbc_r)</f>
        <v>14.6115178852665</v>
      </c>
      <c r="J8740" s="6" t="n">
        <f aca="false">Sens!J8628*(al_srch+Sens!J8735+sbc_r)</f>
        <v>15.7649059897542</v>
      </c>
      <c r="K8740" s="6" t="n">
        <f aca="false">Sens!K8628*(al_srch+Sens!K8735+sbc_r)</f>
        <v>16.9042031037122</v>
      </c>
    </row>
    <row r="8741" customFormat="false" ht="17.15" hidden="false" customHeight="false" outlineLevel="0" collapsed="false">
      <c r="A8741" s="0" t="s">
        <v>1077</v>
      </c>
      <c r="B8741" s="0" t="s">
        <v>98</v>
      </c>
      <c r="F8741" s="6" t="n">
        <f aca="false">Sens!F8597-Sens!F8598+Sens!F8678</f>
        <v>38.6797715123049</v>
      </c>
      <c r="G8741" s="6" t="n">
        <f aca="false">Sens!G8597-Sens!G8598+Sens!G8678</f>
        <v>67.9698044367775</v>
      </c>
      <c r="H8741" s="6" t="n">
        <f aca="false">Sens!H8597-Sens!H8598+Sens!H8678</f>
        <v>94.4027386785771</v>
      </c>
      <c r="I8741" s="6" t="n">
        <f aca="false">Sens!I8597-Sens!I8598+Sens!I8678</f>
        <v>124.629799296032</v>
      </c>
      <c r="J8741" s="6" t="n">
        <f aca="false">Sens!J8597-Sens!J8598+Sens!J8678</f>
        <v>146.1886418102</v>
      </c>
      <c r="K8741" s="6" t="n">
        <f aca="false">Sens!K8597-Sens!K8598+Sens!K8678</f>
        <v>160.310017660072</v>
      </c>
    </row>
    <row r="8742" customFormat="false" ht="17.15" hidden="false" customHeight="false" outlineLevel="0" collapsed="false">
      <c r="A8742" s="0" t="s">
        <v>1078</v>
      </c>
      <c r="B8742" s="0" t="s">
        <v>98</v>
      </c>
      <c r="F8742" s="6" t="n">
        <f aca="false">Sens!F8657+Sens!F8678+Sens!F8608+Sens!F8735*(Sens!F8627-Sens!F8591)+sbc_r*Sens!F8627</f>
        <v>228.741766941025</v>
      </c>
      <c r="G8742" s="6" t="n">
        <f aca="false">Sens!G8657+Sens!G8678+Sens!G8608+Sens!G8735*(Sens!G8627-Sens!G8591)+sbc_r*Sens!G8627</f>
        <v>283.705769834451</v>
      </c>
      <c r="H8742" s="6" t="n">
        <f aca="false">Sens!H8657+Sens!H8678+Sens!H8608+Sens!H8735*(Sens!H8627-Sens!H8591)+sbc_r*Sens!H8627</f>
        <v>336.84303470465</v>
      </c>
      <c r="I8742" s="6" t="n">
        <f aca="false">Sens!I8657+Sens!I8678+Sens!I8608+Sens!I8735*(Sens!I8627-Sens!I8591)+sbc_r*Sens!I8627</f>
        <v>394.166344250775</v>
      </c>
      <c r="J8742" s="6" t="n">
        <f aca="false">Sens!J8657+Sens!J8678+Sens!J8608+Sens!J8735*(Sens!J8627-Sens!J8591)+sbc_r*Sens!J8627</f>
        <v>442.165753954852</v>
      </c>
      <c r="K8742" s="6" t="n">
        <f aca="false">Sens!K8657+Sens!K8678+Sens!K8608+Sens!K8735*(Sens!K8627-Sens!K8591)+sbc_r*Sens!K8627</f>
        <v>481.841394314647</v>
      </c>
    </row>
    <row r="8743" customFormat="false" ht="17.15" hidden="false" customHeight="false" outlineLevel="0" collapsed="false">
      <c r="A8743" s="0" t="s">
        <v>1079</v>
      </c>
      <c r="B8743" s="0" t="s">
        <v>98</v>
      </c>
      <c r="F8743" s="6" t="n">
        <f aca="false">Sens!F8742-Sens!F8736-Sens!F8737-Sens!F8738-Sens!F8739-Sens!F8741</f>
        <v>60.6319888240557</v>
      </c>
      <c r="G8743" s="6" t="n">
        <f aca="false">Sens!G8742-Sens!G8736-Sens!G8737-Sens!G8738-Sens!G8739-Sens!G8741</f>
        <v>73.6870180921819</v>
      </c>
      <c r="H8743" s="6" t="n">
        <f aca="false">Sens!H8742-Sens!H8736-Sens!H8737-Sens!H8738-Sens!H8739-Sens!H8741</f>
        <v>87.6433193409443</v>
      </c>
      <c r="I8743" s="6" t="n">
        <f aca="false">Sens!I8742-Sens!I8736-Sens!I8737-Sens!I8738-Sens!I8739-Sens!I8741</f>
        <v>102.560971191669</v>
      </c>
      <c r="J8743" s="6" t="n">
        <f aca="false">Sens!J8742-Sens!J8736-Sens!J8737-Sens!J8738-Sens!J8739-Sens!J8741</f>
        <v>117.611006594299</v>
      </c>
      <c r="K8743" s="6" t="n">
        <f aca="false">Sens!K8742-Sens!K8736-Sens!K8737-Sens!K8738-Sens!K8739-Sens!K8741</f>
        <v>132.288654043572</v>
      </c>
    </row>
    <row r="8744" customFormat="false" ht="17.15" hidden="false" customHeight="false" outlineLevel="0" collapsed="false">
      <c r="A8744" s="0" t="s">
        <v>1080</v>
      </c>
      <c r="B8744" s="0" t="s">
        <v>98</v>
      </c>
      <c r="F8744" s="6" t="n">
        <f aca="false">Sens!F8659+Sens!F8735*Sens!F8634+sbc_r*Sens!F8634</f>
        <v>26.3586051560692</v>
      </c>
      <c r="G8744" s="6" t="n">
        <f aca="false">Sens!G8659+Sens!G8735*Sens!G8634+sbc_r*Sens!G8634</f>
        <v>26.9591077146216</v>
      </c>
      <c r="H8744" s="6" t="n">
        <f aca="false">Sens!H8659+Sens!H8735*Sens!H8634+sbc_r*Sens!H8634</f>
        <v>27.8210303625696</v>
      </c>
      <c r="I8744" s="6" t="n">
        <f aca="false">Sens!I8659+Sens!I8735*Sens!I8634+sbc_r*Sens!I8634</f>
        <v>28.9112926899486</v>
      </c>
      <c r="J8744" s="6" t="n">
        <f aca="false">Sens!J8659+Sens!J8735*Sens!J8634+sbc_r*Sens!J8634</f>
        <v>30.1974942712191</v>
      </c>
      <c r="K8744" s="6" t="n">
        <f aca="false">Sens!K8659+Sens!K8735*Sens!K8634+sbc_r*Sens!K8634</f>
        <v>31.6498522652752</v>
      </c>
    </row>
    <row r="8745" customFormat="false" ht="17.15" hidden="false" customHeight="false" outlineLevel="0" collapsed="false">
      <c r="A8745" s="0" t="s">
        <v>1081</v>
      </c>
      <c r="B8745" s="0" t="s">
        <v>98</v>
      </c>
      <c r="F8745" s="6" t="n">
        <f aca="false">(Sens!F8744-Sens!F8740)*Sens!F8630/(Sens!F8630+Sens!F8632)</f>
        <v>8.267425565477</v>
      </c>
      <c r="G8745" s="6" t="n">
        <f aca="false">(Sens!G8744-Sens!G8740)*Sens!G8630/(Sens!G8630+Sens!G8632)</f>
        <v>7.86469114936013</v>
      </c>
      <c r="H8745" s="6" t="n">
        <f aca="false">(Sens!H8744-Sens!H8740)*Sens!H8630/(Sens!H8630+Sens!H8632)</f>
        <v>7.62371124710886</v>
      </c>
      <c r="I8745" s="6" t="n">
        <f aca="false">(Sens!I8744-Sens!I8740)*Sens!I8630/(Sens!I8630+Sens!I8632)</f>
        <v>7.52650304201773</v>
      </c>
      <c r="J8745" s="6" t="n">
        <f aca="false">(Sens!J8744-Sens!J8740)*Sens!J8630/(Sens!J8630+Sens!J8632)</f>
        <v>7.5620570365041</v>
      </c>
      <c r="K8745" s="6" t="n">
        <f aca="false">(Sens!K8744-Sens!K8740)*Sens!K8630/(Sens!K8630+Sens!K8632)</f>
        <v>7.72608750595498</v>
      </c>
    </row>
    <row r="8746" customFormat="false" ht="17.15" hidden="false" customHeight="false" outlineLevel="0" collapsed="false">
      <c r="A8746" s="0" t="s">
        <v>1082</v>
      </c>
      <c r="B8746" s="0" t="s">
        <v>98</v>
      </c>
      <c r="F8746" s="6" t="n">
        <f aca="false">Sens!F8744-Sens!F8740-Sens!F8745</f>
        <v>6.81388135768607</v>
      </c>
      <c r="G8746" s="6" t="n">
        <f aca="false">Sens!G8744-Sens!G8740-Sens!G8745</f>
        <v>6.74239749582547</v>
      </c>
      <c r="H8746" s="6" t="n">
        <f aca="false">Sens!H8744-Sens!H8740-Sens!H8745</f>
        <v>6.7296960390227</v>
      </c>
      <c r="I8746" s="6" t="n">
        <f aca="false">Sens!I8744-Sens!I8740-Sens!I8745</f>
        <v>6.77327176266431</v>
      </c>
      <c r="J8746" s="6" t="n">
        <f aca="false">Sens!J8744-Sens!J8740-Sens!J8745</f>
        <v>6.8705312449608</v>
      </c>
      <c r="K8746" s="6" t="n">
        <f aca="false">Sens!K8744-Sens!K8740-Sens!K8745</f>
        <v>7.01956165560801</v>
      </c>
    </row>
    <row r="8747" customFormat="false" ht="17.15" hidden="false" customHeight="false" outlineLevel="0" collapsed="false">
      <c r="A8747" s="0" t="s">
        <v>1083</v>
      </c>
      <c r="B8747" s="0" t="s">
        <v>98</v>
      </c>
      <c r="F8747" s="6" t="n">
        <f aca="false">Sens!F8741-tax_f*(Sens!F8741-Sens!F8608)-Sens!F8605</f>
        <v>-122.579081185432</v>
      </c>
      <c r="G8747" s="6" t="n">
        <f aca="false">Sens!G8741-tax_f*(Sens!G8741-Sens!G8608)-Sens!G8605</f>
        <v>-117.373249511676</v>
      </c>
      <c r="H8747" s="6" t="n">
        <f aca="false">Sens!H8741-tax_f*(Sens!H8741-Sens!H8608)-Sens!H8605</f>
        <v>-95.285890998876</v>
      </c>
      <c r="I8747" s="6" t="n">
        <f aca="false">Sens!I8741-tax_f*(Sens!I8741-Sens!I8608)-Sens!I8605</f>
        <v>-41.8816809509416</v>
      </c>
      <c r="J8747" s="6" t="n">
        <f aca="false">Sens!J8741-tax_f*(Sens!J8741-Sens!J8608)-Sens!J8605</f>
        <v>15.3691414244864</v>
      </c>
      <c r="K8747" s="6" t="n">
        <f aca="false">Sens!K8741-tax_f*(Sens!K8741-Sens!K8608)-Sens!K8605</f>
        <v>34.6668916333283</v>
      </c>
    </row>
    <row r="8748" customFormat="false" ht="17.15" hidden="false" customHeight="false" outlineLevel="0" collapsed="false">
      <c r="A8748" s="0" t="s">
        <v>1084</v>
      </c>
      <c r="B8748" s="0" t="s">
        <v>98</v>
      </c>
      <c r="G8748" s="6" t="n">
        <f aca="false">Sens!G8747/(1+wacc)^(Sens!G8720-(Sens!F8720+mid_yr))</f>
        <v>-111.762030423885</v>
      </c>
      <c r="H8748" s="6" t="n">
        <f aca="false">Sens!H8747/(1+wacc)^(Sens!H8720-(Sens!F8720+mid_yr))</f>
        <v>-82.2629091581412</v>
      </c>
      <c r="I8748" s="6" t="n">
        <f aca="false">Sens!I8747/(1+wacc)^(Sens!I8720-(Sens!F8720+mid_yr))</f>
        <v>-32.7830894246659</v>
      </c>
      <c r="J8748" s="6" t="n">
        <f aca="false">Sens!J8747/(1+wacc)^(Sens!J8720-(Sens!F8720+mid_yr))</f>
        <v>10.907511786022</v>
      </c>
      <c r="K8748" s="6" t="n">
        <f aca="false">Sens!K8747/(1+wacc)^(Sens!K8720-(Sens!F8720+mid_yr))</f>
        <v>22.3070066431388</v>
      </c>
      <c r="L8748" s="1" t="s">
        <v>1085</v>
      </c>
    </row>
    <row r="8749" customFormat="false" ht="17.15" hidden="false" customHeight="false" outlineLevel="0" collapsed="false">
      <c r="A8749" s="0" t="s">
        <v>1086</v>
      </c>
      <c r="B8749" s="0" t="s">
        <v>98</v>
      </c>
      <c r="C8749" s="6" t="n">
        <f aca="false">(Sens!K8741-Sens!K8608)*(1-tax_f)*(1+g_tv)*(1-g_tv/(wacc+ronic_prem))/(wacc-g_tv)/(1+wacc)^(Sens!K8720+mid_yr-(Sens!F8720+mid_yr))</f>
        <v>103.875812758606</v>
      </c>
    </row>
    <row r="8750" customFormat="false" ht="17.15" hidden="false" customHeight="false" outlineLevel="0" collapsed="false">
      <c r="A8750" s="1" t="s">
        <v>1087</v>
      </c>
      <c r="B8750" s="0" t="s">
        <v>98</v>
      </c>
      <c r="C8750" s="6" t="n">
        <f aca="false">(SUM(Sens!G8748:K8748)+Sens!$C$8749)*(1+wacc)^(t_roll-(Sens!F8720+mid_yr))</f>
        <v>-92.6297486746201</v>
      </c>
      <c r="L8750" s="11" t="s">
        <v>1088</v>
      </c>
    </row>
    <row r="8751" customFormat="false" ht="17.15" hidden="false" customHeight="false" outlineLevel="0" collapsed="false">
      <c r="A8751" s="1" t="s">
        <v>1089</v>
      </c>
      <c r="B8751" s="0" t="s">
        <v>98</v>
      </c>
      <c r="C8751" s="6" t="n">
        <f aca="false">(w_ntm28*Sens!G8597+(1-w_ntm28)*Sens!H8597)*m_ai</f>
        <v>338.776008390068</v>
      </c>
    </row>
    <row r="8752" customFormat="false" ht="17.15" hidden="false" customHeight="false" outlineLevel="0" collapsed="false">
      <c r="A8752" s="1" t="s">
        <v>1090</v>
      </c>
      <c r="B8752" s="0" t="s">
        <v>98</v>
      </c>
      <c r="C8752" s="6" t="n">
        <f aca="false">(w_ntm28*Sens!G8743+(1-w_ntm28)*Sens!H8743)*m_cloud</f>
        <v>1080.70904982692</v>
      </c>
    </row>
    <row r="8753" customFormat="false" ht="17.15" hidden="false" customHeight="false" outlineLevel="0" collapsed="false">
      <c r="A8753" s="1" t="s">
        <v>1091</v>
      </c>
      <c r="B8753" s="0" t="s">
        <v>98</v>
      </c>
      <c r="C8753" s="6" t="n">
        <f aca="false">(w_ntm28*Sens!G8736+(1-w_ntm28)*Sens!H8736)*m_sw</f>
        <v>1046.39520515228</v>
      </c>
    </row>
    <row r="8754" customFormat="false" ht="17.15" hidden="false" customHeight="false" outlineLevel="0" collapsed="false">
      <c r="A8754" s="1" t="s">
        <v>1092</v>
      </c>
      <c r="B8754" s="0" t="s">
        <v>98</v>
      </c>
      <c r="C8754" s="6" t="n">
        <f aca="false">(w_ntm28*Sens!G8737+(1-w_ntm28)*Sens!H8737)*m_sw</f>
        <v>380.463104194122</v>
      </c>
    </row>
    <row r="8755" customFormat="false" ht="17.15" hidden="false" customHeight="false" outlineLevel="0" collapsed="false">
      <c r="A8755" s="1" t="s">
        <v>1093</v>
      </c>
      <c r="B8755" s="0" t="s">
        <v>98</v>
      </c>
      <c r="C8755" s="6" t="n">
        <f aca="false">(w_ntm28*Sens!G8738+(1-w_ntm28)*Sens!H8738)*m_sw</f>
        <v>109.864744837258</v>
      </c>
    </row>
    <row r="8756" customFormat="false" ht="17.15" hidden="false" customHeight="false" outlineLevel="0" collapsed="false">
      <c r="A8756" s="1" t="s">
        <v>1094</v>
      </c>
      <c r="B8756" s="0" t="s">
        <v>98</v>
      </c>
      <c r="C8756" s="6" t="n">
        <f aca="false">(w_ntm28*Sens!G8739+(1-w_ntm28)*Sens!H8739)*m_sw</f>
        <v>41.9154086099177</v>
      </c>
    </row>
    <row r="8757" customFormat="false" ht="17.15" hidden="false" customHeight="false" outlineLevel="0" collapsed="false">
      <c r="A8757" s="1" t="s">
        <v>1095</v>
      </c>
      <c r="B8757" s="0" t="s">
        <v>98</v>
      </c>
      <c r="C8757" s="6" t="n">
        <f aca="false">(w_ntm28*Sens!G8740+(1-w_ntm28)*Sens!H8740)*m_ads</f>
        <v>115.812515627896</v>
      </c>
    </row>
    <row r="8758" customFormat="false" ht="17.15" hidden="false" customHeight="false" outlineLevel="0" collapsed="false">
      <c r="A8758" s="1" t="s">
        <v>1096</v>
      </c>
      <c r="B8758" s="0" t="s">
        <v>98</v>
      </c>
      <c r="C8758" s="6" t="n">
        <f aca="false">(w_ntm28*Sens!G8745+(1-w_ntm28)*Sens!H8745)*m_game</f>
        <v>98.3470985656756</v>
      </c>
    </row>
    <row r="8759" customFormat="false" ht="17.15" hidden="false" customHeight="false" outlineLevel="0" collapsed="false">
      <c r="A8759" s="1" t="s">
        <v>1097</v>
      </c>
      <c r="B8759" s="0" t="s">
        <v>98</v>
      </c>
      <c r="C8759" s="6" t="n">
        <f aca="false">(w_ntm28*Sens!G8746+(1-w_ntm28)*Sens!H8746)*m_pc</f>
        <v>97.5030746976563</v>
      </c>
    </row>
    <row r="8760" customFormat="false" ht="17.15" hidden="false" customHeight="false" outlineLevel="0" collapsed="false">
      <c r="A8760" s="1" t="s">
        <v>1098</v>
      </c>
      <c r="B8760" s="0" t="s">
        <v>98</v>
      </c>
      <c r="C8760" s="6" t="n">
        <f aca="false">Sens!$C$8750+Sens!$C$8752+Sens!$C$8753+Sens!$C$8754+Sens!$C$8755+Sens!$C$8756+Sens!$C$8757+Sens!$C$8758+Sens!$C$8759</f>
        <v>2878.38045283711</v>
      </c>
    </row>
    <row r="8761" customFormat="false" ht="17.15" hidden="false" customHeight="false" outlineLevel="0" collapsed="false">
      <c r="A8761" s="1" t="s">
        <v>1099</v>
      </c>
      <c r="B8761" s="0" t="s">
        <v>98</v>
      </c>
      <c r="C8761" s="6" t="n">
        <f aca="false">(Sens!G8722-Sens!G8747)*t_stub</f>
        <v>47.0403459112939</v>
      </c>
      <c r="L8761" s="1" t="s">
        <v>1100</v>
      </c>
    </row>
    <row r="8762" customFormat="false" ht="17.15" hidden="false" customHeight="false" outlineLevel="0" collapsed="false">
      <c r="A8762" s="1" t="s">
        <v>1014</v>
      </c>
      <c r="B8762" s="0" t="s">
        <v>98</v>
      </c>
      <c r="C8762" s="6" t="n">
        <f aca="false">Sens!F8711+oai_v-Sens!F8700+Sens!$C$8761</f>
        <v>154.134617073852</v>
      </c>
      <c r="L8762" s="1" t="s">
        <v>1101</v>
      </c>
    </row>
    <row r="8763" customFormat="false" ht="17.15" hidden="false" customHeight="false" outlineLevel="0" collapsed="false">
      <c r="A8763" s="1" t="s">
        <v>1102</v>
      </c>
      <c r="B8763" s="0" t="s">
        <v>75</v>
      </c>
      <c r="C8763" s="5" t="n">
        <f aca="false">(Sens!$C$8760+Sens!$C$8762)/(Sens!F8713+dil_gap)-Sens!G8703*roll_div_q/q_per_yr</f>
        <v>403.511603243191</v>
      </c>
      <c r="L8763" s="1" t="s">
        <v>1103</v>
      </c>
    </row>
    <row r="8764" customFormat="false" ht="17.15" hidden="false" customHeight="false" outlineLevel="0" collapsed="false">
      <c r="A8764" s="1" t="s">
        <v>1104</v>
      </c>
      <c r="B8764" s="0" t="s">
        <v>75</v>
      </c>
      <c r="C8764" s="5" t="n">
        <f aca="false">w_dcf*Sens!$C$8734+(1-w_dcf)*Sens!$C$8763</f>
        <v>348.608308397176</v>
      </c>
    </row>
    <row r="8765" customFormat="false" ht="17.15" hidden="false" customHeight="false" outlineLevel="0" collapsed="false">
      <c r="A8765" s="3" t="s">
        <v>1487</v>
      </c>
    </row>
    <row r="8766" customFormat="false" ht="15" hidden="false" customHeight="false" outlineLevel="0" collapsed="false">
      <c r="A8766" s="4" t="s">
        <v>43</v>
      </c>
      <c r="B8766" s="4" t="s">
        <v>65</v>
      </c>
      <c r="C8766" s="20" t="s">
        <v>799</v>
      </c>
      <c r="D8766" s="20" t="s">
        <v>800</v>
      </c>
      <c r="E8766" s="20" t="s">
        <v>801</v>
      </c>
      <c r="F8766" s="20" t="s">
        <v>802</v>
      </c>
      <c r="G8766" s="20" t="s">
        <v>803</v>
      </c>
      <c r="H8766" s="20" t="s">
        <v>804</v>
      </c>
      <c r="I8766" s="20" t="s">
        <v>805</v>
      </c>
      <c r="J8766" s="20" t="s">
        <v>806</v>
      </c>
      <c r="K8766" s="20" t="s">
        <v>807</v>
      </c>
      <c r="L8766" s="4" t="s">
        <v>47</v>
      </c>
    </row>
    <row r="8767" customFormat="false" ht="17.15" hidden="false" customHeight="false" outlineLevel="0" collapsed="false">
      <c r="A8767" s="1" t="s">
        <v>808</v>
      </c>
      <c r="B8767" s="1" t="s">
        <v>235</v>
      </c>
      <c r="C8767" s="28" t="n">
        <v>2024</v>
      </c>
      <c r="D8767" s="28" t="n">
        <v>2025</v>
      </c>
      <c r="E8767" s="28" t="n">
        <v>2026</v>
      </c>
      <c r="F8767" s="28" t="n">
        <v>2027</v>
      </c>
      <c r="G8767" s="28" t="n">
        <v>2028</v>
      </c>
      <c r="H8767" s="28" t="n">
        <v>2029</v>
      </c>
      <c r="I8767" s="28" t="n">
        <v>2030</v>
      </c>
      <c r="J8767" s="28" t="n">
        <v>2031</v>
      </c>
      <c r="K8767" s="28" t="n">
        <v>2032</v>
      </c>
    </row>
    <row r="8768" customFormat="false" ht="17.15" hidden="false" customHeight="false" outlineLevel="0" collapsed="false">
      <c r="A8768" s="1" t="s">
        <v>809</v>
      </c>
      <c r="B8768" s="0" t="s">
        <v>399</v>
      </c>
      <c r="F8768" s="29" t="n">
        <f aca="false">pace</f>
        <v>2527.2</v>
      </c>
      <c r="G8768" s="29" t="n">
        <f aca="false">pace</f>
        <v>2527.2</v>
      </c>
      <c r="H8768" s="29" t="n">
        <f aca="false">pace</f>
        <v>2527.2</v>
      </c>
      <c r="I8768" s="29" t="n">
        <f aca="false">pace+(g_tv*Sens!H8769-pace)*MIN(1,(Sens!I8767-pace_y0)/(pace_y1-pace_y0))</f>
        <v>1793.116</v>
      </c>
      <c r="J8768" s="29" t="n">
        <f aca="false">pace+(g_tv*Sens!I8769-pace)*MIN(1,(Sens!J8767-pace_y0)/(pace_y1-pace_y0))</f>
        <v>1094.89432</v>
      </c>
      <c r="K8768" s="29" t="n">
        <f aca="false">pace+(g_tv*Sens!J8769-pace)*MIN(1,(Sens!K8767-pace_y0)/(pace_y1-pace_y0))</f>
        <v>411.5883096</v>
      </c>
      <c r="L8768" s="11" t="s">
        <v>810</v>
      </c>
    </row>
    <row r="8769" customFormat="false" ht="17.15" hidden="false" customHeight="false" outlineLevel="0" collapsed="false">
      <c r="A8769" s="1" t="s">
        <v>811</v>
      </c>
      <c r="B8769" s="0" t="s">
        <v>399</v>
      </c>
      <c r="C8769" s="29" t="n">
        <f aca="false">mw_ext_24</f>
        <v>640</v>
      </c>
      <c r="D8769" s="29" t="n">
        <f aca="false">mw_ext_25</f>
        <v>1630</v>
      </c>
      <c r="E8769" s="29" t="n">
        <f aca="false">mw_ext_26</f>
        <v>3250</v>
      </c>
      <c r="F8769" s="29" t="n">
        <f aca="false">Sens!E8769+Sens!F8768</f>
        <v>5777.2</v>
      </c>
      <c r="G8769" s="29" t="n">
        <f aca="false">Sens!F8769+Sens!G8768</f>
        <v>8304.4</v>
      </c>
      <c r="H8769" s="29" t="n">
        <f aca="false">Sens!G8769+Sens!H8768</f>
        <v>10831.6</v>
      </c>
      <c r="I8769" s="29" t="n">
        <f aca="false">Sens!H8769+Sens!I8768</f>
        <v>12624.716</v>
      </c>
      <c r="J8769" s="29" t="n">
        <f aca="false">Sens!I8769+Sens!J8768</f>
        <v>13719.61032</v>
      </c>
      <c r="K8769" s="29" t="n">
        <f aca="false">Sens!J8769+Sens!K8768</f>
        <v>14131.1986296</v>
      </c>
      <c r="L8769" s="1" t="s">
        <v>812</v>
      </c>
    </row>
    <row r="8770" customFormat="false" ht="17.15" hidden="false" customHeight="false" outlineLevel="0" collapsed="false">
      <c r="A8770" s="1" t="s">
        <v>813</v>
      </c>
      <c r="B8770" s="0" t="s">
        <v>399</v>
      </c>
      <c r="C8770" s="29" t="n">
        <f aca="false">rent_ext_24</f>
        <v>150</v>
      </c>
      <c r="D8770" s="29" t="n">
        <f aca="false">rent_ext_25</f>
        <v>400</v>
      </c>
      <c r="E8770" s="29" t="n">
        <f aca="false">rent_ext_26</f>
        <v>550</v>
      </c>
      <c r="F8770" s="29" t="n">
        <f aca="false">rent_ext_f</f>
        <v>756</v>
      </c>
      <c r="G8770" s="29" t="n">
        <f aca="false">rent_ext_f</f>
        <v>756</v>
      </c>
      <c r="H8770" s="29" t="n">
        <f aca="false">rent_ext_f</f>
        <v>756</v>
      </c>
      <c r="I8770" s="29" t="n">
        <f aca="false">rent_ext_f</f>
        <v>756</v>
      </c>
      <c r="J8770" s="29" t="n">
        <f aca="false">rent_ext_f</f>
        <v>756</v>
      </c>
      <c r="K8770" s="29" t="n">
        <f aca="false">rent_ext_f</f>
        <v>756</v>
      </c>
      <c r="L8770" s="1" t="s">
        <v>814</v>
      </c>
    </row>
    <row r="8771" customFormat="false" ht="17.15" hidden="false" customHeight="false" outlineLevel="0" collapsed="false">
      <c r="A8771" s="1" t="s">
        <v>815</v>
      </c>
      <c r="B8771" s="0" t="s">
        <v>399</v>
      </c>
      <c r="C8771" s="29" t="n">
        <f aca="false">Sens!C8769-Sens!C8770</f>
        <v>490</v>
      </c>
      <c r="D8771" s="29" t="n">
        <f aca="false">Sens!D8769-Sens!D8770</f>
        <v>1230</v>
      </c>
      <c r="E8771" s="29" t="n">
        <f aca="false">Sens!E8769-Sens!E8770</f>
        <v>2700</v>
      </c>
      <c r="F8771" s="29" t="n">
        <f aca="false">Sens!F8769-Sens!F8770</f>
        <v>5021.2</v>
      </c>
      <c r="G8771" s="29" t="n">
        <f aca="false">Sens!G8769-Sens!G8770</f>
        <v>7548.4</v>
      </c>
      <c r="H8771" s="29" t="n">
        <f aca="false">Sens!H8769-Sens!H8770</f>
        <v>10075.6</v>
      </c>
      <c r="I8771" s="29" t="n">
        <f aca="false">Sens!I8769-Sens!I8770</f>
        <v>11868.716</v>
      </c>
      <c r="J8771" s="29" t="n">
        <f aca="false">Sens!J8769-Sens!J8770</f>
        <v>12963.61032</v>
      </c>
      <c r="K8771" s="29" t="n">
        <f aca="false">Sens!K8769-Sens!K8770</f>
        <v>13375.1986296</v>
      </c>
    </row>
    <row r="8772" customFormat="false" ht="17.15" hidden="false" customHeight="false" outlineLevel="0" collapsed="false">
      <c r="A8772" s="1" t="s">
        <v>816</v>
      </c>
      <c r="B8772" s="0" t="s">
        <v>399</v>
      </c>
      <c r="C8772" s="29" t="n">
        <f aca="false">Sens!C8771/ext_sh</f>
        <v>816.666666666667</v>
      </c>
      <c r="D8772" s="29" t="n">
        <f aca="false">Sens!D8771/ext_sh</f>
        <v>2050</v>
      </c>
      <c r="E8772" s="29" t="n">
        <f aca="false">Sens!E8771/ext_sh</f>
        <v>4500</v>
      </c>
      <c r="F8772" s="29" t="n">
        <f aca="false">Sens!F8771/ext_sh</f>
        <v>8368.66666666667</v>
      </c>
      <c r="G8772" s="29" t="n">
        <f aca="false">Sens!G8771/ext_sh</f>
        <v>12580.6666666667</v>
      </c>
      <c r="H8772" s="29" t="n">
        <f aca="false">Sens!H8771/ext_sh</f>
        <v>16792.6666666667</v>
      </c>
      <c r="I8772" s="29" t="n">
        <f aca="false">Sens!I8771/ext_sh</f>
        <v>19781.1933333333</v>
      </c>
      <c r="J8772" s="29" t="n">
        <f aca="false">Sens!J8771/ext_sh</f>
        <v>21606.0172</v>
      </c>
      <c r="K8772" s="29" t="n">
        <f aca="false">Sens!K8771/ext_sh</f>
        <v>22291.997716</v>
      </c>
      <c r="L8772" s="1" t="s">
        <v>817</v>
      </c>
    </row>
    <row r="8773" customFormat="false" ht="17.15" hidden="false" customHeight="false" outlineLevel="0" collapsed="false">
      <c r="A8773" s="1" t="s">
        <v>818</v>
      </c>
      <c r="B8773" s="0" t="s">
        <v>399</v>
      </c>
      <c r="C8773" s="29" t="n">
        <f aca="false">Sens!C8772-Sens!C8771</f>
        <v>326.666666666667</v>
      </c>
      <c r="D8773" s="29" t="n">
        <f aca="false">Sens!D8772-Sens!D8771</f>
        <v>820</v>
      </c>
      <c r="E8773" s="29" t="n">
        <f aca="false">Sens!E8772-Sens!E8771</f>
        <v>1800</v>
      </c>
      <c r="F8773" s="29" t="n">
        <f aca="false">Sens!F8772-Sens!F8771</f>
        <v>3347.46666666667</v>
      </c>
      <c r="G8773" s="29" t="n">
        <f aca="false">Sens!G8772-Sens!G8771</f>
        <v>5032.26666666667</v>
      </c>
      <c r="H8773" s="29" t="n">
        <f aca="false">Sens!H8772-Sens!H8771</f>
        <v>6717.06666666667</v>
      </c>
      <c r="I8773" s="29" t="n">
        <f aca="false">Sens!I8772-Sens!I8771</f>
        <v>7912.47733333333</v>
      </c>
      <c r="J8773" s="29" t="n">
        <f aca="false">Sens!J8772-Sens!J8771</f>
        <v>8642.40688</v>
      </c>
      <c r="K8773" s="29" t="n">
        <f aca="false">Sens!K8772-Sens!K8771</f>
        <v>8916.7990864</v>
      </c>
    </row>
    <row r="8774" customFormat="false" ht="17.15" hidden="false" customHeight="false" outlineLevel="0" collapsed="false">
      <c r="A8774" s="1" t="s">
        <v>819</v>
      </c>
      <c r="B8774" s="0" t="s">
        <v>399</v>
      </c>
      <c r="C8774" s="29" t="n">
        <f aca="false">Sens!C8772</f>
        <v>816.666666666667</v>
      </c>
      <c r="D8774" s="29" t="n">
        <f aca="false">Sens!D8772-Sens!C8772</f>
        <v>1233.33333333333</v>
      </c>
      <c r="E8774" s="29" t="n">
        <f aca="false">Sens!E8772-Sens!D8772</f>
        <v>2450</v>
      </c>
      <c r="F8774" s="29" t="n">
        <f aca="false">Sens!F8772-Sens!E8772</f>
        <v>3868.66666666667</v>
      </c>
      <c r="G8774" s="29" t="n">
        <f aca="false">Sens!G8772-Sens!F8772</f>
        <v>4212</v>
      </c>
      <c r="H8774" s="29" t="n">
        <f aca="false">Sens!H8772-Sens!G8772</f>
        <v>4212</v>
      </c>
      <c r="I8774" s="29" t="n">
        <f aca="false">Sens!I8772-Sens!H8772</f>
        <v>2988.52666666667</v>
      </c>
      <c r="J8774" s="29" t="n">
        <f aca="false">Sens!J8772-Sens!I8772</f>
        <v>1824.82386666667</v>
      </c>
      <c r="K8774" s="29" t="n">
        <f aca="false">Sens!K8772-Sens!J8772</f>
        <v>685.980516</v>
      </c>
    </row>
    <row r="8775" customFormat="false" ht="17.15" hidden="false" customHeight="false" outlineLevel="0" collapsed="false">
      <c r="A8775" s="1" t="s">
        <v>820</v>
      </c>
      <c r="B8775" s="0" t="s">
        <v>399</v>
      </c>
      <c r="D8775" s="29" t="n">
        <f aca="false">Sens!D8769-Sens!C8769</f>
        <v>990</v>
      </c>
      <c r="E8775" s="29" t="n">
        <f aca="false">Sens!E8769-Sens!D8769</f>
        <v>1620</v>
      </c>
      <c r="F8775" s="29" t="n">
        <f aca="false">Sens!F8769-Sens!E8769</f>
        <v>2527.2</v>
      </c>
      <c r="G8775" s="29" t="n">
        <f aca="false">Sens!G8769-Sens!F8769</f>
        <v>2527.2</v>
      </c>
      <c r="H8775" s="29" t="n">
        <f aca="false">Sens!H8769-Sens!G8769</f>
        <v>2527.2</v>
      </c>
      <c r="I8775" s="29" t="n">
        <f aca="false">Sens!I8769-Sens!H8769</f>
        <v>1793.116</v>
      </c>
      <c r="J8775" s="29" t="n">
        <f aca="false">Sens!J8769-Sens!I8769</f>
        <v>1094.89432</v>
      </c>
      <c r="K8775" s="29" t="n">
        <f aca="false">Sens!K8769-Sens!J8769</f>
        <v>411.5883096</v>
      </c>
    </row>
    <row r="8776" customFormat="false" ht="17.15" hidden="false" customHeight="false" outlineLevel="0" collapsed="false">
      <c r="A8776" s="1" t="s">
        <v>821</v>
      </c>
      <c r="B8776" s="0" t="s">
        <v>399</v>
      </c>
      <c r="F8776" s="29" t="n">
        <f aca="false">Sens!F8793*ext_sh</f>
        <v>0</v>
      </c>
      <c r="G8776" s="29" t="n">
        <f aca="false">Sens!G8793*ext_sh</f>
        <v>0</v>
      </c>
      <c r="H8776" s="29" t="n">
        <f aca="false">Sens!H8793*ext_sh</f>
        <v>0</v>
      </c>
      <c r="I8776" s="29" t="n">
        <f aca="false">Sens!I8793*ext_sh</f>
        <v>490</v>
      </c>
      <c r="J8776" s="29" t="n">
        <f aca="false">Sens!J8793*ext_sh</f>
        <v>740</v>
      </c>
      <c r="K8776" s="29" t="n">
        <f aca="false">Sens!K8793*ext_sh</f>
        <v>1470</v>
      </c>
      <c r="L8776" s="1" t="s">
        <v>822</v>
      </c>
    </row>
    <row r="8777" customFormat="false" ht="17.15" hidden="false" customHeight="false" outlineLevel="0" collapsed="false">
      <c r="A8777" s="1" t="s">
        <v>823</v>
      </c>
      <c r="B8777" s="0" t="s">
        <v>399</v>
      </c>
      <c r="C8777" s="29" t="n">
        <f aca="false">mix_h*Sens!C8769</f>
        <v>128</v>
      </c>
      <c r="D8777" s="29" t="n">
        <f aca="false">mix_h*Sens!D8769</f>
        <v>326</v>
      </c>
      <c r="E8777" s="29" t="n">
        <f aca="false">mix_h*Sens!E8769</f>
        <v>650</v>
      </c>
      <c r="F8777" s="29" t="n">
        <f aca="false">Sens!E8777-Sens!F8776*mix_h</f>
        <v>650</v>
      </c>
      <c r="G8777" s="29" t="n">
        <f aca="false">Sens!F8777-Sens!G8776*mix_h</f>
        <v>650</v>
      </c>
      <c r="H8777" s="29" t="n">
        <f aca="false">Sens!G8777-Sens!H8776*mix_h</f>
        <v>650</v>
      </c>
      <c r="I8777" s="29" t="n">
        <f aca="false">Sens!H8777-Sens!I8776*mix_h</f>
        <v>552</v>
      </c>
      <c r="J8777" s="29" t="n">
        <f aca="false">Sens!I8777-Sens!J8776*mix_h</f>
        <v>404</v>
      </c>
      <c r="K8777" s="29" t="n">
        <f aca="false">Sens!J8777-Sens!K8776*mix_h</f>
        <v>110</v>
      </c>
    </row>
    <row r="8778" customFormat="false" ht="17.15" hidden="false" customHeight="false" outlineLevel="0" collapsed="false">
      <c r="A8778" s="1" t="s">
        <v>824</v>
      </c>
      <c r="B8778" s="0" t="s">
        <v>399</v>
      </c>
      <c r="C8778" s="29" t="n">
        <f aca="false">mix_g2*Sens!C8769</f>
        <v>288</v>
      </c>
      <c r="D8778" s="29" t="n">
        <f aca="false">mix_g2*Sens!D8769</f>
        <v>733.5</v>
      </c>
      <c r="E8778" s="29" t="n">
        <f aca="false">mix_g2*Sens!E8769</f>
        <v>1462.5</v>
      </c>
      <c r="F8778" s="29" t="n">
        <f aca="false">Sens!E8778-Sens!F8776*mix_g2</f>
        <v>1462.5</v>
      </c>
      <c r="G8778" s="29" t="n">
        <f aca="false">Sens!F8778-Sens!G8776*mix_g2</f>
        <v>1462.5</v>
      </c>
      <c r="H8778" s="29" t="n">
        <f aca="false">Sens!G8778-Sens!H8776*mix_g2</f>
        <v>1462.5</v>
      </c>
      <c r="I8778" s="29" t="n">
        <f aca="false">Sens!H8778-Sens!I8776*mix_g2</f>
        <v>1242</v>
      </c>
      <c r="J8778" s="29" t="n">
        <f aca="false">Sens!I8778-Sens!J8776*mix_g2</f>
        <v>909</v>
      </c>
      <c r="K8778" s="29" t="n">
        <f aca="false">Sens!J8778-Sens!K8776*mix_g2</f>
        <v>247.5</v>
      </c>
    </row>
    <row r="8779" customFormat="false" ht="17.15" hidden="false" customHeight="false" outlineLevel="0" collapsed="false">
      <c r="A8779" s="1" t="s">
        <v>825</v>
      </c>
      <c r="B8779" s="0" t="s">
        <v>399</v>
      </c>
      <c r="C8779" s="29" t="n">
        <f aca="false">mix_g3*Sens!C8769</f>
        <v>224</v>
      </c>
      <c r="D8779" s="29" t="n">
        <f aca="false">mix_g3*Sens!D8769</f>
        <v>570.5</v>
      </c>
      <c r="E8779" s="29" t="n">
        <f aca="false">mix_g3*Sens!E8769</f>
        <v>1137.5</v>
      </c>
      <c r="F8779" s="29" t="n">
        <f aca="false">Sens!E8779+(Sens!F8775+Sens!F8776)*a_g3_27-Sens!F8776*mix_g3</f>
        <v>2906.54</v>
      </c>
      <c r="G8779" s="29" t="n">
        <f aca="false">Sens!F8779+(Sens!G8775+Sens!G8776)*a_g3_28-Sens!G8776*mix_g3</f>
        <v>3664.7</v>
      </c>
      <c r="H8779" s="29" t="n">
        <f aca="false">Sens!G8779+(Sens!H8775+Sens!H8776)*a_g3_29-Sens!H8776*mix_g3</f>
        <v>3917.42</v>
      </c>
      <c r="I8779" s="29" t="n">
        <f aca="false">Sens!H8779+(Sens!I8775+Sens!I8776)*a_g3_29-Sens!I8776*mix_g3</f>
        <v>3974.2316</v>
      </c>
      <c r="J8779" s="29" t="n">
        <f aca="false">Sens!I8779+(Sens!J8775+Sens!J8776)*a_g3_29-Sens!J8776*mix_g3</f>
        <v>3898.721032</v>
      </c>
      <c r="K8779" s="29" t="n">
        <f aca="false">Sens!J8779+(Sens!K8775+Sens!K8776)*a_g3_29-Sens!K8776*mix_g3</f>
        <v>3572.37986296</v>
      </c>
    </row>
    <row r="8780" customFormat="false" ht="17.15" hidden="false" customHeight="false" outlineLevel="0" collapsed="false">
      <c r="A8780" s="1" t="s">
        <v>826</v>
      </c>
      <c r="B8780" s="0" t="s">
        <v>399</v>
      </c>
      <c r="C8780" s="29" t="n">
        <v>0</v>
      </c>
      <c r="D8780" s="29" t="n">
        <v>0</v>
      </c>
      <c r="E8780" s="29" t="n">
        <v>0</v>
      </c>
      <c r="F8780" s="29" t="n">
        <f aca="false">Sens!E8780+(Sens!F8775+Sens!F8776)*(1-a_g3_27)</f>
        <v>758.16</v>
      </c>
      <c r="G8780" s="29" t="n">
        <f aca="false">Sens!F8780+(Sens!G8775+Sens!G8776)*(1-a_g3_28)</f>
        <v>2527.2</v>
      </c>
      <c r="H8780" s="29" t="n">
        <f aca="false">Sens!G8780+(Sens!H8775+Sens!H8776)*(1-a_g3_29)</f>
        <v>4801.68</v>
      </c>
      <c r="I8780" s="29" t="n">
        <f aca="false">Sens!H8780+(Sens!I8775+Sens!I8776)*(1-a_g3_29)</f>
        <v>6856.4844</v>
      </c>
      <c r="J8780" s="29" t="n">
        <f aca="false">Sens!I8780+(Sens!J8775+Sens!J8776)*(1-a_g3_29)</f>
        <v>8507.889288</v>
      </c>
      <c r="K8780" s="29" t="n">
        <f aca="false">Sens!J8780+(Sens!K8775+Sens!K8776)*(1-a_g3_29)</f>
        <v>10201.31876664</v>
      </c>
    </row>
    <row r="8781" customFormat="false" ht="17.15" hidden="false" customHeight="false" outlineLevel="0" collapsed="false">
      <c r="A8781" s="1" t="s">
        <v>827</v>
      </c>
      <c r="B8781" s="0" t="s">
        <v>346</v>
      </c>
      <c r="C8781" s="14" t="n">
        <f aca="false">(Sens!C8777*tk_hold_h100+Sens!C8778*tk_hold_gb200+Sens!C8779*tk_hold_gb300+Sens!C8780*tk_hold_vr200)/Sens!C8769</f>
        <v>9.7235358126469</v>
      </c>
      <c r="D8781" s="14" t="n">
        <f aca="false">(Sens!D8777*tk_hold_h100+Sens!D8778*tk_hold_gb200+Sens!D8779*tk_hold_gb300+Sens!D8780*tk_hold_vr200)/Sens!D8769</f>
        <v>9.7235358126469</v>
      </c>
      <c r="E8781" s="14" t="n">
        <f aca="false">(Sens!E8777*tk_hold_h100+Sens!E8778*tk_hold_gb200+Sens!E8779*tk_hold_gb300+Sens!E8780*tk_hold_vr200)/Sens!E8769</f>
        <v>9.7235358126469</v>
      </c>
      <c r="F8781" s="14" t="n">
        <f aca="false">(Sens!F8777*tk_hold_h100+Sens!F8778*tk_hold_gb200+Sens!F8779*tk_hold_gb300+Sens!F8780*tk_hold_vr200)/Sens!F8769</f>
        <v>10.4079573161931</v>
      </c>
      <c r="G8781" s="14" t="n">
        <f aca="false">(Sens!G8777*tk_hold_h100+Sens!G8778*tk_hold_gb200+Sens!G8779*tk_hold_gb300+Sens!G8780*tk_hold_vr200)/Sens!G8769</f>
        <v>10.8388131109316</v>
      </c>
      <c r="H8781" s="14" t="n">
        <f aca="false">(Sens!H8777*tk_hold_h100+Sens!H8778*tk_hold_gb200+Sens!H8779*tk_hold_gb300+Sens!H8780*tk_hold_vr200)/Sens!H8769</f>
        <v>11.1311018388216</v>
      </c>
      <c r="I8781" s="14" t="n">
        <f aca="false">(Sens!I8777*tk_hold_h100+Sens!I8778*tk_hold_gb200+Sens!I8779*tk_hold_gb300+Sens!I8780*tk_hold_vr200)/Sens!I8769</f>
        <v>11.3594282560989</v>
      </c>
      <c r="J8781" s="14" t="n">
        <f aca="false">(Sens!J8777*tk_hold_h100+Sens!J8778*tk_hold_gb200+Sens!J8779*tk_hold_gb300+Sens!J8780*tk_hold_vr200)/Sens!J8769</f>
        <v>11.5455817917599</v>
      </c>
      <c r="K8781" s="14" t="n">
        <f aca="false">(Sens!K8777*tk_hold_h100+Sens!K8778*tk_hold_gb200+Sens!K8779*tk_hold_gb300+Sens!K8780*tk_hold_vr200)/Sens!K8769</f>
        <v>11.8078187977246</v>
      </c>
    </row>
    <row r="8782" customFormat="false" ht="17.15" hidden="false" customHeight="false" outlineLevel="0" collapsed="false">
      <c r="A8782" s="0" t="s">
        <v>828</v>
      </c>
      <c r="B8782" s="0" t="s">
        <v>185</v>
      </c>
      <c r="C8782" s="14" t="n">
        <f aca="false">k_B</f>
        <v>1.17213932619116</v>
      </c>
      <c r="D8782" s="14" t="n">
        <f aca="false">k_B</f>
        <v>1.17213932619116</v>
      </c>
      <c r="E8782" s="14" t="n">
        <f aca="false">k_B</f>
        <v>1.17213932619116</v>
      </c>
      <c r="F8782" s="14" t="n">
        <f aca="false">(k_B+((ls_A*k_long+(1-ls_A)*k_spot)-k_B)*MIN(1,(Sens!F8767-base_fy)/k_ramp))</f>
        <v>1.25022828131298</v>
      </c>
      <c r="G8782" s="14" t="n">
        <f aca="false">(k_B+((ls_A*k_long+(1-ls_A)*k_spot)-k_B)*MIN(1,(Sens!G8767-base_fy)/k_ramp))</f>
        <v>1.3283172364348</v>
      </c>
      <c r="H8782" s="14" t="n">
        <f aca="false">(k_B+((ls_A*k_long+(1-ls_A)*k_spot)-k_B)*MIN(1,(Sens!H8767-base_fy)/k_ramp))</f>
        <v>1.40640619155662</v>
      </c>
      <c r="I8782" s="14" t="n">
        <f aca="false">(k_B+((ls_A*k_long+(1-ls_A)*k_spot)-k_B)*MIN(1,(Sens!I8767-base_fy)/k_ramp))</f>
        <v>1.40640619155662</v>
      </c>
      <c r="J8782" s="14" t="n">
        <f aca="false">(k_B+((ls_A*k_long+(1-ls_A)*k_spot)-k_B)*MIN(1,(Sens!J8767-base_fy)/k_ramp))</f>
        <v>1.40640619155662</v>
      </c>
      <c r="K8782" s="14" t="n">
        <f aca="false">(k_B+((ls_A*k_long+(1-ls_A)*k_spot)-k_B)*MIN(1,(Sens!K8767-base_fy)/k_ramp))</f>
        <v>1.40640619155662</v>
      </c>
      <c r="L8782" s="1" t="s">
        <v>829</v>
      </c>
    </row>
    <row r="8783" customFormat="false" ht="17.15" hidden="false" customHeight="false" outlineLevel="0" collapsed="false">
      <c r="A8783" s="1" t="s">
        <v>830</v>
      </c>
      <c r="B8783" s="0" t="s">
        <v>346</v>
      </c>
      <c r="C8783" s="14" t="n">
        <f aca="false">Sens!C8781*Sens!C8782*chip_f</f>
        <v>11.3973387156315</v>
      </c>
      <c r="D8783" s="14" t="n">
        <f aca="false">Sens!D8781*Sens!D8782*chip_f</f>
        <v>11.3973387156315</v>
      </c>
      <c r="E8783" s="14" t="n">
        <f aca="false">Sens!E8781*Sens!E8782*chip_f</f>
        <v>11.3973387156315</v>
      </c>
      <c r="F8783" s="14" t="n">
        <f aca="false">Sens!F8781*Sens!F8782*chip_f</f>
        <v>13.0123225874029</v>
      </c>
      <c r="G8783" s="14" t="n">
        <f aca="false">Sens!G8781*Sens!G8782*chip_f</f>
        <v>14.3973822777458</v>
      </c>
      <c r="H8783" s="14" t="n">
        <f aca="false">Sens!H8781*Sens!H8782*chip_f</f>
        <v>15.6548505449659</v>
      </c>
      <c r="I8783" s="14" t="n">
        <f aca="false">Sens!I8781*Sens!I8782*chip_f</f>
        <v>15.9759702319207</v>
      </c>
      <c r="J8783" s="14" t="n">
        <f aca="false">Sens!J8781*Sens!J8782*chip_f</f>
        <v>16.2377777170545</v>
      </c>
      <c r="K8783" s="14" t="n">
        <f aca="false">Sens!K8781*Sens!K8782*chip_f</f>
        <v>16.6065894658985</v>
      </c>
      <c r="L8783" s="1" t="s">
        <v>831</v>
      </c>
    </row>
    <row r="8784" customFormat="false" ht="17.15" hidden="false" customHeight="false" outlineLevel="0" collapsed="false">
      <c r="A8784" s="0" t="s">
        <v>832</v>
      </c>
      <c r="B8784" s="0" t="s">
        <v>98</v>
      </c>
      <c r="D8784" s="6" t="n">
        <f aca="false">(Sens!C8769+Sens!D8769)/2*Sens!D8783/1000</f>
        <v>12.9359794422418</v>
      </c>
      <c r="E8784" s="6" t="n">
        <f aca="false">(Sens!D8769+Sens!E8769)/2*Sens!E8783/1000</f>
        <v>27.8095064661409</v>
      </c>
      <c r="F8784" s="6" t="n">
        <f aca="false">(Sens!E8769+Sens!F8769)/2*Sens!F8783/1000</f>
        <v>58.7324192305018</v>
      </c>
      <c r="G8784" s="6" t="n">
        <f aca="false">(Sens!F8769+Sens!G8769)/2*Sens!G8783/1000</f>
        <v>101.369089141153</v>
      </c>
      <c r="H8784" s="6" t="n">
        <f aca="false">(Sens!G8769+Sens!H8769)/2*Sens!H8783/1000</f>
        <v>149.785610014234</v>
      </c>
      <c r="I8784" s="6" t="n">
        <f aca="false">(Sens!H8769+Sens!I8769)/2*Sens!I8783/1000</f>
        <v>187.368703083263</v>
      </c>
      <c r="J8784" s="6" t="n">
        <f aca="false">(Sens!I8769+Sens!J8769)/2*Sens!J8783/1000</f>
        <v>213.886657444854</v>
      </c>
      <c r="K8784" s="6" t="n">
        <f aca="false">(Sens!J8769+Sens!K8769)/2*Sens!K8783/1000</f>
        <v>231.253475259589</v>
      </c>
      <c r="L8784" s="11" t="s">
        <v>833</v>
      </c>
    </row>
    <row r="8785" customFormat="false" ht="17.15" hidden="false" customHeight="false" outlineLevel="0" collapsed="false">
      <c r="A8785" s="1" t="s">
        <v>834</v>
      </c>
      <c r="B8785" s="0" t="s">
        <v>346</v>
      </c>
      <c r="C8785" s="14" t="n">
        <f aca="false">(Sens!C8777*tk_opex_h100+Sens!C8778*tk_opex_gb200+Sens!C8779*tk_opex_gb300+Sens!C8780*tk_opex_vr200)/Sens!C8769</f>
        <v>1.88636041306092</v>
      </c>
      <c r="D8785" s="14" t="n">
        <f aca="false">(Sens!D8777*tk_opex_h100+Sens!D8778*tk_opex_gb200+Sens!D8779*tk_opex_gb300+Sens!D8780*tk_opex_vr200)/Sens!D8769</f>
        <v>1.88636041306092</v>
      </c>
      <c r="E8785" s="14" t="n">
        <f aca="false">(Sens!E8777*tk_opex_h100+Sens!E8778*tk_opex_gb200+Sens!E8779*tk_opex_gb300+Sens!E8780*tk_opex_vr200)/Sens!E8769</f>
        <v>1.88636041306092</v>
      </c>
      <c r="F8785" s="14" t="n">
        <f aca="false">(Sens!F8777*tk_opex_h100+Sens!F8778*tk_opex_gb200+Sens!F8779*tk_opex_gb300+Sens!F8780*tk_opex_vr200)/Sens!F8769</f>
        <v>1.9430236476499</v>
      </c>
      <c r="G8785" s="14" t="n">
        <f aca="false">(Sens!G8777*tk_opex_h100+Sens!G8778*tk_opex_gb200+Sens!G8779*tk_opex_gb300+Sens!G8780*tk_opex_vr200)/Sens!G8769</f>
        <v>1.9786941852423</v>
      </c>
      <c r="H8785" s="14" t="n">
        <f aca="false">(Sens!H8777*tk_opex_h100+Sens!H8778*tk_opex_gb200+Sens!H8779*tk_opex_gb300+Sens!H8780*tk_opex_vr200)/Sens!H8769</f>
        <v>2.00289275976156</v>
      </c>
      <c r="I8785" s="14" t="n">
        <f aca="false">(Sens!I8777*tk_opex_h100+Sens!I8778*tk_opex_gb200+Sens!I8779*tk_opex_gb300+Sens!I8780*tk_opex_vr200)/Sens!I8769</f>
        <v>2.02179589661219</v>
      </c>
      <c r="J8785" s="14" t="n">
        <f aca="false">(Sens!J8777*tk_opex_h100+Sens!J8778*tk_opex_gb200+Sens!J8779*tk_opex_gb300+Sens!J8780*tk_opex_vr200)/Sens!J8769</f>
        <v>2.03720754193029</v>
      </c>
      <c r="K8785" s="14" t="n">
        <f aca="false">(Sens!K8777*tk_opex_h100+Sens!K8778*tk_opex_gb200+Sens!K8779*tk_opex_gb300+Sens!K8780*tk_opex_vr200)/Sens!K8769</f>
        <v>2.0589181353437</v>
      </c>
    </row>
    <row r="8786" customFormat="false" ht="17.15" hidden="false" customHeight="false" outlineLevel="0" collapsed="false">
      <c r="A8786" s="0" t="s">
        <v>835</v>
      </c>
      <c r="B8786" s="0" t="s">
        <v>98</v>
      </c>
      <c r="D8786" s="6" t="n">
        <f aca="false">(Sens!C8772+Sens!D8772)/2*Sens!D8785/1000</f>
        <v>2.70378325872065</v>
      </c>
      <c r="E8786" s="6" t="n">
        <f aca="false">(Sens!D8772+Sens!E8772)/2*Sens!E8785/1000</f>
        <v>6.17783035277451</v>
      </c>
      <c r="F8786" s="6" t="n">
        <f aca="false">(Sens!E8772+Sens!F8772)/2*Sens!F8785/1000</f>
        <v>12.5020618235287</v>
      </c>
      <c r="G8786" s="6" t="n">
        <f aca="false">(Sens!F8772+Sens!G8772)/2*Sens!G8785/1000</f>
        <v>20.7261620256847</v>
      </c>
      <c r="H8786" s="6" t="n">
        <f aca="false">(Sens!G8772+Sens!H8772)/2*Sens!H8785/1000</f>
        <v>29.4158183316982</v>
      </c>
      <c r="I8786" s="6" t="n">
        <f aca="false">(Sens!H8772+Sens!I8772)/2*Sens!I8785/1000</f>
        <v>36.9724400356344</v>
      </c>
      <c r="J8786" s="6" t="n">
        <f aca="false">(Sens!I8772+Sens!J8772)/2*Sens!J8785/1000</f>
        <v>42.1571687189816</v>
      </c>
      <c r="K8786" s="6" t="n">
        <f aca="false">(Sens!J8772+Sens!K8772)/2*Sens!K8785/1000</f>
        <v>45.1912095080704</v>
      </c>
    </row>
    <row r="8787" customFormat="false" ht="17.15" hidden="false" customHeight="false" outlineLevel="0" collapsed="false">
      <c r="A8787" s="0" t="s">
        <v>836</v>
      </c>
      <c r="B8787" s="0" t="s">
        <v>98</v>
      </c>
      <c r="D8787" s="6" t="n">
        <f aca="false">(Sens!C8770+Sens!D8770)/2*rent_mw/1000</f>
        <v>2.44475</v>
      </c>
      <c r="E8787" s="6" t="n">
        <f aca="false">(Sens!D8770+Sens!E8770)/2*rent_mw/1000</f>
        <v>4.22275</v>
      </c>
      <c r="F8787" s="6" t="n">
        <f aca="false">(Sens!E8770+Sens!F8770)/2*rent_mw/1000</f>
        <v>5.80517</v>
      </c>
      <c r="G8787" s="6" t="n">
        <f aca="false">(Sens!F8770+Sens!G8770)/2*rent_mw/1000</f>
        <v>6.72084</v>
      </c>
      <c r="H8787" s="6" t="n">
        <f aca="false">(Sens!G8770+Sens!H8770)/2*rent_mw/1000</f>
        <v>6.72084</v>
      </c>
      <c r="I8787" s="6" t="n">
        <f aca="false">(Sens!H8770+Sens!I8770)/2*rent_mw/1000</f>
        <v>6.72084</v>
      </c>
      <c r="J8787" s="6" t="n">
        <f aca="false">(Sens!I8770+Sens!J8770)/2*rent_mw/1000</f>
        <v>6.72084</v>
      </c>
      <c r="K8787" s="6" t="n">
        <f aca="false">(Sens!J8770+Sens!K8770)/2*rent_mw/1000</f>
        <v>6.72084</v>
      </c>
    </row>
    <row r="8788" customFormat="false" ht="17.15" hidden="false" customHeight="false" outlineLevel="0" collapsed="false">
      <c r="A8788" s="0" t="s">
        <v>837</v>
      </c>
      <c r="B8788" s="0" t="s">
        <v>98</v>
      </c>
      <c r="D8788" s="6" t="n">
        <f aca="false">(Sens!C8772+Sens!D8772)/2*(1-self_build)*fac_rent/1000</f>
        <v>0.853242375631075</v>
      </c>
      <c r="E8788" s="6" t="n">
        <f aca="false">(Sens!D8772+Sens!E8772)/2*(1-self_build)*fac_rent/1000</f>
        <v>1.94955961408728</v>
      </c>
      <c r="F8788" s="6" t="n">
        <f aca="false">(Sens!E8772+Sens!F8772)/2*(1-self_build)*fac_rent/1000</f>
        <v>3.83026455274573</v>
      </c>
      <c r="G8788" s="6" t="n">
        <f aca="false">(Sens!F8772+Sens!G8772)/2*(1-self_build)*fac_rent/1000</f>
        <v>6.23541590972812</v>
      </c>
      <c r="H8788" s="6" t="n">
        <f aca="false">(Sens!G8772+Sens!H8772)/2*(1-self_build)*fac_rent/1000</f>
        <v>8.74275792332679</v>
      </c>
      <c r="I8788" s="6" t="n">
        <f aca="false">(Sens!H8772+Sens!I8772)/2*(1-self_build)*fac_rent/1000</f>
        <v>10.8859420438599</v>
      </c>
      <c r="J8788" s="6" t="n">
        <f aca="false">(Sens!I8772+Sens!J8772)/2*(1-self_build)*fac_rent/1000</f>
        <v>12.3186006405366</v>
      </c>
      <c r="K8788" s="6" t="n">
        <f aca="false">(Sens!J8772+Sens!K8772)/2*(1-self_build)*fac_rent/1000</f>
        <v>13.0659232089824</v>
      </c>
      <c r="L8788" s="11" t="s">
        <v>838</v>
      </c>
    </row>
    <row r="8789" customFormat="false" ht="17.15" hidden="false" customHeight="false" outlineLevel="0" collapsed="false">
      <c r="A8789" s="1" t="s">
        <v>839</v>
      </c>
      <c r="B8789" s="0" t="s">
        <v>129</v>
      </c>
      <c r="D8789" s="7" t="n">
        <f aca="false">(Sens!C8771+Sens!D8771)/(Sens!C8772+Sens!D8772)</f>
        <v>0.6</v>
      </c>
      <c r="E8789" s="7" t="n">
        <f aca="false">(Sens!D8771+Sens!E8771)/(Sens!D8772+Sens!E8772)</f>
        <v>0.6</v>
      </c>
      <c r="F8789" s="7" t="n">
        <f aca="false">(Sens!E8771+Sens!F8771)/(Sens!E8772+Sens!F8772)</f>
        <v>0.6</v>
      </c>
      <c r="G8789" s="7" t="n">
        <f aca="false">(Sens!F8771+Sens!G8771)/(Sens!F8772+Sens!G8772)</f>
        <v>0.6</v>
      </c>
      <c r="H8789" s="7" t="n">
        <f aca="false">(Sens!G8771+Sens!H8771)/(Sens!G8772+Sens!H8772)</f>
        <v>0.6</v>
      </c>
      <c r="I8789" s="7" t="n">
        <f aca="false">(Sens!H8771+Sens!I8771)/(Sens!H8772+Sens!I8772)</f>
        <v>0.6</v>
      </c>
      <c r="J8789" s="7" t="n">
        <f aca="false">(Sens!I8771+Sens!J8771)/(Sens!I8772+Sens!J8772)</f>
        <v>0.6</v>
      </c>
      <c r="K8789" s="7" t="n">
        <f aca="false">(Sens!J8771+Sens!K8771)/(Sens!J8772+Sens!K8772)</f>
        <v>0.6</v>
      </c>
    </row>
    <row r="8790" customFormat="false" ht="17.15" hidden="false" customHeight="false" outlineLevel="0" collapsed="false">
      <c r="A8790" s="0" t="s">
        <v>840</v>
      </c>
      <c r="B8790" s="0" t="s">
        <v>98</v>
      </c>
      <c r="D8790" s="6" t="n">
        <f aca="false">Sens!D8784-Sens!D8789*(Sens!D8786+Sens!D8788)-Sens!D8787</f>
        <v>8.35701406163072</v>
      </c>
      <c r="E8790" s="6" t="n">
        <f aca="false">Sens!E8784-Sens!E8789*(Sens!E8786+Sens!E8788)-Sens!E8787</f>
        <v>18.7103224860238</v>
      </c>
      <c r="F8790" s="6" t="n">
        <f aca="false">Sens!F8784-Sens!F8789*(Sens!F8786+Sens!F8788)-Sens!F8787</f>
        <v>43.1278534047371</v>
      </c>
      <c r="G8790" s="6" t="n">
        <f aca="false">Sens!G8784-Sens!G8789*(Sens!G8786+Sens!G8788)-Sens!G8787</f>
        <v>78.4713023799053</v>
      </c>
      <c r="H8790" s="6" t="n">
        <f aca="false">Sens!H8784-Sens!H8789*(Sens!H8786+Sens!H8788)-Sens!H8787</f>
        <v>120.169624261219</v>
      </c>
      <c r="I8790" s="6" t="n">
        <f aca="false">Sens!I8784-Sens!I8789*(Sens!I8786+Sens!I8788)-Sens!I8787</f>
        <v>151.932833835566</v>
      </c>
      <c r="J8790" s="6" t="n">
        <f aca="false">Sens!J8784-Sens!J8789*(Sens!J8786+Sens!J8788)-Sens!J8787</f>
        <v>174.480355829143</v>
      </c>
      <c r="K8790" s="6" t="n">
        <f aca="false">Sens!K8784-Sens!K8789*(Sens!K8786+Sens!K8788)-Sens!K8787</f>
        <v>189.578355629358</v>
      </c>
    </row>
    <row r="8791" customFormat="false" ht="17.15" hidden="false" customHeight="false" outlineLevel="0" collapsed="false">
      <c r="A8791" s="1" t="s">
        <v>841</v>
      </c>
      <c r="B8791" s="0" t="s">
        <v>98</v>
      </c>
      <c r="D8791" s="6" t="n">
        <f aca="false">(1-Sens!D8789)*(Sens!D8786+Sens!D8788)</f>
        <v>1.42281025374069</v>
      </c>
      <c r="E8791" s="6" t="n">
        <f aca="false">(1-Sens!E8789)*(Sens!E8786+Sens!E8788)</f>
        <v>3.25095598674472</v>
      </c>
      <c r="F8791" s="6" t="n">
        <f aca="false">(1-Sens!F8789)*(Sens!F8786+Sens!F8788)</f>
        <v>6.53293055050977</v>
      </c>
      <c r="G8791" s="6" t="n">
        <f aca="false">(1-Sens!G8789)*(Sens!G8786+Sens!G8788)</f>
        <v>10.7846311741651</v>
      </c>
      <c r="H8791" s="6" t="n">
        <f aca="false">(1-Sens!H8789)*(Sens!H8786+Sens!H8788)</f>
        <v>15.26343050201</v>
      </c>
      <c r="I8791" s="6" t="n">
        <f aca="false">(1-Sens!I8789)*(Sens!I8786+Sens!I8788)</f>
        <v>19.1433528317977</v>
      </c>
      <c r="J8791" s="6" t="n">
        <f aca="false">(1-Sens!J8789)*(Sens!J8786+Sens!J8788)</f>
        <v>21.7903077438073</v>
      </c>
      <c r="K8791" s="6" t="n">
        <f aca="false">(1-Sens!K8789)*(Sens!K8786+Sens!K8788)</f>
        <v>23.3028530868211</v>
      </c>
    </row>
    <row r="8792" customFormat="false" ht="17.15" hidden="false" customHeight="false" outlineLevel="0" collapsed="false">
      <c r="A8792" s="1" t="s">
        <v>842</v>
      </c>
      <c r="B8792" s="0" t="s">
        <v>357</v>
      </c>
      <c r="C8792" s="8" t="n">
        <f aca="false">cxit_open</f>
        <v>27.5918995</v>
      </c>
      <c r="D8792" s="8" t="n">
        <f aca="false">cxit_open</f>
        <v>27.5918995</v>
      </c>
      <c r="E8792" s="8" t="n">
        <f aca="false">cxit_open</f>
        <v>27.5918995</v>
      </c>
      <c r="F8792" s="8" t="n">
        <f aca="false">(a_g3_27*tk_cxit_gb300+(1-a_g3_27)*tk_cxit_vr200)</f>
        <v>33.8419624</v>
      </c>
      <c r="G8792" s="8" t="n">
        <f aca="false">(a_g3_28*tk_cxit_gb300+(1-a_g3_28)*tk_cxit_vr200)</f>
        <v>35.9816136</v>
      </c>
      <c r="H8792" s="8" t="n">
        <f aca="false">(a_g3_29*tk_cxit_gb300+(1-a_g3_29)*tk_cxit_vr200)</f>
        <v>37.0514392</v>
      </c>
      <c r="I8792" s="8" t="n">
        <f aca="false">(a_g3_29*tk_cxit_gb300+(1-a_g3_29)*tk_cxit_vr200)</f>
        <v>37.0514392</v>
      </c>
      <c r="J8792" s="8" t="n">
        <f aca="false">(a_g3_29*tk_cxit_gb300+(1-a_g3_29)*tk_cxit_vr200)</f>
        <v>37.0514392</v>
      </c>
      <c r="K8792" s="8" t="n">
        <f aca="false">(a_g3_29*tk_cxit_gb300+(1-a_g3_29)*tk_cxit_vr200)</f>
        <v>37.0514392</v>
      </c>
      <c r="L8792" s="11" t="s">
        <v>843</v>
      </c>
    </row>
    <row r="8793" customFormat="false" ht="17.15" hidden="false" customHeight="false" outlineLevel="0" collapsed="false">
      <c r="A8793" s="0" t="s">
        <v>844</v>
      </c>
      <c r="B8793" s="0" t="s">
        <v>399</v>
      </c>
      <c r="F8793" s="29" t="n">
        <f aca="false">Sens!C8774*IF(Sens!F8767-Sens!C8767=life_it,1,0)+Sens!D8774*IF(Sens!F8767-Sens!D8767=life_it,1,0)+Sens!E8774*IF(Sens!F8767-Sens!E8767=life_it,1,0)</f>
        <v>0</v>
      </c>
      <c r="G8793" s="29" t="n">
        <f aca="false">Sens!C8774*IF(Sens!G8767-Sens!C8767=life_it,1,0)+Sens!D8774*IF(Sens!G8767-Sens!D8767=life_it,1,0)+Sens!E8774*IF(Sens!G8767-Sens!E8767=life_it,1,0)+Sens!F8774*IF(Sens!G8767-Sens!F8767=life_it,1,0)</f>
        <v>0</v>
      </c>
      <c r="H8793" s="29" t="n">
        <f aca="false">Sens!C8774*IF(Sens!H8767-Sens!C8767=life_it,1,0)+Sens!D8774*IF(Sens!H8767-Sens!D8767=life_it,1,0)+Sens!E8774*IF(Sens!H8767-Sens!E8767=life_it,1,0)+Sens!F8774*IF(Sens!H8767-Sens!F8767=life_it,1,0)+Sens!G8774*IF(Sens!H8767-Sens!G8767=life_it,1,0)</f>
        <v>0</v>
      </c>
      <c r="I8793" s="29" t="n">
        <f aca="false">Sens!C8774*IF(Sens!I8767-Sens!C8767=life_it,1,0)+Sens!D8774*IF(Sens!I8767-Sens!D8767=life_it,1,0)+Sens!E8774*IF(Sens!I8767-Sens!E8767=life_it,1,0)+Sens!F8774*IF(Sens!I8767-Sens!F8767=life_it,1,0)+Sens!G8774*IF(Sens!I8767-Sens!G8767=life_it,1,0)+Sens!H8774*IF(Sens!I8767-Sens!H8767=life_it,1,0)</f>
        <v>816.666666666667</v>
      </c>
      <c r="J8793" s="29" t="n">
        <f aca="false">Sens!C8774*IF(Sens!J8767-Sens!C8767=life_it,1,0)+Sens!D8774*IF(Sens!J8767-Sens!D8767=life_it,1,0)+Sens!E8774*IF(Sens!J8767-Sens!E8767=life_it,1,0)+Sens!F8774*IF(Sens!J8767-Sens!F8767=life_it,1,0)+Sens!G8774*IF(Sens!J8767-Sens!G8767=life_it,1,0)+Sens!H8774*IF(Sens!J8767-Sens!H8767=life_it,1,0)+Sens!I8774*IF(Sens!J8767-Sens!I8767=life_it,1,0)</f>
        <v>1233.33333333333</v>
      </c>
      <c r="K8793" s="29" t="n">
        <f aca="false">Sens!C8774*IF(Sens!K8767-Sens!C8767=life_it,1,0)+Sens!D8774*IF(Sens!K8767-Sens!D8767=life_it,1,0)+Sens!E8774*IF(Sens!K8767-Sens!E8767=life_it,1,0)+Sens!F8774*IF(Sens!K8767-Sens!F8767=life_it,1,0)+Sens!G8774*IF(Sens!K8767-Sens!G8767=life_it,1,0)+Sens!H8774*IF(Sens!K8767-Sens!H8767=life_it,1,0)+Sens!I8774*IF(Sens!K8767-Sens!I8767=life_it,1,0)+Sens!J8774*IF(Sens!K8767-Sens!J8767=life_it,1,0)</f>
        <v>2450</v>
      </c>
      <c r="L8793" s="1" t="s">
        <v>845</v>
      </c>
    </row>
    <row r="8794" customFormat="false" ht="17.15" hidden="false" customHeight="false" outlineLevel="0" collapsed="false">
      <c r="A8794" s="0" t="s">
        <v>846</v>
      </c>
      <c r="B8794" s="0" t="s">
        <v>98</v>
      </c>
      <c r="C8794" s="6" t="n">
        <f aca="false">Sens!C8774*Sens!C8792/1000</f>
        <v>22.5333845916667</v>
      </c>
      <c r="D8794" s="6" t="n">
        <f aca="false">Sens!D8774*Sens!D8792/1000</f>
        <v>34.0300093833333</v>
      </c>
      <c r="E8794" s="6" t="n">
        <f aca="false">Sens!E8774*Sens!E8792/1000</f>
        <v>67.600153775</v>
      </c>
      <c r="F8794" s="6" t="n">
        <f aca="false">(Sens!F8774+Sens!F8793)*Sens!F8792/1000</f>
        <v>130.923271871467</v>
      </c>
      <c r="G8794" s="6" t="n">
        <f aca="false">(Sens!G8774+Sens!G8793)*Sens!G8792/1000</f>
        <v>151.5545564832</v>
      </c>
      <c r="H8794" s="6" t="n">
        <f aca="false">(Sens!H8774+Sens!H8793)*Sens!H8792/1000</f>
        <v>156.0606619104</v>
      </c>
      <c r="I8794" s="6" t="n">
        <f aca="false">(Sens!I8774+Sens!I8793)*Sens!I8792/1000</f>
        <v>140.987889434245</v>
      </c>
      <c r="J8794" s="6" t="n">
        <f aca="false">(Sens!J8774+Sens!J8793)*Sens!J8792/1000</f>
        <v>113.309125559842</v>
      </c>
      <c r="K8794" s="6" t="n">
        <f aca="false">(Sens!K8774+Sens!K8793)*Sens!K8792/1000</f>
        <v>116.192591420959</v>
      </c>
    </row>
    <row r="8795" customFormat="false" ht="17.15" hidden="false" customHeight="false" outlineLevel="0" collapsed="false">
      <c r="A8795" s="0" t="s">
        <v>847</v>
      </c>
      <c r="B8795" s="0" t="s">
        <v>98</v>
      </c>
      <c r="C8795" s="6" t="n">
        <f aca="false">Sens!C8774*self_build*tk_cxfac/1000</f>
        <v>6.2083</v>
      </c>
      <c r="D8795" s="6" t="n">
        <f aca="false">Sens!D8774*self_build*tk_cxfac/1000</f>
        <v>9.3758</v>
      </c>
      <c r="E8795" s="6" t="n">
        <f aca="false">Sens!E8774*self_build*tk_cxfac/1000</f>
        <v>18.6249</v>
      </c>
      <c r="F8795" s="6" t="n">
        <f aca="false">Sens!F8774*self_build*tk_cxfac/1000</f>
        <v>29.409604</v>
      </c>
      <c r="G8795" s="6" t="n">
        <f aca="false">Sens!G8774*self_build*tk_cxfac/1000</f>
        <v>32.019624</v>
      </c>
      <c r="H8795" s="6" t="n">
        <f aca="false">Sens!H8774*self_build*tk_cxfac/1000</f>
        <v>32.019624</v>
      </c>
      <c r="I8795" s="6" t="n">
        <f aca="false">Sens!I8774*self_build*tk_cxfac/1000</f>
        <v>22.71877972</v>
      </c>
      <c r="J8795" s="6" t="n">
        <f aca="false">Sens!J8774*self_build*tk_cxfac/1000</f>
        <v>13.8723110344</v>
      </c>
      <c r="K8795" s="6" t="n">
        <f aca="false">Sens!K8774*self_build*tk_cxfac/1000</f>
        <v>5.214823882632</v>
      </c>
    </row>
    <row r="8796" customFormat="false" ht="17.15" hidden="false" customHeight="false" outlineLevel="0" collapsed="false">
      <c r="A8796" s="0" t="s">
        <v>848</v>
      </c>
      <c r="B8796" s="0" t="s">
        <v>98</v>
      </c>
      <c r="F8796" s="6" t="n">
        <f aca="false">MAX(0,capex_floor27-Sens!F8794-Sens!F8795-Sens!F8890)</f>
        <v>8.14771089897089</v>
      </c>
    </row>
    <row r="8797" customFormat="false" ht="17.15" hidden="false" customHeight="false" outlineLevel="0" collapsed="false">
      <c r="A8797" s="0" t="s">
        <v>849</v>
      </c>
      <c r="B8797" s="0" t="s">
        <v>98</v>
      </c>
      <c r="C8797" s="6" t="n">
        <f aca="false">Sens!C8794</f>
        <v>22.5333845916667</v>
      </c>
      <c r="D8797" s="6" t="n">
        <f aca="false">Sens!D8794</f>
        <v>34.0300093833333</v>
      </c>
      <c r="E8797" s="6" t="n">
        <f aca="false">Sens!E8794</f>
        <v>67.600153775</v>
      </c>
      <c r="F8797" s="6" t="n">
        <f aca="false">Sens!F8794</f>
        <v>130.923271871467</v>
      </c>
      <c r="G8797" s="6" t="n">
        <f aca="false">Sens!G8794</f>
        <v>151.5545564832</v>
      </c>
      <c r="H8797" s="6" t="n">
        <f aca="false">Sens!H8794</f>
        <v>156.0606619104</v>
      </c>
      <c r="I8797" s="6" t="n">
        <f aca="false">Sens!I8794</f>
        <v>140.987889434245</v>
      </c>
      <c r="J8797" s="6" t="n">
        <f aca="false">Sens!J8794</f>
        <v>113.309125559842</v>
      </c>
      <c r="K8797" s="6" t="n">
        <f aca="false">Sens!K8794</f>
        <v>116.192591420959</v>
      </c>
    </row>
    <row r="8798" customFormat="false" ht="17.15" hidden="false" customHeight="false" outlineLevel="0" collapsed="false">
      <c r="A8798" s="0" t="s">
        <v>850</v>
      </c>
      <c r="B8798" s="0" t="s">
        <v>98</v>
      </c>
      <c r="C8798" s="6" t="n">
        <f aca="false">Sens!C8797+Sens!C8795</f>
        <v>28.7416845916667</v>
      </c>
      <c r="D8798" s="6" t="n">
        <f aca="false">Sens!D8797+Sens!D8795</f>
        <v>43.4058093833333</v>
      </c>
      <c r="E8798" s="6" t="n">
        <f aca="false">Sens!E8797+Sens!E8795</f>
        <v>86.225053775</v>
      </c>
      <c r="F8798" s="6" t="n">
        <f aca="false">Sens!F8797+Sens!F8795</f>
        <v>160.332875871467</v>
      </c>
      <c r="G8798" s="6" t="n">
        <f aca="false">Sens!G8797+Sens!G8795</f>
        <v>183.5741804832</v>
      </c>
      <c r="H8798" s="6" t="n">
        <f aca="false">Sens!H8797+Sens!H8795</f>
        <v>188.0802859104</v>
      </c>
      <c r="I8798" s="6" t="n">
        <f aca="false">Sens!I8797+Sens!I8795</f>
        <v>163.706669154245</v>
      </c>
      <c r="J8798" s="6" t="n">
        <f aca="false">Sens!J8797+Sens!J8795</f>
        <v>127.181436594242</v>
      </c>
      <c r="K8798" s="6" t="n">
        <f aca="false">Sens!K8797+Sens!K8795</f>
        <v>121.407415303591</v>
      </c>
      <c r="L8798" s="11" t="s">
        <v>851</v>
      </c>
    </row>
    <row r="8799" customFormat="false" ht="17.15" hidden="false" customHeight="false" outlineLevel="0" collapsed="false">
      <c r="A8799" s="0" t="s">
        <v>852</v>
      </c>
      <c r="B8799" s="0" t="s">
        <v>98</v>
      </c>
      <c r="E8799" s="6" t="n">
        <f aca="false">(Sens!C8797*IF(2&lt;life_it,1,IF(2=life_it,0.5,0))+Sens!D8797*IF(1&lt;life_it,1,IF(1=life_it,0.5,0))+Sens!E8797*0.5)/life_it</f>
        <v>15.0605784770833</v>
      </c>
      <c r="F8799" s="6" t="n">
        <f aca="false">(Sens!C8797*IF(3&lt;life_it,1,IF(3=life_it,0.5,0))+Sens!D8797*IF(2&lt;life_it,1,IF(2=life_it,0.5,0))+Sens!E8797*IF(1&lt;life_it,1,IF(1=life_it,0.5,0))+Sens!F8797*0.5)/life_it</f>
        <v>31.6041972809556</v>
      </c>
      <c r="G8799" s="6" t="n">
        <f aca="false">(Sens!C8797*IF(4&lt;life_it,1,IF(4=life_it,0.5,0))+Sens!D8797*IF(3&lt;life_it,1,IF(3=life_it,0.5,0))+Sens!E8797*IF(2&lt;life_it,1,IF(2=life_it,0.5,0))+Sens!F8797*IF(1&lt;life_it,1,IF(1=life_it,0.5,0))+Sens!G8797*0.5)/life_it</f>
        <v>55.1440163105111</v>
      </c>
      <c r="H8799" s="6" t="n">
        <f aca="false">(Sens!C8797*IF(5&lt;life_it,1,IF(5=life_it,0.5,0))+Sens!D8797*IF(4&lt;life_it,1,IF(4=life_it,0.5,0))+Sens!E8797*IF(3&lt;life_it,1,IF(3=life_it,0.5,0))+Sens!F8797*IF(2&lt;life_it,1,IF(2=life_it,0.5,0))+Sens!G8797*IF(1&lt;life_it,1,IF(1=life_it,0.5,0))+Sens!H8797*0.5)/life_it</f>
        <v>80.7786178433111</v>
      </c>
      <c r="I8799" s="6" t="n">
        <f aca="false">(Sens!C8797*IF(6&lt;life_it,1,IF(6=life_it,0.5,0))+Sens!D8797*IF(5&lt;life_it,1,IF(5=life_it,0.5,0))+Sens!E8797*IF(4&lt;life_it,1,IF(4=life_it,0.5,0))+Sens!F8797*IF(3&lt;life_it,1,IF(3=life_it,0.5,0))+Sens!G8797*IF(2&lt;life_it,1,IF(2=life_it,0.5,0))+Sens!H8797*IF(1&lt;life_it,1,IF(1=life_it,0.5,0))+Sens!I8797*0.5)/life_it</f>
        <v>103.654881739393</v>
      </c>
      <c r="J8799" s="6" t="n">
        <f aca="false">(Sens!C8797*IF(7&lt;life_it,1,IF(7=life_it,0.5,0))+Sens!D8797*IF(6&lt;life_it,1,IF(6=life_it,0.5,0))+Sens!E8797*IF(5&lt;life_it,1,IF(5=life_it,0.5,0))+Sens!F8797*IF(4&lt;life_it,1,IF(4=life_it,0.5,0))+Sens!G8797*IF(3&lt;life_it,1,IF(3=life_it,0.5,0))+Sens!H8797*IF(2&lt;life_it,1,IF(2=life_it,0.5,0))+Sens!I8797*IF(1&lt;life_it,1,IF(1=life_it,0.5,0))+Sens!J8797*0.5)/life_it</f>
        <v>120.132683490983</v>
      </c>
      <c r="K8799" s="6" t="n">
        <f aca="false">(Sens!C8797*IF(8&lt;life_it,1,IF(8=life_it,0.5,0))+Sens!D8797*IF(7&lt;life_it,1,IF(7=life_it,0.5,0))+Sens!E8797*IF(6&lt;life_it,1,IF(6=life_it,0.5,0))+Sens!F8797*IF(5&lt;life_it,1,IF(5=life_it,0.5,0))+Sens!G8797*IF(4&lt;life_it,1,IF(4=life_it,0.5,0))+Sens!H8797*IF(3&lt;life_it,1,IF(3=life_it,0.5,0))+Sens!I8797*IF(2&lt;life_it,1,IF(2=life_it,0.5,0))+Sens!J8797*IF(1&lt;life_it,1,IF(1=life_it,0.5,0))+Sens!K8797*0.5)/life_it</f>
        <v>130.788646309522</v>
      </c>
    </row>
    <row r="8800" customFormat="false" ht="17.15" hidden="false" customHeight="false" outlineLevel="0" collapsed="false">
      <c r="A8800" s="0" t="s">
        <v>853</v>
      </c>
      <c r="B8800" s="0" t="s">
        <v>98</v>
      </c>
      <c r="E8800" s="6" t="n">
        <f aca="false">(Sens!C8795*IF(2&lt;life_fac,1,IF(2=life_fac,0.5,0))+Sens!D8795*IF(1&lt;life_fac,1,IF(1=life_fac,0.5,0))+Sens!E8795*0.5)/life_fac</f>
        <v>1.2448275</v>
      </c>
      <c r="F8800" s="6" t="n">
        <f aca="false">(Sens!C8795*IF(3&lt;life_fac,1,IF(3=life_fac,0.5,0))+Sens!D8795*IF(2&lt;life_fac,1,IF(2=life_fac,0.5,0))+Sens!E8795*IF(1&lt;life_fac,1,IF(1=life_fac,0.5,0))+Sens!F8795*0.5)/life_fac</f>
        <v>2.4456901</v>
      </c>
      <c r="G8800" s="6" t="n">
        <f aca="false">(Sens!C8795*IF(4&lt;life_fac,1,IF(4=life_fac,0.5,0))+Sens!D8795*IF(3&lt;life_fac,1,IF(3=life_fac,0.5,0))+Sens!E8795*IF(2&lt;life_fac,1,IF(2=life_fac,0.5,0))+Sens!F8795*IF(1&lt;life_fac,1,IF(1=life_fac,0.5,0))+Sens!G8795*0.5)/life_fac</f>
        <v>3.9814208</v>
      </c>
      <c r="H8800" s="6" t="n">
        <f aca="false">(Sens!C8795*IF(5&lt;life_fac,1,IF(5=life_fac,0.5,0))+Sens!D8795*IF(4&lt;life_fac,1,IF(4=life_fac,0.5,0))+Sens!E8795*IF(3&lt;life_fac,1,IF(3=life_fac,0.5,0))+Sens!F8795*IF(2&lt;life_fac,1,IF(2=life_fac,0.5,0))+Sens!G8795*IF(1&lt;life_fac,1,IF(1=life_fac,0.5,0))+Sens!H8795*0.5)/life_fac</f>
        <v>5.582402</v>
      </c>
      <c r="I8800" s="6" t="n">
        <f aca="false">(Sens!C8795*IF(6&lt;life_fac,1,IF(6=life_fac,0.5,0))+Sens!D8795*IF(5&lt;life_fac,1,IF(5=life_fac,0.5,0))+Sens!E8795*IF(4&lt;life_fac,1,IF(4=life_fac,0.5,0))+Sens!F8795*IF(3&lt;life_fac,1,IF(3=life_fac,0.5,0))+Sens!G8795*IF(2&lt;life_fac,1,IF(2=life_fac,0.5,0))+Sens!H8795*IF(1&lt;life_fac,1,IF(1=life_fac,0.5,0))+Sens!I8795*0.5)/life_fac</f>
        <v>6.950862093</v>
      </c>
      <c r="J8800" s="6" t="n">
        <f aca="false">(Sens!C8795*IF(7&lt;life_fac,1,IF(7=life_fac,0.5,0))+Sens!D8795*IF(6&lt;life_fac,1,IF(6=life_fac,0.5,0))+Sens!E8795*IF(5&lt;life_fac,1,IF(5=life_fac,0.5,0))+Sens!F8795*IF(4&lt;life_fac,1,IF(4=life_fac,0.5,0))+Sens!G8795*IF(3&lt;life_fac,1,IF(3=life_fac,0.5,0))+Sens!H8795*IF(2&lt;life_fac,1,IF(2=life_fac,0.5,0))+Sens!I8795*IF(1&lt;life_fac,1,IF(1=life_fac,0.5,0))+Sens!J8795*0.5)/life_fac</f>
        <v>7.86563936186</v>
      </c>
      <c r="K8800" s="6" t="n">
        <f aca="false">(Sens!C8795*IF(8&lt;life_fac,1,IF(8=life_fac,0.5,0))+Sens!D8795*IF(7&lt;life_fac,1,IF(7=life_fac,0.5,0))+Sens!E8795*IF(6&lt;life_fac,1,IF(6=life_fac,0.5,0))+Sens!F8795*IF(5&lt;life_fac,1,IF(5=life_fac,0.5,0))+Sens!G8795*IF(4&lt;life_fac,1,IF(4=life_fac,0.5,0))+Sens!H8795*IF(3&lt;life_fac,1,IF(3=life_fac,0.5,0))+Sens!I8795*IF(2&lt;life_fac,1,IF(2=life_fac,0.5,0))+Sens!J8795*IF(1&lt;life_fac,1,IF(1=life_fac,0.5,0))+Sens!K8795*0.5)/life_fac</f>
        <v>8.3428177347858</v>
      </c>
    </row>
    <row r="8801" customFormat="false" ht="17.15" hidden="false" customHeight="false" outlineLevel="0" collapsed="false">
      <c r="A8801" s="0" t="s">
        <v>854</v>
      </c>
      <c r="B8801" s="0" t="s">
        <v>98</v>
      </c>
      <c r="E8801" s="6" t="n">
        <f aca="false">Sens!E8799+Sens!E8800</f>
        <v>16.3054059770833</v>
      </c>
      <c r="F8801" s="6" t="n">
        <f aca="false">Sens!F8799+Sens!F8800</f>
        <v>34.0498873809555</v>
      </c>
      <c r="G8801" s="6" t="n">
        <f aca="false">Sens!G8799+Sens!G8800</f>
        <v>59.1254371105111</v>
      </c>
      <c r="H8801" s="6" t="n">
        <f aca="false">Sens!H8799+Sens!H8800</f>
        <v>86.3610198433111</v>
      </c>
      <c r="I8801" s="6" t="n">
        <f aca="false">Sens!I8799+Sens!I8800</f>
        <v>110.605743832393</v>
      </c>
      <c r="J8801" s="6" t="n">
        <f aca="false">Sens!J8799+Sens!J8800</f>
        <v>127.998322852843</v>
      </c>
      <c r="K8801" s="6" t="n">
        <f aca="false">Sens!K8799+Sens!K8800</f>
        <v>139.131464044308</v>
      </c>
    </row>
    <row r="8802" customFormat="false" ht="17.15" hidden="false" customHeight="false" outlineLevel="0" collapsed="false">
      <c r="A8802" s="0" t="s">
        <v>855</v>
      </c>
      <c r="B8802" s="0" t="s">
        <v>98</v>
      </c>
      <c r="E8802" s="6" t="n">
        <f aca="false">Sens!E8790-Sens!E8789*Sens!E8801</f>
        <v>8.92707889977379</v>
      </c>
      <c r="F8802" s="6" t="n">
        <f aca="false">Sens!F8790-Sens!F8789*Sens!F8801</f>
        <v>22.6979209761638</v>
      </c>
      <c r="G8802" s="6" t="n">
        <f aca="false">Sens!G8790-Sens!G8789*Sens!G8801</f>
        <v>42.9960401135986</v>
      </c>
      <c r="H8802" s="6" t="n">
        <f aca="false">Sens!H8790-Sens!H8789*Sens!H8801</f>
        <v>68.3530123552322</v>
      </c>
      <c r="I8802" s="6" t="n">
        <f aca="false">Sens!I8790-Sens!I8789*Sens!I8801</f>
        <v>85.5693875361303</v>
      </c>
      <c r="J8802" s="6" t="n">
        <f aca="false">Sens!J8790-Sens!J8789*Sens!J8801</f>
        <v>97.6813621174372</v>
      </c>
      <c r="K8802" s="6" t="n">
        <f aca="false">Sens!K8790-Sens!K8789*Sens!K8801</f>
        <v>106.099477202773</v>
      </c>
    </row>
    <row r="8803" customFormat="false" ht="17.15" hidden="false" customHeight="false" outlineLevel="0" collapsed="false">
      <c r="A8803" s="3" t="s">
        <v>1488</v>
      </c>
    </row>
    <row r="8804" customFormat="false" ht="15" hidden="false" customHeight="false" outlineLevel="0" collapsed="false">
      <c r="A8804" s="4" t="s">
        <v>43</v>
      </c>
      <c r="B8804" s="4" t="s">
        <v>65</v>
      </c>
      <c r="C8804" s="20" t="s">
        <v>799</v>
      </c>
      <c r="D8804" s="20" t="s">
        <v>800</v>
      </c>
      <c r="E8804" s="20" t="s">
        <v>801</v>
      </c>
      <c r="F8804" s="20" t="s">
        <v>802</v>
      </c>
      <c r="G8804" s="20" t="s">
        <v>803</v>
      </c>
      <c r="H8804" s="20" t="s">
        <v>804</v>
      </c>
      <c r="I8804" s="20" t="s">
        <v>805</v>
      </c>
      <c r="J8804" s="20" t="s">
        <v>806</v>
      </c>
      <c r="K8804" s="20" t="s">
        <v>807</v>
      </c>
      <c r="L8804" s="4" t="s">
        <v>47</v>
      </c>
    </row>
    <row r="8805" customFormat="false" ht="17.15" hidden="false" customHeight="false" outlineLevel="0" collapsed="false">
      <c r="A8805" s="0" t="s">
        <v>874</v>
      </c>
      <c r="B8805" s="0" t="s">
        <v>98</v>
      </c>
      <c r="D8805" s="6" t="n">
        <f aca="false">Sens!D8784</f>
        <v>12.9359794422418</v>
      </c>
      <c r="E8805" s="6" t="n">
        <f aca="false">Sens!E8784</f>
        <v>27.8095064661409</v>
      </c>
      <c r="F8805" s="6" t="n">
        <f aca="false">Sens!F8784</f>
        <v>58.7324192305018</v>
      </c>
      <c r="G8805" s="6" t="n">
        <f aca="false">Sens!G8784</f>
        <v>101.369089141153</v>
      </c>
      <c r="H8805" s="6" t="n">
        <f aca="false">Sens!H8784</f>
        <v>149.785610014234</v>
      </c>
      <c r="I8805" s="6" t="n">
        <f aca="false">Sens!I8784</f>
        <v>187.368703083263</v>
      </c>
      <c r="J8805" s="6" t="n">
        <f aca="false">Sens!J8784</f>
        <v>213.886657444854</v>
      </c>
      <c r="K8805" s="6" t="n">
        <f aca="false">Sens!K8784</f>
        <v>231.253475259589</v>
      </c>
    </row>
    <row r="8806" customFormat="false" ht="17.15" hidden="false" customHeight="false" outlineLevel="0" collapsed="false">
      <c r="A8806" s="0" t="s">
        <v>875</v>
      </c>
      <c r="B8806" s="0" t="s">
        <v>98</v>
      </c>
      <c r="D8806" s="6" t="n">
        <f aca="false">Q!L6-Sens!D8805</f>
        <v>59.6740205577583</v>
      </c>
      <c r="E8806" s="6" t="n">
        <f aca="false">Q!M6-Sens!E8805</f>
        <v>74.1284935338591</v>
      </c>
      <c r="F8806" s="6" t="n">
        <f aca="false">Sens!E8806*(1+Sens!F8807)</f>
        <v>90.0799497373663</v>
      </c>
      <c r="G8806" s="6" t="n">
        <f aca="false">Sens!F8806*(1+Sens!G8807)</f>
        <v>107.02842520331</v>
      </c>
      <c r="H8806" s="6" t="n">
        <f aca="false">Sens!G8806*(1+Sens!H8807)</f>
        <v>124.271982585636</v>
      </c>
      <c r="I8806" s="6" t="n">
        <f aca="false">Sens!H8806*(1+Sens!I8807)</f>
        <v>140.933702381855</v>
      </c>
      <c r="J8806" s="6" t="n">
        <f aca="false">Sens!I8806*(1+Sens!J8807)</f>
        <v>156.018867314332</v>
      </c>
      <c r="K8806" s="6" t="n">
        <f aca="false">Sens!J8806*(1+Sens!K8807)</f>
        <v>168.500376699478</v>
      </c>
    </row>
    <row r="8807" customFormat="false" ht="15" hidden="false" customHeight="false" outlineLevel="0" collapsed="false">
      <c r="A8807" s="1" t="s">
        <v>876</v>
      </c>
      <c r="B8807" s="0" t="s">
        <v>129</v>
      </c>
      <c r="E8807" s="7" t="n">
        <f aca="false">Sens!E8806/Sens!D8806-1</f>
        <v>0.242223883039864</v>
      </c>
      <c r="F8807" s="7" t="n">
        <f aca="false">Sens!$E$8807+(glt_azo-Sens!$E$8807)*MIN(1,(Sens!F8767-base_fy)/n_conv)</f>
        <v>0.215186569199887</v>
      </c>
      <c r="G8807" s="7" t="n">
        <f aca="false">Sens!$E$8807+(glt_azo-Sens!$E$8807)*MIN(1,(Sens!G8767-base_fy)/n_conv)</f>
        <v>0.18814925535991</v>
      </c>
      <c r="H8807" s="7" t="n">
        <f aca="false">Sens!$E$8807+(glt_azo-Sens!$E$8807)*MIN(1,(Sens!H8767-base_fy)/n_conv)</f>
        <v>0.161111941519932</v>
      </c>
      <c r="I8807" s="7" t="n">
        <f aca="false">Sens!$E$8807+(glt_azo-Sens!$E$8807)*MIN(1,(Sens!I8767-base_fy)/n_conv)</f>
        <v>0.134074627679955</v>
      </c>
      <c r="J8807" s="7" t="n">
        <f aca="false">Sens!$E$8807+(glt_azo-Sens!$E$8807)*MIN(1,(Sens!J8767-base_fy)/n_conv)</f>
        <v>0.107037313839977</v>
      </c>
      <c r="K8807" s="7" t="n">
        <f aca="false">Sens!$E$8807+(glt_azo-Sens!$E$8807)*MIN(1,(Sens!K8767-base_fy)/n_conv)</f>
        <v>0.08</v>
      </c>
    </row>
    <row r="8808" customFormat="false" ht="15" hidden="false" customHeight="false" outlineLevel="0" collapsed="false">
      <c r="A8808" s="0" t="s">
        <v>877</v>
      </c>
      <c r="B8808" s="0" t="s">
        <v>98</v>
      </c>
      <c r="D8808" s="6" t="n">
        <f aca="false">Sens!D8805+Sens!D8806</f>
        <v>72.61</v>
      </c>
      <c r="E8808" s="6" t="n">
        <f aca="false">Sens!E8805+Sens!E8806</f>
        <v>101.938</v>
      </c>
      <c r="F8808" s="6" t="n">
        <f aca="false">Sens!F8805+Sens!F8806</f>
        <v>148.812368967868</v>
      </c>
      <c r="G8808" s="6" t="n">
        <f aca="false">Sens!G8805+Sens!G8806</f>
        <v>208.397514344463</v>
      </c>
      <c r="H8808" s="6" t="n">
        <f aca="false">Sens!H8805+Sens!H8806</f>
        <v>274.05759259987</v>
      </c>
      <c r="I8808" s="6" t="n">
        <f aca="false">Sens!I8805+Sens!I8806</f>
        <v>328.302405465117</v>
      </c>
      <c r="J8808" s="6" t="n">
        <f aca="false">Sens!J8805+Sens!J8806</f>
        <v>369.905524759186</v>
      </c>
      <c r="K8808" s="6" t="n">
        <f aca="false">Sens!K8805+Sens!K8806</f>
        <v>399.753851959067</v>
      </c>
    </row>
    <row r="8809" customFormat="false" ht="17.15" hidden="false" customHeight="false" outlineLevel="0" collapsed="false">
      <c r="A8809" s="0" t="s">
        <v>878</v>
      </c>
      <c r="B8809" s="1" t="s">
        <v>528</v>
      </c>
      <c r="C8809" s="29" t="n">
        <f aca="false">cop_s24</f>
        <v>1</v>
      </c>
      <c r="D8809" s="29" t="n">
        <f aca="false">cop_s25</f>
        <v>5</v>
      </c>
      <c r="E8809" s="29" t="n">
        <f aca="false">cop_s26</f>
        <v>30</v>
      </c>
      <c r="F8809" s="29" t="n">
        <f aca="false">Sens!E8809+cop_add_A</f>
        <v>60</v>
      </c>
      <c r="G8809" s="29" t="n">
        <f aca="false">Sens!F8809+cop_add_A</f>
        <v>90</v>
      </c>
      <c r="H8809" s="29" t="n">
        <f aca="false">Sens!G8809+cop_add_A</f>
        <v>120</v>
      </c>
      <c r="I8809" s="29" t="n">
        <f aca="false">Sens!H8809+cop_add_A*cop_tail</f>
        <v>135</v>
      </c>
      <c r="J8809" s="29" t="n">
        <f aca="false">Sens!I8809+cop_add_A*cop_tail</f>
        <v>150</v>
      </c>
      <c r="K8809" s="29" t="n">
        <f aca="false">Sens!J8809+cop_add_A*cop_tail</f>
        <v>165</v>
      </c>
      <c r="L8809" s="11" t="s">
        <v>879</v>
      </c>
    </row>
    <row r="8810" customFormat="false" ht="17.15" hidden="false" customHeight="false" outlineLevel="0" collapsed="false">
      <c r="A8810" s="0" t="s">
        <v>880</v>
      </c>
      <c r="B8810" s="0" t="s">
        <v>98</v>
      </c>
      <c r="D8810" s="6" t="n">
        <f aca="false">(Sens!C8809+Sens!D8809)/2*cop_px*12/1000</f>
        <v>0.9</v>
      </c>
      <c r="E8810" s="6" t="n">
        <f aca="false">(Sens!D8809+Sens!E8809)/2*cop_px*12/1000</f>
        <v>5.25</v>
      </c>
      <c r="F8810" s="6" t="n">
        <f aca="false">(Sens!E8809+Sens!F8809)/2*cop_px*12/1000</f>
        <v>13.5</v>
      </c>
      <c r="G8810" s="6" t="n">
        <f aca="false">(Sens!F8809+Sens!G8809)/2*cop_px*12/1000</f>
        <v>22.5</v>
      </c>
      <c r="H8810" s="6" t="n">
        <f aca="false">(Sens!G8809+Sens!H8809)/2*cop_px*12/1000</f>
        <v>31.5</v>
      </c>
      <c r="I8810" s="6" t="n">
        <f aca="false">(Sens!H8809+Sens!I8809)/2*cop_px*12/1000</f>
        <v>38.25</v>
      </c>
      <c r="J8810" s="6" t="n">
        <f aca="false">(Sens!I8809+Sens!J8809)/2*cop_px*12/1000</f>
        <v>42.75</v>
      </c>
      <c r="K8810" s="6" t="n">
        <f aca="false">(Sens!J8809+Sens!K8809)/2*cop_px*12/1000</f>
        <v>47.25</v>
      </c>
      <c r="L8810" s="1" t="s">
        <v>881</v>
      </c>
    </row>
    <row r="8811" customFormat="false" ht="17.15" hidden="false" customHeight="false" outlineLevel="0" collapsed="false">
      <c r="A8811" s="0" t="s">
        <v>882</v>
      </c>
      <c r="B8811" s="0" t="s">
        <v>98</v>
      </c>
      <c r="D8811" s="6" t="n">
        <f aca="false">Q!L7-Sens!D8810</f>
        <v>83.705</v>
      </c>
      <c r="E8811" s="6" t="n">
        <f aca="false">Q!M7-Sens!E8810</f>
        <v>95.049</v>
      </c>
      <c r="F8811" s="6" t="n">
        <f aca="false">Sens!E8811*(1+Sens!F8812)</f>
        <v>106.89238776686</v>
      </c>
      <c r="G8811" s="6" t="n">
        <f aca="false">Sens!F8811*(1+Sens!G8812)</f>
        <v>119.044168448684</v>
      </c>
      <c r="H8811" s="6" t="n">
        <f aca="false">Sens!G8811*(1+Sens!H8812)</f>
        <v>131.277359388781</v>
      </c>
      <c r="I8811" s="6" t="n">
        <f aca="false">Sens!H8811*(1+Sens!I8812)</f>
        <v>143.334028071957</v>
      </c>
      <c r="J8811" s="6" t="n">
        <f aca="false">Sens!I8811*(1+Sens!J8812)</f>
        <v>154.932702785465</v>
      </c>
      <c r="K8811" s="6" t="n">
        <f aca="false">Sens!J8811*(1+Sens!K8812)</f>
        <v>165.777991980448</v>
      </c>
    </row>
    <row r="8812" customFormat="false" ht="15" hidden="false" customHeight="false" outlineLevel="0" collapsed="false">
      <c r="A8812" s="1" t="s">
        <v>876</v>
      </c>
      <c r="B8812" s="0" t="s">
        <v>129</v>
      </c>
      <c r="E8812" s="7" t="n">
        <f aca="false">Sens!E8811/Sens!D8811-1</f>
        <v>0.135523564900544</v>
      </c>
      <c r="F8812" s="7" t="n">
        <f aca="false">Sens!$E$8812+(glt_m365b-Sens!$E$8812)*MIN(1,(Sens!F8767-base_fy)/n_conv)</f>
        <v>0.124602970750453</v>
      </c>
      <c r="G8812" s="7" t="n">
        <f aca="false">Sens!$E$8812+(glt_m365b-Sens!$E$8812)*MIN(1,(Sens!G8767-base_fy)/n_conv)</f>
        <v>0.113682376600363</v>
      </c>
      <c r="H8812" s="7" t="n">
        <f aca="false">Sens!$E$8812+(glt_m365b-Sens!$E$8812)*MIN(1,(Sens!H8767-base_fy)/n_conv)</f>
        <v>0.102761782450272</v>
      </c>
      <c r="I8812" s="7" t="n">
        <f aca="false">Sens!$E$8812+(glt_m365b-Sens!$E$8812)*MIN(1,(Sens!I8767-base_fy)/n_conv)</f>
        <v>0.0918411883001813</v>
      </c>
      <c r="J8812" s="7" t="n">
        <f aca="false">Sens!$E$8812+(glt_m365b-Sens!$E$8812)*MIN(1,(Sens!J8767-base_fy)/n_conv)</f>
        <v>0.0809205941500906</v>
      </c>
      <c r="K8812" s="7" t="n">
        <f aca="false">Sens!$E$8812+(glt_m365b-Sens!$E$8812)*MIN(1,(Sens!K8767-base_fy)/n_conv)</f>
        <v>0.07</v>
      </c>
    </row>
    <row r="8813" customFormat="false" ht="15" hidden="false" customHeight="false" outlineLevel="0" collapsed="false">
      <c r="A8813" s="0" t="s">
        <v>883</v>
      </c>
      <c r="B8813" s="0" t="s">
        <v>98</v>
      </c>
      <c r="D8813" s="6" t="n">
        <f aca="false">Sens!D8811+Sens!D8810</f>
        <v>84.605</v>
      </c>
      <c r="E8813" s="6" t="n">
        <f aca="false">Sens!E8811+Sens!E8810</f>
        <v>100.299</v>
      </c>
      <c r="F8813" s="6" t="n">
        <f aca="false">Sens!F8811+Sens!F8810</f>
        <v>120.39238776686</v>
      </c>
      <c r="G8813" s="6" t="n">
        <f aca="false">Sens!G8811+Sens!G8810</f>
        <v>141.544168448684</v>
      </c>
      <c r="H8813" s="6" t="n">
        <f aca="false">Sens!H8811+Sens!H8810</f>
        <v>162.777359388781</v>
      </c>
      <c r="I8813" s="6" t="n">
        <f aca="false">Sens!I8811+Sens!I8810</f>
        <v>181.584028071957</v>
      </c>
      <c r="J8813" s="6" t="n">
        <f aca="false">Sens!J8811+Sens!J8810</f>
        <v>197.682702785465</v>
      </c>
      <c r="K8813" s="6" t="n">
        <f aca="false">Sens!K8811+Sens!K8810</f>
        <v>213.027991980448</v>
      </c>
    </row>
    <row r="8814" customFormat="false" ht="15" hidden="false" customHeight="false" outlineLevel="0" collapsed="false">
      <c r="A8814" s="0" t="s">
        <v>884</v>
      </c>
      <c r="B8814" s="0" t="s">
        <v>98</v>
      </c>
      <c r="D8814" s="6" t="n">
        <f aca="false">Q!L8</f>
        <v>35.391</v>
      </c>
      <c r="E8814" s="6" t="n">
        <f aca="false">Q!M8</f>
        <v>37.285</v>
      </c>
      <c r="F8814" s="6" t="n">
        <f aca="false">Sens!E8814*(1+Sens!F8815)</f>
        <v>39.0720834331704</v>
      </c>
      <c r="G8814" s="6" t="n">
        <f aca="false">Sens!F8814*(1+Sens!G8815)</f>
        <v>40.726562953769</v>
      </c>
      <c r="H8814" s="6" t="n">
        <f aca="false">Sens!G8814*(1+Sens!H8815)</f>
        <v>42.2235987259198</v>
      </c>
      <c r="I8814" s="6" t="n">
        <f aca="false">Sens!H8814*(1+Sens!I8815)</f>
        <v>43.5397988077414</v>
      </c>
      <c r="J8814" s="6" t="n">
        <f aca="false">Sens!I8814*(1+Sens!J8815)</f>
        <v>44.653811225693</v>
      </c>
      <c r="K8814" s="6" t="n">
        <f aca="false">Sens!J8814*(1+Sens!K8815)</f>
        <v>45.5468874502068</v>
      </c>
    </row>
    <row r="8815" customFormat="false" ht="15" hidden="false" customHeight="false" outlineLevel="0" collapsed="false">
      <c r="A8815" s="1" t="s">
        <v>876</v>
      </c>
      <c r="B8815" s="0" t="s">
        <v>129</v>
      </c>
      <c r="E8815" s="7" t="n">
        <f aca="false">Sens!E8814/Sens!D8814-1</f>
        <v>0.0535164307309768</v>
      </c>
      <c r="F8815" s="7" t="n">
        <f aca="false">Sens!$E$8815+(glt_lic-Sens!$E$8815)*MIN(1,(Sens!F8767-base_fy)/n_conv)</f>
        <v>0.0479303589424807</v>
      </c>
      <c r="G8815" s="7" t="n">
        <f aca="false">Sens!$E$8815+(glt_lic-Sens!$E$8815)*MIN(1,(Sens!G8767-base_fy)/n_conv)</f>
        <v>0.0423442871539845</v>
      </c>
      <c r="H8815" s="7" t="n">
        <f aca="false">Sens!$E$8815+(glt_lic-Sens!$E$8815)*MIN(1,(Sens!H8767-base_fy)/n_conv)</f>
        <v>0.0367582153654884</v>
      </c>
      <c r="I8815" s="7" t="n">
        <f aca="false">Sens!$E$8815+(glt_lic-Sens!$E$8815)*MIN(1,(Sens!I8767-base_fy)/n_conv)</f>
        <v>0.0311721435769923</v>
      </c>
      <c r="J8815" s="7" t="n">
        <f aca="false">Sens!$E$8815+(glt_lic-Sens!$E$8815)*MIN(1,(Sens!J8767-base_fy)/n_conv)</f>
        <v>0.0255860717884961</v>
      </c>
      <c r="K8815" s="7" t="n">
        <f aca="false">Sens!$E$8815+(glt_lic-Sens!$E$8815)*MIN(1,(Sens!K8767-base_fy)/n_conv)</f>
        <v>0.02</v>
      </c>
    </row>
    <row r="8816" customFormat="false" ht="15" hidden="false" customHeight="false" outlineLevel="0" collapsed="false">
      <c r="A8816" s="0" t="s">
        <v>885</v>
      </c>
      <c r="B8816" s="0" t="s">
        <v>98</v>
      </c>
      <c r="D8816" s="6" t="n">
        <f aca="false">Q!L9</f>
        <v>18.417</v>
      </c>
      <c r="E8816" s="6" t="n">
        <f aca="false">Q!M9</f>
        <v>20.345</v>
      </c>
      <c r="F8816" s="6" t="n">
        <f aca="false">Sens!E8816*(1+Sens!F8817)</f>
        <v>22.3572203267814</v>
      </c>
      <c r="G8816" s="6" t="n">
        <f aca="false">Sens!F8816*(1+Sens!G8817)</f>
        <v>24.4392124437232</v>
      </c>
      <c r="H8816" s="6" t="n">
        <f aca="false">Sens!G8816*(1+Sens!H8817)</f>
        <v>26.5738052080665</v>
      </c>
      <c r="I8816" s="6" t="n">
        <f aca="false">Sens!H8816*(1+Sens!I8817)</f>
        <v>28.7412169166967</v>
      </c>
      <c r="J8816" s="6" t="n">
        <f aca="false">Sens!I8816*(1+Sens!J8817)</f>
        <v>30.9192545395413</v>
      </c>
      <c r="K8816" s="6" t="n">
        <f aca="false">Sens!J8816*(1+Sens!K8817)</f>
        <v>33.0836023573092</v>
      </c>
    </row>
    <row r="8817" customFormat="false" ht="15" hidden="false" customHeight="false" outlineLevel="0" collapsed="false">
      <c r="A8817" s="1" t="s">
        <v>876</v>
      </c>
      <c r="B8817" s="0" t="s">
        <v>129</v>
      </c>
      <c r="E8817" s="7" t="n">
        <f aca="false">Sens!E8816/Sens!D8816-1</f>
        <v>0.104685888038225</v>
      </c>
      <c r="F8817" s="7" t="n">
        <f aca="false">Sens!$E$8817+(glt_ind-Sens!$E$8817)*MIN(1,(Sens!F8767-base_fy)/n_conv)</f>
        <v>0.0989049066985211</v>
      </c>
      <c r="G8817" s="7" t="n">
        <f aca="false">Sens!$E$8817+(glt_ind-Sens!$E$8817)*MIN(1,(Sens!G8767-base_fy)/n_conv)</f>
        <v>0.0931239253588169</v>
      </c>
      <c r="H8817" s="7" t="n">
        <f aca="false">Sens!$E$8817+(glt_ind-Sens!$E$8817)*MIN(1,(Sens!H8767-base_fy)/n_conv)</f>
        <v>0.0873429440191127</v>
      </c>
      <c r="I8817" s="7" t="n">
        <f aca="false">Sens!$E$8817+(glt_ind-Sens!$E$8817)*MIN(1,(Sens!I8767-base_fy)/n_conv)</f>
        <v>0.0815619626794085</v>
      </c>
      <c r="J8817" s="7" t="n">
        <f aca="false">Sens!$E$8817+(glt_ind-Sens!$E$8817)*MIN(1,(Sens!J8767-base_fy)/n_conv)</f>
        <v>0.0757809813397042</v>
      </c>
      <c r="K8817" s="7" t="n">
        <f aca="false">Sens!$E$8817+(glt_ind-Sens!$E$8817)*MIN(1,(Sens!K8767-base_fy)/n_conv)</f>
        <v>0.07</v>
      </c>
    </row>
    <row r="8818" customFormat="false" ht="15" hidden="false" customHeight="false" outlineLevel="0" collapsed="false">
      <c r="A8818" s="0" t="s">
        <v>886</v>
      </c>
      <c r="B8818" s="0" t="s">
        <v>98</v>
      </c>
      <c r="D8818" s="6" t="n">
        <f aca="false">Q!L10</f>
        <v>7.76</v>
      </c>
      <c r="E8818" s="6" t="n">
        <f aca="false">Q!M10</f>
        <v>8.26</v>
      </c>
      <c r="F8818" s="6" t="n">
        <f aca="false">Sens!E8818*(1+Sens!F8819)</f>
        <v>8.79988041237113</v>
      </c>
      <c r="G8818" s="6" t="n">
        <f aca="false">Sens!F8818*(1+Sens!G8819)</f>
        <v>9.38321269125306</v>
      </c>
      <c r="H8818" s="6" t="n">
        <f aca="false">Sens!G8818*(1+Sens!H8819)</f>
        <v>10.0139193587476</v>
      </c>
      <c r="I8818" s="6" t="n">
        <f aca="false">Sens!H8818*(1+Sens!I8819)</f>
        <v>10.6963111830911</v>
      </c>
      <c r="J8818" s="6" t="n">
        <f aca="false">Sens!I8818*(1+Sens!J8819)</f>
        <v>11.4351285534696</v>
      </c>
      <c r="K8818" s="6" t="n">
        <f aca="false">Sens!J8818*(1+Sens!K8819)</f>
        <v>12.2355875522124</v>
      </c>
    </row>
    <row r="8819" customFormat="false" ht="15" hidden="false" customHeight="false" outlineLevel="0" collapsed="false">
      <c r="A8819" s="1" t="s">
        <v>876</v>
      </c>
      <c r="B8819" s="0" t="s">
        <v>129</v>
      </c>
      <c r="E8819" s="7" t="n">
        <f aca="false">Sens!E8818/Sens!D8818-1</f>
        <v>0.0644329896907216</v>
      </c>
      <c r="F8819" s="7" t="n">
        <f aca="false">Sens!$E$8819+(glt_fro-Sens!$E$8819)*MIN(1,(Sens!F8767-base_fy)/n_conv)</f>
        <v>0.065360824742268</v>
      </c>
      <c r="G8819" s="7" t="n">
        <f aca="false">Sens!$E$8819+(glt_fro-Sens!$E$8819)*MIN(1,(Sens!G8767-base_fy)/n_conv)</f>
        <v>0.0662886597938144</v>
      </c>
      <c r="H8819" s="7" t="n">
        <f aca="false">Sens!$E$8819+(glt_fro-Sens!$E$8819)*MIN(1,(Sens!H8767-base_fy)/n_conv)</f>
        <v>0.0672164948453608</v>
      </c>
      <c r="I8819" s="7" t="n">
        <f aca="false">Sens!$E$8819+(glt_fro-Sens!$E$8819)*MIN(1,(Sens!I8767-base_fy)/n_conv)</f>
        <v>0.0681443298969072</v>
      </c>
      <c r="J8819" s="7" t="n">
        <f aca="false">Sens!$E$8819+(glt_fro-Sens!$E$8819)*MIN(1,(Sens!J8767-base_fy)/n_conv)</f>
        <v>0.0690721649484536</v>
      </c>
      <c r="K8819" s="7" t="n">
        <f aca="false">Sens!$E$8819+(glt_fro-Sens!$E$8819)*MIN(1,(Sens!K8767-base_fy)/n_conv)</f>
        <v>0.07</v>
      </c>
    </row>
    <row r="8820" customFormat="false" ht="15" hidden="false" customHeight="false" outlineLevel="0" collapsed="false">
      <c r="A8820" s="0" t="s">
        <v>715</v>
      </c>
      <c r="B8820" s="0" t="s">
        <v>98</v>
      </c>
      <c r="D8820" s="6" t="n">
        <f aca="false">Sens!D8808+Sens!D8813+Sens!D8814+Sens!D8816+Sens!D8818</f>
        <v>218.783</v>
      </c>
      <c r="E8820" s="6" t="n">
        <f aca="false">Sens!E8808+Sens!E8813+Sens!E8814+Sens!E8816+Sens!E8818</f>
        <v>268.127</v>
      </c>
      <c r="F8820" s="6" t="n">
        <f aca="false">Sens!F8808+Sens!F8813+Sens!F8814+Sens!F8816+Sens!F8818</f>
        <v>339.433940907051</v>
      </c>
      <c r="G8820" s="6" t="n">
        <f aca="false">Sens!G8808+Sens!G8813+Sens!G8814+Sens!G8816+Sens!G8818</f>
        <v>424.490670881892</v>
      </c>
      <c r="H8820" s="6" t="n">
        <f aca="false">Sens!H8808+Sens!H8813+Sens!H8814+Sens!H8816+Sens!H8818</f>
        <v>515.646275281385</v>
      </c>
      <c r="I8820" s="6" t="n">
        <f aca="false">Sens!I8808+Sens!I8813+Sens!I8814+Sens!I8816+Sens!I8818</f>
        <v>592.863760444604</v>
      </c>
      <c r="J8820" s="6" t="n">
        <f aca="false">Sens!J8808+Sens!J8813+Sens!J8814+Sens!J8816+Sens!J8818</f>
        <v>654.596421863355</v>
      </c>
      <c r="K8820" s="6" t="n">
        <f aca="false">Sens!K8808+Sens!K8813+Sens!K8814+Sens!K8816+Sens!K8818</f>
        <v>703.647921299244</v>
      </c>
    </row>
    <row r="8821" customFormat="false" ht="15" hidden="false" customHeight="false" outlineLevel="0" collapsed="false">
      <c r="A8821" s="0" t="s">
        <v>887</v>
      </c>
      <c r="B8821" s="0" t="s">
        <v>98</v>
      </c>
      <c r="D8821" s="6" t="n">
        <f aca="false">Q!L13</f>
        <v>22.171</v>
      </c>
      <c r="E8821" s="6" t="n">
        <f aca="false">Q!M13</f>
        <v>24.835</v>
      </c>
      <c r="F8821" s="6" t="n">
        <f aca="false">Sens!E8821*(1+Sens!F8822)</f>
        <v>27.4873151218559</v>
      </c>
      <c r="G8821" s="6" t="n">
        <f aca="false">Sens!F8821*(1+Sens!G8822)</f>
        <v>30.0556741721455</v>
      </c>
      <c r="H8821" s="6" t="n">
        <f aca="false">Sens!G8821*(1+Sens!H8822)</f>
        <v>32.4624869022303</v>
      </c>
      <c r="I8821" s="6" t="n">
        <f aca="false">Sens!H8821*(1+Sens!I8822)</f>
        <v>34.6283511524715</v>
      </c>
      <c r="J8821" s="6" t="n">
        <f aca="false">Sens!I8821*(1+Sens!J8822)</f>
        <v>36.476102435307</v>
      </c>
      <c r="K8821" s="6" t="n">
        <f aca="false">Sens!J8821*(1+Sens!K8822)</f>
        <v>37.9351465327193</v>
      </c>
    </row>
    <row r="8822" customFormat="false" ht="15" hidden="false" customHeight="false" outlineLevel="0" collapsed="false">
      <c r="A8822" s="1" t="s">
        <v>876</v>
      </c>
      <c r="B8822" s="0" t="s">
        <v>129</v>
      </c>
      <c r="E8822" s="7" t="n">
        <f aca="false">Sens!E8821/Sens!D8821-1</f>
        <v>0.120156961796942</v>
      </c>
      <c r="F8822" s="7" t="n">
        <f aca="false">Sens!$E$8822+(glt_srch_lo-Sens!$E$8822)*MIN(1,(Sens!F8767-base_fy)/n_conv)</f>
        <v>0.106797468164118</v>
      </c>
      <c r="G8822" s="7" t="n">
        <f aca="false">Sens!$E$8822+(glt_srch_lo-Sens!$E$8822)*MIN(1,(Sens!G8767-base_fy)/n_conv)</f>
        <v>0.0934379745312947</v>
      </c>
      <c r="H8822" s="7" t="n">
        <f aca="false">Sens!$E$8822+(glt_srch_lo-Sens!$E$8822)*MIN(1,(Sens!H8767-base_fy)/n_conv)</f>
        <v>0.080078480898471</v>
      </c>
      <c r="I8822" s="7" t="n">
        <f aca="false">Sens!$E$8822+(glt_srch_lo-Sens!$E$8822)*MIN(1,(Sens!I8767-base_fy)/n_conv)</f>
        <v>0.0667189872656473</v>
      </c>
      <c r="J8822" s="7" t="n">
        <f aca="false">Sens!$E$8822+(glt_srch_lo-Sens!$E$8822)*MIN(1,(Sens!J8767-base_fy)/n_conv)</f>
        <v>0.0533594936328237</v>
      </c>
      <c r="K8822" s="7" t="n">
        <f aca="false">Sens!$E$8822+(glt_srch_lo-Sens!$E$8822)*MIN(1,(Sens!K8767-base_fy)/n_conv)</f>
        <v>0.04</v>
      </c>
    </row>
    <row r="8823" customFormat="false" ht="15" hidden="false" customHeight="false" outlineLevel="0" collapsed="false">
      <c r="A8823" s="0" t="s">
        <v>888</v>
      </c>
      <c r="B8823" s="0" t="s">
        <v>98</v>
      </c>
      <c r="D8823" s="6" t="n">
        <f aca="false">Q!L14</f>
        <v>23.455</v>
      </c>
      <c r="E8823" s="6" t="n">
        <f aca="false">Q!M14</f>
        <v>21.79</v>
      </c>
      <c r="F8823" s="6" t="n">
        <f aca="false">Sens!E8823*(1+Sens!F8824)</f>
        <v>20.5736277908051</v>
      </c>
      <c r="G8823" s="6" t="n">
        <f aca="false">Sens!F8823*(1+Sens!G8824)</f>
        <v>19.7371452817919</v>
      </c>
      <c r="H8823" s="6" t="n">
        <f aca="false">Sens!G8823*(1+Sens!H8824)</f>
        <v>19.2339764043138</v>
      </c>
      <c r="I8823" s="6" t="n">
        <f aca="false">Sens!H8823*(1+Sens!I8824)</f>
        <v>19.0353086852681</v>
      </c>
      <c r="J8823" s="6" t="n">
        <f aca="false">Sens!I8823*(1+Sens!J8824)</f>
        <v>19.1273539319129</v>
      </c>
      <c r="K8823" s="6" t="n">
        <f aca="false">Sens!J8823*(1+Sens!K8824)</f>
        <v>19.5099010105511</v>
      </c>
    </row>
    <row r="8824" customFormat="false" ht="15" hidden="false" customHeight="false" outlineLevel="0" collapsed="false">
      <c r="A8824" s="1" t="s">
        <v>876</v>
      </c>
      <c r="B8824" s="0" t="s">
        <v>129</v>
      </c>
      <c r="E8824" s="7" t="n">
        <f aca="false">Sens!E8823/Sens!D8823-1</f>
        <v>-0.0709869963760392</v>
      </c>
      <c r="F8824" s="7" t="n">
        <f aca="false">Sens!$E$8824+(glt_xbox-Sens!$E$8824)*MIN(1,(Sens!F8767-base_fy)/n_conv)</f>
        <v>-0.0558224969800327</v>
      </c>
      <c r="G8824" s="7" t="n">
        <f aca="false">Sens!$E$8824+(glt_xbox-Sens!$E$8824)*MIN(1,(Sens!G8767-base_fy)/n_conv)</f>
        <v>-0.0406579975840262</v>
      </c>
      <c r="H8824" s="7" t="n">
        <f aca="false">Sens!$E$8824+(glt_xbox-Sens!$E$8824)*MIN(1,(Sens!H8767-base_fy)/n_conv)</f>
        <v>-0.0254934981880196</v>
      </c>
      <c r="I8824" s="7" t="n">
        <f aca="false">Sens!$E$8824+(glt_xbox-Sens!$E$8824)*MIN(1,(Sens!I8767-base_fy)/n_conv)</f>
        <v>-0.0103289987920131</v>
      </c>
      <c r="J8824" s="7" t="n">
        <f aca="false">Sens!$E$8824+(glt_xbox-Sens!$E$8824)*MIN(1,(Sens!J8767-base_fy)/n_conv)</f>
        <v>0.00483550060399347</v>
      </c>
      <c r="K8824" s="7" t="n">
        <f aca="false">Sens!$E$8824+(glt_xbox-Sens!$E$8824)*MIN(1,(Sens!K8767-base_fy)/n_conv)</f>
        <v>0.02</v>
      </c>
    </row>
    <row r="8825" customFormat="false" ht="15" hidden="false" customHeight="false" outlineLevel="0" collapsed="false">
      <c r="A8825" s="0" t="s">
        <v>889</v>
      </c>
      <c r="B8825" s="0" t="s">
        <v>98</v>
      </c>
      <c r="D8825" s="6" t="n">
        <f aca="false">Q!L15</f>
        <v>17.315</v>
      </c>
      <c r="E8825" s="6" t="n">
        <f aca="false">Q!M15</f>
        <v>17.087</v>
      </c>
      <c r="F8825" s="6" t="n">
        <f aca="false">Sens!E8825*(1+Sens!F8826)</f>
        <v>16.9564585436519</v>
      </c>
      <c r="G8825" s="6" t="n">
        <f aca="false">Sens!F8825*(1+Sens!G8826)</f>
        <v>16.9206490624268</v>
      </c>
      <c r="H8825" s="6" t="n">
        <f aca="false">Sens!G8825*(1+Sens!H8826)</f>
        <v>16.9784519149849</v>
      </c>
      <c r="I8825" s="6" t="n">
        <f aca="false">Sens!H8825*(1+Sens!I8826)</f>
        <v>17.1303084701817</v>
      </c>
      <c r="J8825" s="6" t="n">
        <f aca="false">Sens!I8825*(1+Sens!J8826)</f>
        <v>17.3782189407267</v>
      </c>
      <c r="K8825" s="6" t="n">
        <f aca="false">Sens!J8825*(1+Sens!K8826)</f>
        <v>17.7257833195413</v>
      </c>
    </row>
    <row r="8826" customFormat="false" ht="15" hidden="false" customHeight="false" outlineLevel="0" collapsed="false">
      <c r="A8826" s="1" t="s">
        <v>876</v>
      </c>
      <c r="B8826" s="0" t="s">
        <v>129</v>
      </c>
      <c r="E8826" s="7" t="n">
        <f aca="false">Sens!E8825/Sens!D8825-1</f>
        <v>-0.0131677736066995</v>
      </c>
      <c r="F8826" s="7" t="n">
        <f aca="false">Sens!$E$8826+(glt_win-Sens!$E$8826)*MIN(1,(Sens!F8767-base_fy)/n_conv)</f>
        <v>-0.00763981133891627</v>
      </c>
      <c r="G8826" s="7" t="n">
        <f aca="false">Sens!$E$8826+(glt_win-Sens!$E$8826)*MIN(1,(Sens!G8767-base_fy)/n_conv)</f>
        <v>-0.00211184907113301</v>
      </c>
      <c r="H8826" s="7" t="n">
        <f aca="false">Sens!$E$8826+(glt_win-Sens!$E$8826)*MIN(1,(Sens!H8767-base_fy)/n_conv)</f>
        <v>0.00341611319665024</v>
      </c>
      <c r="I8826" s="7" t="n">
        <f aca="false">Sens!$E$8826+(glt_win-Sens!$E$8826)*MIN(1,(Sens!I8767-base_fy)/n_conv)</f>
        <v>0.00894407546443349</v>
      </c>
      <c r="J8826" s="7" t="n">
        <f aca="false">Sens!$E$8826+(glt_win-Sens!$E$8826)*MIN(1,(Sens!J8767-base_fy)/n_conv)</f>
        <v>0.0144720377322168</v>
      </c>
      <c r="K8826" s="7" t="n">
        <f aca="false">Sens!$E$8826+(glt_win-Sens!$E$8826)*MIN(1,(Sens!K8767-base_fy)/n_conv)</f>
        <v>0.02</v>
      </c>
    </row>
    <row r="8827" customFormat="false" ht="15" hidden="false" customHeight="false" outlineLevel="0" collapsed="false">
      <c r="A8827" s="0" t="s">
        <v>729</v>
      </c>
      <c r="B8827" s="0" t="s">
        <v>98</v>
      </c>
      <c r="D8827" s="6" t="n">
        <f aca="false">Sens!D8821+Sens!D8823+Sens!D8825</f>
        <v>62.941</v>
      </c>
      <c r="E8827" s="6" t="n">
        <f aca="false">Sens!E8821+Sens!E8823+Sens!E8825</f>
        <v>63.712</v>
      </c>
      <c r="F8827" s="6" t="n">
        <f aca="false">Sens!F8821+Sens!F8823+Sens!F8825</f>
        <v>65.0174014563129</v>
      </c>
      <c r="G8827" s="6" t="n">
        <f aca="false">Sens!G8821+Sens!G8823+Sens!G8825</f>
        <v>66.7134685163642</v>
      </c>
      <c r="H8827" s="6" t="n">
        <f aca="false">Sens!H8821+Sens!H8823+Sens!H8825</f>
        <v>68.6749152215291</v>
      </c>
      <c r="I8827" s="6" t="n">
        <f aca="false">Sens!I8821+Sens!I8823+Sens!I8825</f>
        <v>70.7939683079213</v>
      </c>
      <c r="J8827" s="6" t="n">
        <f aca="false">Sens!J8821+Sens!J8823+Sens!J8825</f>
        <v>72.9816753079466</v>
      </c>
      <c r="K8827" s="6" t="n">
        <f aca="false">Sens!K8821+Sens!K8823+Sens!K8825</f>
        <v>75.1708308628117</v>
      </c>
    </row>
    <row r="8828" customFormat="false" ht="15" hidden="false" customHeight="false" outlineLevel="0" collapsed="false">
      <c r="A8828" s="1" t="s">
        <v>890</v>
      </c>
      <c r="B8828" s="0" t="s">
        <v>98</v>
      </c>
      <c r="D8828" s="6" t="n">
        <f aca="false">Sens!D8820+Sens!D8827</f>
        <v>281.724</v>
      </c>
      <c r="E8828" s="6" t="n">
        <f aca="false">Sens!E8820+Sens!E8827</f>
        <v>331.839</v>
      </c>
      <c r="F8828" s="6" t="n">
        <f aca="false">Sens!F8820+Sens!F8827</f>
        <v>404.451342363364</v>
      </c>
      <c r="G8828" s="6" t="n">
        <f aca="false">Sens!G8820+Sens!G8827</f>
        <v>491.204139398256</v>
      </c>
      <c r="H8828" s="6" t="n">
        <f aca="false">Sens!H8820+Sens!H8827</f>
        <v>584.321190502914</v>
      </c>
      <c r="I8828" s="6" t="n">
        <f aca="false">Sens!I8820+Sens!I8827</f>
        <v>663.657728752525</v>
      </c>
      <c r="J8828" s="6" t="n">
        <f aca="false">Sens!J8820+Sens!J8827</f>
        <v>727.578097171301</v>
      </c>
      <c r="K8828" s="6" t="n">
        <f aca="false">Sens!K8820+Sens!K8827</f>
        <v>778.818752162055</v>
      </c>
    </row>
    <row r="8829" customFormat="false" ht="15" hidden="false" customHeight="false" outlineLevel="0" collapsed="false">
      <c r="A8829" s="23" t="s">
        <v>891</v>
      </c>
      <c r="B8829" s="30" t="s">
        <v>98</v>
      </c>
      <c r="C8829" s="30"/>
      <c r="D8829" s="24" t="n">
        <f aca="false">(Sens!D8808+Sens!D8813+Sens!D8814+Sens!D8816+Sens!D8818-Sens!D8820)+(Sens!D8821+Sens!D8823+Sens!D8825-Sens!D8827)+(Sens!D8820-Q!L5)+(Sens!D8827-Q!L12)+(Sens!D8808-Q!L6)+(Sens!D8813-Q!L7)</f>
        <v>0</v>
      </c>
      <c r="E8829" s="24" t="n">
        <f aca="false">(Sens!E8808+Sens!E8813+Sens!E8814+Sens!E8816+Sens!E8818-Sens!E8820)+(Sens!E8821+Sens!E8823+Sens!E8825-Sens!E8827)+(Sens!E8820-Q!M5)+(Sens!E8827-Q!M12)+(Sens!E8808-Q!M6)+(Sens!E8813-Q!M7)</f>
        <v>0</v>
      </c>
      <c r="F8829" s="24" t="n">
        <f aca="false">(Sens!F8808+Sens!F8813+Sens!F8814+Sens!F8816+Sens!F8818-Sens!F8820)+(Sens!F8821+Sens!F8823+Sens!F8825-Sens!F8827)</f>
        <v>0</v>
      </c>
      <c r="G8829" s="24" t="n">
        <f aca="false">(Sens!G8808+Sens!G8813+Sens!G8814+Sens!G8816+Sens!G8818-Sens!G8820)+(Sens!G8821+Sens!G8823+Sens!G8825-Sens!G8827)</f>
        <v>0</v>
      </c>
      <c r="H8829" s="24" t="n">
        <f aca="false">(Sens!H8808+Sens!H8813+Sens!H8814+Sens!H8816+Sens!H8818-Sens!H8820)+(Sens!H8821+Sens!H8823+Sens!H8825-Sens!H8827)</f>
        <v>0</v>
      </c>
      <c r="I8829" s="24" t="n">
        <f aca="false">(Sens!I8808+Sens!I8813+Sens!I8814+Sens!I8816+Sens!I8818-Sens!I8820)+(Sens!I8821+Sens!I8823+Sens!I8825-Sens!I8827)</f>
        <v>0</v>
      </c>
      <c r="J8829" s="24" t="n">
        <f aca="false">(Sens!J8808+Sens!J8813+Sens!J8814+Sens!J8816+Sens!J8818-Sens!J8820)+(Sens!J8821+Sens!J8823+Sens!J8825-Sens!J8827)</f>
        <v>0</v>
      </c>
      <c r="K8829" s="24" t="n">
        <f aca="false">(Sens!K8808+Sens!K8813+Sens!K8814+Sens!K8816+Sens!K8818-Sens!K8820)+(Sens!K8821+Sens!K8823+Sens!K8825-Sens!K8827)</f>
        <v>0</v>
      </c>
    </row>
    <row r="8830" customFormat="false" ht="17.15" hidden="false" customHeight="false" outlineLevel="0" collapsed="false">
      <c r="A8830" s="3" t="s">
        <v>1489</v>
      </c>
    </row>
    <row r="8831" customFormat="false" ht="15" hidden="false" customHeight="false" outlineLevel="0" collapsed="false">
      <c r="A8831" s="4" t="s">
        <v>43</v>
      </c>
      <c r="B8831" s="4" t="s">
        <v>65</v>
      </c>
      <c r="C8831" s="20" t="s">
        <v>799</v>
      </c>
      <c r="D8831" s="20" t="s">
        <v>800</v>
      </c>
      <c r="E8831" s="20" t="s">
        <v>801</v>
      </c>
      <c r="F8831" s="20" t="s">
        <v>802</v>
      </c>
      <c r="G8831" s="20" t="s">
        <v>803</v>
      </c>
      <c r="H8831" s="20" t="s">
        <v>804</v>
      </c>
      <c r="I8831" s="20" t="s">
        <v>805</v>
      </c>
      <c r="J8831" s="20" t="s">
        <v>806</v>
      </c>
      <c r="K8831" s="20" t="s">
        <v>807</v>
      </c>
      <c r="L8831" s="4" t="s">
        <v>47</v>
      </c>
    </row>
    <row r="8832" customFormat="false" ht="15" hidden="false" customHeight="false" outlineLevel="0" collapsed="false">
      <c r="A8832" s="0" t="s">
        <v>877</v>
      </c>
      <c r="B8832" s="0" t="s">
        <v>98</v>
      </c>
      <c r="D8832" s="6" t="n">
        <f aca="false">Sens!D8808</f>
        <v>72.61</v>
      </c>
      <c r="E8832" s="6" t="n">
        <f aca="false">Sens!E8808</f>
        <v>101.938</v>
      </c>
      <c r="F8832" s="6" t="n">
        <f aca="false">Sens!F8808</f>
        <v>148.812368967868</v>
      </c>
      <c r="G8832" s="6" t="n">
        <f aca="false">Sens!G8808</f>
        <v>208.397514344463</v>
      </c>
      <c r="H8832" s="6" t="n">
        <f aca="false">Sens!H8808</f>
        <v>274.05759259987</v>
      </c>
      <c r="I8832" s="6" t="n">
        <f aca="false">Sens!I8808</f>
        <v>328.302405465117</v>
      </c>
      <c r="J8832" s="6" t="n">
        <f aca="false">Sens!J8808</f>
        <v>369.905524759186</v>
      </c>
      <c r="K8832" s="6" t="n">
        <f aca="false">Sens!K8808</f>
        <v>399.753851959067</v>
      </c>
    </row>
    <row r="8833" customFormat="false" ht="17.15" hidden="false" customHeight="false" outlineLevel="0" collapsed="false">
      <c r="A8833" s="0" t="s">
        <v>874</v>
      </c>
      <c r="B8833" s="0" t="s">
        <v>98</v>
      </c>
      <c r="D8833" s="6" t="n">
        <f aca="false">Sens!D8805</f>
        <v>12.9359794422418</v>
      </c>
      <c r="E8833" s="6" t="n">
        <f aca="false">Sens!E8805</f>
        <v>27.8095064661409</v>
      </c>
      <c r="F8833" s="6" t="n">
        <f aca="false">Sens!F8805</f>
        <v>58.7324192305018</v>
      </c>
      <c r="G8833" s="6" t="n">
        <f aca="false">Sens!G8805</f>
        <v>101.369089141153</v>
      </c>
      <c r="H8833" s="6" t="n">
        <f aca="false">Sens!H8805</f>
        <v>149.785610014234</v>
      </c>
      <c r="I8833" s="6" t="n">
        <f aca="false">Sens!I8805</f>
        <v>187.368703083263</v>
      </c>
      <c r="J8833" s="6" t="n">
        <f aca="false">Sens!J8805</f>
        <v>213.886657444854</v>
      </c>
      <c r="K8833" s="6" t="n">
        <f aca="false">Sens!K8805</f>
        <v>231.253475259589</v>
      </c>
    </row>
    <row r="8834" customFormat="false" ht="17.15" hidden="false" customHeight="false" outlineLevel="0" collapsed="false">
      <c r="A8834" s="0" t="s">
        <v>902</v>
      </c>
      <c r="B8834" s="0" t="s">
        <v>98</v>
      </c>
      <c r="D8834" s="6" t="n">
        <f aca="false">Sens!D8806</f>
        <v>59.6740205577583</v>
      </c>
      <c r="E8834" s="6" t="n">
        <f aca="false">Sens!E8806</f>
        <v>74.1284935338591</v>
      </c>
      <c r="F8834" s="6" t="n">
        <f aca="false">Sens!F8806</f>
        <v>90.0799497373663</v>
      </c>
      <c r="G8834" s="6" t="n">
        <f aca="false">Sens!G8806</f>
        <v>107.02842520331</v>
      </c>
      <c r="H8834" s="6" t="n">
        <f aca="false">Sens!H8806</f>
        <v>124.271982585636</v>
      </c>
      <c r="I8834" s="6" t="n">
        <f aca="false">Sens!I8806</f>
        <v>140.933702381855</v>
      </c>
      <c r="J8834" s="6" t="n">
        <f aca="false">Sens!J8806</f>
        <v>156.018867314332</v>
      </c>
      <c r="K8834" s="6" t="n">
        <f aca="false">Sens!K8806</f>
        <v>168.500376699478</v>
      </c>
    </row>
    <row r="8835" customFormat="false" ht="15" hidden="false" customHeight="false" outlineLevel="0" collapsed="false">
      <c r="A8835" s="0" t="s">
        <v>883</v>
      </c>
      <c r="B8835" s="0" t="s">
        <v>98</v>
      </c>
      <c r="D8835" s="6" t="n">
        <f aca="false">Sens!D8813</f>
        <v>84.605</v>
      </c>
      <c r="E8835" s="6" t="n">
        <f aca="false">Sens!E8813</f>
        <v>100.299</v>
      </c>
      <c r="F8835" s="6" t="n">
        <f aca="false">Sens!F8813</f>
        <v>120.39238776686</v>
      </c>
      <c r="G8835" s="6" t="n">
        <f aca="false">Sens!G8813</f>
        <v>141.544168448684</v>
      </c>
      <c r="H8835" s="6" t="n">
        <f aca="false">Sens!H8813</f>
        <v>162.777359388781</v>
      </c>
      <c r="I8835" s="6" t="n">
        <f aca="false">Sens!I8813</f>
        <v>181.584028071957</v>
      </c>
      <c r="J8835" s="6" t="n">
        <f aca="false">Sens!J8813</f>
        <v>197.682702785465</v>
      </c>
      <c r="K8835" s="6" t="n">
        <f aca="false">Sens!K8813</f>
        <v>213.027991980448</v>
      </c>
    </row>
    <row r="8836" customFormat="false" ht="17.15" hidden="false" customHeight="false" outlineLevel="0" collapsed="false">
      <c r="A8836" s="0" t="s">
        <v>903</v>
      </c>
      <c r="B8836" s="0" t="s">
        <v>98</v>
      </c>
      <c r="D8836" s="6" t="n">
        <f aca="false">Sens!D8811</f>
        <v>83.705</v>
      </c>
      <c r="E8836" s="6" t="n">
        <f aca="false">Sens!E8811</f>
        <v>95.049</v>
      </c>
      <c r="F8836" s="6" t="n">
        <f aca="false">Sens!F8811</f>
        <v>106.89238776686</v>
      </c>
      <c r="G8836" s="6" t="n">
        <f aca="false">Sens!G8811</f>
        <v>119.044168448684</v>
      </c>
      <c r="H8836" s="6" t="n">
        <f aca="false">Sens!H8811</f>
        <v>131.277359388781</v>
      </c>
      <c r="I8836" s="6" t="n">
        <f aca="false">Sens!I8811</f>
        <v>143.334028071957</v>
      </c>
      <c r="J8836" s="6" t="n">
        <f aca="false">Sens!J8811</f>
        <v>154.932702785465</v>
      </c>
      <c r="K8836" s="6" t="n">
        <f aca="false">Sens!K8811</f>
        <v>165.777991980448</v>
      </c>
    </row>
    <row r="8837" customFormat="false" ht="17.15" hidden="false" customHeight="false" outlineLevel="0" collapsed="false">
      <c r="A8837" s="0" t="s">
        <v>904</v>
      </c>
      <c r="B8837" s="0" t="s">
        <v>98</v>
      </c>
      <c r="D8837" s="6" t="n">
        <f aca="false">Sens!D8810</f>
        <v>0.9</v>
      </c>
      <c r="E8837" s="6" t="n">
        <f aca="false">Sens!E8810</f>
        <v>5.25</v>
      </c>
      <c r="F8837" s="6" t="n">
        <f aca="false">Sens!F8810</f>
        <v>13.5</v>
      </c>
      <c r="G8837" s="6" t="n">
        <f aca="false">Sens!G8810</f>
        <v>22.5</v>
      </c>
      <c r="H8837" s="6" t="n">
        <f aca="false">Sens!H8810</f>
        <v>31.5</v>
      </c>
      <c r="I8837" s="6" t="n">
        <f aca="false">Sens!I8810</f>
        <v>38.25</v>
      </c>
      <c r="J8837" s="6" t="n">
        <f aca="false">Sens!J8810</f>
        <v>42.75</v>
      </c>
      <c r="K8837" s="6" t="n">
        <f aca="false">Sens!K8810</f>
        <v>47.25</v>
      </c>
    </row>
    <row r="8838" customFormat="false" ht="15" hidden="false" customHeight="false" outlineLevel="0" collapsed="false">
      <c r="A8838" s="0" t="s">
        <v>884</v>
      </c>
      <c r="B8838" s="0" t="s">
        <v>98</v>
      </c>
      <c r="D8838" s="6" t="n">
        <f aca="false">Sens!D8814</f>
        <v>35.391</v>
      </c>
      <c r="E8838" s="6" t="n">
        <f aca="false">Sens!E8814</f>
        <v>37.285</v>
      </c>
      <c r="F8838" s="6" t="n">
        <f aca="false">Sens!F8814</f>
        <v>39.0720834331704</v>
      </c>
      <c r="G8838" s="6" t="n">
        <f aca="false">Sens!G8814</f>
        <v>40.726562953769</v>
      </c>
      <c r="H8838" s="6" t="n">
        <f aca="false">Sens!H8814</f>
        <v>42.2235987259198</v>
      </c>
      <c r="I8838" s="6" t="n">
        <f aca="false">Sens!I8814</f>
        <v>43.5397988077414</v>
      </c>
      <c r="J8838" s="6" t="n">
        <f aca="false">Sens!J8814</f>
        <v>44.653811225693</v>
      </c>
      <c r="K8838" s="6" t="n">
        <f aca="false">Sens!K8814</f>
        <v>45.5468874502068</v>
      </c>
    </row>
    <row r="8839" customFormat="false" ht="15" hidden="false" customHeight="false" outlineLevel="0" collapsed="false">
      <c r="A8839" s="0" t="s">
        <v>885</v>
      </c>
      <c r="B8839" s="0" t="s">
        <v>98</v>
      </c>
      <c r="D8839" s="6" t="n">
        <f aca="false">Sens!D8816</f>
        <v>18.417</v>
      </c>
      <c r="E8839" s="6" t="n">
        <f aca="false">Sens!E8816</f>
        <v>20.345</v>
      </c>
      <c r="F8839" s="6" t="n">
        <f aca="false">Sens!F8816</f>
        <v>22.3572203267814</v>
      </c>
      <c r="G8839" s="6" t="n">
        <f aca="false">Sens!G8816</f>
        <v>24.4392124437232</v>
      </c>
      <c r="H8839" s="6" t="n">
        <f aca="false">Sens!H8816</f>
        <v>26.5738052080665</v>
      </c>
      <c r="I8839" s="6" t="n">
        <f aca="false">Sens!I8816</f>
        <v>28.7412169166967</v>
      </c>
      <c r="J8839" s="6" t="n">
        <f aca="false">Sens!J8816</f>
        <v>30.9192545395413</v>
      </c>
      <c r="K8839" s="6" t="n">
        <f aca="false">Sens!K8816</f>
        <v>33.0836023573092</v>
      </c>
    </row>
    <row r="8840" customFormat="false" ht="15" hidden="false" customHeight="false" outlineLevel="0" collapsed="false">
      <c r="A8840" s="0" t="s">
        <v>886</v>
      </c>
      <c r="B8840" s="0" t="s">
        <v>98</v>
      </c>
      <c r="D8840" s="6" t="n">
        <f aca="false">Sens!D8818</f>
        <v>7.76</v>
      </c>
      <c r="E8840" s="6" t="n">
        <f aca="false">Sens!E8818</f>
        <v>8.26</v>
      </c>
      <c r="F8840" s="6" t="n">
        <f aca="false">Sens!F8818</f>
        <v>8.79988041237113</v>
      </c>
      <c r="G8840" s="6" t="n">
        <f aca="false">Sens!G8818</f>
        <v>9.38321269125306</v>
      </c>
      <c r="H8840" s="6" t="n">
        <f aca="false">Sens!H8818</f>
        <v>10.0139193587476</v>
      </c>
      <c r="I8840" s="6" t="n">
        <f aca="false">Sens!I8818</f>
        <v>10.6963111830911</v>
      </c>
      <c r="J8840" s="6" t="n">
        <f aca="false">Sens!J8818</f>
        <v>11.4351285534696</v>
      </c>
      <c r="K8840" s="6" t="n">
        <f aca="false">Sens!K8818</f>
        <v>12.2355875522124</v>
      </c>
    </row>
    <row r="8841" customFormat="false" ht="15" hidden="false" customHeight="false" outlineLevel="0" collapsed="false">
      <c r="A8841" s="0" t="s">
        <v>715</v>
      </c>
      <c r="B8841" s="0" t="s">
        <v>98</v>
      </c>
      <c r="D8841" s="6" t="n">
        <f aca="false">Sens!D8820</f>
        <v>218.783</v>
      </c>
      <c r="E8841" s="6" t="n">
        <f aca="false">Sens!E8820</f>
        <v>268.127</v>
      </c>
      <c r="F8841" s="6" t="n">
        <f aca="false">Sens!F8820</f>
        <v>339.433940907051</v>
      </c>
      <c r="G8841" s="6" t="n">
        <f aca="false">Sens!G8820</f>
        <v>424.490670881892</v>
      </c>
      <c r="H8841" s="6" t="n">
        <f aca="false">Sens!H8820</f>
        <v>515.646275281385</v>
      </c>
      <c r="I8841" s="6" t="n">
        <f aca="false">Sens!I8820</f>
        <v>592.863760444604</v>
      </c>
      <c r="J8841" s="6" t="n">
        <f aca="false">Sens!J8820</f>
        <v>654.596421863355</v>
      </c>
      <c r="K8841" s="6" t="n">
        <f aca="false">Sens!K8820</f>
        <v>703.647921299244</v>
      </c>
    </row>
    <row r="8842" customFormat="false" ht="15" hidden="false" customHeight="false" outlineLevel="0" collapsed="false">
      <c r="A8842" s="0" t="s">
        <v>887</v>
      </c>
      <c r="B8842" s="0" t="s">
        <v>98</v>
      </c>
      <c r="D8842" s="6" t="n">
        <f aca="false">Sens!D8821</f>
        <v>22.171</v>
      </c>
      <c r="E8842" s="6" t="n">
        <f aca="false">Sens!E8821</f>
        <v>24.835</v>
      </c>
      <c r="F8842" s="6" t="n">
        <f aca="false">Sens!F8821</f>
        <v>27.4873151218559</v>
      </c>
      <c r="G8842" s="6" t="n">
        <f aca="false">Sens!G8821</f>
        <v>30.0556741721455</v>
      </c>
      <c r="H8842" s="6" t="n">
        <f aca="false">Sens!H8821</f>
        <v>32.4624869022303</v>
      </c>
      <c r="I8842" s="6" t="n">
        <f aca="false">Sens!I8821</f>
        <v>34.6283511524715</v>
      </c>
      <c r="J8842" s="6" t="n">
        <f aca="false">Sens!J8821</f>
        <v>36.476102435307</v>
      </c>
      <c r="K8842" s="6" t="n">
        <f aca="false">Sens!K8821</f>
        <v>37.9351465327193</v>
      </c>
    </row>
    <row r="8843" customFormat="false" ht="15" hidden="false" customHeight="false" outlineLevel="0" collapsed="false">
      <c r="A8843" s="0" t="s">
        <v>888</v>
      </c>
      <c r="B8843" s="0" t="s">
        <v>98</v>
      </c>
      <c r="D8843" s="6" t="n">
        <f aca="false">Sens!D8823</f>
        <v>23.455</v>
      </c>
      <c r="E8843" s="6" t="n">
        <f aca="false">Sens!E8823</f>
        <v>21.79</v>
      </c>
      <c r="F8843" s="6" t="n">
        <f aca="false">Sens!F8823</f>
        <v>20.5736277908051</v>
      </c>
      <c r="G8843" s="6" t="n">
        <f aca="false">Sens!G8823</f>
        <v>19.7371452817919</v>
      </c>
      <c r="H8843" s="6" t="n">
        <f aca="false">Sens!H8823</f>
        <v>19.2339764043138</v>
      </c>
      <c r="I8843" s="6" t="n">
        <f aca="false">Sens!I8823</f>
        <v>19.0353086852681</v>
      </c>
      <c r="J8843" s="6" t="n">
        <f aca="false">Sens!J8823</f>
        <v>19.1273539319129</v>
      </c>
      <c r="K8843" s="6" t="n">
        <f aca="false">Sens!K8823</f>
        <v>19.5099010105511</v>
      </c>
    </row>
    <row r="8844" customFormat="false" ht="15" hidden="false" customHeight="false" outlineLevel="0" collapsed="false">
      <c r="A8844" s="0" t="s">
        <v>889</v>
      </c>
      <c r="B8844" s="0" t="s">
        <v>98</v>
      </c>
      <c r="D8844" s="6" t="n">
        <f aca="false">Sens!D8825</f>
        <v>17.315</v>
      </c>
      <c r="E8844" s="6" t="n">
        <f aca="false">Sens!E8825</f>
        <v>17.087</v>
      </c>
      <c r="F8844" s="6" t="n">
        <f aca="false">Sens!F8825</f>
        <v>16.9564585436519</v>
      </c>
      <c r="G8844" s="6" t="n">
        <f aca="false">Sens!G8825</f>
        <v>16.9206490624268</v>
      </c>
      <c r="H8844" s="6" t="n">
        <f aca="false">Sens!H8825</f>
        <v>16.9784519149849</v>
      </c>
      <c r="I8844" s="6" t="n">
        <f aca="false">Sens!I8825</f>
        <v>17.1303084701817</v>
      </c>
      <c r="J8844" s="6" t="n">
        <f aca="false">Sens!J8825</f>
        <v>17.3782189407267</v>
      </c>
      <c r="K8844" s="6" t="n">
        <f aca="false">Sens!K8825</f>
        <v>17.7257833195413</v>
      </c>
    </row>
    <row r="8845" customFormat="false" ht="15" hidden="false" customHeight="false" outlineLevel="0" collapsed="false">
      <c r="A8845" s="0" t="s">
        <v>729</v>
      </c>
      <c r="B8845" s="0" t="s">
        <v>98</v>
      </c>
      <c r="D8845" s="6" t="n">
        <f aca="false">Sens!D8827</f>
        <v>62.941</v>
      </c>
      <c r="E8845" s="6" t="n">
        <f aca="false">Sens!E8827</f>
        <v>63.712</v>
      </c>
      <c r="F8845" s="6" t="n">
        <f aca="false">Sens!F8827</f>
        <v>65.0174014563129</v>
      </c>
      <c r="G8845" s="6" t="n">
        <f aca="false">Sens!G8827</f>
        <v>66.7134685163642</v>
      </c>
      <c r="H8845" s="6" t="n">
        <f aca="false">Sens!H8827</f>
        <v>68.6749152215291</v>
      </c>
      <c r="I8845" s="6" t="n">
        <f aca="false">Sens!I8827</f>
        <v>70.7939683079213</v>
      </c>
      <c r="J8845" s="6" t="n">
        <f aca="false">Sens!J8827</f>
        <v>72.9816753079466</v>
      </c>
      <c r="K8845" s="6" t="n">
        <f aca="false">Sens!K8827</f>
        <v>75.1708308628117</v>
      </c>
    </row>
    <row r="8846" customFormat="false" ht="15" hidden="false" customHeight="false" outlineLevel="0" collapsed="false">
      <c r="A8846" s="1" t="s">
        <v>905</v>
      </c>
      <c r="B8846" s="0" t="s">
        <v>98</v>
      </c>
      <c r="D8846" s="6" t="n">
        <f aca="false">Sens!D8828</f>
        <v>281.724</v>
      </c>
      <c r="E8846" s="6" t="n">
        <f aca="false">Sens!E8828</f>
        <v>331.839</v>
      </c>
      <c r="F8846" s="6" t="n">
        <f aca="false">Sens!F8828</f>
        <v>404.451342363364</v>
      </c>
      <c r="G8846" s="6" t="n">
        <f aca="false">Sens!G8828</f>
        <v>491.204139398256</v>
      </c>
      <c r="H8846" s="6" t="n">
        <f aca="false">Sens!H8828</f>
        <v>584.321190502914</v>
      </c>
      <c r="I8846" s="6" t="n">
        <f aca="false">Sens!I8828</f>
        <v>663.657728752525</v>
      </c>
      <c r="J8846" s="6" t="n">
        <f aca="false">Sens!J8828</f>
        <v>727.578097171301</v>
      </c>
      <c r="K8846" s="6" t="n">
        <f aca="false">Sens!K8828</f>
        <v>778.818752162055</v>
      </c>
    </row>
    <row r="8847" customFormat="false" ht="15" hidden="false" customHeight="false" outlineLevel="0" collapsed="false">
      <c r="A8847" s="1" t="s">
        <v>906</v>
      </c>
      <c r="B8847" s="0" t="s">
        <v>129</v>
      </c>
      <c r="E8847" s="7" t="n">
        <f aca="false">Sens!E8846/Sens!D8846-1</f>
        <v>0.177886867998467</v>
      </c>
      <c r="F8847" s="7" t="n">
        <f aca="false">Sens!F8846/Sens!E8846-1</f>
        <v>0.218817988130882</v>
      </c>
      <c r="G8847" s="7" t="n">
        <f aca="false">Sens!G8846/Sens!F8846-1</f>
        <v>0.21449501571181</v>
      </c>
      <c r="H8847" s="7" t="n">
        <f aca="false">Sens!H8846/Sens!G8846-1</f>
        <v>0.189568946260774</v>
      </c>
      <c r="I8847" s="7" t="n">
        <f aca="false">Sens!I8846/Sens!H8846-1</f>
        <v>0.135775562377479</v>
      </c>
      <c r="J8847" s="7" t="n">
        <f aca="false">Sens!J8846/Sens!I8846-1</f>
        <v>0.096315262596169</v>
      </c>
      <c r="K8847" s="7" t="n">
        <f aca="false">Sens!K8846/Sens!J8846-1</f>
        <v>0.070426329750674</v>
      </c>
    </row>
    <row r="8848" customFormat="false" ht="17.15" hidden="false" customHeight="false" outlineLevel="0" collapsed="false">
      <c r="A8848" s="23" t="s">
        <v>907</v>
      </c>
      <c r="B8848" s="30" t="s">
        <v>98</v>
      </c>
      <c r="C8848" s="30"/>
      <c r="D8848" s="24" t="n">
        <f aca="false">(Sens!D8841+Sens!D8845-Sens!D8846)+(Sens!D8833+Sens!D8834-Sens!D8832)+(Sens!D8836+Sens!D8837-Sens!D8835)+(Sens!D8846-Q!L18)</f>
        <v>0</v>
      </c>
      <c r="E8848" s="24" t="n">
        <f aca="false">(Sens!E8841+Sens!E8845-Sens!E8846)+(Sens!E8833+Sens!E8834-Sens!E8832)+(Sens!E8836+Sens!E8837-Sens!E8835)+(Sens!E8846-Q!M18)</f>
        <v>0</v>
      </c>
      <c r="F8848" s="24" t="n">
        <f aca="false">(Sens!F8841+Sens!F8845-Sens!F8846)+(Sens!F8833+Sens!F8834-Sens!F8832)+(Sens!F8836+Sens!F8837-Sens!F8835)</f>
        <v>0</v>
      </c>
      <c r="G8848" s="24" t="n">
        <f aca="false">(Sens!G8841+Sens!G8845-Sens!G8846)+(Sens!G8833+Sens!G8834-Sens!G8832)+(Sens!G8836+Sens!G8837-Sens!G8835)</f>
        <v>0</v>
      </c>
      <c r="H8848" s="24" t="n">
        <f aca="false">(Sens!H8841+Sens!H8845-Sens!H8846)+(Sens!H8833+Sens!H8834-Sens!H8832)+(Sens!H8836+Sens!H8837-Sens!H8835)</f>
        <v>0</v>
      </c>
      <c r="I8848" s="24" t="n">
        <f aca="false">(Sens!I8841+Sens!I8845-Sens!I8846)+(Sens!I8833+Sens!I8834-Sens!I8832)+(Sens!I8836+Sens!I8837-Sens!I8835)</f>
        <v>0</v>
      </c>
      <c r="J8848" s="24" t="n">
        <f aca="false">(Sens!J8841+Sens!J8845-Sens!J8846)+(Sens!J8833+Sens!J8834-Sens!J8832)+(Sens!J8836+Sens!J8837-Sens!J8835)</f>
        <v>0</v>
      </c>
      <c r="K8848" s="24" t="n">
        <f aca="false">(Sens!K8841+Sens!K8845-Sens!K8846)+(Sens!K8833+Sens!K8834-Sens!K8832)+(Sens!K8836+Sens!K8837-Sens!K8835)</f>
        <v>0</v>
      </c>
    </row>
    <row r="8849" customFormat="false" ht="17.15" hidden="false" customHeight="false" outlineLevel="0" collapsed="false">
      <c r="A8849" s="0" t="s">
        <v>908</v>
      </c>
      <c r="B8849" s="0" t="s">
        <v>129</v>
      </c>
      <c r="E8849" s="7" t="n">
        <f aca="false">(Q!M21+Sens!E8786+Sens!E8787+Sens!E8788+Sens!E8801-Sens!E8784)/(Q!M5-Sens!E8784)</f>
        <v>0.570957350878296</v>
      </c>
      <c r="F8849" s="7" t="n">
        <f aca="false">Sens!$E$8849+dm_seg</f>
        <v>0.570957350878296</v>
      </c>
      <c r="G8849" s="7" t="n">
        <f aca="false">Sens!$E$8849+dm_seg</f>
        <v>0.570957350878296</v>
      </c>
      <c r="H8849" s="7" t="n">
        <f aca="false">Sens!$E$8849+dm_seg</f>
        <v>0.570957350878296</v>
      </c>
      <c r="I8849" s="7" t="n">
        <f aca="false">Sens!$E$8849+dm_seg</f>
        <v>0.570957350878296</v>
      </c>
      <c r="J8849" s="7" t="n">
        <f aca="false">Sens!$E$8849+dm_seg</f>
        <v>0.570957350878296</v>
      </c>
      <c r="K8849" s="7" t="n">
        <f aca="false">Sens!$E$8849+dm_seg</f>
        <v>0.570957350878296</v>
      </c>
      <c r="L8849" s="11" t="s">
        <v>909</v>
      </c>
    </row>
    <row r="8850" customFormat="false" ht="17.15" hidden="false" customHeight="false" outlineLevel="0" collapsed="false">
      <c r="A8850" s="0" t="s">
        <v>743</v>
      </c>
      <c r="B8850" s="0" t="s">
        <v>98</v>
      </c>
      <c r="D8850" s="6" t="n">
        <f aca="false">Q!L21</f>
        <v>110.814</v>
      </c>
      <c r="E8850" s="6" t="n">
        <f aca="false">Q!M21</f>
        <v>136.365</v>
      </c>
      <c r="F8850" s="6" t="n">
        <f aca="false">Sens!F8849*(Sens!F8820-Sens!F8784)+Sens!F8784-(Sens!F8786+Sens!F8787+Sens!F8788)-Sens!F8801-Sens!F8884</f>
        <v>161.998861587324</v>
      </c>
      <c r="G8850" s="6" t="n">
        <f aca="false">Sens!G8849*(Sens!G8820-Sens!G8784)+Sens!G8784-(Sens!G8786+Sens!G8787+Sens!G8788)-Sens!G8801-Sens!G8884</f>
        <v>192.316582436619</v>
      </c>
      <c r="H8850" s="6" t="n">
        <f aca="false">Sens!H8849*(Sens!H8820-Sens!H8784)+Sens!H8784-(Sens!H8786+Sens!H8787+Sens!H8788)-Sens!H8801-Sens!H8884</f>
        <v>226.776045564585</v>
      </c>
      <c r="I8850" s="6" t="n">
        <f aca="false">Sens!I8849*(Sens!I8820-Sens!I8784)+Sens!I8784-(Sens!I8786+Sens!I8787+Sens!I8788)-Sens!I8801-Sens!I8884</f>
        <v>253.110152792114</v>
      </c>
      <c r="J8850" s="6" t="n">
        <f aca="false">Sens!J8849*(Sens!J8820-Sens!J8784)+Sens!J8784-(Sens!J8786+Sens!J8787+Sens!J8788)-Sens!J8801-Sens!J8884</f>
        <v>275.783633518996</v>
      </c>
      <c r="K8850" s="6" t="n">
        <f aca="false">Sens!K8849*(Sens!K8820-Sens!K8784)+Sens!K8784-(Sens!K8786+Sens!K8787+Sens!K8788)-Sens!K8801-Sens!K8884</f>
        <v>296.380005797776</v>
      </c>
      <c r="L8850" s="1" t="s">
        <v>910</v>
      </c>
    </row>
    <row r="8851" customFormat="false" ht="17.15" hidden="false" customHeight="false" outlineLevel="0" collapsed="false">
      <c r="A8851" s="0" t="s">
        <v>911</v>
      </c>
      <c r="B8851" s="0" t="s">
        <v>129</v>
      </c>
      <c r="E8851" s="7" t="n">
        <f aca="false">Q!M22/Q!M12</f>
        <v>0.296207935710698</v>
      </c>
      <c r="F8851" s="7" t="n">
        <f aca="false">Sens!$E$8851+dm_seg</f>
        <v>0.296207935710698</v>
      </c>
      <c r="G8851" s="7" t="n">
        <f aca="false">Sens!$E$8851+dm_seg</f>
        <v>0.296207935710698</v>
      </c>
      <c r="H8851" s="7" t="n">
        <f aca="false">Sens!$E$8851+dm_seg</f>
        <v>0.296207935710698</v>
      </c>
      <c r="I8851" s="7" t="n">
        <f aca="false">Sens!$E$8851+dm_seg</f>
        <v>0.296207935710698</v>
      </c>
      <c r="J8851" s="7" t="n">
        <f aca="false">Sens!$E$8851+dm_seg</f>
        <v>0.296207935710698</v>
      </c>
      <c r="K8851" s="7" t="n">
        <f aca="false">Sens!$E$8851+dm_seg</f>
        <v>0.296207935710698</v>
      </c>
      <c r="L8851" s="11" t="s">
        <v>912</v>
      </c>
    </row>
    <row r="8852" customFormat="false" ht="17.15" hidden="false" customHeight="false" outlineLevel="0" collapsed="false">
      <c r="A8852" s="0" t="s">
        <v>745</v>
      </c>
      <c r="B8852" s="0" t="s">
        <v>98</v>
      </c>
      <c r="D8852" s="6" t="n">
        <f aca="false">Q!L22</f>
        <v>17.714</v>
      </c>
      <c r="E8852" s="6" t="n">
        <f aca="false">Q!M22</f>
        <v>18.872</v>
      </c>
      <c r="F8852" s="6" t="n">
        <f aca="false">Sens!F8827*Sens!F8851</f>
        <v>19.2586702706482</v>
      </c>
      <c r="G8852" s="6" t="n">
        <f aca="false">Sens!G8827*Sens!G8851</f>
        <v>19.7610587933329</v>
      </c>
      <c r="H8852" s="6" t="n">
        <f aca="false">Sens!H8827*Sens!H8851</f>
        <v>20.3420548728763</v>
      </c>
      <c r="I8852" s="6" t="n">
        <f aca="false">Sens!I8827*Sens!I8851</f>
        <v>20.969735213258</v>
      </c>
      <c r="J8852" s="6" t="n">
        <f aca="false">Sens!J8827*Sens!J8851</f>
        <v>21.6177513876753</v>
      </c>
      <c r="K8852" s="6" t="n">
        <f aca="false">Sens!K8827*Sens!K8851</f>
        <v>22.2661966355315</v>
      </c>
    </row>
    <row r="8853" customFormat="false" ht="15" hidden="false" customHeight="false" outlineLevel="0" collapsed="false">
      <c r="A8853" s="1" t="s">
        <v>913</v>
      </c>
      <c r="B8853" s="0" t="s">
        <v>98</v>
      </c>
      <c r="D8853" s="6" t="n">
        <f aca="false">Sens!D8850+Sens!D8852</f>
        <v>128.528</v>
      </c>
      <c r="E8853" s="6" t="n">
        <f aca="false">Sens!E8850+Sens!E8852</f>
        <v>155.237</v>
      </c>
      <c r="F8853" s="6" t="n">
        <f aca="false">Sens!F8850+Sens!F8852</f>
        <v>181.257531857972</v>
      </c>
      <c r="G8853" s="6" t="n">
        <f aca="false">Sens!G8850+Sens!G8852</f>
        <v>212.077641229952</v>
      </c>
      <c r="H8853" s="6" t="n">
        <f aca="false">Sens!H8850+Sens!H8852</f>
        <v>247.118100437461</v>
      </c>
      <c r="I8853" s="6" t="n">
        <f aca="false">Sens!I8850+Sens!I8852</f>
        <v>274.079888005372</v>
      </c>
      <c r="J8853" s="6" t="n">
        <f aca="false">Sens!J8850+Sens!J8852</f>
        <v>297.401384906671</v>
      </c>
      <c r="K8853" s="6" t="n">
        <f aca="false">Sens!K8850+Sens!K8852</f>
        <v>318.646202433308</v>
      </c>
    </row>
    <row r="8854" customFormat="false" ht="15" hidden="false" customHeight="false" outlineLevel="0" collapsed="false">
      <c r="A8854" s="23" t="s">
        <v>914</v>
      </c>
      <c r="B8854" s="30" t="s">
        <v>98</v>
      </c>
      <c r="C8854" s="30"/>
      <c r="D8854" s="24" t="n">
        <f aca="false">Sens!D8853-Q!L23</f>
        <v>0</v>
      </c>
      <c r="E8854" s="24" t="n">
        <f aca="false">Sens!E8853-Q!M23</f>
        <v>0</v>
      </c>
      <c r="F8854" s="30"/>
      <c r="G8854" s="30"/>
      <c r="H8854" s="30"/>
      <c r="I8854" s="30"/>
      <c r="J8854" s="30"/>
      <c r="K8854" s="30"/>
    </row>
    <row r="8855" customFormat="false" ht="15" hidden="false" customHeight="false" outlineLevel="0" collapsed="false">
      <c r="A8855" s="1" t="s">
        <v>915</v>
      </c>
      <c r="B8855" s="0" t="s">
        <v>129</v>
      </c>
      <c r="D8855" s="7" t="n">
        <f aca="false">Sens!D8853/Sens!D8846</f>
        <v>0.456219562408598</v>
      </c>
      <c r="E8855" s="7" t="n">
        <f aca="false">Sens!E8853/Sens!E8846</f>
        <v>0.467808184089272</v>
      </c>
      <c r="F8855" s="7" t="n">
        <f aca="false">Sens!F8853/Sens!F8846</f>
        <v>0.448156583679053</v>
      </c>
      <c r="G8855" s="7" t="n">
        <f aca="false">Sens!G8853/Sens!G8846</f>
        <v>0.431750517187732</v>
      </c>
      <c r="H8855" s="7" t="n">
        <f aca="false">Sens!H8853/Sens!H8846</f>
        <v>0.422914835973639</v>
      </c>
      <c r="I8855" s="7" t="n">
        <f aca="false">Sens!I8853/Sens!I8846</f>
        <v>0.412983795910219</v>
      </c>
      <c r="J8855" s="7" t="n">
        <f aca="false">Sens!J8853/Sens!J8846</f>
        <v>0.408755274606145</v>
      </c>
      <c r="K8855" s="7" t="n">
        <f aca="false">Sens!K8853/Sens!K8846</f>
        <v>0.409140382853807</v>
      </c>
    </row>
    <row r="8856" customFormat="false" ht="17.15" hidden="false" customHeight="false" outlineLevel="0" collapsed="false">
      <c r="A8856" s="1" t="s">
        <v>916</v>
      </c>
      <c r="B8856" s="0" t="s">
        <v>98</v>
      </c>
      <c r="F8856" s="6" t="n">
        <f aca="false">Sens!F8871</f>
        <v>8.44248444763781</v>
      </c>
      <c r="G8856" s="6" t="n">
        <f aca="false">Sens!G8871</f>
        <v>21.3653222817508</v>
      </c>
      <c r="H8856" s="6" t="n">
        <f aca="false">Sens!H8871</f>
        <v>35.8221390663856</v>
      </c>
      <c r="I8856" s="6" t="n">
        <f aca="false">Sens!I8871</f>
        <v>49.3691841492478</v>
      </c>
      <c r="J8856" s="6" t="n">
        <f aca="false">Sens!J8871</f>
        <v>59.0322720639359</v>
      </c>
      <c r="K8856" s="6" t="n">
        <f aca="false">Sens!K8871</f>
        <v>64.2195097796802</v>
      </c>
      <c r="L8856" s="1" t="s">
        <v>917</v>
      </c>
    </row>
    <row r="8857" customFormat="false" ht="17.15" hidden="false" customHeight="false" outlineLevel="0" collapsed="false">
      <c r="A8857" s="1" t="s">
        <v>918</v>
      </c>
      <c r="B8857" s="0" t="s">
        <v>98</v>
      </c>
      <c r="D8857" s="6" t="n">
        <f aca="false">Sens!D8853</f>
        <v>128.528</v>
      </c>
      <c r="E8857" s="6" t="n">
        <f aca="false">Sens!E8853</f>
        <v>155.237</v>
      </c>
      <c r="F8857" s="6" t="n">
        <f aca="false">Sens!F8853+Sens!F8856</f>
        <v>189.70001630561</v>
      </c>
      <c r="G8857" s="6" t="n">
        <f aca="false">Sens!G8853+Sens!G8856</f>
        <v>233.442963511703</v>
      </c>
      <c r="H8857" s="6" t="n">
        <f aca="false">Sens!H8853+Sens!H8856</f>
        <v>282.940239503847</v>
      </c>
      <c r="I8857" s="6" t="n">
        <f aca="false">Sens!I8853+Sens!I8856</f>
        <v>323.44907215462</v>
      </c>
      <c r="J8857" s="6" t="n">
        <f aca="false">Sens!J8853+Sens!J8856</f>
        <v>356.433656970607</v>
      </c>
      <c r="K8857" s="6" t="n">
        <f aca="false">Sens!K8853+Sens!K8856</f>
        <v>382.865712212988</v>
      </c>
    </row>
    <row r="8858" customFormat="false" ht="17.15" hidden="false" customHeight="false" outlineLevel="0" collapsed="false">
      <c r="A8858" s="1" t="s">
        <v>919</v>
      </c>
      <c r="B8858" s="0" t="s">
        <v>98</v>
      </c>
      <c r="E8858" s="6" t="n">
        <f aca="false">Sens!E8801</f>
        <v>16.3054059770833</v>
      </c>
      <c r="F8858" s="6" t="n">
        <f aca="false">Sens!F8801</f>
        <v>34.0498873809555</v>
      </c>
      <c r="G8858" s="6" t="n">
        <f aca="false">Sens!G8801</f>
        <v>59.1254371105111</v>
      </c>
      <c r="H8858" s="6" t="n">
        <f aca="false">Sens!H8801</f>
        <v>86.3610198433111</v>
      </c>
      <c r="I8858" s="6" t="n">
        <f aca="false">Sens!I8801</f>
        <v>110.605743832393</v>
      </c>
      <c r="J8858" s="6" t="n">
        <f aca="false">Sens!J8801</f>
        <v>127.998322852843</v>
      </c>
      <c r="K8858" s="6" t="n">
        <f aca="false">Sens!K8801</f>
        <v>139.131464044308</v>
      </c>
    </row>
    <row r="8859" customFormat="false" ht="17.15" hidden="false" customHeight="false" outlineLevel="0" collapsed="false">
      <c r="A8859" s="1" t="s">
        <v>920</v>
      </c>
      <c r="B8859" s="0" t="s">
        <v>98</v>
      </c>
      <c r="E8859" s="6" t="n">
        <f aca="false">Sens!E8883</f>
        <v>22.2285940229167</v>
      </c>
      <c r="F8859" s="6" t="n">
        <f aca="false">Sens!F8883</f>
        <v>24.3924470334783</v>
      </c>
      <c r="G8859" s="6" t="n">
        <f aca="false">Sens!G8883</f>
        <v>26.1101965466758</v>
      </c>
      <c r="H8859" s="6" t="n">
        <f aca="false">Sens!H8883</f>
        <v>28.2481131380704</v>
      </c>
      <c r="I8859" s="6" t="n">
        <f aca="false">Sens!I8883</f>
        <v>30.7276070514206</v>
      </c>
      <c r="J8859" s="6" t="n">
        <f aca="false">Sens!J8883</f>
        <v>33.4544557964366</v>
      </c>
      <c r="K8859" s="6" t="n">
        <f aca="false">Sens!K8883</f>
        <v>36.342175620287</v>
      </c>
    </row>
    <row r="8860" customFormat="false" ht="17.15" hidden="false" customHeight="false" outlineLevel="0" collapsed="false">
      <c r="A8860" s="1" t="s">
        <v>921</v>
      </c>
      <c r="B8860" s="0" t="s">
        <v>98</v>
      </c>
      <c r="D8860" s="6" t="n">
        <f aca="false">Q!L27</f>
        <v>-4.901</v>
      </c>
      <c r="E8860" s="6" t="n">
        <f aca="false">Q!M27</f>
        <v>10.697</v>
      </c>
      <c r="F8860" s="6" t="n">
        <f aca="false">oie_f</f>
        <v>-0.4</v>
      </c>
      <c r="G8860" s="6" t="n">
        <f aca="false">oie_f</f>
        <v>-0.4</v>
      </c>
      <c r="H8860" s="6" t="n">
        <f aca="false">oie_f</f>
        <v>-0.4</v>
      </c>
      <c r="I8860" s="6" t="n">
        <f aca="false">oie_f</f>
        <v>-0.4</v>
      </c>
      <c r="J8860" s="6" t="n">
        <f aca="false">oie_f</f>
        <v>-0.4</v>
      </c>
      <c r="K8860" s="6" t="n">
        <f aca="false">oie_f</f>
        <v>-0.4</v>
      </c>
      <c r="L8860" s="11" t="s">
        <v>922</v>
      </c>
    </row>
    <row r="8861" customFormat="false" ht="15" hidden="false" customHeight="false" outlineLevel="0" collapsed="false">
      <c r="A8861" s="1" t="s">
        <v>923</v>
      </c>
      <c r="B8861" s="0" t="s">
        <v>98</v>
      </c>
      <c r="D8861" s="6" t="n">
        <f aca="false">Sens!D8853+Sens!D8860</f>
        <v>123.627</v>
      </c>
      <c r="E8861" s="6" t="n">
        <f aca="false">Sens!E8853+Sens!E8860</f>
        <v>165.934</v>
      </c>
      <c r="F8861" s="6" t="n">
        <f aca="false">Sens!F8853+Sens!F8860</f>
        <v>180.857531857972</v>
      </c>
      <c r="G8861" s="6" t="n">
        <f aca="false">Sens!G8853+Sens!G8860</f>
        <v>211.677641229952</v>
      </c>
      <c r="H8861" s="6" t="n">
        <f aca="false">Sens!H8853+Sens!H8860</f>
        <v>246.718100437461</v>
      </c>
      <c r="I8861" s="6" t="n">
        <f aca="false">Sens!I8853+Sens!I8860</f>
        <v>273.679888005372</v>
      </c>
      <c r="J8861" s="6" t="n">
        <f aca="false">Sens!J8853+Sens!J8860</f>
        <v>297.001384906671</v>
      </c>
      <c r="K8861" s="6" t="n">
        <f aca="false">Sens!K8853+Sens!K8860</f>
        <v>318.246202433308</v>
      </c>
    </row>
    <row r="8862" customFormat="false" ht="15" hidden="false" customHeight="false" outlineLevel="0" collapsed="false">
      <c r="A8862" s="1" t="s">
        <v>924</v>
      </c>
      <c r="B8862" s="0" t="s">
        <v>98</v>
      </c>
      <c r="D8862" s="6" t="n">
        <f aca="false">Q!L29</f>
        <v>21.795</v>
      </c>
      <c r="E8862" s="6" t="n">
        <f aca="false">Q!M29</f>
        <v>32.185</v>
      </c>
      <c r="F8862" s="6" t="n">
        <f aca="false">Sens!F8861*tax_f</f>
        <v>36.1715063715944</v>
      </c>
      <c r="G8862" s="6" t="n">
        <f aca="false">Sens!G8861*tax_f</f>
        <v>42.3355282459903</v>
      </c>
      <c r="H8862" s="6" t="n">
        <f aca="false">Sens!H8861*tax_f</f>
        <v>49.3436200874922</v>
      </c>
      <c r="I8862" s="6" t="n">
        <f aca="false">Sens!I8861*tax_f</f>
        <v>54.7359776010745</v>
      </c>
      <c r="J8862" s="6" t="n">
        <f aca="false">Sens!J8861*tax_f</f>
        <v>59.4002769813343</v>
      </c>
      <c r="K8862" s="6" t="n">
        <f aca="false">Sens!K8861*tax_f</f>
        <v>63.6492404866616</v>
      </c>
    </row>
    <row r="8863" customFormat="false" ht="15" hidden="false" customHeight="false" outlineLevel="0" collapsed="false">
      <c r="A8863" s="1" t="s">
        <v>925</v>
      </c>
      <c r="B8863" s="0" t="s">
        <v>98</v>
      </c>
      <c r="D8863" s="6" t="n">
        <f aca="false">Sens!D8861-Sens!D8862</f>
        <v>101.832</v>
      </c>
      <c r="E8863" s="6" t="n">
        <f aca="false">Sens!E8861-Sens!E8862</f>
        <v>133.749</v>
      </c>
      <c r="F8863" s="6" t="n">
        <f aca="false">Sens!F8861-Sens!F8862</f>
        <v>144.686025486378</v>
      </c>
      <c r="G8863" s="6" t="n">
        <f aca="false">Sens!G8861-Sens!G8862</f>
        <v>169.342112983961</v>
      </c>
      <c r="H8863" s="6" t="n">
        <f aca="false">Sens!H8861-Sens!H8862</f>
        <v>197.374480349969</v>
      </c>
      <c r="I8863" s="6" t="n">
        <f aca="false">Sens!I8861-Sens!I8862</f>
        <v>218.943910404298</v>
      </c>
      <c r="J8863" s="6" t="n">
        <f aca="false">Sens!J8861-Sens!J8862</f>
        <v>237.601107925337</v>
      </c>
      <c r="K8863" s="6" t="n">
        <f aca="false">Sens!K8861-Sens!K8862</f>
        <v>254.596961946646</v>
      </c>
    </row>
    <row r="8864" customFormat="false" ht="17.15" hidden="false" customHeight="false" outlineLevel="0" collapsed="false">
      <c r="A8864" s="1" t="s">
        <v>926</v>
      </c>
      <c r="B8864" s="1" t="s">
        <v>81</v>
      </c>
      <c r="D8864" s="14" t="n">
        <f aca="false">Q!L31</f>
        <v>7.465</v>
      </c>
      <c r="E8864" s="14" t="n">
        <f aca="false">Q!M31</f>
        <v>7.453</v>
      </c>
      <c r="F8864" s="14" t="n">
        <f aca="false">Sens!F8907</f>
        <v>7.4735</v>
      </c>
      <c r="G8864" s="14" t="n">
        <f aca="false">Sens!G8907</f>
        <v>7.50825810818772</v>
      </c>
      <c r="H8864" s="14" t="n">
        <f aca="false">Sens!H8907</f>
        <v>7.5257678022254</v>
      </c>
      <c r="I8864" s="14" t="n">
        <f aca="false">Sens!I8907</f>
        <v>7.53754863423271</v>
      </c>
      <c r="J8864" s="14" t="n">
        <f aca="false">Sens!J8907</f>
        <v>7.5517901453506</v>
      </c>
      <c r="K8864" s="14" t="n">
        <f aca="false">Sens!K8907</f>
        <v>7.56831006305234</v>
      </c>
    </row>
    <row r="8865" customFormat="false" ht="17.15" hidden="false" customHeight="false" outlineLevel="0" collapsed="false">
      <c r="A8865" s="0" t="s">
        <v>927</v>
      </c>
      <c r="B8865" s="0" t="s">
        <v>75</v>
      </c>
      <c r="D8865" s="8" t="n">
        <f aca="false">Sens!D8863/Sens!D8864</f>
        <v>13.641259209645</v>
      </c>
      <c r="E8865" s="8" t="n">
        <f aca="false">Sens!E8863/Sens!E8864</f>
        <v>17.9456594659869</v>
      </c>
      <c r="F8865" s="8" t="n">
        <f aca="false">Sens!F8863/Sens!F8864</f>
        <v>19.3598749563628</v>
      </c>
      <c r="G8865" s="8" t="n">
        <f aca="false">Sens!G8863/Sens!G8864</f>
        <v>22.5541144888579</v>
      </c>
      <c r="H8865" s="8" t="n">
        <f aca="false">Sens!H8863/Sens!H8864</f>
        <v>26.2264908427821</v>
      </c>
      <c r="I8865" s="8" t="n">
        <f aca="false">Sens!I8863/Sens!I8864</f>
        <v>29.0470975417574</v>
      </c>
      <c r="J8865" s="8" t="n">
        <f aca="false">Sens!J8863/Sens!J8864</f>
        <v>31.4628854022938</v>
      </c>
      <c r="K8865" s="8" t="n">
        <f aca="false">Sens!K8863/Sens!K8864</f>
        <v>33.6398693797656</v>
      </c>
      <c r="L8865" s="1" t="s">
        <v>928</v>
      </c>
    </row>
    <row r="8866" customFormat="false" ht="17.15" hidden="false" customHeight="false" outlineLevel="0" collapsed="false">
      <c r="A8866" s="1" t="s">
        <v>929</v>
      </c>
      <c r="B8866" s="0" t="s">
        <v>98</v>
      </c>
      <c r="D8866" s="6" t="n">
        <f aca="false">Sens!D8863</f>
        <v>101.832</v>
      </c>
      <c r="E8866" s="6" t="n">
        <f aca="false">Sens!E8863</f>
        <v>133.749</v>
      </c>
      <c r="F8866" s="6" t="n">
        <f aca="false">Sens!F8863+Sens!F8856*(1-tax_f)</f>
        <v>151.440013044488</v>
      </c>
      <c r="G8866" s="6" t="n">
        <f aca="false">Sens!G8863+Sens!G8856*(1-tax_f)</f>
        <v>186.434370809362</v>
      </c>
      <c r="H8866" s="6" t="n">
        <f aca="false">Sens!H8863+Sens!H8856*(1-tax_f)</f>
        <v>226.032191603077</v>
      </c>
      <c r="I8866" s="6" t="n">
        <f aca="false">Sens!I8863+Sens!I8856*(1-tax_f)</f>
        <v>258.439257723696</v>
      </c>
      <c r="J8866" s="6" t="n">
        <f aca="false">Sens!J8863+Sens!J8856*(1-tax_f)</f>
        <v>284.826925576486</v>
      </c>
      <c r="K8866" s="6" t="n">
        <f aca="false">Sens!K8863+Sens!K8856*(1-tax_f)</f>
        <v>305.97256977039</v>
      </c>
    </row>
    <row r="8867" customFormat="false" ht="17.15" hidden="false" customHeight="false" outlineLevel="0" collapsed="false">
      <c r="A8867" s="0" t="s">
        <v>930</v>
      </c>
      <c r="B8867" s="0" t="s">
        <v>75</v>
      </c>
      <c r="D8867" s="8" t="n">
        <f aca="false">Sens!D8866/Sens!D8864</f>
        <v>13.641259209645</v>
      </c>
      <c r="E8867" s="8" t="n">
        <f aca="false">Sens!E8866/Sens!E8864</f>
        <v>17.9456594659869</v>
      </c>
      <c r="F8867" s="8" t="n">
        <f aca="false">Sens!F8866/Sens!F8864</f>
        <v>20.263599791863</v>
      </c>
      <c r="G8867" s="8" t="n">
        <f aca="false">Sens!G8866/Sens!G8864</f>
        <v>24.8305756305921</v>
      </c>
      <c r="H8867" s="8" t="n">
        <f aca="false">Sens!H8866/Sens!H8864</f>
        <v>30.0344360260808</v>
      </c>
      <c r="I8867" s="8" t="n">
        <f aca="false">Sens!I8866/Sens!I8864</f>
        <v>34.286910806779</v>
      </c>
      <c r="J8867" s="8" t="n">
        <f aca="false">Sens!J8866/Sens!J8864</f>
        <v>37.7164778276903</v>
      </c>
      <c r="K8867" s="8" t="n">
        <f aca="false">Sens!K8866/Sens!K8864</f>
        <v>40.4281229523239</v>
      </c>
      <c r="L8867" s="1" t="s">
        <v>931</v>
      </c>
    </row>
    <row r="8868" customFormat="false" ht="17.15" hidden="false" customHeight="false" outlineLevel="0" collapsed="false">
      <c r="A8868" s="0" t="s">
        <v>932</v>
      </c>
      <c r="B8868" s="0" t="s">
        <v>129</v>
      </c>
      <c r="E8868" s="7" t="n">
        <f aca="false">Sens!E8867/Sens!D8867-1</f>
        <v>0.315542736208578</v>
      </c>
      <c r="F8868" s="7" t="n">
        <f aca="false">Sens!F8867/Sens!E8867-1</f>
        <v>0.129164399350684</v>
      </c>
      <c r="G8868" s="7" t="n">
        <f aca="false">Sens!G8867/Sens!F8867-1</f>
        <v>0.225378308180124</v>
      </c>
      <c r="H8868" s="7" t="n">
        <f aca="false">Sens!H8867/Sens!G8867-1</f>
        <v>0.20957469826343</v>
      </c>
      <c r="I8868" s="7" t="n">
        <f aca="false">Sens!I8867/Sens!H8867-1</f>
        <v>0.14158663665286</v>
      </c>
      <c r="J8868" s="7" t="n">
        <f aca="false">Sens!J8867/Sens!I8867-1</f>
        <v>0.100025547365241</v>
      </c>
      <c r="K8868" s="7" t="n">
        <f aca="false">Sens!K8867/Sens!J8867-1</f>
        <v>0.0718955024650478</v>
      </c>
    </row>
    <row r="8869" customFormat="false" ht="17.15" hidden="false" customHeight="false" outlineLevel="0" collapsed="false">
      <c r="A8869" s="0" t="s">
        <v>856</v>
      </c>
      <c r="B8869" s="0" t="s">
        <v>98</v>
      </c>
      <c r="E8869" s="6" t="n">
        <f aca="false">Sens!E8810</f>
        <v>5.25</v>
      </c>
      <c r="F8869" s="6" t="n">
        <f aca="false">Sens!F8810</f>
        <v>13.5</v>
      </c>
      <c r="G8869" s="6" t="n">
        <f aca="false">Sens!G8810</f>
        <v>22.5</v>
      </c>
      <c r="H8869" s="6" t="n">
        <f aca="false">Sens!H8810</f>
        <v>31.5</v>
      </c>
      <c r="I8869" s="6" t="n">
        <f aca="false">Sens!I8810</f>
        <v>38.25</v>
      </c>
      <c r="J8869" s="6" t="n">
        <f aca="false">Sens!J8810</f>
        <v>42.75</v>
      </c>
      <c r="K8869" s="6" t="n">
        <f aca="false">Sens!K8810</f>
        <v>47.25</v>
      </c>
    </row>
    <row r="8870" customFormat="false" ht="17.15" hidden="false" customHeight="false" outlineLevel="0" collapsed="false">
      <c r="A8870" s="1" t="s">
        <v>857</v>
      </c>
      <c r="B8870" s="0" t="s">
        <v>98</v>
      </c>
      <c r="F8870" s="6" t="n">
        <f aca="false">MAX(0,((Sens!E8773+Sens!F8773)/2-(shadow_base*(Sens!$D$8773+Sens!$E$8773)/2+(1-shadow_base)*Sens!$E$8773))*Sens!F8781/1000-(Sens!F8869-Sens!$E$8869)*Sens!F8849)</f>
        <v>8.44248444763781</v>
      </c>
      <c r="G8870" s="6" t="n">
        <f aca="false">MAX(0,((Sens!F8773+Sens!G8773)/2-(shadow_base*(Sens!$D$8773+Sens!$E$8773)/2+(1-shadow_base)*Sens!$E$8773))*Sens!G8781/1000-(Sens!G8869-Sens!$E$8869)*Sens!G8849)</f>
        <v>21.3653222817508</v>
      </c>
      <c r="H8870" s="6" t="n">
        <f aca="false">MAX(0,((Sens!G8773+Sens!H8773)/2-(shadow_base*(Sens!$D$8773+Sens!$E$8773)/2+(1-shadow_base)*Sens!$E$8773))*Sens!H8781/1000-(Sens!H8869-Sens!$E$8869)*Sens!H8849)</f>
        <v>35.8221390663856</v>
      </c>
      <c r="I8870" s="6" t="n">
        <f aca="false">MAX(0,((Sens!H8773+Sens!I8773)/2-(shadow_base*(Sens!$D$8773+Sens!$E$8773)/2+(1-shadow_base)*Sens!$E$8773))*Sens!I8781/1000-(Sens!I8869-Sens!$E$8869)*Sens!I8849)</f>
        <v>49.3691841492478</v>
      </c>
      <c r="J8870" s="6" t="n">
        <f aca="false">MAX(0,((Sens!I8773+Sens!J8773)/2-(shadow_base*(Sens!$D$8773+Sens!$E$8773)/2+(1-shadow_base)*Sens!$E$8773))*Sens!J8781/1000-(Sens!J8869-Sens!$E$8869)*Sens!J8849)</f>
        <v>59.0322720639359</v>
      </c>
      <c r="K8870" s="6" t="n">
        <f aca="false">MAX(0,((Sens!J8773+Sens!K8773)/2-(shadow_base*(Sens!$D$8773+Sens!$E$8773)/2+(1-shadow_base)*Sens!$E$8773))*Sens!K8781/1000-(Sens!K8869-Sens!$E$8869)*Sens!K8849)</f>
        <v>64.2195097796802</v>
      </c>
      <c r="L8870" s="1" t="s">
        <v>858</v>
      </c>
    </row>
    <row r="8871" customFormat="false" ht="17.15" hidden="false" customHeight="false" outlineLevel="0" collapsed="false">
      <c r="A8871" s="1" t="s">
        <v>859</v>
      </c>
      <c r="B8871" s="0" t="s">
        <v>98</v>
      </c>
      <c r="F8871" s="6" t="n">
        <f aca="false">IF(internal_ai_reading=2,1,0)*Sens!F8870</f>
        <v>8.44248444763781</v>
      </c>
      <c r="G8871" s="6" t="n">
        <f aca="false">IF(internal_ai_reading=2,1,0)*Sens!G8870</f>
        <v>21.3653222817508</v>
      </c>
      <c r="H8871" s="6" t="n">
        <f aca="false">IF(internal_ai_reading=2,1,0)*Sens!H8870</f>
        <v>35.8221390663856</v>
      </c>
      <c r="I8871" s="6" t="n">
        <f aca="false">IF(internal_ai_reading=2,1,0)*Sens!I8870</f>
        <v>49.3691841492478</v>
      </c>
      <c r="J8871" s="6" t="n">
        <f aca="false">IF(internal_ai_reading=2,1,0)*Sens!J8870</f>
        <v>59.0322720639359</v>
      </c>
      <c r="K8871" s="6" t="n">
        <f aca="false">IF(internal_ai_reading=2,1,0)*Sens!K8870</f>
        <v>64.2195097796802</v>
      </c>
    </row>
    <row r="8872" customFormat="false" ht="17.15" hidden="false" customHeight="false" outlineLevel="0" collapsed="false">
      <c r="A8872" s="0" t="s">
        <v>860</v>
      </c>
      <c r="B8872" s="0" t="s">
        <v>98</v>
      </c>
      <c r="F8872" s="6" t="n">
        <f aca="false">Sens!F8790+Sens!F8869*Sens!F8849+Sens!F8871-Sens!F8791-Sens!F8801</f>
        <v>18.6954441577666</v>
      </c>
      <c r="G8872" s="6" t="n">
        <f aca="false">Sens!G8790+Sens!G8869*Sens!G8849+Sens!G8871-Sens!G8791-Sens!G8801</f>
        <v>42.7730967717415</v>
      </c>
      <c r="H8872" s="6" t="n">
        <f aca="false">Sens!H8790+Sens!H8869*Sens!H8849+Sens!H8871-Sens!H8791-Sens!H8801</f>
        <v>72.3524695349497</v>
      </c>
      <c r="I8872" s="6" t="n">
        <f aca="false">Sens!I8790+Sens!I8869*Sens!I8849+Sens!I8871-Sens!I8791-Sens!I8801</f>
        <v>93.3920399917181</v>
      </c>
      <c r="J8872" s="6" t="n">
        <f aca="false">Sens!J8790+Sens!J8869*Sens!J8849+Sens!J8871-Sens!J8791-Sens!J8801</f>
        <v>108.132424046476</v>
      </c>
      <c r="K8872" s="6" t="n">
        <f aca="false">Sens!K8790+Sens!K8869*Sens!K8849+Sens!K8871-Sens!K8791-Sens!K8801</f>
        <v>118.341283106908</v>
      </c>
    </row>
    <row r="8873" customFormat="false" ht="17.15" hidden="false" customHeight="false" outlineLevel="0" collapsed="false">
      <c r="A8873" s="0" t="s">
        <v>861</v>
      </c>
      <c r="B8873" s="0" t="s">
        <v>98</v>
      </c>
      <c r="E8873" s="6" t="n">
        <f aca="false">Sens!E8772*(cxit_open+self_build*tk_cxfac)/1000*ai_net_open</f>
        <v>126.6980382</v>
      </c>
      <c r="F8873" s="6" t="n">
        <f aca="false">Sens!E8873+Sens!F8798-Sens!F8801</f>
        <v>252.981026690511</v>
      </c>
      <c r="G8873" s="6" t="n">
        <f aca="false">Sens!F8873+Sens!G8798-Sens!G8801</f>
        <v>377.4297700632</v>
      </c>
      <c r="H8873" s="6" t="n">
        <f aca="false">Sens!G8873+Sens!H8798-Sens!H8801</f>
        <v>479.149036130289</v>
      </c>
      <c r="I8873" s="6" t="n">
        <f aca="false">Sens!H8873+Sens!I8798-Sens!I8801</f>
        <v>532.249961452141</v>
      </c>
      <c r="J8873" s="6" t="n">
        <f aca="false">Sens!I8873+Sens!J8798-Sens!J8801</f>
        <v>531.43307519354</v>
      </c>
      <c r="K8873" s="6" t="n">
        <f aca="false">Sens!J8873+Sens!K8798-Sens!K8801</f>
        <v>513.709026452823</v>
      </c>
      <c r="L8873" s="1" t="s">
        <v>862</v>
      </c>
    </row>
    <row r="8874" customFormat="false" ht="17.15" hidden="false" customHeight="false" outlineLevel="0" collapsed="false">
      <c r="A8874" s="0" t="s">
        <v>863</v>
      </c>
      <c r="B8874" s="0" t="s">
        <v>129</v>
      </c>
      <c r="F8874" s="7" t="n">
        <f aca="false">Sens!F8872*(1-tax_f)/((Sens!E8873+Sens!F8873)/2)</f>
        <v>0.0787841980727922</v>
      </c>
      <c r="G8874" s="7" t="n">
        <f aca="false">Sens!G8872*(1-tax_f)/((Sens!F8873+Sens!G8873)/2)</f>
        <v>0.108559300042451</v>
      </c>
      <c r="H8874" s="7" t="n">
        <f aca="false">Sens!H8872*(1-tax_f)/((Sens!G8873+Sens!H8873)/2)</f>
        <v>0.135146877810762</v>
      </c>
      <c r="I8874" s="7" t="n">
        <f aca="false">Sens!I8872*(1-tax_f)/((Sens!H8873+Sens!I8873)/2)</f>
        <v>0.147743140287788</v>
      </c>
      <c r="J8874" s="7" t="n">
        <f aca="false">Sens!J8872*(1-tax_f)/((Sens!I8873+Sens!J8873)/2)</f>
        <v>0.162653603107137</v>
      </c>
      <c r="K8874" s="7" t="n">
        <f aca="false">Sens!K8872*(1-tax_f)/((Sens!J8873+Sens!K8873)/2)</f>
        <v>0.181167759554213</v>
      </c>
    </row>
    <row r="8875" customFormat="false" ht="17.15" hidden="false" customHeight="false" outlineLevel="0" collapsed="false">
      <c r="A8875" s="1" t="s">
        <v>864</v>
      </c>
      <c r="B8875" s="0" t="s">
        <v>129</v>
      </c>
      <c r="F8875" s="7" t="n">
        <f aca="false">(Sens!F8872-Sens!F8871)*(1-tax_f)/((Sens!E8873+Sens!F8873)/2)</f>
        <v>0.0432068477121243</v>
      </c>
      <c r="G8875" s="7" t="n">
        <f aca="false">(Sens!G8872-Sens!G8871)*(1-tax_f)/((Sens!F8873+Sens!G8873)/2)</f>
        <v>0.0543335224592717</v>
      </c>
      <c r="H8875" s="7" t="n">
        <f aca="false">(Sens!H8872-Sens!H8871)*(1-tax_f)/((Sens!G8873+Sens!H8873)/2)</f>
        <v>0.0682348527970699</v>
      </c>
      <c r="I8875" s="7" t="n">
        <f aca="false">(Sens!I8872-Sens!I8871)*(1-tax_f)/((Sens!H8873+Sens!I8873)/2)</f>
        <v>0.0696427122395006</v>
      </c>
      <c r="J8875" s="7" t="n">
        <f aca="false">(Sens!J8872-Sens!J8871)*(1-tax_f)/((Sens!I8873+Sens!J8873)/2)</f>
        <v>0.0738568168011806</v>
      </c>
      <c r="K8875" s="7" t="n">
        <f aca="false">(Sens!K8872-Sens!K8871)*(1-tax_f)/((Sens!J8873+Sens!K8873)/2)</f>
        <v>0.0828546062656513</v>
      </c>
    </row>
    <row r="8876" customFormat="false" ht="17.15" hidden="false" customHeight="false" outlineLevel="0" collapsed="false">
      <c r="A8876" s="1" t="s">
        <v>865</v>
      </c>
      <c r="B8876" s="0" t="s">
        <v>129</v>
      </c>
      <c r="F8876" s="7" t="n">
        <f aca="false">(Sens!F8872-Sens!F8871+Sens!F8870)*(1-tax_f)/((Sens!E8873+Sens!F8873)/2)</f>
        <v>0.0787841980727922</v>
      </c>
      <c r="G8876" s="7" t="n">
        <f aca="false">(Sens!G8872-Sens!G8871+Sens!G8870)*(1-tax_f)/((Sens!F8873+Sens!G8873)/2)</f>
        <v>0.108559300042451</v>
      </c>
      <c r="H8876" s="7" t="n">
        <f aca="false">(Sens!H8872-Sens!H8871+Sens!H8870)*(1-tax_f)/((Sens!G8873+Sens!H8873)/2)</f>
        <v>0.135146877810762</v>
      </c>
      <c r="I8876" s="7" t="n">
        <f aca="false">(Sens!I8872-Sens!I8871+Sens!I8870)*(1-tax_f)/((Sens!H8873+Sens!I8873)/2)</f>
        <v>0.147743140287788</v>
      </c>
      <c r="J8876" s="7" t="n">
        <f aca="false">(Sens!J8872-Sens!J8871+Sens!J8870)*(1-tax_f)/((Sens!I8873+Sens!J8873)/2)</f>
        <v>0.162653603107137</v>
      </c>
      <c r="K8876" s="7" t="n">
        <f aca="false">(Sens!K8872-Sens!K8871+Sens!K8870)*(1-tax_f)/((Sens!J8873+Sens!K8873)/2)</f>
        <v>0.181167759554213</v>
      </c>
    </row>
    <row r="8877" customFormat="false" ht="17.15" hidden="false" customHeight="false" outlineLevel="0" collapsed="false">
      <c r="A8877" s="1" t="s">
        <v>866</v>
      </c>
      <c r="B8877" s="0" t="s">
        <v>129</v>
      </c>
      <c r="F8877" s="7" t="n">
        <f aca="false">Sens!F8802*(1-tax_f)/(Sens!F8789*(Sens!E8873+Sens!F8873)/2)</f>
        <v>0.159418295257403</v>
      </c>
      <c r="G8877" s="7" t="n">
        <f aca="false">Sens!G8802*(1-tax_f)/(Sens!G8789*(Sens!F8873+Sens!G8873)/2)</f>
        <v>0.181875227327983</v>
      </c>
      <c r="H8877" s="7" t="n">
        <f aca="false">Sens!H8802*(1-tax_f)/(Sens!H8789*(Sens!G8873+Sens!H8873)/2)</f>
        <v>0.212793847216411</v>
      </c>
      <c r="I8877" s="7" t="n">
        <f aca="false">Sens!I8802*(1-tax_f)/(Sens!I8789*(Sens!H8873+Sens!I8873)/2)</f>
        <v>0.225613268329429</v>
      </c>
      <c r="J8877" s="7" t="n">
        <f aca="false">Sens!J8802*(1-tax_f)/(Sens!J8789*(Sens!I8873+Sens!J8873)/2)</f>
        <v>0.24488839563955</v>
      </c>
      <c r="K8877" s="7" t="n">
        <f aca="false">Sens!K8802*(1-tax_f)/(Sens!K8789*(Sens!J8873+Sens!K8873)/2)</f>
        <v>0.270711455180788</v>
      </c>
    </row>
    <row r="8878" customFormat="false" ht="17.15" hidden="false" customHeight="false" outlineLevel="0" collapsed="false">
      <c r="A8878" s="0" t="s">
        <v>867</v>
      </c>
      <c r="B8878" s="0" t="s">
        <v>209</v>
      </c>
      <c r="F8878" s="7" t="n">
        <f aca="false">Sens!F8874-wacc</f>
        <v>-0.0241502220200835</v>
      </c>
      <c r="G8878" s="7" t="n">
        <f aca="false">Sens!G8874-wacc</f>
        <v>0.00562487994957479</v>
      </c>
      <c r="H8878" s="7" t="n">
        <f aca="false">Sens!H8874-wacc</f>
        <v>0.0322124577178859</v>
      </c>
      <c r="I8878" s="7" t="n">
        <f aca="false">Sens!I8874-wacc</f>
        <v>0.0448087201949121</v>
      </c>
      <c r="J8878" s="7" t="n">
        <f aca="false">Sens!J8874-wacc</f>
        <v>0.0597191830142614</v>
      </c>
      <c r="K8878" s="7" t="n">
        <f aca="false">Sens!K8874-wacc</f>
        <v>0.0782333394613372</v>
      </c>
    </row>
    <row r="8879" customFormat="false" ht="17.15" hidden="false" customHeight="false" outlineLevel="0" collapsed="false">
      <c r="A8879" s="0" t="s">
        <v>868</v>
      </c>
      <c r="B8879" s="0" t="s">
        <v>98</v>
      </c>
      <c r="F8879" s="6" t="n">
        <f aca="false">Sens!F8872*(1-tax_f)-wacc*(Sens!E8873+Sens!F8873)/2</f>
        <v>-4.58466685674177</v>
      </c>
      <c r="G8879" s="6" t="n">
        <f aca="false">Sens!G8872*(1-tax_f)-wacc*(Sens!F8873+Sens!G8873)/2</f>
        <v>1.77299252532771</v>
      </c>
      <c r="H8879" s="6" t="n">
        <f aca="false">Sens!H8872*(1-tax_f)-wacc*(Sens!G8873+Sens!H8873)/2</f>
        <v>13.7962542882725</v>
      </c>
      <c r="I8879" s="6" t="n">
        <f aca="false">Sens!I8872*(1-tax_f)-wacc*(Sens!H8873+Sens!I8873)/2</f>
        <v>22.6597473440428</v>
      </c>
      <c r="J8879" s="6" t="n">
        <f aca="false">Sens!J8872*(1-tax_f)-wacc*(Sens!I8873+Sens!J8873)/2</f>
        <v>31.7611409673044</v>
      </c>
      <c r="K8879" s="6" t="n">
        <f aca="false">Sens!K8872*(1-tax_f)-wacc*(Sens!J8873+Sens!K8873)/2</f>
        <v>40.8824784117176</v>
      </c>
    </row>
    <row r="8880" customFormat="false" ht="17.15" hidden="false" customHeight="false" outlineLevel="0" collapsed="false">
      <c r="A8880" s="3" t="s">
        <v>1490</v>
      </c>
    </row>
    <row r="8881" customFormat="false" ht="15" hidden="false" customHeight="false" outlineLevel="0" collapsed="false">
      <c r="A8881" s="4" t="s">
        <v>43</v>
      </c>
      <c r="B8881" s="4" t="s">
        <v>65</v>
      </c>
      <c r="C8881" s="20" t="s">
        <v>799</v>
      </c>
      <c r="D8881" s="20" t="s">
        <v>800</v>
      </c>
      <c r="E8881" s="20" t="s">
        <v>801</v>
      </c>
      <c r="F8881" s="20" t="s">
        <v>802</v>
      </c>
      <c r="G8881" s="20" t="s">
        <v>803</v>
      </c>
      <c r="H8881" s="20" t="s">
        <v>804</v>
      </c>
      <c r="I8881" s="20" t="s">
        <v>805</v>
      </c>
      <c r="J8881" s="20" t="s">
        <v>806</v>
      </c>
      <c r="K8881" s="20" t="s">
        <v>807</v>
      </c>
      <c r="L8881" s="4" t="s">
        <v>47</v>
      </c>
    </row>
    <row r="8882" customFormat="false" ht="15" hidden="false" customHeight="false" outlineLevel="0" collapsed="false">
      <c r="A8882" s="1" t="s">
        <v>925</v>
      </c>
      <c r="B8882" s="0" t="s">
        <v>98</v>
      </c>
      <c r="F8882" s="6" t="n">
        <f aca="false">Sens!F8863</f>
        <v>144.686025486378</v>
      </c>
      <c r="G8882" s="6" t="n">
        <f aca="false">Sens!G8863</f>
        <v>169.342112983961</v>
      </c>
      <c r="H8882" s="6" t="n">
        <f aca="false">Sens!H8863</f>
        <v>197.374480349969</v>
      </c>
      <c r="I8882" s="6" t="n">
        <f aca="false">Sens!I8863</f>
        <v>218.943910404298</v>
      </c>
      <c r="J8882" s="6" t="n">
        <f aca="false">Sens!J8863</f>
        <v>237.601107925337</v>
      </c>
      <c r="K8882" s="6" t="n">
        <f aca="false">Sens!K8863</f>
        <v>254.596961946646</v>
      </c>
    </row>
    <row r="8883" customFormat="false" ht="17.15" hidden="false" customHeight="false" outlineLevel="0" collapsed="false">
      <c r="A8883" s="1" t="s">
        <v>947</v>
      </c>
      <c r="B8883" s="0" t="s">
        <v>98</v>
      </c>
      <c r="E8883" s="6" t="n">
        <f aca="false">Q!M38-Sens!E8801</f>
        <v>22.2285940229167</v>
      </c>
      <c r="F8883" s="6" t="n">
        <f aca="false">Sens!E8883*(1-1/life_nonai)+(Sens!F8890+Sens!F8891)/life_nonai</f>
        <v>24.3924470334783</v>
      </c>
      <c r="G8883" s="6" t="n">
        <f aca="false">Sens!F8883*(1-1/life_nonai)+(Sens!G8890)/life_nonai</f>
        <v>26.1101965466758</v>
      </c>
      <c r="H8883" s="6" t="n">
        <f aca="false">Sens!G8883*(1-1/life_nonai)+(Sens!H8890)/life_nonai</f>
        <v>28.2481131380704</v>
      </c>
      <c r="I8883" s="6" t="n">
        <f aca="false">Sens!H8883*(1-1/life_nonai)+(Sens!I8890)/life_nonai</f>
        <v>30.7276070514206</v>
      </c>
      <c r="J8883" s="6" t="n">
        <f aca="false">Sens!I8883*(1-1/life_nonai)+(Sens!J8890)/life_nonai</f>
        <v>33.4544557964366</v>
      </c>
      <c r="K8883" s="6" t="n">
        <f aca="false">Sens!J8883*(1-1/life_nonai)+(Sens!K8890)/life_nonai</f>
        <v>36.342175620287</v>
      </c>
      <c r="L8883" s="11" t="s">
        <v>948</v>
      </c>
    </row>
    <row r="8884" customFormat="false" ht="17.15" hidden="false" customHeight="false" outlineLevel="0" collapsed="false">
      <c r="A8884" s="1" t="s">
        <v>949</v>
      </c>
      <c r="B8884" s="0" t="s">
        <v>98</v>
      </c>
      <c r="F8884" s="6" t="n">
        <f aca="false">Sens!$F$8891/life_nonai*(1-1/life_nonai)^(Sens!F8767-2027)</f>
        <v>0.814771089897089</v>
      </c>
      <c r="G8884" s="6" t="n">
        <f aca="false">Sens!$F$8891/life_nonai*(1-1/life_nonai)^(Sens!G8767-2027)</f>
        <v>0.73329398090738</v>
      </c>
      <c r="H8884" s="6" t="n">
        <f aca="false">Sens!$F$8891/life_nonai*(1-1/life_nonai)^(Sens!H8767-2027)</f>
        <v>0.659964582816642</v>
      </c>
      <c r="I8884" s="6" t="n">
        <f aca="false">Sens!$F$8891/life_nonai*(1-1/life_nonai)^(Sens!I8767-2027)</f>
        <v>0.593968124534978</v>
      </c>
      <c r="J8884" s="6" t="n">
        <f aca="false">Sens!$F$8891/life_nonai*(1-1/life_nonai)^(Sens!J8767-2027)</f>
        <v>0.53457131208148</v>
      </c>
      <c r="K8884" s="6" t="n">
        <f aca="false">Sens!$F$8891/life_nonai*(1-1/life_nonai)^(Sens!K8767-2027)</f>
        <v>0.481114180873332</v>
      </c>
      <c r="L8884" s="1" t="s">
        <v>950</v>
      </c>
    </row>
    <row r="8885" customFormat="false" ht="17.15" hidden="false" customHeight="false" outlineLevel="0" collapsed="false">
      <c r="A8885" s="1" t="s">
        <v>951</v>
      </c>
      <c r="B8885" s="0" t="s">
        <v>98</v>
      </c>
      <c r="E8885" s="6" t="n">
        <f aca="false">Sens!E8801+Sens!E8883</f>
        <v>38.534</v>
      </c>
      <c r="F8885" s="6" t="n">
        <f aca="false">Sens!F8801+Sens!F8883</f>
        <v>58.4423344144339</v>
      </c>
      <c r="G8885" s="6" t="n">
        <f aca="false">Sens!G8801+Sens!G8883</f>
        <v>85.2356336571869</v>
      </c>
      <c r="H8885" s="6" t="n">
        <f aca="false">Sens!H8801+Sens!H8883</f>
        <v>114.609132981381</v>
      </c>
      <c r="I8885" s="6" t="n">
        <f aca="false">Sens!I8801+Sens!I8883</f>
        <v>141.333350883813</v>
      </c>
      <c r="J8885" s="6" t="n">
        <f aca="false">Sens!J8801+Sens!J8883</f>
        <v>161.45277864928</v>
      </c>
      <c r="K8885" s="6" t="n">
        <f aca="false">Sens!K8801+Sens!K8883</f>
        <v>175.473639664595</v>
      </c>
    </row>
    <row r="8886" customFormat="false" ht="17.15" hidden="false" customHeight="false" outlineLevel="0" collapsed="false">
      <c r="A8886" s="1" t="s">
        <v>952</v>
      </c>
      <c r="B8886" s="0" t="s">
        <v>98</v>
      </c>
      <c r="F8886" s="6" t="n">
        <f aca="false">Sens!F8828*sbc_r</f>
        <v>15.1194371427636</v>
      </c>
      <c r="G8886" s="6" t="n">
        <f aca="false">Sens!G8828*sbc_r</f>
        <v>18.3624810502544</v>
      </c>
      <c r="H8886" s="6" t="n">
        <f aca="false">Sens!H8828*sbc_r</f>
        <v>21.8434372336845</v>
      </c>
      <c r="I8886" s="6" t="n">
        <f aca="false">Sens!I8828*sbc_r</f>
        <v>24.8092422083452</v>
      </c>
      <c r="J8886" s="6" t="n">
        <f aca="false">Sens!J8828*sbc_r</f>
        <v>27.1987508864539</v>
      </c>
      <c r="K8886" s="6" t="n">
        <f aca="false">Sens!K8828*sbc_r</f>
        <v>29.1142590851898</v>
      </c>
    </row>
    <row r="8887" customFormat="false" ht="17.15" hidden="false" customHeight="false" outlineLevel="0" collapsed="false">
      <c r="A8887" s="1" t="s">
        <v>953</v>
      </c>
      <c r="B8887" s="0" t="s">
        <v>98</v>
      </c>
      <c r="F8887" s="6" t="n">
        <f aca="false">wc27</f>
        <v>-4.895</v>
      </c>
      <c r="G8887" s="6" t="n">
        <f aca="false">wc_f</f>
        <v>0</v>
      </c>
      <c r="H8887" s="6" t="n">
        <f aca="false">wc_f</f>
        <v>0</v>
      </c>
      <c r="I8887" s="6" t="n">
        <f aca="false">wc_f</f>
        <v>0</v>
      </c>
      <c r="J8887" s="6" t="n">
        <f aca="false">wc_f</f>
        <v>0</v>
      </c>
      <c r="K8887" s="6" t="n">
        <f aca="false">wc_f</f>
        <v>0</v>
      </c>
      <c r="L8887" s="11" t="s">
        <v>954</v>
      </c>
    </row>
    <row r="8888" customFormat="false" ht="15" hidden="false" customHeight="false" outlineLevel="0" collapsed="false">
      <c r="A8888" s="1" t="s">
        <v>767</v>
      </c>
      <c r="B8888" s="0" t="s">
        <v>98</v>
      </c>
      <c r="E8888" s="6" t="n">
        <f aca="false">Q!M35</f>
        <v>182.935</v>
      </c>
      <c r="F8888" s="6" t="n">
        <f aca="false">Sens!F8882+Sens!F8885+Sens!F8886+Sens!F8887</f>
        <v>213.352797043575</v>
      </c>
      <c r="G8888" s="6" t="n">
        <f aca="false">Sens!G8882+Sens!G8885+Sens!G8886+Sens!G8887</f>
        <v>272.940227691403</v>
      </c>
      <c r="H8888" s="6" t="n">
        <f aca="false">Sens!H8882+Sens!H8885+Sens!H8886+Sens!H8887</f>
        <v>333.827050565035</v>
      </c>
      <c r="I8888" s="6" t="n">
        <f aca="false">Sens!I8882+Sens!I8885+Sens!I8886+Sens!I8887</f>
        <v>385.086503496456</v>
      </c>
      <c r="J8888" s="6" t="n">
        <f aca="false">Sens!J8882+Sens!J8885+Sens!J8886+Sens!J8887</f>
        <v>426.252637461071</v>
      </c>
      <c r="K8888" s="6" t="n">
        <f aca="false">Sens!K8882+Sens!K8885+Sens!K8886+Sens!K8887</f>
        <v>459.184860696431</v>
      </c>
    </row>
    <row r="8889" customFormat="false" ht="17.15" hidden="false" customHeight="false" outlineLevel="0" collapsed="false">
      <c r="A8889" s="0" t="s">
        <v>955</v>
      </c>
      <c r="B8889" s="0" t="s">
        <v>98</v>
      </c>
      <c r="F8889" s="6" t="n">
        <f aca="false">Sens!F8798</f>
        <v>160.332875871467</v>
      </c>
      <c r="G8889" s="6" t="n">
        <f aca="false">Sens!G8798</f>
        <v>183.5741804832</v>
      </c>
      <c r="H8889" s="6" t="n">
        <f aca="false">Sens!H8798</f>
        <v>188.0802859104</v>
      </c>
      <c r="I8889" s="6" t="n">
        <f aca="false">Sens!I8798</f>
        <v>163.706669154245</v>
      </c>
      <c r="J8889" s="6" t="n">
        <f aca="false">Sens!J8798</f>
        <v>127.181436594242</v>
      </c>
      <c r="K8889" s="6" t="n">
        <f aca="false">Sens!K8798</f>
        <v>121.407415303591</v>
      </c>
    </row>
    <row r="8890" customFormat="false" ht="17.15" hidden="false" customHeight="false" outlineLevel="0" collapsed="false">
      <c r="A8890" s="1" t="s">
        <v>956</v>
      </c>
      <c r="B8890" s="0" t="s">
        <v>98</v>
      </c>
      <c r="E8890" s="6" t="n">
        <f aca="false">Sens!E8806*cx_azo+Sens!E8813*cx_m365+Sens!E8814*cx_lic+(Sens!E8816+Sens!E8818)*cx_ind+Sens!E8821*cx_srch+(Sens!E8823+Sens!E8825)*cx_dev</f>
        <v>30.1846587067718</v>
      </c>
      <c r="F8890" s="6" t="n">
        <f aca="false">Sens!F8806*cx_azo+Sens!F8813*cx_m365+Sens!F8814*cx_lic+(Sens!F8816+Sens!F8818)*cx_ind+Sens!F8821*cx_srch+(Sens!F8823+Sens!F8825)*cx_dev</f>
        <v>35.7194132295625</v>
      </c>
      <c r="G8890" s="6" t="n">
        <f aca="false">Sens!G8806*cx_azo+Sens!G8813*cx_m365+Sens!G8814*cx_lic+(Sens!G8816+Sens!G8818)*cx_ind+Sens!G8821*cx_srch+(Sens!G8823+Sens!G8825)*cx_dev</f>
        <v>41.5699421654528</v>
      </c>
      <c r="H8890" s="6" t="n">
        <f aca="false">Sens!H8806*cx_azo+Sens!H8813*cx_m365+Sens!H8814*cx_lic+(Sens!H8816+Sens!H8818)*cx_ind+Sens!H8821*cx_srch+(Sens!H8823+Sens!H8825)*cx_dev</f>
        <v>47.4893624606218</v>
      </c>
      <c r="I8890" s="6" t="n">
        <f aca="false">Sens!I8806*cx_azo+Sens!I8813*cx_m365+Sens!I8814*cx_lic+(Sens!I8816+Sens!I8818)*cx_ind+Sens!I8821*cx_srch+(Sens!I8823+Sens!I8825)*cx_dev</f>
        <v>53.0430522715721</v>
      </c>
      <c r="J8890" s="6" t="n">
        <f aca="false">Sens!J8806*cx_azo+Sens!J8813*cx_m365+Sens!J8814*cx_lic+(Sens!J8816+Sens!J8818)*cx_ind+Sens!J8821*cx_srch+(Sens!J8823+Sens!J8825)*cx_dev</f>
        <v>57.996094501581</v>
      </c>
      <c r="K8890" s="6" t="n">
        <f aca="false">Sens!K8806*cx_azo+Sens!K8813*cx_m365+Sens!K8814*cx_lic+(Sens!K8816+Sens!K8818)*cx_ind+Sens!K8821*cx_srch+(Sens!K8823+Sens!K8825)*cx_dev</f>
        <v>62.3316540349409</v>
      </c>
    </row>
    <row r="8891" customFormat="false" ht="17.15" hidden="false" customHeight="false" outlineLevel="0" collapsed="false">
      <c r="A8891" s="0" t="s">
        <v>957</v>
      </c>
      <c r="B8891" s="0" t="s">
        <v>98</v>
      </c>
      <c r="F8891" s="6" t="n">
        <f aca="false">Sens!F8796</f>
        <v>8.14771089897089</v>
      </c>
      <c r="L8891" s="1" t="s">
        <v>958</v>
      </c>
    </row>
    <row r="8892" customFormat="false" ht="17.15" hidden="false" customHeight="false" outlineLevel="0" collapsed="false">
      <c r="A8892" s="1" t="s">
        <v>959</v>
      </c>
      <c r="B8892" s="0" t="s">
        <v>98</v>
      </c>
      <c r="E8892" s="6" t="n">
        <f aca="false">Q!M42</f>
        <v>145.3</v>
      </c>
      <c r="F8892" s="6" t="n">
        <f aca="false">Sens!F8889+Sens!F8890+Sens!F8891</f>
        <v>204.2</v>
      </c>
      <c r="G8892" s="6" t="n">
        <f aca="false">Sens!G8889+Sens!G8890</f>
        <v>225.144122648653</v>
      </c>
      <c r="H8892" s="6" t="n">
        <f aca="false">Sens!H8889+Sens!H8890</f>
        <v>235.569648371022</v>
      </c>
      <c r="I8892" s="6" t="n">
        <f aca="false">Sens!I8889+Sens!I8890</f>
        <v>216.749721425818</v>
      </c>
      <c r="J8892" s="6" t="n">
        <f aca="false">Sens!J8889+Sens!J8890</f>
        <v>185.177531095823</v>
      </c>
      <c r="K8892" s="6" t="n">
        <f aca="false">Sens!K8889+Sens!K8890</f>
        <v>183.739069338532</v>
      </c>
      <c r="L8892" s="1" t="s">
        <v>960</v>
      </c>
    </row>
    <row r="8893" customFormat="false" ht="15" hidden="false" customHeight="false" outlineLevel="0" collapsed="false">
      <c r="A8893" s="1" t="s">
        <v>961</v>
      </c>
      <c r="B8893" s="0" t="s">
        <v>98</v>
      </c>
      <c r="E8893" s="6" t="n">
        <f aca="false">fl_liab</f>
        <v>66.594</v>
      </c>
      <c r="F8893" s="6" t="n">
        <f aca="false">Sens!E8893-Sens!F8894</f>
        <v>62.46973</v>
      </c>
      <c r="G8893" s="6" t="n">
        <f aca="false">Sens!F8893-Sens!G8894</f>
        <v>57.98686785</v>
      </c>
      <c r="H8893" s="6" t="n">
        <f aca="false">Sens!G8893-Sens!H8894</f>
        <v>53.92827690325</v>
      </c>
      <c r="I8893" s="6" t="n">
        <f aca="false">Sens!H8893-Sens!I8894</f>
        <v>49.7850493638962</v>
      </c>
      <c r="J8893" s="6" t="n">
        <f aca="false">Sens!I8893-Sens!J8894</f>
        <v>45.4823765852716</v>
      </c>
      <c r="K8893" s="6" t="n">
        <f aca="false">Sens!J8893-Sens!K8894</f>
        <v>40.9860835316088</v>
      </c>
    </row>
    <row r="8894" customFormat="false" ht="15" hidden="false" customHeight="false" outlineLevel="0" collapsed="false">
      <c r="A8894" s="1" t="s">
        <v>962</v>
      </c>
      <c r="B8894" s="0" t="s">
        <v>98</v>
      </c>
      <c r="F8894" s="6" t="n">
        <f aca="false">fl_pay_27-Sens!E8893*fl_rate</f>
        <v>4.12427</v>
      </c>
      <c r="G8894" s="6" t="n">
        <f aca="false">fl_pay_28-Sens!F8893*fl_rate</f>
        <v>4.48286215</v>
      </c>
      <c r="H8894" s="6" t="n">
        <f aca="false">fl_pay_29-Sens!G8893*fl_rate</f>
        <v>4.05859094675</v>
      </c>
      <c r="I8894" s="6" t="n">
        <f aca="false">fl_pay_30-Sens!H8893*fl_rate</f>
        <v>4.14322753935375</v>
      </c>
      <c r="J8894" s="6" t="n">
        <f aca="false">fl_pay_31-Sens!I8893*fl_rate</f>
        <v>4.30267277862467</v>
      </c>
      <c r="K8894" s="6" t="n">
        <f aca="false">fl_pay_32-Sens!J8893*fl_rate</f>
        <v>4.49629305366278</v>
      </c>
    </row>
    <row r="8895" customFormat="false" ht="17.15" hidden="false" customHeight="false" outlineLevel="0" collapsed="false">
      <c r="A8895" s="1" t="s">
        <v>963</v>
      </c>
      <c r="B8895" s="0" t="s">
        <v>98</v>
      </c>
      <c r="E8895" s="6" t="n">
        <f aca="false">Q!M35-Q!M36-Q!M43</f>
        <v>63.886</v>
      </c>
      <c r="F8895" s="6" t="n">
        <f aca="false">Sens!F8888-Sens!F8892-Sens!F8894</f>
        <v>5.02852704357505</v>
      </c>
      <c r="G8895" s="6" t="n">
        <f aca="false">Sens!G8888-Sens!G8892-Sens!G8894</f>
        <v>43.3132428927499</v>
      </c>
      <c r="H8895" s="6" t="n">
        <f aca="false">Sens!H8888-Sens!H8892-Sens!H8894</f>
        <v>94.1988112472631</v>
      </c>
      <c r="I8895" s="6" t="n">
        <f aca="false">Sens!I8888-Sens!I8892-Sens!I8894</f>
        <v>164.193554531285</v>
      </c>
      <c r="J8895" s="6" t="n">
        <f aca="false">Sens!J8888-Sens!J8892-Sens!J8894</f>
        <v>236.772433586623</v>
      </c>
      <c r="K8895" s="6" t="n">
        <f aca="false">Sens!K8888-Sens!K8892-Sens!K8894</f>
        <v>270.949498304237</v>
      </c>
      <c r="L8895" s="11" t="s">
        <v>964</v>
      </c>
    </row>
    <row r="8896" customFormat="false" ht="15" hidden="false" customHeight="false" outlineLevel="0" collapsed="false">
      <c r="A8896" s="1" t="s">
        <v>965</v>
      </c>
      <c r="B8896" s="0" t="s">
        <v>75</v>
      </c>
      <c r="F8896" s="8" t="n">
        <f aca="false">dps_27</f>
        <v>3.85</v>
      </c>
      <c r="G8896" s="8" t="n">
        <f aca="false">Sens!F8896*(1+dps_g)</f>
        <v>4.158</v>
      </c>
      <c r="H8896" s="8" t="n">
        <f aca="false">Sens!G8896*(1+dps_g)</f>
        <v>4.49064</v>
      </c>
      <c r="I8896" s="8" t="n">
        <f aca="false">Sens!H8896*(1+dps_g)</f>
        <v>4.8498912</v>
      </c>
      <c r="J8896" s="8" t="n">
        <f aca="false">Sens!I8896*(1+dps_g)</f>
        <v>5.237882496</v>
      </c>
      <c r="K8896" s="8" t="n">
        <f aca="false">Sens!J8896*(1+dps_g)</f>
        <v>5.65691309568</v>
      </c>
    </row>
    <row r="8897" customFormat="false" ht="17.15" hidden="false" customHeight="false" outlineLevel="0" collapsed="false">
      <c r="A8897" s="1" t="s">
        <v>966</v>
      </c>
      <c r="B8897" s="0" t="s">
        <v>98</v>
      </c>
      <c r="E8897" s="6" t="n">
        <f aca="false">Q!M41</f>
        <v>26.445</v>
      </c>
      <c r="F8897" s="6" t="n">
        <f aca="false">Sens!F8896*Sens!E8906</f>
        <v>28.59395</v>
      </c>
      <c r="G8897" s="6" t="n">
        <f aca="false">Sens!G8896*Sens!F8906</f>
        <v>31.068576</v>
      </c>
      <c r="H8897" s="6" t="n">
        <f aca="false">Sens!H8896*Sens!G8906</f>
        <v>33.6641555819043</v>
      </c>
      <c r="I8897" s="6" t="n">
        <f aca="false">Sens!I8896*Sens!H8906</f>
        <v>36.408227268456</v>
      </c>
      <c r="J8897" s="6" t="n">
        <f aca="false">Sens!J8896*Sens!I8906</f>
        <v>39.389284298252</v>
      </c>
      <c r="K8897" s="6" t="n">
        <f aca="false">Sens!K8896*Sens!J8906</f>
        <v>42.6276822674172</v>
      </c>
      <c r="L8897" s="1" t="s">
        <v>967</v>
      </c>
    </row>
    <row r="8898" customFormat="false" ht="15" hidden="false" customHeight="false" outlineLevel="0" collapsed="false">
      <c r="A8898" s="1" t="s">
        <v>968</v>
      </c>
      <c r="B8898" s="0" t="s">
        <v>98</v>
      </c>
      <c r="E8898" s="6" t="n">
        <f aca="false">Sens!E8895-Sens!E8897</f>
        <v>37.441</v>
      </c>
      <c r="F8898" s="6" t="n">
        <f aca="false">Sens!F8895-Sens!F8897</f>
        <v>-23.565422956425</v>
      </c>
      <c r="G8898" s="6" t="n">
        <f aca="false">Sens!G8895-Sens!G8897</f>
        <v>12.2446668927499</v>
      </c>
      <c r="H8898" s="6" t="n">
        <f aca="false">Sens!H8895-Sens!H8897</f>
        <v>60.5346556653589</v>
      </c>
      <c r="I8898" s="6" t="n">
        <f aca="false">Sens!I8895-Sens!I8897</f>
        <v>127.785327262829</v>
      </c>
      <c r="J8898" s="6" t="n">
        <f aca="false">Sens!J8895-Sens!J8897</f>
        <v>197.383149288371</v>
      </c>
      <c r="K8898" s="6" t="n">
        <f aca="false">Sens!K8895-Sens!K8897</f>
        <v>228.32181603682</v>
      </c>
    </row>
    <row r="8899" customFormat="false" ht="15" hidden="false" customHeight="false" outlineLevel="0" collapsed="false">
      <c r="A8899" s="1" t="s">
        <v>969</v>
      </c>
      <c r="B8899" s="0" t="s">
        <v>98</v>
      </c>
      <c r="F8899" s="6" t="n">
        <f aca="false">debt_mat_27</f>
        <v>9.25</v>
      </c>
      <c r="G8899" s="6" t="n">
        <f aca="false">debt_mat_28</f>
        <v>0</v>
      </c>
      <c r="H8899" s="6" t="n">
        <f aca="false">debt_mat_29</f>
        <v>2.001</v>
      </c>
      <c r="I8899" s="6" t="n">
        <f aca="false">debt_mat_30</f>
        <v>0</v>
      </c>
      <c r="J8899" s="6" t="n">
        <f aca="false">debt_mat_31</f>
        <v>0.5</v>
      </c>
      <c r="K8899" s="6" t="n">
        <f aca="false">debt_mat_32</f>
        <v>0</v>
      </c>
    </row>
    <row r="8900" customFormat="false" ht="15" hidden="false" customHeight="false" outlineLevel="0" collapsed="false">
      <c r="A8900" s="1" t="s">
        <v>970</v>
      </c>
      <c r="B8900" s="0" t="s">
        <v>98</v>
      </c>
      <c r="E8900" s="6" t="n">
        <f aca="false">Q!M40</f>
        <v>22.271</v>
      </c>
      <c r="F8900" s="6" t="n">
        <f aca="false">MAX(0,MIN(bb_target,Sens!E8902+Sens!F8898-Sens!F8899-min_cash))</f>
        <v>0</v>
      </c>
      <c r="G8900" s="6" t="n">
        <f aca="false">MAX(0,MIN(bb_target,Sens!F8902+Sens!G8898-Sens!G8899-min_cash))</f>
        <v>12.2446668927499</v>
      </c>
      <c r="H8900" s="6" t="n">
        <f aca="false">MAX(0,MIN(bb_target,Sens!G8902+Sens!H8898-Sens!H8899-min_cash))</f>
        <v>22.271</v>
      </c>
      <c r="I8900" s="6" t="n">
        <f aca="false">MAX(0,MIN(bb_target,Sens!H8902+Sens!I8898-Sens!I8899-min_cash))</f>
        <v>22.271</v>
      </c>
      <c r="J8900" s="6" t="n">
        <f aca="false">MAX(0,MIN(bb_target,Sens!I8902+Sens!J8898-Sens!J8899-min_cash))</f>
        <v>22.271</v>
      </c>
      <c r="K8900" s="6" t="n">
        <f aca="false">MAX(0,MIN(bb_target,Sens!J8902+Sens!K8898-Sens!K8899-min_cash))</f>
        <v>22.271</v>
      </c>
    </row>
    <row r="8901" customFormat="false" ht="15" hidden="false" customHeight="false" outlineLevel="0" collapsed="false">
      <c r="A8901" s="1" t="s">
        <v>971</v>
      </c>
      <c r="B8901" s="0" t="s">
        <v>98</v>
      </c>
      <c r="F8901" s="6" t="n">
        <f aca="false">MAX(0,min_cash-(Sens!E8902+Sens!F8898-Sens!F8899-Sens!F8900))</f>
        <v>5.97242295642495</v>
      </c>
      <c r="G8901" s="6" t="n">
        <f aca="false">MAX(0,min_cash-(Sens!F8902+Sens!G8898-Sens!G8899-Sens!G8900))</f>
        <v>0</v>
      </c>
      <c r="H8901" s="6" t="n">
        <f aca="false">MAX(0,min_cash-(Sens!G8902+Sens!H8898-Sens!H8899-Sens!H8900))</f>
        <v>0</v>
      </c>
      <c r="I8901" s="6" t="n">
        <f aca="false">MAX(0,min_cash-(Sens!H8902+Sens!I8898-Sens!I8899-Sens!I8900))</f>
        <v>0</v>
      </c>
      <c r="J8901" s="6" t="n">
        <f aca="false">MAX(0,min_cash-(Sens!I8902+Sens!J8898-Sens!J8899-Sens!J8900))</f>
        <v>0</v>
      </c>
      <c r="K8901" s="6" t="n">
        <f aca="false">MAX(0,min_cash-(Sens!J8902+Sens!K8898-Sens!K8899-Sens!K8900))</f>
        <v>0</v>
      </c>
    </row>
    <row r="8902" customFormat="false" ht="15" hidden="false" customHeight="false" outlineLevel="0" collapsed="false">
      <c r="A8902" s="1" t="s">
        <v>972</v>
      </c>
      <c r="B8902" s="0" t="s">
        <v>98</v>
      </c>
      <c r="E8902" s="6" t="n">
        <f aca="false">cash_open</f>
        <v>76.843</v>
      </c>
      <c r="F8902" s="6" t="n">
        <f aca="false">Sens!E8902+Sens!F8898-Sens!F8899-Sens!F8900+Sens!F8901</f>
        <v>50</v>
      </c>
      <c r="G8902" s="6" t="n">
        <f aca="false">Sens!F8902+Sens!G8898-Sens!G8899-Sens!G8900+Sens!G8901</f>
        <v>50</v>
      </c>
      <c r="H8902" s="6" t="n">
        <f aca="false">Sens!G8902+Sens!H8898-Sens!H8899-Sens!H8900+Sens!H8901</f>
        <v>86.2626556653589</v>
      </c>
      <c r="I8902" s="6" t="n">
        <f aca="false">Sens!H8902+Sens!I8898-Sens!I8899-Sens!I8900+Sens!I8901</f>
        <v>191.776982928188</v>
      </c>
      <c r="J8902" s="6" t="n">
        <f aca="false">Sens!I8902+Sens!J8898-Sens!J8899-Sens!J8900+Sens!J8901</f>
        <v>366.389132216559</v>
      </c>
      <c r="K8902" s="6" t="n">
        <f aca="false">Sens!J8902+Sens!K8898-Sens!K8899-Sens!K8900+Sens!K8901</f>
        <v>572.439948253379</v>
      </c>
    </row>
    <row r="8903" customFormat="false" ht="15" hidden="false" customHeight="false" outlineLevel="0" collapsed="false">
      <c r="A8903" s="1" t="s">
        <v>973</v>
      </c>
      <c r="B8903" s="0" t="s">
        <v>98</v>
      </c>
      <c r="E8903" s="6" t="n">
        <f aca="false">debt_face</f>
        <v>46.136</v>
      </c>
      <c r="F8903" s="6" t="n">
        <f aca="false">Sens!E8903-Sens!F8899+Sens!F8901</f>
        <v>42.858422956425</v>
      </c>
      <c r="G8903" s="6" t="n">
        <f aca="false">Sens!F8903-Sens!G8899+Sens!G8901</f>
        <v>42.858422956425</v>
      </c>
      <c r="H8903" s="6" t="n">
        <f aca="false">Sens!G8903-Sens!H8899+Sens!H8901</f>
        <v>40.857422956425</v>
      </c>
      <c r="I8903" s="6" t="n">
        <f aca="false">Sens!H8903-Sens!I8899+Sens!I8901</f>
        <v>40.857422956425</v>
      </c>
      <c r="J8903" s="6" t="n">
        <f aca="false">Sens!I8903-Sens!J8899+Sens!J8901</f>
        <v>40.357422956425</v>
      </c>
      <c r="K8903" s="6" t="n">
        <f aca="false">Sens!J8903-Sens!K8899+Sens!K8901</f>
        <v>40.357422956425</v>
      </c>
    </row>
    <row r="8904" customFormat="false" ht="15" hidden="false" customHeight="false" outlineLevel="0" collapsed="false">
      <c r="A8904" s="1" t="s">
        <v>974</v>
      </c>
      <c r="B8904" s="0" t="s">
        <v>98</v>
      </c>
      <c r="E8904" s="6" t="n">
        <f aca="false">Sens!E8902-Sens!E8903</f>
        <v>30.707</v>
      </c>
      <c r="F8904" s="6" t="n">
        <f aca="false">Sens!F8902-Sens!F8903</f>
        <v>7.14157704357505</v>
      </c>
      <c r="G8904" s="6" t="n">
        <f aca="false">Sens!G8902-Sens!G8903</f>
        <v>7.14157704357505</v>
      </c>
      <c r="H8904" s="6" t="n">
        <f aca="false">Sens!H8902-Sens!H8903</f>
        <v>45.4052327089339</v>
      </c>
      <c r="I8904" s="6" t="n">
        <f aca="false">Sens!I8902-Sens!I8903</f>
        <v>150.919559971763</v>
      </c>
      <c r="J8904" s="6" t="n">
        <f aca="false">Sens!J8902-Sens!J8903</f>
        <v>326.031709260134</v>
      </c>
      <c r="K8904" s="6" t="n">
        <f aca="false">Sens!K8902-Sens!K8903</f>
        <v>532.082525296954</v>
      </c>
    </row>
    <row r="8905" customFormat="false" ht="15" hidden="false" customHeight="false" outlineLevel="0" collapsed="false">
      <c r="A8905" s="1" t="s">
        <v>975</v>
      </c>
      <c r="B8905" s="0" t="s">
        <v>75</v>
      </c>
      <c r="F8905" s="29" t="n">
        <f aca="false">px*(1+bb_g)^(Sens!F8767-base_fy-mid_yr)</f>
        <v>553.494156066711</v>
      </c>
      <c r="G8905" s="29" t="n">
        <f aca="false">px*(1+bb_g)^(Sens!G8767-base_fy-mid_yr)</f>
        <v>597.773688552047</v>
      </c>
      <c r="H8905" s="29" t="n">
        <f aca="false">px*(1+bb_g)^(Sens!H8767-base_fy-mid_yr)</f>
        <v>645.595583636211</v>
      </c>
      <c r="I8905" s="29" t="n">
        <f aca="false">px*(1+bb_g)^(Sens!I8767-base_fy-mid_yr)</f>
        <v>697.243230327108</v>
      </c>
      <c r="J8905" s="29" t="n">
        <f aca="false">px*(1+bb_g)^(Sens!J8767-base_fy-mid_yr)</f>
        <v>753.022688753277</v>
      </c>
      <c r="K8905" s="29" t="n">
        <f aca="false">px*(1+bb_g)^(Sens!K8767-base_fy-mid_yr)</f>
        <v>813.264503853539</v>
      </c>
    </row>
    <row r="8906" customFormat="false" ht="15" hidden="false" customHeight="false" outlineLevel="0" collapsed="false">
      <c r="A8906" s="1" t="s">
        <v>976</v>
      </c>
      <c r="B8906" s="1" t="s">
        <v>81</v>
      </c>
      <c r="E8906" s="14" t="n">
        <f aca="false">sh_out26</f>
        <v>7.427</v>
      </c>
      <c r="F8906" s="14" t="n">
        <f aca="false">Sens!E8906+sh_iss-Sens!F8900/Sens!F8905</f>
        <v>7.472</v>
      </c>
      <c r="G8906" s="14" t="n">
        <f aca="false">Sens!F8906+sh_iss-Sens!G8900/Sens!G8905</f>
        <v>7.49651621637545</v>
      </c>
      <c r="H8906" s="14" t="n">
        <f aca="false">Sens!G8906+sh_iss-Sens!H8900/Sens!H8905</f>
        <v>7.50701938807535</v>
      </c>
      <c r="I8906" s="14" t="n">
        <f aca="false">Sens!H8906+sh_iss-Sens!I8900/Sens!I8905</f>
        <v>7.52007788039008</v>
      </c>
      <c r="J8906" s="14" t="n">
        <f aca="false">Sens!I8906+sh_iss-Sens!J8900/Sens!J8905</f>
        <v>7.53550241031112</v>
      </c>
      <c r="K8906" s="14" t="n">
        <f aca="false">Sens!J8906+sh_iss-Sens!K8900/Sens!K8905</f>
        <v>7.55311771579356</v>
      </c>
    </row>
    <row r="8907" customFormat="false" ht="15" hidden="false" customHeight="false" outlineLevel="0" collapsed="false">
      <c r="A8907" s="1" t="s">
        <v>977</v>
      </c>
      <c r="B8907" s="1" t="s">
        <v>81</v>
      </c>
      <c r="E8907" s="14" t="n">
        <f aca="false">sh_dil26</f>
        <v>7.453</v>
      </c>
      <c r="F8907" s="14" t="n">
        <f aca="false">(Sens!E8906+Sens!F8906)/2+dil_gap</f>
        <v>7.4735</v>
      </c>
      <c r="G8907" s="14" t="n">
        <f aca="false">(Sens!F8906+Sens!G8906)/2+dil_gap</f>
        <v>7.50825810818772</v>
      </c>
      <c r="H8907" s="14" t="n">
        <f aca="false">(Sens!G8906+Sens!H8906)/2+dil_gap</f>
        <v>7.5257678022254</v>
      </c>
      <c r="I8907" s="14" t="n">
        <f aca="false">(Sens!H8906+Sens!I8906)/2+dil_gap</f>
        <v>7.53754863423271</v>
      </c>
      <c r="J8907" s="14" t="n">
        <f aca="false">(Sens!I8906+Sens!J8906)/2+dil_gap</f>
        <v>7.5517901453506</v>
      </c>
      <c r="K8907" s="14" t="n">
        <f aca="false">(Sens!J8906+Sens!K8906)/2+dil_gap</f>
        <v>7.56831006305234</v>
      </c>
    </row>
    <row r="8908" customFormat="false" ht="17.15" hidden="false" customHeight="false" outlineLevel="0" collapsed="false">
      <c r="A8908" s="1" t="s">
        <v>978</v>
      </c>
      <c r="B8908" s="0" t="s">
        <v>98</v>
      </c>
      <c r="C8908" s="6" t="n">
        <f aca="false">SUM(Sens!F8898:J8898)</f>
        <v>374.382376152884</v>
      </c>
    </row>
    <row r="8909" customFormat="false" ht="15" hidden="false" customHeight="false" outlineLevel="0" collapsed="false">
      <c r="A8909" s="23" t="s">
        <v>945</v>
      </c>
      <c r="B8909" s="30" t="s">
        <v>98</v>
      </c>
      <c r="C8909" s="24" t="n">
        <f aca="false">Sens!$C$8908-(Sens!F8898+Sens!G8898+Sens!H8898+Sens!I8898+Sens!J8898)</f>
        <v>0</v>
      </c>
      <c r="D8909" s="30"/>
      <c r="E8909" s="30"/>
      <c r="F8909" s="30"/>
      <c r="G8909" s="30"/>
      <c r="H8909" s="30"/>
      <c r="I8909" s="30"/>
      <c r="J8909" s="30"/>
      <c r="K8909" s="30"/>
    </row>
    <row r="8910" customFormat="false" ht="17.15" hidden="false" customHeight="false" outlineLevel="0" collapsed="false">
      <c r="A8910" s="1" t="s">
        <v>939</v>
      </c>
      <c r="B8910" s="1" t="s">
        <v>979</v>
      </c>
      <c r="C8910" s="32" t="str">
        <f aca="false">IF(SUM(Sens!F8901:J8901)&gt;0.05,"需要舉債 "&amp;TEXT(SUM(Sens!F8901:J8901),"0.0")&amp;" 十億美元","不需舉債")&amp;"；"&amp;IF(SUM(Sens!F8900:J8900)&lt;COUNT(Sens!F8900:J8900)*bb_target-0.05,"回購較每年 "&amp;TEXT(bb_target,"0.0")&amp;" 的目標少 "&amp;TEXT(COUNT(Sens!F8900:J8900)*bb_target-SUM(Sens!F8900:J8900),"0.0")&amp;" 十億美元（"&amp;TEXT(COUNTIF(Sens!F8900:J8900,"&lt;"&amp;(bb_target-0.05)),"0")&amp;" 年減少）","回購不減")</f>
        <v>需要舉債 6.0 十億美元；回購較每年 22.3 的目標少 32.3 十億美元（2 年減少）</v>
      </c>
    </row>
    <row r="8911" customFormat="false" ht="17.15" hidden="false" customHeight="false" outlineLevel="0" collapsed="false">
      <c r="A8911" s="3" t="s">
        <v>1491</v>
      </c>
    </row>
    <row r="8912" customFormat="false" ht="15" hidden="false" customHeight="false" outlineLevel="0" collapsed="false">
      <c r="A8912" s="4" t="s">
        <v>43</v>
      </c>
      <c r="B8912" s="4" t="s">
        <v>65</v>
      </c>
      <c r="C8912" s="20" t="s">
        <v>799</v>
      </c>
      <c r="D8912" s="20" t="s">
        <v>800</v>
      </c>
      <c r="E8912" s="20" t="s">
        <v>801</v>
      </c>
      <c r="F8912" s="20" t="s">
        <v>802</v>
      </c>
      <c r="G8912" s="20" t="s">
        <v>803</v>
      </c>
      <c r="H8912" s="20" t="s">
        <v>804</v>
      </c>
      <c r="I8912" s="20" t="s">
        <v>805</v>
      </c>
      <c r="J8912" s="20" t="s">
        <v>806</v>
      </c>
      <c r="K8912" s="20" t="s">
        <v>807</v>
      </c>
      <c r="L8912" s="4" t="s">
        <v>47</v>
      </c>
    </row>
    <row r="8913" customFormat="false" ht="15" hidden="false" customHeight="false" outlineLevel="0" collapsed="false">
      <c r="A8913" s="1" t="s">
        <v>1057</v>
      </c>
      <c r="B8913" s="1" t="s">
        <v>235</v>
      </c>
      <c r="F8913" s="36" t="n">
        <f aca="false">Sens!F8767-base_fy-mid_yr</f>
        <v>0.5</v>
      </c>
      <c r="G8913" s="36" t="n">
        <f aca="false">Sens!G8767-base_fy-mid_yr</f>
        <v>1.5</v>
      </c>
      <c r="H8913" s="36" t="n">
        <f aca="false">Sens!H8767-base_fy-mid_yr</f>
        <v>2.5</v>
      </c>
      <c r="I8913" s="36" t="n">
        <f aca="false">Sens!I8767-base_fy-mid_yr</f>
        <v>3.5</v>
      </c>
      <c r="J8913" s="36" t="n">
        <f aca="false">Sens!J8767-base_fy-mid_yr</f>
        <v>4.5</v>
      </c>
      <c r="K8913" s="36" t="n">
        <f aca="false">Sens!K8767-base_fy-mid_yr</f>
        <v>5.5</v>
      </c>
    </row>
    <row r="8914" customFormat="false" ht="15" hidden="false" customHeight="false" outlineLevel="0" collapsed="false">
      <c r="A8914" s="1" t="s">
        <v>1058</v>
      </c>
      <c r="B8914" s="0" t="s">
        <v>185</v>
      </c>
      <c r="F8914" s="14" t="n">
        <f aca="false">1/(1+wacc)^Sens!F8913</f>
        <v>0.952193373608246</v>
      </c>
      <c r="G8914" s="14" t="n">
        <f aca="false">1/(1+wacc)^Sens!G8913</f>
        <v>0.863327280626589</v>
      </c>
      <c r="H8914" s="14" t="n">
        <f aca="false">1/(1+wacc)^Sens!H8913</f>
        <v>0.782754862754115</v>
      </c>
      <c r="I8914" s="14" t="n">
        <f aca="false">1/(1+wacc)^Sens!I8913</f>
        <v>0.709702089711011</v>
      </c>
      <c r="J8914" s="14" t="n">
        <f aca="false">1/(1+wacc)^Sens!J8913</f>
        <v>0.643467169744551</v>
      </c>
      <c r="K8914" s="14" t="n">
        <f aca="false">1/(1+wacc)^Sens!K8913</f>
        <v>0.583413807767797</v>
      </c>
    </row>
    <row r="8915" customFormat="false" ht="17.15" hidden="false" customHeight="false" outlineLevel="0" collapsed="false">
      <c r="A8915" s="1" t="s">
        <v>1059</v>
      </c>
      <c r="B8915" s="0" t="s">
        <v>98</v>
      </c>
      <c r="F8915" s="6" t="n">
        <f aca="false">Sens!F8888-Sens!F8886-Sens!F8892+Sens!F8871*(1-tax_f)</f>
        <v>0.787347458921713</v>
      </c>
      <c r="G8915" s="6" t="n">
        <f aca="false">Sens!G8888-Sens!G8886-Sens!G8892+Sens!G8871*(1-tax_f)</f>
        <v>46.5258818178961</v>
      </c>
      <c r="H8915" s="6" t="n">
        <f aca="false">Sens!H8888-Sens!H8886-Sens!H8892+Sens!H8871*(1-tax_f)</f>
        <v>105.071676213437</v>
      </c>
      <c r="I8915" s="6" t="n">
        <f aca="false">Sens!I8888-Sens!I8886-Sens!I8892+Sens!I8871*(1-tax_f)</f>
        <v>183.022887181692</v>
      </c>
      <c r="J8915" s="6" t="n">
        <f aca="false">Sens!J8888-Sens!J8886-Sens!J8892+Sens!J8871*(1-tax_f)</f>
        <v>261.102173129943</v>
      </c>
      <c r="K8915" s="6" t="n">
        <f aca="false">Sens!K8888-Sens!K8886-Sens!K8892+Sens!K8871*(1-tax_f)</f>
        <v>297.707140096454</v>
      </c>
      <c r="L8915" s="1" t="s">
        <v>1060</v>
      </c>
    </row>
    <row r="8916" customFormat="false" ht="15" hidden="false" customHeight="false" outlineLevel="0" collapsed="false">
      <c r="A8916" s="1" t="s">
        <v>1061</v>
      </c>
      <c r="B8916" s="0" t="s">
        <v>98</v>
      </c>
      <c r="F8916" s="6" t="n">
        <f aca="false">Sens!F8915*Sens!F8914</f>
        <v>0.749707033112546</v>
      </c>
      <c r="G8916" s="6" t="n">
        <f aca="false">Sens!G8915*Sens!G8914</f>
        <v>40.1670630285983</v>
      </c>
      <c r="H8916" s="6" t="n">
        <f aca="false">Sens!H8915*Sens!H8914</f>
        <v>82.2453654937938</v>
      </c>
      <c r="I8916" s="6" t="n">
        <f aca="false">Sens!I8915*Sens!I8914</f>
        <v>129.891725497789</v>
      </c>
      <c r="J8916" s="6" t="n">
        <f aca="false">Sens!J8915*Sens!J8914</f>
        <v>168.010676358076</v>
      </c>
      <c r="K8916" s="6" t="n">
        <f aca="false">Sens!K8915*Sens!K8914</f>
        <v>173.686456203333</v>
      </c>
    </row>
    <row r="8917" customFormat="false" ht="17.15" hidden="false" customHeight="false" outlineLevel="0" collapsed="false">
      <c r="A8917" s="1" t="s">
        <v>1062</v>
      </c>
      <c r="B8917" s="0" t="s">
        <v>98</v>
      </c>
      <c r="C8917" s="6" t="n">
        <f aca="false">SUM(Sens!F8916:K8916)</f>
        <v>594.750993614703</v>
      </c>
    </row>
    <row r="8918" customFormat="false" ht="17.15" hidden="false" customHeight="false" outlineLevel="0" collapsed="false">
      <c r="A8918" s="1" t="s">
        <v>1063</v>
      </c>
      <c r="B8918" s="0" t="s">
        <v>98</v>
      </c>
      <c r="C8918" s="6" t="n">
        <f aca="false">Sens!K8857*(1+g_tv)*(1-tax_f)</f>
        <v>315.481346863502</v>
      </c>
    </row>
    <row r="8919" customFormat="false" ht="17.15" hidden="false" customHeight="false" outlineLevel="0" collapsed="false">
      <c r="A8919" s="1" t="s">
        <v>1064</v>
      </c>
      <c r="B8919" s="0" t="s">
        <v>98</v>
      </c>
      <c r="C8919" s="6" t="n">
        <f aca="false">Sens!$C$8918*(1-g_tv/(wacc+ronic_prem))</f>
        <v>223.53503388709</v>
      </c>
    </row>
    <row r="8920" customFormat="false" ht="17.15" hidden="false" customHeight="false" outlineLevel="0" collapsed="false">
      <c r="A8920" s="1" t="s">
        <v>1065</v>
      </c>
      <c r="B8920" s="0" t="s">
        <v>98</v>
      </c>
      <c r="C8920" s="6" t="n">
        <f aca="false">Sens!$C$8919/(wacc-g_tv)</f>
        <v>3064.87709921375</v>
      </c>
    </row>
    <row r="8921" customFormat="false" ht="15" hidden="false" customHeight="false" outlineLevel="0" collapsed="false">
      <c r="A8921" s="1" t="s">
        <v>1066</v>
      </c>
      <c r="B8921" s="0" t="s">
        <v>98</v>
      </c>
      <c r="C8921" s="6" t="n">
        <f aca="false">Sens!$C$8920/(1+wacc)^(Sens!K8913+mid_yr)</f>
        <v>1702.60899081877</v>
      </c>
    </row>
    <row r="8922" customFormat="false" ht="17.15" hidden="false" customHeight="false" outlineLevel="0" collapsed="false">
      <c r="A8922" s="0" t="s">
        <v>986</v>
      </c>
      <c r="B8922" s="0" t="s">
        <v>98</v>
      </c>
      <c r="C8922" s="6" t="n">
        <f aca="false">Sens!$C$8917+Sens!$C$8921</f>
        <v>2297.35998443347</v>
      </c>
    </row>
    <row r="8923" customFormat="false" ht="15" hidden="false" customHeight="false" outlineLevel="0" collapsed="false">
      <c r="A8923" s="1" t="s">
        <v>987</v>
      </c>
      <c r="B8923" s="0" t="s">
        <v>129</v>
      </c>
      <c r="C8923" s="7" t="n">
        <f aca="false">Sens!$C$8921/Sens!$C$8922</f>
        <v>0.74111545528579</v>
      </c>
    </row>
    <row r="8924" customFormat="false" ht="17.15" hidden="false" customHeight="false" outlineLevel="0" collapsed="false">
      <c r="A8924" s="1" t="s">
        <v>1067</v>
      </c>
      <c r="B8924" s="0" t="s">
        <v>98</v>
      </c>
      <c r="C8924" s="6" t="n">
        <f aca="false">Sens!$C$8922+Sens!E8904-Sens!E8893+oai_v</f>
        <v>2431.87298443347</v>
      </c>
    </row>
    <row r="8925" customFormat="false" ht="17.15" hidden="false" customHeight="false" outlineLevel="0" collapsed="false">
      <c r="A8925" s="0" t="s">
        <v>994</v>
      </c>
      <c r="B8925" s="0" t="s">
        <v>75</v>
      </c>
      <c r="C8925" s="5" t="n">
        <f aca="false">Sens!$C$8924/sh_dil26</f>
        <v>326.294510188309</v>
      </c>
    </row>
    <row r="8926" customFormat="false" ht="15" hidden="false" customHeight="false" outlineLevel="0" collapsed="false">
      <c r="A8926" s="1" t="s">
        <v>1068</v>
      </c>
      <c r="B8926" s="0" t="s">
        <v>75</v>
      </c>
      <c r="C8926" s="8" t="n">
        <f aca="false">dps_27+Sens!G8896*roll_div_q/q_per_yr</f>
        <v>4.8895</v>
      </c>
    </row>
    <row r="8927" customFormat="false" ht="17.15" hidden="false" customHeight="false" outlineLevel="0" collapsed="false">
      <c r="A8927" s="0" t="s">
        <v>1069</v>
      </c>
      <c r="B8927" s="0" t="s">
        <v>75</v>
      </c>
      <c r="C8927" s="5" t="n">
        <f aca="false">Sens!$C$8925*(1+wacc)^t_roll-Sens!$C$8926</f>
        <v>366.672953570375</v>
      </c>
    </row>
    <row r="8928" customFormat="false" ht="17.15" hidden="false" customHeight="false" outlineLevel="0" collapsed="false">
      <c r="A8928" s="1" t="s">
        <v>1070</v>
      </c>
      <c r="B8928" s="0" t="s">
        <v>129</v>
      </c>
      <c r="F8928" s="7" t="n">
        <f aca="false">Sens!F8883/(Sens!F8828-Sens!F8784)</f>
        <v>0.070555718537004</v>
      </c>
      <c r="G8928" s="7" t="n">
        <f aca="false">Sens!G8883/(Sens!G8828-Sens!G8784)</f>
        <v>0.0669775499392772</v>
      </c>
      <c r="H8928" s="7" t="n">
        <f aca="false">Sens!H8883/(Sens!H8828-Sens!H8784)</f>
        <v>0.0650075952498584</v>
      </c>
      <c r="I8928" s="7" t="n">
        <f aca="false">Sens!I8883/(Sens!I8828-Sens!I8784)</f>
        <v>0.0645146232547419</v>
      </c>
      <c r="J8928" s="7" t="n">
        <f aca="false">Sens!J8883/(Sens!J8828-Sens!J8784)</f>
        <v>0.0651255855348726</v>
      </c>
      <c r="K8928" s="7" t="n">
        <f aca="false">Sens!K8883/(Sens!K8828-Sens!K8784)</f>
        <v>0.0663704897904993</v>
      </c>
    </row>
    <row r="8929" customFormat="false" ht="17.15" hidden="false" customHeight="false" outlineLevel="0" collapsed="false">
      <c r="A8929" s="0" t="s">
        <v>1071</v>
      </c>
      <c r="B8929" s="0" t="s">
        <v>98</v>
      </c>
      <c r="F8929" s="6" t="n">
        <f aca="false">Sens!F8813*(al_m365+Sens!F8928+sbc_r)</f>
        <v>85.2303828909212</v>
      </c>
      <c r="G8929" s="6" t="n">
        <f aca="false">Sens!G8813*(al_m365+Sens!G8928+sbc_r)</f>
        <v>99.6980697488425</v>
      </c>
      <c r="H8929" s="6" t="n">
        <f aca="false">Sens!H8813*(al_m365+Sens!H8928+sbc_r)</f>
        <v>114.333218986212</v>
      </c>
      <c r="I8929" s="6" t="n">
        <f aca="false">Sens!I8813*(al_m365+Sens!I8928+sbc_r)</f>
        <v>127.453322573208</v>
      </c>
      <c r="J8929" s="6" t="n">
        <f aca="false">Sens!J8813*(al_m365+Sens!J8928+sbc_r)</f>
        <v>138.873714104307</v>
      </c>
      <c r="K8929" s="6" t="n">
        <f aca="false">Sens!K8813*(al_m365+Sens!K8928+sbc_r)</f>
        <v>149.919104614182</v>
      </c>
      <c r="L8929" s="11" t="s">
        <v>1072</v>
      </c>
    </row>
    <row r="8930" customFormat="false" ht="17.15" hidden="false" customHeight="false" outlineLevel="0" collapsed="false">
      <c r="A8930" s="0" t="s">
        <v>1073</v>
      </c>
      <c r="B8930" s="0" t="s">
        <v>98</v>
      </c>
      <c r="F8930" s="6" t="n">
        <f aca="false">Sens!F8814*(al_lic+Sens!F8928+sbc_r)</f>
        <v>33.521437020604</v>
      </c>
      <c r="G8930" s="6" t="n">
        <f aca="false">Sens!G8814*(al_lic+Sens!G8928+sbc_r)</f>
        <v>34.7951518669642</v>
      </c>
      <c r="H8930" s="6" t="n">
        <f aca="false">Sens!H8814*(al_lic+Sens!H8928+sbc_r)</f>
        <v>35.9909809766507</v>
      </c>
      <c r="I8930" s="6" t="n">
        <f aca="false">Sens!I8814*(al_lic+Sens!I8928+sbc_r)</f>
        <v>37.0914331016464</v>
      </c>
      <c r="J8930" s="6" t="n">
        <f aca="false">Sens!J8814*(al_lic+Sens!J8928+sbc_r)</f>
        <v>38.0677389660463</v>
      </c>
      <c r="K8930" s="6" t="n">
        <f aca="false">Sens!K8814*(al_lic+Sens!K8928+sbc_r)</f>
        <v>38.8857952593845</v>
      </c>
    </row>
    <row r="8931" customFormat="false" ht="17.15" hidden="false" customHeight="false" outlineLevel="0" collapsed="false">
      <c r="A8931" s="0" t="s">
        <v>1074</v>
      </c>
      <c r="B8931" s="0" t="s">
        <v>98</v>
      </c>
      <c r="F8931" s="6" t="n">
        <f aca="false">Sens!F8816*(al_ind+Sens!F8928+sbc_r)</f>
        <v>9.1203665572552</v>
      </c>
      <c r="G8931" s="6" t="n">
        <f aca="false">Sens!G8816*(al_ind+Sens!G8928+sbc_r)</f>
        <v>9.88224326925879</v>
      </c>
      <c r="H8931" s="6" t="n">
        <f aca="false">Sens!H8816*(al_ind+Sens!H8928+sbc_r)</f>
        <v>10.6930382977236</v>
      </c>
      <c r="I8931" s="6" t="n">
        <f aca="false">Sens!I8816*(al_ind+Sens!I8928+sbc_r)</f>
        <v>11.5510148732465</v>
      </c>
      <c r="J8931" s="6" t="n">
        <f aca="false">Sens!J8816*(al_ind+Sens!J8928+sbc_r)</f>
        <v>12.445252614064</v>
      </c>
      <c r="K8931" s="6" t="n">
        <f aca="false">Sens!K8816*(al_ind+Sens!K8928+sbc_r)</f>
        <v>13.3576062144146</v>
      </c>
    </row>
    <row r="8932" customFormat="false" ht="17.15" hidden="false" customHeight="false" outlineLevel="0" collapsed="false">
      <c r="A8932" s="0" t="s">
        <v>1075</v>
      </c>
      <c r="B8932" s="0" t="s">
        <v>98</v>
      </c>
      <c r="F8932" s="6" t="n">
        <f aca="false">Sens!F8818*(al_fro+Sens!F8928+sbc_r)</f>
        <v>3.58980829672706</v>
      </c>
      <c r="G8932" s="6" t="n">
        <f aca="false">Sens!G8818*(al_fro+Sens!G8928+sbc_r)</f>
        <v>3.79419716063618</v>
      </c>
      <c r="H8932" s="6" t="n">
        <f aca="false">Sens!H8818*(al_fro+Sens!H8928+sbc_r)</f>
        <v>4.02950282712614</v>
      </c>
      <c r="I8932" s="6" t="n">
        <f aca="false">Sens!I8818*(al_fro+Sens!I8928+sbc_r)</f>
        <v>4.29881761523403</v>
      </c>
      <c r="J8932" s="6" t="n">
        <f aca="false">Sens!J8818*(al_fro+Sens!J8928+sbc_r)</f>
        <v>4.60273268685141</v>
      </c>
      <c r="K8932" s="6" t="n">
        <f aca="false">Sens!K8818*(al_fro+Sens!K8928+sbc_r)</f>
        <v>4.94015610994485</v>
      </c>
    </row>
    <row r="8933" customFormat="false" ht="17.15" hidden="false" customHeight="false" outlineLevel="0" collapsed="false">
      <c r="A8933" s="0" t="s">
        <v>1076</v>
      </c>
      <c r="B8933" s="0" t="s">
        <v>98</v>
      </c>
      <c r="F8933" s="6" t="n">
        <f aca="false">Sens!F8821*(al_srch+Sens!F8928+sbc_r)</f>
        <v>11.2131287307576</v>
      </c>
      <c r="G8933" s="6" t="n">
        <f aca="false">Sens!G8821*(al_srch+Sens!G8928+sbc_r)</f>
        <v>12.1533164980119</v>
      </c>
      <c r="H8933" s="6" t="n">
        <f aca="false">Sens!H8821*(al_srch+Sens!H8928+sbc_r)</f>
        <v>13.0625859927478</v>
      </c>
      <c r="I8933" s="6" t="n">
        <f aca="false">Sens!I8821*(al_srch+Sens!I8928+sbc_r)</f>
        <v>13.9170376938992</v>
      </c>
      <c r="J8933" s="6" t="n">
        <f aca="false">Sens!J8821*(al_srch+Sens!J8928+sbc_r)</f>
        <v>14.6819293008287</v>
      </c>
      <c r="K8933" s="6" t="n">
        <f aca="false">Sens!K8821*(al_srch+Sens!K8928+sbc_r)</f>
        <v>15.3164320982182</v>
      </c>
    </row>
    <row r="8934" customFormat="false" ht="17.15" hidden="false" customHeight="false" outlineLevel="0" collapsed="false">
      <c r="A8934" s="0" t="s">
        <v>1077</v>
      </c>
      <c r="B8934" s="0" t="s">
        <v>98</v>
      </c>
      <c r="F8934" s="6" t="n">
        <f aca="false">Sens!F8790-Sens!F8791+Sens!F8871</f>
        <v>45.0374073018652</v>
      </c>
      <c r="G8934" s="6" t="n">
        <f aca="false">Sens!G8790-Sens!G8791+Sens!G8871</f>
        <v>89.051993487491</v>
      </c>
      <c r="H8934" s="6" t="n">
        <f aca="false">Sens!H8790-Sens!H8791+Sens!H8871</f>
        <v>140.728332825594</v>
      </c>
      <c r="I8934" s="6" t="n">
        <f aca="false">Sens!I8790-Sens!I8791+Sens!I8871</f>
        <v>182.158665153016</v>
      </c>
      <c r="J8934" s="6" t="n">
        <f aca="false">Sens!J8790-Sens!J8791+Sens!J8871</f>
        <v>211.722320149272</v>
      </c>
      <c r="K8934" s="6" t="n">
        <f aca="false">Sens!K8790-Sens!K8791+Sens!K8871</f>
        <v>230.495012322217</v>
      </c>
    </row>
    <row r="8935" customFormat="false" ht="17.15" hidden="false" customHeight="false" outlineLevel="0" collapsed="false">
      <c r="A8935" s="0" t="s">
        <v>1078</v>
      </c>
      <c r="B8935" s="0" t="s">
        <v>98</v>
      </c>
      <c r="F8935" s="6" t="n">
        <f aca="false">Sens!F8850+Sens!F8871+Sens!F8801+Sens!F8928*(Sens!F8820-Sens!F8784)+sbc_r*Sens!F8820</f>
        <v>236.985249504874</v>
      </c>
      <c r="G8935" s="6" t="n">
        <f aca="false">Sens!G8850+Sens!G8871+Sens!G8801+Sens!G8928*(Sens!G8820-Sens!G8784)+sbc_r*Sens!G8820</f>
        <v>310.317792773547</v>
      </c>
      <c r="H8935" s="6" t="n">
        <f aca="false">Sens!H8850+Sens!H8871+Sens!H8801+Sens!H8928*(Sens!H8820-Sens!H8784)+sbc_r*Sens!H8820</f>
        <v>392.019117820008</v>
      </c>
      <c r="I8935" s="6" t="n">
        <f aca="false">Sens!I8850+Sens!I8871+Sens!I8801+Sens!I8928*(Sens!I8820-Sens!I8784)+sbc_r*Sens!I8820</f>
        <v>461.408222221414</v>
      </c>
      <c r="J8935" s="6" t="n">
        <f aca="false">Sens!J8850+Sens!J8871+Sens!J8801+Sens!J8928*(Sens!J8820-Sens!J8784)+sbc_r*Sens!J8820</f>
        <v>515.986217017543</v>
      </c>
      <c r="K8935" s="6" t="n">
        <f aca="false">Sens!K8850+Sens!K8871+Sens!K8801+Sens!K8928*(Sens!K8820-Sens!K8784)+sbc_r*Sens!K8820</f>
        <v>557.388209405452</v>
      </c>
    </row>
    <row r="8936" customFormat="false" ht="17.15" hidden="false" customHeight="false" outlineLevel="0" collapsed="false">
      <c r="A8936" s="0" t="s">
        <v>1079</v>
      </c>
      <c r="B8936" s="0" t="s">
        <v>98</v>
      </c>
      <c r="F8936" s="6" t="n">
        <f aca="false">Sens!F8935-Sens!F8929-Sens!F8930-Sens!F8931-Sens!F8932-Sens!F8934</f>
        <v>60.4858474375015</v>
      </c>
      <c r="G8936" s="6" t="n">
        <f aca="false">Sens!G8935-Sens!G8929-Sens!G8930-Sens!G8931-Sens!G8932-Sens!G8934</f>
        <v>73.0961372403545</v>
      </c>
      <c r="H8936" s="6" t="n">
        <f aca="false">Sens!H8935-Sens!H8929-Sens!H8930-Sens!H8931-Sens!H8932-Sens!H8934</f>
        <v>86.2440439067005</v>
      </c>
      <c r="I8936" s="6" t="n">
        <f aca="false">Sens!I8935-Sens!I8929-Sens!I8930-Sens!I8931-Sens!I8932-Sens!I8934</f>
        <v>98.8549689050638</v>
      </c>
      <c r="J8936" s="6" t="n">
        <f aca="false">Sens!J8935-Sens!J8929-Sens!J8930-Sens!J8931-Sens!J8932-Sens!J8934</f>
        <v>110.274458497003</v>
      </c>
      <c r="K8936" s="6" t="n">
        <f aca="false">Sens!K8935-Sens!K8929-Sens!K8930-Sens!K8931-Sens!K8932-Sens!K8934</f>
        <v>119.790534885309</v>
      </c>
    </row>
    <row r="8937" customFormat="false" ht="17.15" hidden="false" customHeight="false" outlineLevel="0" collapsed="false">
      <c r="A8937" s="0" t="s">
        <v>1080</v>
      </c>
      <c r="B8937" s="0" t="s">
        <v>98</v>
      </c>
      <c r="F8937" s="6" t="n">
        <f aca="false">Sens!F8852+Sens!F8928*Sens!F8827+sbc_r*Sens!F8827</f>
        <v>26.2765383579331</v>
      </c>
      <c r="G8937" s="6" t="n">
        <f aca="false">Sens!G8852+Sens!G8928*Sens!G8827+sbc_r*Sens!G8827</f>
        <v>26.7232854455968</v>
      </c>
      <c r="H8937" s="6" t="n">
        <f aca="false">Sens!H8852+Sens!H8928*Sens!H8827+sbc_r*Sens!H8827</f>
        <v>27.3736918989049</v>
      </c>
      <c r="I8937" s="6" t="n">
        <f aca="false">Sens!I8852+Sens!I8928*Sens!I8827+sbc_r*Sens!I8827</f>
        <v>28.1834430253645</v>
      </c>
      <c r="J8937" s="6" t="n">
        <f aca="false">Sens!J8852+Sens!J8928*Sens!J8827+sbc_r*Sens!J8827</f>
        <v>29.0989694887977</v>
      </c>
      <c r="K8937" s="6" t="n">
        <f aca="false">Sens!K8852+Sens!K8928*Sens!K8827+sbc_r*Sens!K8827</f>
        <v>30.0654015573212</v>
      </c>
    </row>
    <row r="8938" customFormat="false" ht="17.15" hidden="false" customHeight="false" outlineLevel="0" collapsed="false">
      <c r="A8938" s="0" t="s">
        <v>1081</v>
      </c>
      <c r="B8938" s="0" t="s">
        <v>98</v>
      </c>
      <c r="F8938" s="6" t="n">
        <f aca="false">(Sens!F8937-Sens!F8933)*Sens!F8823/(Sens!F8823+Sens!F8825)</f>
        <v>8.25761444213375</v>
      </c>
      <c r="G8938" s="6" t="n">
        <f aca="false">(Sens!G8937-Sens!G8933)*Sens!G8823/(Sens!G8823+Sens!G8825)</f>
        <v>7.8447053079458</v>
      </c>
      <c r="H8938" s="6" t="n">
        <f aca="false">(Sens!H8937-Sens!H8933)*Sens!H8823/(Sens!H8823+Sens!H8825)</f>
        <v>7.6012431668927</v>
      </c>
      <c r="I8938" s="6" t="n">
        <f aca="false">(Sens!I8937-Sens!I8933)*Sens!I8823/(Sens!I8823+Sens!I8825)</f>
        <v>7.50893944782785</v>
      </c>
      <c r="J8938" s="6" t="n">
        <f aca="false">(Sens!J8937-Sens!J8933)*Sens!J8823/(Sens!J8823+Sens!J8825)</f>
        <v>7.55391050259544</v>
      </c>
      <c r="K8938" s="6" t="n">
        <f aca="false">(Sens!K8937-Sens!K8933)*Sens!K8823/(Sens!K8823+Sens!K8825)</f>
        <v>7.72782719941022</v>
      </c>
    </row>
    <row r="8939" customFormat="false" ht="17.15" hidden="false" customHeight="false" outlineLevel="0" collapsed="false">
      <c r="A8939" s="0" t="s">
        <v>1082</v>
      </c>
      <c r="B8939" s="0" t="s">
        <v>98</v>
      </c>
      <c r="F8939" s="6" t="n">
        <f aca="false">Sens!F8937-Sens!F8933-Sens!F8938</f>
        <v>6.80579518504176</v>
      </c>
      <c r="G8939" s="6" t="n">
        <f aca="false">Sens!G8937-Sens!G8933-Sens!G8938</f>
        <v>6.72526363963902</v>
      </c>
      <c r="H8939" s="6" t="n">
        <f aca="false">Sens!H8937-Sens!H8933-Sens!H8938</f>
        <v>6.70986273926434</v>
      </c>
      <c r="I8939" s="6" t="n">
        <f aca="false">Sens!I8937-Sens!I8933-Sens!I8938</f>
        <v>6.75746588363748</v>
      </c>
      <c r="J8939" s="6" t="n">
        <f aca="false">Sens!J8937-Sens!J8933-Sens!J8938</f>
        <v>6.86312968537359</v>
      </c>
      <c r="K8939" s="6" t="n">
        <f aca="false">Sens!K8937-Sens!K8933-Sens!K8938</f>
        <v>7.02114225969274</v>
      </c>
    </row>
    <row r="8940" customFormat="false" ht="17.15" hidden="false" customHeight="false" outlineLevel="0" collapsed="false">
      <c r="A8940" s="0" t="s">
        <v>1083</v>
      </c>
      <c r="B8940" s="0" t="s">
        <v>98</v>
      </c>
      <c r="F8940" s="6" t="n">
        <f aca="false">Sens!F8934-tax_f*(Sens!F8934-Sens!F8801)-Sens!F8798</f>
        <v>-117.492972553783</v>
      </c>
      <c r="G8940" s="6" t="n">
        <f aca="false">Sens!G8934-tax_f*(Sens!G8934-Sens!G8801)-Sens!G8798</f>
        <v>-100.507498271105</v>
      </c>
      <c r="H8940" s="6" t="n">
        <f aca="false">Sens!H8934-tax_f*(Sens!H8934-Sens!H8801)-Sens!H8798</f>
        <v>-58.2254156812621</v>
      </c>
      <c r="I8940" s="6" t="n">
        <f aca="false">Sens!I8934-tax_f*(Sens!I8934-Sens!I8801)-Sens!I8798</f>
        <v>4.14141173464586</v>
      </c>
      <c r="J8940" s="6" t="n">
        <f aca="false">Sens!J8934-tax_f*(Sens!J8934-Sens!J8801)-Sens!J8798</f>
        <v>67.7960840957439</v>
      </c>
      <c r="K8940" s="6" t="n">
        <f aca="false">Sens!K8934-tax_f*(Sens!K8934-Sens!K8801)-Sens!K8798</f>
        <v>90.8148873630444</v>
      </c>
    </row>
    <row r="8941" customFormat="false" ht="17.15" hidden="false" customHeight="false" outlineLevel="0" collapsed="false">
      <c r="A8941" s="0" t="s">
        <v>1084</v>
      </c>
      <c r="B8941" s="0" t="s">
        <v>98</v>
      </c>
      <c r="G8941" s="6" t="n">
        <f aca="false">Sens!G8940/(1+wacc)^(Sens!G8913-(Sens!F8913+mid_yr))</f>
        <v>-95.7025738516884</v>
      </c>
      <c r="H8941" s="6" t="n">
        <f aca="false">Sens!H8940/(1+wacc)^(Sens!H8913-(Sens!F8913+mid_yr))</f>
        <v>-50.2675897834568</v>
      </c>
      <c r="I8941" s="6" t="n">
        <f aca="false">Sens!I8940/(1+wacc)^(Sens!I8913-(Sens!F8913+mid_yr))</f>
        <v>3.241710173961</v>
      </c>
      <c r="J8941" s="6" t="n">
        <f aca="false">Sens!J8940/(1+wacc)^(Sens!J8913-(Sens!F8913+mid_yr))</f>
        <v>48.1150225569729</v>
      </c>
      <c r="K8941" s="6" t="n">
        <f aca="false">Sens!K8940/(1+wacc)^(Sens!K8913-(Sens!F8913+mid_yr))</f>
        <v>58.4363985421684</v>
      </c>
      <c r="L8941" s="1" t="s">
        <v>1085</v>
      </c>
    </row>
    <row r="8942" customFormat="false" ht="17.15" hidden="false" customHeight="false" outlineLevel="0" collapsed="false">
      <c r="A8942" s="0" t="s">
        <v>1086</v>
      </c>
      <c r="B8942" s="0" t="s">
        <v>98</v>
      </c>
      <c r="C8942" s="6" t="n">
        <f aca="false">(Sens!K8934-Sens!K8801)*(1-tax_f)*(1+g_tv)*(1-g_tv/(wacc+ronic_prem))/(wacc-g_tv)/(1+wacc)^(Sens!K8913+mid_yr-(Sens!F8913+mid_yr))</f>
        <v>448.116665852667</v>
      </c>
    </row>
    <row r="8943" customFormat="false" ht="17.15" hidden="false" customHeight="false" outlineLevel="0" collapsed="false">
      <c r="A8943" s="1" t="s">
        <v>1087</v>
      </c>
      <c r="B8943" s="0" t="s">
        <v>98</v>
      </c>
      <c r="C8943" s="6" t="n">
        <f aca="false">(SUM(Sens!G8941:K8941)+Sens!$C$8942)*(1+wacc)^(t_roll-(Sens!F8913+mid_yr))</f>
        <v>425.310341738423</v>
      </c>
      <c r="L8943" s="11" t="s">
        <v>1088</v>
      </c>
    </row>
    <row r="8944" customFormat="false" ht="17.15" hidden="false" customHeight="false" outlineLevel="0" collapsed="false">
      <c r="A8944" s="1" t="s">
        <v>1089</v>
      </c>
      <c r="B8944" s="0" t="s">
        <v>98</v>
      </c>
      <c r="C8944" s="6" t="n">
        <f aca="false">(w_ntm28*Sens!G8790+(1-w_ntm28)*Sens!H8790)*m_ai</f>
        <v>551.711134531404</v>
      </c>
    </row>
    <row r="8945" customFormat="false" ht="17.15" hidden="false" customHeight="false" outlineLevel="0" collapsed="false">
      <c r="A8945" s="1" t="s">
        <v>1090</v>
      </c>
      <c r="B8945" s="0" t="s">
        <v>98</v>
      </c>
      <c r="C8945" s="6" t="n">
        <f aca="false">(w_ntm28*Sens!G8936+(1-w_ntm28)*Sens!H8936)*m_cloud</f>
        <v>1068.93130234721</v>
      </c>
    </row>
    <row r="8946" customFormat="false" ht="17.15" hidden="false" customHeight="false" outlineLevel="0" collapsed="false">
      <c r="A8946" s="1" t="s">
        <v>1091</v>
      </c>
      <c r="B8946" s="0" t="s">
        <v>98</v>
      </c>
      <c r="C8946" s="6" t="n">
        <f aca="false">(w_ntm28*Sens!G8929+(1-w_ntm28)*Sens!H8929)*m_sw</f>
        <v>1127.83787709052</v>
      </c>
    </row>
    <row r="8947" customFormat="false" ht="17.15" hidden="false" customHeight="false" outlineLevel="0" collapsed="false">
      <c r="A8947" s="1" t="s">
        <v>1092</v>
      </c>
      <c r="B8947" s="0" t="s">
        <v>98</v>
      </c>
      <c r="C8947" s="6" t="n">
        <f aca="false">(w_ntm28*Sens!G8930+(1-w_ntm28)*Sens!H8930)*m_sw</f>
        <v>379.962885690294</v>
      </c>
    </row>
    <row r="8948" customFormat="false" ht="17.15" hidden="false" customHeight="false" outlineLevel="0" collapsed="false">
      <c r="A8948" s="1" t="s">
        <v>1093</v>
      </c>
      <c r="B8948" s="0" t="s">
        <v>98</v>
      </c>
      <c r="C8948" s="6" t="n">
        <f aca="false">(w_ntm28*Sens!G8931+(1-w_ntm28)*Sens!H8931)*m_sw</f>
        <v>109.55912370327</v>
      </c>
    </row>
    <row r="8949" customFormat="false" ht="17.15" hidden="false" customHeight="false" outlineLevel="0" collapsed="false">
      <c r="A8949" s="1" t="s">
        <v>1094</v>
      </c>
      <c r="B8949" s="0" t="s">
        <v>98</v>
      </c>
      <c r="C8949" s="6" t="n">
        <f aca="false">(w_ntm28*Sens!G8932+(1-w_ntm28)*Sens!H8932)*m_sw</f>
        <v>41.7989006811031</v>
      </c>
    </row>
    <row r="8950" customFormat="false" ht="17.15" hidden="false" customHeight="false" outlineLevel="0" collapsed="false">
      <c r="A8950" s="1" t="s">
        <v>1095</v>
      </c>
      <c r="B8950" s="0" t="s">
        <v>98</v>
      </c>
      <c r="C8950" s="6" t="n">
        <f aca="false">(w_ntm28*Sens!G8933+(1-w_ntm28)*Sens!H8933)*m_ads</f>
        <v>113.394648972097</v>
      </c>
    </row>
    <row r="8951" customFormat="false" ht="17.15" hidden="false" customHeight="false" outlineLevel="0" collapsed="false">
      <c r="A8951" s="1" t="s">
        <v>1096</v>
      </c>
      <c r="B8951" s="0" t="s">
        <v>98</v>
      </c>
      <c r="C8951" s="6" t="n">
        <f aca="false">(w_ntm28*Sens!G8938+(1-w_ntm28)*Sens!H8938)*m_game</f>
        <v>98.0845421015552</v>
      </c>
    </row>
    <row r="8952" customFormat="false" ht="17.15" hidden="false" customHeight="false" outlineLevel="0" collapsed="false">
      <c r="A8952" s="1" t="s">
        <v>1097</v>
      </c>
      <c r="B8952" s="0" t="s">
        <v>98</v>
      </c>
      <c r="C8952" s="6" t="n">
        <f aca="false">(w_ntm28*Sens!G8939+(1-w_ntm28)*Sens!H8939)*m_pc</f>
        <v>97.2425198755663</v>
      </c>
    </row>
    <row r="8953" customFormat="false" ht="17.15" hidden="false" customHeight="false" outlineLevel="0" collapsed="false">
      <c r="A8953" s="1" t="s">
        <v>1098</v>
      </c>
      <c r="B8953" s="0" t="s">
        <v>98</v>
      </c>
      <c r="C8953" s="6" t="n">
        <f aca="false">Sens!$C$8943+Sens!$C$8945+Sens!$C$8946+Sens!$C$8947+Sens!$C$8948+Sens!$C$8949+Sens!$C$8950+Sens!$C$8951+Sens!$C$8952</f>
        <v>3462.12214220004</v>
      </c>
    </row>
    <row r="8954" customFormat="false" ht="17.15" hidden="false" customHeight="false" outlineLevel="0" collapsed="false">
      <c r="A8954" s="1" t="s">
        <v>1099</v>
      </c>
      <c r="B8954" s="0" t="s">
        <v>98</v>
      </c>
      <c r="C8954" s="6" t="n">
        <f aca="false">(Sens!G8915-Sens!G8940)*t_stub</f>
        <v>47.9369102207976</v>
      </c>
      <c r="L8954" s="1" t="s">
        <v>1100</v>
      </c>
    </row>
    <row r="8955" customFormat="false" ht="17.15" hidden="false" customHeight="false" outlineLevel="0" collapsed="false">
      <c r="A8955" s="1" t="s">
        <v>1014</v>
      </c>
      <c r="B8955" s="0" t="s">
        <v>98</v>
      </c>
      <c r="C8955" s="6" t="n">
        <f aca="false">Sens!F8904+oai_v-Sens!F8893+Sens!$C$8954</f>
        <v>163.008757264373</v>
      </c>
      <c r="L8955" s="1" t="s">
        <v>1101</v>
      </c>
    </row>
    <row r="8956" customFormat="false" ht="17.15" hidden="false" customHeight="false" outlineLevel="0" collapsed="false">
      <c r="A8956" s="1" t="s">
        <v>1102</v>
      </c>
      <c r="B8956" s="0" t="s">
        <v>75</v>
      </c>
      <c r="C8956" s="5" t="n">
        <f aca="false">(Sens!$C$8953+Sens!$C$8955)/(Sens!F8906+dil_gap)-Sens!G8896*roll_div_q/q_per_yr</f>
        <v>482.56921124125</v>
      </c>
      <c r="L8956" s="1" t="s">
        <v>1103</v>
      </c>
    </row>
    <row r="8957" customFormat="false" ht="17.15" hidden="false" customHeight="false" outlineLevel="0" collapsed="false">
      <c r="A8957" s="1" t="s">
        <v>1104</v>
      </c>
      <c r="B8957" s="0" t="s">
        <v>75</v>
      </c>
      <c r="C8957" s="5" t="n">
        <f aca="false">w_dcf*Sens!$C$8927+(1-w_dcf)*Sens!$C$8956</f>
        <v>424.621082405813</v>
      </c>
    </row>
    <row r="8958" customFormat="false" ht="17.15" hidden="false" customHeight="false" outlineLevel="0" collapsed="false">
      <c r="A8958" s="3" t="s">
        <v>1492</v>
      </c>
    </row>
    <row r="8959" customFormat="false" ht="15" hidden="false" customHeight="false" outlineLevel="0" collapsed="false">
      <c r="A8959" s="4" t="s">
        <v>43</v>
      </c>
      <c r="B8959" s="4" t="s">
        <v>65</v>
      </c>
      <c r="C8959" s="20" t="s">
        <v>799</v>
      </c>
      <c r="D8959" s="20" t="s">
        <v>800</v>
      </c>
      <c r="E8959" s="20" t="s">
        <v>801</v>
      </c>
      <c r="F8959" s="20" t="s">
        <v>802</v>
      </c>
      <c r="G8959" s="20" t="s">
        <v>803</v>
      </c>
      <c r="H8959" s="20" t="s">
        <v>804</v>
      </c>
      <c r="I8959" s="20" t="s">
        <v>805</v>
      </c>
      <c r="J8959" s="20" t="s">
        <v>806</v>
      </c>
      <c r="K8959" s="20" t="s">
        <v>807</v>
      </c>
      <c r="L8959" s="4" t="s">
        <v>47</v>
      </c>
    </row>
    <row r="8960" customFormat="false" ht="17.15" hidden="false" customHeight="false" outlineLevel="0" collapsed="false">
      <c r="A8960" s="1" t="s">
        <v>808</v>
      </c>
      <c r="B8960" s="1" t="s">
        <v>235</v>
      </c>
      <c r="C8960" s="28" t="n">
        <v>2024</v>
      </c>
      <c r="D8960" s="28" t="n">
        <v>2025</v>
      </c>
      <c r="E8960" s="28" t="n">
        <v>2026</v>
      </c>
      <c r="F8960" s="28" t="n">
        <v>2027</v>
      </c>
      <c r="G8960" s="28" t="n">
        <v>2028</v>
      </c>
      <c r="H8960" s="28" t="n">
        <v>2029</v>
      </c>
      <c r="I8960" s="28" t="n">
        <v>2030</v>
      </c>
      <c r="J8960" s="28" t="n">
        <v>2031</v>
      </c>
      <c r="K8960" s="28" t="n">
        <v>2032</v>
      </c>
    </row>
    <row r="8961" customFormat="false" ht="17.15" hidden="false" customHeight="false" outlineLevel="0" collapsed="false">
      <c r="A8961" s="1" t="s">
        <v>809</v>
      </c>
      <c r="B8961" s="0" t="s">
        <v>399</v>
      </c>
      <c r="F8961" s="29" t="n">
        <f aca="false">pace</f>
        <v>2527.2</v>
      </c>
      <c r="G8961" s="29" t="n">
        <f aca="false">pace</f>
        <v>2527.2</v>
      </c>
      <c r="H8961" s="29" t="n">
        <f aca="false">pace</f>
        <v>2527.2</v>
      </c>
      <c r="I8961" s="29" t="n">
        <f aca="false">pace+(g_tv*Sens!H8962-pace)*MIN(1,(Sens!I8960-pace_y0)/(pace_y1-pace_y0))</f>
        <v>1793.116</v>
      </c>
      <c r="J8961" s="29" t="n">
        <f aca="false">pace+(g_tv*Sens!I8962-pace)*MIN(1,(Sens!J8960-pace_y0)/(pace_y1-pace_y0))</f>
        <v>1094.89432</v>
      </c>
      <c r="K8961" s="29" t="n">
        <f aca="false">pace+(g_tv*Sens!J8962-pace)*MIN(1,(Sens!K8960-pace_y0)/(pace_y1-pace_y0))</f>
        <v>411.5883096</v>
      </c>
      <c r="L8961" s="11" t="s">
        <v>810</v>
      </c>
    </row>
    <row r="8962" customFormat="false" ht="17.15" hidden="false" customHeight="false" outlineLevel="0" collapsed="false">
      <c r="A8962" s="1" t="s">
        <v>811</v>
      </c>
      <c r="B8962" s="0" t="s">
        <v>399</v>
      </c>
      <c r="C8962" s="29" t="n">
        <f aca="false">mw_ext_24</f>
        <v>640</v>
      </c>
      <c r="D8962" s="29" t="n">
        <f aca="false">mw_ext_25</f>
        <v>1630</v>
      </c>
      <c r="E8962" s="29" t="n">
        <f aca="false">mw_ext_26</f>
        <v>3250</v>
      </c>
      <c r="F8962" s="29" t="n">
        <f aca="false">Sens!E8962+Sens!F8961</f>
        <v>5777.2</v>
      </c>
      <c r="G8962" s="29" t="n">
        <f aca="false">Sens!F8962+Sens!G8961</f>
        <v>8304.4</v>
      </c>
      <c r="H8962" s="29" t="n">
        <f aca="false">Sens!G8962+Sens!H8961</f>
        <v>10831.6</v>
      </c>
      <c r="I8962" s="29" t="n">
        <f aca="false">Sens!H8962+Sens!I8961</f>
        <v>12624.716</v>
      </c>
      <c r="J8962" s="29" t="n">
        <f aca="false">Sens!I8962+Sens!J8961</f>
        <v>13719.61032</v>
      </c>
      <c r="K8962" s="29" t="n">
        <f aca="false">Sens!J8962+Sens!K8961</f>
        <v>14131.1986296</v>
      </c>
      <c r="L8962" s="1" t="s">
        <v>812</v>
      </c>
    </row>
    <row r="8963" customFormat="false" ht="17.15" hidden="false" customHeight="false" outlineLevel="0" collapsed="false">
      <c r="A8963" s="1" t="s">
        <v>813</v>
      </c>
      <c r="B8963" s="0" t="s">
        <v>399</v>
      </c>
      <c r="C8963" s="29" t="n">
        <f aca="false">rent_ext_24</f>
        <v>150</v>
      </c>
      <c r="D8963" s="29" t="n">
        <f aca="false">rent_ext_25</f>
        <v>400</v>
      </c>
      <c r="E8963" s="29" t="n">
        <f aca="false">rent_ext_26</f>
        <v>550</v>
      </c>
      <c r="F8963" s="29" t="n">
        <f aca="false">rent_ext_f</f>
        <v>756</v>
      </c>
      <c r="G8963" s="29" t="n">
        <f aca="false">rent_ext_f</f>
        <v>756</v>
      </c>
      <c r="H8963" s="29" t="n">
        <f aca="false">rent_ext_f</f>
        <v>756</v>
      </c>
      <c r="I8963" s="29" t="n">
        <f aca="false">rent_ext_f</f>
        <v>756</v>
      </c>
      <c r="J8963" s="29" t="n">
        <f aca="false">rent_ext_f</f>
        <v>756</v>
      </c>
      <c r="K8963" s="29" t="n">
        <f aca="false">rent_ext_f</f>
        <v>756</v>
      </c>
      <c r="L8963" s="1" t="s">
        <v>814</v>
      </c>
    </row>
    <row r="8964" customFormat="false" ht="17.15" hidden="false" customHeight="false" outlineLevel="0" collapsed="false">
      <c r="A8964" s="1" t="s">
        <v>815</v>
      </c>
      <c r="B8964" s="0" t="s">
        <v>399</v>
      </c>
      <c r="C8964" s="29" t="n">
        <f aca="false">Sens!C8962-Sens!C8963</f>
        <v>490</v>
      </c>
      <c r="D8964" s="29" t="n">
        <f aca="false">Sens!D8962-Sens!D8963</f>
        <v>1230</v>
      </c>
      <c r="E8964" s="29" t="n">
        <f aca="false">Sens!E8962-Sens!E8963</f>
        <v>2700</v>
      </c>
      <c r="F8964" s="29" t="n">
        <f aca="false">Sens!F8962-Sens!F8963</f>
        <v>5021.2</v>
      </c>
      <c r="G8964" s="29" t="n">
        <f aca="false">Sens!G8962-Sens!G8963</f>
        <v>7548.4</v>
      </c>
      <c r="H8964" s="29" t="n">
        <f aca="false">Sens!H8962-Sens!H8963</f>
        <v>10075.6</v>
      </c>
      <c r="I8964" s="29" t="n">
        <f aca="false">Sens!I8962-Sens!I8963</f>
        <v>11868.716</v>
      </c>
      <c r="J8964" s="29" t="n">
        <f aca="false">Sens!J8962-Sens!J8963</f>
        <v>12963.61032</v>
      </c>
      <c r="K8964" s="29" t="n">
        <f aca="false">Sens!K8962-Sens!K8963</f>
        <v>13375.1986296</v>
      </c>
    </row>
    <row r="8965" customFormat="false" ht="17.15" hidden="false" customHeight="false" outlineLevel="0" collapsed="false">
      <c r="A8965" s="1" t="s">
        <v>816</v>
      </c>
      <c r="B8965" s="0" t="s">
        <v>399</v>
      </c>
      <c r="C8965" s="29" t="n">
        <f aca="false">Sens!C8964/ext_sh</f>
        <v>816.666666666667</v>
      </c>
      <c r="D8965" s="29" t="n">
        <f aca="false">Sens!D8964/ext_sh</f>
        <v>2050</v>
      </c>
      <c r="E8965" s="29" t="n">
        <f aca="false">Sens!E8964/ext_sh</f>
        <v>4500</v>
      </c>
      <c r="F8965" s="29" t="n">
        <f aca="false">Sens!F8964/ext_sh</f>
        <v>8368.66666666667</v>
      </c>
      <c r="G8965" s="29" t="n">
        <f aca="false">Sens!G8964/ext_sh</f>
        <v>12580.6666666667</v>
      </c>
      <c r="H8965" s="29" t="n">
        <f aca="false">Sens!H8964/ext_sh</f>
        <v>16792.6666666667</v>
      </c>
      <c r="I8965" s="29" t="n">
        <f aca="false">Sens!I8964/ext_sh</f>
        <v>19781.1933333333</v>
      </c>
      <c r="J8965" s="29" t="n">
        <f aca="false">Sens!J8964/ext_sh</f>
        <v>21606.0172</v>
      </c>
      <c r="K8965" s="29" t="n">
        <f aca="false">Sens!K8964/ext_sh</f>
        <v>22291.997716</v>
      </c>
      <c r="L8965" s="1" t="s">
        <v>817</v>
      </c>
    </row>
    <row r="8966" customFormat="false" ht="17.15" hidden="false" customHeight="false" outlineLevel="0" collapsed="false">
      <c r="A8966" s="1" t="s">
        <v>818</v>
      </c>
      <c r="B8966" s="0" t="s">
        <v>399</v>
      </c>
      <c r="C8966" s="29" t="n">
        <f aca="false">Sens!C8965-Sens!C8964</f>
        <v>326.666666666667</v>
      </c>
      <c r="D8966" s="29" t="n">
        <f aca="false">Sens!D8965-Sens!D8964</f>
        <v>820</v>
      </c>
      <c r="E8966" s="29" t="n">
        <f aca="false">Sens!E8965-Sens!E8964</f>
        <v>1800</v>
      </c>
      <c r="F8966" s="29" t="n">
        <f aca="false">Sens!F8965-Sens!F8964</f>
        <v>3347.46666666667</v>
      </c>
      <c r="G8966" s="29" t="n">
        <f aca="false">Sens!G8965-Sens!G8964</f>
        <v>5032.26666666667</v>
      </c>
      <c r="H8966" s="29" t="n">
        <f aca="false">Sens!H8965-Sens!H8964</f>
        <v>6717.06666666667</v>
      </c>
      <c r="I8966" s="29" t="n">
        <f aca="false">Sens!I8965-Sens!I8964</f>
        <v>7912.47733333333</v>
      </c>
      <c r="J8966" s="29" t="n">
        <f aca="false">Sens!J8965-Sens!J8964</f>
        <v>8642.40688</v>
      </c>
      <c r="K8966" s="29" t="n">
        <f aca="false">Sens!K8965-Sens!K8964</f>
        <v>8916.7990864</v>
      </c>
    </row>
    <row r="8967" customFormat="false" ht="17.15" hidden="false" customHeight="false" outlineLevel="0" collapsed="false">
      <c r="A8967" s="1" t="s">
        <v>819</v>
      </c>
      <c r="B8967" s="0" t="s">
        <v>399</v>
      </c>
      <c r="C8967" s="29" t="n">
        <f aca="false">Sens!C8965</f>
        <v>816.666666666667</v>
      </c>
      <c r="D8967" s="29" t="n">
        <f aca="false">Sens!D8965-Sens!C8965</f>
        <v>1233.33333333333</v>
      </c>
      <c r="E8967" s="29" t="n">
        <f aca="false">Sens!E8965-Sens!D8965</f>
        <v>2450</v>
      </c>
      <c r="F8967" s="29" t="n">
        <f aca="false">Sens!F8965-Sens!E8965</f>
        <v>3868.66666666667</v>
      </c>
      <c r="G8967" s="29" t="n">
        <f aca="false">Sens!G8965-Sens!F8965</f>
        <v>4212</v>
      </c>
      <c r="H8967" s="29" t="n">
        <f aca="false">Sens!H8965-Sens!G8965</f>
        <v>4212</v>
      </c>
      <c r="I8967" s="29" t="n">
        <f aca="false">Sens!I8965-Sens!H8965</f>
        <v>2988.52666666667</v>
      </c>
      <c r="J8967" s="29" t="n">
        <f aca="false">Sens!J8965-Sens!I8965</f>
        <v>1824.82386666667</v>
      </c>
      <c r="K8967" s="29" t="n">
        <f aca="false">Sens!K8965-Sens!J8965</f>
        <v>685.980516</v>
      </c>
    </row>
    <row r="8968" customFormat="false" ht="17.15" hidden="false" customHeight="false" outlineLevel="0" collapsed="false">
      <c r="A8968" s="1" t="s">
        <v>820</v>
      </c>
      <c r="B8968" s="0" t="s">
        <v>399</v>
      </c>
      <c r="D8968" s="29" t="n">
        <f aca="false">Sens!D8962-Sens!C8962</f>
        <v>990</v>
      </c>
      <c r="E8968" s="29" t="n">
        <f aca="false">Sens!E8962-Sens!D8962</f>
        <v>1620</v>
      </c>
      <c r="F8968" s="29" t="n">
        <f aca="false">Sens!F8962-Sens!E8962</f>
        <v>2527.2</v>
      </c>
      <c r="G8968" s="29" t="n">
        <f aca="false">Sens!G8962-Sens!F8962</f>
        <v>2527.2</v>
      </c>
      <c r="H8968" s="29" t="n">
        <f aca="false">Sens!H8962-Sens!G8962</f>
        <v>2527.2</v>
      </c>
      <c r="I8968" s="29" t="n">
        <f aca="false">Sens!I8962-Sens!H8962</f>
        <v>1793.116</v>
      </c>
      <c r="J8968" s="29" t="n">
        <f aca="false">Sens!J8962-Sens!I8962</f>
        <v>1094.89432</v>
      </c>
      <c r="K8968" s="29" t="n">
        <f aca="false">Sens!K8962-Sens!J8962</f>
        <v>411.5883096</v>
      </c>
    </row>
    <row r="8969" customFormat="false" ht="17.15" hidden="false" customHeight="false" outlineLevel="0" collapsed="false">
      <c r="A8969" s="1" t="s">
        <v>821</v>
      </c>
      <c r="B8969" s="0" t="s">
        <v>399</v>
      </c>
      <c r="F8969" s="29" t="n">
        <f aca="false">Sens!F8986*ext_sh</f>
        <v>0</v>
      </c>
      <c r="G8969" s="29" t="n">
        <f aca="false">Sens!G8986*ext_sh</f>
        <v>0</v>
      </c>
      <c r="H8969" s="29" t="n">
        <f aca="false">Sens!H8986*ext_sh</f>
        <v>0</v>
      </c>
      <c r="I8969" s="29" t="n">
        <f aca="false">Sens!I8986*ext_sh</f>
        <v>490</v>
      </c>
      <c r="J8969" s="29" t="n">
        <f aca="false">Sens!J8986*ext_sh</f>
        <v>740</v>
      </c>
      <c r="K8969" s="29" t="n">
        <f aca="false">Sens!K8986*ext_sh</f>
        <v>1470</v>
      </c>
      <c r="L8969" s="1" t="s">
        <v>822</v>
      </c>
    </row>
    <row r="8970" customFormat="false" ht="17.15" hidden="false" customHeight="false" outlineLevel="0" collapsed="false">
      <c r="A8970" s="1" t="s">
        <v>823</v>
      </c>
      <c r="B8970" s="0" t="s">
        <v>399</v>
      </c>
      <c r="C8970" s="29" t="n">
        <f aca="false">mix_h*Sens!C8962</f>
        <v>128</v>
      </c>
      <c r="D8970" s="29" t="n">
        <f aca="false">mix_h*Sens!D8962</f>
        <v>326</v>
      </c>
      <c r="E8970" s="29" t="n">
        <f aca="false">mix_h*Sens!E8962</f>
        <v>650</v>
      </c>
      <c r="F8970" s="29" t="n">
        <f aca="false">Sens!E8970-Sens!F8969*mix_h</f>
        <v>650</v>
      </c>
      <c r="G8970" s="29" t="n">
        <f aca="false">Sens!F8970-Sens!G8969*mix_h</f>
        <v>650</v>
      </c>
      <c r="H8970" s="29" t="n">
        <f aca="false">Sens!G8970-Sens!H8969*mix_h</f>
        <v>650</v>
      </c>
      <c r="I8970" s="29" t="n">
        <f aca="false">Sens!H8970-Sens!I8969*mix_h</f>
        <v>552</v>
      </c>
      <c r="J8970" s="29" t="n">
        <f aca="false">Sens!I8970-Sens!J8969*mix_h</f>
        <v>404</v>
      </c>
      <c r="K8970" s="29" t="n">
        <f aca="false">Sens!J8970-Sens!K8969*mix_h</f>
        <v>110</v>
      </c>
    </row>
    <row r="8971" customFormat="false" ht="17.15" hidden="false" customHeight="false" outlineLevel="0" collapsed="false">
      <c r="A8971" s="1" t="s">
        <v>824</v>
      </c>
      <c r="B8971" s="0" t="s">
        <v>399</v>
      </c>
      <c r="C8971" s="29" t="n">
        <f aca="false">mix_g2*Sens!C8962</f>
        <v>288</v>
      </c>
      <c r="D8971" s="29" t="n">
        <f aca="false">mix_g2*Sens!D8962</f>
        <v>733.5</v>
      </c>
      <c r="E8971" s="29" t="n">
        <f aca="false">mix_g2*Sens!E8962</f>
        <v>1462.5</v>
      </c>
      <c r="F8971" s="29" t="n">
        <f aca="false">Sens!E8971-Sens!F8969*mix_g2</f>
        <v>1462.5</v>
      </c>
      <c r="G8971" s="29" t="n">
        <f aca="false">Sens!F8971-Sens!G8969*mix_g2</f>
        <v>1462.5</v>
      </c>
      <c r="H8971" s="29" t="n">
        <f aca="false">Sens!G8971-Sens!H8969*mix_g2</f>
        <v>1462.5</v>
      </c>
      <c r="I8971" s="29" t="n">
        <f aca="false">Sens!H8971-Sens!I8969*mix_g2</f>
        <v>1242</v>
      </c>
      <c r="J8971" s="29" t="n">
        <f aca="false">Sens!I8971-Sens!J8969*mix_g2</f>
        <v>909</v>
      </c>
      <c r="K8971" s="29" t="n">
        <f aca="false">Sens!J8971-Sens!K8969*mix_g2</f>
        <v>247.5</v>
      </c>
    </row>
    <row r="8972" customFormat="false" ht="17.15" hidden="false" customHeight="false" outlineLevel="0" collapsed="false">
      <c r="A8972" s="1" t="s">
        <v>825</v>
      </c>
      <c r="B8972" s="0" t="s">
        <v>399</v>
      </c>
      <c r="C8972" s="29" t="n">
        <f aca="false">mix_g3*Sens!C8962</f>
        <v>224</v>
      </c>
      <c r="D8972" s="29" t="n">
        <f aca="false">mix_g3*Sens!D8962</f>
        <v>570.5</v>
      </c>
      <c r="E8972" s="29" t="n">
        <f aca="false">mix_g3*Sens!E8962</f>
        <v>1137.5</v>
      </c>
      <c r="F8972" s="29" t="n">
        <f aca="false">Sens!E8972+(Sens!F8968+Sens!F8969)*a_g3_27-Sens!F8969*mix_g3</f>
        <v>2906.54</v>
      </c>
      <c r="G8972" s="29" t="n">
        <f aca="false">Sens!F8972+(Sens!G8968+Sens!G8969)*a_g3_28-Sens!G8969*mix_g3</f>
        <v>3664.7</v>
      </c>
      <c r="H8972" s="29" t="n">
        <f aca="false">Sens!G8972+(Sens!H8968+Sens!H8969)*a_g3_29-Sens!H8969*mix_g3</f>
        <v>3917.42</v>
      </c>
      <c r="I8972" s="29" t="n">
        <f aca="false">Sens!H8972+(Sens!I8968+Sens!I8969)*a_g3_29-Sens!I8969*mix_g3</f>
        <v>3974.2316</v>
      </c>
      <c r="J8972" s="29" t="n">
        <f aca="false">Sens!I8972+(Sens!J8968+Sens!J8969)*a_g3_29-Sens!J8969*mix_g3</f>
        <v>3898.721032</v>
      </c>
      <c r="K8972" s="29" t="n">
        <f aca="false">Sens!J8972+(Sens!K8968+Sens!K8969)*a_g3_29-Sens!K8969*mix_g3</f>
        <v>3572.37986296</v>
      </c>
    </row>
    <row r="8973" customFormat="false" ht="17.15" hidden="false" customHeight="false" outlineLevel="0" collapsed="false">
      <c r="A8973" s="1" t="s">
        <v>826</v>
      </c>
      <c r="B8973" s="0" t="s">
        <v>399</v>
      </c>
      <c r="C8973" s="29" t="n">
        <v>0</v>
      </c>
      <c r="D8973" s="29" t="n">
        <v>0</v>
      </c>
      <c r="E8973" s="29" t="n">
        <v>0</v>
      </c>
      <c r="F8973" s="29" t="n">
        <f aca="false">Sens!E8973+(Sens!F8968+Sens!F8969)*(1-a_g3_27)</f>
        <v>758.16</v>
      </c>
      <c r="G8973" s="29" t="n">
        <f aca="false">Sens!F8973+(Sens!G8968+Sens!G8969)*(1-a_g3_28)</f>
        <v>2527.2</v>
      </c>
      <c r="H8973" s="29" t="n">
        <f aca="false">Sens!G8973+(Sens!H8968+Sens!H8969)*(1-a_g3_29)</f>
        <v>4801.68</v>
      </c>
      <c r="I8973" s="29" t="n">
        <f aca="false">Sens!H8973+(Sens!I8968+Sens!I8969)*(1-a_g3_29)</f>
        <v>6856.4844</v>
      </c>
      <c r="J8973" s="29" t="n">
        <f aca="false">Sens!I8973+(Sens!J8968+Sens!J8969)*(1-a_g3_29)</f>
        <v>8507.889288</v>
      </c>
      <c r="K8973" s="29" t="n">
        <f aca="false">Sens!J8973+(Sens!K8968+Sens!K8969)*(1-a_g3_29)</f>
        <v>10201.31876664</v>
      </c>
    </row>
    <row r="8974" customFormat="false" ht="17.15" hidden="false" customHeight="false" outlineLevel="0" collapsed="false">
      <c r="A8974" s="1" t="s">
        <v>827</v>
      </c>
      <c r="B8974" s="0" t="s">
        <v>346</v>
      </c>
      <c r="C8974" s="14" t="n">
        <f aca="false">(Sens!C8970*tk_hold_h100+Sens!C8971*tk_hold_gb200+Sens!C8972*tk_hold_gb300+Sens!C8973*tk_hold_vr200)/Sens!C8962</f>
        <v>9.7235358126469</v>
      </c>
      <c r="D8974" s="14" t="n">
        <f aca="false">(Sens!D8970*tk_hold_h100+Sens!D8971*tk_hold_gb200+Sens!D8972*tk_hold_gb300+Sens!D8973*tk_hold_vr200)/Sens!D8962</f>
        <v>9.7235358126469</v>
      </c>
      <c r="E8974" s="14" t="n">
        <f aca="false">(Sens!E8970*tk_hold_h100+Sens!E8971*tk_hold_gb200+Sens!E8972*tk_hold_gb300+Sens!E8973*tk_hold_vr200)/Sens!E8962</f>
        <v>9.7235358126469</v>
      </c>
      <c r="F8974" s="14" t="n">
        <f aca="false">(Sens!F8970*tk_hold_h100+Sens!F8971*tk_hold_gb200+Sens!F8972*tk_hold_gb300+Sens!F8973*tk_hold_vr200)/Sens!F8962</f>
        <v>10.4079573161931</v>
      </c>
      <c r="G8974" s="14" t="n">
        <f aca="false">(Sens!G8970*tk_hold_h100+Sens!G8971*tk_hold_gb200+Sens!G8972*tk_hold_gb300+Sens!G8973*tk_hold_vr200)/Sens!G8962</f>
        <v>10.8388131109316</v>
      </c>
      <c r="H8974" s="14" t="n">
        <f aca="false">(Sens!H8970*tk_hold_h100+Sens!H8971*tk_hold_gb200+Sens!H8972*tk_hold_gb300+Sens!H8973*tk_hold_vr200)/Sens!H8962</f>
        <v>11.1311018388216</v>
      </c>
      <c r="I8974" s="14" t="n">
        <f aca="false">(Sens!I8970*tk_hold_h100+Sens!I8971*tk_hold_gb200+Sens!I8972*tk_hold_gb300+Sens!I8973*tk_hold_vr200)/Sens!I8962</f>
        <v>11.3594282560989</v>
      </c>
      <c r="J8974" s="14" t="n">
        <f aca="false">(Sens!J8970*tk_hold_h100+Sens!J8971*tk_hold_gb200+Sens!J8972*tk_hold_gb300+Sens!J8973*tk_hold_vr200)/Sens!J8962</f>
        <v>11.5455817917599</v>
      </c>
      <c r="K8974" s="14" t="n">
        <f aca="false">(Sens!K8970*tk_hold_h100+Sens!K8971*tk_hold_gb200+Sens!K8972*tk_hold_gb300+Sens!K8973*tk_hold_vr200)/Sens!K8962</f>
        <v>11.8078187977246</v>
      </c>
    </row>
    <row r="8975" customFormat="false" ht="17.15" hidden="false" customHeight="false" outlineLevel="0" collapsed="false">
      <c r="A8975" s="0" t="s">
        <v>828</v>
      </c>
      <c r="B8975" s="0" t="s">
        <v>185</v>
      </c>
      <c r="C8975" s="14" t="n">
        <f aca="false">k_B</f>
        <v>1.17213932619116</v>
      </c>
      <c r="D8975" s="14" t="n">
        <f aca="false">k_B</f>
        <v>1.17213932619116</v>
      </c>
      <c r="E8975" s="14" t="n">
        <f aca="false">k_B</f>
        <v>1.17213932619116</v>
      </c>
      <c r="F8975" s="14" t="n">
        <f aca="false">(k_B+((ls_B*k_long+(1-ls_B)*k_spot)-k_B)*MIN(1,(Sens!F8960-base_fy)/k_ramp))</f>
        <v>1.17213932619116</v>
      </c>
      <c r="G8975" s="14" t="n">
        <f aca="false">(k_B+((ls_B*k_long+(1-ls_B)*k_spot)-k_B)*MIN(1,(Sens!G8960-base_fy)/k_ramp))</f>
        <v>1.17213932619116</v>
      </c>
      <c r="H8975" s="14" t="n">
        <f aca="false">(k_B+((ls_B*k_long+(1-ls_B)*k_spot)-k_B)*MIN(1,(Sens!H8960-base_fy)/k_ramp))</f>
        <v>1.17213932619116</v>
      </c>
      <c r="I8975" s="14" t="n">
        <f aca="false">(k_B+((ls_B*k_long+(1-ls_B)*k_spot)-k_B)*MIN(1,(Sens!I8960-base_fy)/k_ramp))</f>
        <v>1.17213932619116</v>
      </c>
      <c r="J8975" s="14" t="n">
        <f aca="false">(k_B+((ls_B*k_long+(1-ls_B)*k_spot)-k_B)*MIN(1,(Sens!J8960-base_fy)/k_ramp))</f>
        <v>1.17213932619116</v>
      </c>
      <c r="K8975" s="14" t="n">
        <f aca="false">(k_B+((ls_B*k_long+(1-ls_B)*k_spot)-k_B)*MIN(1,(Sens!K8960-base_fy)/k_ramp))</f>
        <v>1.17213932619116</v>
      </c>
      <c r="L8975" s="1" t="s">
        <v>829</v>
      </c>
    </row>
    <row r="8976" customFormat="false" ht="17.15" hidden="false" customHeight="false" outlineLevel="0" collapsed="false">
      <c r="A8976" s="1" t="s">
        <v>830</v>
      </c>
      <c r="B8976" s="0" t="s">
        <v>346</v>
      </c>
      <c r="C8976" s="14" t="n">
        <f aca="false">Sens!C8974*Sens!C8975*chip_f</f>
        <v>11.3973387156315</v>
      </c>
      <c r="D8976" s="14" t="n">
        <f aca="false">Sens!D8974*Sens!D8975*chip_f</f>
        <v>11.3973387156315</v>
      </c>
      <c r="E8976" s="14" t="n">
        <f aca="false">Sens!E8974*Sens!E8975*chip_f</f>
        <v>11.3973387156315</v>
      </c>
      <c r="F8976" s="14" t="n">
        <f aca="false">Sens!F8974*Sens!F8975*chip_f</f>
        <v>12.1995760756289</v>
      </c>
      <c r="G8976" s="14" t="n">
        <f aca="false">Sens!G8974*Sens!G8975*chip_f</f>
        <v>12.7045990965592</v>
      </c>
      <c r="H8976" s="14" t="n">
        <f aca="false">Sens!H8974*Sens!H8975*chip_f</f>
        <v>13.0472022091214</v>
      </c>
      <c r="I8976" s="14" t="n">
        <f aca="false">Sens!I8974*Sens!I8975*chip_f</f>
        <v>13.3148325820205</v>
      </c>
      <c r="J8976" s="14" t="n">
        <f aca="false">Sens!J8974*Sens!J8975*chip_f</f>
        <v>13.5330304618783</v>
      </c>
      <c r="K8976" s="14" t="n">
        <f aca="false">Sens!K8974*Sens!K8975*chip_f</f>
        <v>13.8404087693522</v>
      </c>
      <c r="L8976" s="1" t="s">
        <v>831</v>
      </c>
    </row>
    <row r="8977" customFormat="false" ht="17.15" hidden="false" customHeight="false" outlineLevel="0" collapsed="false">
      <c r="A8977" s="0" t="s">
        <v>832</v>
      </c>
      <c r="B8977" s="0" t="s">
        <v>98</v>
      </c>
      <c r="D8977" s="6" t="n">
        <f aca="false">(Sens!C8962+Sens!D8962)/2*Sens!D8976/1000</f>
        <v>12.9359794422418</v>
      </c>
      <c r="E8977" s="6" t="n">
        <f aca="false">(Sens!D8962+Sens!E8962)/2*Sens!E8976/1000</f>
        <v>27.8095064661409</v>
      </c>
      <c r="F8977" s="6" t="n">
        <f aca="false">(Sens!E8962+Sens!F8962)/2*Sens!F8976/1000</f>
        <v>55.0640065749585</v>
      </c>
      <c r="G8977" s="6" t="n">
        <f aca="false">(Sens!F8962+Sens!G8962)/2*Sens!G8976/1000</f>
        <v>89.4505413190538</v>
      </c>
      <c r="H8977" s="6" t="n">
        <f aca="false">(Sens!G8962+Sens!H8962)/2*Sens!H8976/1000</f>
        <v>124.835630736874</v>
      </c>
      <c r="I8977" s="6" t="n">
        <f aca="false">(Sens!H8962+Sens!I8962)/2*Sens!I8976/1000</f>
        <v>156.158460265485</v>
      </c>
      <c r="J8977" s="6" t="n">
        <f aca="false">(Sens!I8962+Sens!J8962)/2*Sens!J8976/1000</f>
        <v>178.259285293112</v>
      </c>
      <c r="K8977" s="6" t="n">
        <f aca="false">(Sens!J8962+Sens!K8962)/2*Sens!K8976/1000</f>
        <v>192.733290209798</v>
      </c>
      <c r="L8977" s="11" t="s">
        <v>833</v>
      </c>
    </row>
    <row r="8978" customFormat="false" ht="17.15" hidden="false" customHeight="false" outlineLevel="0" collapsed="false">
      <c r="A8978" s="1" t="s">
        <v>834</v>
      </c>
      <c r="B8978" s="0" t="s">
        <v>346</v>
      </c>
      <c r="C8978" s="14" t="n">
        <f aca="false">(Sens!C8970*tk_opex_h100+Sens!C8971*tk_opex_gb200+Sens!C8972*tk_opex_gb300+Sens!C8973*tk_opex_vr200)/Sens!C8962</f>
        <v>1.88636041306092</v>
      </c>
      <c r="D8978" s="14" t="n">
        <f aca="false">(Sens!D8970*tk_opex_h100+Sens!D8971*tk_opex_gb200+Sens!D8972*tk_opex_gb300+Sens!D8973*tk_opex_vr200)/Sens!D8962</f>
        <v>1.88636041306092</v>
      </c>
      <c r="E8978" s="14" t="n">
        <f aca="false">(Sens!E8970*tk_opex_h100+Sens!E8971*tk_opex_gb200+Sens!E8972*tk_opex_gb300+Sens!E8973*tk_opex_vr200)/Sens!E8962</f>
        <v>1.88636041306092</v>
      </c>
      <c r="F8978" s="14" t="n">
        <f aca="false">(Sens!F8970*tk_opex_h100+Sens!F8971*tk_opex_gb200+Sens!F8972*tk_opex_gb300+Sens!F8973*tk_opex_vr200)/Sens!F8962</f>
        <v>1.9430236476499</v>
      </c>
      <c r="G8978" s="14" t="n">
        <f aca="false">(Sens!G8970*tk_opex_h100+Sens!G8971*tk_opex_gb200+Sens!G8972*tk_opex_gb300+Sens!G8973*tk_opex_vr200)/Sens!G8962</f>
        <v>1.9786941852423</v>
      </c>
      <c r="H8978" s="14" t="n">
        <f aca="false">(Sens!H8970*tk_opex_h100+Sens!H8971*tk_opex_gb200+Sens!H8972*tk_opex_gb300+Sens!H8973*tk_opex_vr200)/Sens!H8962</f>
        <v>2.00289275976156</v>
      </c>
      <c r="I8978" s="14" t="n">
        <f aca="false">(Sens!I8970*tk_opex_h100+Sens!I8971*tk_opex_gb200+Sens!I8972*tk_opex_gb300+Sens!I8973*tk_opex_vr200)/Sens!I8962</f>
        <v>2.02179589661219</v>
      </c>
      <c r="J8978" s="14" t="n">
        <f aca="false">(Sens!J8970*tk_opex_h100+Sens!J8971*tk_opex_gb200+Sens!J8972*tk_opex_gb300+Sens!J8973*tk_opex_vr200)/Sens!J8962</f>
        <v>2.03720754193029</v>
      </c>
      <c r="K8978" s="14" t="n">
        <f aca="false">(Sens!K8970*tk_opex_h100+Sens!K8971*tk_opex_gb200+Sens!K8972*tk_opex_gb300+Sens!K8973*tk_opex_vr200)/Sens!K8962</f>
        <v>2.0589181353437</v>
      </c>
    </row>
    <row r="8979" customFormat="false" ht="17.15" hidden="false" customHeight="false" outlineLevel="0" collapsed="false">
      <c r="A8979" s="0" t="s">
        <v>835</v>
      </c>
      <c r="B8979" s="0" t="s">
        <v>98</v>
      </c>
      <c r="D8979" s="6" t="n">
        <f aca="false">(Sens!C8965+Sens!D8965)/2*Sens!D8978/1000</f>
        <v>2.70378325872065</v>
      </c>
      <c r="E8979" s="6" t="n">
        <f aca="false">(Sens!D8965+Sens!E8965)/2*Sens!E8978/1000</f>
        <v>6.17783035277451</v>
      </c>
      <c r="F8979" s="6" t="n">
        <f aca="false">(Sens!E8965+Sens!F8965)/2*Sens!F8978/1000</f>
        <v>12.5020618235287</v>
      </c>
      <c r="G8979" s="6" t="n">
        <f aca="false">(Sens!F8965+Sens!G8965)/2*Sens!G8978/1000</f>
        <v>20.7261620256847</v>
      </c>
      <c r="H8979" s="6" t="n">
        <f aca="false">(Sens!G8965+Sens!H8965)/2*Sens!H8978/1000</f>
        <v>29.4158183316982</v>
      </c>
      <c r="I8979" s="6" t="n">
        <f aca="false">(Sens!H8965+Sens!I8965)/2*Sens!I8978/1000</f>
        <v>36.9724400356344</v>
      </c>
      <c r="J8979" s="6" t="n">
        <f aca="false">(Sens!I8965+Sens!J8965)/2*Sens!J8978/1000</f>
        <v>42.1571687189816</v>
      </c>
      <c r="K8979" s="6" t="n">
        <f aca="false">(Sens!J8965+Sens!K8965)/2*Sens!K8978/1000</f>
        <v>45.1912095080704</v>
      </c>
    </row>
    <row r="8980" customFormat="false" ht="17.15" hidden="false" customHeight="false" outlineLevel="0" collapsed="false">
      <c r="A8980" s="0" t="s">
        <v>836</v>
      </c>
      <c r="B8980" s="0" t="s">
        <v>98</v>
      </c>
      <c r="D8980" s="6" t="n">
        <f aca="false">(Sens!C8963+Sens!D8963)/2*rent_mw/1000</f>
        <v>2.44475</v>
      </c>
      <c r="E8980" s="6" t="n">
        <f aca="false">(Sens!D8963+Sens!E8963)/2*rent_mw/1000</f>
        <v>4.22275</v>
      </c>
      <c r="F8980" s="6" t="n">
        <f aca="false">(Sens!E8963+Sens!F8963)/2*rent_mw/1000</f>
        <v>5.80517</v>
      </c>
      <c r="G8980" s="6" t="n">
        <f aca="false">(Sens!F8963+Sens!G8963)/2*rent_mw/1000</f>
        <v>6.72084</v>
      </c>
      <c r="H8980" s="6" t="n">
        <f aca="false">(Sens!G8963+Sens!H8963)/2*rent_mw/1000</f>
        <v>6.72084</v>
      </c>
      <c r="I8980" s="6" t="n">
        <f aca="false">(Sens!H8963+Sens!I8963)/2*rent_mw/1000</f>
        <v>6.72084</v>
      </c>
      <c r="J8980" s="6" t="n">
        <f aca="false">(Sens!I8963+Sens!J8963)/2*rent_mw/1000</f>
        <v>6.72084</v>
      </c>
      <c r="K8980" s="6" t="n">
        <f aca="false">(Sens!J8963+Sens!K8963)/2*rent_mw/1000</f>
        <v>6.72084</v>
      </c>
    </row>
    <row r="8981" customFormat="false" ht="17.15" hidden="false" customHeight="false" outlineLevel="0" collapsed="false">
      <c r="A8981" s="0" t="s">
        <v>837</v>
      </c>
      <c r="B8981" s="0" t="s">
        <v>98</v>
      </c>
      <c r="D8981" s="6" t="n">
        <f aca="false">(Sens!C8965+Sens!D8965)/2*(1-self_build)*fac_rent/1000</f>
        <v>0.853242375631075</v>
      </c>
      <c r="E8981" s="6" t="n">
        <f aca="false">(Sens!D8965+Sens!E8965)/2*(1-self_build)*fac_rent/1000</f>
        <v>1.94955961408728</v>
      </c>
      <c r="F8981" s="6" t="n">
        <f aca="false">(Sens!E8965+Sens!F8965)/2*(1-self_build)*fac_rent/1000</f>
        <v>3.83026455274573</v>
      </c>
      <c r="G8981" s="6" t="n">
        <f aca="false">(Sens!F8965+Sens!G8965)/2*(1-self_build)*fac_rent/1000</f>
        <v>6.23541590972812</v>
      </c>
      <c r="H8981" s="6" t="n">
        <f aca="false">(Sens!G8965+Sens!H8965)/2*(1-self_build)*fac_rent/1000</f>
        <v>8.74275792332679</v>
      </c>
      <c r="I8981" s="6" t="n">
        <f aca="false">(Sens!H8965+Sens!I8965)/2*(1-self_build)*fac_rent/1000</f>
        <v>10.8859420438599</v>
      </c>
      <c r="J8981" s="6" t="n">
        <f aca="false">(Sens!I8965+Sens!J8965)/2*(1-self_build)*fac_rent/1000</f>
        <v>12.3186006405366</v>
      </c>
      <c r="K8981" s="6" t="n">
        <f aca="false">(Sens!J8965+Sens!K8965)/2*(1-self_build)*fac_rent/1000</f>
        <v>13.0659232089824</v>
      </c>
      <c r="L8981" s="11" t="s">
        <v>838</v>
      </c>
    </row>
    <row r="8982" customFormat="false" ht="17.15" hidden="false" customHeight="false" outlineLevel="0" collapsed="false">
      <c r="A8982" s="1" t="s">
        <v>839</v>
      </c>
      <c r="B8982" s="0" t="s">
        <v>129</v>
      </c>
      <c r="D8982" s="7" t="n">
        <f aca="false">(Sens!C8964+Sens!D8964)/(Sens!C8965+Sens!D8965)</f>
        <v>0.6</v>
      </c>
      <c r="E8982" s="7" t="n">
        <f aca="false">(Sens!D8964+Sens!E8964)/(Sens!D8965+Sens!E8965)</f>
        <v>0.6</v>
      </c>
      <c r="F8982" s="7" t="n">
        <f aca="false">(Sens!E8964+Sens!F8964)/(Sens!E8965+Sens!F8965)</f>
        <v>0.6</v>
      </c>
      <c r="G8982" s="7" t="n">
        <f aca="false">(Sens!F8964+Sens!G8964)/(Sens!F8965+Sens!G8965)</f>
        <v>0.6</v>
      </c>
      <c r="H8982" s="7" t="n">
        <f aca="false">(Sens!G8964+Sens!H8964)/(Sens!G8965+Sens!H8965)</f>
        <v>0.6</v>
      </c>
      <c r="I8982" s="7" t="n">
        <f aca="false">(Sens!H8964+Sens!I8964)/(Sens!H8965+Sens!I8965)</f>
        <v>0.6</v>
      </c>
      <c r="J8982" s="7" t="n">
        <f aca="false">(Sens!I8964+Sens!J8964)/(Sens!I8965+Sens!J8965)</f>
        <v>0.6</v>
      </c>
      <c r="K8982" s="7" t="n">
        <f aca="false">(Sens!J8964+Sens!K8964)/(Sens!J8965+Sens!K8965)</f>
        <v>0.6</v>
      </c>
    </row>
    <row r="8983" customFormat="false" ht="17.15" hidden="false" customHeight="false" outlineLevel="0" collapsed="false">
      <c r="A8983" s="0" t="s">
        <v>840</v>
      </c>
      <c r="B8983" s="0" t="s">
        <v>98</v>
      </c>
      <c r="D8983" s="6" t="n">
        <f aca="false">Sens!D8977-Sens!D8982*(Sens!D8979+Sens!D8981)-Sens!D8980</f>
        <v>8.35701406163072</v>
      </c>
      <c r="E8983" s="6" t="n">
        <f aca="false">Sens!E8977-Sens!E8982*(Sens!E8979+Sens!E8981)-Sens!E8980</f>
        <v>18.7103224860238</v>
      </c>
      <c r="F8983" s="6" t="n">
        <f aca="false">Sens!F8977-Sens!F8982*(Sens!F8979+Sens!F8981)-Sens!F8980</f>
        <v>39.4594407491938</v>
      </c>
      <c r="G8983" s="6" t="n">
        <f aca="false">Sens!G8977-Sens!G8982*(Sens!G8979+Sens!G8981)-Sens!G8980</f>
        <v>66.5527545578061</v>
      </c>
      <c r="H8983" s="6" t="n">
        <f aca="false">Sens!H8977-Sens!H8982*(Sens!H8979+Sens!H8981)-Sens!H8980</f>
        <v>95.219644983859</v>
      </c>
      <c r="I8983" s="6" t="n">
        <f aca="false">Sens!I8977-Sens!I8982*(Sens!I8979+Sens!I8981)-Sens!I8980</f>
        <v>120.722591017788</v>
      </c>
      <c r="J8983" s="6" t="n">
        <f aca="false">Sens!J8977-Sens!J8982*(Sens!J8979+Sens!J8981)-Sens!J8980</f>
        <v>138.852983677401</v>
      </c>
      <c r="K8983" s="6" t="n">
        <f aca="false">Sens!K8977-Sens!K8982*(Sens!K8979+Sens!K8981)-Sens!K8980</f>
        <v>151.058170579566</v>
      </c>
    </row>
    <row r="8984" customFormat="false" ht="17.15" hidden="false" customHeight="false" outlineLevel="0" collapsed="false">
      <c r="A8984" s="1" t="s">
        <v>841</v>
      </c>
      <c r="B8984" s="0" t="s">
        <v>98</v>
      </c>
      <c r="D8984" s="6" t="n">
        <f aca="false">(1-Sens!D8982)*(Sens!D8979+Sens!D8981)</f>
        <v>1.42281025374069</v>
      </c>
      <c r="E8984" s="6" t="n">
        <f aca="false">(1-Sens!E8982)*(Sens!E8979+Sens!E8981)</f>
        <v>3.25095598674472</v>
      </c>
      <c r="F8984" s="6" t="n">
        <f aca="false">(1-Sens!F8982)*(Sens!F8979+Sens!F8981)</f>
        <v>6.53293055050977</v>
      </c>
      <c r="G8984" s="6" t="n">
        <f aca="false">(1-Sens!G8982)*(Sens!G8979+Sens!G8981)</f>
        <v>10.7846311741651</v>
      </c>
      <c r="H8984" s="6" t="n">
        <f aca="false">(1-Sens!H8982)*(Sens!H8979+Sens!H8981)</f>
        <v>15.26343050201</v>
      </c>
      <c r="I8984" s="6" t="n">
        <f aca="false">(1-Sens!I8982)*(Sens!I8979+Sens!I8981)</f>
        <v>19.1433528317977</v>
      </c>
      <c r="J8984" s="6" t="n">
        <f aca="false">(1-Sens!J8982)*(Sens!J8979+Sens!J8981)</f>
        <v>21.7903077438073</v>
      </c>
      <c r="K8984" s="6" t="n">
        <f aca="false">(1-Sens!K8982)*(Sens!K8979+Sens!K8981)</f>
        <v>23.3028530868211</v>
      </c>
    </row>
    <row r="8985" customFormat="false" ht="17.15" hidden="false" customHeight="false" outlineLevel="0" collapsed="false">
      <c r="A8985" s="1" t="s">
        <v>842</v>
      </c>
      <c r="B8985" s="0" t="s">
        <v>357</v>
      </c>
      <c r="C8985" s="8" t="n">
        <f aca="false">cxit_open</f>
        <v>27.5918995</v>
      </c>
      <c r="D8985" s="8" t="n">
        <f aca="false">cxit_open</f>
        <v>27.5918995</v>
      </c>
      <c r="E8985" s="8" t="n">
        <f aca="false">cxit_open</f>
        <v>27.5918995</v>
      </c>
      <c r="F8985" s="8" t="n">
        <f aca="false">(a_g3_27*tk_cxit_gb300+(1-a_g3_27)*tk_cxit_vr200)</f>
        <v>33.8419624</v>
      </c>
      <c r="G8985" s="8" t="n">
        <f aca="false">(a_g3_28*tk_cxit_gb300+(1-a_g3_28)*tk_cxit_vr200)</f>
        <v>35.9816136</v>
      </c>
      <c r="H8985" s="8" t="n">
        <f aca="false">(a_g3_29*tk_cxit_gb300+(1-a_g3_29)*tk_cxit_vr200)</f>
        <v>37.0514392</v>
      </c>
      <c r="I8985" s="8" t="n">
        <f aca="false">(a_g3_29*tk_cxit_gb300+(1-a_g3_29)*tk_cxit_vr200)</f>
        <v>37.0514392</v>
      </c>
      <c r="J8985" s="8" t="n">
        <f aca="false">(a_g3_29*tk_cxit_gb300+(1-a_g3_29)*tk_cxit_vr200)</f>
        <v>37.0514392</v>
      </c>
      <c r="K8985" s="8" t="n">
        <f aca="false">(a_g3_29*tk_cxit_gb300+(1-a_g3_29)*tk_cxit_vr200)</f>
        <v>37.0514392</v>
      </c>
      <c r="L8985" s="11" t="s">
        <v>843</v>
      </c>
    </row>
    <row r="8986" customFormat="false" ht="17.15" hidden="false" customHeight="false" outlineLevel="0" collapsed="false">
      <c r="A8986" s="0" t="s">
        <v>844</v>
      </c>
      <c r="B8986" s="0" t="s">
        <v>399</v>
      </c>
      <c r="F8986" s="29" t="n">
        <f aca="false">Sens!C8967*IF(Sens!F8960-Sens!C8960=life_it,1,0)+Sens!D8967*IF(Sens!F8960-Sens!D8960=life_it,1,0)+Sens!E8967*IF(Sens!F8960-Sens!E8960=life_it,1,0)</f>
        <v>0</v>
      </c>
      <c r="G8986" s="29" t="n">
        <f aca="false">Sens!C8967*IF(Sens!G8960-Sens!C8960=life_it,1,0)+Sens!D8967*IF(Sens!G8960-Sens!D8960=life_it,1,0)+Sens!E8967*IF(Sens!G8960-Sens!E8960=life_it,1,0)+Sens!F8967*IF(Sens!G8960-Sens!F8960=life_it,1,0)</f>
        <v>0</v>
      </c>
      <c r="H8986" s="29" t="n">
        <f aca="false">Sens!C8967*IF(Sens!H8960-Sens!C8960=life_it,1,0)+Sens!D8967*IF(Sens!H8960-Sens!D8960=life_it,1,0)+Sens!E8967*IF(Sens!H8960-Sens!E8960=life_it,1,0)+Sens!F8967*IF(Sens!H8960-Sens!F8960=life_it,1,0)+Sens!G8967*IF(Sens!H8960-Sens!G8960=life_it,1,0)</f>
        <v>0</v>
      </c>
      <c r="I8986" s="29" t="n">
        <f aca="false">Sens!C8967*IF(Sens!I8960-Sens!C8960=life_it,1,0)+Sens!D8967*IF(Sens!I8960-Sens!D8960=life_it,1,0)+Sens!E8967*IF(Sens!I8960-Sens!E8960=life_it,1,0)+Sens!F8967*IF(Sens!I8960-Sens!F8960=life_it,1,0)+Sens!G8967*IF(Sens!I8960-Sens!G8960=life_it,1,0)+Sens!H8967*IF(Sens!I8960-Sens!H8960=life_it,1,0)</f>
        <v>816.666666666667</v>
      </c>
      <c r="J8986" s="29" t="n">
        <f aca="false">Sens!C8967*IF(Sens!J8960-Sens!C8960=life_it,1,0)+Sens!D8967*IF(Sens!J8960-Sens!D8960=life_it,1,0)+Sens!E8967*IF(Sens!J8960-Sens!E8960=life_it,1,0)+Sens!F8967*IF(Sens!J8960-Sens!F8960=life_it,1,0)+Sens!G8967*IF(Sens!J8960-Sens!G8960=life_it,1,0)+Sens!H8967*IF(Sens!J8960-Sens!H8960=life_it,1,0)+Sens!I8967*IF(Sens!J8960-Sens!I8960=life_it,1,0)</f>
        <v>1233.33333333333</v>
      </c>
      <c r="K8986" s="29" t="n">
        <f aca="false">Sens!C8967*IF(Sens!K8960-Sens!C8960=life_it,1,0)+Sens!D8967*IF(Sens!K8960-Sens!D8960=life_it,1,0)+Sens!E8967*IF(Sens!K8960-Sens!E8960=life_it,1,0)+Sens!F8967*IF(Sens!K8960-Sens!F8960=life_it,1,0)+Sens!G8967*IF(Sens!K8960-Sens!G8960=life_it,1,0)+Sens!H8967*IF(Sens!K8960-Sens!H8960=life_it,1,0)+Sens!I8967*IF(Sens!K8960-Sens!I8960=life_it,1,0)+Sens!J8967*IF(Sens!K8960-Sens!J8960=life_it,1,0)</f>
        <v>2450</v>
      </c>
      <c r="L8986" s="1" t="s">
        <v>845</v>
      </c>
    </row>
    <row r="8987" customFormat="false" ht="17.15" hidden="false" customHeight="false" outlineLevel="0" collapsed="false">
      <c r="A8987" s="0" t="s">
        <v>846</v>
      </c>
      <c r="B8987" s="0" t="s">
        <v>98</v>
      </c>
      <c r="C8987" s="6" t="n">
        <f aca="false">Sens!C8967*Sens!C8985/1000</f>
        <v>22.5333845916667</v>
      </c>
      <c r="D8987" s="6" t="n">
        <f aca="false">Sens!D8967*Sens!D8985/1000</f>
        <v>34.0300093833333</v>
      </c>
      <c r="E8987" s="6" t="n">
        <f aca="false">Sens!E8967*Sens!E8985/1000</f>
        <v>67.600153775</v>
      </c>
      <c r="F8987" s="6" t="n">
        <f aca="false">(Sens!F8967+Sens!F8986)*Sens!F8985/1000</f>
        <v>130.923271871467</v>
      </c>
      <c r="G8987" s="6" t="n">
        <f aca="false">(Sens!G8967+Sens!G8986)*Sens!G8985/1000</f>
        <v>151.5545564832</v>
      </c>
      <c r="H8987" s="6" t="n">
        <f aca="false">(Sens!H8967+Sens!H8986)*Sens!H8985/1000</f>
        <v>156.0606619104</v>
      </c>
      <c r="I8987" s="6" t="n">
        <f aca="false">(Sens!I8967+Sens!I8986)*Sens!I8985/1000</f>
        <v>140.987889434245</v>
      </c>
      <c r="J8987" s="6" t="n">
        <f aca="false">(Sens!J8967+Sens!J8986)*Sens!J8985/1000</f>
        <v>113.309125559842</v>
      </c>
      <c r="K8987" s="6" t="n">
        <f aca="false">(Sens!K8967+Sens!K8986)*Sens!K8985/1000</f>
        <v>116.192591420959</v>
      </c>
    </row>
    <row r="8988" customFormat="false" ht="17.15" hidden="false" customHeight="false" outlineLevel="0" collapsed="false">
      <c r="A8988" s="0" t="s">
        <v>847</v>
      </c>
      <c r="B8988" s="0" t="s">
        <v>98</v>
      </c>
      <c r="C8988" s="6" t="n">
        <f aca="false">Sens!C8967*self_build*tk_cxfac/1000</f>
        <v>6.2083</v>
      </c>
      <c r="D8988" s="6" t="n">
        <f aca="false">Sens!D8967*self_build*tk_cxfac/1000</f>
        <v>9.3758</v>
      </c>
      <c r="E8988" s="6" t="n">
        <f aca="false">Sens!E8967*self_build*tk_cxfac/1000</f>
        <v>18.6249</v>
      </c>
      <c r="F8988" s="6" t="n">
        <f aca="false">Sens!F8967*self_build*tk_cxfac/1000</f>
        <v>29.409604</v>
      </c>
      <c r="G8988" s="6" t="n">
        <f aca="false">Sens!G8967*self_build*tk_cxfac/1000</f>
        <v>32.019624</v>
      </c>
      <c r="H8988" s="6" t="n">
        <f aca="false">Sens!H8967*self_build*tk_cxfac/1000</f>
        <v>32.019624</v>
      </c>
      <c r="I8988" s="6" t="n">
        <f aca="false">Sens!I8967*self_build*tk_cxfac/1000</f>
        <v>22.71877972</v>
      </c>
      <c r="J8988" s="6" t="n">
        <f aca="false">Sens!J8967*self_build*tk_cxfac/1000</f>
        <v>13.8723110344</v>
      </c>
      <c r="K8988" s="6" t="n">
        <f aca="false">Sens!K8967*self_build*tk_cxfac/1000</f>
        <v>5.214823882632</v>
      </c>
    </row>
    <row r="8989" customFormat="false" ht="17.15" hidden="false" customHeight="false" outlineLevel="0" collapsed="false">
      <c r="A8989" s="0" t="s">
        <v>848</v>
      </c>
      <c r="B8989" s="0" t="s">
        <v>98</v>
      </c>
      <c r="F8989" s="6" t="n">
        <f aca="false">MAX(0,capex_floor27-Sens!F8987-Sens!F8988-Sens!F9083)</f>
        <v>8.29771089897088</v>
      </c>
    </row>
    <row r="8990" customFormat="false" ht="17.15" hidden="false" customHeight="false" outlineLevel="0" collapsed="false">
      <c r="A8990" s="0" t="s">
        <v>849</v>
      </c>
      <c r="B8990" s="0" t="s">
        <v>98</v>
      </c>
      <c r="C8990" s="6" t="n">
        <f aca="false">Sens!C8987</f>
        <v>22.5333845916667</v>
      </c>
      <c r="D8990" s="6" t="n">
        <f aca="false">Sens!D8987</f>
        <v>34.0300093833333</v>
      </c>
      <c r="E8990" s="6" t="n">
        <f aca="false">Sens!E8987</f>
        <v>67.600153775</v>
      </c>
      <c r="F8990" s="6" t="n">
        <f aca="false">Sens!F8987</f>
        <v>130.923271871467</v>
      </c>
      <c r="G8990" s="6" t="n">
        <f aca="false">Sens!G8987</f>
        <v>151.5545564832</v>
      </c>
      <c r="H8990" s="6" t="n">
        <f aca="false">Sens!H8987</f>
        <v>156.0606619104</v>
      </c>
      <c r="I8990" s="6" t="n">
        <f aca="false">Sens!I8987</f>
        <v>140.987889434245</v>
      </c>
      <c r="J8990" s="6" t="n">
        <f aca="false">Sens!J8987</f>
        <v>113.309125559842</v>
      </c>
      <c r="K8990" s="6" t="n">
        <f aca="false">Sens!K8987</f>
        <v>116.192591420959</v>
      </c>
    </row>
    <row r="8991" customFormat="false" ht="17.15" hidden="false" customHeight="false" outlineLevel="0" collapsed="false">
      <c r="A8991" s="0" t="s">
        <v>850</v>
      </c>
      <c r="B8991" s="0" t="s">
        <v>98</v>
      </c>
      <c r="C8991" s="6" t="n">
        <f aca="false">Sens!C8990+Sens!C8988</f>
        <v>28.7416845916667</v>
      </c>
      <c r="D8991" s="6" t="n">
        <f aca="false">Sens!D8990+Sens!D8988</f>
        <v>43.4058093833333</v>
      </c>
      <c r="E8991" s="6" t="n">
        <f aca="false">Sens!E8990+Sens!E8988</f>
        <v>86.225053775</v>
      </c>
      <c r="F8991" s="6" t="n">
        <f aca="false">Sens!F8990+Sens!F8988</f>
        <v>160.332875871467</v>
      </c>
      <c r="G8991" s="6" t="n">
        <f aca="false">Sens!G8990+Sens!G8988</f>
        <v>183.5741804832</v>
      </c>
      <c r="H8991" s="6" t="n">
        <f aca="false">Sens!H8990+Sens!H8988</f>
        <v>188.0802859104</v>
      </c>
      <c r="I8991" s="6" t="n">
        <f aca="false">Sens!I8990+Sens!I8988</f>
        <v>163.706669154245</v>
      </c>
      <c r="J8991" s="6" t="n">
        <f aca="false">Sens!J8990+Sens!J8988</f>
        <v>127.181436594242</v>
      </c>
      <c r="K8991" s="6" t="n">
        <f aca="false">Sens!K8990+Sens!K8988</f>
        <v>121.407415303591</v>
      </c>
      <c r="L8991" s="11" t="s">
        <v>851</v>
      </c>
    </row>
    <row r="8992" customFormat="false" ht="17.15" hidden="false" customHeight="false" outlineLevel="0" collapsed="false">
      <c r="A8992" s="0" t="s">
        <v>852</v>
      </c>
      <c r="B8992" s="0" t="s">
        <v>98</v>
      </c>
      <c r="E8992" s="6" t="n">
        <f aca="false">(Sens!C8990*IF(2&lt;life_it,1,IF(2=life_it,0.5,0))+Sens!D8990*IF(1&lt;life_it,1,IF(1=life_it,0.5,0))+Sens!E8990*0.5)/life_it</f>
        <v>15.0605784770833</v>
      </c>
      <c r="F8992" s="6" t="n">
        <f aca="false">(Sens!C8990*IF(3&lt;life_it,1,IF(3=life_it,0.5,0))+Sens!D8990*IF(2&lt;life_it,1,IF(2=life_it,0.5,0))+Sens!E8990*IF(1&lt;life_it,1,IF(1=life_it,0.5,0))+Sens!F8990*0.5)/life_it</f>
        <v>31.6041972809556</v>
      </c>
      <c r="G8992" s="6" t="n">
        <f aca="false">(Sens!C8990*IF(4&lt;life_it,1,IF(4=life_it,0.5,0))+Sens!D8990*IF(3&lt;life_it,1,IF(3=life_it,0.5,0))+Sens!E8990*IF(2&lt;life_it,1,IF(2=life_it,0.5,0))+Sens!F8990*IF(1&lt;life_it,1,IF(1=life_it,0.5,0))+Sens!G8990*0.5)/life_it</f>
        <v>55.1440163105111</v>
      </c>
      <c r="H8992" s="6" t="n">
        <f aca="false">(Sens!C8990*IF(5&lt;life_it,1,IF(5=life_it,0.5,0))+Sens!D8990*IF(4&lt;life_it,1,IF(4=life_it,0.5,0))+Sens!E8990*IF(3&lt;life_it,1,IF(3=life_it,0.5,0))+Sens!F8990*IF(2&lt;life_it,1,IF(2=life_it,0.5,0))+Sens!G8990*IF(1&lt;life_it,1,IF(1=life_it,0.5,0))+Sens!H8990*0.5)/life_it</f>
        <v>80.7786178433111</v>
      </c>
      <c r="I8992" s="6" t="n">
        <f aca="false">(Sens!C8990*IF(6&lt;life_it,1,IF(6=life_it,0.5,0))+Sens!D8990*IF(5&lt;life_it,1,IF(5=life_it,0.5,0))+Sens!E8990*IF(4&lt;life_it,1,IF(4=life_it,0.5,0))+Sens!F8990*IF(3&lt;life_it,1,IF(3=life_it,0.5,0))+Sens!G8990*IF(2&lt;life_it,1,IF(2=life_it,0.5,0))+Sens!H8990*IF(1&lt;life_it,1,IF(1=life_it,0.5,0))+Sens!I8990*0.5)/life_it</f>
        <v>103.654881739393</v>
      </c>
      <c r="J8992" s="6" t="n">
        <f aca="false">(Sens!C8990*IF(7&lt;life_it,1,IF(7=life_it,0.5,0))+Sens!D8990*IF(6&lt;life_it,1,IF(6=life_it,0.5,0))+Sens!E8990*IF(5&lt;life_it,1,IF(5=life_it,0.5,0))+Sens!F8990*IF(4&lt;life_it,1,IF(4=life_it,0.5,0))+Sens!G8990*IF(3&lt;life_it,1,IF(3=life_it,0.5,0))+Sens!H8990*IF(2&lt;life_it,1,IF(2=life_it,0.5,0))+Sens!I8990*IF(1&lt;life_it,1,IF(1=life_it,0.5,0))+Sens!J8990*0.5)/life_it</f>
        <v>120.132683490983</v>
      </c>
      <c r="K8992" s="6" t="n">
        <f aca="false">(Sens!C8990*IF(8&lt;life_it,1,IF(8=life_it,0.5,0))+Sens!D8990*IF(7&lt;life_it,1,IF(7=life_it,0.5,0))+Sens!E8990*IF(6&lt;life_it,1,IF(6=life_it,0.5,0))+Sens!F8990*IF(5&lt;life_it,1,IF(5=life_it,0.5,0))+Sens!G8990*IF(4&lt;life_it,1,IF(4=life_it,0.5,0))+Sens!H8990*IF(3&lt;life_it,1,IF(3=life_it,0.5,0))+Sens!I8990*IF(2&lt;life_it,1,IF(2=life_it,0.5,0))+Sens!J8990*IF(1&lt;life_it,1,IF(1=life_it,0.5,0))+Sens!K8990*0.5)/life_it</f>
        <v>130.788646309522</v>
      </c>
    </row>
    <row r="8993" customFormat="false" ht="17.15" hidden="false" customHeight="false" outlineLevel="0" collapsed="false">
      <c r="A8993" s="0" t="s">
        <v>853</v>
      </c>
      <c r="B8993" s="0" t="s">
        <v>98</v>
      </c>
      <c r="E8993" s="6" t="n">
        <f aca="false">(Sens!C8988*IF(2&lt;life_fac,1,IF(2=life_fac,0.5,0))+Sens!D8988*IF(1&lt;life_fac,1,IF(1=life_fac,0.5,0))+Sens!E8988*0.5)/life_fac</f>
        <v>1.2448275</v>
      </c>
      <c r="F8993" s="6" t="n">
        <f aca="false">(Sens!C8988*IF(3&lt;life_fac,1,IF(3=life_fac,0.5,0))+Sens!D8988*IF(2&lt;life_fac,1,IF(2=life_fac,0.5,0))+Sens!E8988*IF(1&lt;life_fac,1,IF(1=life_fac,0.5,0))+Sens!F8988*0.5)/life_fac</f>
        <v>2.4456901</v>
      </c>
      <c r="G8993" s="6" t="n">
        <f aca="false">(Sens!C8988*IF(4&lt;life_fac,1,IF(4=life_fac,0.5,0))+Sens!D8988*IF(3&lt;life_fac,1,IF(3=life_fac,0.5,0))+Sens!E8988*IF(2&lt;life_fac,1,IF(2=life_fac,0.5,0))+Sens!F8988*IF(1&lt;life_fac,1,IF(1=life_fac,0.5,0))+Sens!G8988*0.5)/life_fac</f>
        <v>3.9814208</v>
      </c>
      <c r="H8993" s="6" t="n">
        <f aca="false">(Sens!C8988*IF(5&lt;life_fac,1,IF(5=life_fac,0.5,0))+Sens!D8988*IF(4&lt;life_fac,1,IF(4=life_fac,0.5,0))+Sens!E8988*IF(3&lt;life_fac,1,IF(3=life_fac,0.5,0))+Sens!F8988*IF(2&lt;life_fac,1,IF(2=life_fac,0.5,0))+Sens!G8988*IF(1&lt;life_fac,1,IF(1=life_fac,0.5,0))+Sens!H8988*0.5)/life_fac</f>
        <v>5.582402</v>
      </c>
      <c r="I8993" s="6" t="n">
        <f aca="false">(Sens!C8988*IF(6&lt;life_fac,1,IF(6=life_fac,0.5,0))+Sens!D8988*IF(5&lt;life_fac,1,IF(5=life_fac,0.5,0))+Sens!E8988*IF(4&lt;life_fac,1,IF(4=life_fac,0.5,0))+Sens!F8988*IF(3&lt;life_fac,1,IF(3=life_fac,0.5,0))+Sens!G8988*IF(2&lt;life_fac,1,IF(2=life_fac,0.5,0))+Sens!H8988*IF(1&lt;life_fac,1,IF(1=life_fac,0.5,0))+Sens!I8988*0.5)/life_fac</f>
        <v>6.950862093</v>
      </c>
      <c r="J8993" s="6" t="n">
        <f aca="false">(Sens!C8988*IF(7&lt;life_fac,1,IF(7=life_fac,0.5,0))+Sens!D8988*IF(6&lt;life_fac,1,IF(6=life_fac,0.5,0))+Sens!E8988*IF(5&lt;life_fac,1,IF(5=life_fac,0.5,0))+Sens!F8988*IF(4&lt;life_fac,1,IF(4=life_fac,0.5,0))+Sens!G8988*IF(3&lt;life_fac,1,IF(3=life_fac,0.5,0))+Sens!H8988*IF(2&lt;life_fac,1,IF(2=life_fac,0.5,0))+Sens!I8988*IF(1&lt;life_fac,1,IF(1=life_fac,0.5,0))+Sens!J8988*0.5)/life_fac</f>
        <v>7.86563936186</v>
      </c>
      <c r="K8993" s="6" t="n">
        <f aca="false">(Sens!C8988*IF(8&lt;life_fac,1,IF(8=life_fac,0.5,0))+Sens!D8988*IF(7&lt;life_fac,1,IF(7=life_fac,0.5,0))+Sens!E8988*IF(6&lt;life_fac,1,IF(6=life_fac,0.5,0))+Sens!F8988*IF(5&lt;life_fac,1,IF(5=life_fac,0.5,0))+Sens!G8988*IF(4&lt;life_fac,1,IF(4=life_fac,0.5,0))+Sens!H8988*IF(3&lt;life_fac,1,IF(3=life_fac,0.5,0))+Sens!I8988*IF(2&lt;life_fac,1,IF(2=life_fac,0.5,0))+Sens!J8988*IF(1&lt;life_fac,1,IF(1=life_fac,0.5,0))+Sens!K8988*0.5)/life_fac</f>
        <v>8.3428177347858</v>
      </c>
    </row>
    <row r="8994" customFormat="false" ht="17.15" hidden="false" customHeight="false" outlineLevel="0" collapsed="false">
      <c r="A8994" s="0" t="s">
        <v>854</v>
      </c>
      <c r="B8994" s="0" t="s">
        <v>98</v>
      </c>
      <c r="E8994" s="6" t="n">
        <f aca="false">Sens!E8992+Sens!E8993</f>
        <v>16.3054059770833</v>
      </c>
      <c r="F8994" s="6" t="n">
        <f aca="false">Sens!F8992+Sens!F8993</f>
        <v>34.0498873809555</v>
      </c>
      <c r="G8994" s="6" t="n">
        <f aca="false">Sens!G8992+Sens!G8993</f>
        <v>59.1254371105111</v>
      </c>
      <c r="H8994" s="6" t="n">
        <f aca="false">Sens!H8992+Sens!H8993</f>
        <v>86.3610198433111</v>
      </c>
      <c r="I8994" s="6" t="n">
        <f aca="false">Sens!I8992+Sens!I8993</f>
        <v>110.605743832393</v>
      </c>
      <c r="J8994" s="6" t="n">
        <f aca="false">Sens!J8992+Sens!J8993</f>
        <v>127.998322852843</v>
      </c>
      <c r="K8994" s="6" t="n">
        <f aca="false">Sens!K8992+Sens!K8993</f>
        <v>139.131464044308</v>
      </c>
    </row>
    <row r="8995" customFormat="false" ht="17.15" hidden="false" customHeight="false" outlineLevel="0" collapsed="false">
      <c r="A8995" s="0" t="s">
        <v>855</v>
      </c>
      <c r="B8995" s="0" t="s">
        <v>98</v>
      </c>
      <c r="E8995" s="6" t="n">
        <f aca="false">Sens!E8983-Sens!E8982*Sens!E8994</f>
        <v>8.92707889977379</v>
      </c>
      <c r="F8995" s="6" t="n">
        <f aca="false">Sens!F8983-Sens!F8982*Sens!F8994</f>
        <v>19.0295083206205</v>
      </c>
      <c r="G8995" s="6" t="n">
        <f aca="false">Sens!G8983-Sens!G8982*Sens!G8994</f>
        <v>31.0774922914994</v>
      </c>
      <c r="H8995" s="6" t="n">
        <f aca="false">Sens!H8983-Sens!H8982*Sens!H8994</f>
        <v>43.4030330778723</v>
      </c>
      <c r="I8995" s="6" t="n">
        <f aca="false">Sens!I8983-Sens!I8982*Sens!I8994</f>
        <v>54.3591447183526</v>
      </c>
      <c r="J8995" s="6" t="n">
        <f aca="false">Sens!J8983-Sens!J8982*Sens!J8994</f>
        <v>62.0539899656947</v>
      </c>
      <c r="K8995" s="6" t="n">
        <f aca="false">Sens!K8983-Sens!K8982*Sens!K8994</f>
        <v>67.5792921529812</v>
      </c>
    </row>
    <row r="8996" customFormat="false" ht="17.15" hidden="false" customHeight="false" outlineLevel="0" collapsed="false">
      <c r="A8996" s="3" t="s">
        <v>1493</v>
      </c>
    </row>
    <row r="8997" customFormat="false" ht="15" hidden="false" customHeight="false" outlineLevel="0" collapsed="false">
      <c r="A8997" s="4" t="s">
        <v>43</v>
      </c>
      <c r="B8997" s="4" t="s">
        <v>65</v>
      </c>
      <c r="C8997" s="20" t="s">
        <v>799</v>
      </c>
      <c r="D8997" s="20" t="s">
        <v>800</v>
      </c>
      <c r="E8997" s="20" t="s">
        <v>801</v>
      </c>
      <c r="F8997" s="20" t="s">
        <v>802</v>
      </c>
      <c r="G8997" s="20" t="s">
        <v>803</v>
      </c>
      <c r="H8997" s="20" t="s">
        <v>804</v>
      </c>
      <c r="I8997" s="20" t="s">
        <v>805</v>
      </c>
      <c r="J8997" s="20" t="s">
        <v>806</v>
      </c>
      <c r="K8997" s="20" t="s">
        <v>807</v>
      </c>
      <c r="L8997" s="4" t="s">
        <v>47</v>
      </c>
    </row>
    <row r="8998" customFormat="false" ht="17.15" hidden="false" customHeight="false" outlineLevel="0" collapsed="false">
      <c r="A8998" s="0" t="s">
        <v>874</v>
      </c>
      <c r="B8998" s="0" t="s">
        <v>98</v>
      </c>
      <c r="D8998" s="6" t="n">
        <f aca="false">Sens!D8977</f>
        <v>12.9359794422418</v>
      </c>
      <c r="E8998" s="6" t="n">
        <f aca="false">Sens!E8977</f>
        <v>27.8095064661409</v>
      </c>
      <c r="F8998" s="6" t="n">
        <f aca="false">Sens!F8977</f>
        <v>55.0640065749585</v>
      </c>
      <c r="G8998" s="6" t="n">
        <f aca="false">Sens!G8977</f>
        <v>89.4505413190538</v>
      </c>
      <c r="H8998" s="6" t="n">
        <f aca="false">Sens!H8977</f>
        <v>124.835630736874</v>
      </c>
      <c r="I8998" s="6" t="n">
        <f aca="false">Sens!I8977</f>
        <v>156.158460265485</v>
      </c>
      <c r="J8998" s="6" t="n">
        <f aca="false">Sens!J8977</f>
        <v>178.259285293112</v>
      </c>
      <c r="K8998" s="6" t="n">
        <f aca="false">Sens!K8977</f>
        <v>192.733290209798</v>
      </c>
    </row>
    <row r="8999" customFormat="false" ht="17.15" hidden="false" customHeight="false" outlineLevel="0" collapsed="false">
      <c r="A8999" s="0" t="s">
        <v>875</v>
      </c>
      <c r="B8999" s="0" t="s">
        <v>98</v>
      </c>
      <c r="D8999" s="6" t="n">
        <f aca="false">Q!L6-Sens!D8998</f>
        <v>59.6740205577583</v>
      </c>
      <c r="E8999" s="6" t="n">
        <f aca="false">Q!M6-Sens!E8998</f>
        <v>74.1284935338591</v>
      </c>
      <c r="F8999" s="6" t="n">
        <f aca="false">Sens!E8999*(1+Sens!F9000)</f>
        <v>90.0799497373663</v>
      </c>
      <c r="G8999" s="6" t="n">
        <f aca="false">Sens!F8999*(1+Sens!G9000)</f>
        <v>107.02842520331</v>
      </c>
      <c r="H8999" s="6" t="n">
        <f aca="false">Sens!G8999*(1+Sens!H9000)</f>
        <v>124.271982585636</v>
      </c>
      <c r="I8999" s="6" t="n">
        <f aca="false">Sens!H8999*(1+Sens!I9000)</f>
        <v>140.933702381855</v>
      </c>
      <c r="J8999" s="6" t="n">
        <f aca="false">Sens!I8999*(1+Sens!J9000)</f>
        <v>156.018867314332</v>
      </c>
      <c r="K8999" s="6" t="n">
        <f aca="false">Sens!J8999*(1+Sens!K9000)</f>
        <v>168.500376699478</v>
      </c>
    </row>
    <row r="9000" customFormat="false" ht="15" hidden="false" customHeight="false" outlineLevel="0" collapsed="false">
      <c r="A9000" s="1" t="s">
        <v>876</v>
      </c>
      <c r="B9000" s="0" t="s">
        <v>129</v>
      </c>
      <c r="E9000" s="7" t="n">
        <f aca="false">Sens!E8999/Sens!D8999-1</f>
        <v>0.242223883039864</v>
      </c>
      <c r="F9000" s="7" t="n">
        <f aca="false">Sens!$E$9000+(glt_azo-Sens!$E$9000)*MIN(1,(Sens!F8960-base_fy)/n_conv)</f>
        <v>0.215186569199887</v>
      </c>
      <c r="G9000" s="7" t="n">
        <f aca="false">Sens!$E$9000+(glt_azo-Sens!$E$9000)*MIN(1,(Sens!G8960-base_fy)/n_conv)</f>
        <v>0.18814925535991</v>
      </c>
      <c r="H9000" s="7" t="n">
        <f aca="false">Sens!$E$9000+(glt_azo-Sens!$E$9000)*MIN(1,(Sens!H8960-base_fy)/n_conv)</f>
        <v>0.161111941519932</v>
      </c>
      <c r="I9000" s="7" t="n">
        <f aca="false">Sens!$E$9000+(glt_azo-Sens!$E$9000)*MIN(1,(Sens!I8960-base_fy)/n_conv)</f>
        <v>0.134074627679955</v>
      </c>
      <c r="J9000" s="7" t="n">
        <f aca="false">Sens!$E$9000+(glt_azo-Sens!$E$9000)*MIN(1,(Sens!J8960-base_fy)/n_conv)</f>
        <v>0.107037313839977</v>
      </c>
      <c r="K9000" s="7" t="n">
        <f aca="false">Sens!$E$9000+(glt_azo-Sens!$E$9000)*MIN(1,(Sens!K8960-base_fy)/n_conv)</f>
        <v>0.08</v>
      </c>
    </row>
    <row r="9001" customFormat="false" ht="15" hidden="false" customHeight="false" outlineLevel="0" collapsed="false">
      <c r="A9001" s="0" t="s">
        <v>877</v>
      </c>
      <c r="B9001" s="0" t="s">
        <v>98</v>
      </c>
      <c r="D9001" s="6" t="n">
        <f aca="false">Sens!D8998+Sens!D8999</f>
        <v>72.61</v>
      </c>
      <c r="E9001" s="6" t="n">
        <f aca="false">Sens!E8998+Sens!E8999</f>
        <v>101.938</v>
      </c>
      <c r="F9001" s="6" t="n">
        <f aca="false">Sens!F8998+Sens!F8999</f>
        <v>145.143956312325</v>
      </c>
      <c r="G9001" s="6" t="n">
        <f aca="false">Sens!G8998+Sens!G8999</f>
        <v>196.478966522364</v>
      </c>
      <c r="H9001" s="6" t="n">
        <f aca="false">Sens!H8998+Sens!H8999</f>
        <v>249.10761332251</v>
      </c>
      <c r="I9001" s="6" t="n">
        <f aca="false">Sens!I8998+Sens!I8999</f>
        <v>297.09216264734</v>
      </c>
      <c r="J9001" s="6" t="n">
        <f aca="false">Sens!J8998+Sens!J8999</f>
        <v>334.278152607443</v>
      </c>
      <c r="K9001" s="6" t="n">
        <f aca="false">Sens!K8998+Sens!K8999</f>
        <v>361.233666909276</v>
      </c>
    </row>
    <row r="9002" customFormat="false" ht="17.15" hidden="false" customHeight="false" outlineLevel="0" collapsed="false">
      <c r="A9002" s="0" t="s">
        <v>878</v>
      </c>
      <c r="B9002" s="1" t="s">
        <v>528</v>
      </c>
      <c r="C9002" s="29" t="n">
        <f aca="false">cop_s24</f>
        <v>1</v>
      </c>
      <c r="D9002" s="29" t="n">
        <f aca="false">cop_s25</f>
        <v>5</v>
      </c>
      <c r="E9002" s="29" t="n">
        <f aca="false">cop_s26</f>
        <v>30</v>
      </c>
      <c r="F9002" s="29" t="n">
        <f aca="false">Sens!E9002+cop_add_B</f>
        <v>50</v>
      </c>
      <c r="G9002" s="29" t="n">
        <f aca="false">Sens!F9002+cop_add_B</f>
        <v>70</v>
      </c>
      <c r="H9002" s="29" t="n">
        <f aca="false">Sens!G9002+cop_add_B</f>
        <v>90</v>
      </c>
      <c r="I9002" s="29" t="n">
        <f aca="false">Sens!H9002+cop_add_B*cop_tail</f>
        <v>100</v>
      </c>
      <c r="J9002" s="29" t="n">
        <f aca="false">Sens!I9002+cop_add_B*cop_tail</f>
        <v>110</v>
      </c>
      <c r="K9002" s="29" t="n">
        <f aca="false">Sens!J9002+cop_add_B*cop_tail</f>
        <v>120</v>
      </c>
      <c r="L9002" s="11" t="s">
        <v>879</v>
      </c>
    </row>
    <row r="9003" customFormat="false" ht="17.15" hidden="false" customHeight="false" outlineLevel="0" collapsed="false">
      <c r="A9003" s="0" t="s">
        <v>880</v>
      </c>
      <c r="B9003" s="0" t="s">
        <v>98</v>
      </c>
      <c r="D9003" s="6" t="n">
        <f aca="false">(Sens!C9002+Sens!D9002)/2*cop_px*12/1000</f>
        <v>0.9</v>
      </c>
      <c r="E9003" s="6" t="n">
        <f aca="false">(Sens!D9002+Sens!E9002)/2*cop_px*12/1000</f>
        <v>5.25</v>
      </c>
      <c r="F9003" s="6" t="n">
        <f aca="false">(Sens!E9002+Sens!F9002)/2*cop_px*12/1000</f>
        <v>12</v>
      </c>
      <c r="G9003" s="6" t="n">
        <f aca="false">(Sens!F9002+Sens!G9002)/2*cop_px*12/1000</f>
        <v>18</v>
      </c>
      <c r="H9003" s="6" t="n">
        <f aca="false">(Sens!G9002+Sens!H9002)/2*cop_px*12/1000</f>
        <v>24</v>
      </c>
      <c r="I9003" s="6" t="n">
        <f aca="false">(Sens!H9002+Sens!I9002)/2*cop_px*12/1000</f>
        <v>28.5</v>
      </c>
      <c r="J9003" s="6" t="n">
        <f aca="false">(Sens!I9002+Sens!J9002)/2*cop_px*12/1000</f>
        <v>31.5</v>
      </c>
      <c r="K9003" s="6" t="n">
        <f aca="false">(Sens!J9002+Sens!K9002)/2*cop_px*12/1000</f>
        <v>34.5</v>
      </c>
      <c r="L9003" s="1" t="s">
        <v>881</v>
      </c>
    </row>
    <row r="9004" customFormat="false" ht="17.15" hidden="false" customHeight="false" outlineLevel="0" collapsed="false">
      <c r="A9004" s="0" t="s">
        <v>882</v>
      </c>
      <c r="B9004" s="0" t="s">
        <v>98</v>
      </c>
      <c r="D9004" s="6" t="n">
        <f aca="false">Q!L7-Sens!D9003</f>
        <v>83.705</v>
      </c>
      <c r="E9004" s="6" t="n">
        <f aca="false">Q!M7-Sens!E9003</f>
        <v>95.049</v>
      </c>
      <c r="F9004" s="6" t="n">
        <f aca="false">Sens!E9004*(1+Sens!F9005)</f>
        <v>106.89238776686</v>
      </c>
      <c r="G9004" s="6" t="n">
        <f aca="false">Sens!F9004*(1+Sens!G9005)</f>
        <v>119.044168448684</v>
      </c>
      <c r="H9004" s="6" t="n">
        <f aca="false">Sens!G9004*(1+Sens!H9005)</f>
        <v>131.277359388781</v>
      </c>
      <c r="I9004" s="6" t="n">
        <f aca="false">Sens!H9004*(1+Sens!I9005)</f>
        <v>143.334028071957</v>
      </c>
      <c r="J9004" s="6" t="n">
        <f aca="false">Sens!I9004*(1+Sens!J9005)</f>
        <v>154.932702785465</v>
      </c>
      <c r="K9004" s="6" t="n">
        <f aca="false">Sens!J9004*(1+Sens!K9005)</f>
        <v>165.777991980448</v>
      </c>
    </row>
    <row r="9005" customFormat="false" ht="15" hidden="false" customHeight="false" outlineLevel="0" collapsed="false">
      <c r="A9005" s="1" t="s">
        <v>876</v>
      </c>
      <c r="B9005" s="0" t="s">
        <v>129</v>
      </c>
      <c r="E9005" s="7" t="n">
        <f aca="false">Sens!E9004/Sens!D9004-1</f>
        <v>0.135523564900544</v>
      </c>
      <c r="F9005" s="7" t="n">
        <f aca="false">Sens!$E$9005+(glt_m365b-Sens!$E$9005)*MIN(1,(Sens!F8960-base_fy)/n_conv)</f>
        <v>0.124602970750453</v>
      </c>
      <c r="G9005" s="7" t="n">
        <f aca="false">Sens!$E$9005+(glt_m365b-Sens!$E$9005)*MIN(1,(Sens!G8960-base_fy)/n_conv)</f>
        <v>0.113682376600363</v>
      </c>
      <c r="H9005" s="7" t="n">
        <f aca="false">Sens!$E$9005+(glt_m365b-Sens!$E$9005)*MIN(1,(Sens!H8960-base_fy)/n_conv)</f>
        <v>0.102761782450272</v>
      </c>
      <c r="I9005" s="7" t="n">
        <f aca="false">Sens!$E$9005+(glt_m365b-Sens!$E$9005)*MIN(1,(Sens!I8960-base_fy)/n_conv)</f>
        <v>0.0918411883001813</v>
      </c>
      <c r="J9005" s="7" t="n">
        <f aca="false">Sens!$E$9005+(glt_m365b-Sens!$E$9005)*MIN(1,(Sens!J8960-base_fy)/n_conv)</f>
        <v>0.0809205941500906</v>
      </c>
      <c r="K9005" s="7" t="n">
        <f aca="false">Sens!$E$9005+(glt_m365b-Sens!$E$9005)*MIN(1,(Sens!K8960-base_fy)/n_conv)</f>
        <v>0.07</v>
      </c>
    </row>
    <row r="9006" customFormat="false" ht="15" hidden="false" customHeight="false" outlineLevel="0" collapsed="false">
      <c r="A9006" s="0" t="s">
        <v>883</v>
      </c>
      <c r="B9006" s="0" t="s">
        <v>98</v>
      </c>
      <c r="D9006" s="6" t="n">
        <f aca="false">Sens!D9004+Sens!D9003</f>
        <v>84.605</v>
      </c>
      <c r="E9006" s="6" t="n">
        <f aca="false">Sens!E9004+Sens!E9003</f>
        <v>100.299</v>
      </c>
      <c r="F9006" s="6" t="n">
        <f aca="false">Sens!F9004+Sens!F9003</f>
        <v>118.89238776686</v>
      </c>
      <c r="G9006" s="6" t="n">
        <f aca="false">Sens!G9004+Sens!G9003</f>
        <v>137.044168448684</v>
      </c>
      <c r="H9006" s="6" t="n">
        <f aca="false">Sens!H9004+Sens!H9003</f>
        <v>155.277359388781</v>
      </c>
      <c r="I9006" s="6" t="n">
        <f aca="false">Sens!I9004+Sens!I9003</f>
        <v>171.834028071957</v>
      </c>
      <c r="J9006" s="6" t="n">
        <f aca="false">Sens!J9004+Sens!J9003</f>
        <v>186.432702785465</v>
      </c>
      <c r="K9006" s="6" t="n">
        <f aca="false">Sens!K9004+Sens!K9003</f>
        <v>200.277991980448</v>
      </c>
    </row>
    <row r="9007" customFormat="false" ht="15" hidden="false" customHeight="false" outlineLevel="0" collapsed="false">
      <c r="A9007" s="0" t="s">
        <v>884</v>
      </c>
      <c r="B9007" s="0" t="s">
        <v>98</v>
      </c>
      <c r="D9007" s="6" t="n">
        <f aca="false">Q!L8</f>
        <v>35.391</v>
      </c>
      <c r="E9007" s="6" t="n">
        <f aca="false">Q!M8</f>
        <v>37.285</v>
      </c>
      <c r="F9007" s="6" t="n">
        <f aca="false">Sens!E9007*(1+Sens!F9008)</f>
        <v>39.0720834331704</v>
      </c>
      <c r="G9007" s="6" t="n">
        <f aca="false">Sens!F9007*(1+Sens!G9008)</f>
        <v>40.726562953769</v>
      </c>
      <c r="H9007" s="6" t="n">
        <f aca="false">Sens!G9007*(1+Sens!H9008)</f>
        <v>42.2235987259198</v>
      </c>
      <c r="I9007" s="6" t="n">
        <f aca="false">Sens!H9007*(1+Sens!I9008)</f>
        <v>43.5397988077414</v>
      </c>
      <c r="J9007" s="6" t="n">
        <f aca="false">Sens!I9007*(1+Sens!J9008)</f>
        <v>44.653811225693</v>
      </c>
      <c r="K9007" s="6" t="n">
        <f aca="false">Sens!J9007*(1+Sens!K9008)</f>
        <v>45.5468874502068</v>
      </c>
    </row>
    <row r="9008" customFormat="false" ht="15" hidden="false" customHeight="false" outlineLevel="0" collapsed="false">
      <c r="A9008" s="1" t="s">
        <v>876</v>
      </c>
      <c r="B9008" s="0" t="s">
        <v>129</v>
      </c>
      <c r="E9008" s="7" t="n">
        <f aca="false">Sens!E9007/Sens!D9007-1</f>
        <v>0.0535164307309768</v>
      </c>
      <c r="F9008" s="7" t="n">
        <f aca="false">Sens!$E$9008+(glt_lic-Sens!$E$9008)*MIN(1,(Sens!F8960-base_fy)/n_conv)</f>
        <v>0.0479303589424807</v>
      </c>
      <c r="G9008" s="7" t="n">
        <f aca="false">Sens!$E$9008+(glt_lic-Sens!$E$9008)*MIN(1,(Sens!G8960-base_fy)/n_conv)</f>
        <v>0.0423442871539845</v>
      </c>
      <c r="H9008" s="7" t="n">
        <f aca="false">Sens!$E$9008+(glt_lic-Sens!$E$9008)*MIN(1,(Sens!H8960-base_fy)/n_conv)</f>
        <v>0.0367582153654884</v>
      </c>
      <c r="I9008" s="7" t="n">
        <f aca="false">Sens!$E$9008+(glt_lic-Sens!$E$9008)*MIN(1,(Sens!I8960-base_fy)/n_conv)</f>
        <v>0.0311721435769923</v>
      </c>
      <c r="J9008" s="7" t="n">
        <f aca="false">Sens!$E$9008+(glt_lic-Sens!$E$9008)*MIN(1,(Sens!J8960-base_fy)/n_conv)</f>
        <v>0.0255860717884961</v>
      </c>
      <c r="K9008" s="7" t="n">
        <f aca="false">Sens!$E$9008+(glt_lic-Sens!$E$9008)*MIN(1,(Sens!K8960-base_fy)/n_conv)</f>
        <v>0.02</v>
      </c>
    </row>
    <row r="9009" customFormat="false" ht="15" hidden="false" customHeight="false" outlineLevel="0" collapsed="false">
      <c r="A9009" s="0" t="s">
        <v>885</v>
      </c>
      <c r="B9009" s="0" t="s">
        <v>98</v>
      </c>
      <c r="D9009" s="6" t="n">
        <f aca="false">Q!L9</f>
        <v>18.417</v>
      </c>
      <c r="E9009" s="6" t="n">
        <f aca="false">Q!M9</f>
        <v>20.345</v>
      </c>
      <c r="F9009" s="6" t="n">
        <f aca="false">Sens!E9009*(1+Sens!F9010)</f>
        <v>22.3572203267814</v>
      </c>
      <c r="G9009" s="6" t="n">
        <f aca="false">Sens!F9009*(1+Sens!G9010)</f>
        <v>24.4392124437232</v>
      </c>
      <c r="H9009" s="6" t="n">
        <f aca="false">Sens!G9009*(1+Sens!H9010)</f>
        <v>26.5738052080665</v>
      </c>
      <c r="I9009" s="6" t="n">
        <f aca="false">Sens!H9009*(1+Sens!I9010)</f>
        <v>28.7412169166967</v>
      </c>
      <c r="J9009" s="6" t="n">
        <f aca="false">Sens!I9009*(1+Sens!J9010)</f>
        <v>30.9192545395413</v>
      </c>
      <c r="K9009" s="6" t="n">
        <f aca="false">Sens!J9009*(1+Sens!K9010)</f>
        <v>33.0836023573092</v>
      </c>
    </row>
    <row r="9010" customFormat="false" ht="15" hidden="false" customHeight="false" outlineLevel="0" collapsed="false">
      <c r="A9010" s="1" t="s">
        <v>876</v>
      </c>
      <c r="B9010" s="0" t="s">
        <v>129</v>
      </c>
      <c r="E9010" s="7" t="n">
        <f aca="false">Sens!E9009/Sens!D9009-1</f>
        <v>0.104685888038225</v>
      </c>
      <c r="F9010" s="7" t="n">
        <f aca="false">Sens!$E$9010+(glt_ind-Sens!$E$9010)*MIN(1,(Sens!F8960-base_fy)/n_conv)</f>
        <v>0.0989049066985211</v>
      </c>
      <c r="G9010" s="7" t="n">
        <f aca="false">Sens!$E$9010+(glt_ind-Sens!$E$9010)*MIN(1,(Sens!G8960-base_fy)/n_conv)</f>
        <v>0.0931239253588169</v>
      </c>
      <c r="H9010" s="7" t="n">
        <f aca="false">Sens!$E$9010+(glt_ind-Sens!$E$9010)*MIN(1,(Sens!H8960-base_fy)/n_conv)</f>
        <v>0.0873429440191127</v>
      </c>
      <c r="I9010" s="7" t="n">
        <f aca="false">Sens!$E$9010+(glt_ind-Sens!$E$9010)*MIN(1,(Sens!I8960-base_fy)/n_conv)</f>
        <v>0.0815619626794085</v>
      </c>
      <c r="J9010" s="7" t="n">
        <f aca="false">Sens!$E$9010+(glt_ind-Sens!$E$9010)*MIN(1,(Sens!J8960-base_fy)/n_conv)</f>
        <v>0.0757809813397042</v>
      </c>
      <c r="K9010" s="7" t="n">
        <f aca="false">Sens!$E$9010+(glt_ind-Sens!$E$9010)*MIN(1,(Sens!K8960-base_fy)/n_conv)</f>
        <v>0.07</v>
      </c>
    </row>
    <row r="9011" customFormat="false" ht="15" hidden="false" customHeight="false" outlineLevel="0" collapsed="false">
      <c r="A9011" s="0" t="s">
        <v>886</v>
      </c>
      <c r="B9011" s="0" t="s">
        <v>98</v>
      </c>
      <c r="D9011" s="6" t="n">
        <f aca="false">Q!L10</f>
        <v>7.76</v>
      </c>
      <c r="E9011" s="6" t="n">
        <f aca="false">Q!M10</f>
        <v>8.26</v>
      </c>
      <c r="F9011" s="6" t="n">
        <f aca="false">Sens!E9011*(1+Sens!F9012)</f>
        <v>8.79988041237113</v>
      </c>
      <c r="G9011" s="6" t="n">
        <f aca="false">Sens!F9011*(1+Sens!G9012)</f>
        <v>9.38321269125306</v>
      </c>
      <c r="H9011" s="6" t="n">
        <f aca="false">Sens!G9011*(1+Sens!H9012)</f>
        <v>10.0139193587476</v>
      </c>
      <c r="I9011" s="6" t="n">
        <f aca="false">Sens!H9011*(1+Sens!I9012)</f>
        <v>10.6963111830911</v>
      </c>
      <c r="J9011" s="6" t="n">
        <f aca="false">Sens!I9011*(1+Sens!J9012)</f>
        <v>11.4351285534696</v>
      </c>
      <c r="K9011" s="6" t="n">
        <f aca="false">Sens!J9011*(1+Sens!K9012)</f>
        <v>12.2355875522124</v>
      </c>
    </row>
    <row r="9012" customFormat="false" ht="15" hidden="false" customHeight="false" outlineLevel="0" collapsed="false">
      <c r="A9012" s="1" t="s">
        <v>876</v>
      </c>
      <c r="B9012" s="0" t="s">
        <v>129</v>
      </c>
      <c r="E9012" s="7" t="n">
        <f aca="false">Sens!E9011/Sens!D9011-1</f>
        <v>0.0644329896907216</v>
      </c>
      <c r="F9012" s="7" t="n">
        <f aca="false">Sens!$E$9012+(glt_fro-Sens!$E$9012)*MIN(1,(Sens!F8960-base_fy)/n_conv)</f>
        <v>0.065360824742268</v>
      </c>
      <c r="G9012" s="7" t="n">
        <f aca="false">Sens!$E$9012+(glt_fro-Sens!$E$9012)*MIN(1,(Sens!G8960-base_fy)/n_conv)</f>
        <v>0.0662886597938144</v>
      </c>
      <c r="H9012" s="7" t="n">
        <f aca="false">Sens!$E$9012+(glt_fro-Sens!$E$9012)*MIN(1,(Sens!H8960-base_fy)/n_conv)</f>
        <v>0.0672164948453608</v>
      </c>
      <c r="I9012" s="7" t="n">
        <f aca="false">Sens!$E$9012+(glt_fro-Sens!$E$9012)*MIN(1,(Sens!I8960-base_fy)/n_conv)</f>
        <v>0.0681443298969072</v>
      </c>
      <c r="J9012" s="7" t="n">
        <f aca="false">Sens!$E$9012+(glt_fro-Sens!$E$9012)*MIN(1,(Sens!J8960-base_fy)/n_conv)</f>
        <v>0.0690721649484536</v>
      </c>
      <c r="K9012" s="7" t="n">
        <f aca="false">Sens!$E$9012+(glt_fro-Sens!$E$9012)*MIN(1,(Sens!K8960-base_fy)/n_conv)</f>
        <v>0.07</v>
      </c>
    </row>
    <row r="9013" customFormat="false" ht="15" hidden="false" customHeight="false" outlineLevel="0" collapsed="false">
      <c r="A9013" s="0" t="s">
        <v>715</v>
      </c>
      <c r="B9013" s="0" t="s">
        <v>98</v>
      </c>
      <c r="D9013" s="6" t="n">
        <f aca="false">Sens!D9001+Sens!D9006+Sens!D9007+Sens!D9009+Sens!D9011</f>
        <v>218.783</v>
      </c>
      <c r="E9013" s="6" t="n">
        <f aca="false">Sens!E9001+Sens!E9006+Sens!E9007+Sens!E9009+Sens!E9011</f>
        <v>268.127</v>
      </c>
      <c r="F9013" s="6" t="n">
        <f aca="false">Sens!F9001+Sens!F9006+Sens!F9007+Sens!F9009+Sens!F9011</f>
        <v>334.265528251508</v>
      </c>
      <c r="G9013" s="6" t="n">
        <f aca="false">Sens!G9001+Sens!G9006+Sens!G9007+Sens!G9009+Sens!G9011</f>
        <v>408.072123059793</v>
      </c>
      <c r="H9013" s="6" t="n">
        <f aca="false">Sens!H9001+Sens!H9006+Sens!H9007+Sens!H9009+Sens!H9011</f>
        <v>483.196296004025</v>
      </c>
      <c r="I9013" s="6" t="n">
        <f aca="false">Sens!I9001+Sens!I9006+Sens!I9007+Sens!I9009+Sens!I9011</f>
        <v>551.903517626826</v>
      </c>
      <c r="J9013" s="6" t="n">
        <f aca="false">Sens!J9001+Sens!J9006+Sens!J9007+Sens!J9009+Sens!J9011</f>
        <v>607.719049711612</v>
      </c>
      <c r="K9013" s="6" t="n">
        <f aca="false">Sens!K9001+Sens!K9006+Sens!K9007+Sens!K9009+Sens!K9011</f>
        <v>652.377736249452</v>
      </c>
    </row>
    <row r="9014" customFormat="false" ht="15" hidden="false" customHeight="false" outlineLevel="0" collapsed="false">
      <c r="A9014" s="0" t="s">
        <v>887</v>
      </c>
      <c r="B9014" s="0" t="s">
        <v>98</v>
      </c>
      <c r="D9014" s="6" t="n">
        <f aca="false">Q!L13</f>
        <v>22.171</v>
      </c>
      <c r="E9014" s="6" t="n">
        <f aca="false">Q!M13</f>
        <v>24.835</v>
      </c>
      <c r="F9014" s="6" t="n">
        <f aca="false">Sens!E9014*(1+Sens!F9015)</f>
        <v>27.4873151218559</v>
      </c>
      <c r="G9014" s="6" t="n">
        <f aca="false">Sens!F9014*(1+Sens!G9015)</f>
        <v>30.0556741721455</v>
      </c>
      <c r="H9014" s="6" t="n">
        <f aca="false">Sens!G9014*(1+Sens!H9015)</f>
        <v>32.4624869022303</v>
      </c>
      <c r="I9014" s="6" t="n">
        <f aca="false">Sens!H9014*(1+Sens!I9015)</f>
        <v>34.6283511524715</v>
      </c>
      <c r="J9014" s="6" t="n">
        <f aca="false">Sens!I9014*(1+Sens!J9015)</f>
        <v>36.476102435307</v>
      </c>
      <c r="K9014" s="6" t="n">
        <f aca="false">Sens!J9014*(1+Sens!K9015)</f>
        <v>37.9351465327193</v>
      </c>
    </row>
    <row r="9015" customFormat="false" ht="15" hidden="false" customHeight="false" outlineLevel="0" collapsed="false">
      <c r="A9015" s="1" t="s">
        <v>876</v>
      </c>
      <c r="B9015" s="0" t="s">
        <v>129</v>
      </c>
      <c r="E9015" s="7" t="n">
        <f aca="false">Sens!E9014/Sens!D9014-1</f>
        <v>0.120156961796942</v>
      </c>
      <c r="F9015" s="7" t="n">
        <f aca="false">Sens!$E$9015+(glt_srch_lo-Sens!$E$9015)*MIN(1,(Sens!F8960-base_fy)/n_conv)</f>
        <v>0.106797468164118</v>
      </c>
      <c r="G9015" s="7" t="n">
        <f aca="false">Sens!$E$9015+(glt_srch_lo-Sens!$E$9015)*MIN(1,(Sens!G8960-base_fy)/n_conv)</f>
        <v>0.0934379745312947</v>
      </c>
      <c r="H9015" s="7" t="n">
        <f aca="false">Sens!$E$9015+(glt_srch_lo-Sens!$E$9015)*MIN(1,(Sens!H8960-base_fy)/n_conv)</f>
        <v>0.080078480898471</v>
      </c>
      <c r="I9015" s="7" t="n">
        <f aca="false">Sens!$E$9015+(glt_srch_lo-Sens!$E$9015)*MIN(1,(Sens!I8960-base_fy)/n_conv)</f>
        <v>0.0667189872656473</v>
      </c>
      <c r="J9015" s="7" t="n">
        <f aca="false">Sens!$E$9015+(glt_srch_lo-Sens!$E$9015)*MIN(1,(Sens!J8960-base_fy)/n_conv)</f>
        <v>0.0533594936328237</v>
      </c>
      <c r="K9015" s="7" t="n">
        <f aca="false">Sens!$E$9015+(glt_srch_lo-Sens!$E$9015)*MIN(1,(Sens!K8960-base_fy)/n_conv)</f>
        <v>0.04</v>
      </c>
    </row>
    <row r="9016" customFormat="false" ht="15" hidden="false" customHeight="false" outlineLevel="0" collapsed="false">
      <c r="A9016" s="0" t="s">
        <v>888</v>
      </c>
      <c r="B9016" s="0" t="s">
        <v>98</v>
      </c>
      <c r="D9016" s="6" t="n">
        <f aca="false">Q!L14</f>
        <v>23.455</v>
      </c>
      <c r="E9016" s="6" t="n">
        <f aca="false">Q!M14</f>
        <v>21.79</v>
      </c>
      <c r="F9016" s="6" t="n">
        <f aca="false">Sens!E9016*(1+Sens!F9017)</f>
        <v>20.5736277908051</v>
      </c>
      <c r="G9016" s="6" t="n">
        <f aca="false">Sens!F9016*(1+Sens!G9017)</f>
        <v>19.7371452817919</v>
      </c>
      <c r="H9016" s="6" t="n">
        <f aca="false">Sens!G9016*(1+Sens!H9017)</f>
        <v>19.2339764043138</v>
      </c>
      <c r="I9016" s="6" t="n">
        <f aca="false">Sens!H9016*(1+Sens!I9017)</f>
        <v>19.0353086852681</v>
      </c>
      <c r="J9016" s="6" t="n">
        <f aca="false">Sens!I9016*(1+Sens!J9017)</f>
        <v>19.1273539319129</v>
      </c>
      <c r="K9016" s="6" t="n">
        <f aca="false">Sens!J9016*(1+Sens!K9017)</f>
        <v>19.5099010105511</v>
      </c>
    </row>
    <row r="9017" customFormat="false" ht="15" hidden="false" customHeight="false" outlineLevel="0" collapsed="false">
      <c r="A9017" s="1" t="s">
        <v>876</v>
      </c>
      <c r="B9017" s="0" t="s">
        <v>129</v>
      </c>
      <c r="E9017" s="7" t="n">
        <f aca="false">Sens!E9016/Sens!D9016-1</f>
        <v>-0.0709869963760392</v>
      </c>
      <c r="F9017" s="7" t="n">
        <f aca="false">Sens!$E$9017+(glt_xbox-Sens!$E$9017)*MIN(1,(Sens!F8960-base_fy)/n_conv)</f>
        <v>-0.0558224969800327</v>
      </c>
      <c r="G9017" s="7" t="n">
        <f aca="false">Sens!$E$9017+(glt_xbox-Sens!$E$9017)*MIN(1,(Sens!G8960-base_fy)/n_conv)</f>
        <v>-0.0406579975840262</v>
      </c>
      <c r="H9017" s="7" t="n">
        <f aca="false">Sens!$E$9017+(glt_xbox-Sens!$E$9017)*MIN(1,(Sens!H8960-base_fy)/n_conv)</f>
        <v>-0.0254934981880196</v>
      </c>
      <c r="I9017" s="7" t="n">
        <f aca="false">Sens!$E$9017+(glt_xbox-Sens!$E$9017)*MIN(1,(Sens!I8960-base_fy)/n_conv)</f>
        <v>-0.0103289987920131</v>
      </c>
      <c r="J9017" s="7" t="n">
        <f aca="false">Sens!$E$9017+(glt_xbox-Sens!$E$9017)*MIN(1,(Sens!J8960-base_fy)/n_conv)</f>
        <v>0.00483550060399347</v>
      </c>
      <c r="K9017" s="7" t="n">
        <f aca="false">Sens!$E$9017+(glt_xbox-Sens!$E$9017)*MIN(1,(Sens!K8960-base_fy)/n_conv)</f>
        <v>0.02</v>
      </c>
    </row>
    <row r="9018" customFormat="false" ht="15" hidden="false" customHeight="false" outlineLevel="0" collapsed="false">
      <c r="A9018" s="0" t="s">
        <v>889</v>
      </c>
      <c r="B9018" s="0" t="s">
        <v>98</v>
      </c>
      <c r="D9018" s="6" t="n">
        <f aca="false">Q!L15</f>
        <v>17.315</v>
      </c>
      <c r="E9018" s="6" t="n">
        <f aca="false">Q!M15</f>
        <v>17.087</v>
      </c>
      <c r="F9018" s="6" t="n">
        <f aca="false">Sens!E9018*(1+Sens!F9019)</f>
        <v>16.9564585436519</v>
      </c>
      <c r="G9018" s="6" t="n">
        <f aca="false">Sens!F9018*(1+Sens!G9019)</f>
        <v>16.9206490624268</v>
      </c>
      <c r="H9018" s="6" t="n">
        <f aca="false">Sens!G9018*(1+Sens!H9019)</f>
        <v>16.9784519149849</v>
      </c>
      <c r="I9018" s="6" t="n">
        <f aca="false">Sens!H9018*(1+Sens!I9019)</f>
        <v>17.1303084701817</v>
      </c>
      <c r="J9018" s="6" t="n">
        <f aca="false">Sens!I9018*(1+Sens!J9019)</f>
        <v>17.3782189407267</v>
      </c>
      <c r="K9018" s="6" t="n">
        <f aca="false">Sens!J9018*(1+Sens!K9019)</f>
        <v>17.7257833195413</v>
      </c>
    </row>
    <row r="9019" customFormat="false" ht="15" hidden="false" customHeight="false" outlineLevel="0" collapsed="false">
      <c r="A9019" s="1" t="s">
        <v>876</v>
      </c>
      <c r="B9019" s="0" t="s">
        <v>129</v>
      </c>
      <c r="E9019" s="7" t="n">
        <f aca="false">Sens!E9018/Sens!D9018-1</f>
        <v>-0.0131677736066995</v>
      </c>
      <c r="F9019" s="7" t="n">
        <f aca="false">Sens!$E$9019+(glt_win-Sens!$E$9019)*MIN(1,(Sens!F8960-base_fy)/n_conv)</f>
        <v>-0.00763981133891627</v>
      </c>
      <c r="G9019" s="7" t="n">
        <f aca="false">Sens!$E$9019+(glt_win-Sens!$E$9019)*MIN(1,(Sens!G8960-base_fy)/n_conv)</f>
        <v>-0.00211184907113301</v>
      </c>
      <c r="H9019" s="7" t="n">
        <f aca="false">Sens!$E$9019+(glt_win-Sens!$E$9019)*MIN(1,(Sens!H8960-base_fy)/n_conv)</f>
        <v>0.00341611319665024</v>
      </c>
      <c r="I9019" s="7" t="n">
        <f aca="false">Sens!$E$9019+(glt_win-Sens!$E$9019)*MIN(1,(Sens!I8960-base_fy)/n_conv)</f>
        <v>0.00894407546443349</v>
      </c>
      <c r="J9019" s="7" t="n">
        <f aca="false">Sens!$E$9019+(glt_win-Sens!$E$9019)*MIN(1,(Sens!J8960-base_fy)/n_conv)</f>
        <v>0.0144720377322168</v>
      </c>
      <c r="K9019" s="7" t="n">
        <f aca="false">Sens!$E$9019+(glt_win-Sens!$E$9019)*MIN(1,(Sens!K8960-base_fy)/n_conv)</f>
        <v>0.02</v>
      </c>
    </row>
    <row r="9020" customFormat="false" ht="15" hidden="false" customHeight="false" outlineLevel="0" collapsed="false">
      <c r="A9020" s="0" t="s">
        <v>729</v>
      </c>
      <c r="B9020" s="0" t="s">
        <v>98</v>
      </c>
      <c r="D9020" s="6" t="n">
        <f aca="false">Sens!D9014+Sens!D9016+Sens!D9018</f>
        <v>62.941</v>
      </c>
      <c r="E9020" s="6" t="n">
        <f aca="false">Sens!E9014+Sens!E9016+Sens!E9018</f>
        <v>63.712</v>
      </c>
      <c r="F9020" s="6" t="n">
        <f aca="false">Sens!F9014+Sens!F9016+Sens!F9018</f>
        <v>65.0174014563129</v>
      </c>
      <c r="G9020" s="6" t="n">
        <f aca="false">Sens!G9014+Sens!G9016+Sens!G9018</f>
        <v>66.7134685163642</v>
      </c>
      <c r="H9020" s="6" t="n">
        <f aca="false">Sens!H9014+Sens!H9016+Sens!H9018</f>
        <v>68.6749152215291</v>
      </c>
      <c r="I9020" s="6" t="n">
        <f aca="false">Sens!I9014+Sens!I9016+Sens!I9018</f>
        <v>70.7939683079213</v>
      </c>
      <c r="J9020" s="6" t="n">
        <f aca="false">Sens!J9014+Sens!J9016+Sens!J9018</f>
        <v>72.9816753079466</v>
      </c>
      <c r="K9020" s="6" t="n">
        <f aca="false">Sens!K9014+Sens!K9016+Sens!K9018</f>
        <v>75.1708308628117</v>
      </c>
    </row>
    <row r="9021" customFormat="false" ht="15" hidden="false" customHeight="false" outlineLevel="0" collapsed="false">
      <c r="A9021" s="1" t="s">
        <v>890</v>
      </c>
      <c r="B9021" s="0" t="s">
        <v>98</v>
      </c>
      <c r="D9021" s="6" t="n">
        <f aca="false">Sens!D9013+Sens!D9020</f>
        <v>281.724</v>
      </c>
      <c r="E9021" s="6" t="n">
        <f aca="false">Sens!E9013+Sens!E9020</f>
        <v>331.839</v>
      </c>
      <c r="F9021" s="6" t="n">
        <f aca="false">Sens!F9013+Sens!F9020</f>
        <v>399.282929707821</v>
      </c>
      <c r="G9021" s="6" t="n">
        <f aca="false">Sens!G9013+Sens!G9020</f>
        <v>474.785591576157</v>
      </c>
      <c r="H9021" s="6" t="n">
        <f aca="false">Sens!H9013+Sens!H9020</f>
        <v>551.871211225554</v>
      </c>
      <c r="I9021" s="6" t="n">
        <f aca="false">Sens!I9013+Sens!I9020</f>
        <v>622.697485934747</v>
      </c>
      <c r="J9021" s="6" t="n">
        <f aca="false">Sens!J9013+Sens!J9020</f>
        <v>680.700725019559</v>
      </c>
      <c r="K9021" s="6" t="n">
        <f aca="false">Sens!K9013+Sens!K9020</f>
        <v>727.548567112264</v>
      </c>
    </row>
    <row r="9022" customFormat="false" ht="15" hidden="false" customHeight="false" outlineLevel="0" collapsed="false">
      <c r="A9022" s="23" t="s">
        <v>891</v>
      </c>
      <c r="B9022" s="30" t="s">
        <v>98</v>
      </c>
      <c r="C9022" s="30"/>
      <c r="D9022" s="24" t="n">
        <f aca="false">(Sens!D9001+Sens!D9006+Sens!D9007+Sens!D9009+Sens!D9011-Sens!D9013)+(Sens!D9014+Sens!D9016+Sens!D9018-Sens!D9020)+(Sens!D9013-Q!L5)+(Sens!D9020-Q!L12)+(Sens!D9001-Q!L6)+(Sens!D9006-Q!L7)</f>
        <v>0</v>
      </c>
      <c r="E9022" s="24" t="n">
        <f aca="false">(Sens!E9001+Sens!E9006+Sens!E9007+Sens!E9009+Sens!E9011-Sens!E9013)+(Sens!E9014+Sens!E9016+Sens!E9018-Sens!E9020)+(Sens!E9013-Q!M5)+(Sens!E9020-Q!M12)+(Sens!E9001-Q!M6)+(Sens!E9006-Q!M7)</f>
        <v>0</v>
      </c>
      <c r="F9022" s="24" t="n">
        <f aca="false">(Sens!F9001+Sens!F9006+Sens!F9007+Sens!F9009+Sens!F9011-Sens!F9013)+(Sens!F9014+Sens!F9016+Sens!F9018-Sens!F9020)</f>
        <v>0</v>
      </c>
      <c r="G9022" s="24" t="n">
        <f aca="false">(Sens!G9001+Sens!G9006+Sens!G9007+Sens!G9009+Sens!G9011-Sens!G9013)+(Sens!G9014+Sens!G9016+Sens!G9018-Sens!G9020)</f>
        <v>0</v>
      </c>
      <c r="H9022" s="24" t="n">
        <f aca="false">(Sens!H9001+Sens!H9006+Sens!H9007+Sens!H9009+Sens!H9011-Sens!H9013)+(Sens!H9014+Sens!H9016+Sens!H9018-Sens!H9020)</f>
        <v>0</v>
      </c>
      <c r="I9022" s="24" t="n">
        <f aca="false">(Sens!I9001+Sens!I9006+Sens!I9007+Sens!I9009+Sens!I9011-Sens!I9013)+(Sens!I9014+Sens!I9016+Sens!I9018-Sens!I9020)</f>
        <v>0</v>
      </c>
      <c r="J9022" s="24" t="n">
        <f aca="false">(Sens!J9001+Sens!J9006+Sens!J9007+Sens!J9009+Sens!J9011-Sens!J9013)+(Sens!J9014+Sens!J9016+Sens!J9018-Sens!J9020)</f>
        <v>0</v>
      </c>
      <c r="K9022" s="24" t="n">
        <f aca="false">(Sens!K9001+Sens!K9006+Sens!K9007+Sens!K9009+Sens!K9011-Sens!K9013)+(Sens!K9014+Sens!K9016+Sens!K9018-Sens!K9020)</f>
        <v>0</v>
      </c>
    </row>
    <row r="9023" customFormat="false" ht="17.15" hidden="false" customHeight="false" outlineLevel="0" collapsed="false">
      <c r="A9023" s="3" t="s">
        <v>1494</v>
      </c>
    </row>
    <row r="9024" customFormat="false" ht="15" hidden="false" customHeight="false" outlineLevel="0" collapsed="false">
      <c r="A9024" s="4" t="s">
        <v>43</v>
      </c>
      <c r="B9024" s="4" t="s">
        <v>65</v>
      </c>
      <c r="C9024" s="20" t="s">
        <v>799</v>
      </c>
      <c r="D9024" s="20" t="s">
        <v>800</v>
      </c>
      <c r="E9024" s="20" t="s">
        <v>801</v>
      </c>
      <c r="F9024" s="20" t="s">
        <v>802</v>
      </c>
      <c r="G9024" s="20" t="s">
        <v>803</v>
      </c>
      <c r="H9024" s="20" t="s">
        <v>804</v>
      </c>
      <c r="I9024" s="20" t="s">
        <v>805</v>
      </c>
      <c r="J9024" s="20" t="s">
        <v>806</v>
      </c>
      <c r="K9024" s="20" t="s">
        <v>807</v>
      </c>
      <c r="L9024" s="4" t="s">
        <v>47</v>
      </c>
    </row>
    <row r="9025" customFormat="false" ht="15" hidden="false" customHeight="false" outlineLevel="0" collapsed="false">
      <c r="A9025" s="0" t="s">
        <v>877</v>
      </c>
      <c r="B9025" s="0" t="s">
        <v>98</v>
      </c>
      <c r="D9025" s="6" t="n">
        <f aca="false">Sens!D9001</f>
        <v>72.61</v>
      </c>
      <c r="E9025" s="6" t="n">
        <f aca="false">Sens!E9001</f>
        <v>101.938</v>
      </c>
      <c r="F9025" s="6" t="n">
        <f aca="false">Sens!F9001</f>
        <v>145.143956312325</v>
      </c>
      <c r="G9025" s="6" t="n">
        <f aca="false">Sens!G9001</f>
        <v>196.478966522364</v>
      </c>
      <c r="H9025" s="6" t="n">
        <f aca="false">Sens!H9001</f>
        <v>249.10761332251</v>
      </c>
      <c r="I9025" s="6" t="n">
        <f aca="false">Sens!I9001</f>
        <v>297.09216264734</v>
      </c>
      <c r="J9025" s="6" t="n">
        <f aca="false">Sens!J9001</f>
        <v>334.278152607443</v>
      </c>
      <c r="K9025" s="6" t="n">
        <f aca="false">Sens!K9001</f>
        <v>361.233666909276</v>
      </c>
    </row>
    <row r="9026" customFormat="false" ht="17.15" hidden="false" customHeight="false" outlineLevel="0" collapsed="false">
      <c r="A9026" s="0" t="s">
        <v>874</v>
      </c>
      <c r="B9026" s="0" t="s">
        <v>98</v>
      </c>
      <c r="D9026" s="6" t="n">
        <f aca="false">Sens!D8998</f>
        <v>12.9359794422418</v>
      </c>
      <c r="E9026" s="6" t="n">
        <f aca="false">Sens!E8998</f>
        <v>27.8095064661409</v>
      </c>
      <c r="F9026" s="6" t="n">
        <f aca="false">Sens!F8998</f>
        <v>55.0640065749585</v>
      </c>
      <c r="G9026" s="6" t="n">
        <f aca="false">Sens!G8998</f>
        <v>89.4505413190538</v>
      </c>
      <c r="H9026" s="6" t="n">
        <f aca="false">Sens!H8998</f>
        <v>124.835630736874</v>
      </c>
      <c r="I9026" s="6" t="n">
        <f aca="false">Sens!I8998</f>
        <v>156.158460265485</v>
      </c>
      <c r="J9026" s="6" t="n">
        <f aca="false">Sens!J8998</f>
        <v>178.259285293112</v>
      </c>
      <c r="K9026" s="6" t="n">
        <f aca="false">Sens!K8998</f>
        <v>192.733290209798</v>
      </c>
    </row>
    <row r="9027" customFormat="false" ht="17.15" hidden="false" customHeight="false" outlineLevel="0" collapsed="false">
      <c r="A9027" s="0" t="s">
        <v>902</v>
      </c>
      <c r="B9027" s="0" t="s">
        <v>98</v>
      </c>
      <c r="D9027" s="6" t="n">
        <f aca="false">Sens!D8999</f>
        <v>59.6740205577583</v>
      </c>
      <c r="E9027" s="6" t="n">
        <f aca="false">Sens!E8999</f>
        <v>74.1284935338591</v>
      </c>
      <c r="F9027" s="6" t="n">
        <f aca="false">Sens!F8999</f>
        <v>90.0799497373663</v>
      </c>
      <c r="G9027" s="6" t="n">
        <f aca="false">Sens!G8999</f>
        <v>107.02842520331</v>
      </c>
      <c r="H9027" s="6" t="n">
        <f aca="false">Sens!H8999</f>
        <v>124.271982585636</v>
      </c>
      <c r="I9027" s="6" t="n">
        <f aca="false">Sens!I8999</f>
        <v>140.933702381855</v>
      </c>
      <c r="J9027" s="6" t="n">
        <f aca="false">Sens!J8999</f>
        <v>156.018867314332</v>
      </c>
      <c r="K9027" s="6" t="n">
        <f aca="false">Sens!K8999</f>
        <v>168.500376699478</v>
      </c>
    </row>
    <row r="9028" customFormat="false" ht="15" hidden="false" customHeight="false" outlineLevel="0" collapsed="false">
      <c r="A9028" s="0" t="s">
        <v>883</v>
      </c>
      <c r="B9028" s="0" t="s">
        <v>98</v>
      </c>
      <c r="D9028" s="6" t="n">
        <f aca="false">Sens!D9006</f>
        <v>84.605</v>
      </c>
      <c r="E9028" s="6" t="n">
        <f aca="false">Sens!E9006</f>
        <v>100.299</v>
      </c>
      <c r="F9028" s="6" t="n">
        <f aca="false">Sens!F9006</f>
        <v>118.89238776686</v>
      </c>
      <c r="G9028" s="6" t="n">
        <f aca="false">Sens!G9006</f>
        <v>137.044168448684</v>
      </c>
      <c r="H9028" s="6" t="n">
        <f aca="false">Sens!H9006</f>
        <v>155.277359388781</v>
      </c>
      <c r="I9028" s="6" t="n">
        <f aca="false">Sens!I9006</f>
        <v>171.834028071957</v>
      </c>
      <c r="J9028" s="6" t="n">
        <f aca="false">Sens!J9006</f>
        <v>186.432702785465</v>
      </c>
      <c r="K9028" s="6" t="n">
        <f aca="false">Sens!K9006</f>
        <v>200.277991980448</v>
      </c>
    </row>
    <row r="9029" customFormat="false" ht="17.15" hidden="false" customHeight="false" outlineLevel="0" collapsed="false">
      <c r="A9029" s="0" t="s">
        <v>903</v>
      </c>
      <c r="B9029" s="0" t="s">
        <v>98</v>
      </c>
      <c r="D9029" s="6" t="n">
        <f aca="false">Sens!D9004</f>
        <v>83.705</v>
      </c>
      <c r="E9029" s="6" t="n">
        <f aca="false">Sens!E9004</f>
        <v>95.049</v>
      </c>
      <c r="F9029" s="6" t="n">
        <f aca="false">Sens!F9004</f>
        <v>106.89238776686</v>
      </c>
      <c r="G9029" s="6" t="n">
        <f aca="false">Sens!G9004</f>
        <v>119.044168448684</v>
      </c>
      <c r="H9029" s="6" t="n">
        <f aca="false">Sens!H9004</f>
        <v>131.277359388781</v>
      </c>
      <c r="I9029" s="6" t="n">
        <f aca="false">Sens!I9004</f>
        <v>143.334028071957</v>
      </c>
      <c r="J9029" s="6" t="n">
        <f aca="false">Sens!J9004</f>
        <v>154.932702785465</v>
      </c>
      <c r="K9029" s="6" t="n">
        <f aca="false">Sens!K9004</f>
        <v>165.777991980448</v>
      </c>
    </row>
    <row r="9030" customFormat="false" ht="17.15" hidden="false" customHeight="false" outlineLevel="0" collapsed="false">
      <c r="A9030" s="0" t="s">
        <v>904</v>
      </c>
      <c r="B9030" s="0" t="s">
        <v>98</v>
      </c>
      <c r="D9030" s="6" t="n">
        <f aca="false">Sens!D9003</f>
        <v>0.9</v>
      </c>
      <c r="E9030" s="6" t="n">
        <f aca="false">Sens!E9003</f>
        <v>5.25</v>
      </c>
      <c r="F9030" s="6" t="n">
        <f aca="false">Sens!F9003</f>
        <v>12</v>
      </c>
      <c r="G9030" s="6" t="n">
        <f aca="false">Sens!G9003</f>
        <v>18</v>
      </c>
      <c r="H9030" s="6" t="n">
        <f aca="false">Sens!H9003</f>
        <v>24</v>
      </c>
      <c r="I9030" s="6" t="n">
        <f aca="false">Sens!I9003</f>
        <v>28.5</v>
      </c>
      <c r="J9030" s="6" t="n">
        <f aca="false">Sens!J9003</f>
        <v>31.5</v>
      </c>
      <c r="K9030" s="6" t="n">
        <f aca="false">Sens!K9003</f>
        <v>34.5</v>
      </c>
    </row>
    <row r="9031" customFormat="false" ht="15" hidden="false" customHeight="false" outlineLevel="0" collapsed="false">
      <c r="A9031" s="0" t="s">
        <v>884</v>
      </c>
      <c r="B9031" s="0" t="s">
        <v>98</v>
      </c>
      <c r="D9031" s="6" t="n">
        <f aca="false">Sens!D9007</f>
        <v>35.391</v>
      </c>
      <c r="E9031" s="6" t="n">
        <f aca="false">Sens!E9007</f>
        <v>37.285</v>
      </c>
      <c r="F9031" s="6" t="n">
        <f aca="false">Sens!F9007</f>
        <v>39.0720834331704</v>
      </c>
      <c r="G9031" s="6" t="n">
        <f aca="false">Sens!G9007</f>
        <v>40.726562953769</v>
      </c>
      <c r="H9031" s="6" t="n">
        <f aca="false">Sens!H9007</f>
        <v>42.2235987259198</v>
      </c>
      <c r="I9031" s="6" t="n">
        <f aca="false">Sens!I9007</f>
        <v>43.5397988077414</v>
      </c>
      <c r="J9031" s="6" t="n">
        <f aca="false">Sens!J9007</f>
        <v>44.653811225693</v>
      </c>
      <c r="K9031" s="6" t="n">
        <f aca="false">Sens!K9007</f>
        <v>45.5468874502068</v>
      </c>
    </row>
    <row r="9032" customFormat="false" ht="15" hidden="false" customHeight="false" outlineLevel="0" collapsed="false">
      <c r="A9032" s="0" t="s">
        <v>885</v>
      </c>
      <c r="B9032" s="0" t="s">
        <v>98</v>
      </c>
      <c r="D9032" s="6" t="n">
        <f aca="false">Sens!D9009</f>
        <v>18.417</v>
      </c>
      <c r="E9032" s="6" t="n">
        <f aca="false">Sens!E9009</f>
        <v>20.345</v>
      </c>
      <c r="F9032" s="6" t="n">
        <f aca="false">Sens!F9009</f>
        <v>22.3572203267814</v>
      </c>
      <c r="G9032" s="6" t="n">
        <f aca="false">Sens!G9009</f>
        <v>24.4392124437232</v>
      </c>
      <c r="H9032" s="6" t="n">
        <f aca="false">Sens!H9009</f>
        <v>26.5738052080665</v>
      </c>
      <c r="I9032" s="6" t="n">
        <f aca="false">Sens!I9009</f>
        <v>28.7412169166967</v>
      </c>
      <c r="J9032" s="6" t="n">
        <f aca="false">Sens!J9009</f>
        <v>30.9192545395413</v>
      </c>
      <c r="K9032" s="6" t="n">
        <f aca="false">Sens!K9009</f>
        <v>33.0836023573092</v>
      </c>
    </row>
    <row r="9033" customFormat="false" ht="15" hidden="false" customHeight="false" outlineLevel="0" collapsed="false">
      <c r="A9033" s="0" t="s">
        <v>886</v>
      </c>
      <c r="B9033" s="0" t="s">
        <v>98</v>
      </c>
      <c r="D9033" s="6" t="n">
        <f aca="false">Sens!D9011</f>
        <v>7.76</v>
      </c>
      <c r="E9033" s="6" t="n">
        <f aca="false">Sens!E9011</f>
        <v>8.26</v>
      </c>
      <c r="F9033" s="6" t="n">
        <f aca="false">Sens!F9011</f>
        <v>8.79988041237113</v>
      </c>
      <c r="G9033" s="6" t="n">
        <f aca="false">Sens!G9011</f>
        <v>9.38321269125306</v>
      </c>
      <c r="H9033" s="6" t="n">
        <f aca="false">Sens!H9011</f>
        <v>10.0139193587476</v>
      </c>
      <c r="I9033" s="6" t="n">
        <f aca="false">Sens!I9011</f>
        <v>10.6963111830911</v>
      </c>
      <c r="J9033" s="6" t="n">
        <f aca="false">Sens!J9011</f>
        <v>11.4351285534696</v>
      </c>
      <c r="K9033" s="6" t="n">
        <f aca="false">Sens!K9011</f>
        <v>12.2355875522124</v>
      </c>
    </row>
    <row r="9034" customFormat="false" ht="15" hidden="false" customHeight="false" outlineLevel="0" collapsed="false">
      <c r="A9034" s="0" t="s">
        <v>715</v>
      </c>
      <c r="B9034" s="0" t="s">
        <v>98</v>
      </c>
      <c r="D9034" s="6" t="n">
        <f aca="false">Sens!D9013</f>
        <v>218.783</v>
      </c>
      <c r="E9034" s="6" t="n">
        <f aca="false">Sens!E9013</f>
        <v>268.127</v>
      </c>
      <c r="F9034" s="6" t="n">
        <f aca="false">Sens!F9013</f>
        <v>334.265528251508</v>
      </c>
      <c r="G9034" s="6" t="n">
        <f aca="false">Sens!G9013</f>
        <v>408.072123059793</v>
      </c>
      <c r="H9034" s="6" t="n">
        <f aca="false">Sens!H9013</f>
        <v>483.196296004025</v>
      </c>
      <c r="I9034" s="6" t="n">
        <f aca="false">Sens!I9013</f>
        <v>551.903517626826</v>
      </c>
      <c r="J9034" s="6" t="n">
        <f aca="false">Sens!J9013</f>
        <v>607.719049711612</v>
      </c>
      <c r="K9034" s="6" t="n">
        <f aca="false">Sens!K9013</f>
        <v>652.377736249452</v>
      </c>
    </row>
    <row r="9035" customFormat="false" ht="15" hidden="false" customHeight="false" outlineLevel="0" collapsed="false">
      <c r="A9035" s="0" t="s">
        <v>887</v>
      </c>
      <c r="B9035" s="0" t="s">
        <v>98</v>
      </c>
      <c r="D9035" s="6" t="n">
        <f aca="false">Sens!D9014</f>
        <v>22.171</v>
      </c>
      <c r="E9035" s="6" t="n">
        <f aca="false">Sens!E9014</f>
        <v>24.835</v>
      </c>
      <c r="F9035" s="6" t="n">
        <f aca="false">Sens!F9014</f>
        <v>27.4873151218559</v>
      </c>
      <c r="G9035" s="6" t="n">
        <f aca="false">Sens!G9014</f>
        <v>30.0556741721455</v>
      </c>
      <c r="H9035" s="6" t="n">
        <f aca="false">Sens!H9014</f>
        <v>32.4624869022303</v>
      </c>
      <c r="I9035" s="6" t="n">
        <f aca="false">Sens!I9014</f>
        <v>34.6283511524715</v>
      </c>
      <c r="J9035" s="6" t="n">
        <f aca="false">Sens!J9014</f>
        <v>36.476102435307</v>
      </c>
      <c r="K9035" s="6" t="n">
        <f aca="false">Sens!K9014</f>
        <v>37.9351465327193</v>
      </c>
    </row>
    <row r="9036" customFormat="false" ht="15" hidden="false" customHeight="false" outlineLevel="0" collapsed="false">
      <c r="A9036" s="0" t="s">
        <v>888</v>
      </c>
      <c r="B9036" s="0" t="s">
        <v>98</v>
      </c>
      <c r="D9036" s="6" t="n">
        <f aca="false">Sens!D9016</f>
        <v>23.455</v>
      </c>
      <c r="E9036" s="6" t="n">
        <f aca="false">Sens!E9016</f>
        <v>21.79</v>
      </c>
      <c r="F9036" s="6" t="n">
        <f aca="false">Sens!F9016</f>
        <v>20.5736277908051</v>
      </c>
      <c r="G9036" s="6" t="n">
        <f aca="false">Sens!G9016</f>
        <v>19.7371452817919</v>
      </c>
      <c r="H9036" s="6" t="n">
        <f aca="false">Sens!H9016</f>
        <v>19.2339764043138</v>
      </c>
      <c r="I9036" s="6" t="n">
        <f aca="false">Sens!I9016</f>
        <v>19.0353086852681</v>
      </c>
      <c r="J9036" s="6" t="n">
        <f aca="false">Sens!J9016</f>
        <v>19.1273539319129</v>
      </c>
      <c r="K9036" s="6" t="n">
        <f aca="false">Sens!K9016</f>
        <v>19.5099010105511</v>
      </c>
    </row>
    <row r="9037" customFormat="false" ht="15" hidden="false" customHeight="false" outlineLevel="0" collapsed="false">
      <c r="A9037" s="0" t="s">
        <v>889</v>
      </c>
      <c r="B9037" s="0" t="s">
        <v>98</v>
      </c>
      <c r="D9037" s="6" t="n">
        <f aca="false">Sens!D9018</f>
        <v>17.315</v>
      </c>
      <c r="E9037" s="6" t="n">
        <f aca="false">Sens!E9018</f>
        <v>17.087</v>
      </c>
      <c r="F9037" s="6" t="n">
        <f aca="false">Sens!F9018</f>
        <v>16.9564585436519</v>
      </c>
      <c r="G9037" s="6" t="n">
        <f aca="false">Sens!G9018</f>
        <v>16.9206490624268</v>
      </c>
      <c r="H9037" s="6" t="n">
        <f aca="false">Sens!H9018</f>
        <v>16.9784519149849</v>
      </c>
      <c r="I9037" s="6" t="n">
        <f aca="false">Sens!I9018</f>
        <v>17.1303084701817</v>
      </c>
      <c r="J9037" s="6" t="n">
        <f aca="false">Sens!J9018</f>
        <v>17.3782189407267</v>
      </c>
      <c r="K9037" s="6" t="n">
        <f aca="false">Sens!K9018</f>
        <v>17.7257833195413</v>
      </c>
    </row>
    <row r="9038" customFormat="false" ht="15" hidden="false" customHeight="false" outlineLevel="0" collapsed="false">
      <c r="A9038" s="0" t="s">
        <v>729</v>
      </c>
      <c r="B9038" s="0" t="s">
        <v>98</v>
      </c>
      <c r="D9038" s="6" t="n">
        <f aca="false">Sens!D9020</f>
        <v>62.941</v>
      </c>
      <c r="E9038" s="6" t="n">
        <f aca="false">Sens!E9020</f>
        <v>63.712</v>
      </c>
      <c r="F9038" s="6" t="n">
        <f aca="false">Sens!F9020</f>
        <v>65.0174014563129</v>
      </c>
      <c r="G9038" s="6" t="n">
        <f aca="false">Sens!G9020</f>
        <v>66.7134685163642</v>
      </c>
      <c r="H9038" s="6" t="n">
        <f aca="false">Sens!H9020</f>
        <v>68.6749152215291</v>
      </c>
      <c r="I9038" s="6" t="n">
        <f aca="false">Sens!I9020</f>
        <v>70.7939683079213</v>
      </c>
      <c r="J9038" s="6" t="n">
        <f aca="false">Sens!J9020</f>
        <v>72.9816753079466</v>
      </c>
      <c r="K9038" s="6" t="n">
        <f aca="false">Sens!K9020</f>
        <v>75.1708308628117</v>
      </c>
    </row>
    <row r="9039" customFormat="false" ht="15" hidden="false" customHeight="false" outlineLevel="0" collapsed="false">
      <c r="A9039" s="1" t="s">
        <v>905</v>
      </c>
      <c r="B9039" s="0" t="s">
        <v>98</v>
      </c>
      <c r="D9039" s="6" t="n">
        <f aca="false">Sens!D9021</f>
        <v>281.724</v>
      </c>
      <c r="E9039" s="6" t="n">
        <f aca="false">Sens!E9021</f>
        <v>331.839</v>
      </c>
      <c r="F9039" s="6" t="n">
        <f aca="false">Sens!F9021</f>
        <v>399.282929707821</v>
      </c>
      <c r="G9039" s="6" t="n">
        <f aca="false">Sens!G9021</f>
        <v>474.785591576157</v>
      </c>
      <c r="H9039" s="6" t="n">
        <f aca="false">Sens!H9021</f>
        <v>551.871211225554</v>
      </c>
      <c r="I9039" s="6" t="n">
        <f aca="false">Sens!I9021</f>
        <v>622.697485934747</v>
      </c>
      <c r="J9039" s="6" t="n">
        <f aca="false">Sens!J9021</f>
        <v>680.700725019559</v>
      </c>
      <c r="K9039" s="6" t="n">
        <f aca="false">Sens!K9021</f>
        <v>727.548567112264</v>
      </c>
    </row>
    <row r="9040" customFormat="false" ht="15" hidden="false" customHeight="false" outlineLevel="0" collapsed="false">
      <c r="A9040" s="1" t="s">
        <v>906</v>
      </c>
      <c r="B9040" s="0" t="s">
        <v>129</v>
      </c>
      <c r="E9040" s="7" t="n">
        <f aca="false">Sens!E9039/Sens!D9039-1</f>
        <v>0.177886867998467</v>
      </c>
      <c r="F9040" s="7" t="n">
        <f aca="false">Sens!F9039/Sens!E9039-1</f>
        <v>0.203242927165946</v>
      </c>
      <c r="G9040" s="7" t="n">
        <f aca="false">Sens!G9039/Sens!F9039-1</f>
        <v>0.1890956418387</v>
      </c>
      <c r="H9040" s="7" t="n">
        <f aca="false">Sens!H9039/Sens!G9039-1</f>
        <v>0.162358801566606</v>
      </c>
      <c r="I9040" s="7" t="n">
        <f aca="false">Sens!I9039/Sens!H9039-1</f>
        <v>0.128338411695561</v>
      </c>
      <c r="J9040" s="7" t="n">
        <f aca="false">Sens!J9039/Sens!I9039-1</f>
        <v>0.0931483431280302</v>
      </c>
      <c r="K9040" s="7" t="n">
        <f aca="false">Sens!K9039/Sens!J9039-1</f>
        <v>0.0688229648813121</v>
      </c>
    </row>
    <row r="9041" customFormat="false" ht="17.15" hidden="false" customHeight="false" outlineLevel="0" collapsed="false">
      <c r="A9041" s="23" t="s">
        <v>907</v>
      </c>
      <c r="B9041" s="30" t="s">
        <v>98</v>
      </c>
      <c r="C9041" s="30"/>
      <c r="D9041" s="24" t="n">
        <f aca="false">(Sens!D9034+Sens!D9038-Sens!D9039)+(Sens!D9026+Sens!D9027-Sens!D9025)+(Sens!D9029+Sens!D9030-Sens!D9028)+(Sens!D9039-Q!L18)</f>
        <v>0</v>
      </c>
      <c r="E9041" s="24" t="n">
        <f aca="false">(Sens!E9034+Sens!E9038-Sens!E9039)+(Sens!E9026+Sens!E9027-Sens!E9025)+(Sens!E9029+Sens!E9030-Sens!E9028)+(Sens!E9039-Q!M18)</f>
        <v>0</v>
      </c>
      <c r="F9041" s="24" t="n">
        <f aca="false">(Sens!F9034+Sens!F9038-Sens!F9039)+(Sens!F9026+Sens!F9027-Sens!F9025)+(Sens!F9029+Sens!F9030-Sens!F9028)</f>
        <v>0</v>
      </c>
      <c r="G9041" s="24" t="n">
        <f aca="false">(Sens!G9034+Sens!G9038-Sens!G9039)+(Sens!G9026+Sens!G9027-Sens!G9025)+(Sens!G9029+Sens!G9030-Sens!G9028)</f>
        <v>0</v>
      </c>
      <c r="H9041" s="24" t="n">
        <f aca="false">(Sens!H9034+Sens!H9038-Sens!H9039)+(Sens!H9026+Sens!H9027-Sens!H9025)+(Sens!H9029+Sens!H9030-Sens!H9028)</f>
        <v>0</v>
      </c>
      <c r="I9041" s="24" t="n">
        <f aca="false">(Sens!I9034+Sens!I9038-Sens!I9039)+(Sens!I9026+Sens!I9027-Sens!I9025)+(Sens!I9029+Sens!I9030-Sens!I9028)</f>
        <v>0</v>
      </c>
      <c r="J9041" s="24" t="n">
        <f aca="false">(Sens!J9034+Sens!J9038-Sens!J9039)+(Sens!J9026+Sens!J9027-Sens!J9025)+(Sens!J9029+Sens!J9030-Sens!J9028)</f>
        <v>0</v>
      </c>
      <c r="K9041" s="24" t="n">
        <f aca="false">(Sens!K9034+Sens!K9038-Sens!K9039)+(Sens!K9026+Sens!K9027-Sens!K9025)+(Sens!K9029+Sens!K9030-Sens!K9028)</f>
        <v>0</v>
      </c>
    </row>
    <row r="9042" customFormat="false" ht="17.15" hidden="false" customHeight="false" outlineLevel="0" collapsed="false">
      <c r="A9042" s="0" t="s">
        <v>908</v>
      </c>
      <c r="B9042" s="0" t="s">
        <v>129</v>
      </c>
      <c r="E9042" s="7" t="n">
        <f aca="false">(Q!M21+Sens!E8979+Sens!E8980+Sens!E8981+Sens!E8994-Sens!E8977)/(Q!M5-Sens!E8977)</f>
        <v>0.570957350878296</v>
      </c>
      <c r="F9042" s="7" t="n">
        <f aca="false">Sens!$E$9042+dm_seg</f>
        <v>0.570957350878296</v>
      </c>
      <c r="G9042" s="7" t="n">
        <f aca="false">Sens!$E$9042+dm_seg</f>
        <v>0.570957350878296</v>
      </c>
      <c r="H9042" s="7" t="n">
        <f aca="false">Sens!$E$9042+dm_seg</f>
        <v>0.570957350878296</v>
      </c>
      <c r="I9042" s="7" t="n">
        <f aca="false">Sens!$E$9042+dm_seg</f>
        <v>0.570957350878296</v>
      </c>
      <c r="J9042" s="7" t="n">
        <f aca="false">Sens!$E$9042+dm_seg</f>
        <v>0.570957350878296</v>
      </c>
      <c r="K9042" s="7" t="n">
        <f aca="false">Sens!$E$9042+dm_seg</f>
        <v>0.570957350878296</v>
      </c>
      <c r="L9042" s="11" t="s">
        <v>909</v>
      </c>
    </row>
    <row r="9043" customFormat="false" ht="17.15" hidden="false" customHeight="false" outlineLevel="0" collapsed="false">
      <c r="A9043" s="0" t="s">
        <v>743</v>
      </c>
      <c r="B9043" s="0" t="s">
        <v>98</v>
      </c>
      <c r="D9043" s="6" t="n">
        <f aca="false">Q!L21</f>
        <v>110.814</v>
      </c>
      <c r="E9043" s="6" t="n">
        <f aca="false">Q!M21</f>
        <v>136.365</v>
      </c>
      <c r="F9043" s="6" t="n">
        <f aca="false">Sens!F9042*(Sens!F9013-Sens!F8977)+Sens!F8977-(Sens!F8979+Sens!F8980+Sens!F8981)-Sens!F8994-Sens!F9077</f>
        <v>157.459012905463</v>
      </c>
      <c r="G9043" s="6" t="n">
        <f aca="false">Sens!G9042*(Sens!G9013-Sens!G8977)+Sens!G8977-(Sens!G8979+Sens!G8980+Sens!G8981)-Sens!G8994-Sens!G9077</f>
        <v>177.815226535567</v>
      </c>
      <c r="H9043" s="6" t="n">
        <f aca="false">Sens!H9042*(Sens!H9013-Sens!H8977)+Sens!H8977-(Sens!H8979+Sens!H8980+Sens!H8981)-Sens!H8994-Sens!H9077</f>
        <v>197.531736155638</v>
      </c>
      <c r="I9043" s="6" t="n">
        <f aca="false">Sens!I9042*(Sens!I9013-Sens!I8977)+Sens!I8977-(Sens!I8979+Sens!I8980+Sens!I8981)-Sens!I8994-Sens!I9077</f>
        <v>216.322140803273</v>
      </c>
      <c r="J9043" s="6" t="n">
        <f aca="false">Sens!J9042*(Sens!J9013-Sens!J8977)+Sens!J8977-(Sens!J8979+Sens!J8980+Sens!J8981)-Sens!J8994-Sens!J9077</f>
        <v>233.723149669873</v>
      </c>
      <c r="K9043" s="6" t="n">
        <f aca="false">Sens!K9042*(Sens!K9013-Sens!K8977)+Sens!K8977-(Sens!K8979+Sens!K8980+Sens!K8981)-Sens!K8994-Sens!K9077</f>
        <v>250.571257174286</v>
      </c>
      <c r="L9043" s="1" t="s">
        <v>910</v>
      </c>
    </row>
    <row r="9044" customFormat="false" ht="17.15" hidden="false" customHeight="false" outlineLevel="0" collapsed="false">
      <c r="A9044" s="0" t="s">
        <v>911</v>
      </c>
      <c r="B9044" s="0" t="s">
        <v>129</v>
      </c>
      <c r="E9044" s="7" t="n">
        <f aca="false">Q!M22/Q!M12</f>
        <v>0.296207935710698</v>
      </c>
      <c r="F9044" s="7" t="n">
        <f aca="false">Sens!$E$9044+dm_seg</f>
        <v>0.296207935710698</v>
      </c>
      <c r="G9044" s="7" t="n">
        <f aca="false">Sens!$E$9044+dm_seg</f>
        <v>0.296207935710698</v>
      </c>
      <c r="H9044" s="7" t="n">
        <f aca="false">Sens!$E$9044+dm_seg</f>
        <v>0.296207935710698</v>
      </c>
      <c r="I9044" s="7" t="n">
        <f aca="false">Sens!$E$9044+dm_seg</f>
        <v>0.296207935710698</v>
      </c>
      <c r="J9044" s="7" t="n">
        <f aca="false">Sens!$E$9044+dm_seg</f>
        <v>0.296207935710698</v>
      </c>
      <c r="K9044" s="7" t="n">
        <f aca="false">Sens!$E$9044+dm_seg</f>
        <v>0.296207935710698</v>
      </c>
      <c r="L9044" s="11" t="s">
        <v>912</v>
      </c>
    </row>
    <row r="9045" customFormat="false" ht="17.15" hidden="false" customHeight="false" outlineLevel="0" collapsed="false">
      <c r="A9045" s="0" t="s">
        <v>745</v>
      </c>
      <c r="B9045" s="0" t="s">
        <v>98</v>
      </c>
      <c r="D9045" s="6" t="n">
        <f aca="false">Q!L22</f>
        <v>17.714</v>
      </c>
      <c r="E9045" s="6" t="n">
        <f aca="false">Q!M22</f>
        <v>18.872</v>
      </c>
      <c r="F9045" s="6" t="n">
        <f aca="false">Sens!F9020*Sens!F9044</f>
        <v>19.2586702706482</v>
      </c>
      <c r="G9045" s="6" t="n">
        <f aca="false">Sens!G9020*Sens!G9044</f>
        <v>19.7610587933329</v>
      </c>
      <c r="H9045" s="6" t="n">
        <f aca="false">Sens!H9020*Sens!H9044</f>
        <v>20.3420548728763</v>
      </c>
      <c r="I9045" s="6" t="n">
        <f aca="false">Sens!I9020*Sens!I9044</f>
        <v>20.969735213258</v>
      </c>
      <c r="J9045" s="6" t="n">
        <f aca="false">Sens!J9020*Sens!J9044</f>
        <v>21.6177513876753</v>
      </c>
      <c r="K9045" s="6" t="n">
        <f aca="false">Sens!K9020*Sens!K9044</f>
        <v>22.2661966355315</v>
      </c>
    </row>
    <row r="9046" customFormat="false" ht="15" hidden="false" customHeight="false" outlineLevel="0" collapsed="false">
      <c r="A9046" s="1" t="s">
        <v>913</v>
      </c>
      <c r="B9046" s="0" t="s">
        <v>98</v>
      </c>
      <c r="D9046" s="6" t="n">
        <f aca="false">Sens!D9043+Sens!D9045</f>
        <v>128.528</v>
      </c>
      <c r="E9046" s="6" t="n">
        <f aca="false">Sens!E9043+Sens!E9045</f>
        <v>155.237</v>
      </c>
      <c r="F9046" s="6" t="n">
        <f aca="false">Sens!F9043+Sens!F9045</f>
        <v>176.717683176111</v>
      </c>
      <c r="G9046" s="6" t="n">
        <f aca="false">Sens!G9043+Sens!G9045</f>
        <v>197.5762853289</v>
      </c>
      <c r="H9046" s="6" t="n">
        <f aca="false">Sens!H9043+Sens!H9045</f>
        <v>217.873791028514</v>
      </c>
      <c r="I9046" s="6" t="n">
        <f aca="false">Sens!I9043+Sens!I9045</f>
        <v>237.291876016531</v>
      </c>
      <c r="J9046" s="6" t="n">
        <f aca="false">Sens!J9043+Sens!J9045</f>
        <v>255.340901057548</v>
      </c>
      <c r="K9046" s="6" t="n">
        <f aca="false">Sens!K9043+Sens!K9045</f>
        <v>272.837453809818</v>
      </c>
    </row>
    <row r="9047" customFormat="false" ht="15" hidden="false" customHeight="false" outlineLevel="0" collapsed="false">
      <c r="A9047" s="23" t="s">
        <v>914</v>
      </c>
      <c r="B9047" s="30" t="s">
        <v>98</v>
      </c>
      <c r="C9047" s="30"/>
      <c r="D9047" s="24" t="n">
        <f aca="false">Sens!D9046-Q!L23</f>
        <v>0</v>
      </c>
      <c r="E9047" s="24" t="n">
        <f aca="false">Sens!E9046-Q!M23</f>
        <v>0</v>
      </c>
      <c r="F9047" s="30"/>
      <c r="G9047" s="30"/>
      <c r="H9047" s="30"/>
      <c r="I9047" s="30"/>
      <c r="J9047" s="30"/>
      <c r="K9047" s="30"/>
    </row>
    <row r="9048" customFormat="false" ht="15" hidden="false" customHeight="false" outlineLevel="0" collapsed="false">
      <c r="A9048" s="1" t="s">
        <v>915</v>
      </c>
      <c r="B9048" s="0" t="s">
        <v>129</v>
      </c>
      <c r="D9048" s="7" t="n">
        <f aca="false">Sens!D9046/Sens!D9039</f>
        <v>0.456219562408598</v>
      </c>
      <c r="E9048" s="7" t="n">
        <f aca="false">Sens!E9046/Sens!E9039</f>
        <v>0.467808184089272</v>
      </c>
      <c r="F9048" s="7" t="n">
        <f aca="false">Sens!F9046/Sens!F9039</f>
        <v>0.442587624032478</v>
      </c>
      <c r="G9048" s="7" t="n">
        <f aca="false">Sens!G9046/Sens!G9039</f>
        <v>0.416137913269443</v>
      </c>
      <c r="H9048" s="7" t="n">
        <f aca="false">Sens!H9046/Sens!H9039</f>
        <v>0.394791006663812</v>
      </c>
      <c r="I9048" s="7" t="n">
        <f aca="false">Sens!I9046/Sens!I9039</f>
        <v>0.381070875306854</v>
      </c>
      <c r="J9048" s="7" t="n">
        <f aca="false">Sens!J9046/Sens!J9039</f>
        <v>0.375114777570145</v>
      </c>
      <c r="K9048" s="7" t="n">
        <f aca="false">Sens!K9046/Sens!K9039</f>
        <v>0.375009265557</v>
      </c>
    </row>
    <row r="9049" customFormat="false" ht="17.15" hidden="false" customHeight="false" outlineLevel="0" collapsed="false">
      <c r="A9049" s="1" t="s">
        <v>916</v>
      </c>
      <c r="B9049" s="0" t="s">
        <v>98</v>
      </c>
      <c r="F9049" s="6" t="n">
        <f aca="false">Sens!F9064</f>
        <v>9.29892047395526</v>
      </c>
      <c r="G9049" s="6" t="n">
        <f aca="false">Sens!G9064</f>
        <v>23.9346303607031</v>
      </c>
      <c r="H9049" s="6" t="n">
        <f aca="false">Sens!H9064</f>
        <v>40.1043191979728</v>
      </c>
      <c r="I9049" s="6" t="n">
        <f aca="false">Sens!I9064</f>
        <v>54.9360183203111</v>
      </c>
      <c r="J9049" s="6" t="n">
        <f aca="false">Sens!J9064</f>
        <v>65.4555422613168</v>
      </c>
      <c r="K9049" s="6" t="n">
        <f aca="false">Sens!K9064</f>
        <v>71.4992160033785</v>
      </c>
      <c r="L9049" s="1" t="s">
        <v>917</v>
      </c>
    </row>
    <row r="9050" customFormat="false" ht="17.15" hidden="false" customHeight="false" outlineLevel="0" collapsed="false">
      <c r="A9050" s="1" t="s">
        <v>918</v>
      </c>
      <c r="B9050" s="0" t="s">
        <v>98</v>
      </c>
      <c r="D9050" s="6" t="n">
        <f aca="false">Sens!D9046</f>
        <v>128.528</v>
      </c>
      <c r="E9050" s="6" t="n">
        <f aca="false">Sens!E9046</f>
        <v>155.237</v>
      </c>
      <c r="F9050" s="6" t="n">
        <f aca="false">Sens!F9046+Sens!F9049</f>
        <v>186.016603650067</v>
      </c>
      <c r="G9050" s="6" t="n">
        <f aca="false">Sens!G9046+Sens!G9049</f>
        <v>221.510915689603</v>
      </c>
      <c r="H9050" s="6" t="n">
        <f aca="false">Sens!H9046+Sens!H9049</f>
        <v>257.978110226487</v>
      </c>
      <c r="I9050" s="6" t="n">
        <f aca="false">Sens!I9046+Sens!I9049</f>
        <v>292.227894336842</v>
      </c>
      <c r="J9050" s="6" t="n">
        <f aca="false">Sens!J9046+Sens!J9049</f>
        <v>320.796443318865</v>
      </c>
      <c r="K9050" s="6" t="n">
        <f aca="false">Sens!K9046+Sens!K9049</f>
        <v>344.336669813196</v>
      </c>
    </row>
    <row r="9051" customFormat="false" ht="17.15" hidden="false" customHeight="false" outlineLevel="0" collapsed="false">
      <c r="A9051" s="1" t="s">
        <v>919</v>
      </c>
      <c r="B9051" s="0" t="s">
        <v>98</v>
      </c>
      <c r="E9051" s="6" t="n">
        <f aca="false">Sens!E8994</f>
        <v>16.3054059770833</v>
      </c>
      <c r="F9051" s="6" t="n">
        <f aca="false">Sens!F8994</f>
        <v>34.0498873809555</v>
      </c>
      <c r="G9051" s="6" t="n">
        <f aca="false">Sens!G8994</f>
        <v>59.1254371105111</v>
      </c>
      <c r="H9051" s="6" t="n">
        <f aca="false">Sens!H8994</f>
        <v>86.3610198433111</v>
      </c>
      <c r="I9051" s="6" t="n">
        <f aca="false">Sens!I8994</f>
        <v>110.605743832393</v>
      </c>
      <c r="J9051" s="6" t="n">
        <f aca="false">Sens!J8994</f>
        <v>127.998322852843</v>
      </c>
      <c r="K9051" s="6" t="n">
        <f aca="false">Sens!K8994</f>
        <v>139.131464044308</v>
      </c>
    </row>
    <row r="9052" customFormat="false" ht="17.15" hidden="false" customHeight="false" outlineLevel="0" collapsed="false">
      <c r="A9052" s="1" t="s">
        <v>920</v>
      </c>
      <c r="B9052" s="0" t="s">
        <v>98</v>
      </c>
      <c r="E9052" s="6" t="n">
        <f aca="false">Sens!E9076</f>
        <v>22.2285940229167</v>
      </c>
      <c r="F9052" s="6" t="n">
        <f aca="false">Sens!F9076</f>
        <v>24.3924470334783</v>
      </c>
      <c r="G9052" s="6" t="n">
        <f aca="false">Sens!G9076</f>
        <v>26.0651965466758</v>
      </c>
      <c r="H9052" s="6" t="n">
        <f aca="false">Sens!H9076</f>
        <v>28.1326131380704</v>
      </c>
      <c r="I9052" s="6" t="n">
        <f aca="false">Sens!I9076</f>
        <v>30.5261570514206</v>
      </c>
      <c r="J9052" s="6" t="n">
        <f aca="false">Sens!J9076</f>
        <v>33.1606507964366</v>
      </c>
      <c r="K9052" s="6" t="n">
        <f aca="false">Sens!K9076</f>
        <v>35.950251120287</v>
      </c>
    </row>
    <row r="9053" customFormat="false" ht="17.15" hidden="false" customHeight="false" outlineLevel="0" collapsed="false">
      <c r="A9053" s="1" t="s">
        <v>921</v>
      </c>
      <c r="B9053" s="0" t="s">
        <v>98</v>
      </c>
      <c r="D9053" s="6" t="n">
        <f aca="false">Q!L27</f>
        <v>-4.901</v>
      </c>
      <c r="E9053" s="6" t="n">
        <f aca="false">Q!M27</f>
        <v>10.697</v>
      </c>
      <c r="F9053" s="6" t="n">
        <f aca="false">oie_f</f>
        <v>-0.4</v>
      </c>
      <c r="G9053" s="6" t="n">
        <f aca="false">oie_f</f>
        <v>-0.4</v>
      </c>
      <c r="H9053" s="6" t="n">
        <f aca="false">oie_f</f>
        <v>-0.4</v>
      </c>
      <c r="I9053" s="6" t="n">
        <f aca="false">oie_f</f>
        <v>-0.4</v>
      </c>
      <c r="J9053" s="6" t="n">
        <f aca="false">oie_f</f>
        <v>-0.4</v>
      </c>
      <c r="K9053" s="6" t="n">
        <f aca="false">oie_f</f>
        <v>-0.4</v>
      </c>
      <c r="L9053" s="11" t="s">
        <v>922</v>
      </c>
    </row>
    <row r="9054" customFormat="false" ht="15" hidden="false" customHeight="false" outlineLevel="0" collapsed="false">
      <c r="A9054" s="1" t="s">
        <v>923</v>
      </c>
      <c r="B9054" s="0" t="s">
        <v>98</v>
      </c>
      <c r="D9054" s="6" t="n">
        <f aca="false">Sens!D9046+Sens!D9053</f>
        <v>123.627</v>
      </c>
      <c r="E9054" s="6" t="n">
        <f aca="false">Sens!E9046+Sens!E9053</f>
        <v>165.934</v>
      </c>
      <c r="F9054" s="6" t="n">
        <f aca="false">Sens!F9046+Sens!F9053</f>
        <v>176.317683176111</v>
      </c>
      <c r="G9054" s="6" t="n">
        <f aca="false">Sens!G9046+Sens!G9053</f>
        <v>197.1762853289</v>
      </c>
      <c r="H9054" s="6" t="n">
        <f aca="false">Sens!H9046+Sens!H9053</f>
        <v>217.473791028514</v>
      </c>
      <c r="I9054" s="6" t="n">
        <f aca="false">Sens!I9046+Sens!I9053</f>
        <v>236.891876016531</v>
      </c>
      <c r="J9054" s="6" t="n">
        <f aca="false">Sens!J9046+Sens!J9053</f>
        <v>254.940901057548</v>
      </c>
      <c r="K9054" s="6" t="n">
        <f aca="false">Sens!K9046+Sens!K9053</f>
        <v>272.437453809818</v>
      </c>
    </row>
    <row r="9055" customFormat="false" ht="15" hidden="false" customHeight="false" outlineLevel="0" collapsed="false">
      <c r="A9055" s="1" t="s">
        <v>924</v>
      </c>
      <c r="B9055" s="0" t="s">
        <v>98</v>
      </c>
      <c r="D9055" s="6" t="n">
        <f aca="false">Q!L29</f>
        <v>21.795</v>
      </c>
      <c r="E9055" s="6" t="n">
        <f aca="false">Q!M29</f>
        <v>32.185</v>
      </c>
      <c r="F9055" s="6" t="n">
        <f aca="false">Sens!F9054*tax_f</f>
        <v>35.2635366352223</v>
      </c>
      <c r="G9055" s="6" t="n">
        <f aca="false">Sens!G9054*tax_f</f>
        <v>39.4352570657801</v>
      </c>
      <c r="H9055" s="6" t="n">
        <f aca="false">Sens!H9054*tax_f</f>
        <v>43.4947582057028</v>
      </c>
      <c r="I9055" s="6" t="n">
        <f aca="false">Sens!I9054*tax_f</f>
        <v>47.3783752033063</v>
      </c>
      <c r="J9055" s="6" t="n">
        <f aca="false">Sens!J9054*tax_f</f>
        <v>50.9881802115096</v>
      </c>
      <c r="K9055" s="6" t="n">
        <f aca="false">Sens!K9054*tax_f</f>
        <v>54.4874907619636</v>
      </c>
    </row>
    <row r="9056" customFormat="false" ht="15" hidden="false" customHeight="false" outlineLevel="0" collapsed="false">
      <c r="A9056" s="1" t="s">
        <v>925</v>
      </c>
      <c r="B9056" s="0" t="s">
        <v>98</v>
      </c>
      <c r="D9056" s="6" t="n">
        <f aca="false">Sens!D9054-Sens!D9055</f>
        <v>101.832</v>
      </c>
      <c r="E9056" s="6" t="n">
        <f aca="false">Sens!E9054-Sens!E9055</f>
        <v>133.749</v>
      </c>
      <c r="F9056" s="6" t="n">
        <f aca="false">Sens!F9054-Sens!F9055</f>
        <v>141.054146540889</v>
      </c>
      <c r="G9056" s="6" t="n">
        <f aca="false">Sens!G9054-Sens!G9055</f>
        <v>157.74102826312</v>
      </c>
      <c r="H9056" s="6" t="n">
        <f aca="false">Sens!H9054-Sens!H9055</f>
        <v>173.979032822811</v>
      </c>
      <c r="I9056" s="6" t="n">
        <f aca="false">Sens!I9054-Sens!I9055</f>
        <v>189.513500813225</v>
      </c>
      <c r="J9056" s="6" t="n">
        <f aca="false">Sens!J9054-Sens!J9055</f>
        <v>203.952720846038</v>
      </c>
      <c r="K9056" s="6" t="n">
        <f aca="false">Sens!K9054-Sens!K9055</f>
        <v>217.949963047854</v>
      </c>
    </row>
    <row r="9057" customFormat="false" ht="17.15" hidden="false" customHeight="false" outlineLevel="0" collapsed="false">
      <c r="A9057" s="1" t="s">
        <v>926</v>
      </c>
      <c r="B9057" s="1" t="s">
        <v>81</v>
      </c>
      <c r="D9057" s="14" t="n">
        <f aca="false">Q!L31</f>
        <v>7.465</v>
      </c>
      <c r="E9057" s="14" t="n">
        <f aca="false">Q!M31</f>
        <v>7.453</v>
      </c>
      <c r="F9057" s="14" t="n">
        <f aca="false">Sens!F9100</f>
        <v>7.4735</v>
      </c>
      <c r="G9057" s="14" t="n">
        <f aca="false">Sens!G9100</f>
        <v>7.51813630517528</v>
      </c>
      <c r="H9057" s="14" t="n">
        <f aca="false">Sens!H9100</f>
        <v>7.54552419620051</v>
      </c>
      <c r="I9057" s="14" t="n">
        <f aca="false">Sens!I9100</f>
        <v>7.55730502820782</v>
      </c>
      <c r="J9057" s="14" t="n">
        <f aca="false">Sens!J9100</f>
        <v>7.57154653932571</v>
      </c>
      <c r="K9057" s="14" t="n">
        <f aca="false">Sens!K9100</f>
        <v>7.58806645702745</v>
      </c>
    </row>
    <row r="9058" customFormat="false" ht="17.15" hidden="false" customHeight="false" outlineLevel="0" collapsed="false">
      <c r="A9058" s="0" t="s">
        <v>927</v>
      </c>
      <c r="B9058" s="0" t="s">
        <v>75</v>
      </c>
      <c r="D9058" s="8" t="n">
        <f aca="false">Sens!D9056/Sens!D9057</f>
        <v>13.641259209645</v>
      </c>
      <c r="E9058" s="8" t="n">
        <f aca="false">Sens!E9056/Sens!E9057</f>
        <v>17.9456594659869</v>
      </c>
      <c r="F9058" s="8" t="n">
        <f aca="false">Sens!F9056/Sens!F9057</f>
        <v>18.8739073447366</v>
      </c>
      <c r="G9058" s="8" t="n">
        <f aca="false">Sens!G9056/Sens!G9057</f>
        <v>20.9814004242695</v>
      </c>
      <c r="H9058" s="8" t="n">
        <f aca="false">Sens!H9056/Sens!H9057</f>
        <v>23.0572493439776</v>
      </c>
      <c r="I9058" s="8" t="n">
        <f aca="false">Sens!I9056/Sens!I9057</f>
        <v>25.0768627316036</v>
      </c>
      <c r="J9058" s="8" t="n">
        <f aca="false">Sens!J9056/Sens!J9057</f>
        <v>26.9367321176371</v>
      </c>
      <c r="K9058" s="8" t="n">
        <f aca="false">Sens!K9056/Sens!K9057</f>
        <v>28.7227272299397</v>
      </c>
      <c r="L9058" s="1" t="s">
        <v>928</v>
      </c>
    </row>
    <row r="9059" customFormat="false" ht="17.15" hidden="false" customHeight="false" outlineLevel="0" collapsed="false">
      <c r="A9059" s="1" t="s">
        <v>929</v>
      </c>
      <c r="B9059" s="0" t="s">
        <v>98</v>
      </c>
      <c r="D9059" s="6" t="n">
        <f aca="false">Sens!D9056</f>
        <v>101.832</v>
      </c>
      <c r="E9059" s="6" t="n">
        <f aca="false">Sens!E9056</f>
        <v>133.749</v>
      </c>
      <c r="F9059" s="6" t="n">
        <f aca="false">Sens!F9056+Sens!F9049*(1-tax_f)</f>
        <v>148.493282920053</v>
      </c>
      <c r="G9059" s="6" t="n">
        <f aca="false">Sens!G9056+Sens!G9049*(1-tax_f)</f>
        <v>176.888732551683</v>
      </c>
      <c r="H9059" s="6" t="n">
        <f aca="false">Sens!H9056+Sens!H9049*(1-tax_f)</f>
        <v>206.062488181189</v>
      </c>
      <c r="I9059" s="6" t="n">
        <f aca="false">Sens!I9056+Sens!I9049*(1-tax_f)</f>
        <v>233.462315469474</v>
      </c>
      <c r="J9059" s="6" t="n">
        <f aca="false">Sens!J9056+Sens!J9049*(1-tax_f)</f>
        <v>256.317154655092</v>
      </c>
      <c r="K9059" s="6" t="n">
        <f aca="false">Sens!K9056+Sens!K9049*(1-tax_f)</f>
        <v>275.149335850557</v>
      </c>
    </row>
    <row r="9060" customFormat="false" ht="17.15" hidden="false" customHeight="false" outlineLevel="0" collapsed="false">
      <c r="A9060" s="0" t="s">
        <v>930</v>
      </c>
      <c r="B9060" s="0" t="s">
        <v>75</v>
      </c>
      <c r="D9060" s="8" t="n">
        <f aca="false">Sens!D9059/Sens!D9057</f>
        <v>13.641259209645</v>
      </c>
      <c r="E9060" s="8" t="n">
        <f aca="false">Sens!E9059/Sens!E9057</f>
        <v>17.9456594659869</v>
      </c>
      <c r="F9060" s="8" t="n">
        <f aca="false">Sens!F9059/Sens!F9057</f>
        <v>19.8693092821373</v>
      </c>
      <c r="G9060" s="8" t="n">
        <f aca="false">Sens!G9059/Sens!G9057</f>
        <v>23.5282688915759</v>
      </c>
      <c r="H9060" s="8" t="n">
        <f aca="false">Sens!H9059/Sens!H9057</f>
        <v>27.3092342987848</v>
      </c>
      <c r="I9060" s="8" t="n">
        <f aca="false">Sens!I9059/Sens!I9057</f>
        <v>30.8922710672747</v>
      </c>
      <c r="J9060" s="8" t="n">
        <f aca="false">Sens!J9059/Sens!J9057</f>
        <v>33.8526816580749</v>
      </c>
      <c r="K9060" s="8" t="n">
        <f aca="false">Sens!K9059/Sens!K9057</f>
        <v>36.2607967930666</v>
      </c>
      <c r="L9060" s="1" t="s">
        <v>931</v>
      </c>
    </row>
    <row r="9061" customFormat="false" ht="17.15" hidden="false" customHeight="false" outlineLevel="0" collapsed="false">
      <c r="A9061" s="0" t="s">
        <v>932</v>
      </c>
      <c r="B9061" s="0" t="s">
        <v>129</v>
      </c>
      <c r="E9061" s="7" t="n">
        <f aca="false">Sens!E9060/Sens!D9060-1</f>
        <v>0.315542736208578</v>
      </c>
      <c r="F9061" s="7" t="n">
        <f aca="false">Sens!F9060/Sens!E9060-1</f>
        <v>0.107193041292043</v>
      </c>
      <c r="G9061" s="7" t="n">
        <f aca="false">Sens!G9060/Sens!F9060-1</f>
        <v>0.184151323907771</v>
      </c>
      <c r="H9061" s="7" t="n">
        <f aca="false">Sens!H9060/Sens!G9060-1</f>
        <v>0.160698835287565</v>
      </c>
      <c r="I9061" s="7" t="n">
        <f aca="false">Sens!I9060/Sens!H9060-1</f>
        <v>0.131202388514033</v>
      </c>
      <c r="J9061" s="7" t="n">
        <f aca="false">Sens!J9060/Sens!I9060-1</f>
        <v>0.0958301377180488</v>
      </c>
      <c r="K9061" s="7" t="n">
        <f aca="false">Sens!K9060/Sens!J9060-1</f>
        <v>0.0711351366286008</v>
      </c>
    </row>
    <row r="9062" customFormat="false" ht="17.15" hidden="false" customHeight="false" outlineLevel="0" collapsed="false">
      <c r="A9062" s="0" t="s">
        <v>856</v>
      </c>
      <c r="B9062" s="0" t="s">
        <v>98</v>
      </c>
      <c r="E9062" s="6" t="n">
        <f aca="false">Sens!E9003</f>
        <v>5.25</v>
      </c>
      <c r="F9062" s="6" t="n">
        <f aca="false">Sens!F9003</f>
        <v>12</v>
      </c>
      <c r="G9062" s="6" t="n">
        <f aca="false">Sens!G9003</f>
        <v>18</v>
      </c>
      <c r="H9062" s="6" t="n">
        <f aca="false">Sens!H9003</f>
        <v>24</v>
      </c>
      <c r="I9062" s="6" t="n">
        <f aca="false">Sens!I9003</f>
        <v>28.5</v>
      </c>
      <c r="J9062" s="6" t="n">
        <f aca="false">Sens!J9003</f>
        <v>31.5</v>
      </c>
      <c r="K9062" s="6" t="n">
        <f aca="false">Sens!K9003</f>
        <v>34.5</v>
      </c>
    </row>
    <row r="9063" customFormat="false" ht="17.15" hidden="false" customHeight="false" outlineLevel="0" collapsed="false">
      <c r="A9063" s="1" t="s">
        <v>857</v>
      </c>
      <c r="B9063" s="0" t="s">
        <v>98</v>
      </c>
      <c r="F9063" s="6" t="n">
        <f aca="false">MAX(0,((Sens!E8966+Sens!F8966)/2-(shadow_base*(Sens!$D$8966+Sens!$E$8966)/2+(1-shadow_base)*Sens!$E$8966))*Sens!F8974/1000-(Sens!F9062-Sens!$E$9062)*Sens!F9042)</f>
        <v>9.29892047395526</v>
      </c>
      <c r="G9063" s="6" t="n">
        <f aca="false">MAX(0,((Sens!F8966+Sens!G8966)/2-(shadow_base*(Sens!$D$8966+Sens!$E$8966)/2+(1-shadow_base)*Sens!$E$8966))*Sens!G8974/1000-(Sens!G9062-Sens!$E$9062)*Sens!G9042)</f>
        <v>23.9346303607031</v>
      </c>
      <c r="H9063" s="6" t="n">
        <f aca="false">MAX(0,((Sens!G8966+Sens!H8966)/2-(shadow_base*(Sens!$D$8966+Sens!$E$8966)/2+(1-shadow_base)*Sens!$E$8966))*Sens!H8974/1000-(Sens!H9062-Sens!$E$9062)*Sens!H9042)</f>
        <v>40.1043191979728</v>
      </c>
      <c r="I9063" s="6" t="n">
        <f aca="false">MAX(0,((Sens!H8966+Sens!I8966)/2-(shadow_base*(Sens!$D$8966+Sens!$E$8966)/2+(1-shadow_base)*Sens!$E$8966))*Sens!I8974/1000-(Sens!I9062-Sens!$E$9062)*Sens!I9042)</f>
        <v>54.9360183203111</v>
      </c>
      <c r="J9063" s="6" t="n">
        <f aca="false">MAX(0,((Sens!I8966+Sens!J8966)/2-(shadow_base*(Sens!$D$8966+Sens!$E$8966)/2+(1-shadow_base)*Sens!$E$8966))*Sens!J8974/1000-(Sens!J9062-Sens!$E$9062)*Sens!J9042)</f>
        <v>65.4555422613168</v>
      </c>
      <c r="K9063" s="6" t="n">
        <f aca="false">MAX(0,((Sens!J8966+Sens!K8966)/2-(shadow_base*(Sens!$D$8966+Sens!$E$8966)/2+(1-shadow_base)*Sens!$E$8966))*Sens!K8974/1000-(Sens!K9062-Sens!$E$9062)*Sens!K9042)</f>
        <v>71.4992160033785</v>
      </c>
      <c r="L9063" s="1" t="s">
        <v>858</v>
      </c>
    </row>
    <row r="9064" customFormat="false" ht="17.15" hidden="false" customHeight="false" outlineLevel="0" collapsed="false">
      <c r="A9064" s="1" t="s">
        <v>859</v>
      </c>
      <c r="B9064" s="0" t="s">
        <v>98</v>
      </c>
      <c r="F9064" s="6" t="n">
        <f aca="false">IF(internal_ai_reading=2,1,0)*Sens!F9063</f>
        <v>9.29892047395526</v>
      </c>
      <c r="G9064" s="6" t="n">
        <f aca="false">IF(internal_ai_reading=2,1,0)*Sens!G9063</f>
        <v>23.9346303607031</v>
      </c>
      <c r="H9064" s="6" t="n">
        <f aca="false">IF(internal_ai_reading=2,1,0)*Sens!H9063</f>
        <v>40.1043191979728</v>
      </c>
      <c r="I9064" s="6" t="n">
        <f aca="false">IF(internal_ai_reading=2,1,0)*Sens!I9063</f>
        <v>54.9360183203111</v>
      </c>
      <c r="J9064" s="6" t="n">
        <f aca="false">IF(internal_ai_reading=2,1,0)*Sens!J9063</f>
        <v>65.4555422613168</v>
      </c>
      <c r="K9064" s="6" t="n">
        <f aca="false">IF(internal_ai_reading=2,1,0)*Sens!K9063</f>
        <v>71.4992160033785</v>
      </c>
    </row>
    <row r="9065" customFormat="false" ht="17.15" hidden="false" customHeight="false" outlineLevel="0" collapsed="false">
      <c r="A9065" s="0" t="s">
        <v>860</v>
      </c>
      <c r="B9065" s="0" t="s">
        <v>98</v>
      </c>
      <c r="F9065" s="6" t="n">
        <f aca="false">Sens!F8983+Sens!F9062*Sens!F9042+Sens!F9064-Sens!F8984-Sens!F8994</f>
        <v>15.0270315022233</v>
      </c>
      <c r="G9065" s="6" t="n">
        <f aca="false">Sens!G8983+Sens!G9062*Sens!G9042+Sens!G9064-Sens!G8984-Sens!G8994</f>
        <v>30.8545489496424</v>
      </c>
      <c r="H9065" s="6" t="n">
        <f aca="false">Sens!H8983+Sens!H9062*Sens!H9042+Sens!H9064-Sens!H8984-Sens!H8994</f>
        <v>47.4024902575898</v>
      </c>
      <c r="I9065" s="6" t="n">
        <f aca="false">Sens!I8983+Sens!I9062*Sens!I9042+Sens!I9064-Sens!I8984-Sens!I8994</f>
        <v>62.1817971739404</v>
      </c>
      <c r="J9065" s="6" t="n">
        <f aca="false">Sens!J8983+Sens!J9062*Sens!J9042+Sens!J9064-Sens!J8984-Sens!J8994</f>
        <v>72.5050518947332</v>
      </c>
      <c r="K9065" s="6" t="n">
        <f aca="false">Sens!K8983+Sens!K9062*Sens!K9042+Sens!K9064-Sens!K8984-Sens!K8994</f>
        <v>79.8210980571165</v>
      </c>
    </row>
    <row r="9066" customFormat="false" ht="17.15" hidden="false" customHeight="false" outlineLevel="0" collapsed="false">
      <c r="A9066" s="0" t="s">
        <v>861</v>
      </c>
      <c r="B9066" s="0" t="s">
        <v>98</v>
      </c>
      <c r="E9066" s="6" t="n">
        <f aca="false">Sens!E8965*(cxit_open+self_build*tk_cxfac)/1000*ai_net_open</f>
        <v>126.6980382</v>
      </c>
      <c r="F9066" s="6" t="n">
        <f aca="false">Sens!E9066+Sens!F8991-Sens!F8994</f>
        <v>252.981026690511</v>
      </c>
      <c r="G9066" s="6" t="n">
        <f aca="false">Sens!F9066+Sens!G8991-Sens!G8994</f>
        <v>377.4297700632</v>
      </c>
      <c r="H9066" s="6" t="n">
        <f aca="false">Sens!G9066+Sens!H8991-Sens!H8994</f>
        <v>479.149036130289</v>
      </c>
      <c r="I9066" s="6" t="n">
        <f aca="false">Sens!H9066+Sens!I8991-Sens!I8994</f>
        <v>532.249961452141</v>
      </c>
      <c r="J9066" s="6" t="n">
        <f aca="false">Sens!I9066+Sens!J8991-Sens!J8994</f>
        <v>531.43307519354</v>
      </c>
      <c r="K9066" s="6" t="n">
        <f aca="false">Sens!J9066+Sens!K8991-Sens!K8994</f>
        <v>513.709026452823</v>
      </c>
      <c r="L9066" s="1" t="s">
        <v>862</v>
      </c>
    </row>
    <row r="9067" customFormat="false" ht="17.15" hidden="false" customHeight="false" outlineLevel="0" collapsed="false">
      <c r="A9067" s="0" t="s">
        <v>863</v>
      </c>
      <c r="B9067" s="0" t="s">
        <v>129</v>
      </c>
      <c r="F9067" s="7" t="n">
        <f aca="false">Sens!F9065*(1-tax_f)/((Sens!E9066+Sens!F9066)/2)</f>
        <v>0.0633251938989334</v>
      </c>
      <c r="G9067" s="7" t="n">
        <f aca="false">Sens!G9065*(1-tax_f)/((Sens!F9066+Sens!G9066)/2)</f>
        <v>0.0783096967463813</v>
      </c>
      <c r="H9067" s="7" t="n">
        <f aca="false">Sens!H9065*(1-tax_f)/((Sens!G9066+Sens!H9066)/2)</f>
        <v>0.0885429149819656</v>
      </c>
      <c r="I9067" s="7" t="n">
        <f aca="false">Sens!I9065*(1-tax_f)/((Sens!H9066+Sens!I9066)/2)</f>
        <v>0.0983695610892634</v>
      </c>
      <c r="J9067" s="7" t="n">
        <f aca="false">Sens!J9065*(1-tax_f)/((Sens!I9066+Sens!J9066)/2)</f>
        <v>0.109062642756252</v>
      </c>
      <c r="K9067" s="7" t="n">
        <f aca="false">Sens!K9065*(1-tax_f)/((Sens!J9066+Sens!K9066)/2)</f>
        <v>0.122197504712713</v>
      </c>
    </row>
    <row r="9068" customFormat="false" ht="17.15" hidden="false" customHeight="false" outlineLevel="0" collapsed="false">
      <c r="A9068" s="1" t="s">
        <v>864</v>
      </c>
      <c r="B9068" s="0" t="s">
        <v>129</v>
      </c>
      <c r="F9068" s="7" t="n">
        <f aca="false">(Sens!F9065-Sens!F9064)*(1-tax_f)/((Sens!E9066+Sens!F9066)/2)</f>
        <v>0.0241387489928418</v>
      </c>
      <c r="G9068" s="7" t="n">
        <f aca="false">(Sens!G9065-Sens!G9064)*(1-tax_f)/((Sens!F9066+Sens!G9066)/2)</f>
        <v>0.0175629443520275</v>
      </c>
      <c r="H9068" s="7" t="n">
        <f aca="false">(Sens!H9065-Sens!H9064)*(1-tax_f)/((Sens!G9066+Sens!H9066)/2)</f>
        <v>0.0136322234579658</v>
      </c>
      <c r="I9068" s="7" t="n">
        <f aca="false">(Sens!I9065-Sens!I9064)*(1-tax_f)/((Sens!H9066+Sens!I9066)/2)</f>
        <v>0.0114625841962651</v>
      </c>
      <c r="J9068" s="7" t="n">
        <f aca="false">(Sens!J9065-Sens!J9064)*(1-tax_f)/((Sens!I9066+Sens!J9066)/2)</f>
        <v>0.0106039252529919</v>
      </c>
      <c r="K9068" s="7" t="n">
        <f aca="false">(Sens!K9065-Sens!K9064)*(1-tax_f)/((Sens!J9066+Sens!K9066)/2)</f>
        <v>0.0127399051908886</v>
      </c>
    </row>
    <row r="9069" customFormat="false" ht="17.15" hidden="false" customHeight="false" outlineLevel="0" collapsed="false">
      <c r="A9069" s="1" t="s">
        <v>865</v>
      </c>
      <c r="B9069" s="0" t="s">
        <v>129</v>
      </c>
      <c r="F9069" s="7" t="n">
        <f aca="false">(Sens!F9065-Sens!F9064+Sens!F9063)*(1-tax_f)/((Sens!E9066+Sens!F9066)/2)</f>
        <v>0.0633251938989334</v>
      </c>
      <c r="G9069" s="7" t="n">
        <f aca="false">(Sens!G9065-Sens!G9064+Sens!G9063)*(1-tax_f)/((Sens!F9066+Sens!G9066)/2)</f>
        <v>0.0783096967463813</v>
      </c>
      <c r="H9069" s="7" t="n">
        <f aca="false">(Sens!H9065-Sens!H9064+Sens!H9063)*(1-tax_f)/((Sens!G9066+Sens!H9066)/2)</f>
        <v>0.0885429149819656</v>
      </c>
      <c r="I9069" s="7" t="n">
        <f aca="false">(Sens!I9065-Sens!I9064+Sens!I9063)*(1-tax_f)/((Sens!H9066+Sens!I9066)/2)</f>
        <v>0.0983695610892634</v>
      </c>
      <c r="J9069" s="7" t="n">
        <f aca="false">(Sens!J9065-Sens!J9064+Sens!J9063)*(1-tax_f)/((Sens!I9066+Sens!J9066)/2)</f>
        <v>0.109062642756252</v>
      </c>
      <c r="K9069" s="7" t="n">
        <f aca="false">(Sens!K9065-Sens!K9064+Sens!K9063)*(1-tax_f)/((Sens!J9066+Sens!K9066)/2)</f>
        <v>0.122197504712713</v>
      </c>
    </row>
    <row r="9070" customFormat="false" ht="17.15" hidden="false" customHeight="false" outlineLevel="0" collapsed="false">
      <c r="A9070" s="1" t="s">
        <v>866</v>
      </c>
      <c r="B9070" s="0" t="s">
        <v>129</v>
      </c>
      <c r="F9070" s="7" t="n">
        <f aca="false">Sens!F8995*(1-tax_f)/(Sens!F8982*(Sens!E9066+Sens!F9066)/2)</f>
        <v>0.133653288300971</v>
      </c>
      <c r="G9070" s="7" t="n">
        <f aca="false">Sens!G8995*(1-tax_f)/(Sens!G8982*(Sens!F9066+Sens!G9066)/2)</f>
        <v>0.131459221834535</v>
      </c>
      <c r="H9070" s="7" t="n">
        <f aca="false">Sens!H8995*(1-tax_f)/(Sens!H8982*(Sens!G9066+Sens!H9066)/2)</f>
        <v>0.135120575835084</v>
      </c>
      <c r="I9070" s="7" t="n">
        <f aca="false">Sens!I8995*(1-tax_f)/(Sens!I8982*(Sens!H9066+Sens!I9066)/2)</f>
        <v>0.143323969665222</v>
      </c>
      <c r="J9070" s="7" t="n">
        <f aca="false">Sens!J8995*(1-tax_f)/(Sens!J8982*(Sens!I9066+Sens!J9066)/2)</f>
        <v>0.155570128388075</v>
      </c>
      <c r="K9070" s="7" t="n">
        <f aca="false">Sens!K8995*(1-tax_f)/(Sens!K8982*(Sens!J9066+Sens!K9066)/2)</f>
        <v>0.172427697111622</v>
      </c>
    </row>
    <row r="9071" customFormat="false" ht="17.15" hidden="false" customHeight="false" outlineLevel="0" collapsed="false">
      <c r="A9071" s="0" t="s">
        <v>867</v>
      </c>
      <c r="B9071" s="0" t="s">
        <v>209</v>
      </c>
      <c r="F9071" s="7" t="n">
        <f aca="false">Sens!F9067-wacc</f>
        <v>-0.0396092261939423</v>
      </c>
      <c r="G9071" s="7" t="n">
        <f aca="false">Sens!G9067-wacc</f>
        <v>-0.0246247233464944</v>
      </c>
      <c r="H9071" s="7" t="n">
        <f aca="false">Sens!H9067-wacc</f>
        <v>-0.0143915051109101</v>
      </c>
      <c r="I9071" s="7" t="n">
        <f aca="false">Sens!I9067-wacc</f>
        <v>-0.00456485900361238</v>
      </c>
      <c r="J9071" s="7" t="n">
        <f aca="false">Sens!J9067-wacc</f>
        <v>0.00612822266337605</v>
      </c>
      <c r="K9071" s="7" t="n">
        <f aca="false">Sens!K9067-wacc</f>
        <v>0.0192630846198374</v>
      </c>
    </row>
    <row r="9072" customFormat="false" ht="17.15" hidden="false" customHeight="false" outlineLevel="0" collapsed="false">
      <c r="A9072" s="0" t="s">
        <v>868</v>
      </c>
      <c r="B9072" s="0" t="s">
        <v>98</v>
      </c>
      <c r="F9072" s="6" t="n">
        <f aca="false">Sens!F9065*(1-tax_f)-wacc*(Sens!E9066+Sens!F9066)/2</f>
        <v>-7.51939698117638</v>
      </c>
      <c r="G9072" s="6" t="n">
        <f aca="false">Sens!G9065*(1-tax_f)-wacc*(Sens!F9066+Sens!G9066)/2</f>
        <v>-7.76184573235162</v>
      </c>
      <c r="H9072" s="6" t="n">
        <f aca="false">Sens!H9065*(1-tax_f)-wacc*(Sens!G9066+Sens!H9066)/2</f>
        <v>-6.16372913361546</v>
      </c>
      <c r="I9072" s="6" t="n">
        <f aca="false">Sens!I9065*(1-tax_f)-wacc*(Sens!H9066+Sens!I9066)/2</f>
        <v>-2.30844691017934</v>
      </c>
      <c r="J9072" s="6" t="n">
        <f aca="false">Sens!J9065*(1-tax_f)-wacc*(Sens!I9066+Sens!J9066)/2</f>
        <v>3.25924324591036</v>
      </c>
      <c r="K9072" s="6" t="n">
        <f aca="false">Sens!K9065*(1-tax_f)-wacc*(Sens!J9066+Sens!K9066)/2</f>
        <v>10.0663303718843</v>
      </c>
    </row>
    <row r="9073" customFormat="false" ht="17.15" hidden="false" customHeight="false" outlineLevel="0" collapsed="false">
      <c r="A9073" s="3" t="s">
        <v>1495</v>
      </c>
    </row>
    <row r="9074" customFormat="false" ht="15" hidden="false" customHeight="false" outlineLevel="0" collapsed="false">
      <c r="A9074" s="4" t="s">
        <v>43</v>
      </c>
      <c r="B9074" s="4" t="s">
        <v>65</v>
      </c>
      <c r="C9074" s="20" t="s">
        <v>799</v>
      </c>
      <c r="D9074" s="20" t="s">
        <v>800</v>
      </c>
      <c r="E9074" s="20" t="s">
        <v>801</v>
      </c>
      <c r="F9074" s="20" t="s">
        <v>802</v>
      </c>
      <c r="G9074" s="20" t="s">
        <v>803</v>
      </c>
      <c r="H9074" s="20" t="s">
        <v>804</v>
      </c>
      <c r="I9074" s="20" t="s">
        <v>805</v>
      </c>
      <c r="J9074" s="20" t="s">
        <v>806</v>
      </c>
      <c r="K9074" s="20" t="s">
        <v>807</v>
      </c>
      <c r="L9074" s="4" t="s">
        <v>47</v>
      </c>
    </row>
    <row r="9075" customFormat="false" ht="15" hidden="false" customHeight="false" outlineLevel="0" collapsed="false">
      <c r="A9075" s="1" t="s">
        <v>925</v>
      </c>
      <c r="B9075" s="0" t="s">
        <v>98</v>
      </c>
      <c r="F9075" s="6" t="n">
        <f aca="false">Sens!F9056</f>
        <v>141.054146540889</v>
      </c>
      <c r="G9075" s="6" t="n">
        <f aca="false">Sens!G9056</f>
        <v>157.74102826312</v>
      </c>
      <c r="H9075" s="6" t="n">
        <f aca="false">Sens!H9056</f>
        <v>173.979032822811</v>
      </c>
      <c r="I9075" s="6" t="n">
        <f aca="false">Sens!I9056</f>
        <v>189.513500813225</v>
      </c>
      <c r="J9075" s="6" t="n">
        <f aca="false">Sens!J9056</f>
        <v>203.952720846038</v>
      </c>
      <c r="K9075" s="6" t="n">
        <f aca="false">Sens!K9056</f>
        <v>217.949963047854</v>
      </c>
    </row>
    <row r="9076" customFormat="false" ht="17.15" hidden="false" customHeight="false" outlineLevel="0" collapsed="false">
      <c r="A9076" s="1" t="s">
        <v>947</v>
      </c>
      <c r="B9076" s="0" t="s">
        <v>98</v>
      </c>
      <c r="E9076" s="6" t="n">
        <f aca="false">Q!M38-Sens!E8994</f>
        <v>22.2285940229167</v>
      </c>
      <c r="F9076" s="6" t="n">
        <f aca="false">Sens!E9076*(1-1/life_nonai)+(Sens!F9083+Sens!F9084)/life_nonai</f>
        <v>24.3924470334783</v>
      </c>
      <c r="G9076" s="6" t="n">
        <f aca="false">Sens!F9076*(1-1/life_nonai)+(Sens!G9083)/life_nonai</f>
        <v>26.0651965466758</v>
      </c>
      <c r="H9076" s="6" t="n">
        <f aca="false">Sens!G9076*(1-1/life_nonai)+(Sens!H9083)/life_nonai</f>
        <v>28.1326131380704</v>
      </c>
      <c r="I9076" s="6" t="n">
        <f aca="false">Sens!H9076*(1-1/life_nonai)+(Sens!I9083)/life_nonai</f>
        <v>30.5261570514206</v>
      </c>
      <c r="J9076" s="6" t="n">
        <f aca="false">Sens!I9076*(1-1/life_nonai)+(Sens!J9083)/life_nonai</f>
        <v>33.1606507964366</v>
      </c>
      <c r="K9076" s="6" t="n">
        <f aca="false">Sens!J9076*(1-1/life_nonai)+(Sens!K9083)/life_nonai</f>
        <v>35.950251120287</v>
      </c>
      <c r="L9076" s="11" t="s">
        <v>948</v>
      </c>
    </row>
    <row r="9077" customFormat="false" ht="17.15" hidden="false" customHeight="false" outlineLevel="0" collapsed="false">
      <c r="A9077" s="1" t="s">
        <v>949</v>
      </c>
      <c r="B9077" s="0" t="s">
        <v>98</v>
      </c>
      <c r="F9077" s="6" t="n">
        <f aca="false">Sens!$F$9084/life_nonai*(1-1/life_nonai)^(Sens!F8960-2027)</f>
        <v>0.829771089897088</v>
      </c>
      <c r="G9077" s="6" t="n">
        <f aca="false">Sens!$F$9084/life_nonai*(1-1/life_nonai)^(Sens!G8960-2027)</f>
        <v>0.74679398090738</v>
      </c>
      <c r="H9077" s="6" t="n">
        <f aca="false">Sens!$F$9084/life_nonai*(1-1/life_nonai)^(Sens!H8960-2027)</f>
        <v>0.672114582816642</v>
      </c>
      <c r="I9077" s="6" t="n">
        <f aca="false">Sens!$F$9084/life_nonai*(1-1/life_nonai)^(Sens!I8960-2027)</f>
        <v>0.604903124534978</v>
      </c>
      <c r="J9077" s="6" t="n">
        <f aca="false">Sens!$F$9084/life_nonai*(1-1/life_nonai)^(Sens!J8960-2027)</f>
        <v>0.54441281208148</v>
      </c>
      <c r="K9077" s="6" t="n">
        <f aca="false">Sens!$F$9084/life_nonai*(1-1/life_nonai)^(Sens!K8960-2027)</f>
        <v>0.489971530873332</v>
      </c>
      <c r="L9077" s="1" t="s">
        <v>950</v>
      </c>
    </row>
    <row r="9078" customFormat="false" ht="17.15" hidden="false" customHeight="false" outlineLevel="0" collapsed="false">
      <c r="A9078" s="1" t="s">
        <v>951</v>
      </c>
      <c r="B9078" s="0" t="s">
        <v>98</v>
      </c>
      <c r="E9078" s="6" t="n">
        <f aca="false">Sens!E8994+Sens!E9076</f>
        <v>38.534</v>
      </c>
      <c r="F9078" s="6" t="n">
        <f aca="false">Sens!F8994+Sens!F9076</f>
        <v>58.4423344144339</v>
      </c>
      <c r="G9078" s="6" t="n">
        <f aca="false">Sens!G8994+Sens!G9076</f>
        <v>85.1906336571869</v>
      </c>
      <c r="H9078" s="6" t="n">
        <f aca="false">Sens!H8994+Sens!H9076</f>
        <v>114.493632981381</v>
      </c>
      <c r="I9078" s="6" t="n">
        <f aca="false">Sens!I8994+Sens!I9076</f>
        <v>141.131900883813</v>
      </c>
      <c r="J9078" s="6" t="n">
        <f aca="false">Sens!J8994+Sens!J9076</f>
        <v>161.15897364928</v>
      </c>
      <c r="K9078" s="6" t="n">
        <f aca="false">Sens!K8994+Sens!K9076</f>
        <v>175.081715164595</v>
      </c>
    </row>
    <row r="9079" customFormat="false" ht="17.15" hidden="false" customHeight="false" outlineLevel="0" collapsed="false">
      <c r="A9079" s="1" t="s">
        <v>952</v>
      </c>
      <c r="B9079" s="0" t="s">
        <v>98</v>
      </c>
      <c r="F9079" s="6" t="n">
        <f aca="false">Sens!F9021*sbc_r</f>
        <v>14.9262285114936</v>
      </c>
      <c r="G9079" s="6" t="n">
        <f aca="false">Sens!G9021*sbc_r</f>
        <v>17.7487132721055</v>
      </c>
      <c r="H9079" s="6" t="n">
        <f aca="false">Sens!H9021*sbc_r</f>
        <v>20.6303730883139</v>
      </c>
      <c r="I9079" s="6" t="n">
        <f aca="false">Sens!I9021*sbc_r</f>
        <v>23.278042403155</v>
      </c>
      <c r="J9079" s="6" t="n">
        <f aca="false">Sens!J9021*sbc_r</f>
        <v>25.4463534842729</v>
      </c>
      <c r="K9079" s="6" t="n">
        <f aca="false">Sens!K9021*sbc_r</f>
        <v>27.1976469764784</v>
      </c>
    </row>
    <row r="9080" customFormat="false" ht="17.15" hidden="false" customHeight="false" outlineLevel="0" collapsed="false">
      <c r="A9080" s="1" t="s">
        <v>953</v>
      </c>
      <c r="B9080" s="0" t="s">
        <v>98</v>
      </c>
      <c r="F9080" s="6" t="n">
        <f aca="false">wc27</f>
        <v>-4.895</v>
      </c>
      <c r="G9080" s="6" t="n">
        <f aca="false">wc_f</f>
        <v>0</v>
      </c>
      <c r="H9080" s="6" t="n">
        <f aca="false">wc_f</f>
        <v>0</v>
      </c>
      <c r="I9080" s="6" t="n">
        <f aca="false">wc_f</f>
        <v>0</v>
      </c>
      <c r="J9080" s="6" t="n">
        <f aca="false">wc_f</f>
        <v>0</v>
      </c>
      <c r="K9080" s="6" t="n">
        <f aca="false">wc_f</f>
        <v>0</v>
      </c>
      <c r="L9080" s="11" t="s">
        <v>954</v>
      </c>
    </row>
    <row r="9081" customFormat="false" ht="15" hidden="false" customHeight="false" outlineLevel="0" collapsed="false">
      <c r="A9081" s="1" t="s">
        <v>767</v>
      </c>
      <c r="B9081" s="0" t="s">
        <v>98</v>
      </c>
      <c r="E9081" s="6" t="n">
        <f aca="false">Q!M35</f>
        <v>182.935</v>
      </c>
      <c r="F9081" s="6" t="n">
        <f aca="false">Sens!F9075+Sens!F9078+Sens!F9079+Sens!F9080</f>
        <v>209.527709466816</v>
      </c>
      <c r="G9081" s="6" t="n">
        <f aca="false">Sens!G9075+Sens!G9078+Sens!G9079+Sens!G9080</f>
        <v>260.680375192413</v>
      </c>
      <c r="H9081" s="6" t="n">
        <f aca="false">Sens!H9075+Sens!H9078+Sens!H9079+Sens!H9080</f>
        <v>309.103038892506</v>
      </c>
      <c r="I9081" s="6" t="n">
        <f aca="false">Sens!I9075+Sens!I9078+Sens!I9079+Sens!I9080</f>
        <v>353.923444100193</v>
      </c>
      <c r="J9081" s="6" t="n">
        <f aca="false">Sens!J9075+Sens!J9078+Sens!J9079+Sens!J9080</f>
        <v>390.558047979591</v>
      </c>
      <c r="K9081" s="6" t="n">
        <f aca="false">Sens!K9075+Sens!K9078+Sens!K9079+Sens!K9080</f>
        <v>420.229325188928</v>
      </c>
    </row>
    <row r="9082" customFormat="false" ht="17.15" hidden="false" customHeight="false" outlineLevel="0" collapsed="false">
      <c r="A9082" s="0" t="s">
        <v>955</v>
      </c>
      <c r="B9082" s="0" t="s">
        <v>98</v>
      </c>
      <c r="F9082" s="6" t="n">
        <f aca="false">Sens!F8991</f>
        <v>160.332875871467</v>
      </c>
      <c r="G9082" s="6" t="n">
        <f aca="false">Sens!G8991</f>
        <v>183.5741804832</v>
      </c>
      <c r="H9082" s="6" t="n">
        <f aca="false">Sens!H8991</f>
        <v>188.0802859104</v>
      </c>
      <c r="I9082" s="6" t="n">
        <f aca="false">Sens!I8991</f>
        <v>163.706669154245</v>
      </c>
      <c r="J9082" s="6" t="n">
        <f aca="false">Sens!J8991</f>
        <v>127.181436594242</v>
      </c>
      <c r="K9082" s="6" t="n">
        <f aca="false">Sens!K8991</f>
        <v>121.407415303591</v>
      </c>
    </row>
    <row r="9083" customFormat="false" ht="17.15" hidden="false" customHeight="false" outlineLevel="0" collapsed="false">
      <c r="A9083" s="1" t="s">
        <v>956</v>
      </c>
      <c r="B9083" s="0" t="s">
        <v>98</v>
      </c>
      <c r="E9083" s="6" t="n">
        <f aca="false">Sens!E8999*cx_azo+Sens!E9006*cx_m365+Sens!E9007*cx_lic+(Sens!E9009+Sens!E9011)*cx_ind+Sens!E9014*cx_srch+(Sens!E9016+Sens!E9018)*cx_dev</f>
        <v>30.1846587067718</v>
      </c>
      <c r="F9083" s="6" t="n">
        <f aca="false">Sens!F8999*cx_azo+Sens!F9006*cx_m365+Sens!F9007*cx_lic+(Sens!F9009+Sens!F9011)*cx_ind+Sens!F9014*cx_srch+(Sens!F9016+Sens!F9018)*cx_dev</f>
        <v>35.5694132295625</v>
      </c>
      <c r="G9083" s="6" t="n">
        <f aca="false">Sens!G8999*cx_azo+Sens!G9006*cx_m365+Sens!G9007*cx_lic+(Sens!G9009+Sens!G9011)*cx_ind+Sens!G9014*cx_srch+(Sens!G9016+Sens!G9018)*cx_dev</f>
        <v>41.1199421654528</v>
      </c>
      <c r="H9083" s="6" t="n">
        <f aca="false">Sens!H8999*cx_azo+Sens!H9006*cx_m365+Sens!H9007*cx_lic+(Sens!H9009+Sens!H9011)*cx_ind+Sens!H9014*cx_srch+(Sens!H9016+Sens!H9018)*cx_dev</f>
        <v>46.7393624606218</v>
      </c>
      <c r="I9083" s="6" t="n">
        <f aca="false">Sens!I8999*cx_azo+Sens!I9006*cx_m365+Sens!I9007*cx_lic+(Sens!I9009+Sens!I9011)*cx_ind+Sens!I9014*cx_srch+(Sens!I9016+Sens!I9018)*cx_dev</f>
        <v>52.0680522715721</v>
      </c>
      <c r="J9083" s="6" t="n">
        <f aca="false">Sens!J8999*cx_azo+Sens!J9006*cx_m365+Sens!J9007*cx_lic+(Sens!J9009+Sens!J9011)*cx_ind+Sens!J9014*cx_srch+(Sens!J9016+Sens!J9018)*cx_dev</f>
        <v>56.871094501581</v>
      </c>
      <c r="K9083" s="6" t="n">
        <f aca="false">Sens!K8999*cx_azo+Sens!K9006*cx_m365+Sens!K9007*cx_lic+(Sens!K9009+Sens!K9011)*cx_ind+Sens!K9014*cx_srch+(Sens!K9016+Sens!K9018)*cx_dev</f>
        <v>61.0566540349409</v>
      </c>
    </row>
    <row r="9084" customFormat="false" ht="17.15" hidden="false" customHeight="false" outlineLevel="0" collapsed="false">
      <c r="A9084" s="0" t="s">
        <v>957</v>
      </c>
      <c r="B9084" s="0" t="s">
        <v>98</v>
      </c>
      <c r="F9084" s="6" t="n">
        <f aca="false">Sens!F8989</f>
        <v>8.29771089897088</v>
      </c>
      <c r="L9084" s="1" t="s">
        <v>958</v>
      </c>
    </row>
    <row r="9085" customFormat="false" ht="17.15" hidden="false" customHeight="false" outlineLevel="0" collapsed="false">
      <c r="A9085" s="1" t="s">
        <v>959</v>
      </c>
      <c r="B9085" s="0" t="s">
        <v>98</v>
      </c>
      <c r="E9085" s="6" t="n">
        <f aca="false">Q!M42</f>
        <v>145.3</v>
      </c>
      <c r="F9085" s="6" t="n">
        <f aca="false">Sens!F9082+Sens!F9083+Sens!F9084</f>
        <v>204.2</v>
      </c>
      <c r="G9085" s="6" t="n">
        <f aca="false">Sens!G9082+Sens!G9083</f>
        <v>224.694122648653</v>
      </c>
      <c r="H9085" s="6" t="n">
        <f aca="false">Sens!H9082+Sens!H9083</f>
        <v>234.819648371022</v>
      </c>
      <c r="I9085" s="6" t="n">
        <f aca="false">Sens!I9082+Sens!I9083</f>
        <v>215.774721425818</v>
      </c>
      <c r="J9085" s="6" t="n">
        <f aca="false">Sens!J9082+Sens!J9083</f>
        <v>184.052531095823</v>
      </c>
      <c r="K9085" s="6" t="n">
        <f aca="false">Sens!K9082+Sens!K9083</f>
        <v>182.464069338532</v>
      </c>
      <c r="L9085" s="1" t="s">
        <v>960</v>
      </c>
    </row>
    <row r="9086" customFormat="false" ht="15" hidden="false" customHeight="false" outlineLevel="0" collapsed="false">
      <c r="A9086" s="1" t="s">
        <v>961</v>
      </c>
      <c r="B9086" s="0" t="s">
        <v>98</v>
      </c>
      <c r="E9086" s="6" t="n">
        <f aca="false">fl_liab</f>
        <v>66.594</v>
      </c>
      <c r="F9086" s="6" t="n">
        <f aca="false">Sens!E9086-Sens!F9087</f>
        <v>62.46973</v>
      </c>
      <c r="G9086" s="6" t="n">
        <f aca="false">Sens!F9086-Sens!G9087</f>
        <v>57.98686785</v>
      </c>
      <c r="H9086" s="6" t="n">
        <f aca="false">Sens!G9086-Sens!H9087</f>
        <v>53.92827690325</v>
      </c>
      <c r="I9086" s="6" t="n">
        <f aca="false">Sens!H9086-Sens!I9087</f>
        <v>49.7850493638962</v>
      </c>
      <c r="J9086" s="6" t="n">
        <f aca="false">Sens!I9086-Sens!J9087</f>
        <v>45.4823765852716</v>
      </c>
      <c r="K9086" s="6" t="n">
        <f aca="false">Sens!J9086-Sens!K9087</f>
        <v>40.9860835316088</v>
      </c>
    </row>
    <row r="9087" customFormat="false" ht="15" hidden="false" customHeight="false" outlineLevel="0" collapsed="false">
      <c r="A9087" s="1" t="s">
        <v>962</v>
      </c>
      <c r="B9087" s="0" t="s">
        <v>98</v>
      </c>
      <c r="F9087" s="6" t="n">
        <f aca="false">fl_pay_27-Sens!E9086*fl_rate</f>
        <v>4.12427</v>
      </c>
      <c r="G9087" s="6" t="n">
        <f aca="false">fl_pay_28-Sens!F9086*fl_rate</f>
        <v>4.48286215</v>
      </c>
      <c r="H9087" s="6" t="n">
        <f aca="false">fl_pay_29-Sens!G9086*fl_rate</f>
        <v>4.05859094675</v>
      </c>
      <c r="I9087" s="6" t="n">
        <f aca="false">fl_pay_30-Sens!H9086*fl_rate</f>
        <v>4.14322753935375</v>
      </c>
      <c r="J9087" s="6" t="n">
        <f aca="false">fl_pay_31-Sens!I9086*fl_rate</f>
        <v>4.30267277862467</v>
      </c>
      <c r="K9087" s="6" t="n">
        <f aca="false">fl_pay_32-Sens!J9086*fl_rate</f>
        <v>4.49629305366278</v>
      </c>
    </row>
    <row r="9088" customFormat="false" ht="17.15" hidden="false" customHeight="false" outlineLevel="0" collapsed="false">
      <c r="A9088" s="1" t="s">
        <v>963</v>
      </c>
      <c r="B9088" s="0" t="s">
        <v>98</v>
      </c>
      <c r="E9088" s="6" t="n">
        <f aca="false">Q!M35-Q!M36-Q!M43</f>
        <v>63.886</v>
      </c>
      <c r="F9088" s="6" t="n">
        <f aca="false">Sens!F9081-Sens!F9085-Sens!F9087</f>
        <v>1.20343946681646</v>
      </c>
      <c r="G9088" s="6" t="n">
        <f aca="false">Sens!G9081-Sens!G9085-Sens!G9087</f>
        <v>31.5033903937599</v>
      </c>
      <c r="H9088" s="6" t="n">
        <f aca="false">Sens!H9081-Sens!H9085-Sens!H9087</f>
        <v>70.2247995747347</v>
      </c>
      <c r="I9088" s="6" t="n">
        <f aca="false">Sens!I9081-Sens!I9085-Sens!I9087</f>
        <v>134.005495135022</v>
      </c>
      <c r="J9088" s="6" t="n">
        <f aca="false">Sens!J9081-Sens!J9085-Sens!J9087</f>
        <v>202.202844105143</v>
      </c>
      <c r="K9088" s="6" t="n">
        <f aca="false">Sens!K9081-Sens!K9085-Sens!K9087</f>
        <v>233.268962796734</v>
      </c>
      <c r="L9088" s="11" t="s">
        <v>964</v>
      </c>
    </row>
    <row r="9089" customFormat="false" ht="15" hidden="false" customHeight="false" outlineLevel="0" collapsed="false">
      <c r="A9089" s="1" t="s">
        <v>965</v>
      </c>
      <c r="B9089" s="0" t="s">
        <v>75</v>
      </c>
      <c r="F9089" s="8" t="n">
        <f aca="false">dps_27</f>
        <v>3.85</v>
      </c>
      <c r="G9089" s="8" t="n">
        <f aca="false">Sens!F9089*(1+dps_g)</f>
        <v>4.158</v>
      </c>
      <c r="H9089" s="8" t="n">
        <f aca="false">Sens!G9089*(1+dps_g)</f>
        <v>4.49064</v>
      </c>
      <c r="I9089" s="8" t="n">
        <f aca="false">Sens!H9089*(1+dps_g)</f>
        <v>4.8498912</v>
      </c>
      <c r="J9089" s="8" t="n">
        <f aca="false">Sens!I9089*(1+dps_g)</f>
        <v>5.237882496</v>
      </c>
      <c r="K9089" s="8" t="n">
        <f aca="false">Sens!J9089*(1+dps_g)</f>
        <v>5.65691309568</v>
      </c>
    </row>
    <row r="9090" customFormat="false" ht="17.15" hidden="false" customHeight="false" outlineLevel="0" collapsed="false">
      <c r="A9090" s="1" t="s">
        <v>966</v>
      </c>
      <c r="B9090" s="0" t="s">
        <v>98</v>
      </c>
      <c r="E9090" s="6" t="n">
        <f aca="false">Q!M41</f>
        <v>26.445</v>
      </c>
      <c r="F9090" s="6" t="n">
        <f aca="false">Sens!F9089*Sens!E9099</f>
        <v>28.59395</v>
      </c>
      <c r="G9090" s="6" t="n">
        <f aca="false">Sens!G9089*Sens!F9099</f>
        <v>31.068576</v>
      </c>
      <c r="H9090" s="6" t="n">
        <f aca="false">Sens!H9089*Sens!G9099</f>
        <v>33.7528744349446</v>
      </c>
      <c r="I9090" s="6" t="n">
        <f aca="false">Sens!I9089*Sens!H9099</f>
        <v>36.5040436297397</v>
      </c>
      <c r="J9090" s="6" t="n">
        <f aca="false">Sens!J9089*Sens!I9099</f>
        <v>39.4927659684383</v>
      </c>
      <c r="K9090" s="6" t="n">
        <f aca="false">Sens!K9089*Sens!J9099</f>
        <v>42.7394424712184</v>
      </c>
      <c r="L9090" s="1" t="s">
        <v>967</v>
      </c>
    </row>
    <row r="9091" customFormat="false" ht="15" hidden="false" customHeight="false" outlineLevel="0" collapsed="false">
      <c r="A9091" s="1" t="s">
        <v>968</v>
      </c>
      <c r="B9091" s="0" t="s">
        <v>98</v>
      </c>
      <c r="E9091" s="6" t="n">
        <f aca="false">Sens!E9088-Sens!E9090</f>
        <v>37.441</v>
      </c>
      <c r="F9091" s="6" t="n">
        <f aca="false">Sens!F9088-Sens!F9090</f>
        <v>-27.3905105331835</v>
      </c>
      <c r="G9091" s="6" t="n">
        <f aca="false">Sens!G9088-Sens!G9090</f>
        <v>0.434814393759861</v>
      </c>
      <c r="H9091" s="6" t="n">
        <f aca="false">Sens!H9088-Sens!H9090</f>
        <v>36.4719251397901</v>
      </c>
      <c r="I9091" s="6" t="n">
        <f aca="false">Sens!I9088-Sens!I9090</f>
        <v>97.5014515052823</v>
      </c>
      <c r="J9091" s="6" t="n">
        <f aca="false">Sens!J9088-Sens!J9090</f>
        <v>162.710078136705</v>
      </c>
      <c r="K9091" s="6" t="n">
        <f aca="false">Sens!K9088-Sens!K9090</f>
        <v>190.529520325515</v>
      </c>
    </row>
    <row r="9092" customFormat="false" ht="15" hidden="false" customHeight="false" outlineLevel="0" collapsed="false">
      <c r="A9092" s="1" t="s">
        <v>969</v>
      </c>
      <c r="B9092" s="0" t="s">
        <v>98</v>
      </c>
      <c r="F9092" s="6" t="n">
        <f aca="false">debt_mat_27</f>
        <v>9.25</v>
      </c>
      <c r="G9092" s="6" t="n">
        <f aca="false">debt_mat_28</f>
        <v>0</v>
      </c>
      <c r="H9092" s="6" t="n">
        <f aca="false">debt_mat_29</f>
        <v>2.001</v>
      </c>
      <c r="I9092" s="6" t="n">
        <f aca="false">debt_mat_30</f>
        <v>0</v>
      </c>
      <c r="J9092" s="6" t="n">
        <f aca="false">debt_mat_31</f>
        <v>0.5</v>
      </c>
      <c r="K9092" s="6" t="n">
        <f aca="false">debt_mat_32</f>
        <v>0</v>
      </c>
    </row>
    <row r="9093" customFormat="false" ht="15" hidden="false" customHeight="false" outlineLevel="0" collapsed="false">
      <c r="A9093" s="1" t="s">
        <v>970</v>
      </c>
      <c r="B9093" s="0" t="s">
        <v>98</v>
      </c>
      <c r="E9093" s="6" t="n">
        <f aca="false">Q!M40</f>
        <v>22.271</v>
      </c>
      <c r="F9093" s="6" t="n">
        <f aca="false">MAX(0,MIN(bb_target,Sens!E9095+Sens!F9091-Sens!F9092-min_cash))</f>
        <v>0</v>
      </c>
      <c r="G9093" s="6" t="n">
        <f aca="false">MAX(0,MIN(bb_target,Sens!F9095+Sens!G9091-Sens!G9092-min_cash))</f>
        <v>0.434814393759865</v>
      </c>
      <c r="H9093" s="6" t="n">
        <f aca="false">MAX(0,MIN(bb_target,Sens!G9095+Sens!H9091-Sens!H9092-min_cash))</f>
        <v>22.271</v>
      </c>
      <c r="I9093" s="6" t="n">
        <f aca="false">MAX(0,MIN(bb_target,Sens!H9095+Sens!I9091-Sens!I9092-min_cash))</f>
        <v>22.271</v>
      </c>
      <c r="J9093" s="6" t="n">
        <f aca="false">MAX(0,MIN(bb_target,Sens!I9095+Sens!J9091-Sens!J9092-min_cash))</f>
        <v>22.271</v>
      </c>
      <c r="K9093" s="6" t="n">
        <f aca="false">MAX(0,MIN(bb_target,Sens!J9095+Sens!K9091-Sens!K9092-min_cash))</f>
        <v>22.271</v>
      </c>
    </row>
    <row r="9094" customFormat="false" ht="15" hidden="false" customHeight="false" outlineLevel="0" collapsed="false">
      <c r="A9094" s="1" t="s">
        <v>971</v>
      </c>
      <c r="B9094" s="0" t="s">
        <v>98</v>
      </c>
      <c r="F9094" s="6" t="n">
        <f aca="false">MAX(0,min_cash-(Sens!E9095+Sens!F9091-Sens!F9092-Sens!F9093))</f>
        <v>9.79751053318354</v>
      </c>
      <c r="G9094" s="6" t="n">
        <f aca="false">MAX(0,min_cash-(Sens!F9095+Sens!G9091-Sens!G9092-Sens!G9093))</f>
        <v>0</v>
      </c>
      <c r="H9094" s="6" t="n">
        <f aca="false">MAX(0,min_cash-(Sens!G9095+Sens!H9091-Sens!H9092-Sens!H9093))</f>
        <v>0</v>
      </c>
      <c r="I9094" s="6" t="n">
        <f aca="false">MAX(0,min_cash-(Sens!H9095+Sens!I9091-Sens!I9092-Sens!I9093))</f>
        <v>0</v>
      </c>
      <c r="J9094" s="6" t="n">
        <f aca="false">MAX(0,min_cash-(Sens!I9095+Sens!J9091-Sens!J9092-Sens!J9093))</f>
        <v>0</v>
      </c>
      <c r="K9094" s="6" t="n">
        <f aca="false">MAX(0,min_cash-(Sens!J9095+Sens!K9091-Sens!K9092-Sens!K9093))</f>
        <v>0</v>
      </c>
    </row>
    <row r="9095" customFormat="false" ht="15" hidden="false" customHeight="false" outlineLevel="0" collapsed="false">
      <c r="A9095" s="1" t="s">
        <v>972</v>
      </c>
      <c r="B9095" s="0" t="s">
        <v>98</v>
      </c>
      <c r="E9095" s="6" t="n">
        <f aca="false">cash_open</f>
        <v>76.843</v>
      </c>
      <c r="F9095" s="6" t="n">
        <f aca="false">Sens!E9095+Sens!F9091-Sens!F9092-Sens!F9093+Sens!F9094</f>
        <v>50</v>
      </c>
      <c r="G9095" s="6" t="n">
        <f aca="false">Sens!F9095+Sens!G9091-Sens!G9092-Sens!G9093+Sens!G9094</f>
        <v>50</v>
      </c>
      <c r="H9095" s="6" t="n">
        <f aca="false">Sens!G9095+Sens!H9091-Sens!H9092-Sens!H9093+Sens!H9094</f>
        <v>62.1999251397901</v>
      </c>
      <c r="I9095" s="6" t="n">
        <f aca="false">Sens!H9095+Sens!I9091-Sens!I9092-Sens!I9093+Sens!I9094</f>
        <v>137.430376645072</v>
      </c>
      <c r="J9095" s="6" t="n">
        <f aca="false">Sens!I9095+Sens!J9091-Sens!J9092-Sens!J9093+Sens!J9094</f>
        <v>277.369454781778</v>
      </c>
      <c r="K9095" s="6" t="n">
        <f aca="false">Sens!J9095+Sens!K9091-Sens!K9092-Sens!K9093+Sens!K9094</f>
        <v>445.627975107293</v>
      </c>
    </row>
    <row r="9096" customFormat="false" ht="15" hidden="false" customHeight="false" outlineLevel="0" collapsed="false">
      <c r="A9096" s="1" t="s">
        <v>973</v>
      </c>
      <c r="B9096" s="0" t="s">
        <v>98</v>
      </c>
      <c r="E9096" s="6" t="n">
        <f aca="false">debt_face</f>
        <v>46.136</v>
      </c>
      <c r="F9096" s="6" t="n">
        <f aca="false">Sens!E9096-Sens!F9092+Sens!F9094</f>
        <v>46.6835105331835</v>
      </c>
      <c r="G9096" s="6" t="n">
        <f aca="false">Sens!F9096-Sens!G9092+Sens!G9094</f>
        <v>46.6835105331835</v>
      </c>
      <c r="H9096" s="6" t="n">
        <f aca="false">Sens!G9096-Sens!H9092+Sens!H9094</f>
        <v>44.6825105331835</v>
      </c>
      <c r="I9096" s="6" t="n">
        <f aca="false">Sens!H9096-Sens!I9092+Sens!I9094</f>
        <v>44.6825105331835</v>
      </c>
      <c r="J9096" s="6" t="n">
        <f aca="false">Sens!I9096-Sens!J9092+Sens!J9094</f>
        <v>44.1825105331835</v>
      </c>
      <c r="K9096" s="6" t="n">
        <f aca="false">Sens!J9096-Sens!K9092+Sens!K9094</f>
        <v>44.1825105331835</v>
      </c>
    </row>
    <row r="9097" customFormat="false" ht="15" hidden="false" customHeight="false" outlineLevel="0" collapsed="false">
      <c r="A9097" s="1" t="s">
        <v>974</v>
      </c>
      <c r="B9097" s="0" t="s">
        <v>98</v>
      </c>
      <c r="E9097" s="6" t="n">
        <f aca="false">Sens!E9095-Sens!E9096</f>
        <v>30.707</v>
      </c>
      <c r="F9097" s="6" t="n">
        <f aca="false">Sens!F9095-Sens!F9096</f>
        <v>3.31648946681646</v>
      </c>
      <c r="G9097" s="6" t="n">
        <f aca="false">Sens!G9095-Sens!G9096</f>
        <v>3.31648946681646</v>
      </c>
      <c r="H9097" s="6" t="n">
        <f aca="false">Sens!H9095-Sens!H9096</f>
        <v>17.5174146066065</v>
      </c>
      <c r="I9097" s="6" t="n">
        <f aca="false">Sens!I9095-Sens!I9096</f>
        <v>92.7478661118888</v>
      </c>
      <c r="J9097" s="6" t="n">
        <f aca="false">Sens!J9095-Sens!J9096</f>
        <v>233.186944248594</v>
      </c>
      <c r="K9097" s="6" t="n">
        <f aca="false">Sens!K9095-Sens!K9096</f>
        <v>401.445464574109</v>
      </c>
    </row>
    <row r="9098" customFormat="false" ht="15" hidden="false" customHeight="false" outlineLevel="0" collapsed="false">
      <c r="A9098" s="1" t="s">
        <v>975</v>
      </c>
      <c r="B9098" s="0" t="s">
        <v>75</v>
      </c>
      <c r="F9098" s="29" t="n">
        <f aca="false">px*(1+bb_g)^(Sens!F8960-base_fy-mid_yr)</f>
        <v>553.494156066711</v>
      </c>
      <c r="G9098" s="29" t="n">
        <f aca="false">px*(1+bb_g)^(Sens!G8960-base_fy-mid_yr)</f>
        <v>597.773688552047</v>
      </c>
      <c r="H9098" s="29" t="n">
        <f aca="false">px*(1+bb_g)^(Sens!H8960-base_fy-mid_yr)</f>
        <v>645.595583636211</v>
      </c>
      <c r="I9098" s="29" t="n">
        <f aca="false">px*(1+bb_g)^(Sens!I8960-base_fy-mid_yr)</f>
        <v>697.243230327108</v>
      </c>
      <c r="J9098" s="29" t="n">
        <f aca="false">px*(1+bb_g)^(Sens!J8960-base_fy-mid_yr)</f>
        <v>753.022688753277</v>
      </c>
      <c r="K9098" s="29" t="n">
        <f aca="false">px*(1+bb_g)^(Sens!K8960-base_fy-mid_yr)</f>
        <v>813.264503853539</v>
      </c>
    </row>
    <row r="9099" customFormat="false" ht="15" hidden="false" customHeight="false" outlineLevel="0" collapsed="false">
      <c r="A9099" s="1" t="s">
        <v>976</v>
      </c>
      <c r="B9099" s="1" t="s">
        <v>81</v>
      </c>
      <c r="E9099" s="14" t="n">
        <f aca="false">sh_out26</f>
        <v>7.427</v>
      </c>
      <c r="F9099" s="14" t="n">
        <f aca="false">Sens!E9099+sh_iss-Sens!F9093/Sens!F9098</f>
        <v>7.472</v>
      </c>
      <c r="G9099" s="14" t="n">
        <f aca="false">Sens!F9099+sh_iss-Sens!G9093/Sens!G9098</f>
        <v>7.51627261035056</v>
      </c>
      <c r="H9099" s="14" t="n">
        <f aca="false">Sens!G9099+sh_iss-Sens!H9093/Sens!H9098</f>
        <v>7.52677578205046</v>
      </c>
      <c r="I9099" s="14" t="n">
        <f aca="false">Sens!H9099+sh_iss-Sens!I9093/Sens!I9098</f>
        <v>7.53983427436519</v>
      </c>
      <c r="J9099" s="14" t="n">
        <f aca="false">Sens!I9099+sh_iss-Sens!J9093/Sens!J9098</f>
        <v>7.55525880428623</v>
      </c>
      <c r="K9099" s="14" t="n">
        <f aca="false">Sens!J9099+sh_iss-Sens!K9093/Sens!K9098</f>
        <v>7.57287410976867</v>
      </c>
    </row>
    <row r="9100" customFormat="false" ht="15" hidden="false" customHeight="false" outlineLevel="0" collapsed="false">
      <c r="A9100" s="1" t="s">
        <v>977</v>
      </c>
      <c r="B9100" s="1" t="s">
        <v>81</v>
      </c>
      <c r="E9100" s="14" t="n">
        <f aca="false">sh_dil26</f>
        <v>7.453</v>
      </c>
      <c r="F9100" s="14" t="n">
        <f aca="false">(Sens!E9099+Sens!F9099)/2+dil_gap</f>
        <v>7.4735</v>
      </c>
      <c r="G9100" s="14" t="n">
        <f aca="false">(Sens!F9099+Sens!G9099)/2+dil_gap</f>
        <v>7.51813630517528</v>
      </c>
      <c r="H9100" s="14" t="n">
        <f aca="false">(Sens!G9099+Sens!H9099)/2+dil_gap</f>
        <v>7.54552419620051</v>
      </c>
      <c r="I9100" s="14" t="n">
        <f aca="false">(Sens!H9099+Sens!I9099)/2+dil_gap</f>
        <v>7.55730502820782</v>
      </c>
      <c r="J9100" s="14" t="n">
        <f aca="false">(Sens!I9099+Sens!J9099)/2+dil_gap</f>
        <v>7.57154653932571</v>
      </c>
      <c r="K9100" s="14" t="n">
        <f aca="false">(Sens!J9099+Sens!K9099)/2+dil_gap</f>
        <v>7.58806645702745</v>
      </c>
    </row>
    <row r="9101" customFormat="false" ht="17.15" hidden="false" customHeight="false" outlineLevel="0" collapsed="false">
      <c r="A9101" s="1" t="s">
        <v>978</v>
      </c>
      <c r="B9101" s="0" t="s">
        <v>98</v>
      </c>
      <c r="C9101" s="6" t="n">
        <f aca="false">SUM(Sens!F9091:J9091)</f>
        <v>269.727758642354</v>
      </c>
    </row>
    <row r="9102" customFormat="false" ht="15" hidden="false" customHeight="false" outlineLevel="0" collapsed="false">
      <c r="A9102" s="23" t="s">
        <v>945</v>
      </c>
      <c r="B9102" s="30" t="s">
        <v>98</v>
      </c>
      <c r="C9102" s="24" t="n">
        <f aca="false">Sens!$C$9101-(Sens!F9091+Sens!G9091+Sens!H9091+Sens!I9091+Sens!J9091)</f>
        <v>0</v>
      </c>
      <c r="D9102" s="30"/>
      <c r="E9102" s="30"/>
      <c r="F9102" s="30"/>
      <c r="G9102" s="30"/>
      <c r="H9102" s="30"/>
      <c r="I9102" s="30"/>
      <c r="J9102" s="30"/>
      <c r="K9102" s="30"/>
    </row>
    <row r="9103" customFormat="false" ht="17.15" hidden="false" customHeight="false" outlineLevel="0" collapsed="false">
      <c r="A9103" s="1" t="s">
        <v>939</v>
      </c>
      <c r="B9103" s="1" t="s">
        <v>979</v>
      </c>
      <c r="C9103" s="32" t="str">
        <f aca="false">IF(SUM(Sens!F9094:J9094)&gt;0.05,"需要舉債 "&amp;TEXT(SUM(Sens!F9094:J9094),"0.0")&amp;" 十億美元","不需舉債")&amp;"；"&amp;IF(SUM(Sens!F9093:J9093)&lt;COUNT(Sens!F9093:J9093)*bb_target-0.05,"回購較每年 "&amp;TEXT(bb_target,"0.0")&amp;" 的目標少 "&amp;TEXT(COUNT(Sens!F9093:J9093)*bb_target-SUM(Sens!F9093:J9093),"0.0")&amp;" 十億美元（"&amp;TEXT(COUNTIF(Sens!F9093:J9093,"&lt;"&amp;(bb_target-0.05)),"0")&amp;" 年減少）","回購不減")</f>
        <v>需要舉債 9.8 十億美元；回購較每年 22.3 的目標少 44.1 十億美元（2 年減少）</v>
      </c>
    </row>
    <row r="9104" customFormat="false" ht="17.15" hidden="false" customHeight="false" outlineLevel="0" collapsed="false">
      <c r="A9104" s="3" t="s">
        <v>1496</v>
      </c>
    </row>
    <row r="9105" customFormat="false" ht="15" hidden="false" customHeight="false" outlineLevel="0" collapsed="false">
      <c r="A9105" s="4" t="s">
        <v>43</v>
      </c>
      <c r="B9105" s="4" t="s">
        <v>65</v>
      </c>
      <c r="C9105" s="20" t="s">
        <v>799</v>
      </c>
      <c r="D9105" s="20" t="s">
        <v>800</v>
      </c>
      <c r="E9105" s="20" t="s">
        <v>801</v>
      </c>
      <c r="F9105" s="20" t="s">
        <v>802</v>
      </c>
      <c r="G9105" s="20" t="s">
        <v>803</v>
      </c>
      <c r="H9105" s="20" t="s">
        <v>804</v>
      </c>
      <c r="I9105" s="20" t="s">
        <v>805</v>
      </c>
      <c r="J9105" s="20" t="s">
        <v>806</v>
      </c>
      <c r="K9105" s="20" t="s">
        <v>807</v>
      </c>
      <c r="L9105" s="4" t="s">
        <v>47</v>
      </c>
    </row>
    <row r="9106" customFormat="false" ht="15" hidden="false" customHeight="false" outlineLevel="0" collapsed="false">
      <c r="A9106" s="1" t="s">
        <v>1057</v>
      </c>
      <c r="B9106" s="1" t="s">
        <v>235</v>
      </c>
      <c r="F9106" s="36" t="n">
        <f aca="false">Sens!F8960-base_fy-mid_yr</f>
        <v>0.5</v>
      </c>
      <c r="G9106" s="36" t="n">
        <f aca="false">Sens!G8960-base_fy-mid_yr</f>
        <v>1.5</v>
      </c>
      <c r="H9106" s="36" t="n">
        <f aca="false">Sens!H8960-base_fy-mid_yr</f>
        <v>2.5</v>
      </c>
      <c r="I9106" s="36" t="n">
        <f aca="false">Sens!I8960-base_fy-mid_yr</f>
        <v>3.5</v>
      </c>
      <c r="J9106" s="36" t="n">
        <f aca="false">Sens!J8960-base_fy-mid_yr</f>
        <v>4.5</v>
      </c>
      <c r="K9106" s="36" t="n">
        <f aca="false">Sens!K8960-base_fy-mid_yr</f>
        <v>5.5</v>
      </c>
    </row>
    <row r="9107" customFormat="false" ht="15" hidden="false" customHeight="false" outlineLevel="0" collapsed="false">
      <c r="A9107" s="1" t="s">
        <v>1058</v>
      </c>
      <c r="B9107" s="0" t="s">
        <v>185</v>
      </c>
      <c r="F9107" s="14" t="n">
        <f aca="false">1/(1+wacc)^Sens!F9106</f>
        <v>0.952193373608246</v>
      </c>
      <c r="G9107" s="14" t="n">
        <f aca="false">1/(1+wacc)^Sens!G9106</f>
        <v>0.863327280626589</v>
      </c>
      <c r="H9107" s="14" t="n">
        <f aca="false">1/(1+wacc)^Sens!H9106</f>
        <v>0.782754862754115</v>
      </c>
      <c r="I9107" s="14" t="n">
        <f aca="false">1/(1+wacc)^Sens!I9106</f>
        <v>0.709702089711011</v>
      </c>
      <c r="J9107" s="14" t="n">
        <f aca="false">1/(1+wacc)^Sens!J9106</f>
        <v>0.643467169744551</v>
      </c>
      <c r="K9107" s="14" t="n">
        <f aca="false">1/(1+wacc)^Sens!K9106</f>
        <v>0.583413807767797</v>
      </c>
    </row>
    <row r="9108" customFormat="false" ht="17.15" hidden="false" customHeight="false" outlineLevel="0" collapsed="false">
      <c r="A9108" s="1" t="s">
        <v>1059</v>
      </c>
      <c r="B9108" s="0" t="s">
        <v>98</v>
      </c>
      <c r="F9108" s="6" t="n">
        <f aca="false">Sens!F9081-Sens!F9079-Sens!F9085+Sens!F9064*(1-tax_f)</f>
        <v>-2.15938266551291</v>
      </c>
      <c r="G9108" s="6" t="n">
        <f aca="false">Sens!G9081-Sens!G9079-Sens!G9085+Sens!G9064*(1-tax_f)</f>
        <v>37.3852435602169</v>
      </c>
      <c r="H9108" s="6" t="n">
        <f aca="false">Sens!H9081-Sens!H9079-Sens!H9085+Sens!H9064*(1-tax_f)</f>
        <v>85.7364727915491</v>
      </c>
      <c r="I9108" s="6" t="n">
        <f aca="false">Sens!I9081-Sens!I9079-Sens!I9085+Sens!I9064*(1-tax_f)</f>
        <v>158.81949492747</v>
      </c>
      <c r="J9108" s="6" t="n">
        <f aca="false">Sens!J9081-Sens!J9079-Sens!J9085+Sens!J9064*(1-tax_f)</f>
        <v>233.423597208549</v>
      </c>
      <c r="K9108" s="6" t="n">
        <f aca="false">Sens!K9081-Sens!K9079-Sens!K9085+Sens!K9064*(1-tax_f)</f>
        <v>267.766981676621</v>
      </c>
      <c r="L9108" s="1" t="s">
        <v>1060</v>
      </c>
    </row>
    <row r="9109" customFormat="false" ht="15" hidden="false" customHeight="false" outlineLevel="0" collapsed="false">
      <c r="A9109" s="1" t="s">
        <v>1061</v>
      </c>
      <c r="B9109" s="0" t="s">
        <v>98</v>
      </c>
      <c r="F9109" s="6" t="n">
        <f aca="false">Sens!F9108*Sens!F9107</f>
        <v>-2.05614986518591</v>
      </c>
      <c r="G9109" s="6" t="n">
        <f aca="false">Sens!G9108*Sens!G9107</f>
        <v>32.2757006584047</v>
      </c>
      <c r="H9109" s="6" t="n">
        <f aca="false">Sens!H9108*Sens!H9107</f>
        <v>67.110640992971</v>
      </c>
      <c r="I9109" s="6" t="n">
        <f aca="false">Sens!I9108*Sens!I9107</f>
        <v>112.714527436872</v>
      </c>
      <c r="J9109" s="6" t="n">
        <f aca="false">Sens!J9108*Sens!J9107</f>
        <v>150.200421447377</v>
      </c>
      <c r="K9109" s="6" t="n">
        <f aca="false">Sens!K9108*Sens!K9107</f>
        <v>156.218954374447</v>
      </c>
    </row>
    <row r="9110" customFormat="false" ht="17.15" hidden="false" customHeight="false" outlineLevel="0" collapsed="false">
      <c r="A9110" s="1" t="s">
        <v>1062</v>
      </c>
      <c r="B9110" s="0" t="s">
        <v>98</v>
      </c>
      <c r="C9110" s="6" t="n">
        <f aca="false">SUM(Sens!F9109:K9109)</f>
        <v>516.464095044886</v>
      </c>
    </row>
    <row r="9111" customFormat="false" ht="17.15" hidden="false" customHeight="false" outlineLevel="0" collapsed="false">
      <c r="A9111" s="1" t="s">
        <v>1063</v>
      </c>
      <c r="B9111" s="0" t="s">
        <v>98</v>
      </c>
      <c r="C9111" s="6" t="n">
        <f aca="false">Sens!K9050*(1+g_tv)*(1-tax_f)</f>
        <v>283.733415926074</v>
      </c>
    </row>
    <row r="9112" customFormat="false" ht="17.15" hidden="false" customHeight="false" outlineLevel="0" collapsed="false">
      <c r="A9112" s="1" t="s">
        <v>1064</v>
      </c>
      <c r="B9112" s="0" t="s">
        <v>98</v>
      </c>
      <c r="C9112" s="6" t="n">
        <f aca="false">Sens!$C$9111*(1-g_tv/(wacc+ronic_prem))</f>
        <v>201.039964405173</v>
      </c>
    </row>
    <row r="9113" customFormat="false" ht="17.15" hidden="false" customHeight="false" outlineLevel="0" collapsed="false">
      <c r="A9113" s="1" t="s">
        <v>1065</v>
      </c>
      <c r="B9113" s="0" t="s">
        <v>98</v>
      </c>
      <c r="C9113" s="6" t="n">
        <f aca="false">Sens!$C$9112/(wacc-g_tv)</f>
        <v>2756.44838403001</v>
      </c>
    </row>
    <row r="9114" customFormat="false" ht="15" hidden="false" customHeight="false" outlineLevel="0" collapsed="false">
      <c r="A9114" s="1" t="s">
        <v>1066</v>
      </c>
      <c r="B9114" s="0" t="s">
        <v>98</v>
      </c>
      <c r="C9114" s="6" t="n">
        <f aca="false">Sens!$C$9113/(1+wacc)^(Sens!K9106+mid_yr)</f>
        <v>1531.26981913282</v>
      </c>
    </row>
    <row r="9115" customFormat="false" ht="17.15" hidden="false" customHeight="false" outlineLevel="0" collapsed="false">
      <c r="A9115" s="0" t="s">
        <v>986</v>
      </c>
      <c r="B9115" s="0" t="s">
        <v>98</v>
      </c>
      <c r="C9115" s="6" t="n">
        <f aca="false">Sens!$C$9110+Sens!$C$9114</f>
        <v>2047.73391417771</v>
      </c>
    </row>
    <row r="9116" customFormat="false" ht="15" hidden="false" customHeight="false" outlineLevel="0" collapsed="false">
      <c r="A9116" s="1" t="s">
        <v>987</v>
      </c>
      <c r="B9116" s="0" t="s">
        <v>129</v>
      </c>
      <c r="C9116" s="7" t="n">
        <f aca="false">Sens!$C$9114/Sens!$C$9115</f>
        <v>0.747787497453116</v>
      </c>
    </row>
    <row r="9117" customFormat="false" ht="17.15" hidden="false" customHeight="false" outlineLevel="0" collapsed="false">
      <c r="A9117" s="1" t="s">
        <v>1067</v>
      </c>
      <c r="B9117" s="0" t="s">
        <v>98</v>
      </c>
      <c r="C9117" s="6" t="n">
        <f aca="false">Sens!$C$9115+Sens!E9097-Sens!E9086+oai_v</f>
        <v>2182.24691417771</v>
      </c>
    </row>
    <row r="9118" customFormat="false" ht="17.15" hidden="false" customHeight="false" outlineLevel="0" collapsed="false">
      <c r="A9118" s="0" t="s">
        <v>994</v>
      </c>
      <c r="B9118" s="0" t="s">
        <v>75</v>
      </c>
      <c r="C9118" s="5" t="n">
        <f aca="false">Sens!$C$9117/sh_dil26</f>
        <v>292.801142382625</v>
      </c>
    </row>
    <row r="9119" customFormat="false" ht="15" hidden="false" customHeight="false" outlineLevel="0" collapsed="false">
      <c r="A9119" s="1" t="s">
        <v>1068</v>
      </c>
      <c r="B9119" s="0" t="s">
        <v>75</v>
      </c>
      <c r="C9119" s="8" t="n">
        <f aca="false">dps_27+Sens!G9089*roll_div_q/q_per_yr</f>
        <v>4.8895</v>
      </c>
    </row>
    <row r="9120" customFormat="false" ht="17.15" hidden="false" customHeight="false" outlineLevel="0" collapsed="false">
      <c r="A9120" s="0" t="s">
        <v>1069</v>
      </c>
      <c r="B9120" s="0" t="s">
        <v>75</v>
      </c>
      <c r="C9120" s="5" t="n">
        <f aca="false">Sens!$C$9118*(1+wacc)^t_roll-Sens!$C$9119</f>
        <v>328.532937322377</v>
      </c>
    </row>
    <row r="9121" customFormat="false" ht="17.15" hidden="false" customHeight="false" outlineLevel="0" collapsed="false">
      <c r="A9121" s="1" t="s">
        <v>1070</v>
      </c>
      <c r="B9121" s="0" t="s">
        <v>129</v>
      </c>
      <c r="F9121" s="7" t="n">
        <f aca="false">Sens!F9076/(Sens!F9021-Sens!F8977)</f>
        <v>0.0708631786174734</v>
      </c>
      <c r="G9121" s="7" t="n">
        <f aca="false">Sens!G9076/(Sens!G9021-Sens!G8977)</f>
        <v>0.0676429422376308</v>
      </c>
      <c r="H9121" s="7" t="n">
        <f aca="false">Sens!H9076/(Sens!H9021-Sens!H8977)</f>
        <v>0.0658788504364829</v>
      </c>
      <c r="I9121" s="7" t="n">
        <f aca="false">Sens!I9076/(Sens!I9021-Sens!I8977)</f>
        <v>0.0654310901593495</v>
      </c>
      <c r="J9121" s="7" t="n">
        <f aca="false">Sens!J9076/(Sens!J9021-Sens!J8977)</f>
        <v>0.0659990362548337</v>
      </c>
      <c r="K9121" s="7" t="n">
        <f aca="false">Sens!K9076/(Sens!K9021-Sens!K8977)</f>
        <v>0.0672199405531253</v>
      </c>
    </row>
    <row r="9122" customFormat="false" ht="17.15" hidden="false" customHeight="false" outlineLevel="0" collapsed="false">
      <c r="A9122" s="0" t="s">
        <v>1071</v>
      </c>
      <c r="B9122" s="0" t="s">
        <v>98</v>
      </c>
      <c r="F9122" s="6" t="n">
        <f aca="false">Sens!F9006*(al_m365+Sens!F9121+sbc_r)</f>
        <v>84.2050300970252</v>
      </c>
      <c r="G9122" s="6" t="n">
        <f aca="false">Sens!G9006*(al_m365+Sens!G9121+sbc_r)</f>
        <v>96.6196372707344</v>
      </c>
      <c r="H9122" s="6" t="n">
        <f aca="false">Sens!H9006*(al_m365+Sens!H9121+sbc_r)</f>
        <v>109.200578830569</v>
      </c>
      <c r="I9122" s="6" t="n">
        <f aca="false">Sens!I9006*(al_m365+Sens!I9121+sbc_r)</f>
        <v>120.767304981484</v>
      </c>
      <c r="J9122" s="6" t="n">
        <f aca="false">Sens!J9006*(al_m365+Sens!J9121+sbc_r)</f>
        <v>131.133336951508</v>
      </c>
      <c r="K9122" s="6" t="n">
        <f aca="false">Sens!K9006*(al_m365+Sens!K9121+sbc_r)</f>
        <v>141.116379189175</v>
      </c>
      <c r="L9122" s="11" t="s">
        <v>1072</v>
      </c>
    </row>
    <row r="9123" customFormat="false" ht="17.15" hidden="false" customHeight="false" outlineLevel="0" collapsed="false">
      <c r="A9123" s="0" t="s">
        <v>1073</v>
      </c>
      <c r="B9123" s="0" t="s">
        <v>98</v>
      </c>
      <c r="F9123" s="6" t="n">
        <f aca="false">Sens!F9007*(al_lic+Sens!F9121+sbc_r)</f>
        <v>33.5334501265205</v>
      </c>
      <c r="G9123" s="6" t="n">
        <f aca="false">Sens!G9007*(al_lic+Sens!G9121+sbc_r)</f>
        <v>34.822251008292</v>
      </c>
      <c r="H9123" s="6" t="n">
        <f aca="false">Sens!H9007*(al_lic+Sens!H9121+sbc_r)</f>
        <v>36.0277685060386</v>
      </c>
      <c r="I9123" s="6" t="n">
        <f aca="false">Sens!I9007*(al_lic+Sens!I9121+sbc_r)</f>
        <v>37.131335886287</v>
      </c>
      <c r="J9123" s="6" t="n">
        <f aca="false">Sens!J9007*(al_lic+Sens!J9121+sbc_r)</f>
        <v>38.1067418696104</v>
      </c>
      <c r="K9123" s="6" t="n">
        <f aca="false">Sens!K9007*(al_lic+Sens!K9121+sbc_r)</f>
        <v>38.9244850976644</v>
      </c>
    </row>
    <row r="9124" customFormat="false" ht="17.15" hidden="false" customHeight="false" outlineLevel="0" collapsed="false">
      <c r="A9124" s="0" t="s">
        <v>1074</v>
      </c>
      <c r="B9124" s="0" t="s">
        <v>98</v>
      </c>
      <c r="F9124" s="6" t="n">
        <f aca="false">Sens!F9009*(al_ind+Sens!F9121+sbc_r)</f>
        <v>9.12724051001595</v>
      </c>
      <c r="G9124" s="6" t="n">
        <f aca="false">Sens!G9009*(al_ind+Sens!G9121+sbc_r)</f>
        <v>9.89850493299666</v>
      </c>
      <c r="H9124" s="6" t="n">
        <f aca="false">Sens!H9009*(al_ind+Sens!H9121+sbc_r)</f>
        <v>10.7161908633394</v>
      </c>
      <c r="I9124" s="6" t="n">
        <f aca="false">Sens!I9009*(al_ind+Sens!I9121+sbc_r)</f>
        <v>11.5773552473488</v>
      </c>
      <c r="J9124" s="6" t="n">
        <f aca="false">Sens!J9009*(al_ind+Sens!J9121+sbc_r)</f>
        <v>12.4722590592023</v>
      </c>
      <c r="K9124" s="6" t="n">
        <f aca="false">Sens!K9009*(al_ind+Sens!K9121+sbc_r)</f>
        <v>13.3857091056674</v>
      </c>
    </row>
    <row r="9125" customFormat="false" ht="17.15" hidden="false" customHeight="false" outlineLevel="0" collapsed="false">
      <c r="A9125" s="0" t="s">
        <v>1075</v>
      </c>
      <c r="B9125" s="0" t="s">
        <v>98</v>
      </c>
      <c r="F9125" s="6" t="n">
        <f aca="false">Sens!F9011*(al_fro+Sens!F9121+sbc_r)</f>
        <v>3.59251390866677</v>
      </c>
      <c r="G9125" s="6" t="n">
        <f aca="false">Sens!G9011*(al_fro+Sens!G9121+sbc_r)</f>
        <v>3.80044067809475</v>
      </c>
      <c r="H9125" s="6" t="n">
        <f aca="false">Sens!H9011*(al_fro+Sens!H9121+sbc_r)</f>
        <v>4.03822750630589</v>
      </c>
      <c r="I9125" s="6" t="n">
        <f aca="false">Sens!I9011*(al_fro+Sens!I9121+sbc_r)</f>
        <v>4.30862043043472</v>
      </c>
      <c r="J9125" s="6" t="n">
        <f aca="false">Sens!J9011*(al_fro+Sens!J9121+sbc_r)</f>
        <v>4.61272070811928</v>
      </c>
      <c r="K9125" s="6" t="n">
        <f aca="false">Sens!K9011*(al_fro+Sens!K9121+sbc_r)</f>
        <v>4.95054963912225</v>
      </c>
    </row>
    <row r="9126" customFormat="false" ht="17.15" hidden="false" customHeight="false" outlineLevel="0" collapsed="false">
      <c r="A9126" s="0" t="s">
        <v>1076</v>
      </c>
      <c r="B9126" s="0" t="s">
        <v>98</v>
      </c>
      <c r="F9126" s="6" t="n">
        <f aca="false">Sens!F9014*(al_srch+Sens!F9121+sbc_r)</f>
        <v>11.2215799828768</v>
      </c>
      <c r="G9126" s="6" t="n">
        <f aca="false">Sens!G9014*(al_srch+Sens!G9121+sbc_r)</f>
        <v>12.1733153121279</v>
      </c>
      <c r="H9126" s="6" t="n">
        <f aca="false">Sens!H9014*(al_srch+Sens!H9121+sbc_r)</f>
        <v>13.0908691028321</v>
      </c>
      <c r="I9126" s="6" t="n">
        <f aca="false">Sens!I9014*(al_srch+Sens!I9121+sbc_r)</f>
        <v>13.9487734316915</v>
      </c>
      <c r="J9126" s="6" t="n">
        <f aca="false">Sens!J9014*(al_srch+Sens!J9121+sbc_r)</f>
        <v>14.7137893787622</v>
      </c>
      <c r="K9126" s="6" t="n">
        <f aca="false">Sens!K9014*(al_srch+Sens!K9121+sbc_r)</f>
        <v>15.3486561373708</v>
      </c>
    </row>
    <row r="9127" customFormat="false" ht="17.15" hidden="false" customHeight="false" outlineLevel="0" collapsed="false">
      <c r="A9127" s="0" t="s">
        <v>1077</v>
      </c>
      <c r="B9127" s="0" t="s">
        <v>98</v>
      </c>
      <c r="F9127" s="6" t="n">
        <f aca="false">Sens!F8983-Sens!F8984+Sens!F9064</f>
        <v>42.2254306726393</v>
      </c>
      <c r="G9127" s="6" t="n">
        <f aca="false">Sens!G8983-Sens!G8984+Sens!G9064</f>
        <v>79.7027537443441</v>
      </c>
      <c r="H9127" s="6" t="n">
        <f aca="false">Sens!H8983-Sens!H8984+Sens!H9064</f>
        <v>120.060533679822</v>
      </c>
      <c r="I9127" s="6" t="n">
        <f aca="false">Sens!I8983-Sens!I8984+Sens!I9064</f>
        <v>156.515256506302</v>
      </c>
      <c r="J9127" s="6" t="n">
        <f aca="false">Sens!J8983-Sens!J8984+Sens!J9064</f>
        <v>182.51821819491</v>
      </c>
      <c r="K9127" s="6" t="n">
        <f aca="false">Sens!K8983-Sens!K8984+Sens!K9064</f>
        <v>199.254533496123</v>
      </c>
    </row>
    <row r="9128" customFormat="false" ht="17.15" hidden="false" customHeight="false" outlineLevel="0" collapsed="false">
      <c r="A9128" s="0" t="s">
        <v>1078</v>
      </c>
      <c r="B9128" s="0" t="s">
        <v>98</v>
      </c>
      <c r="F9128" s="6" t="n">
        <f aca="false">Sens!F9043+Sens!F9064+Sens!F8994+Sens!F9121*(Sens!F9013-Sens!F8977)+sbc_r*Sens!F9013</f>
        <v>233.088637962577</v>
      </c>
      <c r="G9128" s="6" t="n">
        <f aca="false">Sens!G9043+Sens!G9064+Sens!G8994+Sens!G9121*(Sens!G9013-Sens!G8977)+sbc_r*Sens!G9013</f>
        <v>297.682586545152</v>
      </c>
      <c r="H9128" s="6" t="n">
        <f aca="false">Sens!H9043+Sens!H9064+Sens!H8994+Sens!H9121*(Sens!H9013-Sens!H8977)+sbc_r*Sens!H9013</f>
        <v>365.668591021199</v>
      </c>
      <c r="I9128" s="6" t="n">
        <f aca="false">Sens!I9043+Sens!I9064+Sens!I8994+Sens!I9121*(Sens!I9013-Sens!I8977)+sbc_r*Sens!I9013</f>
        <v>428.389514269446</v>
      </c>
      <c r="J9128" s="6" t="n">
        <f aca="false">Sens!J9043+Sens!J9064+Sens!J8994+Sens!J9121*(Sens!J9013-Sens!J8977)+sbc_r*Sens!J9013</f>
        <v>478.239055066778</v>
      </c>
      <c r="K9128" s="6" t="n">
        <f aca="false">Sens!K9043+Sens!K9064+Sens!K8994+Sens!K9121*(Sens!K9013-Sens!K8977)+sbc_r*Sens!K9013</f>
        <v>516.486776477345</v>
      </c>
    </row>
    <row r="9129" customFormat="false" ht="17.15" hidden="false" customHeight="false" outlineLevel="0" collapsed="false">
      <c r="A9129" s="0" t="s">
        <v>1079</v>
      </c>
      <c r="B9129" s="0" t="s">
        <v>98</v>
      </c>
      <c r="F9129" s="6" t="n">
        <f aca="false">Sens!F9128-Sens!F9122-Sens!F9123-Sens!F9124-Sens!F9125-Sens!F9127</f>
        <v>60.4049726477095</v>
      </c>
      <c r="G9129" s="6" t="n">
        <f aca="false">Sens!G9128-Sens!G9122-Sens!G9123-Sens!G9124-Sens!G9125-Sens!G9127</f>
        <v>72.8389989106898</v>
      </c>
      <c r="H9129" s="6" t="n">
        <f aca="false">Sens!H9128-Sens!H9122-Sens!H9123-Sens!H9124-Sens!H9125-Sens!H9127</f>
        <v>85.6252916351247</v>
      </c>
      <c r="I9129" s="6" t="n">
        <f aca="false">Sens!I9128-Sens!I9122-Sens!I9123-Sens!I9124-Sens!I9125-Sens!I9127</f>
        <v>98.0896412175899</v>
      </c>
      <c r="J9129" s="6" t="n">
        <f aca="false">Sens!J9128-Sens!J9122-Sens!J9123-Sens!J9124-Sens!J9125-Sens!J9127</f>
        <v>109.395778283428</v>
      </c>
      <c r="K9129" s="6" t="n">
        <f aca="false">Sens!K9128-Sens!K9122-Sens!K9123-Sens!K9124-Sens!K9125-Sens!K9127</f>
        <v>118.855119949593</v>
      </c>
    </row>
    <row r="9130" customFormat="false" ht="17.15" hidden="false" customHeight="false" outlineLevel="0" collapsed="false">
      <c r="A9130" s="0" t="s">
        <v>1080</v>
      </c>
      <c r="B9130" s="0" t="s">
        <v>98</v>
      </c>
      <c r="F9130" s="6" t="n">
        <f aca="false">Sens!F9045+Sens!F9121*Sens!F9020+sbc_r*Sens!F9020</f>
        <v>26.2965286134167</v>
      </c>
      <c r="G9130" s="6" t="n">
        <f aca="false">Sens!G9045+Sens!G9121*Sens!G9020+sbc_r*Sens!G9020</f>
        <v>26.767676073744</v>
      </c>
      <c r="H9130" s="6" t="n">
        <f aca="false">Sens!H9045+Sens!H9121*Sens!H9020+sbc_r*Sens!H9020</f>
        <v>27.4335252749826</v>
      </c>
      <c r="I9130" s="6" t="n">
        <f aca="false">Sens!I9045+Sens!I9121*Sens!I9020+sbc_r*Sens!I9020</f>
        <v>28.2483233543645</v>
      </c>
      <c r="J9130" s="6" t="n">
        <f aca="false">Sens!J9045+Sens!J9121*Sens!J9020+sbc_r*Sens!J9020</f>
        <v>29.1627153856394</v>
      </c>
      <c r="K9130" s="6" t="n">
        <f aca="false">Sens!K9045+Sens!K9121*Sens!K9020+sbc_r*Sens!K9020</f>
        <v>30.1292554769248</v>
      </c>
    </row>
    <row r="9131" customFormat="false" ht="17.15" hidden="false" customHeight="false" outlineLevel="0" collapsed="false">
      <c r="A9131" s="0" t="s">
        <v>1081</v>
      </c>
      <c r="B9131" s="0" t="s">
        <v>98</v>
      </c>
      <c r="F9131" s="6" t="n">
        <f aca="false">(Sens!F9130-Sens!F9126)*Sens!F9016/(Sens!F9016+Sens!F9018)</f>
        <v>8.26394001138986</v>
      </c>
      <c r="G9131" s="6" t="n">
        <f aca="false">(Sens!G9130-Sens!G9126)*Sens!G9016/(Sens!G9016+Sens!G9018)</f>
        <v>7.85783825240779</v>
      </c>
      <c r="H9131" s="6" t="n">
        <f aca="false">(Sens!H9130-Sens!H9126)*Sens!H9016/(Sens!H9016+Sens!H9018)</f>
        <v>7.61800086859437</v>
      </c>
      <c r="I9131" s="6" t="n">
        <f aca="false">(Sens!I9130-Sens!I9126)*Sens!I9016/(Sens!I9016+Sens!I9018)</f>
        <v>7.52638467825689</v>
      </c>
      <c r="J9131" s="6" t="n">
        <f aca="false">(Sens!J9130-Sens!J9126)*Sens!J9016/(Sens!J9016+Sens!J9018)</f>
        <v>7.57061730365822</v>
      </c>
      <c r="K9131" s="6" t="n">
        <f aca="false">(Sens!K9130-Sens!K9126)*Sens!K9016/(Sens!K9016+Sens!K9018)</f>
        <v>7.74439989970239</v>
      </c>
    </row>
    <row r="9132" customFormat="false" ht="17.15" hidden="false" customHeight="false" outlineLevel="0" collapsed="false">
      <c r="A9132" s="0" t="s">
        <v>1082</v>
      </c>
      <c r="B9132" s="0" t="s">
        <v>98</v>
      </c>
      <c r="F9132" s="6" t="n">
        <f aca="false">Sens!F9130-Sens!F9126-Sens!F9131</f>
        <v>6.81100861915006</v>
      </c>
      <c r="G9132" s="6" t="n">
        <f aca="false">Sens!G9130-Sens!G9126-Sens!G9131</f>
        <v>6.7365225092083</v>
      </c>
      <c r="H9132" s="6" t="n">
        <f aca="false">Sens!H9130-Sens!H9126-Sens!H9131</f>
        <v>6.72465530355612</v>
      </c>
      <c r="I9132" s="6" t="n">
        <f aca="false">Sens!I9130-Sens!I9126-Sens!I9131</f>
        <v>6.77316524441612</v>
      </c>
      <c r="J9132" s="6" t="n">
        <f aca="false">Sens!J9130-Sens!J9126-Sens!J9131</f>
        <v>6.87830870321901</v>
      </c>
      <c r="K9132" s="6" t="n">
        <f aca="false">Sens!K9130-Sens!K9126-Sens!K9131</f>
        <v>7.03619943985167</v>
      </c>
    </row>
    <row r="9133" customFormat="false" ht="17.15" hidden="false" customHeight="false" outlineLevel="0" collapsed="false">
      <c r="A9133" s="0" t="s">
        <v>1083</v>
      </c>
      <c r="B9133" s="0" t="s">
        <v>98</v>
      </c>
      <c r="F9133" s="6" t="n">
        <f aca="false">Sens!F9127-tax_f*(Sens!F9127-Sens!F8994)-Sens!F8991</f>
        <v>-119.742553857164</v>
      </c>
      <c r="G9133" s="6" t="n">
        <f aca="false">Sens!G9127-tax_f*(Sens!G9127-Sens!G8994)-Sens!G8991</f>
        <v>-107.986890065622</v>
      </c>
      <c r="H9133" s="6" t="n">
        <f aca="false">Sens!H9127-tax_f*(Sens!H9127-Sens!H8994)-Sens!H8991</f>
        <v>-74.7596549978803</v>
      </c>
      <c r="I9133" s="6" t="n">
        <f aca="false">Sens!I9127-tax_f*(Sens!I9127-Sens!I8994)-Sens!I8991</f>
        <v>-16.3733151827256</v>
      </c>
      <c r="J9133" s="6" t="n">
        <f aca="false">Sens!J9127-tax_f*(Sens!J9127-Sens!J8994)-Sens!J8991</f>
        <v>44.4328025322546</v>
      </c>
      <c r="K9133" s="6" t="n">
        <f aca="false">Sens!K9127-tax_f*(Sens!K9127-Sens!K8994)-Sens!K8991</f>
        <v>65.8225043021697</v>
      </c>
    </row>
    <row r="9134" customFormat="false" ht="17.15" hidden="false" customHeight="false" outlineLevel="0" collapsed="false">
      <c r="A9134" s="0" t="s">
        <v>1084</v>
      </c>
      <c r="B9134" s="0" t="s">
        <v>98</v>
      </c>
      <c r="G9134" s="6" t="n">
        <f aca="false">Sens!G9133/(1+wacc)^(Sens!G9106-(Sens!F9106+mid_yr))</f>
        <v>-102.824401157048</v>
      </c>
      <c r="H9134" s="6" t="n">
        <f aca="false">Sens!H9133/(1+wacc)^(Sens!H9106-(Sens!F9106+mid_yr))</f>
        <v>-64.5420496499019</v>
      </c>
      <c r="I9134" s="6" t="n">
        <f aca="false">Sens!I9133/(1+wacc)^(Sens!I9106-(Sens!F9106+mid_yr))</f>
        <v>-12.8162920786843</v>
      </c>
      <c r="J9134" s="6" t="n">
        <f aca="false">Sens!J9133/(1+wacc)^(Sens!J9106-(Sens!F9106+mid_yr))</f>
        <v>31.5340528088578</v>
      </c>
      <c r="K9134" s="6" t="n">
        <f aca="false">Sens!K9133/(1+wacc)^(Sens!K9106-(Sens!F9106+mid_yr))</f>
        <v>42.3546205488157</v>
      </c>
      <c r="L9134" s="1" t="s">
        <v>1085</v>
      </c>
    </row>
    <row r="9135" customFormat="false" ht="17.15" hidden="false" customHeight="false" outlineLevel="0" collapsed="false">
      <c r="A9135" s="0" t="s">
        <v>1086</v>
      </c>
      <c r="B9135" s="0" t="s">
        <v>98</v>
      </c>
      <c r="C9135" s="6" t="n">
        <f aca="false">(Sens!K9127-Sens!K8994)*(1-tax_f)*(1+g_tv)*(1-g_tv/(wacc+ronic_prem))/(wacc-g_tv)/(1+wacc)^(Sens!K9106+mid_yr-(Sens!F9106+mid_yr))</f>
        <v>294.889481980532</v>
      </c>
    </row>
    <row r="9136" customFormat="false" ht="17.15" hidden="false" customHeight="false" outlineLevel="0" collapsed="false">
      <c r="A9136" s="1" t="s">
        <v>1087</v>
      </c>
      <c r="B9136" s="0" t="s">
        <v>98</v>
      </c>
      <c r="C9136" s="6" t="n">
        <f aca="false">(SUM(Sens!G9134:K9134)+Sens!$C$9135)*(1+wacc)^(t_roll-(Sens!F9106+mid_yr))</f>
        <v>194.716829358755</v>
      </c>
      <c r="L9136" s="11" t="s">
        <v>1088</v>
      </c>
    </row>
    <row r="9137" customFormat="false" ht="17.15" hidden="false" customHeight="false" outlineLevel="0" collapsed="false">
      <c r="A9137" s="1" t="s">
        <v>1089</v>
      </c>
      <c r="B9137" s="0" t="s">
        <v>98</v>
      </c>
      <c r="C9137" s="6" t="n">
        <f aca="false">(w_ntm28*Sens!G8983+(1-w_ntm28)*Sens!H8983)*m_ai</f>
        <v>454.922440830797</v>
      </c>
    </row>
    <row r="9138" customFormat="false" ht="17.15" hidden="false" customHeight="false" outlineLevel="0" collapsed="false">
      <c r="A9138" s="1" t="s">
        <v>1090</v>
      </c>
      <c r="B9138" s="0" t="s">
        <v>98</v>
      </c>
      <c r="C9138" s="6" t="n">
        <f aca="false">(w_ntm28*Sens!G9129+(1-w_ntm28)*Sens!H9129)*m_cloud</f>
        <v>1063.76201898217</v>
      </c>
    </row>
    <row r="9139" customFormat="false" ht="17.15" hidden="false" customHeight="false" outlineLevel="0" collapsed="false">
      <c r="A9139" s="1" t="s">
        <v>1091</v>
      </c>
      <c r="B9139" s="0" t="s">
        <v>98</v>
      </c>
      <c r="C9139" s="6" t="n">
        <f aca="false">(w_ntm28*Sens!G9122+(1-w_ntm28)*Sens!H9122)*m_sw</f>
        <v>1087.41852615093</v>
      </c>
    </row>
    <row r="9140" customFormat="false" ht="17.15" hidden="false" customHeight="false" outlineLevel="0" collapsed="false">
      <c r="A9140" s="1" t="s">
        <v>1092</v>
      </c>
      <c r="B9140" s="0" t="s">
        <v>98</v>
      </c>
      <c r="C9140" s="6" t="n">
        <f aca="false">(w_ntm28*Sens!G9123+(1-w_ntm28)*Sens!H9123)*m_sw</f>
        <v>380.289383489905</v>
      </c>
    </row>
    <row r="9141" customFormat="false" ht="17.15" hidden="false" customHeight="false" outlineLevel="0" collapsed="false">
      <c r="A9141" s="1" t="s">
        <v>1093</v>
      </c>
      <c r="B9141" s="0" t="s">
        <v>98</v>
      </c>
      <c r="C9141" s="6" t="n">
        <f aca="false">(w_ntm28*Sens!G9124+(1-w_ntm28)*Sens!H9124)*m_sw</f>
        <v>109.758809302744</v>
      </c>
    </row>
    <row r="9142" customFormat="false" ht="17.15" hidden="false" customHeight="false" outlineLevel="0" collapsed="false">
      <c r="A9142" s="1" t="s">
        <v>1094</v>
      </c>
      <c r="B9142" s="0" t="s">
        <v>98</v>
      </c>
      <c r="C9142" s="6" t="n">
        <f aca="false">(w_ntm28*Sens!G9125+(1-w_ntm28)*Sens!H9125)*m_sw</f>
        <v>41.8749936627994</v>
      </c>
    </row>
    <row r="9143" customFormat="false" ht="17.15" hidden="false" customHeight="false" outlineLevel="0" collapsed="false">
      <c r="A9143" s="1" t="s">
        <v>1095</v>
      </c>
      <c r="B9143" s="0" t="s">
        <v>98</v>
      </c>
      <c r="C9143" s="6" t="n">
        <f aca="false">(w_ntm28*Sens!G9126+(1-w_ntm28)*Sens!H9126)*m_ads</f>
        <v>113.601236668639</v>
      </c>
    </row>
    <row r="9144" customFormat="false" ht="17.15" hidden="false" customHeight="false" outlineLevel="0" collapsed="false">
      <c r="A9144" s="1" t="s">
        <v>1096</v>
      </c>
      <c r="B9144" s="0" t="s">
        <v>98</v>
      </c>
      <c r="C9144" s="6" t="n">
        <f aca="false">(w_ntm28*Sens!G9131+(1-w_ntm28)*Sens!H9131)*m_game</f>
        <v>98.2652115208077</v>
      </c>
    </row>
    <row r="9145" customFormat="false" ht="17.15" hidden="false" customHeight="false" outlineLevel="0" collapsed="false">
      <c r="A9145" s="1" t="s">
        <v>1097</v>
      </c>
      <c r="B9145" s="0" t="s">
        <v>98</v>
      </c>
      <c r="C9145" s="6" t="n">
        <f aca="false">(w_ntm28*Sens!G9132+(1-w_ntm28)*Sens!H9132)*m_pc</f>
        <v>97.4219662453321</v>
      </c>
    </row>
    <row r="9146" customFormat="false" ht="17.15" hidden="false" customHeight="false" outlineLevel="0" collapsed="false">
      <c r="A9146" s="1" t="s">
        <v>1098</v>
      </c>
      <c r="B9146" s="0" t="s">
        <v>98</v>
      </c>
      <c r="C9146" s="6" t="n">
        <f aca="false">Sens!$C$9136+Sens!$C$9138+Sens!$C$9139+Sens!$C$9140+Sens!$C$9141+Sens!$C$9142+Sens!$C$9143+Sens!$C$9144+Sens!$C$9145</f>
        <v>3187.10897538208</v>
      </c>
    </row>
    <row r="9147" customFormat="false" ht="17.15" hidden="false" customHeight="false" outlineLevel="0" collapsed="false">
      <c r="A9147" s="1" t="s">
        <v>1099</v>
      </c>
      <c r="B9147" s="0" t="s">
        <v>98</v>
      </c>
      <c r="C9147" s="6" t="n">
        <f aca="false">(Sens!G9108-Sens!G9133)*t_stub</f>
        <v>47.3952983602051</v>
      </c>
      <c r="L9147" s="1" t="s">
        <v>1100</v>
      </c>
    </row>
    <row r="9148" customFormat="false" ht="17.15" hidden="false" customHeight="false" outlineLevel="0" collapsed="false">
      <c r="A9148" s="1" t="s">
        <v>1014</v>
      </c>
      <c r="B9148" s="0" t="s">
        <v>98</v>
      </c>
      <c r="C9148" s="6" t="n">
        <f aca="false">Sens!F9097+oai_v-Sens!F9086+Sens!$C$9147</f>
        <v>158.642057827022</v>
      </c>
      <c r="L9148" s="1" t="s">
        <v>1101</v>
      </c>
    </row>
    <row r="9149" customFormat="false" ht="17.15" hidden="false" customHeight="false" outlineLevel="0" collapsed="false">
      <c r="A9149" s="1" t="s">
        <v>1102</v>
      </c>
      <c r="B9149" s="0" t="s">
        <v>75</v>
      </c>
      <c r="C9149" s="5" t="n">
        <f aca="false">(Sens!$C$9146+Sens!$C$9148)/(Sens!F9099+dil_gap)-Sens!G9089*roll_div_q/q_per_yr</f>
        <v>445.298684793103</v>
      </c>
      <c r="L9149" s="1" t="s">
        <v>1103</v>
      </c>
    </row>
    <row r="9150" customFormat="false" ht="17.15" hidden="false" customHeight="false" outlineLevel="0" collapsed="false">
      <c r="A9150" s="1" t="s">
        <v>1104</v>
      </c>
      <c r="B9150" s="0" t="s">
        <v>75</v>
      </c>
      <c r="C9150" s="5" t="n">
        <f aca="false">w_dcf*Sens!$C$9120+(1-w_dcf)*Sens!$C$9149</f>
        <v>386.91581105774</v>
      </c>
    </row>
    <row r="9151" customFormat="false" ht="17.15" hidden="false" customHeight="false" outlineLevel="0" collapsed="false">
      <c r="A9151" s="3" t="s">
        <v>1497</v>
      </c>
    </row>
    <row r="9152" customFormat="false" ht="15" hidden="false" customHeight="false" outlineLevel="0" collapsed="false">
      <c r="A9152" s="4" t="s">
        <v>43</v>
      </c>
      <c r="B9152" s="4" t="s">
        <v>65</v>
      </c>
      <c r="C9152" s="20" t="s">
        <v>799</v>
      </c>
      <c r="D9152" s="20" t="s">
        <v>800</v>
      </c>
      <c r="E9152" s="20" t="s">
        <v>801</v>
      </c>
      <c r="F9152" s="20" t="s">
        <v>802</v>
      </c>
      <c r="G9152" s="20" t="s">
        <v>803</v>
      </c>
      <c r="H9152" s="20" t="s">
        <v>804</v>
      </c>
      <c r="I9152" s="20" t="s">
        <v>805</v>
      </c>
      <c r="J9152" s="20" t="s">
        <v>806</v>
      </c>
      <c r="K9152" s="20" t="s">
        <v>807</v>
      </c>
      <c r="L9152" s="4" t="s">
        <v>47</v>
      </c>
    </row>
    <row r="9153" customFormat="false" ht="17.15" hidden="false" customHeight="false" outlineLevel="0" collapsed="false">
      <c r="A9153" s="1" t="s">
        <v>808</v>
      </c>
      <c r="B9153" s="1" t="s">
        <v>235</v>
      </c>
      <c r="C9153" s="28" t="n">
        <v>2024</v>
      </c>
      <c r="D9153" s="28" t="n">
        <v>2025</v>
      </c>
      <c r="E9153" s="28" t="n">
        <v>2026</v>
      </c>
      <c r="F9153" s="28" t="n">
        <v>2027</v>
      </c>
      <c r="G9153" s="28" t="n">
        <v>2028</v>
      </c>
      <c r="H9153" s="28" t="n">
        <v>2029</v>
      </c>
      <c r="I9153" s="28" t="n">
        <v>2030</v>
      </c>
      <c r="J9153" s="28" t="n">
        <v>2031</v>
      </c>
      <c r="K9153" s="28" t="n">
        <v>2032</v>
      </c>
    </row>
    <row r="9154" customFormat="false" ht="17.15" hidden="false" customHeight="false" outlineLevel="0" collapsed="false">
      <c r="A9154" s="1" t="s">
        <v>809</v>
      </c>
      <c r="B9154" s="0" t="s">
        <v>399</v>
      </c>
      <c r="F9154" s="29" t="n">
        <f aca="false">pace</f>
        <v>2527.2</v>
      </c>
      <c r="G9154" s="29" t="n">
        <f aca="false">pace</f>
        <v>2527.2</v>
      </c>
      <c r="H9154" s="29" t="n">
        <f aca="false">pace</f>
        <v>2527.2</v>
      </c>
      <c r="I9154" s="29" t="n">
        <f aca="false">pace+(g_tv*Sens!H9155-pace)*MIN(1,(Sens!I9153-pace_y0)/(pace_y1-pace_y0))</f>
        <v>1793.116</v>
      </c>
      <c r="J9154" s="29" t="n">
        <f aca="false">pace+(g_tv*Sens!I9155-pace)*MIN(1,(Sens!J9153-pace_y0)/(pace_y1-pace_y0))</f>
        <v>1094.89432</v>
      </c>
      <c r="K9154" s="29" t="n">
        <f aca="false">pace+(g_tv*Sens!J9155-pace)*MIN(1,(Sens!K9153-pace_y0)/(pace_y1-pace_y0))</f>
        <v>411.5883096</v>
      </c>
      <c r="L9154" s="11" t="s">
        <v>810</v>
      </c>
    </row>
    <row r="9155" customFormat="false" ht="17.15" hidden="false" customHeight="false" outlineLevel="0" collapsed="false">
      <c r="A9155" s="1" t="s">
        <v>811</v>
      </c>
      <c r="B9155" s="0" t="s">
        <v>399</v>
      </c>
      <c r="C9155" s="29" t="n">
        <f aca="false">mw_ext_24</f>
        <v>640</v>
      </c>
      <c r="D9155" s="29" t="n">
        <f aca="false">mw_ext_25</f>
        <v>1630</v>
      </c>
      <c r="E9155" s="29" t="n">
        <f aca="false">mw_ext_26</f>
        <v>3250</v>
      </c>
      <c r="F9155" s="29" t="n">
        <f aca="false">Sens!E9155+Sens!F9154</f>
        <v>5777.2</v>
      </c>
      <c r="G9155" s="29" t="n">
        <f aca="false">Sens!F9155+Sens!G9154</f>
        <v>8304.4</v>
      </c>
      <c r="H9155" s="29" t="n">
        <f aca="false">Sens!G9155+Sens!H9154</f>
        <v>10831.6</v>
      </c>
      <c r="I9155" s="29" t="n">
        <f aca="false">Sens!H9155+Sens!I9154</f>
        <v>12624.716</v>
      </c>
      <c r="J9155" s="29" t="n">
        <f aca="false">Sens!I9155+Sens!J9154</f>
        <v>13719.61032</v>
      </c>
      <c r="K9155" s="29" t="n">
        <f aca="false">Sens!J9155+Sens!K9154</f>
        <v>14131.1986296</v>
      </c>
      <c r="L9155" s="1" t="s">
        <v>812</v>
      </c>
    </row>
    <row r="9156" customFormat="false" ht="17.15" hidden="false" customHeight="false" outlineLevel="0" collapsed="false">
      <c r="A9156" s="1" t="s">
        <v>813</v>
      </c>
      <c r="B9156" s="0" t="s">
        <v>399</v>
      </c>
      <c r="C9156" s="29" t="n">
        <f aca="false">rent_ext_24</f>
        <v>150</v>
      </c>
      <c r="D9156" s="29" t="n">
        <f aca="false">rent_ext_25</f>
        <v>400</v>
      </c>
      <c r="E9156" s="29" t="n">
        <f aca="false">rent_ext_26</f>
        <v>550</v>
      </c>
      <c r="F9156" s="29" t="n">
        <f aca="false">rent_ext_f</f>
        <v>756</v>
      </c>
      <c r="G9156" s="29" t="n">
        <f aca="false">rent_ext_f</f>
        <v>756</v>
      </c>
      <c r="H9156" s="29" t="n">
        <f aca="false">rent_ext_f</f>
        <v>756</v>
      </c>
      <c r="I9156" s="29" t="n">
        <f aca="false">rent_ext_f</f>
        <v>756</v>
      </c>
      <c r="J9156" s="29" t="n">
        <f aca="false">rent_ext_f</f>
        <v>756</v>
      </c>
      <c r="K9156" s="29" t="n">
        <f aca="false">rent_ext_f</f>
        <v>756</v>
      </c>
      <c r="L9156" s="1" t="s">
        <v>814</v>
      </c>
    </row>
    <row r="9157" customFormat="false" ht="17.15" hidden="false" customHeight="false" outlineLevel="0" collapsed="false">
      <c r="A9157" s="1" t="s">
        <v>815</v>
      </c>
      <c r="B9157" s="0" t="s">
        <v>399</v>
      </c>
      <c r="C9157" s="29" t="n">
        <f aca="false">Sens!C9155-Sens!C9156</f>
        <v>490</v>
      </c>
      <c r="D9157" s="29" t="n">
        <f aca="false">Sens!D9155-Sens!D9156</f>
        <v>1230</v>
      </c>
      <c r="E9157" s="29" t="n">
        <f aca="false">Sens!E9155-Sens!E9156</f>
        <v>2700</v>
      </c>
      <c r="F9157" s="29" t="n">
        <f aca="false">Sens!F9155-Sens!F9156</f>
        <v>5021.2</v>
      </c>
      <c r="G9157" s="29" t="n">
        <f aca="false">Sens!G9155-Sens!G9156</f>
        <v>7548.4</v>
      </c>
      <c r="H9157" s="29" t="n">
        <f aca="false">Sens!H9155-Sens!H9156</f>
        <v>10075.6</v>
      </c>
      <c r="I9157" s="29" t="n">
        <f aca="false">Sens!I9155-Sens!I9156</f>
        <v>11868.716</v>
      </c>
      <c r="J9157" s="29" t="n">
        <f aca="false">Sens!J9155-Sens!J9156</f>
        <v>12963.61032</v>
      </c>
      <c r="K9157" s="29" t="n">
        <f aca="false">Sens!K9155-Sens!K9156</f>
        <v>13375.1986296</v>
      </c>
    </row>
    <row r="9158" customFormat="false" ht="17.15" hidden="false" customHeight="false" outlineLevel="0" collapsed="false">
      <c r="A9158" s="1" t="s">
        <v>816</v>
      </c>
      <c r="B9158" s="0" t="s">
        <v>399</v>
      </c>
      <c r="C9158" s="29" t="n">
        <f aca="false">Sens!C9157/ext_sh</f>
        <v>816.666666666667</v>
      </c>
      <c r="D9158" s="29" t="n">
        <f aca="false">Sens!D9157/ext_sh</f>
        <v>2050</v>
      </c>
      <c r="E9158" s="29" t="n">
        <f aca="false">Sens!E9157/ext_sh</f>
        <v>4500</v>
      </c>
      <c r="F9158" s="29" t="n">
        <f aca="false">Sens!F9157/ext_sh</f>
        <v>8368.66666666667</v>
      </c>
      <c r="G9158" s="29" t="n">
        <f aca="false">Sens!G9157/ext_sh</f>
        <v>12580.6666666667</v>
      </c>
      <c r="H9158" s="29" t="n">
        <f aca="false">Sens!H9157/ext_sh</f>
        <v>16792.6666666667</v>
      </c>
      <c r="I9158" s="29" t="n">
        <f aca="false">Sens!I9157/ext_sh</f>
        <v>19781.1933333333</v>
      </c>
      <c r="J9158" s="29" t="n">
        <f aca="false">Sens!J9157/ext_sh</f>
        <v>21606.0172</v>
      </c>
      <c r="K9158" s="29" t="n">
        <f aca="false">Sens!K9157/ext_sh</f>
        <v>22291.997716</v>
      </c>
      <c r="L9158" s="1" t="s">
        <v>817</v>
      </c>
    </row>
    <row r="9159" customFormat="false" ht="17.15" hidden="false" customHeight="false" outlineLevel="0" collapsed="false">
      <c r="A9159" s="1" t="s">
        <v>818</v>
      </c>
      <c r="B9159" s="0" t="s">
        <v>399</v>
      </c>
      <c r="C9159" s="29" t="n">
        <f aca="false">Sens!C9158-Sens!C9157</f>
        <v>326.666666666667</v>
      </c>
      <c r="D9159" s="29" t="n">
        <f aca="false">Sens!D9158-Sens!D9157</f>
        <v>820</v>
      </c>
      <c r="E9159" s="29" t="n">
        <f aca="false">Sens!E9158-Sens!E9157</f>
        <v>1800</v>
      </c>
      <c r="F9159" s="29" t="n">
        <f aca="false">Sens!F9158-Sens!F9157</f>
        <v>3347.46666666667</v>
      </c>
      <c r="G9159" s="29" t="n">
        <f aca="false">Sens!G9158-Sens!G9157</f>
        <v>5032.26666666667</v>
      </c>
      <c r="H9159" s="29" t="n">
        <f aca="false">Sens!H9158-Sens!H9157</f>
        <v>6717.06666666667</v>
      </c>
      <c r="I9159" s="29" t="n">
        <f aca="false">Sens!I9158-Sens!I9157</f>
        <v>7912.47733333333</v>
      </c>
      <c r="J9159" s="29" t="n">
        <f aca="false">Sens!J9158-Sens!J9157</f>
        <v>8642.40688</v>
      </c>
      <c r="K9159" s="29" t="n">
        <f aca="false">Sens!K9158-Sens!K9157</f>
        <v>8916.7990864</v>
      </c>
    </row>
    <row r="9160" customFormat="false" ht="17.15" hidden="false" customHeight="false" outlineLevel="0" collapsed="false">
      <c r="A9160" s="1" t="s">
        <v>819</v>
      </c>
      <c r="B9160" s="0" t="s">
        <v>399</v>
      </c>
      <c r="C9160" s="29" t="n">
        <f aca="false">Sens!C9158</f>
        <v>816.666666666667</v>
      </c>
      <c r="D9160" s="29" t="n">
        <f aca="false">Sens!D9158-Sens!C9158</f>
        <v>1233.33333333333</v>
      </c>
      <c r="E9160" s="29" t="n">
        <f aca="false">Sens!E9158-Sens!D9158</f>
        <v>2450</v>
      </c>
      <c r="F9160" s="29" t="n">
        <f aca="false">Sens!F9158-Sens!E9158</f>
        <v>3868.66666666667</v>
      </c>
      <c r="G9160" s="29" t="n">
        <f aca="false">Sens!G9158-Sens!F9158</f>
        <v>4212</v>
      </c>
      <c r="H9160" s="29" t="n">
        <f aca="false">Sens!H9158-Sens!G9158</f>
        <v>4212</v>
      </c>
      <c r="I9160" s="29" t="n">
        <f aca="false">Sens!I9158-Sens!H9158</f>
        <v>2988.52666666667</v>
      </c>
      <c r="J9160" s="29" t="n">
        <f aca="false">Sens!J9158-Sens!I9158</f>
        <v>1824.82386666667</v>
      </c>
      <c r="K9160" s="29" t="n">
        <f aca="false">Sens!K9158-Sens!J9158</f>
        <v>685.980516</v>
      </c>
    </row>
    <row r="9161" customFormat="false" ht="17.15" hidden="false" customHeight="false" outlineLevel="0" collapsed="false">
      <c r="A9161" s="1" t="s">
        <v>820</v>
      </c>
      <c r="B9161" s="0" t="s">
        <v>399</v>
      </c>
      <c r="D9161" s="29" t="n">
        <f aca="false">Sens!D9155-Sens!C9155</f>
        <v>990</v>
      </c>
      <c r="E9161" s="29" t="n">
        <f aca="false">Sens!E9155-Sens!D9155</f>
        <v>1620</v>
      </c>
      <c r="F9161" s="29" t="n">
        <f aca="false">Sens!F9155-Sens!E9155</f>
        <v>2527.2</v>
      </c>
      <c r="G9161" s="29" t="n">
        <f aca="false">Sens!G9155-Sens!F9155</f>
        <v>2527.2</v>
      </c>
      <c r="H9161" s="29" t="n">
        <f aca="false">Sens!H9155-Sens!G9155</f>
        <v>2527.2</v>
      </c>
      <c r="I9161" s="29" t="n">
        <f aca="false">Sens!I9155-Sens!H9155</f>
        <v>1793.116</v>
      </c>
      <c r="J9161" s="29" t="n">
        <f aca="false">Sens!J9155-Sens!I9155</f>
        <v>1094.89432</v>
      </c>
      <c r="K9161" s="29" t="n">
        <f aca="false">Sens!K9155-Sens!J9155</f>
        <v>411.5883096</v>
      </c>
    </row>
    <row r="9162" customFormat="false" ht="17.15" hidden="false" customHeight="false" outlineLevel="0" collapsed="false">
      <c r="A9162" s="1" t="s">
        <v>821</v>
      </c>
      <c r="B9162" s="0" t="s">
        <v>399</v>
      </c>
      <c r="F9162" s="29" t="n">
        <f aca="false">Sens!F9179*ext_sh</f>
        <v>0</v>
      </c>
      <c r="G9162" s="29" t="n">
        <f aca="false">Sens!G9179*ext_sh</f>
        <v>0</v>
      </c>
      <c r="H9162" s="29" t="n">
        <f aca="false">Sens!H9179*ext_sh</f>
        <v>0</v>
      </c>
      <c r="I9162" s="29" t="n">
        <f aca="false">Sens!I9179*ext_sh</f>
        <v>490</v>
      </c>
      <c r="J9162" s="29" t="n">
        <f aca="false">Sens!J9179*ext_sh</f>
        <v>740</v>
      </c>
      <c r="K9162" s="29" t="n">
        <f aca="false">Sens!K9179*ext_sh</f>
        <v>1470</v>
      </c>
      <c r="L9162" s="1" t="s">
        <v>822</v>
      </c>
    </row>
    <row r="9163" customFormat="false" ht="17.15" hidden="false" customHeight="false" outlineLevel="0" collapsed="false">
      <c r="A9163" s="1" t="s">
        <v>823</v>
      </c>
      <c r="B9163" s="0" t="s">
        <v>399</v>
      </c>
      <c r="C9163" s="29" t="n">
        <f aca="false">mix_h*Sens!C9155</f>
        <v>128</v>
      </c>
      <c r="D9163" s="29" t="n">
        <f aca="false">mix_h*Sens!D9155</f>
        <v>326</v>
      </c>
      <c r="E9163" s="29" t="n">
        <f aca="false">mix_h*Sens!E9155</f>
        <v>650</v>
      </c>
      <c r="F9163" s="29" t="n">
        <f aca="false">Sens!E9163-Sens!F9162*mix_h</f>
        <v>650</v>
      </c>
      <c r="G9163" s="29" t="n">
        <f aca="false">Sens!F9163-Sens!G9162*mix_h</f>
        <v>650</v>
      </c>
      <c r="H9163" s="29" t="n">
        <f aca="false">Sens!G9163-Sens!H9162*mix_h</f>
        <v>650</v>
      </c>
      <c r="I9163" s="29" t="n">
        <f aca="false">Sens!H9163-Sens!I9162*mix_h</f>
        <v>552</v>
      </c>
      <c r="J9163" s="29" t="n">
        <f aca="false">Sens!I9163-Sens!J9162*mix_h</f>
        <v>404</v>
      </c>
      <c r="K9163" s="29" t="n">
        <f aca="false">Sens!J9163-Sens!K9162*mix_h</f>
        <v>110</v>
      </c>
    </row>
    <row r="9164" customFormat="false" ht="17.15" hidden="false" customHeight="false" outlineLevel="0" collapsed="false">
      <c r="A9164" s="1" t="s">
        <v>824</v>
      </c>
      <c r="B9164" s="0" t="s">
        <v>399</v>
      </c>
      <c r="C9164" s="29" t="n">
        <f aca="false">mix_g2*Sens!C9155</f>
        <v>288</v>
      </c>
      <c r="D9164" s="29" t="n">
        <f aca="false">mix_g2*Sens!D9155</f>
        <v>733.5</v>
      </c>
      <c r="E9164" s="29" t="n">
        <f aca="false">mix_g2*Sens!E9155</f>
        <v>1462.5</v>
      </c>
      <c r="F9164" s="29" t="n">
        <f aca="false">Sens!E9164-Sens!F9162*mix_g2</f>
        <v>1462.5</v>
      </c>
      <c r="G9164" s="29" t="n">
        <f aca="false">Sens!F9164-Sens!G9162*mix_g2</f>
        <v>1462.5</v>
      </c>
      <c r="H9164" s="29" t="n">
        <f aca="false">Sens!G9164-Sens!H9162*mix_g2</f>
        <v>1462.5</v>
      </c>
      <c r="I9164" s="29" t="n">
        <f aca="false">Sens!H9164-Sens!I9162*mix_g2</f>
        <v>1242</v>
      </c>
      <c r="J9164" s="29" t="n">
        <f aca="false">Sens!I9164-Sens!J9162*mix_g2</f>
        <v>909</v>
      </c>
      <c r="K9164" s="29" t="n">
        <f aca="false">Sens!J9164-Sens!K9162*mix_g2</f>
        <v>247.5</v>
      </c>
    </row>
    <row r="9165" customFormat="false" ht="17.15" hidden="false" customHeight="false" outlineLevel="0" collapsed="false">
      <c r="A9165" s="1" t="s">
        <v>825</v>
      </c>
      <c r="B9165" s="0" t="s">
        <v>399</v>
      </c>
      <c r="C9165" s="29" t="n">
        <f aca="false">mix_g3*Sens!C9155</f>
        <v>224</v>
      </c>
      <c r="D9165" s="29" t="n">
        <f aca="false">mix_g3*Sens!D9155</f>
        <v>570.5</v>
      </c>
      <c r="E9165" s="29" t="n">
        <f aca="false">mix_g3*Sens!E9155</f>
        <v>1137.5</v>
      </c>
      <c r="F9165" s="29" t="n">
        <f aca="false">Sens!E9165+(Sens!F9161+Sens!F9162)*a_g3_27-Sens!F9162*mix_g3</f>
        <v>2906.54</v>
      </c>
      <c r="G9165" s="29" t="n">
        <f aca="false">Sens!F9165+(Sens!G9161+Sens!G9162)*a_g3_28-Sens!G9162*mix_g3</f>
        <v>3664.7</v>
      </c>
      <c r="H9165" s="29" t="n">
        <f aca="false">Sens!G9165+(Sens!H9161+Sens!H9162)*a_g3_29-Sens!H9162*mix_g3</f>
        <v>3917.42</v>
      </c>
      <c r="I9165" s="29" t="n">
        <f aca="false">Sens!H9165+(Sens!I9161+Sens!I9162)*a_g3_29-Sens!I9162*mix_g3</f>
        <v>3974.2316</v>
      </c>
      <c r="J9165" s="29" t="n">
        <f aca="false">Sens!I9165+(Sens!J9161+Sens!J9162)*a_g3_29-Sens!J9162*mix_g3</f>
        <v>3898.721032</v>
      </c>
      <c r="K9165" s="29" t="n">
        <f aca="false">Sens!J9165+(Sens!K9161+Sens!K9162)*a_g3_29-Sens!K9162*mix_g3</f>
        <v>3572.37986296</v>
      </c>
    </row>
    <row r="9166" customFormat="false" ht="17.15" hidden="false" customHeight="false" outlineLevel="0" collapsed="false">
      <c r="A9166" s="1" t="s">
        <v>826</v>
      </c>
      <c r="B9166" s="0" t="s">
        <v>399</v>
      </c>
      <c r="C9166" s="29" t="n">
        <v>0</v>
      </c>
      <c r="D9166" s="29" t="n">
        <v>0</v>
      </c>
      <c r="E9166" s="29" t="n">
        <v>0</v>
      </c>
      <c r="F9166" s="29" t="n">
        <f aca="false">Sens!E9166+(Sens!F9161+Sens!F9162)*(1-a_g3_27)</f>
        <v>758.16</v>
      </c>
      <c r="G9166" s="29" t="n">
        <f aca="false">Sens!F9166+(Sens!G9161+Sens!G9162)*(1-a_g3_28)</f>
        <v>2527.2</v>
      </c>
      <c r="H9166" s="29" t="n">
        <f aca="false">Sens!G9166+(Sens!H9161+Sens!H9162)*(1-a_g3_29)</f>
        <v>4801.68</v>
      </c>
      <c r="I9166" s="29" t="n">
        <f aca="false">Sens!H9166+(Sens!I9161+Sens!I9162)*(1-a_g3_29)</f>
        <v>6856.4844</v>
      </c>
      <c r="J9166" s="29" t="n">
        <f aca="false">Sens!I9166+(Sens!J9161+Sens!J9162)*(1-a_g3_29)</f>
        <v>8507.889288</v>
      </c>
      <c r="K9166" s="29" t="n">
        <f aca="false">Sens!J9166+(Sens!K9161+Sens!K9162)*(1-a_g3_29)</f>
        <v>10201.31876664</v>
      </c>
    </row>
    <row r="9167" customFormat="false" ht="17.15" hidden="false" customHeight="false" outlineLevel="0" collapsed="false">
      <c r="A9167" s="1" t="s">
        <v>827</v>
      </c>
      <c r="B9167" s="0" t="s">
        <v>346</v>
      </c>
      <c r="C9167" s="14" t="n">
        <f aca="false">(Sens!C9163*tk_hold_h100+Sens!C9164*tk_hold_gb200+Sens!C9165*tk_hold_gb300+Sens!C9166*tk_hold_vr200)/Sens!C9155</f>
        <v>9.7235358126469</v>
      </c>
      <c r="D9167" s="14" t="n">
        <f aca="false">(Sens!D9163*tk_hold_h100+Sens!D9164*tk_hold_gb200+Sens!D9165*tk_hold_gb300+Sens!D9166*tk_hold_vr200)/Sens!D9155</f>
        <v>9.7235358126469</v>
      </c>
      <c r="E9167" s="14" t="n">
        <f aca="false">(Sens!E9163*tk_hold_h100+Sens!E9164*tk_hold_gb200+Sens!E9165*tk_hold_gb300+Sens!E9166*tk_hold_vr200)/Sens!E9155</f>
        <v>9.7235358126469</v>
      </c>
      <c r="F9167" s="14" t="n">
        <f aca="false">(Sens!F9163*tk_hold_h100+Sens!F9164*tk_hold_gb200+Sens!F9165*tk_hold_gb300+Sens!F9166*tk_hold_vr200)/Sens!F9155</f>
        <v>10.4079573161931</v>
      </c>
      <c r="G9167" s="14" t="n">
        <f aca="false">(Sens!G9163*tk_hold_h100+Sens!G9164*tk_hold_gb200+Sens!G9165*tk_hold_gb300+Sens!G9166*tk_hold_vr200)/Sens!G9155</f>
        <v>10.8388131109316</v>
      </c>
      <c r="H9167" s="14" t="n">
        <f aca="false">(Sens!H9163*tk_hold_h100+Sens!H9164*tk_hold_gb200+Sens!H9165*tk_hold_gb300+Sens!H9166*tk_hold_vr200)/Sens!H9155</f>
        <v>11.1311018388216</v>
      </c>
      <c r="I9167" s="14" t="n">
        <f aca="false">(Sens!I9163*tk_hold_h100+Sens!I9164*tk_hold_gb200+Sens!I9165*tk_hold_gb300+Sens!I9166*tk_hold_vr200)/Sens!I9155</f>
        <v>11.3594282560989</v>
      </c>
      <c r="J9167" s="14" t="n">
        <f aca="false">(Sens!J9163*tk_hold_h100+Sens!J9164*tk_hold_gb200+Sens!J9165*tk_hold_gb300+Sens!J9166*tk_hold_vr200)/Sens!J9155</f>
        <v>11.5455817917599</v>
      </c>
      <c r="K9167" s="14" t="n">
        <f aca="false">(Sens!K9163*tk_hold_h100+Sens!K9164*tk_hold_gb200+Sens!K9165*tk_hold_gb300+Sens!K9166*tk_hold_vr200)/Sens!K9155</f>
        <v>11.8078187977246</v>
      </c>
    </row>
    <row r="9168" customFormat="false" ht="17.15" hidden="false" customHeight="false" outlineLevel="0" collapsed="false">
      <c r="A9168" s="0" t="s">
        <v>828</v>
      </c>
      <c r="B9168" s="0" t="s">
        <v>185</v>
      </c>
      <c r="C9168" s="14" t="n">
        <f aca="false">k_B</f>
        <v>1.17213932619116</v>
      </c>
      <c r="D9168" s="14" t="n">
        <f aca="false">k_B</f>
        <v>1.17213932619116</v>
      </c>
      <c r="E9168" s="14" t="n">
        <f aca="false">k_B</f>
        <v>1.17213932619116</v>
      </c>
      <c r="F9168" s="14" t="n">
        <f aca="false">(k_B+((ls_C*k_long+(1-ls_C)*k_spot)-k_B)*MIN(1,(Sens!F9153-base_fy)/k_ramp))</f>
        <v>1.07843258004497</v>
      </c>
      <c r="G9168" s="14" t="n">
        <f aca="false">(k_B+((ls_C*k_long+(1-ls_C)*k_spot)-k_B)*MIN(1,(Sens!G9153-base_fy)/k_ramp))</f>
        <v>0.984725833898784</v>
      </c>
      <c r="H9168" s="14" t="n">
        <f aca="false">(k_B+((ls_C*k_long+(1-ls_C)*k_spot)-k_B)*MIN(1,(Sens!H9153-base_fy)/k_ramp))</f>
        <v>0.891019087752599</v>
      </c>
      <c r="I9168" s="14" t="n">
        <f aca="false">(k_B+((ls_C*k_long+(1-ls_C)*k_spot)-k_B)*MIN(1,(Sens!I9153-base_fy)/k_ramp))</f>
        <v>0.891019087752599</v>
      </c>
      <c r="J9168" s="14" t="n">
        <f aca="false">(k_B+((ls_C*k_long+(1-ls_C)*k_spot)-k_B)*MIN(1,(Sens!J9153-base_fy)/k_ramp))</f>
        <v>0.891019087752599</v>
      </c>
      <c r="K9168" s="14" t="n">
        <f aca="false">(k_B+((ls_C*k_long+(1-ls_C)*k_spot)-k_B)*MIN(1,(Sens!K9153-base_fy)/k_ramp))</f>
        <v>0.891019087752599</v>
      </c>
      <c r="L9168" s="1" t="s">
        <v>829</v>
      </c>
    </row>
    <row r="9169" customFormat="false" ht="17.15" hidden="false" customHeight="false" outlineLevel="0" collapsed="false">
      <c r="A9169" s="1" t="s">
        <v>830</v>
      </c>
      <c r="B9169" s="0" t="s">
        <v>346</v>
      </c>
      <c r="C9169" s="14" t="n">
        <f aca="false">Sens!C9167*Sens!C9168*chip_f</f>
        <v>11.3973387156315</v>
      </c>
      <c r="D9169" s="14" t="n">
        <f aca="false">Sens!D9167*Sens!D9168*chip_f</f>
        <v>11.3973387156315</v>
      </c>
      <c r="E9169" s="14" t="n">
        <f aca="false">Sens!E9167*Sens!E9168*chip_f</f>
        <v>11.3973387156315</v>
      </c>
      <c r="F9169" s="14" t="n">
        <f aca="false">Sens!F9167*Sens!F9168*chip_f</f>
        <v>11.2242802615</v>
      </c>
      <c r="G9169" s="14" t="n">
        <f aca="false">Sens!G9167*Sens!G9168*chip_f</f>
        <v>10.6732592791352</v>
      </c>
      <c r="H9169" s="14" t="n">
        <f aca="false">Sens!H9167*Sens!H9168*chip_f</f>
        <v>9.91802420610807</v>
      </c>
      <c r="I9169" s="14" t="n">
        <f aca="false">Sens!I9167*Sens!I9168*chip_f</f>
        <v>10.1214674021403</v>
      </c>
      <c r="J9169" s="14" t="n">
        <f aca="false">Sens!J9167*Sens!J9168*chip_f</f>
        <v>10.2873337556669</v>
      </c>
      <c r="K9169" s="14" t="n">
        <f aca="false">Sens!K9167*Sens!K9168*chip_f</f>
        <v>10.5209919334966</v>
      </c>
      <c r="L9169" s="1" t="s">
        <v>831</v>
      </c>
    </row>
    <row r="9170" customFormat="false" ht="17.15" hidden="false" customHeight="false" outlineLevel="0" collapsed="false">
      <c r="A9170" s="0" t="s">
        <v>832</v>
      </c>
      <c r="B9170" s="0" t="s">
        <v>98</v>
      </c>
      <c r="D9170" s="6" t="n">
        <f aca="false">(Sens!C9155+Sens!D9155)/2*Sens!D9169/1000</f>
        <v>12.9359794422418</v>
      </c>
      <c r="E9170" s="6" t="n">
        <f aca="false">(Sens!D9155+Sens!E9155)/2*Sens!E9169/1000</f>
        <v>27.8095064661409</v>
      </c>
      <c r="F9170" s="6" t="n">
        <f aca="false">(Sens!E9155+Sens!F9155)/2*Sens!F9169/1000</f>
        <v>50.6619113883066</v>
      </c>
      <c r="G9170" s="6" t="n">
        <f aca="false">(Sens!F9155+Sens!G9155)/2*Sens!G9169/1000</f>
        <v>75.1482839325348</v>
      </c>
      <c r="H9170" s="6" t="n">
        <f aca="false">(Sens!G9155+Sens!H9155)/2*Sens!H9169/1000</f>
        <v>94.895655604042</v>
      </c>
      <c r="I9170" s="6" t="n">
        <f aca="false">(Sens!H9155+Sens!I9155)/2*Sens!I9169/1000</f>
        <v>118.706168884151</v>
      </c>
      <c r="J9170" s="6" t="n">
        <f aca="false">(Sens!I9155+Sens!J9155)/2*Sens!J9169/1000</f>
        <v>135.50643871102</v>
      </c>
      <c r="K9170" s="6" t="n">
        <f aca="false">(Sens!J9155+Sens!K9155)/2*Sens!K9169/1000</f>
        <v>146.509068150048</v>
      </c>
      <c r="L9170" s="11" t="s">
        <v>833</v>
      </c>
    </row>
    <row r="9171" customFormat="false" ht="17.15" hidden="false" customHeight="false" outlineLevel="0" collapsed="false">
      <c r="A9171" s="1" t="s">
        <v>834</v>
      </c>
      <c r="B9171" s="0" t="s">
        <v>346</v>
      </c>
      <c r="C9171" s="14" t="n">
        <f aca="false">(Sens!C9163*tk_opex_h100+Sens!C9164*tk_opex_gb200+Sens!C9165*tk_opex_gb300+Sens!C9166*tk_opex_vr200)/Sens!C9155</f>
        <v>1.88636041306092</v>
      </c>
      <c r="D9171" s="14" t="n">
        <f aca="false">(Sens!D9163*tk_opex_h100+Sens!D9164*tk_opex_gb200+Sens!D9165*tk_opex_gb300+Sens!D9166*tk_opex_vr200)/Sens!D9155</f>
        <v>1.88636041306092</v>
      </c>
      <c r="E9171" s="14" t="n">
        <f aca="false">(Sens!E9163*tk_opex_h100+Sens!E9164*tk_opex_gb200+Sens!E9165*tk_opex_gb300+Sens!E9166*tk_opex_vr200)/Sens!E9155</f>
        <v>1.88636041306092</v>
      </c>
      <c r="F9171" s="14" t="n">
        <f aca="false">(Sens!F9163*tk_opex_h100+Sens!F9164*tk_opex_gb200+Sens!F9165*tk_opex_gb300+Sens!F9166*tk_opex_vr200)/Sens!F9155</f>
        <v>1.9430236476499</v>
      </c>
      <c r="G9171" s="14" t="n">
        <f aca="false">(Sens!G9163*tk_opex_h100+Sens!G9164*tk_opex_gb200+Sens!G9165*tk_opex_gb300+Sens!G9166*tk_opex_vr200)/Sens!G9155</f>
        <v>1.9786941852423</v>
      </c>
      <c r="H9171" s="14" t="n">
        <f aca="false">(Sens!H9163*tk_opex_h100+Sens!H9164*tk_opex_gb200+Sens!H9165*tk_opex_gb300+Sens!H9166*tk_opex_vr200)/Sens!H9155</f>
        <v>2.00289275976156</v>
      </c>
      <c r="I9171" s="14" t="n">
        <f aca="false">(Sens!I9163*tk_opex_h100+Sens!I9164*tk_opex_gb200+Sens!I9165*tk_opex_gb300+Sens!I9166*tk_opex_vr200)/Sens!I9155</f>
        <v>2.02179589661219</v>
      </c>
      <c r="J9171" s="14" t="n">
        <f aca="false">(Sens!J9163*tk_opex_h100+Sens!J9164*tk_opex_gb200+Sens!J9165*tk_opex_gb300+Sens!J9166*tk_opex_vr200)/Sens!J9155</f>
        <v>2.03720754193029</v>
      </c>
      <c r="K9171" s="14" t="n">
        <f aca="false">(Sens!K9163*tk_opex_h100+Sens!K9164*tk_opex_gb200+Sens!K9165*tk_opex_gb300+Sens!K9166*tk_opex_vr200)/Sens!K9155</f>
        <v>2.0589181353437</v>
      </c>
    </row>
    <row r="9172" customFormat="false" ht="17.15" hidden="false" customHeight="false" outlineLevel="0" collapsed="false">
      <c r="A9172" s="0" t="s">
        <v>835</v>
      </c>
      <c r="B9172" s="0" t="s">
        <v>98</v>
      </c>
      <c r="D9172" s="6" t="n">
        <f aca="false">(Sens!C9158+Sens!D9158)/2*Sens!D9171/1000</f>
        <v>2.70378325872065</v>
      </c>
      <c r="E9172" s="6" t="n">
        <f aca="false">(Sens!D9158+Sens!E9158)/2*Sens!E9171/1000</f>
        <v>6.17783035277451</v>
      </c>
      <c r="F9172" s="6" t="n">
        <f aca="false">(Sens!E9158+Sens!F9158)/2*Sens!F9171/1000</f>
        <v>12.5020618235287</v>
      </c>
      <c r="G9172" s="6" t="n">
        <f aca="false">(Sens!F9158+Sens!G9158)/2*Sens!G9171/1000</f>
        <v>20.7261620256847</v>
      </c>
      <c r="H9172" s="6" t="n">
        <f aca="false">(Sens!G9158+Sens!H9158)/2*Sens!H9171/1000</f>
        <v>29.4158183316982</v>
      </c>
      <c r="I9172" s="6" t="n">
        <f aca="false">(Sens!H9158+Sens!I9158)/2*Sens!I9171/1000</f>
        <v>36.9724400356344</v>
      </c>
      <c r="J9172" s="6" t="n">
        <f aca="false">(Sens!I9158+Sens!J9158)/2*Sens!J9171/1000</f>
        <v>42.1571687189816</v>
      </c>
      <c r="K9172" s="6" t="n">
        <f aca="false">(Sens!J9158+Sens!K9158)/2*Sens!K9171/1000</f>
        <v>45.1912095080704</v>
      </c>
    </row>
    <row r="9173" customFormat="false" ht="17.15" hidden="false" customHeight="false" outlineLevel="0" collapsed="false">
      <c r="A9173" s="0" t="s">
        <v>836</v>
      </c>
      <c r="B9173" s="0" t="s">
        <v>98</v>
      </c>
      <c r="D9173" s="6" t="n">
        <f aca="false">(Sens!C9156+Sens!D9156)/2*rent_mw/1000</f>
        <v>2.44475</v>
      </c>
      <c r="E9173" s="6" t="n">
        <f aca="false">(Sens!D9156+Sens!E9156)/2*rent_mw/1000</f>
        <v>4.22275</v>
      </c>
      <c r="F9173" s="6" t="n">
        <f aca="false">(Sens!E9156+Sens!F9156)/2*rent_mw/1000</f>
        <v>5.80517</v>
      </c>
      <c r="G9173" s="6" t="n">
        <f aca="false">(Sens!F9156+Sens!G9156)/2*rent_mw/1000</f>
        <v>6.72084</v>
      </c>
      <c r="H9173" s="6" t="n">
        <f aca="false">(Sens!G9156+Sens!H9156)/2*rent_mw/1000</f>
        <v>6.72084</v>
      </c>
      <c r="I9173" s="6" t="n">
        <f aca="false">(Sens!H9156+Sens!I9156)/2*rent_mw/1000</f>
        <v>6.72084</v>
      </c>
      <c r="J9173" s="6" t="n">
        <f aca="false">(Sens!I9156+Sens!J9156)/2*rent_mw/1000</f>
        <v>6.72084</v>
      </c>
      <c r="K9173" s="6" t="n">
        <f aca="false">(Sens!J9156+Sens!K9156)/2*rent_mw/1000</f>
        <v>6.72084</v>
      </c>
    </row>
    <row r="9174" customFormat="false" ht="17.15" hidden="false" customHeight="false" outlineLevel="0" collapsed="false">
      <c r="A9174" s="0" t="s">
        <v>837</v>
      </c>
      <c r="B9174" s="0" t="s">
        <v>98</v>
      </c>
      <c r="D9174" s="6" t="n">
        <f aca="false">(Sens!C9158+Sens!D9158)/2*(1-self_build)*fac_rent/1000</f>
        <v>0.853242375631075</v>
      </c>
      <c r="E9174" s="6" t="n">
        <f aca="false">(Sens!D9158+Sens!E9158)/2*(1-self_build)*fac_rent/1000</f>
        <v>1.94955961408728</v>
      </c>
      <c r="F9174" s="6" t="n">
        <f aca="false">(Sens!E9158+Sens!F9158)/2*(1-self_build)*fac_rent/1000</f>
        <v>3.83026455274573</v>
      </c>
      <c r="G9174" s="6" t="n">
        <f aca="false">(Sens!F9158+Sens!G9158)/2*(1-self_build)*fac_rent/1000</f>
        <v>6.23541590972812</v>
      </c>
      <c r="H9174" s="6" t="n">
        <f aca="false">(Sens!G9158+Sens!H9158)/2*(1-self_build)*fac_rent/1000</f>
        <v>8.74275792332679</v>
      </c>
      <c r="I9174" s="6" t="n">
        <f aca="false">(Sens!H9158+Sens!I9158)/2*(1-self_build)*fac_rent/1000</f>
        <v>10.8859420438599</v>
      </c>
      <c r="J9174" s="6" t="n">
        <f aca="false">(Sens!I9158+Sens!J9158)/2*(1-self_build)*fac_rent/1000</f>
        <v>12.3186006405366</v>
      </c>
      <c r="K9174" s="6" t="n">
        <f aca="false">(Sens!J9158+Sens!K9158)/2*(1-self_build)*fac_rent/1000</f>
        <v>13.0659232089824</v>
      </c>
      <c r="L9174" s="11" t="s">
        <v>838</v>
      </c>
    </row>
    <row r="9175" customFormat="false" ht="17.15" hidden="false" customHeight="false" outlineLevel="0" collapsed="false">
      <c r="A9175" s="1" t="s">
        <v>839</v>
      </c>
      <c r="B9175" s="0" t="s">
        <v>129</v>
      </c>
      <c r="D9175" s="7" t="n">
        <f aca="false">(Sens!C9157+Sens!D9157)/(Sens!C9158+Sens!D9158)</f>
        <v>0.6</v>
      </c>
      <c r="E9175" s="7" t="n">
        <f aca="false">(Sens!D9157+Sens!E9157)/(Sens!D9158+Sens!E9158)</f>
        <v>0.6</v>
      </c>
      <c r="F9175" s="7" t="n">
        <f aca="false">(Sens!E9157+Sens!F9157)/(Sens!E9158+Sens!F9158)</f>
        <v>0.6</v>
      </c>
      <c r="G9175" s="7" t="n">
        <f aca="false">(Sens!F9157+Sens!G9157)/(Sens!F9158+Sens!G9158)</f>
        <v>0.6</v>
      </c>
      <c r="H9175" s="7" t="n">
        <f aca="false">(Sens!G9157+Sens!H9157)/(Sens!G9158+Sens!H9158)</f>
        <v>0.6</v>
      </c>
      <c r="I9175" s="7" t="n">
        <f aca="false">(Sens!H9157+Sens!I9157)/(Sens!H9158+Sens!I9158)</f>
        <v>0.6</v>
      </c>
      <c r="J9175" s="7" t="n">
        <f aca="false">(Sens!I9157+Sens!J9157)/(Sens!I9158+Sens!J9158)</f>
        <v>0.6</v>
      </c>
      <c r="K9175" s="7" t="n">
        <f aca="false">(Sens!J9157+Sens!K9157)/(Sens!J9158+Sens!K9158)</f>
        <v>0.6</v>
      </c>
    </row>
    <row r="9176" customFormat="false" ht="17.15" hidden="false" customHeight="false" outlineLevel="0" collapsed="false">
      <c r="A9176" s="0" t="s">
        <v>840</v>
      </c>
      <c r="B9176" s="0" t="s">
        <v>98</v>
      </c>
      <c r="D9176" s="6" t="n">
        <f aca="false">Sens!D9170-Sens!D9175*(Sens!D9172+Sens!D9174)-Sens!D9173</f>
        <v>8.35701406163072</v>
      </c>
      <c r="E9176" s="6" t="n">
        <f aca="false">Sens!E9170-Sens!E9175*(Sens!E9172+Sens!E9174)-Sens!E9173</f>
        <v>18.7103224860238</v>
      </c>
      <c r="F9176" s="6" t="n">
        <f aca="false">Sens!F9170-Sens!F9175*(Sens!F9172+Sens!F9174)-Sens!F9173</f>
        <v>35.0573455625419</v>
      </c>
      <c r="G9176" s="6" t="n">
        <f aca="false">Sens!G9170-Sens!G9175*(Sens!G9172+Sens!G9174)-Sens!G9173</f>
        <v>52.2504971712871</v>
      </c>
      <c r="H9176" s="6" t="n">
        <f aca="false">Sens!H9170-Sens!H9175*(Sens!H9172+Sens!H9174)-Sens!H9173</f>
        <v>65.2796698510271</v>
      </c>
      <c r="I9176" s="6" t="n">
        <f aca="false">Sens!I9170-Sens!I9175*(Sens!I9172+Sens!I9174)-Sens!I9173</f>
        <v>83.2702996364549</v>
      </c>
      <c r="J9176" s="6" t="n">
        <f aca="false">Sens!J9170-Sens!J9175*(Sens!J9172+Sens!J9174)-Sens!J9173</f>
        <v>96.1001370953095</v>
      </c>
      <c r="K9176" s="6" t="n">
        <f aca="false">Sens!K9170-Sens!K9175*(Sens!K9172+Sens!K9174)-Sens!K9173</f>
        <v>104.833948519816</v>
      </c>
    </row>
    <row r="9177" customFormat="false" ht="17.15" hidden="false" customHeight="false" outlineLevel="0" collapsed="false">
      <c r="A9177" s="1" t="s">
        <v>841</v>
      </c>
      <c r="B9177" s="0" t="s">
        <v>98</v>
      </c>
      <c r="D9177" s="6" t="n">
        <f aca="false">(1-Sens!D9175)*(Sens!D9172+Sens!D9174)</f>
        <v>1.42281025374069</v>
      </c>
      <c r="E9177" s="6" t="n">
        <f aca="false">(1-Sens!E9175)*(Sens!E9172+Sens!E9174)</f>
        <v>3.25095598674472</v>
      </c>
      <c r="F9177" s="6" t="n">
        <f aca="false">(1-Sens!F9175)*(Sens!F9172+Sens!F9174)</f>
        <v>6.53293055050977</v>
      </c>
      <c r="G9177" s="6" t="n">
        <f aca="false">(1-Sens!G9175)*(Sens!G9172+Sens!G9174)</f>
        <v>10.7846311741651</v>
      </c>
      <c r="H9177" s="6" t="n">
        <f aca="false">(1-Sens!H9175)*(Sens!H9172+Sens!H9174)</f>
        <v>15.26343050201</v>
      </c>
      <c r="I9177" s="6" t="n">
        <f aca="false">(1-Sens!I9175)*(Sens!I9172+Sens!I9174)</f>
        <v>19.1433528317977</v>
      </c>
      <c r="J9177" s="6" t="n">
        <f aca="false">(1-Sens!J9175)*(Sens!J9172+Sens!J9174)</f>
        <v>21.7903077438073</v>
      </c>
      <c r="K9177" s="6" t="n">
        <f aca="false">(1-Sens!K9175)*(Sens!K9172+Sens!K9174)</f>
        <v>23.3028530868211</v>
      </c>
    </row>
    <row r="9178" customFormat="false" ht="17.15" hidden="false" customHeight="false" outlineLevel="0" collapsed="false">
      <c r="A9178" s="1" t="s">
        <v>842</v>
      </c>
      <c r="B9178" s="0" t="s">
        <v>357</v>
      </c>
      <c r="C9178" s="8" t="n">
        <f aca="false">cxit_open</f>
        <v>27.5918995</v>
      </c>
      <c r="D9178" s="8" t="n">
        <f aca="false">cxit_open</f>
        <v>27.5918995</v>
      </c>
      <c r="E9178" s="8" t="n">
        <f aca="false">cxit_open</f>
        <v>27.5918995</v>
      </c>
      <c r="F9178" s="8" t="n">
        <f aca="false">(a_g3_27*tk_cxit_gb300+(1-a_g3_27)*tk_cxit_vr200)</f>
        <v>33.8419624</v>
      </c>
      <c r="G9178" s="8" t="n">
        <f aca="false">(a_g3_28*tk_cxit_gb300+(1-a_g3_28)*tk_cxit_vr200)</f>
        <v>35.9816136</v>
      </c>
      <c r="H9178" s="8" t="n">
        <f aca="false">(a_g3_29*tk_cxit_gb300+(1-a_g3_29)*tk_cxit_vr200)</f>
        <v>37.0514392</v>
      </c>
      <c r="I9178" s="8" t="n">
        <f aca="false">(a_g3_29*tk_cxit_gb300+(1-a_g3_29)*tk_cxit_vr200)</f>
        <v>37.0514392</v>
      </c>
      <c r="J9178" s="8" t="n">
        <f aca="false">(a_g3_29*tk_cxit_gb300+(1-a_g3_29)*tk_cxit_vr200)</f>
        <v>37.0514392</v>
      </c>
      <c r="K9178" s="8" t="n">
        <f aca="false">(a_g3_29*tk_cxit_gb300+(1-a_g3_29)*tk_cxit_vr200)</f>
        <v>37.0514392</v>
      </c>
      <c r="L9178" s="11" t="s">
        <v>843</v>
      </c>
    </row>
    <row r="9179" customFormat="false" ht="17.15" hidden="false" customHeight="false" outlineLevel="0" collapsed="false">
      <c r="A9179" s="0" t="s">
        <v>844</v>
      </c>
      <c r="B9179" s="0" t="s">
        <v>399</v>
      </c>
      <c r="F9179" s="29" t="n">
        <f aca="false">Sens!C9160*IF(Sens!F9153-Sens!C9153=life_it,1,0)+Sens!D9160*IF(Sens!F9153-Sens!D9153=life_it,1,0)+Sens!E9160*IF(Sens!F9153-Sens!E9153=life_it,1,0)</f>
        <v>0</v>
      </c>
      <c r="G9179" s="29" t="n">
        <f aca="false">Sens!C9160*IF(Sens!G9153-Sens!C9153=life_it,1,0)+Sens!D9160*IF(Sens!G9153-Sens!D9153=life_it,1,0)+Sens!E9160*IF(Sens!G9153-Sens!E9153=life_it,1,0)+Sens!F9160*IF(Sens!G9153-Sens!F9153=life_it,1,0)</f>
        <v>0</v>
      </c>
      <c r="H9179" s="29" t="n">
        <f aca="false">Sens!C9160*IF(Sens!H9153-Sens!C9153=life_it,1,0)+Sens!D9160*IF(Sens!H9153-Sens!D9153=life_it,1,0)+Sens!E9160*IF(Sens!H9153-Sens!E9153=life_it,1,0)+Sens!F9160*IF(Sens!H9153-Sens!F9153=life_it,1,0)+Sens!G9160*IF(Sens!H9153-Sens!G9153=life_it,1,0)</f>
        <v>0</v>
      </c>
      <c r="I9179" s="29" t="n">
        <f aca="false">Sens!C9160*IF(Sens!I9153-Sens!C9153=life_it,1,0)+Sens!D9160*IF(Sens!I9153-Sens!D9153=life_it,1,0)+Sens!E9160*IF(Sens!I9153-Sens!E9153=life_it,1,0)+Sens!F9160*IF(Sens!I9153-Sens!F9153=life_it,1,0)+Sens!G9160*IF(Sens!I9153-Sens!G9153=life_it,1,0)+Sens!H9160*IF(Sens!I9153-Sens!H9153=life_it,1,0)</f>
        <v>816.666666666667</v>
      </c>
      <c r="J9179" s="29" t="n">
        <f aca="false">Sens!C9160*IF(Sens!J9153-Sens!C9153=life_it,1,0)+Sens!D9160*IF(Sens!J9153-Sens!D9153=life_it,1,0)+Sens!E9160*IF(Sens!J9153-Sens!E9153=life_it,1,0)+Sens!F9160*IF(Sens!J9153-Sens!F9153=life_it,1,0)+Sens!G9160*IF(Sens!J9153-Sens!G9153=life_it,1,0)+Sens!H9160*IF(Sens!J9153-Sens!H9153=life_it,1,0)+Sens!I9160*IF(Sens!J9153-Sens!I9153=life_it,1,0)</f>
        <v>1233.33333333333</v>
      </c>
      <c r="K9179" s="29" t="n">
        <f aca="false">Sens!C9160*IF(Sens!K9153-Sens!C9153=life_it,1,0)+Sens!D9160*IF(Sens!K9153-Sens!D9153=life_it,1,0)+Sens!E9160*IF(Sens!K9153-Sens!E9153=life_it,1,0)+Sens!F9160*IF(Sens!K9153-Sens!F9153=life_it,1,0)+Sens!G9160*IF(Sens!K9153-Sens!G9153=life_it,1,0)+Sens!H9160*IF(Sens!K9153-Sens!H9153=life_it,1,0)+Sens!I9160*IF(Sens!K9153-Sens!I9153=life_it,1,0)+Sens!J9160*IF(Sens!K9153-Sens!J9153=life_it,1,0)</f>
        <v>2450</v>
      </c>
      <c r="L9179" s="1" t="s">
        <v>845</v>
      </c>
    </row>
    <row r="9180" customFormat="false" ht="17.15" hidden="false" customHeight="false" outlineLevel="0" collapsed="false">
      <c r="A9180" s="0" t="s">
        <v>846</v>
      </c>
      <c r="B9180" s="0" t="s">
        <v>98</v>
      </c>
      <c r="C9180" s="6" t="n">
        <f aca="false">Sens!C9160*Sens!C9178/1000</f>
        <v>22.5333845916667</v>
      </c>
      <c r="D9180" s="6" t="n">
        <f aca="false">Sens!D9160*Sens!D9178/1000</f>
        <v>34.0300093833333</v>
      </c>
      <c r="E9180" s="6" t="n">
        <f aca="false">Sens!E9160*Sens!E9178/1000</f>
        <v>67.600153775</v>
      </c>
      <c r="F9180" s="6" t="n">
        <f aca="false">(Sens!F9160+Sens!F9179)*Sens!F9178/1000</f>
        <v>130.923271871467</v>
      </c>
      <c r="G9180" s="6" t="n">
        <f aca="false">(Sens!G9160+Sens!G9179)*Sens!G9178/1000</f>
        <v>151.5545564832</v>
      </c>
      <c r="H9180" s="6" t="n">
        <f aca="false">(Sens!H9160+Sens!H9179)*Sens!H9178/1000</f>
        <v>156.0606619104</v>
      </c>
      <c r="I9180" s="6" t="n">
        <f aca="false">(Sens!I9160+Sens!I9179)*Sens!I9178/1000</f>
        <v>140.987889434245</v>
      </c>
      <c r="J9180" s="6" t="n">
        <f aca="false">(Sens!J9160+Sens!J9179)*Sens!J9178/1000</f>
        <v>113.309125559842</v>
      </c>
      <c r="K9180" s="6" t="n">
        <f aca="false">(Sens!K9160+Sens!K9179)*Sens!K9178/1000</f>
        <v>116.192591420959</v>
      </c>
    </row>
    <row r="9181" customFormat="false" ht="17.15" hidden="false" customHeight="false" outlineLevel="0" collapsed="false">
      <c r="A9181" s="0" t="s">
        <v>847</v>
      </c>
      <c r="B9181" s="0" t="s">
        <v>98</v>
      </c>
      <c r="C9181" s="6" t="n">
        <f aca="false">Sens!C9160*self_build*tk_cxfac/1000</f>
        <v>6.2083</v>
      </c>
      <c r="D9181" s="6" t="n">
        <f aca="false">Sens!D9160*self_build*tk_cxfac/1000</f>
        <v>9.3758</v>
      </c>
      <c r="E9181" s="6" t="n">
        <f aca="false">Sens!E9160*self_build*tk_cxfac/1000</f>
        <v>18.6249</v>
      </c>
      <c r="F9181" s="6" t="n">
        <f aca="false">Sens!F9160*self_build*tk_cxfac/1000</f>
        <v>29.409604</v>
      </c>
      <c r="G9181" s="6" t="n">
        <f aca="false">Sens!G9160*self_build*tk_cxfac/1000</f>
        <v>32.019624</v>
      </c>
      <c r="H9181" s="6" t="n">
        <f aca="false">Sens!H9160*self_build*tk_cxfac/1000</f>
        <v>32.019624</v>
      </c>
      <c r="I9181" s="6" t="n">
        <f aca="false">Sens!I9160*self_build*tk_cxfac/1000</f>
        <v>22.71877972</v>
      </c>
      <c r="J9181" s="6" t="n">
        <f aca="false">Sens!J9160*self_build*tk_cxfac/1000</f>
        <v>13.8723110344</v>
      </c>
      <c r="K9181" s="6" t="n">
        <f aca="false">Sens!K9160*self_build*tk_cxfac/1000</f>
        <v>5.214823882632</v>
      </c>
    </row>
    <row r="9182" customFormat="false" ht="17.15" hidden="false" customHeight="false" outlineLevel="0" collapsed="false">
      <c r="A9182" s="0" t="s">
        <v>848</v>
      </c>
      <c r="B9182" s="0" t="s">
        <v>98</v>
      </c>
      <c r="F9182" s="6" t="n">
        <f aca="false">MAX(0,capex_floor27-Sens!F9180-Sens!F9181-Sens!F9276)</f>
        <v>8.44771089897088</v>
      </c>
    </row>
    <row r="9183" customFormat="false" ht="17.15" hidden="false" customHeight="false" outlineLevel="0" collapsed="false">
      <c r="A9183" s="0" t="s">
        <v>849</v>
      </c>
      <c r="B9183" s="0" t="s">
        <v>98</v>
      </c>
      <c r="C9183" s="6" t="n">
        <f aca="false">Sens!C9180</f>
        <v>22.5333845916667</v>
      </c>
      <c r="D9183" s="6" t="n">
        <f aca="false">Sens!D9180</f>
        <v>34.0300093833333</v>
      </c>
      <c r="E9183" s="6" t="n">
        <f aca="false">Sens!E9180</f>
        <v>67.600153775</v>
      </c>
      <c r="F9183" s="6" t="n">
        <f aca="false">Sens!F9180</f>
        <v>130.923271871467</v>
      </c>
      <c r="G9183" s="6" t="n">
        <f aca="false">Sens!G9180</f>
        <v>151.5545564832</v>
      </c>
      <c r="H9183" s="6" t="n">
        <f aca="false">Sens!H9180</f>
        <v>156.0606619104</v>
      </c>
      <c r="I9183" s="6" t="n">
        <f aca="false">Sens!I9180</f>
        <v>140.987889434245</v>
      </c>
      <c r="J9183" s="6" t="n">
        <f aca="false">Sens!J9180</f>
        <v>113.309125559842</v>
      </c>
      <c r="K9183" s="6" t="n">
        <f aca="false">Sens!K9180</f>
        <v>116.192591420959</v>
      </c>
    </row>
    <row r="9184" customFormat="false" ht="17.15" hidden="false" customHeight="false" outlineLevel="0" collapsed="false">
      <c r="A9184" s="0" t="s">
        <v>850</v>
      </c>
      <c r="B9184" s="0" t="s">
        <v>98</v>
      </c>
      <c r="C9184" s="6" t="n">
        <f aca="false">Sens!C9183+Sens!C9181</f>
        <v>28.7416845916667</v>
      </c>
      <c r="D9184" s="6" t="n">
        <f aca="false">Sens!D9183+Sens!D9181</f>
        <v>43.4058093833333</v>
      </c>
      <c r="E9184" s="6" t="n">
        <f aca="false">Sens!E9183+Sens!E9181</f>
        <v>86.225053775</v>
      </c>
      <c r="F9184" s="6" t="n">
        <f aca="false">Sens!F9183+Sens!F9181</f>
        <v>160.332875871467</v>
      </c>
      <c r="G9184" s="6" t="n">
        <f aca="false">Sens!G9183+Sens!G9181</f>
        <v>183.5741804832</v>
      </c>
      <c r="H9184" s="6" t="n">
        <f aca="false">Sens!H9183+Sens!H9181</f>
        <v>188.0802859104</v>
      </c>
      <c r="I9184" s="6" t="n">
        <f aca="false">Sens!I9183+Sens!I9181</f>
        <v>163.706669154245</v>
      </c>
      <c r="J9184" s="6" t="n">
        <f aca="false">Sens!J9183+Sens!J9181</f>
        <v>127.181436594242</v>
      </c>
      <c r="K9184" s="6" t="n">
        <f aca="false">Sens!K9183+Sens!K9181</f>
        <v>121.407415303591</v>
      </c>
      <c r="L9184" s="11" t="s">
        <v>851</v>
      </c>
    </row>
    <row r="9185" customFormat="false" ht="17.15" hidden="false" customHeight="false" outlineLevel="0" collapsed="false">
      <c r="A9185" s="0" t="s">
        <v>852</v>
      </c>
      <c r="B9185" s="0" t="s">
        <v>98</v>
      </c>
      <c r="E9185" s="6" t="n">
        <f aca="false">(Sens!C9183*IF(2&lt;life_it,1,IF(2=life_it,0.5,0))+Sens!D9183*IF(1&lt;life_it,1,IF(1=life_it,0.5,0))+Sens!E9183*0.5)/life_it</f>
        <v>15.0605784770833</v>
      </c>
      <c r="F9185" s="6" t="n">
        <f aca="false">(Sens!C9183*IF(3&lt;life_it,1,IF(3=life_it,0.5,0))+Sens!D9183*IF(2&lt;life_it,1,IF(2=life_it,0.5,0))+Sens!E9183*IF(1&lt;life_it,1,IF(1=life_it,0.5,0))+Sens!F9183*0.5)/life_it</f>
        <v>31.6041972809556</v>
      </c>
      <c r="G9185" s="6" t="n">
        <f aca="false">(Sens!C9183*IF(4&lt;life_it,1,IF(4=life_it,0.5,0))+Sens!D9183*IF(3&lt;life_it,1,IF(3=life_it,0.5,0))+Sens!E9183*IF(2&lt;life_it,1,IF(2=life_it,0.5,0))+Sens!F9183*IF(1&lt;life_it,1,IF(1=life_it,0.5,0))+Sens!G9183*0.5)/life_it</f>
        <v>55.1440163105111</v>
      </c>
      <c r="H9185" s="6" t="n">
        <f aca="false">(Sens!C9183*IF(5&lt;life_it,1,IF(5=life_it,0.5,0))+Sens!D9183*IF(4&lt;life_it,1,IF(4=life_it,0.5,0))+Sens!E9183*IF(3&lt;life_it,1,IF(3=life_it,0.5,0))+Sens!F9183*IF(2&lt;life_it,1,IF(2=life_it,0.5,0))+Sens!G9183*IF(1&lt;life_it,1,IF(1=life_it,0.5,0))+Sens!H9183*0.5)/life_it</f>
        <v>80.7786178433111</v>
      </c>
      <c r="I9185" s="6" t="n">
        <f aca="false">(Sens!C9183*IF(6&lt;life_it,1,IF(6=life_it,0.5,0))+Sens!D9183*IF(5&lt;life_it,1,IF(5=life_it,0.5,0))+Sens!E9183*IF(4&lt;life_it,1,IF(4=life_it,0.5,0))+Sens!F9183*IF(3&lt;life_it,1,IF(3=life_it,0.5,0))+Sens!G9183*IF(2&lt;life_it,1,IF(2=life_it,0.5,0))+Sens!H9183*IF(1&lt;life_it,1,IF(1=life_it,0.5,0))+Sens!I9183*0.5)/life_it</f>
        <v>103.654881739393</v>
      </c>
      <c r="J9185" s="6" t="n">
        <f aca="false">(Sens!C9183*IF(7&lt;life_it,1,IF(7=life_it,0.5,0))+Sens!D9183*IF(6&lt;life_it,1,IF(6=life_it,0.5,0))+Sens!E9183*IF(5&lt;life_it,1,IF(5=life_it,0.5,0))+Sens!F9183*IF(4&lt;life_it,1,IF(4=life_it,0.5,0))+Sens!G9183*IF(3&lt;life_it,1,IF(3=life_it,0.5,0))+Sens!H9183*IF(2&lt;life_it,1,IF(2=life_it,0.5,0))+Sens!I9183*IF(1&lt;life_it,1,IF(1=life_it,0.5,0))+Sens!J9183*0.5)/life_it</f>
        <v>120.132683490983</v>
      </c>
      <c r="K9185" s="6" t="n">
        <f aca="false">(Sens!C9183*IF(8&lt;life_it,1,IF(8=life_it,0.5,0))+Sens!D9183*IF(7&lt;life_it,1,IF(7=life_it,0.5,0))+Sens!E9183*IF(6&lt;life_it,1,IF(6=life_it,0.5,0))+Sens!F9183*IF(5&lt;life_it,1,IF(5=life_it,0.5,0))+Sens!G9183*IF(4&lt;life_it,1,IF(4=life_it,0.5,0))+Sens!H9183*IF(3&lt;life_it,1,IF(3=life_it,0.5,0))+Sens!I9183*IF(2&lt;life_it,1,IF(2=life_it,0.5,0))+Sens!J9183*IF(1&lt;life_it,1,IF(1=life_it,0.5,0))+Sens!K9183*0.5)/life_it</f>
        <v>130.788646309522</v>
      </c>
    </row>
    <row r="9186" customFormat="false" ht="17.15" hidden="false" customHeight="false" outlineLevel="0" collapsed="false">
      <c r="A9186" s="0" t="s">
        <v>853</v>
      </c>
      <c r="B9186" s="0" t="s">
        <v>98</v>
      </c>
      <c r="E9186" s="6" t="n">
        <f aca="false">(Sens!C9181*IF(2&lt;life_fac,1,IF(2=life_fac,0.5,0))+Sens!D9181*IF(1&lt;life_fac,1,IF(1=life_fac,0.5,0))+Sens!E9181*0.5)/life_fac</f>
        <v>1.2448275</v>
      </c>
      <c r="F9186" s="6" t="n">
        <f aca="false">(Sens!C9181*IF(3&lt;life_fac,1,IF(3=life_fac,0.5,0))+Sens!D9181*IF(2&lt;life_fac,1,IF(2=life_fac,0.5,0))+Sens!E9181*IF(1&lt;life_fac,1,IF(1=life_fac,0.5,0))+Sens!F9181*0.5)/life_fac</f>
        <v>2.4456901</v>
      </c>
      <c r="G9186" s="6" t="n">
        <f aca="false">(Sens!C9181*IF(4&lt;life_fac,1,IF(4=life_fac,0.5,0))+Sens!D9181*IF(3&lt;life_fac,1,IF(3=life_fac,0.5,0))+Sens!E9181*IF(2&lt;life_fac,1,IF(2=life_fac,0.5,0))+Sens!F9181*IF(1&lt;life_fac,1,IF(1=life_fac,0.5,0))+Sens!G9181*0.5)/life_fac</f>
        <v>3.9814208</v>
      </c>
      <c r="H9186" s="6" t="n">
        <f aca="false">(Sens!C9181*IF(5&lt;life_fac,1,IF(5=life_fac,0.5,0))+Sens!D9181*IF(4&lt;life_fac,1,IF(4=life_fac,0.5,0))+Sens!E9181*IF(3&lt;life_fac,1,IF(3=life_fac,0.5,0))+Sens!F9181*IF(2&lt;life_fac,1,IF(2=life_fac,0.5,0))+Sens!G9181*IF(1&lt;life_fac,1,IF(1=life_fac,0.5,0))+Sens!H9181*0.5)/life_fac</f>
        <v>5.582402</v>
      </c>
      <c r="I9186" s="6" t="n">
        <f aca="false">(Sens!C9181*IF(6&lt;life_fac,1,IF(6=life_fac,0.5,0))+Sens!D9181*IF(5&lt;life_fac,1,IF(5=life_fac,0.5,0))+Sens!E9181*IF(4&lt;life_fac,1,IF(4=life_fac,0.5,0))+Sens!F9181*IF(3&lt;life_fac,1,IF(3=life_fac,0.5,0))+Sens!G9181*IF(2&lt;life_fac,1,IF(2=life_fac,0.5,0))+Sens!H9181*IF(1&lt;life_fac,1,IF(1=life_fac,0.5,0))+Sens!I9181*0.5)/life_fac</f>
        <v>6.950862093</v>
      </c>
      <c r="J9186" s="6" t="n">
        <f aca="false">(Sens!C9181*IF(7&lt;life_fac,1,IF(7=life_fac,0.5,0))+Sens!D9181*IF(6&lt;life_fac,1,IF(6=life_fac,0.5,0))+Sens!E9181*IF(5&lt;life_fac,1,IF(5=life_fac,0.5,0))+Sens!F9181*IF(4&lt;life_fac,1,IF(4=life_fac,0.5,0))+Sens!G9181*IF(3&lt;life_fac,1,IF(3=life_fac,0.5,0))+Sens!H9181*IF(2&lt;life_fac,1,IF(2=life_fac,0.5,0))+Sens!I9181*IF(1&lt;life_fac,1,IF(1=life_fac,0.5,0))+Sens!J9181*0.5)/life_fac</f>
        <v>7.86563936186</v>
      </c>
      <c r="K9186" s="6" t="n">
        <f aca="false">(Sens!C9181*IF(8&lt;life_fac,1,IF(8=life_fac,0.5,0))+Sens!D9181*IF(7&lt;life_fac,1,IF(7=life_fac,0.5,0))+Sens!E9181*IF(6&lt;life_fac,1,IF(6=life_fac,0.5,0))+Sens!F9181*IF(5&lt;life_fac,1,IF(5=life_fac,0.5,0))+Sens!G9181*IF(4&lt;life_fac,1,IF(4=life_fac,0.5,0))+Sens!H9181*IF(3&lt;life_fac,1,IF(3=life_fac,0.5,0))+Sens!I9181*IF(2&lt;life_fac,1,IF(2=life_fac,0.5,0))+Sens!J9181*IF(1&lt;life_fac,1,IF(1=life_fac,0.5,0))+Sens!K9181*0.5)/life_fac</f>
        <v>8.3428177347858</v>
      </c>
    </row>
    <row r="9187" customFormat="false" ht="17.15" hidden="false" customHeight="false" outlineLevel="0" collapsed="false">
      <c r="A9187" s="0" t="s">
        <v>854</v>
      </c>
      <c r="B9187" s="0" t="s">
        <v>98</v>
      </c>
      <c r="E9187" s="6" t="n">
        <f aca="false">Sens!E9185+Sens!E9186</f>
        <v>16.3054059770833</v>
      </c>
      <c r="F9187" s="6" t="n">
        <f aca="false">Sens!F9185+Sens!F9186</f>
        <v>34.0498873809555</v>
      </c>
      <c r="G9187" s="6" t="n">
        <f aca="false">Sens!G9185+Sens!G9186</f>
        <v>59.1254371105111</v>
      </c>
      <c r="H9187" s="6" t="n">
        <f aca="false">Sens!H9185+Sens!H9186</f>
        <v>86.3610198433111</v>
      </c>
      <c r="I9187" s="6" t="n">
        <f aca="false">Sens!I9185+Sens!I9186</f>
        <v>110.605743832393</v>
      </c>
      <c r="J9187" s="6" t="n">
        <f aca="false">Sens!J9185+Sens!J9186</f>
        <v>127.998322852843</v>
      </c>
      <c r="K9187" s="6" t="n">
        <f aca="false">Sens!K9185+Sens!K9186</f>
        <v>139.131464044308</v>
      </c>
    </row>
    <row r="9188" customFormat="false" ht="17.15" hidden="false" customHeight="false" outlineLevel="0" collapsed="false">
      <c r="A9188" s="0" t="s">
        <v>855</v>
      </c>
      <c r="B9188" s="0" t="s">
        <v>98</v>
      </c>
      <c r="E9188" s="6" t="n">
        <f aca="false">Sens!E9176-Sens!E9175*Sens!E9187</f>
        <v>8.92707889977379</v>
      </c>
      <c r="F9188" s="6" t="n">
        <f aca="false">Sens!F9176-Sens!F9175*Sens!F9187</f>
        <v>14.6274131339686</v>
      </c>
      <c r="G9188" s="6" t="n">
        <f aca="false">Sens!G9176-Sens!G9175*Sens!G9187</f>
        <v>16.7752349049804</v>
      </c>
      <c r="H9188" s="6" t="n">
        <f aca="false">Sens!H9176-Sens!H9175*Sens!H9187</f>
        <v>13.4630579450404</v>
      </c>
      <c r="I9188" s="6" t="n">
        <f aca="false">Sens!I9176-Sens!I9175*Sens!I9187</f>
        <v>16.9068533370192</v>
      </c>
      <c r="J9188" s="6" t="n">
        <f aca="false">Sens!J9176-Sens!J9175*Sens!J9187</f>
        <v>19.3011433836036</v>
      </c>
      <c r="K9188" s="6" t="n">
        <f aca="false">Sens!K9176-Sens!K9175*Sens!K9187</f>
        <v>21.3550700932312</v>
      </c>
    </row>
    <row r="9189" customFormat="false" ht="17.15" hidden="false" customHeight="false" outlineLevel="0" collapsed="false">
      <c r="A9189" s="3" t="s">
        <v>1498</v>
      </c>
    </row>
    <row r="9190" customFormat="false" ht="15" hidden="false" customHeight="false" outlineLevel="0" collapsed="false">
      <c r="A9190" s="4" t="s">
        <v>43</v>
      </c>
      <c r="B9190" s="4" t="s">
        <v>65</v>
      </c>
      <c r="C9190" s="20" t="s">
        <v>799</v>
      </c>
      <c r="D9190" s="20" t="s">
        <v>800</v>
      </c>
      <c r="E9190" s="20" t="s">
        <v>801</v>
      </c>
      <c r="F9190" s="20" t="s">
        <v>802</v>
      </c>
      <c r="G9190" s="20" t="s">
        <v>803</v>
      </c>
      <c r="H9190" s="20" t="s">
        <v>804</v>
      </c>
      <c r="I9190" s="20" t="s">
        <v>805</v>
      </c>
      <c r="J9190" s="20" t="s">
        <v>806</v>
      </c>
      <c r="K9190" s="20" t="s">
        <v>807</v>
      </c>
      <c r="L9190" s="4" t="s">
        <v>47</v>
      </c>
    </row>
    <row r="9191" customFormat="false" ht="17.15" hidden="false" customHeight="false" outlineLevel="0" collapsed="false">
      <c r="A9191" s="0" t="s">
        <v>874</v>
      </c>
      <c r="B9191" s="0" t="s">
        <v>98</v>
      </c>
      <c r="D9191" s="6" t="n">
        <f aca="false">Sens!D9170</f>
        <v>12.9359794422418</v>
      </c>
      <c r="E9191" s="6" t="n">
        <f aca="false">Sens!E9170</f>
        <v>27.8095064661409</v>
      </c>
      <c r="F9191" s="6" t="n">
        <f aca="false">Sens!F9170</f>
        <v>50.6619113883066</v>
      </c>
      <c r="G9191" s="6" t="n">
        <f aca="false">Sens!G9170</f>
        <v>75.1482839325348</v>
      </c>
      <c r="H9191" s="6" t="n">
        <f aca="false">Sens!H9170</f>
        <v>94.895655604042</v>
      </c>
      <c r="I9191" s="6" t="n">
        <f aca="false">Sens!I9170</f>
        <v>118.706168884151</v>
      </c>
      <c r="J9191" s="6" t="n">
        <f aca="false">Sens!J9170</f>
        <v>135.50643871102</v>
      </c>
      <c r="K9191" s="6" t="n">
        <f aca="false">Sens!K9170</f>
        <v>146.509068150048</v>
      </c>
    </row>
    <row r="9192" customFormat="false" ht="17.15" hidden="false" customHeight="false" outlineLevel="0" collapsed="false">
      <c r="A9192" s="0" t="s">
        <v>875</v>
      </c>
      <c r="B9192" s="0" t="s">
        <v>98</v>
      </c>
      <c r="D9192" s="6" t="n">
        <f aca="false">Q!L6-Sens!D9191</f>
        <v>59.6740205577583</v>
      </c>
      <c r="E9192" s="6" t="n">
        <f aca="false">Q!M6-Sens!E9191</f>
        <v>74.1284935338591</v>
      </c>
      <c r="F9192" s="6" t="n">
        <f aca="false">Sens!E9192*(1+Sens!F9193)</f>
        <v>90.0799497373663</v>
      </c>
      <c r="G9192" s="6" t="n">
        <f aca="false">Sens!F9192*(1+Sens!G9193)</f>
        <v>107.02842520331</v>
      </c>
      <c r="H9192" s="6" t="n">
        <f aca="false">Sens!G9192*(1+Sens!H9193)</f>
        <v>124.271982585636</v>
      </c>
      <c r="I9192" s="6" t="n">
        <f aca="false">Sens!H9192*(1+Sens!I9193)</f>
        <v>140.933702381855</v>
      </c>
      <c r="J9192" s="6" t="n">
        <f aca="false">Sens!I9192*(1+Sens!J9193)</f>
        <v>156.018867314332</v>
      </c>
      <c r="K9192" s="6" t="n">
        <f aca="false">Sens!J9192*(1+Sens!K9193)</f>
        <v>168.500376699478</v>
      </c>
    </row>
    <row r="9193" customFormat="false" ht="15" hidden="false" customHeight="false" outlineLevel="0" collapsed="false">
      <c r="A9193" s="1" t="s">
        <v>876</v>
      </c>
      <c r="B9193" s="0" t="s">
        <v>129</v>
      </c>
      <c r="E9193" s="7" t="n">
        <f aca="false">Sens!E9192/Sens!D9192-1</f>
        <v>0.242223883039864</v>
      </c>
      <c r="F9193" s="7" t="n">
        <f aca="false">Sens!$E$9193+(glt_azo-Sens!$E$9193)*MIN(1,(Sens!F9153-base_fy)/n_conv)</f>
        <v>0.215186569199887</v>
      </c>
      <c r="G9193" s="7" t="n">
        <f aca="false">Sens!$E$9193+(glt_azo-Sens!$E$9193)*MIN(1,(Sens!G9153-base_fy)/n_conv)</f>
        <v>0.18814925535991</v>
      </c>
      <c r="H9193" s="7" t="n">
        <f aca="false">Sens!$E$9193+(glt_azo-Sens!$E$9193)*MIN(1,(Sens!H9153-base_fy)/n_conv)</f>
        <v>0.161111941519932</v>
      </c>
      <c r="I9193" s="7" t="n">
        <f aca="false">Sens!$E$9193+(glt_azo-Sens!$E$9193)*MIN(1,(Sens!I9153-base_fy)/n_conv)</f>
        <v>0.134074627679955</v>
      </c>
      <c r="J9193" s="7" t="n">
        <f aca="false">Sens!$E$9193+(glt_azo-Sens!$E$9193)*MIN(1,(Sens!J9153-base_fy)/n_conv)</f>
        <v>0.107037313839977</v>
      </c>
      <c r="K9193" s="7" t="n">
        <f aca="false">Sens!$E$9193+(glt_azo-Sens!$E$9193)*MIN(1,(Sens!K9153-base_fy)/n_conv)</f>
        <v>0.08</v>
      </c>
    </row>
    <row r="9194" customFormat="false" ht="15" hidden="false" customHeight="false" outlineLevel="0" collapsed="false">
      <c r="A9194" s="0" t="s">
        <v>877</v>
      </c>
      <c r="B9194" s="0" t="s">
        <v>98</v>
      </c>
      <c r="D9194" s="6" t="n">
        <f aca="false">Sens!D9191+Sens!D9192</f>
        <v>72.61</v>
      </c>
      <c r="E9194" s="6" t="n">
        <f aca="false">Sens!E9191+Sens!E9192</f>
        <v>101.938</v>
      </c>
      <c r="F9194" s="6" t="n">
        <f aca="false">Sens!F9191+Sens!F9192</f>
        <v>140.741861125673</v>
      </c>
      <c r="G9194" s="6" t="n">
        <f aca="false">Sens!G9191+Sens!G9192</f>
        <v>182.176709135845</v>
      </c>
      <c r="H9194" s="6" t="n">
        <f aca="false">Sens!H9191+Sens!H9192</f>
        <v>219.167638189678</v>
      </c>
      <c r="I9194" s="6" t="n">
        <f aca="false">Sens!I9191+Sens!I9192</f>
        <v>259.639871266006</v>
      </c>
      <c r="J9194" s="6" t="n">
        <f aca="false">Sens!J9191+Sens!J9192</f>
        <v>291.525306025352</v>
      </c>
      <c r="K9194" s="6" t="n">
        <f aca="false">Sens!K9191+Sens!K9192</f>
        <v>315.009444849526</v>
      </c>
    </row>
    <row r="9195" customFormat="false" ht="17.15" hidden="false" customHeight="false" outlineLevel="0" collapsed="false">
      <c r="A9195" s="0" t="s">
        <v>878</v>
      </c>
      <c r="B9195" s="1" t="s">
        <v>528</v>
      </c>
      <c r="C9195" s="29" t="n">
        <f aca="false">cop_s24</f>
        <v>1</v>
      </c>
      <c r="D9195" s="29" t="n">
        <f aca="false">cop_s25</f>
        <v>5</v>
      </c>
      <c r="E9195" s="29" t="n">
        <f aca="false">cop_s26</f>
        <v>30</v>
      </c>
      <c r="F9195" s="29" t="n">
        <f aca="false">Sens!E9195+cop_add_C</f>
        <v>40</v>
      </c>
      <c r="G9195" s="29" t="n">
        <f aca="false">Sens!F9195+cop_add_C</f>
        <v>50</v>
      </c>
      <c r="H9195" s="29" t="n">
        <f aca="false">Sens!G9195+cop_add_C</f>
        <v>60</v>
      </c>
      <c r="I9195" s="29" t="n">
        <f aca="false">Sens!H9195+cop_add_C*cop_tail</f>
        <v>65</v>
      </c>
      <c r="J9195" s="29" t="n">
        <f aca="false">Sens!I9195+cop_add_C*cop_tail</f>
        <v>70</v>
      </c>
      <c r="K9195" s="29" t="n">
        <f aca="false">Sens!J9195+cop_add_C*cop_tail</f>
        <v>75</v>
      </c>
      <c r="L9195" s="11" t="s">
        <v>879</v>
      </c>
    </row>
    <row r="9196" customFormat="false" ht="17.15" hidden="false" customHeight="false" outlineLevel="0" collapsed="false">
      <c r="A9196" s="0" t="s">
        <v>880</v>
      </c>
      <c r="B9196" s="0" t="s">
        <v>98</v>
      </c>
      <c r="D9196" s="6" t="n">
        <f aca="false">(Sens!C9195+Sens!D9195)/2*cop_px*12/1000</f>
        <v>0.9</v>
      </c>
      <c r="E9196" s="6" t="n">
        <f aca="false">(Sens!D9195+Sens!E9195)/2*cop_px*12/1000</f>
        <v>5.25</v>
      </c>
      <c r="F9196" s="6" t="n">
        <f aca="false">(Sens!E9195+Sens!F9195)/2*cop_px*12/1000</f>
        <v>10.5</v>
      </c>
      <c r="G9196" s="6" t="n">
        <f aca="false">(Sens!F9195+Sens!G9195)/2*cop_px*12/1000</f>
        <v>13.5</v>
      </c>
      <c r="H9196" s="6" t="n">
        <f aca="false">(Sens!G9195+Sens!H9195)/2*cop_px*12/1000</f>
        <v>16.5</v>
      </c>
      <c r="I9196" s="6" t="n">
        <f aca="false">(Sens!H9195+Sens!I9195)/2*cop_px*12/1000</f>
        <v>18.75</v>
      </c>
      <c r="J9196" s="6" t="n">
        <f aca="false">(Sens!I9195+Sens!J9195)/2*cop_px*12/1000</f>
        <v>20.25</v>
      </c>
      <c r="K9196" s="6" t="n">
        <f aca="false">(Sens!J9195+Sens!K9195)/2*cop_px*12/1000</f>
        <v>21.75</v>
      </c>
      <c r="L9196" s="1" t="s">
        <v>881</v>
      </c>
    </row>
    <row r="9197" customFormat="false" ht="17.15" hidden="false" customHeight="false" outlineLevel="0" collapsed="false">
      <c r="A9197" s="0" t="s">
        <v>882</v>
      </c>
      <c r="B9197" s="0" t="s">
        <v>98</v>
      </c>
      <c r="D9197" s="6" t="n">
        <f aca="false">Q!L7-Sens!D9196</f>
        <v>83.705</v>
      </c>
      <c r="E9197" s="6" t="n">
        <f aca="false">Q!M7-Sens!E9196</f>
        <v>95.049</v>
      </c>
      <c r="F9197" s="6" t="n">
        <f aca="false">Sens!E9197*(1+Sens!F9198)</f>
        <v>106.89238776686</v>
      </c>
      <c r="G9197" s="6" t="n">
        <f aca="false">Sens!F9197*(1+Sens!G9198)</f>
        <v>119.044168448684</v>
      </c>
      <c r="H9197" s="6" t="n">
        <f aca="false">Sens!G9197*(1+Sens!H9198)</f>
        <v>131.277359388781</v>
      </c>
      <c r="I9197" s="6" t="n">
        <f aca="false">Sens!H9197*(1+Sens!I9198)</f>
        <v>143.334028071957</v>
      </c>
      <c r="J9197" s="6" t="n">
        <f aca="false">Sens!I9197*(1+Sens!J9198)</f>
        <v>154.932702785465</v>
      </c>
      <c r="K9197" s="6" t="n">
        <f aca="false">Sens!J9197*(1+Sens!K9198)</f>
        <v>165.777991980448</v>
      </c>
    </row>
    <row r="9198" customFormat="false" ht="15" hidden="false" customHeight="false" outlineLevel="0" collapsed="false">
      <c r="A9198" s="1" t="s">
        <v>876</v>
      </c>
      <c r="B9198" s="0" t="s">
        <v>129</v>
      </c>
      <c r="E9198" s="7" t="n">
        <f aca="false">Sens!E9197/Sens!D9197-1</f>
        <v>0.135523564900544</v>
      </c>
      <c r="F9198" s="7" t="n">
        <f aca="false">Sens!$E$9198+(glt_m365b-Sens!$E$9198)*MIN(1,(Sens!F9153-base_fy)/n_conv)</f>
        <v>0.124602970750453</v>
      </c>
      <c r="G9198" s="7" t="n">
        <f aca="false">Sens!$E$9198+(glt_m365b-Sens!$E$9198)*MIN(1,(Sens!G9153-base_fy)/n_conv)</f>
        <v>0.113682376600363</v>
      </c>
      <c r="H9198" s="7" t="n">
        <f aca="false">Sens!$E$9198+(glt_m365b-Sens!$E$9198)*MIN(1,(Sens!H9153-base_fy)/n_conv)</f>
        <v>0.102761782450272</v>
      </c>
      <c r="I9198" s="7" t="n">
        <f aca="false">Sens!$E$9198+(glt_m365b-Sens!$E$9198)*MIN(1,(Sens!I9153-base_fy)/n_conv)</f>
        <v>0.0918411883001813</v>
      </c>
      <c r="J9198" s="7" t="n">
        <f aca="false">Sens!$E$9198+(glt_m365b-Sens!$E$9198)*MIN(1,(Sens!J9153-base_fy)/n_conv)</f>
        <v>0.0809205941500906</v>
      </c>
      <c r="K9198" s="7" t="n">
        <f aca="false">Sens!$E$9198+(glt_m365b-Sens!$E$9198)*MIN(1,(Sens!K9153-base_fy)/n_conv)</f>
        <v>0.07</v>
      </c>
    </row>
    <row r="9199" customFormat="false" ht="15" hidden="false" customHeight="false" outlineLevel="0" collapsed="false">
      <c r="A9199" s="0" t="s">
        <v>883</v>
      </c>
      <c r="B9199" s="0" t="s">
        <v>98</v>
      </c>
      <c r="D9199" s="6" t="n">
        <f aca="false">Sens!D9197+Sens!D9196</f>
        <v>84.605</v>
      </c>
      <c r="E9199" s="6" t="n">
        <f aca="false">Sens!E9197+Sens!E9196</f>
        <v>100.299</v>
      </c>
      <c r="F9199" s="6" t="n">
        <f aca="false">Sens!F9197+Sens!F9196</f>
        <v>117.39238776686</v>
      </c>
      <c r="G9199" s="6" t="n">
        <f aca="false">Sens!G9197+Sens!G9196</f>
        <v>132.544168448684</v>
      </c>
      <c r="H9199" s="6" t="n">
        <f aca="false">Sens!H9197+Sens!H9196</f>
        <v>147.777359388781</v>
      </c>
      <c r="I9199" s="6" t="n">
        <f aca="false">Sens!I9197+Sens!I9196</f>
        <v>162.084028071957</v>
      </c>
      <c r="J9199" s="6" t="n">
        <f aca="false">Sens!J9197+Sens!J9196</f>
        <v>175.182702785465</v>
      </c>
      <c r="K9199" s="6" t="n">
        <f aca="false">Sens!K9197+Sens!K9196</f>
        <v>187.527991980448</v>
      </c>
    </row>
    <row r="9200" customFormat="false" ht="15" hidden="false" customHeight="false" outlineLevel="0" collapsed="false">
      <c r="A9200" s="0" t="s">
        <v>884</v>
      </c>
      <c r="B9200" s="0" t="s">
        <v>98</v>
      </c>
      <c r="D9200" s="6" t="n">
        <f aca="false">Q!L8</f>
        <v>35.391</v>
      </c>
      <c r="E9200" s="6" t="n">
        <f aca="false">Q!M8</f>
        <v>37.285</v>
      </c>
      <c r="F9200" s="6" t="n">
        <f aca="false">Sens!E9200*(1+Sens!F9201)</f>
        <v>39.0720834331704</v>
      </c>
      <c r="G9200" s="6" t="n">
        <f aca="false">Sens!F9200*(1+Sens!G9201)</f>
        <v>40.726562953769</v>
      </c>
      <c r="H9200" s="6" t="n">
        <f aca="false">Sens!G9200*(1+Sens!H9201)</f>
        <v>42.2235987259198</v>
      </c>
      <c r="I9200" s="6" t="n">
        <f aca="false">Sens!H9200*(1+Sens!I9201)</f>
        <v>43.5397988077414</v>
      </c>
      <c r="J9200" s="6" t="n">
        <f aca="false">Sens!I9200*(1+Sens!J9201)</f>
        <v>44.653811225693</v>
      </c>
      <c r="K9200" s="6" t="n">
        <f aca="false">Sens!J9200*(1+Sens!K9201)</f>
        <v>45.5468874502068</v>
      </c>
    </row>
    <row r="9201" customFormat="false" ht="15" hidden="false" customHeight="false" outlineLevel="0" collapsed="false">
      <c r="A9201" s="1" t="s">
        <v>876</v>
      </c>
      <c r="B9201" s="0" t="s">
        <v>129</v>
      </c>
      <c r="E9201" s="7" t="n">
        <f aca="false">Sens!E9200/Sens!D9200-1</f>
        <v>0.0535164307309768</v>
      </c>
      <c r="F9201" s="7" t="n">
        <f aca="false">Sens!$E$9201+(glt_lic-Sens!$E$9201)*MIN(1,(Sens!F9153-base_fy)/n_conv)</f>
        <v>0.0479303589424807</v>
      </c>
      <c r="G9201" s="7" t="n">
        <f aca="false">Sens!$E$9201+(glt_lic-Sens!$E$9201)*MIN(1,(Sens!G9153-base_fy)/n_conv)</f>
        <v>0.0423442871539845</v>
      </c>
      <c r="H9201" s="7" t="n">
        <f aca="false">Sens!$E$9201+(glt_lic-Sens!$E$9201)*MIN(1,(Sens!H9153-base_fy)/n_conv)</f>
        <v>0.0367582153654884</v>
      </c>
      <c r="I9201" s="7" t="n">
        <f aca="false">Sens!$E$9201+(glt_lic-Sens!$E$9201)*MIN(1,(Sens!I9153-base_fy)/n_conv)</f>
        <v>0.0311721435769923</v>
      </c>
      <c r="J9201" s="7" t="n">
        <f aca="false">Sens!$E$9201+(glt_lic-Sens!$E$9201)*MIN(1,(Sens!J9153-base_fy)/n_conv)</f>
        <v>0.0255860717884961</v>
      </c>
      <c r="K9201" s="7" t="n">
        <f aca="false">Sens!$E$9201+(glt_lic-Sens!$E$9201)*MIN(1,(Sens!K9153-base_fy)/n_conv)</f>
        <v>0.02</v>
      </c>
    </row>
    <row r="9202" customFormat="false" ht="15" hidden="false" customHeight="false" outlineLevel="0" collapsed="false">
      <c r="A9202" s="0" t="s">
        <v>885</v>
      </c>
      <c r="B9202" s="0" t="s">
        <v>98</v>
      </c>
      <c r="D9202" s="6" t="n">
        <f aca="false">Q!L9</f>
        <v>18.417</v>
      </c>
      <c r="E9202" s="6" t="n">
        <f aca="false">Q!M9</f>
        <v>20.345</v>
      </c>
      <c r="F9202" s="6" t="n">
        <f aca="false">Sens!E9202*(1+Sens!F9203)</f>
        <v>22.3572203267814</v>
      </c>
      <c r="G9202" s="6" t="n">
        <f aca="false">Sens!F9202*(1+Sens!G9203)</f>
        <v>24.4392124437232</v>
      </c>
      <c r="H9202" s="6" t="n">
        <f aca="false">Sens!G9202*(1+Sens!H9203)</f>
        <v>26.5738052080665</v>
      </c>
      <c r="I9202" s="6" t="n">
        <f aca="false">Sens!H9202*(1+Sens!I9203)</f>
        <v>28.7412169166967</v>
      </c>
      <c r="J9202" s="6" t="n">
        <f aca="false">Sens!I9202*(1+Sens!J9203)</f>
        <v>30.9192545395413</v>
      </c>
      <c r="K9202" s="6" t="n">
        <f aca="false">Sens!J9202*(1+Sens!K9203)</f>
        <v>33.0836023573092</v>
      </c>
    </row>
    <row r="9203" customFormat="false" ht="15" hidden="false" customHeight="false" outlineLevel="0" collapsed="false">
      <c r="A9203" s="1" t="s">
        <v>876</v>
      </c>
      <c r="B9203" s="0" t="s">
        <v>129</v>
      </c>
      <c r="E9203" s="7" t="n">
        <f aca="false">Sens!E9202/Sens!D9202-1</f>
        <v>0.104685888038225</v>
      </c>
      <c r="F9203" s="7" t="n">
        <f aca="false">Sens!$E$9203+(glt_ind-Sens!$E$9203)*MIN(1,(Sens!F9153-base_fy)/n_conv)</f>
        <v>0.0989049066985211</v>
      </c>
      <c r="G9203" s="7" t="n">
        <f aca="false">Sens!$E$9203+(glt_ind-Sens!$E$9203)*MIN(1,(Sens!G9153-base_fy)/n_conv)</f>
        <v>0.0931239253588169</v>
      </c>
      <c r="H9203" s="7" t="n">
        <f aca="false">Sens!$E$9203+(glt_ind-Sens!$E$9203)*MIN(1,(Sens!H9153-base_fy)/n_conv)</f>
        <v>0.0873429440191127</v>
      </c>
      <c r="I9203" s="7" t="n">
        <f aca="false">Sens!$E$9203+(glt_ind-Sens!$E$9203)*MIN(1,(Sens!I9153-base_fy)/n_conv)</f>
        <v>0.0815619626794085</v>
      </c>
      <c r="J9203" s="7" t="n">
        <f aca="false">Sens!$E$9203+(glt_ind-Sens!$E$9203)*MIN(1,(Sens!J9153-base_fy)/n_conv)</f>
        <v>0.0757809813397042</v>
      </c>
      <c r="K9203" s="7" t="n">
        <f aca="false">Sens!$E$9203+(glt_ind-Sens!$E$9203)*MIN(1,(Sens!K9153-base_fy)/n_conv)</f>
        <v>0.07</v>
      </c>
    </row>
    <row r="9204" customFormat="false" ht="15" hidden="false" customHeight="false" outlineLevel="0" collapsed="false">
      <c r="A9204" s="0" t="s">
        <v>886</v>
      </c>
      <c r="B9204" s="0" t="s">
        <v>98</v>
      </c>
      <c r="D9204" s="6" t="n">
        <f aca="false">Q!L10</f>
        <v>7.76</v>
      </c>
      <c r="E9204" s="6" t="n">
        <f aca="false">Q!M10</f>
        <v>8.26</v>
      </c>
      <c r="F9204" s="6" t="n">
        <f aca="false">Sens!E9204*(1+Sens!F9205)</f>
        <v>8.79988041237113</v>
      </c>
      <c r="G9204" s="6" t="n">
        <f aca="false">Sens!F9204*(1+Sens!G9205)</f>
        <v>9.38321269125306</v>
      </c>
      <c r="H9204" s="6" t="n">
        <f aca="false">Sens!G9204*(1+Sens!H9205)</f>
        <v>10.0139193587476</v>
      </c>
      <c r="I9204" s="6" t="n">
        <f aca="false">Sens!H9204*(1+Sens!I9205)</f>
        <v>10.6963111830911</v>
      </c>
      <c r="J9204" s="6" t="n">
        <f aca="false">Sens!I9204*(1+Sens!J9205)</f>
        <v>11.4351285534696</v>
      </c>
      <c r="K9204" s="6" t="n">
        <f aca="false">Sens!J9204*(1+Sens!K9205)</f>
        <v>12.2355875522124</v>
      </c>
    </row>
    <row r="9205" customFormat="false" ht="15" hidden="false" customHeight="false" outlineLevel="0" collapsed="false">
      <c r="A9205" s="1" t="s">
        <v>876</v>
      </c>
      <c r="B9205" s="0" t="s">
        <v>129</v>
      </c>
      <c r="E9205" s="7" t="n">
        <f aca="false">Sens!E9204/Sens!D9204-1</f>
        <v>0.0644329896907216</v>
      </c>
      <c r="F9205" s="7" t="n">
        <f aca="false">Sens!$E$9205+(glt_fro-Sens!$E$9205)*MIN(1,(Sens!F9153-base_fy)/n_conv)</f>
        <v>0.065360824742268</v>
      </c>
      <c r="G9205" s="7" t="n">
        <f aca="false">Sens!$E$9205+(glt_fro-Sens!$E$9205)*MIN(1,(Sens!G9153-base_fy)/n_conv)</f>
        <v>0.0662886597938144</v>
      </c>
      <c r="H9205" s="7" t="n">
        <f aca="false">Sens!$E$9205+(glt_fro-Sens!$E$9205)*MIN(1,(Sens!H9153-base_fy)/n_conv)</f>
        <v>0.0672164948453608</v>
      </c>
      <c r="I9205" s="7" t="n">
        <f aca="false">Sens!$E$9205+(glt_fro-Sens!$E$9205)*MIN(1,(Sens!I9153-base_fy)/n_conv)</f>
        <v>0.0681443298969072</v>
      </c>
      <c r="J9205" s="7" t="n">
        <f aca="false">Sens!$E$9205+(glt_fro-Sens!$E$9205)*MIN(1,(Sens!J9153-base_fy)/n_conv)</f>
        <v>0.0690721649484536</v>
      </c>
      <c r="K9205" s="7" t="n">
        <f aca="false">Sens!$E$9205+(glt_fro-Sens!$E$9205)*MIN(1,(Sens!K9153-base_fy)/n_conv)</f>
        <v>0.07</v>
      </c>
    </row>
    <row r="9206" customFormat="false" ht="15" hidden="false" customHeight="false" outlineLevel="0" collapsed="false">
      <c r="A9206" s="0" t="s">
        <v>715</v>
      </c>
      <c r="B9206" s="0" t="s">
        <v>98</v>
      </c>
      <c r="D9206" s="6" t="n">
        <f aca="false">Sens!D9194+Sens!D9199+Sens!D9200+Sens!D9202+Sens!D9204</f>
        <v>218.783</v>
      </c>
      <c r="E9206" s="6" t="n">
        <f aca="false">Sens!E9194+Sens!E9199+Sens!E9200+Sens!E9202+Sens!E9204</f>
        <v>268.127</v>
      </c>
      <c r="F9206" s="6" t="n">
        <f aca="false">Sens!F9194+Sens!F9199+Sens!F9200+Sens!F9202+Sens!F9204</f>
        <v>328.363433064856</v>
      </c>
      <c r="G9206" s="6" t="n">
        <f aca="false">Sens!G9194+Sens!G9199+Sens!G9200+Sens!G9202+Sens!G9204</f>
        <v>389.269865673274</v>
      </c>
      <c r="H9206" s="6" t="n">
        <f aca="false">Sens!H9194+Sens!H9199+Sens!H9200+Sens!H9202+Sens!H9204</f>
        <v>445.756320871193</v>
      </c>
      <c r="I9206" s="6" t="n">
        <f aca="false">Sens!I9194+Sens!I9199+Sens!I9200+Sens!I9202+Sens!I9204</f>
        <v>504.701226245492</v>
      </c>
      <c r="J9206" s="6" t="n">
        <f aca="false">Sens!J9194+Sens!J9199+Sens!J9200+Sens!J9202+Sens!J9204</f>
        <v>553.716203129521</v>
      </c>
      <c r="K9206" s="6" t="n">
        <f aca="false">Sens!K9194+Sens!K9199+Sens!K9200+Sens!K9202+Sens!K9204</f>
        <v>593.403514189702</v>
      </c>
    </row>
    <row r="9207" customFormat="false" ht="15" hidden="false" customHeight="false" outlineLevel="0" collapsed="false">
      <c r="A9207" s="0" t="s">
        <v>887</v>
      </c>
      <c r="B9207" s="0" t="s">
        <v>98</v>
      </c>
      <c r="D9207" s="6" t="n">
        <f aca="false">Q!L13</f>
        <v>22.171</v>
      </c>
      <c r="E9207" s="6" t="n">
        <f aca="false">Q!M13</f>
        <v>24.835</v>
      </c>
      <c r="F9207" s="6" t="n">
        <f aca="false">Sens!E9207*(1+Sens!F9208)</f>
        <v>27.4873151218559</v>
      </c>
      <c r="G9207" s="6" t="n">
        <f aca="false">Sens!F9207*(1+Sens!G9208)</f>
        <v>30.0556741721455</v>
      </c>
      <c r="H9207" s="6" t="n">
        <f aca="false">Sens!G9207*(1+Sens!H9208)</f>
        <v>32.4624869022303</v>
      </c>
      <c r="I9207" s="6" t="n">
        <f aca="false">Sens!H9207*(1+Sens!I9208)</f>
        <v>34.6283511524715</v>
      </c>
      <c r="J9207" s="6" t="n">
        <f aca="false">Sens!I9207*(1+Sens!J9208)</f>
        <v>36.476102435307</v>
      </c>
      <c r="K9207" s="6" t="n">
        <f aca="false">Sens!J9207*(1+Sens!K9208)</f>
        <v>37.9351465327193</v>
      </c>
    </row>
    <row r="9208" customFormat="false" ht="15" hidden="false" customHeight="false" outlineLevel="0" collapsed="false">
      <c r="A9208" s="1" t="s">
        <v>876</v>
      </c>
      <c r="B9208" s="0" t="s">
        <v>129</v>
      </c>
      <c r="E9208" s="7" t="n">
        <f aca="false">Sens!E9207/Sens!D9207-1</f>
        <v>0.120156961796942</v>
      </c>
      <c r="F9208" s="7" t="n">
        <f aca="false">Sens!$E$9208+(glt_srch_lo-Sens!$E$9208)*MIN(1,(Sens!F9153-base_fy)/n_conv)</f>
        <v>0.106797468164118</v>
      </c>
      <c r="G9208" s="7" t="n">
        <f aca="false">Sens!$E$9208+(glt_srch_lo-Sens!$E$9208)*MIN(1,(Sens!G9153-base_fy)/n_conv)</f>
        <v>0.0934379745312947</v>
      </c>
      <c r="H9208" s="7" t="n">
        <f aca="false">Sens!$E$9208+(glt_srch_lo-Sens!$E$9208)*MIN(1,(Sens!H9153-base_fy)/n_conv)</f>
        <v>0.080078480898471</v>
      </c>
      <c r="I9208" s="7" t="n">
        <f aca="false">Sens!$E$9208+(glt_srch_lo-Sens!$E$9208)*MIN(1,(Sens!I9153-base_fy)/n_conv)</f>
        <v>0.0667189872656473</v>
      </c>
      <c r="J9208" s="7" t="n">
        <f aca="false">Sens!$E$9208+(glt_srch_lo-Sens!$E$9208)*MIN(1,(Sens!J9153-base_fy)/n_conv)</f>
        <v>0.0533594936328237</v>
      </c>
      <c r="K9208" s="7" t="n">
        <f aca="false">Sens!$E$9208+(glt_srch_lo-Sens!$E$9208)*MIN(1,(Sens!K9153-base_fy)/n_conv)</f>
        <v>0.04</v>
      </c>
    </row>
    <row r="9209" customFormat="false" ht="15" hidden="false" customHeight="false" outlineLevel="0" collapsed="false">
      <c r="A9209" s="0" t="s">
        <v>888</v>
      </c>
      <c r="B9209" s="0" t="s">
        <v>98</v>
      </c>
      <c r="D9209" s="6" t="n">
        <f aca="false">Q!L14</f>
        <v>23.455</v>
      </c>
      <c r="E9209" s="6" t="n">
        <f aca="false">Q!M14</f>
        <v>21.79</v>
      </c>
      <c r="F9209" s="6" t="n">
        <f aca="false">Sens!E9209*(1+Sens!F9210)</f>
        <v>20.5736277908051</v>
      </c>
      <c r="G9209" s="6" t="n">
        <f aca="false">Sens!F9209*(1+Sens!G9210)</f>
        <v>19.7371452817919</v>
      </c>
      <c r="H9209" s="6" t="n">
        <f aca="false">Sens!G9209*(1+Sens!H9210)</f>
        <v>19.2339764043138</v>
      </c>
      <c r="I9209" s="6" t="n">
        <f aca="false">Sens!H9209*(1+Sens!I9210)</f>
        <v>19.0353086852681</v>
      </c>
      <c r="J9209" s="6" t="n">
        <f aca="false">Sens!I9209*(1+Sens!J9210)</f>
        <v>19.1273539319129</v>
      </c>
      <c r="K9209" s="6" t="n">
        <f aca="false">Sens!J9209*(1+Sens!K9210)</f>
        <v>19.5099010105511</v>
      </c>
    </row>
    <row r="9210" customFormat="false" ht="15" hidden="false" customHeight="false" outlineLevel="0" collapsed="false">
      <c r="A9210" s="1" t="s">
        <v>876</v>
      </c>
      <c r="B9210" s="0" t="s">
        <v>129</v>
      </c>
      <c r="E9210" s="7" t="n">
        <f aca="false">Sens!E9209/Sens!D9209-1</f>
        <v>-0.0709869963760392</v>
      </c>
      <c r="F9210" s="7" t="n">
        <f aca="false">Sens!$E$9210+(glt_xbox-Sens!$E$9210)*MIN(1,(Sens!F9153-base_fy)/n_conv)</f>
        <v>-0.0558224969800327</v>
      </c>
      <c r="G9210" s="7" t="n">
        <f aca="false">Sens!$E$9210+(glt_xbox-Sens!$E$9210)*MIN(1,(Sens!G9153-base_fy)/n_conv)</f>
        <v>-0.0406579975840262</v>
      </c>
      <c r="H9210" s="7" t="n">
        <f aca="false">Sens!$E$9210+(glt_xbox-Sens!$E$9210)*MIN(1,(Sens!H9153-base_fy)/n_conv)</f>
        <v>-0.0254934981880196</v>
      </c>
      <c r="I9210" s="7" t="n">
        <f aca="false">Sens!$E$9210+(glt_xbox-Sens!$E$9210)*MIN(1,(Sens!I9153-base_fy)/n_conv)</f>
        <v>-0.0103289987920131</v>
      </c>
      <c r="J9210" s="7" t="n">
        <f aca="false">Sens!$E$9210+(glt_xbox-Sens!$E$9210)*MIN(1,(Sens!J9153-base_fy)/n_conv)</f>
        <v>0.00483550060399347</v>
      </c>
      <c r="K9210" s="7" t="n">
        <f aca="false">Sens!$E$9210+(glt_xbox-Sens!$E$9210)*MIN(1,(Sens!K9153-base_fy)/n_conv)</f>
        <v>0.02</v>
      </c>
    </row>
    <row r="9211" customFormat="false" ht="15" hidden="false" customHeight="false" outlineLevel="0" collapsed="false">
      <c r="A9211" s="0" t="s">
        <v>889</v>
      </c>
      <c r="B9211" s="0" t="s">
        <v>98</v>
      </c>
      <c r="D9211" s="6" t="n">
        <f aca="false">Q!L15</f>
        <v>17.315</v>
      </c>
      <c r="E9211" s="6" t="n">
        <f aca="false">Q!M15</f>
        <v>17.087</v>
      </c>
      <c r="F9211" s="6" t="n">
        <f aca="false">Sens!E9211*(1+Sens!F9212)</f>
        <v>16.9564585436519</v>
      </c>
      <c r="G9211" s="6" t="n">
        <f aca="false">Sens!F9211*(1+Sens!G9212)</f>
        <v>16.9206490624268</v>
      </c>
      <c r="H9211" s="6" t="n">
        <f aca="false">Sens!G9211*(1+Sens!H9212)</f>
        <v>16.9784519149849</v>
      </c>
      <c r="I9211" s="6" t="n">
        <f aca="false">Sens!H9211*(1+Sens!I9212)</f>
        <v>17.1303084701817</v>
      </c>
      <c r="J9211" s="6" t="n">
        <f aca="false">Sens!I9211*(1+Sens!J9212)</f>
        <v>17.3782189407267</v>
      </c>
      <c r="K9211" s="6" t="n">
        <f aca="false">Sens!J9211*(1+Sens!K9212)</f>
        <v>17.7257833195413</v>
      </c>
    </row>
    <row r="9212" customFormat="false" ht="15" hidden="false" customHeight="false" outlineLevel="0" collapsed="false">
      <c r="A9212" s="1" t="s">
        <v>876</v>
      </c>
      <c r="B9212" s="0" t="s">
        <v>129</v>
      </c>
      <c r="E9212" s="7" t="n">
        <f aca="false">Sens!E9211/Sens!D9211-1</f>
        <v>-0.0131677736066995</v>
      </c>
      <c r="F9212" s="7" t="n">
        <f aca="false">Sens!$E$9212+(glt_win-Sens!$E$9212)*MIN(1,(Sens!F9153-base_fy)/n_conv)</f>
        <v>-0.00763981133891627</v>
      </c>
      <c r="G9212" s="7" t="n">
        <f aca="false">Sens!$E$9212+(glt_win-Sens!$E$9212)*MIN(1,(Sens!G9153-base_fy)/n_conv)</f>
        <v>-0.00211184907113301</v>
      </c>
      <c r="H9212" s="7" t="n">
        <f aca="false">Sens!$E$9212+(glt_win-Sens!$E$9212)*MIN(1,(Sens!H9153-base_fy)/n_conv)</f>
        <v>0.00341611319665024</v>
      </c>
      <c r="I9212" s="7" t="n">
        <f aca="false">Sens!$E$9212+(glt_win-Sens!$E$9212)*MIN(1,(Sens!I9153-base_fy)/n_conv)</f>
        <v>0.00894407546443349</v>
      </c>
      <c r="J9212" s="7" t="n">
        <f aca="false">Sens!$E$9212+(glt_win-Sens!$E$9212)*MIN(1,(Sens!J9153-base_fy)/n_conv)</f>
        <v>0.0144720377322168</v>
      </c>
      <c r="K9212" s="7" t="n">
        <f aca="false">Sens!$E$9212+(glt_win-Sens!$E$9212)*MIN(1,(Sens!K9153-base_fy)/n_conv)</f>
        <v>0.02</v>
      </c>
    </row>
    <row r="9213" customFormat="false" ht="15" hidden="false" customHeight="false" outlineLevel="0" collapsed="false">
      <c r="A9213" s="0" t="s">
        <v>729</v>
      </c>
      <c r="B9213" s="0" t="s">
        <v>98</v>
      </c>
      <c r="D9213" s="6" t="n">
        <f aca="false">Sens!D9207+Sens!D9209+Sens!D9211</f>
        <v>62.941</v>
      </c>
      <c r="E9213" s="6" t="n">
        <f aca="false">Sens!E9207+Sens!E9209+Sens!E9211</f>
        <v>63.712</v>
      </c>
      <c r="F9213" s="6" t="n">
        <f aca="false">Sens!F9207+Sens!F9209+Sens!F9211</f>
        <v>65.0174014563129</v>
      </c>
      <c r="G9213" s="6" t="n">
        <f aca="false">Sens!G9207+Sens!G9209+Sens!G9211</f>
        <v>66.7134685163642</v>
      </c>
      <c r="H9213" s="6" t="n">
        <f aca="false">Sens!H9207+Sens!H9209+Sens!H9211</f>
        <v>68.6749152215291</v>
      </c>
      <c r="I9213" s="6" t="n">
        <f aca="false">Sens!I9207+Sens!I9209+Sens!I9211</f>
        <v>70.7939683079213</v>
      </c>
      <c r="J9213" s="6" t="n">
        <f aca="false">Sens!J9207+Sens!J9209+Sens!J9211</f>
        <v>72.9816753079466</v>
      </c>
      <c r="K9213" s="6" t="n">
        <f aca="false">Sens!K9207+Sens!K9209+Sens!K9211</f>
        <v>75.1708308628117</v>
      </c>
    </row>
    <row r="9214" customFormat="false" ht="15" hidden="false" customHeight="false" outlineLevel="0" collapsed="false">
      <c r="A9214" s="1" t="s">
        <v>890</v>
      </c>
      <c r="B9214" s="0" t="s">
        <v>98</v>
      </c>
      <c r="D9214" s="6" t="n">
        <f aca="false">Sens!D9206+Sens!D9213</f>
        <v>281.724</v>
      </c>
      <c r="E9214" s="6" t="n">
        <f aca="false">Sens!E9206+Sens!E9213</f>
        <v>331.839</v>
      </c>
      <c r="F9214" s="6" t="n">
        <f aca="false">Sens!F9206+Sens!F9213</f>
        <v>393.380834521169</v>
      </c>
      <c r="G9214" s="6" t="n">
        <f aca="false">Sens!G9206+Sens!G9213</f>
        <v>455.983334189638</v>
      </c>
      <c r="H9214" s="6" t="n">
        <f aca="false">Sens!H9206+Sens!H9213</f>
        <v>514.431236092722</v>
      </c>
      <c r="I9214" s="6" t="n">
        <f aca="false">Sens!I9206+Sens!I9213</f>
        <v>575.495194553414</v>
      </c>
      <c r="J9214" s="6" t="n">
        <f aca="false">Sens!J9206+Sens!J9213</f>
        <v>626.697878437468</v>
      </c>
      <c r="K9214" s="6" t="n">
        <f aca="false">Sens!K9206+Sens!K9213</f>
        <v>668.574345052514</v>
      </c>
    </row>
    <row r="9215" customFormat="false" ht="15" hidden="false" customHeight="false" outlineLevel="0" collapsed="false">
      <c r="A9215" s="23" t="s">
        <v>891</v>
      </c>
      <c r="B9215" s="30" t="s">
        <v>98</v>
      </c>
      <c r="C9215" s="30"/>
      <c r="D9215" s="24" t="n">
        <f aca="false">(Sens!D9194+Sens!D9199+Sens!D9200+Sens!D9202+Sens!D9204-Sens!D9206)+(Sens!D9207+Sens!D9209+Sens!D9211-Sens!D9213)+(Sens!D9206-Q!L5)+(Sens!D9213-Q!L12)+(Sens!D9194-Q!L6)+(Sens!D9199-Q!L7)</f>
        <v>0</v>
      </c>
      <c r="E9215" s="24" t="n">
        <f aca="false">(Sens!E9194+Sens!E9199+Sens!E9200+Sens!E9202+Sens!E9204-Sens!E9206)+(Sens!E9207+Sens!E9209+Sens!E9211-Sens!E9213)+(Sens!E9206-Q!M5)+(Sens!E9213-Q!M12)+(Sens!E9194-Q!M6)+(Sens!E9199-Q!M7)</f>
        <v>0</v>
      </c>
      <c r="F9215" s="24" t="n">
        <f aca="false">(Sens!F9194+Sens!F9199+Sens!F9200+Sens!F9202+Sens!F9204-Sens!F9206)+(Sens!F9207+Sens!F9209+Sens!F9211-Sens!F9213)</f>
        <v>0</v>
      </c>
      <c r="G9215" s="24" t="n">
        <f aca="false">(Sens!G9194+Sens!G9199+Sens!G9200+Sens!G9202+Sens!G9204-Sens!G9206)+(Sens!G9207+Sens!G9209+Sens!G9211-Sens!G9213)</f>
        <v>0</v>
      </c>
      <c r="H9215" s="24" t="n">
        <f aca="false">(Sens!H9194+Sens!H9199+Sens!H9200+Sens!H9202+Sens!H9204-Sens!H9206)+(Sens!H9207+Sens!H9209+Sens!H9211-Sens!H9213)</f>
        <v>0</v>
      </c>
      <c r="I9215" s="24" t="n">
        <f aca="false">(Sens!I9194+Sens!I9199+Sens!I9200+Sens!I9202+Sens!I9204-Sens!I9206)+(Sens!I9207+Sens!I9209+Sens!I9211-Sens!I9213)</f>
        <v>0</v>
      </c>
      <c r="J9215" s="24" t="n">
        <f aca="false">(Sens!J9194+Sens!J9199+Sens!J9200+Sens!J9202+Sens!J9204-Sens!J9206)+(Sens!J9207+Sens!J9209+Sens!J9211-Sens!J9213)</f>
        <v>0</v>
      </c>
      <c r="K9215" s="24" t="n">
        <f aca="false">(Sens!K9194+Sens!K9199+Sens!K9200+Sens!K9202+Sens!K9204-Sens!K9206)+(Sens!K9207+Sens!K9209+Sens!K9211-Sens!K9213)</f>
        <v>0</v>
      </c>
    </row>
    <row r="9216" customFormat="false" ht="17.15" hidden="false" customHeight="false" outlineLevel="0" collapsed="false">
      <c r="A9216" s="3" t="s">
        <v>1499</v>
      </c>
    </row>
    <row r="9217" customFormat="false" ht="15" hidden="false" customHeight="false" outlineLevel="0" collapsed="false">
      <c r="A9217" s="4" t="s">
        <v>43</v>
      </c>
      <c r="B9217" s="4" t="s">
        <v>65</v>
      </c>
      <c r="C9217" s="20" t="s">
        <v>799</v>
      </c>
      <c r="D9217" s="20" t="s">
        <v>800</v>
      </c>
      <c r="E9217" s="20" t="s">
        <v>801</v>
      </c>
      <c r="F9217" s="20" t="s">
        <v>802</v>
      </c>
      <c r="G9217" s="20" t="s">
        <v>803</v>
      </c>
      <c r="H9217" s="20" t="s">
        <v>804</v>
      </c>
      <c r="I9217" s="20" t="s">
        <v>805</v>
      </c>
      <c r="J9217" s="20" t="s">
        <v>806</v>
      </c>
      <c r="K9217" s="20" t="s">
        <v>807</v>
      </c>
      <c r="L9217" s="4" t="s">
        <v>47</v>
      </c>
    </row>
    <row r="9218" customFormat="false" ht="15" hidden="false" customHeight="false" outlineLevel="0" collapsed="false">
      <c r="A9218" s="0" t="s">
        <v>877</v>
      </c>
      <c r="B9218" s="0" t="s">
        <v>98</v>
      </c>
      <c r="D9218" s="6" t="n">
        <f aca="false">Sens!D9194</f>
        <v>72.61</v>
      </c>
      <c r="E9218" s="6" t="n">
        <f aca="false">Sens!E9194</f>
        <v>101.938</v>
      </c>
      <c r="F9218" s="6" t="n">
        <f aca="false">Sens!F9194</f>
        <v>140.741861125673</v>
      </c>
      <c r="G9218" s="6" t="n">
        <f aca="false">Sens!G9194</f>
        <v>182.176709135845</v>
      </c>
      <c r="H9218" s="6" t="n">
        <f aca="false">Sens!H9194</f>
        <v>219.167638189678</v>
      </c>
      <c r="I9218" s="6" t="n">
        <f aca="false">Sens!I9194</f>
        <v>259.639871266006</v>
      </c>
      <c r="J9218" s="6" t="n">
        <f aca="false">Sens!J9194</f>
        <v>291.525306025352</v>
      </c>
      <c r="K9218" s="6" t="n">
        <f aca="false">Sens!K9194</f>
        <v>315.009444849526</v>
      </c>
    </row>
    <row r="9219" customFormat="false" ht="17.15" hidden="false" customHeight="false" outlineLevel="0" collapsed="false">
      <c r="A9219" s="0" t="s">
        <v>874</v>
      </c>
      <c r="B9219" s="0" t="s">
        <v>98</v>
      </c>
      <c r="D9219" s="6" t="n">
        <f aca="false">Sens!D9191</f>
        <v>12.9359794422418</v>
      </c>
      <c r="E9219" s="6" t="n">
        <f aca="false">Sens!E9191</f>
        <v>27.8095064661409</v>
      </c>
      <c r="F9219" s="6" t="n">
        <f aca="false">Sens!F9191</f>
        <v>50.6619113883066</v>
      </c>
      <c r="G9219" s="6" t="n">
        <f aca="false">Sens!G9191</f>
        <v>75.1482839325348</v>
      </c>
      <c r="H9219" s="6" t="n">
        <f aca="false">Sens!H9191</f>
        <v>94.895655604042</v>
      </c>
      <c r="I9219" s="6" t="n">
        <f aca="false">Sens!I9191</f>
        <v>118.706168884151</v>
      </c>
      <c r="J9219" s="6" t="n">
        <f aca="false">Sens!J9191</f>
        <v>135.50643871102</v>
      </c>
      <c r="K9219" s="6" t="n">
        <f aca="false">Sens!K9191</f>
        <v>146.509068150048</v>
      </c>
    </row>
    <row r="9220" customFormat="false" ht="17.15" hidden="false" customHeight="false" outlineLevel="0" collapsed="false">
      <c r="A9220" s="0" t="s">
        <v>902</v>
      </c>
      <c r="B9220" s="0" t="s">
        <v>98</v>
      </c>
      <c r="D9220" s="6" t="n">
        <f aca="false">Sens!D9192</f>
        <v>59.6740205577583</v>
      </c>
      <c r="E9220" s="6" t="n">
        <f aca="false">Sens!E9192</f>
        <v>74.1284935338591</v>
      </c>
      <c r="F9220" s="6" t="n">
        <f aca="false">Sens!F9192</f>
        <v>90.0799497373663</v>
      </c>
      <c r="G9220" s="6" t="n">
        <f aca="false">Sens!G9192</f>
        <v>107.02842520331</v>
      </c>
      <c r="H9220" s="6" t="n">
        <f aca="false">Sens!H9192</f>
        <v>124.271982585636</v>
      </c>
      <c r="I9220" s="6" t="n">
        <f aca="false">Sens!I9192</f>
        <v>140.933702381855</v>
      </c>
      <c r="J9220" s="6" t="n">
        <f aca="false">Sens!J9192</f>
        <v>156.018867314332</v>
      </c>
      <c r="K9220" s="6" t="n">
        <f aca="false">Sens!K9192</f>
        <v>168.500376699478</v>
      </c>
    </row>
    <row r="9221" customFormat="false" ht="15" hidden="false" customHeight="false" outlineLevel="0" collapsed="false">
      <c r="A9221" s="0" t="s">
        <v>883</v>
      </c>
      <c r="B9221" s="0" t="s">
        <v>98</v>
      </c>
      <c r="D9221" s="6" t="n">
        <f aca="false">Sens!D9199</f>
        <v>84.605</v>
      </c>
      <c r="E9221" s="6" t="n">
        <f aca="false">Sens!E9199</f>
        <v>100.299</v>
      </c>
      <c r="F9221" s="6" t="n">
        <f aca="false">Sens!F9199</f>
        <v>117.39238776686</v>
      </c>
      <c r="G9221" s="6" t="n">
        <f aca="false">Sens!G9199</f>
        <v>132.544168448684</v>
      </c>
      <c r="H9221" s="6" t="n">
        <f aca="false">Sens!H9199</f>
        <v>147.777359388781</v>
      </c>
      <c r="I9221" s="6" t="n">
        <f aca="false">Sens!I9199</f>
        <v>162.084028071957</v>
      </c>
      <c r="J9221" s="6" t="n">
        <f aca="false">Sens!J9199</f>
        <v>175.182702785465</v>
      </c>
      <c r="K9221" s="6" t="n">
        <f aca="false">Sens!K9199</f>
        <v>187.527991980448</v>
      </c>
    </row>
    <row r="9222" customFormat="false" ht="17.15" hidden="false" customHeight="false" outlineLevel="0" collapsed="false">
      <c r="A9222" s="0" t="s">
        <v>903</v>
      </c>
      <c r="B9222" s="0" t="s">
        <v>98</v>
      </c>
      <c r="D9222" s="6" t="n">
        <f aca="false">Sens!D9197</f>
        <v>83.705</v>
      </c>
      <c r="E9222" s="6" t="n">
        <f aca="false">Sens!E9197</f>
        <v>95.049</v>
      </c>
      <c r="F9222" s="6" t="n">
        <f aca="false">Sens!F9197</f>
        <v>106.89238776686</v>
      </c>
      <c r="G9222" s="6" t="n">
        <f aca="false">Sens!G9197</f>
        <v>119.044168448684</v>
      </c>
      <c r="H9222" s="6" t="n">
        <f aca="false">Sens!H9197</f>
        <v>131.277359388781</v>
      </c>
      <c r="I9222" s="6" t="n">
        <f aca="false">Sens!I9197</f>
        <v>143.334028071957</v>
      </c>
      <c r="J9222" s="6" t="n">
        <f aca="false">Sens!J9197</f>
        <v>154.932702785465</v>
      </c>
      <c r="K9222" s="6" t="n">
        <f aca="false">Sens!K9197</f>
        <v>165.777991980448</v>
      </c>
    </row>
    <row r="9223" customFormat="false" ht="17.15" hidden="false" customHeight="false" outlineLevel="0" collapsed="false">
      <c r="A9223" s="0" t="s">
        <v>904</v>
      </c>
      <c r="B9223" s="0" t="s">
        <v>98</v>
      </c>
      <c r="D9223" s="6" t="n">
        <f aca="false">Sens!D9196</f>
        <v>0.9</v>
      </c>
      <c r="E9223" s="6" t="n">
        <f aca="false">Sens!E9196</f>
        <v>5.25</v>
      </c>
      <c r="F9223" s="6" t="n">
        <f aca="false">Sens!F9196</f>
        <v>10.5</v>
      </c>
      <c r="G9223" s="6" t="n">
        <f aca="false">Sens!G9196</f>
        <v>13.5</v>
      </c>
      <c r="H9223" s="6" t="n">
        <f aca="false">Sens!H9196</f>
        <v>16.5</v>
      </c>
      <c r="I9223" s="6" t="n">
        <f aca="false">Sens!I9196</f>
        <v>18.75</v>
      </c>
      <c r="J9223" s="6" t="n">
        <f aca="false">Sens!J9196</f>
        <v>20.25</v>
      </c>
      <c r="K9223" s="6" t="n">
        <f aca="false">Sens!K9196</f>
        <v>21.75</v>
      </c>
    </row>
    <row r="9224" customFormat="false" ht="15" hidden="false" customHeight="false" outlineLevel="0" collapsed="false">
      <c r="A9224" s="0" t="s">
        <v>884</v>
      </c>
      <c r="B9224" s="0" t="s">
        <v>98</v>
      </c>
      <c r="D9224" s="6" t="n">
        <f aca="false">Sens!D9200</f>
        <v>35.391</v>
      </c>
      <c r="E9224" s="6" t="n">
        <f aca="false">Sens!E9200</f>
        <v>37.285</v>
      </c>
      <c r="F9224" s="6" t="n">
        <f aca="false">Sens!F9200</f>
        <v>39.0720834331704</v>
      </c>
      <c r="G9224" s="6" t="n">
        <f aca="false">Sens!G9200</f>
        <v>40.726562953769</v>
      </c>
      <c r="H9224" s="6" t="n">
        <f aca="false">Sens!H9200</f>
        <v>42.2235987259198</v>
      </c>
      <c r="I9224" s="6" t="n">
        <f aca="false">Sens!I9200</f>
        <v>43.5397988077414</v>
      </c>
      <c r="J9224" s="6" t="n">
        <f aca="false">Sens!J9200</f>
        <v>44.653811225693</v>
      </c>
      <c r="K9224" s="6" t="n">
        <f aca="false">Sens!K9200</f>
        <v>45.5468874502068</v>
      </c>
    </row>
    <row r="9225" customFormat="false" ht="15" hidden="false" customHeight="false" outlineLevel="0" collapsed="false">
      <c r="A9225" s="0" t="s">
        <v>885</v>
      </c>
      <c r="B9225" s="0" t="s">
        <v>98</v>
      </c>
      <c r="D9225" s="6" t="n">
        <f aca="false">Sens!D9202</f>
        <v>18.417</v>
      </c>
      <c r="E9225" s="6" t="n">
        <f aca="false">Sens!E9202</f>
        <v>20.345</v>
      </c>
      <c r="F9225" s="6" t="n">
        <f aca="false">Sens!F9202</f>
        <v>22.3572203267814</v>
      </c>
      <c r="G9225" s="6" t="n">
        <f aca="false">Sens!G9202</f>
        <v>24.4392124437232</v>
      </c>
      <c r="H9225" s="6" t="n">
        <f aca="false">Sens!H9202</f>
        <v>26.5738052080665</v>
      </c>
      <c r="I9225" s="6" t="n">
        <f aca="false">Sens!I9202</f>
        <v>28.7412169166967</v>
      </c>
      <c r="J9225" s="6" t="n">
        <f aca="false">Sens!J9202</f>
        <v>30.9192545395413</v>
      </c>
      <c r="K9225" s="6" t="n">
        <f aca="false">Sens!K9202</f>
        <v>33.0836023573092</v>
      </c>
    </row>
    <row r="9226" customFormat="false" ht="15" hidden="false" customHeight="false" outlineLevel="0" collapsed="false">
      <c r="A9226" s="0" t="s">
        <v>886</v>
      </c>
      <c r="B9226" s="0" t="s">
        <v>98</v>
      </c>
      <c r="D9226" s="6" t="n">
        <f aca="false">Sens!D9204</f>
        <v>7.76</v>
      </c>
      <c r="E9226" s="6" t="n">
        <f aca="false">Sens!E9204</f>
        <v>8.26</v>
      </c>
      <c r="F9226" s="6" t="n">
        <f aca="false">Sens!F9204</f>
        <v>8.79988041237113</v>
      </c>
      <c r="G9226" s="6" t="n">
        <f aca="false">Sens!G9204</f>
        <v>9.38321269125306</v>
      </c>
      <c r="H9226" s="6" t="n">
        <f aca="false">Sens!H9204</f>
        <v>10.0139193587476</v>
      </c>
      <c r="I9226" s="6" t="n">
        <f aca="false">Sens!I9204</f>
        <v>10.6963111830911</v>
      </c>
      <c r="J9226" s="6" t="n">
        <f aca="false">Sens!J9204</f>
        <v>11.4351285534696</v>
      </c>
      <c r="K9226" s="6" t="n">
        <f aca="false">Sens!K9204</f>
        <v>12.2355875522124</v>
      </c>
    </row>
    <row r="9227" customFormat="false" ht="15" hidden="false" customHeight="false" outlineLevel="0" collapsed="false">
      <c r="A9227" s="0" t="s">
        <v>715</v>
      </c>
      <c r="B9227" s="0" t="s">
        <v>98</v>
      </c>
      <c r="D9227" s="6" t="n">
        <f aca="false">Sens!D9206</f>
        <v>218.783</v>
      </c>
      <c r="E9227" s="6" t="n">
        <f aca="false">Sens!E9206</f>
        <v>268.127</v>
      </c>
      <c r="F9227" s="6" t="n">
        <f aca="false">Sens!F9206</f>
        <v>328.363433064856</v>
      </c>
      <c r="G9227" s="6" t="n">
        <f aca="false">Sens!G9206</f>
        <v>389.269865673274</v>
      </c>
      <c r="H9227" s="6" t="n">
        <f aca="false">Sens!H9206</f>
        <v>445.756320871193</v>
      </c>
      <c r="I9227" s="6" t="n">
        <f aca="false">Sens!I9206</f>
        <v>504.701226245492</v>
      </c>
      <c r="J9227" s="6" t="n">
        <f aca="false">Sens!J9206</f>
        <v>553.716203129521</v>
      </c>
      <c r="K9227" s="6" t="n">
        <f aca="false">Sens!K9206</f>
        <v>593.403514189702</v>
      </c>
    </row>
    <row r="9228" customFormat="false" ht="15" hidden="false" customHeight="false" outlineLevel="0" collapsed="false">
      <c r="A9228" s="0" t="s">
        <v>887</v>
      </c>
      <c r="B9228" s="0" t="s">
        <v>98</v>
      </c>
      <c r="D9228" s="6" t="n">
        <f aca="false">Sens!D9207</f>
        <v>22.171</v>
      </c>
      <c r="E9228" s="6" t="n">
        <f aca="false">Sens!E9207</f>
        <v>24.835</v>
      </c>
      <c r="F9228" s="6" t="n">
        <f aca="false">Sens!F9207</f>
        <v>27.4873151218559</v>
      </c>
      <c r="G9228" s="6" t="n">
        <f aca="false">Sens!G9207</f>
        <v>30.0556741721455</v>
      </c>
      <c r="H9228" s="6" t="n">
        <f aca="false">Sens!H9207</f>
        <v>32.4624869022303</v>
      </c>
      <c r="I9228" s="6" t="n">
        <f aca="false">Sens!I9207</f>
        <v>34.6283511524715</v>
      </c>
      <c r="J9228" s="6" t="n">
        <f aca="false">Sens!J9207</f>
        <v>36.476102435307</v>
      </c>
      <c r="K9228" s="6" t="n">
        <f aca="false">Sens!K9207</f>
        <v>37.9351465327193</v>
      </c>
    </row>
    <row r="9229" customFormat="false" ht="15" hidden="false" customHeight="false" outlineLevel="0" collapsed="false">
      <c r="A9229" s="0" t="s">
        <v>888</v>
      </c>
      <c r="B9229" s="0" t="s">
        <v>98</v>
      </c>
      <c r="D9229" s="6" t="n">
        <f aca="false">Sens!D9209</f>
        <v>23.455</v>
      </c>
      <c r="E9229" s="6" t="n">
        <f aca="false">Sens!E9209</f>
        <v>21.79</v>
      </c>
      <c r="F9229" s="6" t="n">
        <f aca="false">Sens!F9209</f>
        <v>20.5736277908051</v>
      </c>
      <c r="G9229" s="6" t="n">
        <f aca="false">Sens!G9209</f>
        <v>19.7371452817919</v>
      </c>
      <c r="H9229" s="6" t="n">
        <f aca="false">Sens!H9209</f>
        <v>19.2339764043138</v>
      </c>
      <c r="I9229" s="6" t="n">
        <f aca="false">Sens!I9209</f>
        <v>19.0353086852681</v>
      </c>
      <c r="J9229" s="6" t="n">
        <f aca="false">Sens!J9209</f>
        <v>19.1273539319129</v>
      </c>
      <c r="K9229" s="6" t="n">
        <f aca="false">Sens!K9209</f>
        <v>19.5099010105511</v>
      </c>
    </row>
    <row r="9230" customFormat="false" ht="15" hidden="false" customHeight="false" outlineLevel="0" collapsed="false">
      <c r="A9230" s="0" t="s">
        <v>889</v>
      </c>
      <c r="B9230" s="0" t="s">
        <v>98</v>
      </c>
      <c r="D9230" s="6" t="n">
        <f aca="false">Sens!D9211</f>
        <v>17.315</v>
      </c>
      <c r="E9230" s="6" t="n">
        <f aca="false">Sens!E9211</f>
        <v>17.087</v>
      </c>
      <c r="F9230" s="6" t="n">
        <f aca="false">Sens!F9211</f>
        <v>16.9564585436519</v>
      </c>
      <c r="G9230" s="6" t="n">
        <f aca="false">Sens!G9211</f>
        <v>16.9206490624268</v>
      </c>
      <c r="H9230" s="6" t="n">
        <f aca="false">Sens!H9211</f>
        <v>16.9784519149849</v>
      </c>
      <c r="I9230" s="6" t="n">
        <f aca="false">Sens!I9211</f>
        <v>17.1303084701817</v>
      </c>
      <c r="J9230" s="6" t="n">
        <f aca="false">Sens!J9211</f>
        <v>17.3782189407267</v>
      </c>
      <c r="K9230" s="6" t="n">
        <f aca="false">Sens!K9211</f>
        <v>17.7257833195413</v>
      </c>
    </row>
    <row r="9231" customFormat="false" ht="15" hidden="false" customHeight="false" outlineLevel="0" collapsed="false">
      <c r="A9231" s="0" t="s">
        <v>729</v>
      </c>
      <c r="B9231" s="0" t="s">
        <v>98</v>
      </c>
      <c r="D9231" s="6" t="n">
        <f aca="false">Sens!D9213</f>
        <v>62.941</v>
      </c>
      <c r="E9231" s="6" t="n">
        <f aca="false">Sens!E9213</f>
        <v>63.712</v>
      </c>
      <c r="F9231" s="6" t="n">
        <f aca="false">Sens!F9213</f>
        <v>65.0174014563129</v>
      </c>
      <c r="G9231" s="6" t="n">
        <f aca="false">Sens!G9213</f>
        <v>66.7134685163642</v>
      </c>
      <c r="H9231" s="6" t="n">
        <f aca="false">Sens!H9213</f>
        <v>68.6749152215291</v>
      </c>
      <c r="I9231" s="6" t="n">
        <f aca="false">Sens!I9213</f>
        <v>70.7939683079213</v>
      </c>
      <c r="J9231" s="6" t="n">
        <f aca="false">Sens!J9213</f>
        <v>72.9816753079466</v>
      </c>
      <c r="K9231" s="6" t="n">
        <f aca="false">Sens!K9213</f>
        <v>75.1708308628117</v>
      </c>
    </row>
    <row r="9232" customFormat="false" ht="15" hidden="false" customHeight="false" outlineLevel="0" collapsed="false">
      <c r="A9232" s="1" t="s">
        <v>905</v>
      </c>
      <c r="B9232" s="0" t="s">
        <v>98</v>
      </c>
      <c r="D9232" s="6" t="n">
        <f aca="false">Sens!D9214</f>
        <v>281.724</v>
      </c>
      <c r="E9232" s="6" t="n">
        <f aca="false">Sens!E9214</f>
        <v>331.839</v>
      </c>
      <c r="F9232" s="6" t="n">
        <f aca="false">Sens!F9214</f>
        <v>393.380834521169</v>
      </c>
      <c r="G9232" s="6" t="n">
        <f aca="false">Sens!G9214</f>
        <v>455.983334189638</v>
      </c>
      <c r="H9232" s="6" t="n">
        <f aca="false">Sens!H9214</f>
        <v>514.431236092722</v>
      </c>
      <c r="I9232" s="6" t="n">
        <f aca="false">Sens!I9214</f>
        <v>575.495194553414</v>
      </c>
      <c r="J9232" s="6" t="n">
        <f aca="false">Sens!J9214</f>
        <v>626.697878437468</v>
      </c>
      <c r="K9232" s="6" t="n">
        <f aca="false">Sens!K9214</f>
        <v>668.574345052514</v>
      </c>
    </row>
    <row r="9233" customFormat="false" ht="15" hidden="false" customHeight="false" outlineLevel="0" collapsed="false">
      <c r="A9233" s="1" t="s">
        <v>906</v>
      </c>
      <c r="B9233" s="0" t="s">
        <v>129</v>
      </c>
      <c r="E9233" s="7" t="n">
        <f aca="false">Sens!E9232/Sens!D9232-1</f>
        <v>0.177886867998467</v>
      </c>
      <c r="F9233" s="7" t="n">
        <f aca="false">Sens!F9232/Sens!E9232-1</f>
        <v>0.185456906877036</v>
      </c>
      <c r="G9233" s="7" t="n">
        <f aca="false">Sens!G9232/Sens!F9232-1</f>
        <v>0.159139678842439</v>
      </c>
      <c r="H9233" s="7" t="n">
        <f aca="false">Sens!H9232/Sens!G9232-1</f>
        <v>0.128179908169136</v>
      </c>
      <c r="I9233" s="7" t="n">
        <f aca="false">Sens!I9232/Sens!H9232-1</f>
        <v>0.11870188700922</v>
      </c>
      <c r="J9233" s="7" t="n">
        <f aca="false">Sens!J9232/Sens!I9232-1</f>
        <v>0.0889715229052215</v>
      </c>
      <c r="K9233" s="7" t="n">
        <f aca="false">Sens!K9232/Sens!J9232-1</f>
        <v>0.0668208207748455</v>
      </c>
    </row>
    <row r="9234" customFormat="false" ht="17.15" hidden="false" customHeight="false" outlineLevel="0" collapsed="false">
      <c r="A9234" s="23" t="s">
        <v>907</v>
      </c>
      <c r="B9234" s="30" t="s">
        <v>98</v>
      </c>
      <c r="C9234" s="30"/>
      <c r="D9234" s="24" t="n">
        <f aca="false">(Sens!D9227+Sens!D9231-Sens!D9232)+(Sens!D9219+Sens!D9220-Sens!D9218)+(Sens!D9222+Sens!D9223-Sens!D9221)+(Sens!D9232-Q!L18)</f>
        <v>0</v>
      </c>
      <c r="E9234" s="24" t="n">
        <f aca="false">(Sens!E9227+Sens!E9231-Sens!E9232)+(Sens!E9219+Sens!E9220-Sens!E9218)+(Sens!E9222+Sens!E9223-Sens!E9221)+(Sens!E9232-Q!M18)</f>
        <v>0</v>
      </c>
      <c r="F9234" s="24" t="n">
        <f aca="false">(Sens!F9227+Sens!F9231-Sens!F9232)+(Sens!F9219+Sens!F9220-Sens!F9218)+(Sens!F9222+Sens!F9223-Sens!F9221)</f>
        <v>0</v>
      </c>
      <c r="G9234" s="24" t="n">
        <f aca="false">(Sens!G9227+Sens!G9231-Sens!G9232)+(Sens!G9219+Sens!G9220-Sens!G9218)+(Sens!G9222+Sens!G9223-Sens!G9221)</f>
        <v>0</v>
      </c>
      <c r="H9234" s="24" t="n">
        <f aca="false">(Sens!H9227+Sens!H9231-Sens!H9232)+(Sens!H9219+Sens!H9220-Sens!H9218)+(Sens!H9222+Sens!H9223-Sens!H9221)</f>
        <v>0</v>
      </c>
      <c r="I9234" s="24" t="n">
        <f aca="false">(Sens!I9227+Sens!I9231-Sens!I9232)+(Sens!I9219+Sens!I9220-Sens!I9218)+(Sens!I9222+Sens!I9223-Sens!I9221)</f>
        <v>0</v>
      </c>
      <c r="J9234" s="24" t="n">
        <f aca="false">(Sens!J9227+Sens!J9231-Sens!J9232)+(Sens!J9219+Sens!J9220-Sens!J9218)+(Sens!J9222+Sens!J9223-Sens!J9221)</f>
        <v>0</v>
      </c>
      <c r="K9234" s="24" t="n">
        <f aca="false">(Sens!K9227+Sens!K9231-Sens!K9232)+(Sens!K9219+Sens!K9220-Sens!K9218)+(Sens!K9222+Sens!K9223-Sens!K9221)</f>
        <v>0</v>
      </c>
    </row>
    <row r="9235" customFormat="false" ht="17.15" hidden="false" customHeight="false" outlineLevel="0" collapsed="false">
      <c r="A9235" s="0" t="s">
        <v>908</v>
      </c>
      <c r="B9235" s="0" t="s">
        <v>129</v>
      </c>
      <c r="E9235" s="7" t="n">
        <f aca="false">(Q!M21+Sens!E9172+Sens!E9173+Sens!E9174+Sens!E9187-Sens!E9170)/(Q!M5-Sens!E9170)</f>
        <v>0.570957350878296</v>
      </c>
      <c r="F9235" s="7" t="n">
        <f aca="false">Sens!$E$9235+dm_seg</f>
        <v>0.570957350878296</v>
      </c>
      <c r="G9235" s="7" t="n">
        <f aca="false">Sens!$E$9235+dm_seg</f>
        <v>0.570957350878296</v>
      </c>
      <c r="H9235" s="7" t="n">
        <f aca="false">Sens!$E$9235+dm_seg</f>
        <v>0.570957350878296</v>
      </c>
      <c r="I9235" s="7" t="n">
        <f aca="false">Sens!$E$9235+dm_seg</f>
        <v>0.570957350878296</v>
      </c>
      <c r="J9235" s="7" t="n">
        <f aca="false">Sens!$E$9235+dm_seg</f>
        <v>0.570957350878296</v>
      </c>
      <c r="K9235" s="7" t="n">
        <f aca="false">Sens!$E$9235+dm_seg</f>
        <v>0.570957350878296</v>
      </c>
      <c r="L9235" s="11" t="s">
        <v>909</v>
      </c>
    </row>
    <row r="9236" customFormat="false" ht="17.15" hidden="false" customHeight="false" outlineLevel="0" collapsed="false">
      <c r="A9236" s="0" t="s">
        <v>743</v>
      </c>
      <c r="B9236" s="0" t="s">
        <v>98</v>
      </c>
      <c r="D9236" s="6" t="n">
        <f aca="false">Q!L21</f>
        <v>110.814</v>
      </c>
      <c r="E9236" s="6" t="n">
        <f aca="false">Q!M21</f>
        <v>136.365</v>
      </c>
      <c r="F9236" s="6" t="n">
        <f aca="false">Sens!F9235*(Sens!F9206-Sens!F9170)+Sens!F9170-(Sens!F9172+Sens!F9173+Sens!F9174)-Sens!F9187-Sens!F9270</f>
        <v>152.185481692494</v>
      </c>
      <c r="G9236" s="6" t="n">
        <f aca="false">Sens!G9235*(Sens!G9206-Sens!G9170)+Sens!G9170-(Sens!G9172+Sens!G9173+Sens!G9174)-Sens!G9187-Sens!G9270</f>
        <v>160.930161070096</v>
      </c>
      <c r="H9236" s="6" t="n">
        <f aca="false">Sens!H9235*(Sens!H9206-Sens!H9170)+Sens!H9170-(Sens!H9172+Sens!H9173+Sens!H9174)-Sens!H9187-Sens!H9270</f>
        <v>163.297430891218</v>
      </c>
      <c r="I9236" s="6" t="n">
        <f aca="false">Sens!I9235*(Sens!I9206-Sens!I9170)+Sens!I9170-(Sens!I9172+Sens!I9173+Sens!I9174)-Sens!I9187-Sens!I9270</f>
        <v>173.292080250877</v>
      </c>
      <c r="J9236" s="6" t="n">
        <f aca="false">Sens!J9235*(Sens!J9206-Sens!J9170)+Sens!J9170-(Sens!J9172+Sens!J9173+Sens!J9174)-Sens!J9187-Sens!J9270</f>
        <v>184.537191390401</v>
      </c>
      <c r="K9236" s="6" t="n">
        <f aca="false">Sens!K9235*(Sens!K9206-Sens!K9170)+Sens!K9170-(Sens!K9172+Sens!K9173+Sens!K9174)-Sens!K9187-Sens!K9270</f>
        <v>197.058471540838</v>
      </c>
      <c r="L9236" s="1" t="s">
        <v>910</v>
      </c>
    </row>
    <row r="9237" customFormat="false" ht="17.15" hidden="false" customHeight="false" outlineLevel="0" collapsed="false">
      <c r="A9237" s="0" t="s">
        <v>911</v>
      </c>
      <c r="B9237" s="0" t="s">
        <v>129</v>
      </c>
      <c r="E9237" s="7" t="n">
        <f aca="false">Q!M22/Q!M12</f>
        <v>0.296207935710698</v>
      </c>
      <c r="F9237" s="7" t="n">
        <f aca="false">Sens!$E$9237+dm_seg</f>
        <v>0.296207935710698</v>
      </c>
      <c r="G9237" s="7" t="n">
        <f aca="false">Sens!$E$9237+dm_seg</f>
        <v>0.296207935710698</v>
      </c>
      <c r="H9237" s="7" t="n">
        <f aca="false">Sens!$E$9237+dm_seg</f>
        <v>0.296207935710698</v>
      </c>
      <c r="I9237" s="7" t="n">
        <f aca="false">Sens!$E$9237+dm_seg</f>
        <v>0.296207935710698</v>
      </c>
      <c r="J9237" s="7" t="n">
        <f aca="false">Sens!$E$9237+dm_seg</f>
        <v>0.296207935710698</v>
      </c>
      <c r="K9237" s="7" t="n">
        <f aca="false">Sens!$E$9237+dm_seg</f>
        <v>0.296207935710698</v>
      </c>
      <c r="L9237" s="11" t="s">
        <v>912</v>
      </c>
    </row>
    <row r="9238" customFormat="false" ht="17.15" hidden="false" customHeight="false" outlineLevel="0" collapsed="false">
      <c r="A9238" s="0" t="s">
        <v>745</v>
      </c>
      <c r="B9238" s="0" t="s">
        <v>98</v>
      </c>
      <c r="D9238" s="6" t="n">
        <f aca="false">Q!L22</f>
        <v>17.714</v>
      </c>
      <c r="E9238" s="6" t="n">
        <f aca="false">Q!M22</f>
        <v>18.872</v>
      </c>
      <c r="F9238" s="6" t="n">
        <f aca="false">Sens!F9213*Sens!F9237</f>
        <v>19.2586702706482</v>
      </c>
      <c r="G9238" s="6" t="n">
        <f aca="false">Sens!G9213*Sens!G9237</f>
        <v>19.7610587933329</v>
      </c>
      <c r="H9238" s="6" t="n">
        <f aca="false">Sens!H9213*Sens!H9237</f>
        <v>20.3420548728763</v>
      </c>
      <c r="I9238" s="6" t="n">
        <f aca="false">Sens!I9213*Sens!I9237</f>
        <v>20.969735213258</v>
      </c>
      <c r="J9238" s="6" t="n">
        <f aca="false">Sens!J9213*Sens!J9237</f>
        <v>21.6177513876753</v>
      </c>
      <c r="K9238" s="6" t="n">
        <f aca="false">Sens!K9213*Sens!K9237</f>
        <v>22.2661966355315</v>
      </c>
    </row>
    <row r="9239" customFormat="false" ht="15" hidden="false" customHeight="false" outlineLevel="0" collapsed="false">
      <c r="A9239" s="1" t="s">
        <v>913</v>
      </c>
      <c r="B9239" s="0" t="s">
        <v>98</v>
      </c>
      <c r="D9239" s="6" t="n">
        <f aca="false">Sens!D9236+Sens!D9238</f>
        <v>128.528</v>
      </c>
      <c r="E9239" s="6" t="n">
        <f aca="false">Sens!E9236+Sens!E9238</f>
        <v>155.237</v>
      </c>
      <c r="F9239" s="6" t="n">
        <f aca="false">Sens!F9236+Sens!F9238</f>
        <v>171.444151963142</v>
      </c>
      <c r="G9239" s="6" t="n">
        <f aca="false">Sens!G9236+Sens!G9238</f>
        <v>180.691219863429</v>
      </c>
      <c r="H9239" s="6" t="n">
        <f aca="false">Sens!H9236+Sens!H9238</f>
        <v>183.639485764095</v>
      </c>
      <c r="I9239" s="6" t="n">
        <f aca="false">Sens!I9236+Sens!I9238</f>
        <v>194.261815464135</v>
      </c>
      <c r="J9239" s="6" t="n">
        <f aca="false">Sens!J9236+Sens!J9238</f>
        <v>206.154942778076</v>
      </c>
      <c r="K9239" s="6" t="n">
        <f aca="false">Sens!K9236+Sens!K9238</f>
        <v>219.32466817637</v>
      </c>
    </row>
    <row r="9240" customFormat="false" ht="15" hidden="false" customHeight="false" outlineLevel="0" collapsed="false">
      <c r="A9240" s="23" t="s">
        <v>914</v>
      </c>
      <c r="B9240" s="30" t="s">
        <v>98</v>
      </c>
      <c r="C9240" s="30"/>
      <c r="D9240" s="24" t="n">
        <f aca="false">Sens!D9239-Q!L23</f>
        <v>0</v>
      </c>
      <c r="E9240" s="24" t="n">
        <f aca="false">Sens!E9239-Q!M23</f>
        <v>0</v>
      </c>
      <c r="F9240" s="30"/>
      <c r="G9240" s="30"/>
      <c r="H9240" s="30"/>
      <c r="I9240" s="30"/>
      <c r="J9240" s="30"/>
      <c r="K9240" s="30"/>
    </row>
    <row r="9241" customFormat="false" ht="15" hidden="false" customHeight="false" outlineLevel="0" collapsed="false">
      <c r="A9241" s="1" t="s">
        <v>915</v>
      </c>
      <c r="B9241" s="0" t="s">
        <v>129</v>
      </c>
      <c r="D9241" s="7" t="n">
        <f aca="false">Sens!D9239/Sens!D9232</f>
        <v>0.456219562408598</v>
      </c>
      <c r="E9241" s="7" t="n">
        <f aca="false">Sens!E9239/Sens!E9232</f>
        <v>0.467808184089272</v>
      </c>
      <c r="F9241" s="7" t="n">
        <f aca="false">Sens!F9239/Sens!F9232</f>
        <v>0.435822330215521</v>
      </c>
      <c r="G9241" s="7" t="n">
        <f aca="false">Sens!G9239/Sens!G9232</f>
        <v>0.396267157843715</v>
      </c>
      <c r="H9241" s="7" t="n">
        <f aca="false">Sens!H9239/Sens!H9232</f>
        <v>0.356975768343498</v>
      </c>
      <c r="I9241" s="7" t="n">
        <f aca="false">Sens!I9239/Sens!I9232</f>
        <v>0.33755592975</v>
      </c>
      <c r="J9241" s="7" t="n">
        <f aca="false">Sens!J9239/Sens!J9232</f>
        <v>0.328954269467256</v>
      </c>
      <c r="K9241" s="7" t="n">
        <f aca="false">Sens!K9239/Sens!K9232</f>
        <v>0.328048286326546</v>
      </c>
    </row>
    <row r="9242" customFormat="false" ht="17.15" hidden="false" customHeight="false" outlineLevel="0" collapsed="false">
      <c r="A9242" s="1" t="s">
        <v>916</v>
      </c>
      <c r="B9242" s="0" t="s">
        <v>98</v>
      </c>
      <c r="F9242" s="6" t="n">
        <f aca="false">Sens!F9257</f>
        <v>10.1553565002727</v>
      </c>
      <c r="G9242" s="6" t="n">
        <f aca="false">Sens!G9257</f>
        <v>26.5039384396555</v>
      </c>
      <c r="H9242" s="6" t="n">
        <f aca="false">Sens!H9257</f>
        <v>44.38649932956</v>
      </c>
      <c r="I9242" s="6" t="n">
        <f aca="false">Sens!I9257</f>
        <v>60.5028524913745</v>
      </c>
      <c r="J9242" s="6" t="n">
        <f aca="false">Sens!J9257</f>
        <v>71.8788124586976</v>
      </c>
      <c r="K9242" s="6" t="n">
        <f aca="false">Sens!K9257</f>
        <v>78.7789222270768</v>
      </c>
      <c r="L9242" s="1" t="s">
        <v>917</v>
      </c>
    </row>
    <row r="9243" customFormat="false" ht="17.15" hidden="false" customHeight="false" outlineLevel="0" collapsed="false">
      <c r="A9243" s="1" t="s">
        <v>918</v>
      </c>
      <c r="B9243" s="0" t="s">
        <v>98</v>
      </c>
      <c r="D9243" s="6" t="n">
        <f aca="false">Sens!D9239</f>
        <v>128.528</v>
      </c>
      <c r="E9243" s="6" t="n">
        <f aca="false">Sens!E9239</f>
        <v>155.237</v>
      </c>
      <c r="F9243" s="6" t="n">
        <f aca="false">Sens!F9239+Sens!F9242</f>
        <v>181.599508463415</v>
      </c>
      <c r="G9243" s="6" t="n">
        <f aca="false">Sens!G9239+Sens!G9242</f>
        <v>207.195158303084</v>
      </c>
      <c r="H9243" s="6" t="n">
        <f aca="false">Sens!H9239+Sens!H9242</f>
        <v>228.025985093655</v>
      </c>
      <c r="I9243" s="6" t="n">
        <f aca="false">Sens!I9239+Sens!I9242</f>
        <v>254.764667955509</v>
      </c>
      <c r="J9243" s="6" t="n">
        <f aca="false">Sens!J9239+Sens!J9242</f>
        <v>278.033755236774</v>
      </c>
      <c r="K9243" s="6" t="n">
        <f aca="false">Sens!K9239+Sens!K9242</f>
        <v>298.103590403446</v>
      </c>
    </row>
    <row r="9244" customFormat="false" ht="17.15" hidden="false" customHeight="false" outlineLevel="0" collapsed="false">
      <c r="A9244" s="1" t="s">
        <v>919</v>
      </c>
      <c r="B9244" s="0" t="s">
        <v>98</v>
      </c>
      <c r="E9244" s="6" t="n">
        <f aca="false">Sens!E9187</f>
        <v>16.3054059770833</v>
      </c>
      <c r="F9244" s="6" t="n">
        <f aca="false">Sens!F9187</f>
        <v>34.0498873809555</v>
      </c>
      <c r="G9244" s="6" t="n">
        <f aca="false">Sens!G9187</f>
        <v>59.1254371105111</v>
      </c>
      <c r="H9244" s="6" t="n">
        <f aca="false">Sens!H9187</f>
        <v>86.3610198433111</v>
      </c>
      <c r="I9244" s="6" t="n">
        <f aca="false">Sens!I9187</f>
        <v>110.605743832393</v>
      </c>
      <c r="J9244" s="6" t="n">
        <f aca="false">Sens!J9187</f>
        <v>127.998322852843</v>
      </c>
      <c r="K9244" s="6" t="n">
        <f aca="false">Sens!K9187</f>
        <v>139.131464044308</v>
      </c>
    </row>
    <row r="9245" customFormat="false" ht="17.15" hidden="false" customHeight="false" outlineLevel="0" collapsed="false">
      <c r="A9245" s="1" t="s">
        <v>920</v>
      </c>
      <c r="B9245" s="0" t="s">
        <v>98</v>
      </c>
      <c r="E9245" s="6" t="n">
        <f aca="false">Sens!E9269</f>
        <v>22.2285940229167</v>
      </c>
      <c r="F9245" s="6" t="n">
        <f aca="false">Sens!F9269</f>
        <v>24.3924470334783</v>
      </c>
      <c r="G9245" s="6" t="n">
        <f aca="false">Sens!G9269</f>
        <v>26.0201965466758</v>
      </c>
      <c r="H9245" s="6" t="n">
        <f aca="false">Sens!H9269</f>
        <v>28.0171131380704</v>
      </c>
      <c r="I9245" s="6" t="n">
        <f aca="false">Sens!I9269</f>
        <v>30.3247070514206</v>
      </c>
      <c r="J9245" s="6" t="n">
        <f aca="false">Sens!J9269</f>
        <v>32.8668457964366</v>
      </c>
      <c r="K9245" s="6" t="n">
        <f aca="false">Sens!K9269</f>
        <v>35.558326620287</v>
      </c>
    </row>
    <row r="9246" customFormat="false" ht="17.15" hidden="false" customHeight="false" outlineLevel="0" collapsed="false">
      <c r="A9246" s="1" t="s">
        <v>921</v>
      </c>
      <c r="B9246" s="0" t="s">
        <v>98</v>
      </c>
      <c r="D9246" s="6" t="n">
        <f aca="false">Q!L27</f>
        <v>-4.901</v>
      </c>
      <c r="E9246" s="6" t="n">
        <f aca="false">Q!M27</f>
        <v>10.697</v>
      </c>
      <c r="F9246" s="6" t="n">
        <f aca="false">oie_f</f>
        <v>-0.4</v>
      </c>
      <c r="G9246" s="6" t="n">
        <f aca="false">oie_f</f>
        <v>-0.4</v>
      </c>
      <c r="H9246" s="6" t="n">
        <f aca="false">oie_f</f>
        <v>-0.4</v>
      </c>
      <c r="I9246" s="6" t="n">
        <f aca="false">oie_f</f>
        <v>-0.4</v>
      </c>
      <c r="J9246" s="6" t="n">
        <f aca="false">oie_f</f>
        <v>-0.4</v>
      </c>
      <c r="K9246" s="6" t="n">
        <f aca="false">oie_f</f>
        <v>-0.4</v>
      </c>
      <c r="L9246" s="11" t="s">
        <v>922</v>
      </c>
    </row>
    <row r="9247" customFormat="false" ht="15" hidden="false" customHeight="false" outlineLevel="0" collapsed="false">
      <c r="A9247" s="1" t="s">
        <v>923</v>
      </c>
      <c r="B9247" s="0" t="s">
        <v>98</v>
      </c>
      <c r="D9247" s="6" t="n">
        <f aca="false">Sens!D9239+Sens!D9246</f>
        <v>123.627</v>
      </c>
      <c r="E9247" s="6" t="n">
        <f aca="false">Sens!E9239+Sens!E9246</f>
        <v>165.934</v>
      </c>
      <c r="F9247" s="6" t="n">
        <f aca="false">Sens!F9239+Sens!F9246</f>
        <v>171.044151963142</v>
      </c>
      <c r="G9247" s="6" t="n">
        <f aca="false">Sens!G9239+Sens!G9246</f>
        <v>180.291219863429</v>
      </c>
      <c r="H9247" s="6" t="n">
        <f aca="false">Sens!H9239+Sens!H9246</f>
        <v>183.239485764095</v>
      </c>
      <c r="I9247" s="6" t="n">
        <f aca="false">Sens!I9239+Sens!I9246</f>
        <v>193.861815464135</v>
      </c>
      <c r="J9247" s="6" t="n">
        <f aca="false">Sens!J9239+Sens!J9246</f>
        <v>205.754942778076</v>
      </c>
      <c r="K9247" s="6" t="n">
        <f aca="false">Sens!K9239+Sens!K9246</f>
        <v>218.92466817637</v>
      </c>
    </row>
    <row r="9248" customFormat="false" ht="15" hidden="false" customHeight="false" outlineLevel="0" collapsed="false">
      <c r="A9248" s="1" t="s">
        <v>924</v>
      </c>
      <c r="B9248" s="0" t="s">
        <v>98</v>
      </c>
      <c r="D9248" s="6" t="n">
        <f aca="false">Q!L29</f>
        <v>21.795</v>
      </c>
      <c r="E9248" s="6" t="n">
        <f aca="false">Q!M29</f>
        <v>32.185</v>
      </c>
      <c r="F9248" s="6" t="n">
        <f aca="false">Sens!F9247*tax_f</f>
        <v>34.2088303926284</v>
      </c>
      <c r="G9248" s="6" t="n">
        <f aca="false">Sens!G9247*tax_f</f>
        <v>36.0582439726858</v>
      </c>
      <c r="H9248" s="6" t="n">
        <f aca="false">Sens!H9247*tax_f</f>
        <v>36.647897152819</v>
      </c>
      <c r="I9248" s="6" t="n">
        <f aca="false">Sens!I9247*tax_f</f>
        <v>38.7723630928269</v>
      </c>
      <c r="J9248" s="6" t="n">
        <f aca="false">Sens!J9247*tax_f</f>
        <v>41.1509885556152</v>
      </c>
      <c r="K9248" s="6" t="n">
        <f aca="false">Sens!K9247*tax_f</f>
        <v>43.7849336352739</v>
      </c>
    </row>
    <row r="9249" customFormat="false" ht="15" hidden="false" customHeight="false" outlineLevel="0" collapsed="false">
      <c r="A9249" s="1" t="s">
        <v>925</v>
      </c>
      <c r="B9249" s="0" t="s">
        <v>98</v>
      </c>
      <c r="D9249" s="6" t="n">
        <f aca="false">Sens!D9247-Sens!D9248</f>
        <v>101.832</v>
      </c>
      <c r="E9249" s="6" t="n">
        <f aca="false">Sens!E9247-Sens!E9248</f>
        <v>133.749</v>
      </c>
      <c r="F9249" s="6" t="n">
        <f aca="false">Sens!F9247-Sens!F9248</f>
        <v>136.835321570514</v>
      </c>
      <c r="G9249" s="6" t="n">
        <f aca="false">Sens!G9247-Sens!G9248</f>
        <v>144.232975890743</v>
      </c>
      <c r="H9249" s="6" t="n">
        <f aca="false">Sens!H9247-Sens!H9248</f>
        <v>146.591588611276</v>
      </c>
      <c r="I9249" s="6" t="n">
        <f aca="false">Sens!I9247-Sens!I9248</f>
        <v>155.089452371308</v>
      </c>
      <c r="J9249" s="6" t="n">
        <f aca="false">Sens!J9247-Sens!J9248</f>
        <v>164.603954222461</v>
      </c>
      <c r="K9249" s="6" t="n">
        <f aca="false">Sens!K9247-Sens!K9248</f>
        <v>175.139734541096</v>
      </c>
    </row>
    <row r="9250" customFormat="false" ht="17.15" hidden="false" customHeight="false" outlineLevel="0" collapsed="false">
      <c r="A9250" s="1" t="s">
        <v>926</v>
      </c>
      <c r="B9250" s="1" t="s">
        <v>81</v>
      </c>
      <c r="D9250" s="14" t="n">
        <f aca="false">Q!L31</f>
        <v>7.465</v>
      </c>
      <c r="E9250" s="14" t="n">
        <f aca="false">Q!M31</f>
        <v>7.453</v>
      </c>
      <c r="F9250" s="14" t="n">
        <f aca="false">Sens!F9293</f>
        <v>7.4735</v>
      </c>
      <c r="G9250" s="14" t="n">
        <f aca="false">Sens!G9293</f>
        <v>7.5185</v>
      </c>
      <c r="H9250" s="14" t="n">
        <f aca="false">Sens!H9293</f>
        <v>7.55860908101912</v>
      </c>
      <c r="I9250" s="14" t="n">
        <f aca="false">Sens!I9293</f>
        <v>7.5827474081956</v>
      </c>
      <c r="J9250" s="14" t="n">
        <f aca="false">Sens!J9293</f>
        <v>7.59698891931349</v>
      </c>
      <c r="K9250" s="14" t="n">
        <f aca="false">Sens!K9293</f>
        <v>7.61350883701523</v>
      </c>
    </row>
    <row r="9251" customFormat="false" ht="17.15" hidden="false" customHeight="false" outlineLevel="0" collapsed="false">
      <c r="A9251" s="0" t="s">
        <v>927</v>
      </c>
      <c r="B9251" s="0" t="s">
        <v>75</v>
      </c>
      <c r="D9251" s="8" t="n">
        <f aca="false">Sens!D9249/Sens!D9250</f>
        <v>13.641259209645</v>
      </c>
      <c r="E9251" s="8" t="n">
        <f aca="false">Sens!E9249/Sens!E9250</f>
        <v>17.9456594659869</v>
      </c>
      <c r="F9251" s="8" t="n">
        <f aca="false">Sens!F9249/Sens!F9250</f>
        <v>18.3094027658411</v>
      </c>
      <c r="G9251" s="8" t="n">
        <f aca="false">Sens!G9249/Sens!G9250</f>
        <v>19.1837435513391</v>
      </c>
      <c r="H9251" s="8" t="n">
        <f aca="false">Sens!H9249/Sens!H9250</f>
        <v>19.393989957675</v>
      </c>
      <c r="I9251" s="8" t="n">
        <f aca="false">Sens!I9249/Sens!I9250</f>
        <v>20.4529366498063</v>
      </c>
      <c r="J9251" s="8" t="n">
        <f aca="false">Sens!J9249/Sens!J9250</f>
        <v>21.6669993823468</v>
      </c>
      <c r="K9251" s="8" t="n">
        <f aca="false">Sens!K9249/Sens!K9250</f>
        <v>23.0038131287908</v>
      </c>
      <c r="L9251" s="1" t="s">
        <v>928</v>
      </c>
    </row>
    <row r="9252" customFormat="false" ht="17.15" hidden="false" customHeight="false" outlineLevel="0" collapsed="false">
      <c r="A9252" s="1" t="s">
        <v>929</v>
      </c>
      <c r="B9252" s="0" t="s">
        <v>98</v>
      </c>
      <c r="D9252" s="6" t="n">
        <f aca="false">Sens!D9249</f>
        <v>101.832</v>
      </c>
      <c r="E9252" s="6" t="n">
        <f aca="false">Sens!E9249</f>
        <v>133.749</v>
      </c>
      <c r="F9252" s="6" t="n">
        <f aca="false">Sens!F9249+Sens!F9242*(1-tax_f)</f>
        <v>144.959606770732</v>
      </c>
      <c r="G9252" s="6" t="n">
        <f aca="false">Sens!G9249+Sens!G9242*(1-tax_f)</f>
        <v>165.436126642468</v>
      </c>
      <c r="H9252" s="6" t="n">
        <f aca="false">Sens!H9249+Sens!H9242*(1-tax_f)</f>
        <v>182.100788074924</v>
      </c>
      <c r="I9252" s="6" t="n">
        <f aca="false">Sens!I9249+Sens!I9242*(1-tax_f)</f>
        <v>203.491734364407</v>
      </c>
      <c r="J9252" s="6" t="n">
        <f aca="false">Sens!J9249+Sens!J9242*(1-tax_f)</f>
        <v>222.107004189419</v>
      </c>
      <c r="K9252" s="6" t="n">
        <f aca="false">Sens!K9249+Sens!K9242*(1-tax_f)</f>
        <v>238.162872322757</v>
      </c>
    </row>
    <row r="9253" customFormat="false" ht="17.15" hidden="false" customHeight="false" outlineLevel="0" collapsed="false">
      <c r="A9253" s="0" t="s">
        <v>930</v>
      </c>
      <c r="B9253" s="0" t="s">
        <v>75</v>
      </c>
      <c r="D9253" s="8" t="n">
        <f aca="false">Sens!D9252/Sens!D9250</f>
        <v>13.641259209645</v>
      </c>
      <c r="E9253" s="8" t="n">
        <f aca="false">Sens!E9252/Sens!E9250</f>
        <v>17.9456594659869</v>
      </c>
      <c r="F9253" s="8" t="n">
        <f aca="false">Sens!F9252/Sens!F9250</f>
        <v>19.3964818051424</v>
      </c>
      <c r="G9253" s="8" t="n">
        <f aca="false">Sens!G9252/Sens!G9250</f>
        <v>22.003873996471</v>
      </c>
      <c r="H9253" s="8" t="n">
        <f aca="false">Sens!H9252/Sens!H9250</f>
        <v>24.0918383426136</v>
      </c>
      <c r="I9253" s="8" t="n">
        <f aca="false">Sens!I9252/Sens!I9250</f>
        <v>26.8361483523068</v>
      </c>
      <c r="J9253" s="8" t="n">
        <f aca="false">Sens!J9252/Sens!J9250</f>
        <v>29.2361890412616</v>
      </c>
      <c r="K9253" s="8" t="n">
        <f aca="false">Sens!K9252/Sens!K9250</f>
        <v>31.2816176379623</v>
      </c>
      <c r="L9253" s="1" t="s">
        <v>931</v>
      </c>
    </row>
    <row r="9254" customFormat="false" ht="17.15" hidden="false" customHeight="false" outlineLevel="0" collapsed="false">
      <c r="A9254" s="0" t="s">
        <v>932</v>
      </c>
      <c r="B9254" s="0" t="s">
        <v>129</v>
      </c>
      <c r="E9254" s="7" t="n">
        <f aca="false">Sens!E9253/Sens!D9253-1</f>
        <v>0.315542736208578</v>
      </c>
      <c r="F9254" s="7" t="n">
        <f aca="false">Sens!F9253/Sens!E9253-1</f>
        <v>0.0808453064600578</v>
      </c>
      <c r="G9254" s="7" t="n">
        <f aca="false">Sens!G9253/Sens!F9253-1</f>
        <v>0.134426037542405</v>
      </c>
      <c r="H9254" s="7" t="n">
        <f aca="false">Sens!H9253/Sens!G9253-1</f>
        <v>0.0948907608940783</v>
      </c>
      <c r="I9254" s="7" t="n">
        <f aca="false">Sens!I9253/Sens!H9253-1</f>
        <v>0.113910361287751</v>
      </c>
      <c r="J9254" s="7" t="n">
        <f aca="false">Sens!J9253/Sens!I9253-1</f>
        <v>0.0894331279379927</v>
      </c>
      <c r="K9254" s="7" t="n">
        <f aca="false">Sens!K9253/Sens!J9253-1</f>
        <v>0.0699622168201839</v>
      </c>
    </row>
    <row r="9255" customFormat="false" ht="17.15" hidden="false" customHeight="false" outlineLevel="0" collapsed="false">
      <c r="A9255" s="0" t="s">
        <v>856</v>
      </c>
      <c r="B9255" s="0" t="s">
        <v>98</v>
      </c>
      <c r="E9255" s="6" t="n">
        <f aca="false">Sens!E9196</f>
        <v>5.25</v>
      </c>
      <c r="F9255" s="6" t="n">
        <f aca="false">Sens!F9196</f>
        <v>10.5</v>
      </c>
      <c r="G9255" s="6" t="n">
        <f aca="false">Sens!G9196</f>
        <v>13.5</v>
      </c>
      <c r="H9255" s="6" t="n">
        <f aca="false">Sens!H9196</f>
        <v>16.5</v>
      </c>
      <c r="I9255" s="6" t="n">
        <f aca="false">Sens!I9196</f>
        <v>18.75</v>
      </c>
      <c r="J9255" s="6" t="n">
        <f aca="false">Sens!J9196</f>
        <v>20.25</v>
      </c>
      <c r="K9255" s="6" t="n">
        <f aca="false">Sens!K9196</f>
        <v>21.75</v>
      </c>
    </row>
    <row r="9256" customFormat="false" ht="17.15" hidden="false" customHeight="false" outlineLevel="0" collapsed="false">
      <c r="A9256" s="1" t="s">
        <v>857</v>
      </c>
      <c r="B9256" s="0" t="s">
        <v>98</v>
      </c>
      <c r="F9256" s="6" t="n">
        <f aca="false">MAX(0,((Sens!E9159+Sens!F9159)/2-(shadow_base*(Sens!$D$9159+Sens!$E$9159)/2+(1-shadow_base)*Sens!$E$9159))*Sens!F9167/1000-(Sens!F9255-Sens!$E$9255)*Sens!F9235)</f>
        <v>10.1553565002727</v>
      </c>
      <c r="G9256" s="6" t="n">
        <f aca="false">MAX(0,((Sens!F9159+Sens!G9159)/2-(shadow_base*(Sens!$D$9159+Sens!$E$9159)/2+(1-shadow_base)*Sens!$E$9159))*Sens!G9167/1000-(Sens!G9255-Sens!$E$9255)*Sens!G9235)</f>
        <v>26.5039384396555</v>
      </c>
      <c r="H9256" s="6" t="n">
        <f aca="false">MAX(0,((Sens!G9159+Sens!H9159)/2-(shadow_base*(Sens!$D$9159+Sens!$E$9159)/2+(1-shadow_base)*Sens!$E$9159))*Sens!H9167/1000-(Sens!H9255-Sens!$E$9255)*Sens!H9235)</f>
        <v>44.38649932956</v>
      </c>
      <c r="I9256" s="6" t="n">
        <f aca="false">MAX(0,((Sens!H9159+Sens!I9159)/2-(shadow_base*(Sens!$D$9159+Sens!$E$9159)/2+(1-shadow_base)*Sens!$E$9159))*Sens!I9167/1000-(Sens!I9255-Sens!$E$9255)*Sens!I9235)</f>
        <v>60.5028524913745</v>
      </c>
      <c r="J9256" s="6" t="n">
        <f aca="false">MAX(0,((Sens!I9159+Sens!J9159)/2-(shadow_base*(Sens!$D$9159+Sens!$E$9159)/2+(1-shadow_base)*Sens!$E$9159))*Sens!J9167/1000-(Sens!J9255-Sens!$E$9255)*Sens!J9235)</f>
        <v>71.8788124586976</v>
      </c>
      <c r="K9256" s="6" t="n">
        <f aca="false">MAX(0,((Sens!J9159+Sens!K9159)/2-(shadow_base*(Sens!$D$9159+Sens!$E$9159)/2+(1-shadow_base)*Sens!$E$9159))*Sens!K9167/1000-(Sens!K9255-Sens!$E$9255)*Sens!K9235)</f>
        <v>78.7789222270768</v>
      </c>
      <c r="L9256" s="1" t="s">
        <v>858</v>
      </c>
    </row>
    <row r="9257" customFormat="false" ht="17.15" hidden="false" customHeight="false" outlineLevel="0" collapsed="false">
      <c r="A9257" s="1" t="s">
        <v>859</v>
      </c>
      <c r="B9257" s="0" t="s">
        <v>98</v>
      </c>
      <c r="F9257" s="6" t="n">
        <f aca="false">IF(internal_ai_reading=2,1,0)*Sens!F9256</f>
        <v>10.1553565002727</v>
      </c>
      <c r="G9257" s="6" t="n">
        <f aca="false">IF(internal_ai_reading=2,1,0)*Sens!G9256</f>
        <v>26.5039384396555</v>
      </c>
      <c r="H9257" s="6" t="n">
        <f aca="false">IF(internal_ai_reading=2,1,0)*Sens!H9256</f>
        <v>44.38649932956</v>
      </c>
      <c r="I9257" s="6" t="n">
        <f aca="false">IF(internal_ai_reading=2,1,0)*Sens!I9256</f>
        <v>60.5028524913745</v>
      </c>
      <c r="J9257" s="6" t="n">
        <f aca="false">IF(internal_ai_reading=2,1,0)*Sens!J9256</f>
        <v>71.8788124586976</v>
      </c>
      <c r="K9257" s="6" t="n">
        <f aca="false">IF(internal_ai_reading=2,1,0)*Sens!K9256</f>
        <v>78.7789222270768</v>
      </c>
    </row>
    <row r="9258" customFormat="false" ht="17.15" hidden="false" customHeight="false" outlineLevel="0" collapsed="false">
      <c r="A9258" s="0" t="s">
        <v>860</v>
      </c>
      <c r="B9258" s="0" t="s">
        <v>98</v>
      </c>
      <c r="F9258" s="6" t="n">
        <f aca="false">Sens!F9176+Sens!F9255*Sens!F9235+Sens!F9257-Sens!F9177-Sens!F9187</f>
        <v>10.6249363155714</v>
      </c>
      <c r="G9258" s="6" t="n">
        <f aca="false">Sens!G9176+Sens!G9255*Sens!G9235+Sens!G9257-Sens!G9177-Sens!G9187</f>
        <v>16.5522915631233</v>
      </c>
      <c r="H9258" s="6" t="n">
        <f aca="false">Sens!H9176+Sens!H9255*Sens!H9235+Sens!H9257-Sens!H9177-Sens!H9187</f>
        <v>17.4625151247579</v>
      </c>
      <c r="I9258" s="6" t="n">
        <f aca="false">Sens!I9176+Sens!I9255*Sens!I9235+Sens!I9257-Sens!I9177-Sens!I9187</f>
        <v>24.729505792607</v>
      </c>
      <c r="J9258" s="6" t="n">
        <f aca="false">Sens!J9176+Sens!J9255*Sens!J9235+Sens!J9257-Sens!J9177-Sens!J9187</f>
        <v>29.752205312642</v>
      </c>
      <c r="K9258" s="6" t="n">
        <f aca="false">Sens!K9176+Sens!K9255*Sens!K9235+Sens!K9257-Sens!K9177-Sens!K9187</f>
        <v>33.5968759973665</v>
      </c>
    </row>
    <row r="9259" customFormat="false" ht="17.15" hidden="false" customHeight="false" outlineLevel="0" collapsed="false">
      <c r="A9259" s="0" t="s">
        <v>861</v>
      </c>
      <c r="B9259" s="0" t="s">
        <v>98</v>
      </c>
      <c r="E9259" s="6" t="n">
        <f aca="false">Sens!E9158*(cxit_open+self_build*tk_cxfac)/1000*ai_net_open</f>
        <v>126.6980382</v>
      </c>
      <c r="F9259" s="6" t="n">
        <f aca="false">Sens!E9259+Sens!F9184-Sens!F9187</f>
        <v>252.981026690511</v>
      </c>
      <c r="G9259" s="6" t="n">
        <f aca="false">Sens!F9259+Sens!G9184-Sens!G9187</f>
        <v>377.4297700632</v>
      </c>
      <c r="H9259" s="6" t="n">
        <f aca="false">Sens!G9259+Sens!H9184-Sens!H9187</f>
        <v>479.149036130289</v>
      </c>
      <c r="I9259" s="6" t="n">
        <f aca="false">Sens!H9259+Sens!I9184-Sens!I9187</f>
        <v>532.249961452141</v>
      </c>
      <c r="J9259" s="6" t="n">
        <f aca="false">Sens!I9259+Sens!J9184-Sens!J9187</f>
        <v>531.43307519354</v>
      </c>
      <c r="K9259" s="6" t="n">
        <f aca="false">Sens!J9259+Sens!K9184-Sens!K9187</f>
        <v>513.709026452823</v>
      </c>
      <c r="L9259" s="1" t="s">
        <v>862</v>
      </c>
    </row>
    <row r="9260" customFormat="false" ht="17.15" hidden="false" customHeight="false" outlineLevel="0" collapsed="false">
      <c r="A9260" s="0" t="s">
        <v>863</v>
      </c>
      <c r="B9260" s="0" t="s">
        <v>129</v>
      </c>
      <c r="F9260" s="7" t="n">
        <f aca="false">Sens!F9258*(1-tax_f)/((Sens!E9259+Sens!F9259)/2)</f>
        <v>0.0447743888903029</v>
      </c>
      <c r="G9260" s="7" t="n">
        <f aca="false">Sens!G9258*(1-tax_f)/((Sens!F9259+Sens!G9259)/2)</f>
        <v>0.0420101727910983</v>
      </c>
      <c r="H9260" s="7" t="n">
        <f aca="false">Sens!H9258*(1-tax_f)/((Sens!G9259+Sens!H9259)/2)</f>
        <v>0.0326181595874103</v>
      </c>
      <c r="I9260" s="7" t="n">
        <f aca="false">Sens!I9258*(1-tax_f)/((Sens!H9259+Sens!I9259)/2)</f>
        <v>0.0391212660510339</v>
      </c>
      <c r="J9260" s="7" t="n">
        <f aca="false">Sens!J9258*(1-tax_f)/((Sens!I9259+Sens!J9259)/2)</f>
        <v>0.0447534903351892</v>
      </c>
      <c r="K9260" s="7" t="n">
        <f aca="false">Sens!K9258*(1-tax_f)/((Sens!J9259+Sens!K9259)/2)</f>
        <v>0.0514331989029135</v>
      </c>
    </row>
    <row r="9261" customFormat="false" ht="17.15" hidden="false" customHeight="false" outlineLevel="0" collapsed="false">
      <c r="A9261" s="1" t="s">
        <v>864</v>
      </c>
      <c r="B9261" s="0" t="s">
        <v>129</v>
      </c>
      <c r="F9261" s="7" t="n">
        <f aca="false">(Sens!F9258-Sens!F9257)*(1-tax_f)/((Sens!E9259+Sens!F9259)/2)</f>
        <v>0.00197884943878752</v>
      </c>
      <c r="G9261" s="7" t="n">
        <f aca="false">(Sens!G9258-Sens!G9257)*(1-tax_f)/((Sens!F9259+Sens!G9259)/2)</f>
        <v>-0.0252575544144306</v>
      </c>
      <c r="H9261" s="7" t="n">
        <f aca="false">(Sens!H9258-Sens!H9257)*(1-tax_f)/((Sens!G9259+Sens!H9259)/2)</f>
        <v>-0.0502911984468976</v>
      </c>
      <c r="I9261" s="7" t="n">
        <f aca="false">(Sens!I9258-Sens!I9257)*(1-tax_f)/((Sens!H9259+Sens!I9259)/2)</f>
        <v>-0.0565922596866753</v>
      </c>
      <c r="J9261" s="7" t="n">
        <f aca="false">(Sens!J9258-Sens!J9257)*(1-tax_f)/((Sens!I9259+Sens!J9259)/2)</f>
        <v>-0.0633671583653741</v>
      </c>
      <c r="K9261" s="7" t="n">
        <f aca="false">(Sens!K9258-Sens!K9257)*(1-tax_f)/((Sens!J9259+Sens!K9259)/2)</f>
        <v>-0.0691688468521739</v>
      </c>
    </row>
    <row r="9262" customFormat="false" ht="17.15" hidden="false" customHeight="false" outlineLevel="0" collapsed="false">
      <c r="A9262" s="1" t="s">
        <v>865</v>
      </c>
      <c r="B9262" s="0" t="s">
        <v>129</v>
      </c>
      <c r="F9262" s="7" t="n">
        <f aca="false">(Sens!F9258-Sens!F9257+Sens!F9256)*(1-tax_f)/((Sens!E9259+Sens!F9259)/2)</f>
        <v>0.0447743888903029</v>
      </c>
      <c r="G9262" s="7" t="n">
        <f aca="false">(Sens!G9258-Sens!G9257+Sens!G9256)*(1-tax_f)/((Sens!F9259+Sens!G9259)/2)</f>
        <v>0.0420101727910983</v>
      </c>
      <c r="H9262" s="7" t="n">
        <f aca="false">(Sens!H9258-Sens!H9257+Sens!H9256)*(1-tax_f)/((Sens!G9259+Sens!H9259)/2)</f>
        <v>0.0326181595874103</v>
      </c>
      <c r="I9262" s="7" t="n">
        <f aca="false">(Sens!I9258-Sens!I9257+Sens!I9256)*(1-tax_f)/((Sens!H9259+Sens!I9259)/2)</f>
        <v>0.0391212660510339</v>
      </c>
      <c r="J9262" s="7" t="n">
        <f aca="false">(Sens!J9258-Sens!J9257+Sens!J9256)*(1-tax_f)/((Sens!I9259+Sens!J9259)/2)</f>
        <v>0.0447534903351892</v>
      </c>
      <c r="K9262" s="7" t="n">
        <f aca="false">(Sens!K9258-Sens!K9257+Sens!K9256)*(1-tax_f)/((Sens!J9259+Sens!K9259)/2)</f>
        <v>0.0514331989029135</v>
      </c>
    </row>
    <row r="9263" customFormat="false" ht="17.15" hidden="false" customHeight="false" outlineLevel="0" collapsed="false">
      <c r="A9263" s="1" t="s">
        <v>866</v>
      </c>
      <c r="B9263" s="0" t="s">
        <v>129</v>
      </c>
      <c r="F9263" s="7" t="n">
        <f aca="false">Sens!F9188*(1-tax_f)/(Sens!F9175*(Sens!E9259+Sens!F9259)/2)</f>
        <v>0.102735279953254</v>
      </c>
      <c r="G9263" s="7" t="n">
        <f aca="false">Sens!G9188*(1-tax_f)/(Sens!G9175*(Sens!F9259+Sens!G9259)/2)</f>
        <v>0.0709600152423962</v>
      </c>
      <c r="H9263" s="7" t="n">
        <f aca="false">Sens!H9188*(1-tax_f)/(Sens!H9175*(Sens!G9259+Sens!H9259)/2)</f>
        <v>0.0419126501774916</v>
      </c>
      <c r="I9263" s="7" t="n">
        <f aca="false">Sens!I9188*(1-tax_f)/(Sens!I9175*(Sens!H9259+Sens!I9259)/2)</f>
        <v>0.044576811268173</v>
      </c>
      <c r="J9263" s="7" t="n">
        <f aca="false">Sens!J9188*(1-tax_f)/(Sens!J9175*(Sens!I9259+Sens!J9259)/2)</f>
        <v>0.0483882076863038</v>
      </c>
      <c r="K9263" s="7" t="n">
        <f aca="false">Sens!K9188*(1-tax_f)/(Sens!K9175*(Sens!J9259+Sens!K9259)/2)</f>
        <v>0.0544871874286225</v>
      </c>
    </row>
    <row r="9264" customFormat="false" ht="17.15" hidden="false" customHeight="false" outlineLevel="0" collapsed="false">
      <c r="A9264" s="0" t="s">
        <v>867</v>
      </c>
      <c r="B9264" s="0" t="s">
        <v>209</v>
      </c>
      <c r="F9264" s="7" t="n">
        <f aca="false">Sens!F9260-wacc</f>
        <v>-0.0581600312025729</v>
      </c>
      <c r="G9264" s="7" t="n">
        <f aca="false">Sens!G9260-wacc</f>
        <v>-0.0609242473017775</v>
      </c>
      <c r="H9264" s="7" t="n">
        <f aca="false">Sens!H9260-wacc</f>
        <v>-0.0703162605054654</v>
      </c>
      <c r="I9264" s="7" t="n">
        <f aca="false">Sens!I9260-wacc</f>
        <v>-0.0638131540418418</v>
      </c>
      <c r="J9264" s="7" t="n">
        <f aca="false">Sens!J9260-wacc</f>
        <v>-0.0581809297576865</v>
      </c>
      <c r="K9264" s="7" t="n">
        <f aca="false">Sens!K9260-wacc</f>
        <v>-0.0515012211899623</v>
      </c>
    </row>
    <row r="9265" customFormat="false" ht="17.15" hidden="false" customHeight="false" outlineLevel="0" collapsed="false">
      <c r="A9265" s="0" t="s">
        <v>868</v>
      </c>
      <c r="B9265" s="0" t="s">
        <v>98</v>
      </c>
      <c r="F9265" s="6" t="n">
        <f aca="false">Sens!F9258*(1-tax_f)-wacc*(Sens!E9259+Sens!F9259)/2</f>
        <v>-11.0410731304979</v>
      </c>
      <c r="G9265" s="6" t="n">
        <f aca="false">Sens!G9258*(1-tax_f)-wacc*(Sens!F9259+Sens!G9259)/2</f>
        <v>-19.2036516415668</v>
      </c>
      <c r="H9265" s="6" t="n">
        <f aca="false">Sens!H9258*(1-tax_f)-wacc*(Sens!G9259+Sens!H9259)/2</f>
        <v>-30.115709239881</v>
      </c>
      <c r="I9265" s="6" t="n">
        <f aca="false">Sens!I9258*(1-tax_f)-wacc*(Sens!H9259+Sens!I9259)/2</f>
        <v>-32.270280015246</v>
      </c>
      <c r="J9265" s="6" t="n">
        <f aca="false">Sens!J9258*(1-tax_f)-wacc*(Sens!I9259+Sens!J9259)/2</f>
        <v>-30.9430340197625</v>
      </c>
      <c r="K9265" s="6" t="n">
        <f aca="false">Sens!K9258*(1-tax_f)-wacc*(Sens!J9259+Sens!K9259)/2</f>
        <v>-26.9130472759157</v>
      </c>
    </row>
    <row r="9266" customFormat="false" ht="17.15" hidden="false" customHeight="false" outlineLevel="0" collapsed="false">
      <c r="A9266" s="3" t="s">
        <v>1500</v>
      </c>
    </row>
    <row r="9267" customFormat="false" ht="15" hidden="false" customHeight="false" outlineLevel="0" collapsed="false">
      <c r="A9267" s="4" t="s">
        <v>43</v>
      </c>
      <c r="B9267" s="4" t="s">
        <v>65</v>
      </c>
      <c r="C9267" s="20" t="s">
        <v>799</v>
      </c>
      <c r="D9267" s="20" t="s">
        <v>800</v>
      </c>
      <c r="E9267" s="20" t="s">
        <v>801</v>
      </c>
      <c r="F9267" s="20" t="s">
        <v>802</v>
      </c>
      <c r="G9267" s="20" t="s">
        <v>803</v>
      </c>
      <c r="H9267" s="20" t="s">
        <v>804</v>
      </c>
      <c r="I9267" s="20" t="s">
        <v>805</v>
      </c>
      <c r="J9267" s="20" t="s">
        <v>806</v>
      </c>
      <c r="K9267" s="20" t="s">
        <v>807</v>
      </c>
      <c r="L9267" s="4" t="s">
        <v>47</v>
      </c>
    </row>
    <row r="9268" customFormat="false" ht="15" hidden="false" customHeight="false" outlineLevel="0" collapsed="false">
      <c r="A9268" s="1" t="s">
        <v>925</v>
      </c>
      <c r="B9268" s="0" t="s">
        <v>98</v>
      </c>
      <c r="F9268" s="6" t="n">
        <f aca="false">Sens!F9249</f>
        <v>136.835321570514</v>
      </c>
      <c r="G9268" s="6" t="n">
        <f aca="false">Sens!G9249</f>
        <v>144.232975890743</v>
      </c>
      <c r="H9268" s="6" t="n">
        <f aca="false">Sens!H9249</f>
        <v>146.591588611276</v>
      </c>
      <c r="I9268" s="6" t="n">
        <f aca="false">Sens!I9249</f>
        <v>155.089452371308</v>
      </c>
      <c r="J9268" s="6" t="n">
        <f aca="false">Sens!J9249</f>
        <v>164.603954222461</v>
      </c>
      <c r="K9268" s="6" t="n">
        <f aca="false">Sens!K9249</f>
        <v>175.139734541096</v>
      </c>
    </row>
    <row r="9269" customFormat="false" ht="17.15" hidden="false" customHeight="false" outlineLevel="0" collapsed="false">
      <c r="A9269" s="1" t="s">
        <v>947</v>
      </c>
      <c r="B9269" s="0" t="s">
        <v>98</v>
      </c>
      <c r="E9269" s="6" t="n">
        <f aca="false">Q!M38-Sens!E9187</f>
        <v>22.2285940229167</v>
      </c>
      <c r="F9269" s="6" t="n">
        <f aca="false">Sens!E9269*(1-1/life_nonai)+(Sens!F9276+Sens!F9277)/life_nonai</f>
        <v>24.3924470334783</v>
      </c>
      <c r="G9269" s="6" t="n">
        <f aca="false">Sens!F9269*(1-1/life_nonai)+(Sens!G9276)/life_nonai</f>
        <v>26.0201965466758</v>
      </c>
      <c r="H9269" s="6" t="n">
        <f aca="false">Sens!G9269*(1-1/life_nonai)+(Sens!H9276)/life_nonai</f>
        <v>28.0171131380704</v>
      </c>
      <c r="I9269" s="6" t="n">
        <f aca="false">Sens!H9269*(1-1/life_nonai)+(Sens!I9276)/life_nonai</f>
        <v>30.3247070514206</v>
      </c>
      <c r="J9269" s="6" t="n">
        <f aca="false">Sens!I9269*(1-1/life_nonai)+(Sens!J9276)/life_nonai</f>
        <v>32.8668457964366</v>
      </c>
      <c r="K9269" s="6" t="n">
        <f aca="false">Sens!J9269*(1-1/life_nonai)+(Sens!K9276)/life_nonai</f>
        <v>35.558326620287</v>
      </c>
      <c r="L9269" s="11" t="s">
        <v>948</v>
      </c>
    </row>
    <row r="9270" customFormat="false" ht="17.15" hidden="false" customHeight="false" outlineLevel="0" collapsed="false">
      <c r="A9270" s="1" t="s">
        <v>949</v>
      </c>
      <c r="B9270" s="0" t="s">
        <v>98</v>
      </c>
      <c r="F9270" s="6" t="n">
        <f aca="false">Sens!$F$9277/life_nonai*(1-1/life_nonai)^(Sens!F9153-2027)</f>
        <v>0.844771089897088</v>
      </c>
      <c r="G9270" s="6" t="n">
        <f aca="false">Sens!$F$9277/life_nonai*(1-1/life_nonai)^(Sens!G9153-2027)</f>
        <v>0.760293980907379</v>
      </c>
      <c r="H9270" s="6" t="n">
        <f aca="false">Sens!$F$9277/life_nonai*(1-1/life_nonai)^(Sens!H9153-2027)</f>
        <v>0.684264582816642</v>
      </c>
      <c r="I9270" s="6" t="n">
        <f aca="false">Sens!$F$9277/life_nonai*(1-1/life_nonai)^(Sens!I9153-2027)</f>
        <v>0.615838124534977</v>
      </c>
      <c r="J9270" s="6" t="n">
        <f aca="false">Sens!$F$9277/life_nonai*(1-1/life_nonai)^(Sens!J9153-2027)</f>
        <v>0.55425431208148</v>
      </c>
      <c r="K9270" s="6" t="n">
        <f aca="false">Sens!$F$9277/life_nonai*(1-1/life_nonai)^(Sens!K9153-2027)</f>
        <v>0.498828880873332</v>
      </c>
      <c r="L9270" s="1" t="s">
        <v>950</v>
      </c>
    </row>
    <row r="9271" customFormat="false" ht="17.15" hidden="false" customHeight="false" outlineLevel="0" collapsed="false">
      <c r="A9271" s="1" t="s">
        <v>951</v>
      </c>
      <c r="B9271" s="0" t="s">
        <v>98</v>
      </c>
      <c r="E9271" s="6" t="n">
        <f aca="false">Sens!E9187+Sens!E9269</f>
        <v>38.534</v>
      </c>
      <c r="F9271" s="6" t="n">
        <f aca="false">Sens!F9187+Sens!F9269</f>
        <v>58.4423344144339</v>
      </c>
      <c r="G9271" s="6" t="n">
        <f aca="false">Sens!G9187+Sens!G9269</f>
        <v>85.1456336571869</v>
      </c>
      <c r="H9271" s="6" t="n">
        <f aca="false">Sens!H9187+Sens!H9269</f>
        <v>114.378132981381</v>
      </c>
      <c r="I9271" s="6" t="n">
        <f aca="false">Sens!I9187+Sens!I9269</f>
        <v>140.930450883813</v>
      </c>
      <c r="J9271" s="6" t="n">
        <f aca="false">Sens!J9187+Sens!J9269</f>
        <v>160.86516864928</v>
      </c>
      <c r="K9271" s="6" t="n">
        <f aca="false">Sens!K9187+Sens!K9269</f>
        <v>174.689790664595</v>
      </c>
    </row>
    <row r="9272" customFormat="false" ht="17.15" hidden="false" customHeight="false" outlineLevel="0" collapsed="false">
      <c r="A9272" s="1" t="s">
        <v>952</v>
      </c>
      <c r="B9272" s="0" t="s">
        <v>98</v>
      </c>
      <c r="F9272" s="6" t="n">
        <f aca="false">Sens!F9214*sbc_r</f>
        <v>14.7055929298096</v>
      </c>
      <c r="G9272" s="6" t="n">
        <f aca="false">Sens!G9214*sbc_r</f>
        <v>17.0458362658472</v>
      </c>
      <c r="H9272" s="6" t="n">
        <f aca="false">Sens!H9214*sbc_r</f>
        <v>19.2307699930696</v>
      </c>
      <c r="I9272" s="6" t="n">
        <f aca="false">Sens!I9214*sbc_r</f>
        <v>21.5134986798872</v>
      </c>
      <c r="J9272" s="6" t="n">
        <f aca="false">Sens!J9214*sbc_r</f>
        <v>23.4275874204563</v>
      </c>
      <c r="K9272" s="6" t="n">
        <f aca="false">Sens!K9214*sbc_r</f>
        <v>24.9930380406656</v>
      </c>
    </row>
    <row r="9273" customFormat="false" ht="17.15" hidden="false" customHeight="false" outlineLevel="0" collapsed="false">
      <c r="A9273" s="1" t="s">
        <v>953</v>
      </c>
      <c r="B9273" s="0" t="s">
        <v>98</v>
      </c>
      <c r="F9273" s="6" t="n">
        <f aca="false">wc27</f>
        <v>-4.895</v>
      </c>
      <c r="G9273" s="6" t="n">
        <f aca="false">wc_f</f>
        <v>0</v>
      </c>
      <c r="H9273" s="6" t="n">
        <f aca="false">wc_f</f>
        <v>0</v>
      </c>
      <c r="I9273" s="6" t="n">
        <f aca="false">wc_f</f>
        <v>0</v>
      </c>
      <c r="J9273" s="6" t="n">
        <f aca="false">wc_f</f>
        <v>0</v>
      </c>
      <c r="K9273" s="6" t="n">
        <f aca="false">wc_f</f>
        <v>0</v>
      </c>
      <c r="L9273" s="11" t="s">
        <v>954</v>
      </c>
    </row>
    <row r="9274" customFormat="false" ht="15" hidden="false" customHeight="false" outlineLevel="0" collapsed="false">
      <c r="A9274" s="1" t="s">
        <v>767</v>
      </c>
      <c r="B9274" s="0" t="s">
        <v>98</v>
      </c>
      <c r="E9274" s="6" t="n">
        <f aca="false">Q!M35</f>
        <v>182.935</v>
      </c>
      <c r="F9274" s="6" t="n">
        <f aca="false">Sens!F9268+Sens!F9271+Sens!F9272+Sens!F9273</f>
        <v>205.088248914757</v>
      </c>
      <c r="G9274" s="6" t="n">
        <f aca="false">Sens!G9268+Sens!G9271+Sens!G9272+Sens!G9273</f>
        <v>246.424445813777</v>
      </c>
      <c r="H9274" s="6" t="n">
        <f aca="false">Sens!H9268+Sens!H9271+Sens!H9272+Sens!H9273</f>
        <v>280.200491585727</v>
      </c>
      <c r="I9274" s="6" t="n">
        <f aca="false">Sens!I9268+Sens!I9271+Sens!I9272+Sens!I9273</f>
        <v>317.533401935008</v>
      </c>
      <c r="J9274" s="6" t="n">
        <f aca="false">Sens!J9268+Sens!J9271+Sens!J9272+Sens!J9273</f>
        <v>348.896710292197</v>
      </c>
      <c r="K9274" s="6" t="n">
        <f aca="false">Sens!K9268+Sens!K9271+Sens!K9272+Sens!K9273</f>
        <v>374.822563246356</v>
      </c>
    </row>
    <row r="9275" customFormat="false" ht="17.15" hidden="false" customHeight="false" outlineLevel="0" collapsed="false">
      <c r="A9275" s="0" t="s">
        <v>955</v>
      </c>
      <c r="B9275" s="0" t="s">
        <v>98</v>
      </c>
      <c r="F9275" s="6" t="n">
        <f aca="false">Sens!F9184</f>
        <v>160.332875871467</v>
      </c>
      <c r="G9275" s="6" t="n">
        <f aca="false">Sens!G9184</f>
        <v>183.5741804832</v>
      </c>
      <c r="H9275" s="6" t="n">
        <f aca="false">Sens!H9184</f>
        <v>188.0802859104</v>
      </c>
      <c r="I9275" s="6" t="n">
        <f aca="false">Sens!I9184</f>
        <v>163.706669154245</v>
      </c>
      <c r="J9275" s="6" t="n">
        <f aca="false">Sens!J9184</f>
        <v>127.181436594242</v>
      </c>
      <c r="K9275" s="6" t="n">
        <f aca="false">Sens!K9184</f>
        <v>121.407415303591</v>
      </c>
    </row>
    <row r="9276" customFormat="false" ht="17.15" hidden="false" customHeight="false" outlineLevel="0" collapsed="false">
      <c r="A9276" s="1" t="s">
        <v>956</v>
      </c>
      <c r="B9276" s="0" t="s">
        <v>98</v>
      </c>
      <c r="E9276" s="6" t="n">
        <f aca="false">Sens!E9192*cx_azo+Sens!E9199*cx_m365+Sens!E9200*cx_lic+(Sens!E9202+Sens!E9204)*cx_ind+Sens!E9207*cx_srch+(Sens!E9209+Sens!E9211)*cx_dev</f>
        <v>30.1846587067718</v>
      </c>
      <c r="F9276" s="6" t="n">
        <f aca="false">Sens!F9192*cx_azo+Sens!F9199*cx_m365+Sens!F9200*cx_lic+(Sens!F9202+Sens!F9204)*cx_ind+Sens!F9207*cx_srch+(Sens!F9209+Sens!F9211)*cx_dev</f>
        <v>35.4194132295625</v>
      </c>
      <c r="G9276" s="6" t="n">
        <f aca="false">Sens!G9192*cx_azo+Sens!G9199*cx_m365+Sens!G9200*cx_lic+(Sens!G9202+Sens!G9204)*cx_ind+Sens!G9207*cx_srch+(Sens!G9209+Sens!G9211)*cx_dev</f>
        <v>40.6699421654528</v>
      </c>
      <c r="H9276" s="6" t="n">
        <f aca="false">Sens!H9192*cx_azo+Sens!H9199*cx_m365+Sens!H9200*cx_lic+(Sens!H9202+Sens!H9204)*cx_ind+Sens!H9207*cx_srch+(Sens!H9209+Sens!H9211)*cx_dev</f>
        <v>45.9893624606218</v>
      </c>
      <c r="I9276" s="6" t="n">
        <f aca="false">Sens!I9192*cx_azo+Sens!I9199*cx_m365+Sens!I9200*cx_lic+(Sens!I9202+Sens!I9204)*cx_ind+Sens!I9207*cx_srch+(Sens!I9209+Sens!I9211)*cx_dev</f>
        <v>51.0930522715721</v>
      </c>
      <c r="J9276" s="6" t="n">
        <f aca="false">Sens!J9192*cx_azo+Sens!J9199*cx_m365+Sens!J9200*cx_lic+(Sens!J9202+Sens!J9204)*cx_ind+Sens!J9207*cx_srch+(Sens!J9209+Sens!J9211)*cx_dev</f>
        <v>55.746094501581</v>
      </c>
      <c r="K9276" s="6" t="n">
        <f aca="false">Sens!K9192*cx_azo+Sens!K9199*cx_m365+Sens!K9200*cx_lic+(Sens!K9202+Sens!K9204)*cx_ind+Sens!K9207*cx_srch+(Sens!K9209+Sens!K9211)*cx_dev</f>
        <v>59.7816540349409</v>
      </c>
    </row>
    <row r="9277" customFormat="false" ht="17.15" hidden="false" customHeight="false" outlineLevel="0" collapsed="false">
      <c r="A9277" s="0" t="s">
        <v>957</v>
      </c>
      <c r="B9277" s="0" t="s">
        <v>98</v>
      </c>
      <c r="F9277" s="6" t="n">
        <f aca="false">Sens!F9182</f>
        <v>8.44771089897088</v>
      </c>
      <c r="L9277" s="1" t="s">
        <v>958</v>
      </c>
    </row>
    <row r="9278" customFormat="false" ht="17.15" hidden="false" customHeight="false" outlineLevel="0" collapsed="false">
      <c r="A9278" s="1" t="s">
        <v>959</v>
      </c>
      <c r="B9278" s="0" t="s">
        <v>98</v>
      </c>
      <c r="E9278" s="6" t="n">
        <f aca="false">Q!M42</f>
        <v>145.3</v>
      </c>
      <c r="F9278" s="6" t="n">
        <f aca="false">Sens!F9275+Sens!F9276+Sens!F9277</f>
        <v>204.2</v>
      </c>
      <c r="G9278" s="6" t="n">
        <f aca="false">Sens!G9275+Sens!G9276</f>
        <v>224.244122648653</v>
      </c>
      <c r="H9278" s="6" t="n">
        <f aca="false">Sens!H9275+Sens!H9276</f>
        <v>234.069648371022</v>
      </c>
      <c r="I9278" s="6" t="n">
        <f aca="false">Sens!I9275+Sens!I9276</f>
        <v>214.799721425818</v>
      </c>
      <c r="J9278" s="6" t="n">
        <f aca="false">Sens!J9275+Sens!J9276</f>
        <v>182.927531095823</v>
      </c>
      <c r="K9278" s="6" t="n">
        <f aca="false">Sens!K9275+Sens!K9276</f>
        <v>181.189069338532</v>
      </c>
      <c r="L9278" s="1" t="s">
        <v>960</v>
      </c>
    </row>
    <row r="9279" customFormat="false" ht="15" hidden="false" customHeight="false" outlineLevel="0" collapsed="false">
      <c r="A9279" s="1" t="s">
        <v>961</v>
      </c>
      <c r="B9279" s="0" t="s">
        <v>98</v>
      </c>
      <c r="E9279" s="6" t="n">
        <f aca="false">fl_liab</f>
        <v>66.594</v>
      </c>
      <c r="F9279" s="6" t="n">
        <f aca="false">Sens!E9279-Sens!F9280</f>
        <v>62.46973</v>
      </c>
      <c r="G9279" s="6" t="n">
        <f aca="false">Sens!F9279-Sens!G9280</f>
        <v>57.98686785</v>
      </c>
      <c r="H9279" s="6" t="n">
        <f aca="false">Sens!G9279-Sens!H9280</f>
        <v>53.92827690325</v>
      </c>
      <c r="I9279" s="6" t="n">
        <f aca="false">Sens!H9279-Sens!I9280</f>
        <v>49.7850493638962</v>
      </c>
      <c r="J9279" s="6" t="n">
        <f aca="false">Sens!I9279-Sens!J9280</f>
        <v>45.4823765852716</v>
      </c>
      <c r="K9279" s="6" t="n">
        <f aca="false">Sens!J9279-Sens!K9280</f>
        <v>40.9860835316088</v>
      </c>
    </row>
    <row r="9280" customFormat="false" ht="15" hidden="false" customHeight="false" outlineLevel="0" collapsed="false">
      <c r="A9280" s="1" t="s">
        <v>962</v>
      </c>
      <c r="B9280" s="0" t="s">
        <v>98</v>
      </c>
      <c r="F9280" s="6" t="n">
        <f aca="false">fl_pay_27-Sens!E9279*fl_rate</f>
        <v>4.12427</v>
      </c>
      <c r="G9280" s="6" t="n">
        <f aca="false">fl_pay_28-Sens!F9279*fl_rate</f>
        <v>4.48286215</v>
      </c>
      <c r="H9280" s="6" t="n">
        <f aca="false">fl_pay_29-Sens!G9279*fl_rate</f>
        <v>4.05859094675</v>
      </c>
      <c r="I9280" s="6" t="n">
        <f aca="false">fl_pay_30-Sens!H9279*fl_rate</f>
        <v>4.14322753935375</v>
      </c>
      <c r="J9280" s="6" t="n">
        <f aca="false">fl_pay_31-Sens!I9279*fl_rate</f>
        <v>4.30267277862467</v>
      </c>
      <c r="K9280" s="6" t="n">
        <f aca="false">fl_pay_32-Sens!J9279*fl_rate</f>
        <v>4.49629305366278</v>
      </c>
    </row>
    <row r="9281" customFormat="false" ht="17.15" hidden="false" customHeight="false" outlineLevel="0" collapsed="false">
      <c r="A9281" s="1" t="s">
        <v>963</v>
      </c>
      <c r="B9281" s="0" t="s">
        <v>98</v>
      </c>
      <c r="E9281" s="6" t="n">
        <f aca="false">Q!M35-Q!M36-Q!M43</f>
        <v>63.886</v>
      </c>
      <c r="F9281" s="6" t="n">
        <f aca="false">Sens!F9274-Sens!F9278-Sens!F9280</f>
        <v>-3.23602108524302</v>
      </c>
      <c r="G9281" s="6" t="n">
        <f aca="false">Sens!G9274-Sens!G9278-Sens!G9280</f>
        <v>17.6974610151244</v>
      </c>
      <c r="H9281" s="6" t="n">
        <f aca="false">Sens!H9274-Sens!H9278-Sens!H9280</f>
        <v>42.0722522679552</v>
      </c>
      <c r="I9281" s="6" t="n">
        <f aca="false">Sens!I9274-Sens!I9278-Sens!I9280</f>
        <v>98.5904529698368</v>
      </c>
      <c r="J9281" s="6" t="n">
        <f aca="false">Sens!J9274-Sens!J9278-Sens!J9280</f>
        <v>161.666506417749</v>
      </c>
      <c r="K9281" s="6" t="n">
        <f aca="false">Sens!K9274-Sens!K9278-Sens!K9280</f>
        <v>189.137200854162</v>
      </c>
      <c r="L9281" s="11" t="s">
        <v>964</v>
      </c>
    </row>
    <row r="9282" customFormat="false" ht="15" hidden="false" customHeight="false" outlineLevel="0" collapsed="false">
      <c r="A9282" s="1" t="s">
        <v>965</v>
      </c>
      <c r="B9282" s="0" t="s">
        <v>75</v>
      </c>
      <c r="F9282" s="8" t="n">
        <f aca="false">dps_27</f>
        <v>3.85</v>
      </c>
      <c r="G9282" s="8" t="n">
        <f aca="false">Sens!F9282*(1+dps_g)</f>
        <v>4.158</v>
      </c>
      <c r="H9282" s="8" t="n">
        <f aca="false">Sens!G9282*(1+dps_g)</f>
        <v>4.49064</v>
      </c>
      <c r="I9282" s="8" t="n">
        <f aca="false">Sens!H9282*(1+dps_g)</f>
        <v>4.8498912</v>
      </c>
      <c r="J9282" s="8" t="n">
        <f aca="false">Sens!I9282*(1+dps_g)</f>
        <v>5.237882496</v>
      </c>
      <c r="K9282" s="8" t="n">
        <f aca="false">Sens!J9282*(1+dps_g)</f>
        <v>5.65691309568</v>
      </c>
    </row>
    <row r="9283" customFormat="false" ht="17.15" hidden="false" customHeight="false" outlineLevel="0" collapsed="false">
      <c r="A9283" s="1" t="s">
        <v>966</v>
      </c>
      <c r="B9283" s="0" t="s">
        <v>98</v>
      </c>
      <c r="E9283" s="6" t="n">
        <f aca="false">Q!M41</f>
        <v>26.445</v>
      </c>
      <c r="F9283" s="6" t="n">
        <f aca="false">Sens!F9282*Sens!E9292</f>
        <v>28.59395</v>
      </c>
      <c r="G9283" s="6" t="n">
        <f aca="false">Sens!G9282*Sens!F9292</f>
        <v>31.068576</v>
      </c>
      <c r="H9283" s="6" t="n">
        <f aca="false">Sens!H9282*Sens!G9292</f>
        <v>33.75614088</v>
      </c>
      <c r="I9283" s="6" t="n">
        <f aca="false">Sens!I9282*Sens!H9292</f>
        <v>36.6274364045495</v>
      </c>
      <c r="J9283" s="6" t="n">
        <f aca="false">Sens!J9282*Sens!I9292</f>
        <v>39.6260301652329</v>
      </c>
      <c r="K9283" s="6" t="n">
        <f aca="false">Sens!K9282*Sens!J9292</f>
        <v>42.8833678037565</v>
      </c>
      <c r="L9283" s="1" t="s">
        <v>967</v>
      </c>
    </row>
    <row r="9284" customFormat="false" ht="15" hidden="false" customHeight="false" outlineLevel="0" collapsed="false">
      <c r="A9284" s="1" t="s">
        <v>968</v>
      </c>
      <c r="B9284" s="0" t="s">
        <v>98</v>
      </c>
      <c r="E9284" s="6" t="n">
        <f aca="false">Sens!E9281-Sens!E9283</f>
        <v>37.441</v>
      </c>
      <c r="F9284" s="6" t="n">
        <f aca="false">Sens!F9281-Sens!F9283</f>
        <v>-31.829971085243</v>
      </c>
      <c r="G9284" s="6" t="n">
        <f aca="false">Sens!G9281-Sens!G9283</f>
        <v>-13.3711149848756</v>
      </c>
      <c r="H9284" s="6" t="n">
        <f aca="false">Sens!H9281-Sens!H9283</f>
        <v>8.3161113879552</v>
      </c>
      <c r="I9284" s="6" t="n">
        <f aca="false">Sens!I9281-Sens!I9283</f>
        <v>61.9630165652874</v>
      </c>
      <c r="J9284" s="6" t="n">
        <f aca="false">Sens!J9281-Sens!J9283</f>
        <v>122.040476252516</v>
      </c>
      <c r="K9284" s="6" t="n">
        <f aca="false">Sens!K9281-Sens!K9283</f>
        <v>146.253833050406</v>
      </c>
    </row>
    <row r="9285" customFormat="false" ht="15" hidden="false" customHeight="false" outlineLevel="0" collapsed="false">
      <c r="A9285" s="1" t="s">
        <v>969</v>
      </c>
      <c r="B9285" s="0" t="s">
        <v>98</v>
      </c>
      <c r="F9285" s="6" t="n">
        <f aca="false">debt_mat_27</f>
        <v>9.25</v>
      </c>
      <c r="G9285" s="6" t="n">
        <f aca="false">debt_mat_28</f>
        <v>0</v>
      </c>
      <c r="H9285" s="6" t="n">
        <f aca="false">debt_mat_29</f>
        <v>2.001</v>
      </c>
      <c r="I9285" s="6" t="n">
        <f aca="false">debt_mat_30</f>
        <v>0</v>
      </c>
      <c r="J9285" s="6" t="n">
        <f aca="false">debt_mat_31</f>
        <v>0.5</v>
      </c>
      <c r="K9285" s="6" t="n">
        <f aca="false">debt_mat_32</f>
        <v>0</v>
      </c>
    </row>
    <row r="9286" customFormat="false" ht="15" hidden="false" customHeight="false" outlineLevel="0" collapsed="false">
      <c r="A9286" s="1" t="s">
        <v>970</v>
      </c>
      <c r="B9286" s="0" t="s">
        <v>98</v>
      </c>
      <c r="E9286" s="6" t="n">
        <f aca="false">Q!M40</f>
        <v>22.271</v>
      </c>
      <c r="F9286" s="6" t="n">
        <f aca="false">MAX(0,MIN(bb_target,Sens!E9288+Sens!F9284-Sens!F9285-min_cash))</f>
        <v>0</v>
      </c>
      <c r="G9286" s="6" t="n">
        <f aca="false">MAX(0,MIN(bb_target,Sens!F9288+Sens!G9284-Sens!G9285-min_cash))</f>
        <v>0</v>
      </c>
      <c r="H9286" s="6" t="n">
        <f aca="false">MAX(0,MIN(bb_target,Sens!G9288+Sens!H9284-Sens!H9285-min_cash))</f>
        <v>6.31511138795521</v>
      </c>
      <c r="I9286" s="6" t="n">
        <f aca="false">MAX(0,MIN(bb_target,Sens!H9288+Sens!I9284-Sens!I9285-min_cash))</f>
        <v>22.271</v>
      </c>
      <c r="J9286" s="6" t="n">
        <f aca="false">MAX(0,MIN(bb_target,Sens!I9288+Sens!J9284-Sens!J9285-min_cash))</f>
        <v>22.271</v>
      </c>
      <c r="K9286" s="6" t="n">
        <f aca="false">MAX(0,MIN(bb_target,Sens!J9288+Sens!K9284-Sens!K9285-min_cash))</f>
        <v>22.271</v>
      </c>
    </row>
    <row r="9287" customFormat="false" ht="15" hidden="false" customHeight="false" outlineLevel="0" collapsed="false">
      <c r="A9287" s="1" t="s">
        <v>971</v>
      </c>
      <c r="B9287" s="0" t="s">
        <v>98</v>
      </c>
      <c r="F9287" s="6" t="n">
        <f aca="false">MAX(0,min_cash-(Sens!E9288+Sens!F9284-Sens!F9285-Sens!F9286))</f>
        <v>14.236971085243</v>
      </c>
      <c r="G9287" s="6" t="n">
        <f aca="false">MAX(0,min_cash-(Sens!F9288+Sens!G9284-Sens!G9285-Sens!G9286))</f>
        <v>13.3711149848756</v>
      </c>
      <c r="H9287" s="6" t="n">
        <f aca="false">MAX(0,min_cash-(Sens!G9288+Sens!H9284-Sens!H9285-Sens!H9286))</f>
        <v>0</v>
      </c>
      <c r="I9287" s="6" t="n">
        <f aca="false">MAX(0,min_cash-(Sens!H9288+Sens!I9284-Sens!I9285-Sens!I9286))</f>
        <v>0</v>
      </c>
      <c r="J9287" s="6" t="n">
        <f aca="false">MAX(0,min_cash-(Sens!I9288+Sens!J9284-Sens!J9285-Sens!J9286))</f>
        <v>0</v>
      </c>
      <c r="K9287" s="6" t="n">
        <f aca="false">MAX(0,min_cash-(Sens!J9288+Sens!K9284-Sens!K9285-Sens!K9286))</f>
        <v>0</v>
      </c>
    </row>
    <row r="9288" customFormat="false" ht="15" hidden="false" customHeight="false" outlineLevel="0" collapsed="false">
      <c r="A9288" s="1" t="s">
        <v>972</v>
      </c>
      <c r="B9288" s="0" t="s">
        <v>98</v>
      </c>
      <c r="E9288" s="6" t="n">
        <f aca="false">cash_open</f>
        <v>76.843</v>
      </c>
      <c r="F9288" s="6" t="n">
        <f aca="false">Sens!E9288+Sens!F9284-Sens!F9285-Sens!F9286+Sens!F9287</f>
        <v>50</v>
      </c>
      <c r="G9288" s="6" t="n">
        <f aca="false">Sens!F9288+Sens!G9284-Sens!G9285-Sens!G9286+Sens!G9287</f>
        <v>50</v>
      </c>
      <c r="H9288" s="6" t="n">
        <f aca="false">Sens!G9288+Sens!H9284-Sens!H9285-Sens!H9286+Sens!H9287</f>
        <v>50</v>
      </c>
      <c r="I9288" s="6" t="n">
        <f aca="false">Sens!H9288+Sens!I9284-Sens!I9285-Sens!I9286+Sens!I9287</f>
        <v>89.6920165652874</v>
      </c>
      <c r="J9288" s="6" t="n">
        <f aca="false">Sens!I9288+Sens!J9284-Sens!J9285-Sens!J9286+Sens!J9287</f>
        <v>188.961492817804</v>
      </c>
      <c r="K9288" s="6" t="n">
        <f aca="false">Sens!J9288+Sens!K9284-Sens!K9285-Sens!K9286+Sens!K9287</f>
        <v>312.944325868209</v>
      </c>
    </row>
    <row r="9289" customFormat="false" ht="15" hidden="false" customHeight="false" outlineLevel="0" collapsed="false">
      <c r="A9289" s="1" t="s">
        <v>973</v>
      </c>
      <c r="B9289" s="0" t="s">
        <v>98</v>
      </c>
      <c r="E9289" s="6" t="n">
        <f aca="false">debt_face</f>
        <v>46.136</v>
      </c>
      <c r="F9289" s="6" t="n">
        <f aca="false">Sens!E9289-Sens!F9285+Sens!F9287</f>
        <v>51.122971085243</v>
      </c>
      <c r="G9289" s="6" t="n">
        <f aca="false">Sens!F9289-Sens!G9285+Sens!G9287</f>
        <v>64.4940860701186</v>
      </c>
      <c r="H9289" s="6" t="n">
        <f aca="false">Sens!G9289-Sens!H9285+Sens!H9287</f>
        <v>62.4930860701186</v>
      </c>
      <c r="I9289" s="6" t="n">
        <f aca="false">Sens!H9289-Sens!I9285+Sens!I9287</f>
        <v>62.4930860701186</v>
      </c>
      <c r="J9289" s="6" t="n">
        <f aca="false">Sens!I9289-Sens!J9285+Sens!J9287</f>
        <v>61.9930860701186</v>
      </c>
      <c r="K9289" s="6" t="n">
        <f aca="false">Sens!J9289-Sens!K9285+Sens!K9287</f>
        <v>61.9930860701186</v>
      </c>
    </row>
    <row r="9290" customFormat="false" ht="15" hidden="false" customHeight="false" outlineLevel="0" collapsed="false">
      <c r="A9290" s="1" t="s">
        <v>974</v>
      </c>
      <c r="B9290" s="0" t="s">
        <v>98</v>
      </c>
      <c r="E9290" s="6" t="n">
        <f aca="false">Sens!E9288-Sens!E9289</f>
        <v>30.707</v>
      </c>
      <c r="F9290" s="6" t="n">
        <f aca="false">Sens!F9288-Sens!F9289</f>
        <v>-1.12297108524302</v>
      </c>
      <c r="G9290" s="6" t="n">
        <f aca="false">Sens!G9288-Sens!G9289</f>
        <v>-14.4940860701186</v>
      </c>
      <c r="H9290" s="6" t="n">
        <f aca="false">Sens!H9288-Sens!H9289</f>
        <v>-12.4930860701186</v>
      </c>
      <c r="I9290" s="6" t="n">
        <f aca="false">Sens!I9288-Sens!I9289</f>
        <v>27.1989304951688</v>
      </c>
      <c r="J9290" s="6" t="n">
        <f aca="false">Sens!J9288-Sens!J9289</f>
        <v>126.968406747685</v>
      </c>
      <c r="K9290" s="6" t="n">
        <f aca="false">Sens!K9288-Sens!K9289</f>
        <v>250.951239798091</v>
      </c>
    </row>
    <row r="9291" customFormat="false" ht="15" hidden="false" customHeight="false" outlineLevel="0" collapsed="false">
      <c r="A9291" s="1" t="s">
        <v>975</v>
      </c>
      <c r="B9291" s="0" t="s">
        <v>75</v>
      </c>
      <c r="F9291" s="29" t="n">
        <f aca="false">px*(1+bb_g)^(Sens!F9153-base_fy-mid_yr)</f>
        <v>553.494156066711</v>
      </c>
      <c r="G9291" s="29" t="n">
        <f aca="false">px*(1+bb_g)^(Sens!G9153-base_fy-mid_yr)</f>
        <v>597.773688552047</v>
      </c>
      <c r="H9291" s="29" t="n">
        <f aca="false">px*(1+bb_g)^(Sens!H9153-base_fy-mid_yr)</f>
        <v>645.595583636211</v>
      </c>
      <c r="I9291" s="29" t="n">
        <f aca="false">px*(1+bb_g)^(Sens!I9153-base_fy-mid_yr)</f>
        <v>697.243230327108</v>
      </c>
      <c r="J9291" s="29" t="n">
        <f aca="false">px*(1+bb_g)^(Sens!J9153-base_fy-mid_yr)</f>
        <v>753.022688753277</v>
      </c>
      <c r="K9291" s="29" t="n">
        <f aca="false">px*(1+bb_g)^(Sens!K9153-base_fy-mid_yr)</f>
        <v>813.264503853539</v>
      </c>
    </row>
    <row r="9292" customFormat="false" ht="15" hidden="false" customHeight="false" outlineLevel="0" collapsed="false">
      <c r="A9292" s="1" t="s">
        <v>976</v>
      </c>
      <c r="B9292" s="1" t="s">
        <v>81</v>
      </c>
      <c r="E9292" s="14" t="n">
        <f aca="false">sh_out26</f>
        <v>7.427</v>
      </c>
      <c r="F9292" s="14" t="n">
        <f aca="false">Sens!E9292+sh_iss-Sens!F9286/Sens!F9291</f>
        <v>7.472</v>
      </c>
      <c r="G9292" s="14" t="n">
        <f aca="false">Sens!F9292+sh_iss-Sens!G9286/Sens!G9291</f>
        <v>7.517</v>
      </c>
      <c r="H9292" s="14" t="n">
        <f aca="false">Sens!G9292+sh_iss-Sens!H9286/Sens!H9291</f>
        <v>7.55221816203824</v>
      </c>
      <c r="I9292" s="14" t="n">
        <f aca="false">Sens!H9292+sh_iss-Sens!I9286/Sens!I9291</f>
        <v>7.56527665435297</v>
      </c>
      <c r="J9292" s="14" t="n">
        <f aca="false">Sens!I9292+sh_iss-Sens!J9286/Sens!J9291</f>
        <v>7.58070118427401</v>
      </c>
      <c r="K9292" s="14" t="n">
        <f aca="false">Sens!J9292+sh_iss-Sens!K9286/Sens!K9291</f>
        <v>7.59831648975645</v>
      </c>
    </row>
    <row r="9293" customFormat="false" ht="15" hidden="false" customHeight="false" outlineLevel="0" collapsed="false">
      <c r="A9293" s="1" t="s">
        <v>977</v>
      </c>
      <c r="B9293" s="1" t="s">
        <v>81</v>
      </c>
      <c r="E9293" s="14" t="n">
        <f aca="false">sh_dil26</f>
        <v>7.453</v>
      </c>
      <c r="F9293" s="14" t="n">
        <f aca="false">(Sens!E9292+Sens!F9292)/2+dil_gap</f>
        <v>7.4735</v>
      </c>
      <c r="G9293" s="14" t="n">
        <f aca="false">(Sens!F9292+Sens!G9292)/2+dil_gap</f>
        <v>7.5185</v>
      </c>
      <c r="H9293" s="14" t="n">
        <f aca="false">(Sens!G9292+Sens!H9292)/2+dil_gap</f>
        <v>7.55860908101912</v>
      </c>
      <c r="I9293" s="14" t="n">
        <f aca="false">(Sens!H9292+Sens!I9292)/2+dil_gap</f>
        <v>7.5827474081956</v>
      </c>
      <c r="J9293" s="14" t="n">
        <f aca="false">(Sens!I9292+Sens!J9292)/2+dil_gap</f>
        <v>7.59698891931349</v>
      </c>
      <c r="K9293" s="14" t="n">
        <f aca="false">(Sens!J9292+Sens!K9292)/2+dil_gap</f>
        <v>7.61350883701523</v>
      </c>
    </row>
    <row r="9294" customFormat="false" ht="17.15" hidden="false" customHeight="false" outlineLevel="0" collapsed="false">
      <c r="A9294" s="1" t="s">
        <v>978</v>
      </c>
      <c r="B9294" s="0" t="s">
        <v>98</v>
      </c>
      <c r="C9294" s="6" t="n">
        <f aca="false">SUM(Sens!F9284:J9284)</f>
        <v>147.11851813564</v>
      </c>
    </row>
    <row r="9295" customFormat="false" ht="15" hidden="false" customHeight="false" outlineLevel="0" collapsed="false">
      <c r="A9295" s="23" t="s">
        <v>945</v>
      </c>
      <c r="B9295" s="30" t="s">
        <v>98</v>
      </c>
      <c r="C9295" s="24" t="n">
        <f aca="false">Sens!$C$9294-(Sens!F9284+Sens!G9284+Sens!H9284+Sens!I9284+Sens!J9284)</f>
        <v>0</v>
      </c>
      <c r="D9295" s="30"/>
      <c r="E9295" s="30"/>
      <c r="F9295" s="30"/>
      <c r="G9295" s="30"/>
      <c r="H9295" s="30"/>
      <c r="I9295" s="30"/>
      <c r="J9295" s="30"/>
      <c r="K9295" s="30"/>
    </row>
    <row r="9296" customFormat="false" ht="17.15" hidden="false" customHeight="false" outlineLevel="0" collapsed="false">
      <c r="A9296" s="1" t="s">
        <v>939</v>
      </c>
      <c r="B9296" s="1" t="s">
        <v>979</v>
      </c>
      <c r="C9296" s="32" t="str">
        <f aca="false">IF(SUM(Sens!F9287:J9287)&gt;0.05,"需要舉債 "&amp;TEXT(SUM(Sens!F9287:J9287),"0.0")&amp;" 十億美元","不需舉債")&amp;"；"&amp;IF(SUM(Sens!F9286:J9286)&lt;COUNT(Sens!F9286:J9286)*bb_target-0.05,"回購較每年 "&amp;TEXT(bb_target,"0.0")&amp;" 的目標少 "&amp;TEXT(COUNT(Sens!F9286:J9286)*bb_target-SUM(Sens!F9286:J9286),"0.0")&amp;" 十億美元（"&amp;TEXT(COUNTIF(Sens!F9286:J9286,"&lt;"&amp;(bb_target-0.05)),"0")&amp;" 年減少）","回購不減")</f>
        <v>需要舉債 27.6 十億美元；回購較每年 22.3 的目標少 60.5 十億美元（3 年減少）</v>
      </c>
    </row>
    <row r="9297" customFormat="false" ht="17.15" hidden="false" customHeight="false" outlineLevel="0" collapsed="false">
      <c r="A9297" s="3" t="s">
        <v>1501</v>
      </c>
    </row>
    <row r="9298" customFormat="false" ht="15" hidden="false" customHeight="false" outlineLevel="0" collapsed="false">
      <c r="A9298" s="4" t="s">
        <v>43</v>
      </c>
      <c r="B9298" s="4" t="s">
        <v>65</v>
      </c>
      <c r="C9298" s="20" t="s">
        <v>799</v>
      </c>
      <c r="D9298" s="20" t="s">
        <v>800</v>
      </c>
      <c r="E9298" s="20" t="s">
        <v>801</v>
      </c>
      <c r="F9298" s="20" t="s">
        <v>802</v>
      </c>
      <c r="G9298" s="20" t="s">
        <v>803</v>
      </c>
      <c r="H9298" s="20" t="s">
        <v>804</v>
      </c>
      <c r="I9298" s="20" t="s">
        <v>805</v>
      </c>
      <c r="J9298" s="20" t="s">
        <v>806</v>
      </c>
      <c r="K9298" s="20" t="s">
        <v>807</v>
      </c>
      <c r="L9298" s="4" t="s">
        <v>47</v>
      </c>
    </row>
    <row r="9299" customFormat="false" ht="15" hidden="false" customHeight="false" outlineLevel="0" collapsed="false">
      <c r="A9299" s="1" t="s">
        <v>1057</v>
      </c>
      <c r="B9299" s="1" t="s">
        <v>235</v>
      </c>
      <c r="F9299" s="36" t="n">
        <f aca="false">Sens!F9153-base_fy-mid_yr</f>
        <v>0.5</v>
      </c>
      <c r="G9299" s="36" t="n">
        <f aca="false">Sens!G9153-base_fy-mid_yr</f>
        <v>1.5</v>
      </c>
      <c r="H9299" s="36" t="n">
        <f aca="false">Sens!H9153-base_fy-mid_yr</f>
        <v>2.5</v>
      </c>
      <c r="I9299" s="36" t="n">
        <f aca="false">Sens!I9153-base_fy-mid_yr</f>
        <v>3.5</v>
      </c>
      <c r="J9299" s="36" t="n">
        <f aca="false">Sens!J9153-base_fy-mid_yr</f>
        <v>4.5</v>
      </c>
      <c r="K9299" s="36" t="n">
        <f aca="false">Sens!K9153-base_fy-mid_yr</f>
        <v>5.5</v>
      </c>
    </row>
    <row r="9300" customFormat="false" ht="15" hidden="false" customHeight="false" outlineLevel="0" collapsed="false">
      <c r="A9300" s="1" t="s">
        <v>1058</v>
      </c>
      <c r="B9300" s="0" t="s">
        <v>185</v>
      </c>
      <c r="F9300" s="14" t="n">
        <f aca="false">1/(1+wacc)^Sens!F9299</f>
        <v>0.952193373608246</v>
      </c>
      <c r="G9300" s="14" t="n">
        <f aca="false">1/(1+wacc)^Sens!G9299</f>
        <v>0.863327280626589</v>
      </c>
      <c r="H9300" s="14" t="n">
        <f aca="false">1/(1+wacc)^Sens!H9299</f>
        <v>0.782754862754115</v>
      </c>
      <c r="I9300" s="14" t="n">
        <f aca="false">1/(1+wacc)^Sens!I9299</f>
        <v>0.709702089711011</v>
      </c>
      <c r="J9300" s="14" t="n">
        <f aca="false">1/(1+wacc)^Sens!J9299</f>
        <v>0.643467169744551</v>
      </c>
      <c r="K9300" s="14" t="n">
        <f aca="false">1/(1+wacc)^Sens!K9299</f>
        <v>0.583413807767797</v>
      </c>
    </row>
    <row r="9301" customFormat="false" ht="17.15" hidden="false" customHeight="false" outlineLevel="0" collapsed="false">
      <c r="A9301" s="1" t="s">
        <v>1059</v>
      </c>
      <c r="B9301" s="0" t="s">
        <v>98</v>
      </c>
      <c r="F9301" s="6" t="n">
        <f aca="false">Sens!F9274-Sens!F9272-Sens!F9278+Sens!F9257*(1-tax_f)</f>
        <v>-5.69305881483448</v>
      </c>
      <c r="G9301" s="6" t="n">
        <f aca="false">Sens!G9274-Sens!G9272-Sens!G9278+Sens!G9257*(1-tax_f)</f>
        <v>26.3376376510016</v>
      </c>
      <c r="H9301" s="6" t="n">
        <f aca="false">Sens!H9274-Sens!H9272-Sens!H9278+Sens!H9257*(1-tax_f)</f>
        <v>62.4092726852836</v>
      </c>
      <c r="I9301" s="6" t="n">
        <f aca="false">Sens!I9274-Sens!I9272-Sens!I9278+Sens!I9257*(1-tax_f)</f>
        <v>129.622463822403</v>
      </c>
      <c r="J9301" s="6" t="n">
        <f aca="false">Sens!J9274-Sens!J9272-Sens!J9278+Sens!J9257*(1-tax_f)</f>
        <v>200.044641742876</v>
      </c>
      <c r="K9301" s="6" t="n">
        <f aca="false">Sens!K9274-Sens!K9272-Sens!K9278+Sens!K9257*(1-tax_f)</f>
        <v>231.663593648821</v>
      </c>
      <c r="L9301" s="1" t="s">
        <v>1060</v>
      </c>
    </row>
    <row r="9302" customFormat="false" ht="15" hidden="false" customHeight="false" outlineLevel="0" collapsed="false">
      <c r="A9302" s="1" t="s">
        <v>1061</v>
      </c>
      <c r="B9302" s="0" t="s">
        <v>98</v>
      </c>
      <c r="F9302" s="6" t="n">
        <f aca="false">Sens!F9301*Sens!F9300</f>
        <v>-5.42089287904741</v>
      </c>
      <c r="G9302" s="6" t="n">
        <f aca="false">Sens!G9301*Sens!G9300</f>
        <v>22.7380010913677</v>
      </c>
      <c r="H9302" s="6" t="n">
        <f aca="false">Sens!H9301*Sens!H9300</f>
        <v>48.8511616753533</v>
      </c>
      <c r="I9302" s="6" t="n">
        <f aca="false">Sens!I9301*Sens!I9300</f>
        <v>91.9933334482493</v>
      </c>
      <c r="J9302" s="6" t="n">
        <f aca="false">Sens!J9301*Sens!J9300</f>
        <v>128.722159444851</v>
      </c>
      <c r="K9302" s="6" t="n">
        <f aca="false">Sens!K9301*Sens!K9300</f>
        <v>135.15573929183</v>
      </c>
    </row>
    <row r="9303" customFormat="false" ht="17.15" hidden="false" customHeight="false" outlineLevel="0" collapsed="false">
      <c r="A9303" s="1" t="s">
        <v>1062</v>
      </c>
      <c r="B9303" s="0" t="s">
        <v>98</v>
      </c>
      <c r="C9303" s="6" t="n">
        <f aca="false">SUM(Sens!F9302:K9302)</f>
        <v>422.039502072604</v>
      </c>
    </row>
    <row r="9304" customFormat="false" ht="17.15" hidden="false" customHeight="false" outlineLevel="0" collapsed="false">
      <c r="A9304" s="1" t="s">
        <v>1063</v>
      </c>
      <c r="B9304" s="0" t="s">
        <v>98</v>
      </c>
      <c r="C9304" s="6" t="n">
        <f aca="false">Sens!K9243*(1+g_tv)*(1-tax_f)</f>
        <v>245.63735849244</v>
      </c>
    </row>
    <row r="9305" customFormat="false" ht="17.15" hidden="false" customHeight="false" outlineLevel="0" collapsed="false">
      <c r="A9305" s="1" t="s">
        <v>1064</v>
      </c>
      <c r="B9305" s="0" t="s">
        <v>98</v>
      </c>
      <c r="C9305" s="6" t="n">
        <f aca="false">Sens!$C$9304*(1-g_tv/(wacc+ronic_prem))</f>
        <v>174.046915294487</v>
      </c>
    </row>
    <row r="9306" customFormat="false" ht="17.15" hidden="false" customHeight="false" outlineLevel="0" collapsed="false">
      <c r="A9306" s="1" t="s">
        <v>1065</v>
      </c>
      <c r="B9306" s="0" t="s">
        <v>98</v>
      </c>
      <c r="C9306" s="6" t="n">
        <f aca="false">Sens!$C$9305/(wacc-g_tv)</f>
        <v>2386.34810659842</v>
      </c>
    </row>
    <row r="9307" customFormat="false" ht="15" hidden="false" customHeight="false" outlineLevel="0" collapsed="false">
      <c r="A9307" s="1" t="s">
        <v>1066</v>
      </c>
      <c r="B9307" s="0" t="s">
        <v>98</v>
      </c>
      <c r="C9307" s="6" t="n">
        <f aca="false">Sens!$C$9306/(1+wacc)^(Sens!K9299+mid_yr)</f>
        <v>1325.67069086069</v>
      </c>
    </row>
    <row r="9308" customFormat="false" ht="17.15" hidden="false" customHeight="false" outlineLevel="0" collapsed="false">
      <c r="A9308" s="0" t="s">
        <v>986</v>
      </c>
      <c r="B9308" s="0" t="s">
        <v>98</v>
      </c>
      <c r="C9308" s="6" t="n">
        <f aca="false">Sens!$C$9303+Sens!$C$9307</f>
        <v>1747.7101929333</v>
      </c>
    </row>
    <row r="9309" customFormat="false" ht="15" hidden="false" customHeight="false" outlineLevel="0" collapsed="false">
      <c r="A9309" s="1" t="s">
        <v>987</v>
      </c>
      <c r="B9309" s="0" t="s">
        <v>129</v>
      </c>
      <c r="C9309" s="7" t="n">
        <f aca="false">Sens!$C$9307/Sens!$C$9308</f>
        <v>0.75851860120798</v>
      </c>
    </row>
    <row r="9310" customFormat="false" ht="17.15" hidden="false" customHeight="false" outlineLevel="0" collapsed="false">
      <c r="A9310" s="1" t="s">
        <v>1067</v>
      </c>
      <c r="B9310" s="0" t="s">
        <v>98</v>
      </c>
      <c r="C9310" s="6" t="n">
        <f aca="false">Sens!$C$9308+Sens!E9290-Sens!E9279+oai_v</f>
        <v>1882.2231929333</v>
      </c>
    </row>
    <row r="9311" customFormat="false" ht="17.15" hidden="false" customHeight="false" outlineLevel="0" collapsed="false">
      <c r="A9311" s="0" t="s">
        <v>994</v>
      </c>
      <c r="B9311" s="0" t="s">
        <v>75</v>
      </c>
      <c r="C9311" s="5" t="n">
        <f aca="false">Sens!$C$9310/sh_dil26</f>
        <v>252.545712187481</v>
      </c>
    </row>
    <row r="9312" customFormat="false" ht="15" hidden="false" customHeight="false" outlineLevel="0" collapsed="false">
      <c r="A9312" s="1" t="s">
        <v>1068</v>
      </c>
      <c r="B9312" s="0" t="s">
        <v>75</v>
      </c>
      <c r="C9312" s="8" t="n">
        <f aca="false">dps_27+Sens!G9282*roll_div_q/q_per_yr</f>
        <v>4.8895</v>
      </c>
    </row>
    <row r="9313" customFormat="false" ht="17.15" hidden="false" customHeight="false" outlineLevel="0" collapsed="false">
      <c r="A9313" s="0" t="s">
        <v>1069</v>
      </c>
      <c r="B9313" s="0" t="s">
        <v>75</v>
      </c>
      <c r="C9313" s="5" t="n">
        <f aca="false">Sens!$C$9311*(1+wacc)^t_roll-Sens!$C$9312</f>
        <v>282.692734849443</v>
      </c>
    </row>
    <row r="9314" customFormat="false" ht="17.15" hidden="false" customHeight="false" outlineLevel="0" collapsed="false">
      <c r="A9314" s="1" t="s">
        <v>1070</v>
      </c>
      <c r="B9314" s="0" t="s">
        <v>129</v>
      </c>
      <c r="F9314" s="7" t="n">
        <f aca="false">Sens!F9269/(Sens!F9214-Sens!F9170)</f>
        <v>0.0711733300586443</v>
      </c>
      <c r="G9314" s="7" t="n">
        <f aca="false">Sens!G9269/(Sens!G9214-Sens!G9170)</f>
        <v>0.0683240592721428</v>
      </c>
      <c r="H9314" s="7" t="n">
        <f aca="false">Sens!H9269/(Sens!H9214-Sens!H9170)</f>
        <v>0.0667812563249956</v>
      </c>
      <c r="I9314" s="7" t="n">
        <f aca="false">Sens!I9269/(Sens!I9214-Sens!I9170)</f>
        <v>0.0663866803870572</v>
      </c>
      <c r="J9314" s="7" t="n">
        <f aca="false">Sens!J9269/(Sens!J9214-Sens!J9170)</f>
        <v>0.0669124971207575</v>
      </c>
      <c r="K9314" s="7" t="n">
        <f aca="false">Sens!K9269/(Sens!K9214-Sens!K9170)</f>
        <v>0.0681108822851863</v>
      </c>
    </row>
    <row r="9315" customFormat="false" ht="17.15" hidden="false" customHeight="false" outlineLevel="0" collapsed="false">
      <c r="A9315" s="0" t="s">
        <v>1071</v>
      </c>
      <c r="B9315" s="0" t="s">
        <v>98</v>
      </c>
      <c r="F9315" s="6" t="n">
        <f aca="false">Sens!F9199*(al_m365+Sens!F9314+sbc_r)</f>
        <v>83.1790708681469</v>
      </c>
      <c r="G9315" s="6" t="n">
        <f aca="false">Sens!G9199*(al_m365+Sens!G9314+sbc_r)</f>
        <v>93.5373004840193</v>
      </c>
      <c r="H9315" s="6" t="n">
        <f aca="false">Sens!H9199*(al_m365+Sens!H9314+sbc_r)</f>
        <v>104.059473215594</v>
      </c>
      <c r="I9315" s="6" t="n">
        <f aca="false">Sens!I9199*(al_m365+Sens!I9314+sbc_r)</f>
        <v>114.069757550921</v>
      </c>
      <c r="J9315" s="6" t="n">
        <f aca="false">Sens!J9199*(al_m365+Sens!J9314+sbc_r)</f>
        <v>123.380316243019</v>
      </c>
      <c r="K9315" s="6" t="n">
        <f aca="false">Sens!K9199*(al_m365+Sens!K9314+sbc_r)</f>
        <v>132.299773487903</v>
      </c>
      <c r="L9315" s="11" t="s">
        <v>1072</v>
      </c>
    </row>
    <row r="9316" customFormat="false" ht="17.15" hidden="false" customHeight="false" outlineLevel="0" collapsed="false">
      <c r="A9316" s="0" t="s">
        <v>1073</v>
      </c>
      <c r="B9316" s="0" t="s">
        <v>98</v>
      </c>
      <c r="F9316" s="6" t="n">
        <f aca="false">Sens!F9200*(al_lic+Sens!F9314+sbc_r)</f>
        <v>33.5455683895069</v>
      </c>
      <c r="G9316" s="6" t="n">
        <f aca="false">Sens!G9200*(al_lic+Sens!G9314+sbc_r)</f>
        <v>34.849990564077</v>
      </c>
      <c r="H9316" s="6" t="n">
        <f aca="false">Sens!H9200*(al_lic+Sens!H9314+sbc_r)</f>
        <v>36.065871330163</v>
      </c>
      <c r="I9316" s="6" t="n">
        <f aca="false">Sens!I9200*(al_lic+Sens!I9314+sbc_r)</f>
        <v>37.172942092544</v>
      </c>
      <c r="J9316" s="6" t="n">
        <f aca="false">Sens!J9200*(al_lic+Sens!J9314+sbc_r)</f>
        <v>38.1475313786794</v>
      </c>
      <c r="K9316" s="6" t="n">
        <f aca="false">Sens!K9200*(al_lic+Sens!K9314+sbc_r)</f>
        <v>38.9650647204592</v>
      </c>
    </row>
    <row r="9317" customFormat="false" ht="17.15" hidden="false" customHeight="false" outlineLevel="0" collapsed="false">
      <c r="A9317" s="0" t="s">
        <v>1074</v>
      </c>
      <c r="B9317" s="0" t="s">
        <v>98</v>
      </c>
      <c r="F9317" s="6" t="n">
        <f aca="false">Sens!F9202*(al_ind+Sens!F9314+sbc_r)</f>
        <v>9.13417463412088</v>
      </c>
      <c r="G9317" s="6" t="n">
        <f aca="false">Sens!G9202*(al_ind+Sens!G9314+sbc_r)</f>
        <v>9.91515089690214</v>
      </c>
      <c r="H9317" s="6" t="n">
        <f aca="false">Sens!H9202*(al_ind+Sens!H9314+sbc_r)</f>
        <v>10.7401712216394</v>
      </c>
      <c r="I9317" s="6" t="n">
        <f aca="false">Sens!I9202*(al_ind+Sens!I9314+sbc_r)</f>
        <v>11.6048200733668</v>
      </c>
      <c r="J9317" s="6" t="n">
        <f aca="false">Sens!J9202*(al_ind+Sens!J9314+sbc_r)</f>
        <v>12.5005025882277</v>
      </c>
      <c r="K9317" s="6" t="n">
        <f aca="false">Sens!K9202*(al_ind+Sens!K9314+sbc_r)</f>
        <v>13.4151846676545</v>
      </c>
    </row>
    <row r="9318" customFormat="false" ht="17.15" hidden="false" customHeight="false" outlineLevel="0" collapsed="false">
      <c r="A9318" s="0" t="s">
        <v>1075</v>
      </c>
      <c r="B9318" s="0" t="s">
        <v>98</v>
      </c>
      <c r="F9318" s="6" t="n">
        <f aca="false">Sens!F9204*(al_fro+Sens!F9314+sbc_r)</f>
        <v>3.5952432042588</v>
      </c>
      <c r="G9318" s="6" t="n">
        <f aca="false">Sens!G9204*(al_fro+Sens!G9314+sbc_r)</f>
        <v>3.80683174409722</v>
      </c>
      <c r="H9318" s="6" t="n">
        <f aca="false">Sens!H9204*(al_fro+Sens!H9314+sbc_r)</f>
        <v>4.04726412610231</v>
      </c>
      <c r="I9318" s="6" t="n">
        <f aca="false">Sens!I9204*(al_fro+Sens!I9314+sbc_r)</f>
        <v>4.3188417208738</v>
      </c>
      <c r="J9318" s="6" t="n">
        <f aca="false">Sens!J9204*(al_fro+Sens!J9314+sbc_r)</f>
        <v>4.62316625054968</v>
      </c>
      <c r="K9318" s="6" t="n">
        <f aca="false">Sens!K9204*(al_fro+Sens!K9314+sbc_r)</f>
        <v>4.9614508346888</v>
      </c>
    </row>
    <row r="9319" customFormat="false" ht="17.15" hidden="false" customHeight="false" outlineLevel="0" collapsed="false">
      <c r="A9319" s="0" t="s">
        <v>1076</v>
      </c>
      <c r="B9319" s="0" t="s">
        <v>98</v>
      </c>
      <c r="F9319" s="6" t="n">
        <f aca="false">Sens!F9207*(al_srch+Sens!F9314+sbc_r)</f>
        <v>11.2301052132758</v>
      </c>
      <c r="G9319" s="6" t="n">
        <f aca="false">Sens!G9207*(al_srch+Sens!G9314+sbc_r)</f>
        <v>12.1937867437903</v>
      </c>
      <c r="H9319" s="6" t="n">
        <f aca="false">Sens!H9207*(al_srch+Sens!H9314+sbc_r)</f>
        <v>13.1201634421685</v>
      </c>
      <c r="I9319" s="6" t="n">
        <f aca="false">Sens!I9207*(al_srch+Sens!I9314+sbc_r)</f>
        <v>13.9818639456545</v>
      </c>
      <c r="J9319" s="6" t="n">
        <f aca="false">Sens!J9207*(al_srch+Sens!J9314+sbc_r)</f>
        <v>14.7471088708783</v>
      </c>
      <c r="K9319" s="6" t="n">
        <f aca="false">Sens!K9207*(al_srch+Sens!K9314+sbc_r)</f>
        <v>15.3824541425286</v>
      </c>
    </row>
    <row r="9320" customFormat="false" ht="17.15" hidden="false" customHeight="false" outlineLevel="0" collapsed="false">
      <c r="A9320" s="0" t="s">
        <v>1077</v>
      </c>
      <c r="B9320" s="0" t="s">
        <v>98</v>
      </c>
      <c r="F9320" s="6" t="n">
        <f aca="false">Sens!F9176-Sens!F9177+Sens!F9257</f>
        <v>38.6797715123049</v>
      </c>
      <c r="G9320" s="6" t="n">
        <f aca="false">Sens!G9176-Sens!G9177+Sens!G9257</f>
        <v>67.9698044367775</v>
      </c>
      <c r="H9320" s="6" t="n">
        <f aca="false">Sens!H9176-Sens!H9177+Sens!H9257</f>
        <v>94.4027386785771</v>
      </c>
      <c r="I9320" s="6" t="n">
        <f aca="false">Sens!I9176-Sens!I9177+Sens!I9257</f>
        <v>124.629799296032</v>
      </c>
      <c r="J9320" s="6" t="n">
        <f aca="false">Sens!J9176-Sens!J9177+Sens!J9257</f>
        <v>146.1886418102</v>
      </c>
      <c r="K9320" s="6" t="n">
        <f aca="false">Sens!K9176-Sens!K9177+Sens!K9257</f>
        <v>160.310017660072</v>
      </c>
    </row>
    <row r="9321" customFormat="false" ht="17.15" hidden="false" customHeight="false" outlineLevel="0" collapsed="false">
      <c r="A9321" s="0" t="s">
        <v>1078</v>
      </c>
      <c r="B9321" s="0" t="s">
        <v>98</v>
      </c>
      <c r="F9321" s="6" t="n">
        <f aca="false">Sens!F9236+Sens!F9257+Sens!F9187+Sens!F9314*(Sens!F9206-Sens!F9170)+sbc_r*Sens!F9206</f>
        <v>228.430741953478</v>
      </c>
      <c r="G9321" s="6" t="n">
        <f aca="false">Sens!G9236+Sens!G9257+Sens!G9187+Sens!G9314*(Sens!G9206-Sens!G9170)+sbc_r*Sens!G9206</f>
        <v>282.573512472537</v>
      </c>
      <c r="H9321" s="6" t="n">
        <f aca="false">Sens!H9236+Sens!H9257+Sens!H9187+Sens!H9314*(Sens!H9206-Sens!H9170)+sbc_r*Sens!H9206</f>
        <v>334.139390145234</v>
      </c>
      <c r="I9321" s="6" t="n">
        <f aca="false">Sens!I9236+Sens!I9257+Sens!I9187+Sens!I9314*(Sens!I9206-Sens!I9170)+sbc_r*Sens!I9206</f>
        <v>388.892644140549</v>
      </c>
      <c r="J9321" s="6" t="n">
        <f aca="false">Sens!J9236+Sens!J9257+Sens!J9187+Sens!J9314*(Sens!J9206-Sens!J9170)+sbc_r*Sens!J9206</f>
        <v>433.097130016547</v>
      </c>
      <c r="K9321" s="6" t="n">
        <f aca="false">Sens!K9236+Sens!K9257+Sens!K9187+Sens!K9314*(Sens!K9206-Sens!K9170)+sbc_r*Sens!K9206</f>
        <v>467.590190801533</v>
      </c>
    </row>
    <row r="9322" customFormat="false" ht="17.15" hidden="false" customHeight="false" outlineLevel="0" collapsed="false">
      <c r="A9322" s="0" t="s">
        <v>1079</v>
      </c>
      <c r="B9322" s="0" t="s">
        <v>98</v>
      </c>
      <c r="F9322" s="6" t="n">
        <f aca="false">Sens!F9321-Sens!F9315-Sens!F9316-Sens!F9317-Sens!F9318-Sens!F9320</f>
        <v>60.2969133451402</v>
      </c>
      <c r="G9322" s="6" t="n">
        <f aca="false">Sens!G9321-Sens!G9315-Sens!G9316-Sens!G9317-Sens!G9318-Sens!G9320</f>
        <v>72.4944343466635</v>
      </c>
      <c r="H9322" s="6" t="n">
        <f aca="false">Sens!H9321-Sens!H9315-Sens!H9316-Sens!H9317-Sens!H9318-Sens!H9320</f>
        <v>84.823871573158</v>
      </c>
      <c r="I9322" s="6" t="n">
        <f aca="false">Sens!I9321-Sens!I9315-Sens!I9316-Sens!I9317-Sens!I9318-Sens!I9320</f>
        <v>97.0964834068124</v>
      </c>
      <c r="J9322" s="6" t="n">
        <f aca="false">Sens!J9321-Sens!J9315-Sens!J9316-Sens!J9317-Sens!J9318-Sens!J9320</f>
        <v>108.256971745871</v>
      </c>
      <c r="K9322" s="6" t="n">
        <f aca="false">Sens!K9321-Sens!K9315-Sens!K9316-Sens!K9317-Sens!K9318-Sens!K9320</f>
        <v>117.638699430755</v>
      </c>
    </row>
    <row r="9323" customFormat="false" ht="17.15" hidden="false" customHeight="false" outlineLevel="0" collapsed="false">
      <c r="A9323" s="0" t="s">
        <v>1080</v>
      </c>
      <c r="B9323" s="0" t="s">
        <v>98</v>
      </c>
      <c r="F9323" s="6" t="n">
        <f aca="false">Sens!F9238+Sens!F9314*Sens!F9213+sbc_r*Sens!F9213</f>
        <v>26.3166938541796</v>
      </c>
      <c r="G9323" s="6" t="n">
        <f aca="false">Sens!G9238+Sens!G9314*Sens!G9213+sbc_r*Sens!G9213</f>
        <v>26.8131157535819</v>
      </c>
      <c r="H9323" s="6" t="n">
        <f aca="false">Sens!H9238+Sens!H9314*Sens!H9213+sbc_r*Sens!H9213</f>
        <v>27.4954979228716</v>
      </c>
      <c r="I9323" s="6" t="n">
        <f aca="false">Sens!I9238+Sens!I9314*Sens!I9213+sbc_r*Sens!I9213</f>
        <v>28.3159733786602</v>
      </c>
      <c r="J9323" s="6" t="n">
        <f aca="false">Sens!J9238+Sens!J9314*Sens!J9213+sbc_r*Sens!J9213</f>
        <v>29.2293812899628</v>
      </c>
      <c r="K9323" s="6" t="n">
        <f aca="false">Sens!K9238+Sens!K9314*Sens!K9213+sbc_r*Sens!K9213</f>
        <v>30.1962283071742</v>
      </c>
    </row>
    <row r="9324" customFormat="false" ht="17.15" hidden="false" customHeight="false" outlineLevel="0" collapsed="false">
      <c r="A9324" s="0" t="s">
        <v>1081</v>
      </c>
      <c r="B9324" s="0" t="s">
        <v>98</v>
      </c>
      <c r="F9324" s="6" t="n">
        <f aca="false">(Sens!F9323-Sens!F9319)*Sens!F9209/(Sens!F9209+Sens!F9211)</f>
        <v>8.27032095169929</v>
      </c>
      <c r="G9324" s="6" t="n">
        <f aca="false">(Sens!G9323-Sens!G9319)*Sens!G9209/(Sens!G9209+Sens!G9211)</f>
        <v>7.87128155827185</v>
      </c>
      <c r="H9324" s="6" t="n">
        <f aca="false">(Sens!H9323-Sens!H9319)*Sens!H9209/(Sens!H9209+Sens!H9211)</f>
        <v>7.63535772216114</v>
      </c>
      <c r="I9324" s="6" t="n">
        <f aca="false">(Sens!I9323-Sens!I9319)*Sens!I9209/(Sens!I9209+Sens!I9211)</f>
        <v>7.54457463321793</v>
      </c>
      <c r="J9324" s="6" t="n">
        <f aca="false">(Sens!J9323-Sens!J9319)*Sens!J9209/(Sens!J9209+Sens!J9211)</f>
        <v>7.58808939294369</v>
      </c>
      <c r="K9324" s="6" t="n">
        <f aca="false">(Sens!K9323-Sens!K9319)*Sens!K9209/(Sens!K9209+Sens!K9211)</f>
        <v>7.76178208470106</v>
      </c>
    </row>
    <row r="9325" customFormat="false" ht="17.15" hidden="false" customHeight="false" outlineLevel="0" collapsed="false">
      <c r="A9325" s="0" t="s">
        <v>1082</v>
      </c>
      <c r="B9325" s="0" t="s">
        <v>98</v>
      </c>
      <c r="F9325" s="6" t="n">
        <f aca="false">Sens!F9323-Sens!F9319-Sens!F9324</f>
        <v>6.81626768920453</v>
      </c>
      <c r="G9325" s="6" t="n">
        <f aca="false">Sens!G9323-Sens!G9319-Sens!G9324</f>
        <v>6.74804745151972</v>
      </c>
      <c r="H9325" s="6" t="n">
        <f aca="false">Sens!H9323-Sens!H9319-Sens!H9324</f>
        <v>6.73997675854204</v>
      </c>
      <c r="I9325" s="6" t="n">
        <f aca="false">Sens!I9323-Sens!I9319-Sens!I9324</f>
        <v>6.78953479978784</v>
      </c>
      <c r="J9325" s="6" t="n">
        <f aca="false">Sens!J9323-Sens!J9319-Sens!J9324</f>
        <v>6.89418302614082</v>
      </c>
      <c r="K9325" s="6" t="n">
        <f aca="false">Sens!K9323-Sens!K9319-Sens!K9324</f>
        <v>7.05199207994452</v>
      </c>
    </row>
    <row r="9326" customFormat="false" ht="17.15" hidden="false" customHeight="false" outlineLevel="0" collapsed="false">
      <c r="A9326" s="0" t="s">
        <v>1083</v>
      </c>
      <c r="B9326" s="0" t="s">
        <v>98</v>
      </c>
      <c r="F9326" s="6" t="n">
        <f aca="false">Sens!F9320-tax_f*(Sens!F9320-Sens!F9187)-Sens!F9184</f>
        <v>-122.579081185432</v>
      </c>
      <c r="G9326" s="6" t="n">
        <f aca="false">Sens!G9320-tax_f*(Sens!G9320-Sens!G9187)-Sens!G9184</f>
        <v>-117.373249511676</v>
      </c>
      <c r="H9326" s="6" t="n">
        <f aca="false">Sens!H9320-tax_f*(Sens!H9320-Sens!H9187)-Sens!H9184</f>
        <v>-95.285890998876</v>
      </c>
      <c r="I9326" s="6" t="n">
        <f aca="false">Sens!I9320-tax_f*(Sens!I9320-Sens!I9187)-Sens!I9184</f>
        <v>-41.8816809509416</v>
      </c>
      <c r="J9326" s="6" t="n">
        <f aca="false">Sens!J9320-tax_f*(Sens!J9320-Sens!J9187)-Sens!J9184</f>
        <v>15.3691414244864</v>
      </c>
      <c r="K9326" s="6" t="n">
        <f aca="false">Sens!K9320-tax_f*(Sens!K9320-Sens!K9187)-Sens!K9184</f>
        <v>34.6668916333283</v>
      </c>
    </row>
    <row r="9327" customFormat="false" ht="17.15" hidden="false" customHeight="false" outlineLevel="0" collapsed="false">
      <c r="A9327" s="0" t="s">
        <v>1084</v>
      </c>
      <c r="B9327" s="0" t="s">
        <v>98</v>
      </c>
      <c r="G9327" s="6" t="n">
        <f aca="false">Sens!G9326/(1+wacc)^(Sens!G9299-(Sens!F9299+mid_yr))</f>
        <v>-111.762030423885</v>
      </c>
      <c r="H9327" s="6" t="n">
        <f aca="false">Sens!H9326/(1+wacc)^(Sens!H9299-(Sens!F9299+mid_yr))</f>
        <v>-82.2629091581412</v>
      </c>
      <c r="I9327" s="6" t="n">
        <f aca="false">Sens!I9326/(1+wacc)^(Sens!I9299-(Sens!F9299+mid_yr))</f>
        <v>-32.7830894246659</v>
      </c>
      <c r="J9327" s="6" t="n">
        <f aca="false">Sens!J9326/(1+wacc)^(Sens!J9299-(Sens!F9299+mid_yr))</f>
        <v>10.907511786022</v>
      </c>
      <c r="K9327" s="6" t="n">
        <f aca="false">Sens!K9326/(1+wacc)^(Sens!K9299-(Sens!F9299+mid_yr))</f>
        <v>22.3070066431388</v>
      </c>
      <c r="L9327" s="1" t="s">
        <v>1085</v>
      </c>
    </row>
    <row r="9328" customFormat="false" ht="17.15" hidden="false" customHeight="false" outlineLevel="0" collapsed="false">
      <c r="A9328" s="0" t="s">
        <v>1086</v>
      </c>
      <c r="B9328" s="0" t="s">
        <v>98</v>
      </c>
      <c r="C9328" s="6" t="n">
        <f aca="false">(Sens!K9320-Sens!K9187)*(1-tax_f)*(1+g_tv)*(1-g_tv/(wacc+ronic_prem))/(wacc-g_tv)/(1+wacc)^(Sens!K9299+mid_yr-(Sens!F9299+mid_yr))</f>
        <v>103.875812758606</v>
      </c>
    </row>
    <row r="9329" customFormat="false" ht="17.15" hidden="false" customHeight="false" outlineLevel="0" collapsed="false">
      <c r="A9329" s="1" t="s">
        <v>1087</v>
      </c>
      <c r="B9329" s="0" t="s">
        <v>98</v>
      </c>
      <c r="C9329" s="6" t="n">
        <f aca="false">(SUM(Sens!G9327:K9327)+Sens!$C$9328)*(1+wacc)^(t_roll-(Sens!F9299+mid_yr))</f>
        <v>-92.6297486746201</v>
      </c>
      <c r="L9329" s="11" t="s">
        <v>1088</v>
      </c>
    </row>
    <row r="9330" customFormat="false" ht="17.15" hidden="false" customHeight="false" outlineLevel="0" collapsed="false">
      <c r="A9330" s="1" t="s">
        <v>1089</v>
      </c>
      <c r="B9330" s="0" t="s">
        <v>98</v>
      </c>
      <c r="C9330" s="6" t="n">
        <f aca="false">(w_ntm28*Sens!G9176+(1-w_ntm28)*Sens!H9176)*m_ai</f>
        <v>338.776008390068</v>
      </c>
    </row>
    <row r="9331" customFormat="false" ht="17.15" hidden="false" customHeight="false" outlineLevel="0" collapsed="false">
      <c r="A9331" s="1" t="s">
        <v>1090</v>
      </c>
      <c r="B9331" s="0" t="s">
        <v>98</v>
      </c>
      <c r="C9331" s="6" t="n">
        <f aca="false">(w_ntm28*Sens!G9322+(1-w_ntm28)*Sens!H9322)*m_cloud</f>
        <v>1056.95898144206</v>
      </c>
    </row>
    <row r="9332" customFormat="false" ht="17.15" hidden="false" customHeight="false" outlineLevel="0" collapsed="false">
      <c r="A9332" s="1" t="s">
        <v>1091</v>
      </c>
      <c r="B9332" s="0" t="s">
        <v>98</v>
      </c>
      <c r="C9332" s="6" t="n">
        <f aca="false">(w_ntm28*Sens!G9315+(1-w_ntm28)*Sens!H9315)*m_sw</f>
        <v>1046.94108338938</v>
      </c>
    </row>
    <row r="9333" customFormat="false" ht="17.15" hidden="false" customHeight="false" outlineLevel="0" collapsed="false">
      <c r="A9333" s="1" t="s">
        <v>1092</v>
      </c>
      <c r="B9333" s="0" t="s">
        <v>98</v>
      </c>
      <c r="C9333" s="6" t="n">
        <f aca="false">(w_ntm28*Sens!G9316+(1-w_ntm28)*Sens!H9316)*m_sw</f>
        <v>380.625154114771</v>
      </c>
    </row>
    <row r="9334" customFormat="false" ht="17.15" hidden="false" customHeight="false" outlineLevel="0" collapsed="false">
      <c r="A9334" s="1" t="s">
        <v>1093</v>
      </c>
      <c r="B9334" s="0" t="s">
        <v>98</v>
      </c>
      <c r="C9334" s="6" t="n">
        <f aca="false">(w_ntm28*Sens!G9317+(1-w_ntm28)*Sens!H9317)*m_sw</f>
        <v>109.964193801187</v>
      </c>
    </row>
    <row r="9335" customFormat="false" ht="17.15" hidden="false" customHeight="false" outlineLevel="0" collapsed="false">
      <c r="A9335" s="1" t="s">
        <v>1094</v>
      </c>
      <c r="B9335" s="0" t="s">
        <v>98</v>
      </c>
      <c r="C9335" s="6" t="n">
        <f aca="false">(w_ntm28*Sens!G9318+(1-w_ntm28)*Sens!H9318)*m_sw</f>
        <v>41.9532541448179</v>
      </c>
    </row>
    <row r="9336" customFormat="false" ht="17.15" hidden="false" customHeight="false" outlineLevel="0" collapsed="false">
      <c r="A9336" s="1" t="s">
        <v>1095</v>
      </c>
      <c r="B9336" s="0" t="s">
        <v>98</v>
      </c>
      <c r="C9336" s="6" t="n">
        <f aca="false">(w_ntm28*Sens!G9319+(1-w_ntm28)*Sens!H9319)*m_ads</f>
        <v>113.813716203663</v>
      </c>
    </row>
    <row r="9337" customFormat="false" ht="17.15" hidden="false" customHeight="false" outlineLevel="0" collapsed="false">
      <c r="A9337" s="1" t="s">
        <v>1096</v>
      </c>
      <c r="B9337" s="0" t="s">
        <v>98</v>
      </c>
      <c r="C9337" s="6" t="n">
        <f aca="false">(w_ntm28*Sens!G9324+(1-w_ntm28)*Sens!H9324)*m_game</f>
        <v>98.4509799716331</v>
      </c>
    </row>
    <row r="9338" customFormat="false" ht="17.15" hidden="false" customHeight="false" outlineLevel="0" collapsed="false">
      <c r="A9338" s="1" t="s">
        <v>1097</v>
      </c>
      <c r="B9338" s="0" t="s">
        <v>98</v>
      </c>
      <c r="C9338" s="6" t="n">
        <f aca="false">(w_ntm28*Sens!G9325+(1-w_ntm28)*Sens!H9325)*m_pc</f>
        <v>97.6064921428556</v>
      </c>
    </row>
    <row r="9339" customFormat="false" ht="17.15" hidden="false" customHeight="false" outlineLevel="0" collapsed="false">
      <c r="A9339" s="1" t="s">
        <v>1098</v>
      </c>
      <c r="B9339" s="0" t="s">
        <v>98</v>
      </c>
      <c r="C9339" s="6" t="n">
        <f aca="false">Sens!$C$9329+Sens!$C$9331+Sens!$C$9332+Sens!$C$9333+Sens!$C$9334+Sens!$C$9335+Sens!$C$9336+Sens!$C$9337+Sens!$C$9338</f>
        <v>2853.68410653575</v>
      </c>
    </row>
    <row r="9340" customFormat="false" ht="17.15" hidden="false" customHeight="false" outlineLevel="0" collapsed="false">
      <c r="A9340" s="1" t="s">
        <v>1099</v>
      </c>
      <c r="B9340" s="0" t="s">
        <v>98</v>
      </c>
      <c r="C9340" s="6" t="n">
        <f aca="false">(Sens!G9301-Sens!G9326)*t_stub</f>
        <v>46.8536864996126</v>
      </c>
      <c r="L9340" s="1" t="s">
        <v>1100</v>
      </c>
    </row>
    <row r="9341" customFormat="false" ht="17.15" hidden="false" customHeight="false" outlineLevel="0" collapsed="false">
      <c r="A9341" s="1" t="s">
        <v>1014</v>
      </c>
      <c r="B9341" s="0" t="s">
        <v>98</v>
      </c>
      <c r="C9341" s="6" t="n">
        <f aca="false">Sens!F9290+oai_v-Sens!F9279+Sens!$C$9340</f>
        <v>153.66098541437</v>
      </c>
      <c r="L9341" s="1" t="s">
        <v>1101</v>
      </c>
    </row>
    <row r="9342" customFormat="false" ht="17.15" hidden="false" customHeight="false" outlineLevel="0" collapsed="false">
      <c r="A9342" s="1" t="s">
        <v>1102</v>
      </c>
      <c r="B9342" s="0" t="s">
        <v>75</v>
      </c>
      <c r="C9342" s="5" t="n">
        <f aca="false">(Sens!$C$9339+Sens!$C$9341)/(Sens!F9292+dil_gap)-Sens!G9282*roll_div_q/q_per_yr</f>
        <v>400.153815361542</v>
      </c>
      <c r="L9342" s="1" t="s">
        <v>1103</v>
      </c>
    </row>
    <row r="9343" customFormat="false" ht="17.15" hidden="false" customHeight="false" outlineLevel="0" collapsed="false">
      <c r="A9343" s="1" t="s">
        <v>1104</v>
      </c>
      <c r="B9343" s="0" t="s">
        <v>75</v>
      </c>
      <c r="C9343" s="5" t="n">
        <f aca="false">w_dcf*Sens!$C$9313+(1-w_dcf)*Sens!$C$9342</f>
        <v>341.423275105493</v>
      </c>
    </row>
    <row r="9344" customFormat="false" ht="17.15" hidden="false" customHeight="false" outlineLevel="0" collapsed="false">
      <c r="A9344" s="3" t="s">
        <v>1502</v>
      </c>
    </row>
    <row r="9345" customFormat="false" ht="15" hidden="false" customHeight="false" outlineLevel="0" collapsed="false">
      <c r="A9345" s="4" t="s">
        <v>43</v>
      </c>
      <c r="B9345" s="4" t="s">
        <v>65</v>
      </c>
      <c r="C9345" s="20" t="s">
        <v>799</v>
      </c>
      <c r="D9345" s="20" t="s">
        <v>800</v>
      </c>
      <c r="E9345" s="20" t="s">
        <v>801</v>
      </c>
      <c r="F9345" s="20" t="s">
        <v>802</v>
      </c>
      <c r="G9345" s="20" t="s">
        <v>803</v>
      </c>
      <c r="H9345" s="20" t="s">
        <v>804</v>
      </c>
      <c r="I9345" s="20" t="s">
        <v>805</v>
      </c>
      <c r="J9345" s="20" t="s">
        <v>806</v>
      </c>
      <c r="K9345" s="20" t="s">
        <v>807</v>
      </c>
      <c r="L9345" s="4" t="s">
        <v>47</v>
      </c>
    </row>
    <row r="9346" customFormat="false" ht="17.15" hidden="false" customHeight="false" outlineLevel="0" collapsed="false">
      <c r="A9346" s="1" t="s">
        <v>808</v>
      </c>
      <c r="B9346" s="1" t="s">
        <v>235</v>
      </c>
      <c r="C9346" s="28" t="n">
        <v>2024</v>
      </c>
      <c r="D9346" s="28" t="n">
        <v>2025</v>
      </c>
      <c r="E9346" s="28" t="n">
        <v>2026</v>
      </c>
      <c r="F9346" s="28" t="n">
        <v>2027</v>
      </c>
      <c r="G9346" s="28" t="n">
        <v>2028</v>
      </c>
      <c r="H9346" s="28" t="n">
        <v>2029</v>
      </c>
      <c r="I9346" s="28" t="n">
        <v>2030</v>
      </c>
      <c r="J9346" s="28" t="n">
        <v>2031</v>
      </c>
      <c r="K9346" s="28" t="n">
        <v>2032</v>
      </c>
    </row>
    <row r="9347" customFormat="false" ht="17.15" hidden="false" customHeight="false" outlineLevel="0" collapsed="false">
      <c r="A9347" s="1" t="s">
        <v>809</v>
      </c>
      <c r="B9347" s="0" t="s">
        <v>399</v>
      </c>
      <c r="F9347" s="29" t="n">
        <f aca="false">pace</f>
        <v>2527.2</v>
      </c>
      <c r="G9347" s="29" t="n">
        <f aca="false">pace</f>
        <v>2527.2</v>
      </c>
      <c r="H9347" s="29" t="n">
        <f aca="false">pace</f>
        <v>2527.2</v>
      </c>
      <c r="I9347" s="29" t="n">
        <f aca="false">pace+(g_tv*Sens!H9348-pace)*MIN(1,(Sens!I9346-pace_y0)/(pace_y1-pace_y0))</f>
        <v>1793.116</v>
      </c>
      <c r="J9347" s="29" t="n">
        <f aca="false">pace+(g_tv*Sens!I9348-pace)*MIN(1,(Sens!J9346-pace_y0)/(pace_y1-pace_y0))</f>
        <v>1094.89432</v>
      </c>
      <c r="K9347" s="29" t="n">
        <f aca="false">pace+(g_tv*Sens!J9348-pace)*MIN(1,(Sens!K9346-pace_y0)/(pace_y1-pace_y0))</f>
        <v>411.5883096</v>
      </c>
      <c r="L9347" s="11" t="s">
        <v>810</v>
      </c>
    </row>
    <row r="9348" customFormat="false" ht="17.15" hidden="false" customHeight="false" outlineLevel="0" collapsed="false">
      <c r="A9348" s="1" t="s">
        <v>811</v>
      </c>
      <c r="B9348" s="0" t="s">
        <v>399</v>
      </c>
      <c r="C9348" s="29" t="n">
        <f aca="false">mw_ext_24</f>
        <v>640</v>
      </c>
      <c r="D9348" s="29" t="n">
        <f aca="false">mw_ext_25</f>
        <v>1630</v>
      </c>
      <c r="E9348" s="29" t="n">
        <f aca="false">mw_ext_26</f>
        <v>3250</v>
      </c>
      <c r="F9348" s="29" t="n">
        <f aca="false">Sens!E9348+Sens!F9347</f>
        <v>5777.2</v>
      </c>
      <c r="G9348" s="29" t="n">
        <f aca="false">Sens!F9348+Sens!G9347</f>
        <v>8304.4</v>
      </c>
      <c r="H9348" s="29" t="n">
        <f aca="false">Sens!G9348+Sens!H9347</f>
        <v>10831.6</v>
      </c>
      <c r="I9348" s="29" t="n">
        <f aca="false">Sens!H9348+Sens!I9347</f>
        <v>12624.716</v>
      </c>
      <c r="J9348" s="29" t="n">
        <f aca="false">Sens!I9348+Sens!J9347</f>
        <v>13719.61032</v>
      </c>
      <c r="K9348" s="29" t="n">
        <f aca="false">Sens!J9348+Sens!K9347</f>
        <v>14131.1986296</v>
      </c>
      <c r="L9348" s="1" t="s">
        <v>812</v>
      </c>
    </row>
    <row r="9349" customFormat="false" ht="17.15" hidden="false" customHeight="false" outlineLevel="0" collapsed="false">
      <c r="A9349" s="1" t="s">
        <v>813</v>
      </c>
      <c r="B9349" s="0" t="s">
        <v>399</v>
      </c>
      <c r="C9349" s="29" t="n">
        <f aca="false">rent_ext_24</f>
        <v>150</v>
      </c>
      <c r="D9349" s="29" t="n">
        <f aca="false">rent_ext_25</f>
        <v>400</v>
      </c>
      <c r="E9349" s="29" t="n">
        <f aca="false">rent_ext_26</f>
        <v>550</v>
      </c>
      <c r="F9349" s="29" t="n">
        <f aca="false">rent_ext_f</f>
        <v>756</v>
      </c>
      <c r="G9349" s="29" t="n">
        <f aca="false">rent_ext_f</f>
        <v>756</v>
      </c>
      <c r="H9349" s="29" t="n">
        <f aca="false">rent_ext_f</f>
        <v>756</v>
      </c>
      <c r="I9349" s="29" t="n">
        <f aca="false">rent_ext_f</f>
        <v>756</v>
      </c>
      <c r="J9349" s="29" t="n">
        <f aca="false">rent_ext_f</f>
        <v>756</v>
      </c>
      <c r="K9349" s="29" t="n">
        <f aca="false">rent_ext_f</f>
        <v>756</v>
      </c>
      <c r="L9349" s="1" t="s">
        <v>814</v>
      </c>
    </row>
    <row r="9350" customFormat="false" ht="17.15" hidden="false" customHeight="false" outlineLevel="0" collapsed="false">
      <c r="A9350" s="1" t="s">
        <v>815</v>
      </c>
      <c r="B9350" s="0" t="s">
        <v>399</v>
      </c>
      <c r="C9350" s="29" t="n">
        <f aca="false">Sens!C9348-Sens!C9349</f>
        <v>490</v>
      </c>
      <c r="D9350" s="29" t="n">
        <f aca="false">Sens!D9348-Sens!D9349</f>
        <v>1230</v>
      </c>
      <c r="E9350" s="29" t="n">
        <f aca="false">Sens!E9348-Sens!E9349</f>
        <v>2700</v>
      </c>
      <c r="F9350" s="29" t="n">
        <f aca="false">Sens!F9348-Sens!F9349</f>
        <v>5021.2</v>
      </c>
      <c r="G9350" s="29" t="n">
        <f aca="false">Sens!G9348-Sens!G9349</f>
        <v>7548.4</v>
      </c>
      <c r="H9350" s="29" t="n">
        <f aca="false">Sens!H9348-Sens!H9349</f>
        <v>10075.6</v>
      </c>
      <c r="I9350" s="29" t="n">
        <f aca="false">Sens!I9348-Sens!I9349</f>
        <v>11868.716</v>
      </c>
      <c r="J9350" s="29" t="n">
        <f aca="false">Sens!J9348-Sens!J9349</f>
        <v>12963.61032</v>
      </c>
      <c r="K9350" s="29" t="n">
        <f aca="false">Sens!K9348-Sens!K9349</f>
        <v>13375.1986296</v>
      </c>
    </row>
    <row r="9351" customFormat="false" ht="17.15" hidden="false" customHeight="false" outlineLevel="0" collapsed="false">
      <c r="A9351" s="1" t="s">
        <v>816</v>
      </c>
      <c r="B9351" s="0" t="s">
        <v>399</v>
      </c>
      <c r="C9351" s="29" t="n">
        <f aca="false">Sens!C9350/ext_sh</f>
        <v>816.666666666667</v>
      </c>
      <c r="D9351" s="29" t="n">
        <f aca="false">Sens!D9350/ext_sh</f>
        <v>2050</v>
      </c>
      <c r="E9351" s="29" t="n">
        <f aca="false">Sens!E9350/ext_sh</f>
        <v>4500</v>
      </c>
      <c r="F9351" s="29" t="n">
        <f aca="false">Sens!F9350/ext_sh</f>
        <v>8368.66666666667</v>
      </c>
      <c r="G9351" s="29" t="n">
        <f aca="false">Sens!G9350/ext_sh</f>
        <v>12580.6666666667</v>
      </c>
      <c r="H9351" s="29" t="n">
        <f aca="false">Sens!H9350/ext_sh</f>
        <v>16792.6666666667</v>
      </c>
      <c r="I9351" s="29" t="n">
        <f aca="false">Sens!I9350/ext_sh</f>
        <v>19781.1933333333</v>
      </c>
      <c r="J9351" s="29" t="n">
        <f aca="false">Sens!J9350/ext_sh</f>
        <v>21606.0172</v>
      </c>
      <c r="K9351" s="29" t="n">
        <f aca="false">Sens!K9350/ext_sh</f>
        <v>22291.997716</v>
      </c>
      <c r="L9351" s="1" t="s">
        <v>817</v>
      </c>
    </row>
    <row r="9352" customFormat="false" ht="17.15" hidden="false" customHeight="false" outlineLevel="0" collapsed="false">
      <c r="A9352" s="1" t="s">
        <v>818</v>
      </c>
      <c r="B9352" s="0" t="s">
        <v>399</v>
      </c>
      <c r="C9352" s="29" t="n">
        <f aca="false">Sens!C9351-Sens!C9350</f>
        <v>326.666666666667</v>
      </c>
      <c r="D9352" s="29" t="n">
        <f aca="false">Sens!D9351-Sens!D9350</f>
        <v>820</v>
      </c>
      <c r="E9352" s="29" t="n">
        <f aca="false">Sens!E9351-Sens!E9350</f>
        <v>1800</v>
      </c>
      <c r="F9352" s="29" t="n">
        <f aca="false">Sens!F9351-Sens!F9350</f>
        <v>3347.46666666667</v>
      </c>
      <c r="G9352" s="29" t="n">
        <f aca="false">Sens!G9351-Sens!G9350</f>
        <v>5032.26666666667</v>
      </c>
      <c r="H9352" s="29" t="n">
        <f aca="false">Sens!H9351-Sens!H9350</f>
        <v>6717.06666666667</v>
      </c>
      <c r="I9352" s="29" t="n">
        <f aca="false">Sens!I9351-Sens!I9350</f>
        <v>7912.47733333333</v>
      </c>
      <c r="J9352" s="29" t="n">
        <f aca="false">Sens!J9351-Sens!J9350</f>
        <v>8642.40688</v>
      </c>
      <c r="K9352" s="29" t="n">
        <f aca="false">Sens!K9351-Sens!K9350</f>
        <v>8916.7990864</v>
      </c>
    </row>
    <row r="9353" customFormat="false" ht="17.15" hidden="false" customHeight="false" outlineLevel="0" collapsed="false">
      <c r="A9353" s="1" t="s">
        <v>819</v>
      </c>
      <c r="B9353" s="0" t="s">
        <v>399</v>
      </c>
      <c r="C9353" s="29" t="n">
        <f aca="false">Sens!C9351</f>
        <v>816.666666666667</v>
      </c>
      <c r="D9353" s="29" t="n">
        <f aca="false">Sens!D9351-Sens!C9351</f>
        <v>1233.33333333333</v>
      </c>
      <c r="E9353" s="29" t="n">
        <f aca="false">Sens!E9351-Sens!D9351</f>
        <v>2450</v>
      </c>
      <c r="F9353" s="29" t="n">
        <f aca="false">Sens!F9351-Sens!E9351</f>
        <v>3868.66666666667</v>
      </c>
      <c r="G9353" s="29" t="n">
        <f aca="false">Sens!G9351-Sens!F9351</f>
        <v>4212</v>
      </c>
      <c r="H9353" s="29" t="n">
        <f aca="false">Sens!H9351-Sens!G9351</f>
        <v>4212</v>
      </c>
      <c r="I9353" s="29" t="n">
        <f aca="false">Sens!I9351-Sens!H9351</f>
        <v>2988.52666666667</v>
      </c>
      <c r="J9353" s="29" t="n">
        <f aca="false">Sens!J9351-Sens!I9351</f>
        <v>1824.82386666667</v>
      </c>
      <c r="K9353" s="29" t="n">
        <f aca="false">Sens!K9351-Sens!J9351</f>
        <v>685.980516</v>
      </c>
    </row>
    <row r="9354" customFormat="false" ht="17.15" hidden="false" customHeight="false" outlineLevel="0" collapsed="false">
      <c r="A9354" s="1" t="s">
        <v>820</v>
      </c>
      <c r="B9354" s="0" t="s">
        <v>399</v>
      </c>
      <c r="D9354" s="29" t="n">
        <f aca="false">Sens!D9348-Sens!C9348</f>
        <v>990</v>
      </c>
      <c r="E9354" s="29" t="n">
        <f aca="false">Sens!E9348-Sens!D9348</f>
        <v>1620</v>
      </c>
      <c r="F9354" s="29" t="n">
        <f aca="false">Sens!F9348-Sens!E9348</f>
        <v>2527.2</v>
      </c>
      <c r="G9354" s="29" t="n">
        <f aca="false">Sens!G9348-Sens!F9348</f>
        <v>2527.2</v>
      </c>
      <c r="H9354" s="29" t="n">
        <f aca="false">Sens!H9348-Sens!G9348</f>
        <v>2527.2</v>
      </c>
      <c r="I9354" s="29" t="n">
        <f aca="false">Sens!I9348-Sens!H9348</f>
        <v>1793.116</v>
      </c>
      <c r="J9354" s="29" t="n">
        <f aca="false">Sens!J9348-Sens!I9348</f>
        <v>1094.89432</v>
      </c>
      <c r="K9354" s="29" t="n">
        <f aca="false">Sens!K9348-Sens!J9348</f>
        <v>411.5883096</v>
      </c>
    </row>
    <row r="9355" customFormat="false" ht="17.15" hidden="false" customHeight="false" outlineLevel="0" collapsed="false">
      <c r="A9355" s="1" t="s">
        <v>821</v>
      </c>
      <c r="B9355" s="0" t="s">
        <v>399</v>
      </c>
      <c r="F9355" s="29" t="n">
        <f aca="false">Sens!F9372*ext_sh</f>
        <v>0</v>
      </c>
      <c r="G9355" s="29" t="n">
        <f aca="false">Sens!G9372*ext_sh</f>
        <v>0</v>
      </c>
      <c r="H9355" s="29" t="n">
        <f aca="false">Sens!H9372*ext_sh</f>
        <v>0</v>
      </c>
      <c r="I9355" s="29" t="n">
        <f aca="false">Sens!I9372*ext_sh</f>
        <v>490</v>
      </c>
      <c r="J9355" s="29" t="n">
        <f aca="false">Sens!J9372*ext_sh</f>
        <v>740</v>
      </c>
      <c r="K9355" s="29" t="n">
        <f aca="false">Sens!K9372*ext_sh</f>
        <v>1470</v>
      </c>
      <c r="L9355" s="1" t="s">
        <v>822</v>
      </c>
    </row>
    <row r="9356" customFormat="false" ht="17.15" hidden="false" customHeight="false" outlineLevel="0" collapsed="false">
      <c r="A9356" s="1" t="s">
        <v>823</v>
      </c>
      <c r="B9356" s="0" t="s">
        <v>399</v>
      </c>
      <c r="C9356" s="29" t="n">
        <f aca="false">mix_h*Sens!C9348</f>
        <v>128</v>
      </c>
      <c r="D9356" s="29" t="n">
        <f aca="false">mix_h*Sens!D9348</f>
        <v>326</v>
      </c>
      <c r="E9356" s="29" t="n">
        <f aca="false">mix_h*Sens!E9348</f>
        <v>650</v>
      </c>
      <c r="F9356" s="29" t="n">
        <f aca="false">Sens!E9356-Sens!F9355*mix_h</f>
        <v>650</v>
      </c>
      <c r="G9356" s="29" t="n">
        <f aca="false">Sens!F9356-Sens!G9355*mix_h</f>
        <v>650</v>
      </c>
      <c r="H9356" s="29" t="n">
        <f aca="false">Sens!G9356-Sens!H9355*mix_h</f>
        <v>650</v>
      </c>
      <c r="I9356" s="29" t="n">
        <f aca="false">Sens!H9356-Sens!I9355*mix_h</f>
        <v>552</v>
      </c>
      <c r="J9356" s="29" t="n">
        <f aca="false">Sens!I9356-Sens!J9355*mix_h</f>
        <v>404</v>
      </c>
      <c r="K9356" s="29" t="n">
        <f aca="false">Sens!J9356-Sens!K9355*mix_h</f>
        <v>110</v>
      </c>
    </row>
    <row r="9357" customFormat="false" ht="17.15" hidden="false" customHeight="false" outlineLevel="0" collapsed="false">
      <c r="A9357" s="1" t="s">
        <v>824</v>
      </c>
      <c r="B9357" s="0" t="s">
        <v>399</v>
      </c>
      <c r="C9357" s="29" t="n">
        <f aca="false">mix_g2*Sens!C9348</f>
        <v>288</v>
      </c>
      <c r="D9357" s="29" t="n">
        <f aca="false">mix_g2*Sens!D9348</f>
        <v>733.5</v>
      </c>
      <c r="E9357" s="29" t="n">
        <f aca="false">mix_g2*Sens!E9348</f>
        <v>1462.5</v>
      </c>
      <c r="F9357" s="29" t="n">
        <f aca="false">Sens!E9357-Sens!F9355*mix_g2</f>
        <v>1462.5</v>
      </c>
      <c r="G9357" s="29" t="n">
        <f aca="false">Sens!F9357-Sens!G9355*mix_g2</f>
        <v>1462.5</v>
      </c>
      <c r="H9357" s="29" t="n">
        <f aca="false">Sens!G9357-Sens!H9355*mix_g2</f>
        <v>1462.5</v>
      </c>
      <c r="I9357" s="29" t="n">
        <f aca="false">Sens!H9357-Sens!I9355*mix_g2</f>
        <v>1242</v>
      </c>
      <c r="J9357" s="29" t="n">
        <f aca="false">Sens!I9357-Sens!J9355*mix_g2</f>
        <v>909</v>
      </c>
      <c r="K9357" s="29" t="n">
        <f aca="false">Sens!J9357-Sens!K9355*mix_g2</f>
        <v>247.5</v>
      </c>
    </row>
    <row r="9358" customFormat="false" ht="17.15" hidden="false" customHeight="false" outlineLevel="0" collapsed="false">
      <c r="A9358" s="1" t="s">
        <v>825</v>
      </c>
      <c r="B9358" s="0" t="s">
        <v>399</v>
      </c>
      <c r="C9358" s="29" t="n">
        <f aca="false">mix_g3*Sens!C9348</f>
        <v>224</v>
      </c>
      <c r="D9358" s="29" t="n">
        <f aca="false">mix_g3*Sens!D9348</f>
        <v>570.5</v>
      </c>
      <c r="E9358" s="29" t="n">
        <f aca="false">mix_g3*Sens!E9348</f>
        <v>1137.5</v>
      </c>
      <c r="F9358" s="29" t="n">
        <f aca="false">Sens!E9358+(Sens!F9354+Sens!F9355)*a_g3_27-Sens!F9355*mix_g3</f>
        <v>2906.54</v>
      </c>
      <c r="G9358" s="29" t="n">
        <f aca="false">Sens!F9358+(Sens!G9354+Sens!G9355)*a_g3_28-Sens!G9355*mix_g3</f>
        <v>3664.7</v>
      </c>
      <c r="H9358" s="29" t="n">
        <f aca="false">Sens!G9358+(Sens!H9354+Sens!H9355)*a_g3_29-Sens!H9355*mix_g3</f>
        <v>3917.42</v>
      </c>
      <c r="I9358" s="29" t="n">
        <f aca="false">Sens!H9358+(Sens!I9354+Sens!I9355)*a_g3_29-Sens!I9355*mix_g3</f>
        <v>3974.2316</v>
      </c>
      <c r="J9358" s="29" t="n">
        <f aca="false">Sens!I9358+(Sens!J9354+Sens!J9355)*a_g3_29-Sens!J9355*mix_g3</f>
        <v>3898.721032</v>
      </c>
      <c r="K9358" s="29" t="n">
        <f aca="false">Sens!J9358+(Sens!K9354+Sens!K9355)*a_g3_29-Sens!K9355*mix_g3</f>
        <v>3572.37986296</v>
      </c>
    </row>
    <row r="9359" customFormat="false" ht="17.15" hidden="false" customHeight="false" outlineLevel="0" collapsed="false">
      <c r="A9359" s="1" t="s">
        <v>826</v>
      </c>
      <c r="B9359" s="0" t="s">
        <v>399</v>
      </c>
      <c r="C9359" s="29" t="n">
        <v>0</v>
      </c>
      <c r="D9359" s="29" t="n">
        <v>0</v>
      </c>
      <c r="E9359" s="29" t="n">
        <v>0</v>
      </c>
      <c r="F9359" s="29" t="n">
        <f aca="false">Sens!E9359+(Sens!F9354+Sens!F9355)*(1-a_g3_27)</f>
        <v>758.16</v>
      </c>
      <c r="G9359" s="29" t="n">
        <f aca="false">Sens!F9359+(Sens!G9354+Sens!G9355)*(1-a_g3_28)</f>
        <v>2527.2</v>
      </c>
      <c r="H9359" s="29" t="n">
        <f aca="false">Sens!G9359+(Sens!H9354+Sens!H9355)*(1-a_g3_29)</f>
        <v>4801.68</v>
      </c>
      <c r="I9359" s="29" t="n">
        <f aca="false">Sens!H9359+(Sens!I9354+Sens!I9355)*(1-a_g3_29)</f>
        <v>6856.4844</v>
      </c>
      <c r="J9359" s="29" t="n">
        <f aca="false">Sens!I9359+(Sens!J9354+Sens!J9355)*(1-a_g3_29)</f>
        <v>8507.889288</v>
      </c>
      <c r="K9359" s="29" t="n">
        <f aca="false">Sens!J9359+(Sens!K9354+Sens!K9355)*(1-a_g3_29)</f>
        <v>10201.31876664</v>
      </c>
    </row>
    <row r="9360" customFormat="false" ht="17.15" hidden="false" customHeight="false" outlineLevel="0" collapsed="false">
      <c r="A9360" s="1" t="s">
        <v>827</v>
      </c>
      <c r="B9360" s="0" t="s">
        <v>346</v>
      </c>
      <c r="C9360" s="14" t="n">
        <f aca="false">(Sens!C9356*tk_hold_h100+Sens!C9357*tk_hold_gb200+Sens!C9358*tk_hold_gb300+Sens!C9359*tk_hold_vr200)/Sens!C9348</f>
        <v>9.7235358126469</v>
      </c>
      <c r="D9360" s="14" t="n">
        <f aca="false">(Sens!D9356*tk_hold_h100+Sens!D9357*tk_hold_gb200+Sens!D9358*tk_hold_gb300+Sens!D9359*tk_hold_vr200)/Sens!D9348</f>
        <v>9.7235358126469</v>
      </c>
      <c r="E9360" s="14" t="n">
        <f aca="false">(Sens!E9356*tk_hold_h100+Sens!E9357*tk_hold_gb200+Sens!E9358*tk_hold_gb300+Sens!E9359*tk_hold_vr200)/Sens!E9348</f>
        <v>9.7235358126469</v>
      </c>
      <c r="F9360" s="14" t="n">
        <f aca="false">(Sens!F9356*tk_hold_h100+Sens!F9357*tk_hold_gb200+Sens!F9358*tk_hold_gb300+Sens!F9359*tk_hold_vr200)/Sens!F9348</f>
        <v>10.4079573161931</v>
      </c>
      <c r="G9360" s="14" t="n">
        <f aca="false">(Sens!G9356*tk_hold_h100+Sens!G9357*tk_hold_gb200+Sens!G9358*tk_hold_gb300+Sens!G9359*tk_hold_vr200)/Sens!G9348</f>
        <v>10.8388131109316</v>
      </c>
      <c r="H9360" s="14" t="n">
        <f aca="false">(Sens!H9356*tk_hold_h100+Sens!H9357*tk_hold_gb200+Sens!H9358*tk_hold_gb300+Sens!H9359*tk_hold_vr200)/Sens!H9348</f>
        <v>11.1311018388216</v>
      </c>
      <c r="I9360" s="14" t="n">
        <f aca="false">(Sens!I9356*tk_hold_h100+Sens!I9357*tk_hold_gb200+Sens!I9358*tk_hold_gb300+Sens!I9359*tk_hold_vr200)/Sens!I9348</f>
        <v>11.3594282560989</v>
      </c>
      <c r="J9360" s="14" t="n">
        <f aca="false">(Sens!J9356*tk_hold_h100+Sens!J9357*tk_hold_gb200+Sens!J9358*tk_hold_gb300+Sens!J9359*tk_hold_vr200)/Sens!J9348</f>
        <v>11.5455817917599</v>
      </c>
      <c r="K9360" s="14" t="n">
        <f aca="false">(Sens!K9356*tk_hold_h100+Sens!K9357*tk_hold_gb200+Sens!K9358*tk_hold_gb300+Sens!K9359*tk_hold_vr200)/Sens!K9348</f>
        <v>11.8078187977246</v>
      </c>
    </row>
    <row r="9361" customFormat="false" ht="17.15" hidden="false" customHeight="false" outlineLevel="0" collapsed="false">
      <c r="A9361" s="0" t="s">
        <v>828</v>
      </c>
      <c r="B9361" s="0" t="s">
        <v>185</v>
      </c>
      <c r="C9361" s="14" t="n">
        <f aca="false">k_B</f>
        <v>1.17213932619116</v>
      </c>
      <c r="D9361" s="14" t="n">
        <f aca="false">k_B</f>
        <v>1.17213932619116</v>
      </c>
      <c r="E9361" s="14" t="n">
        <f aca="false">k_B</f>
        <v>1.17213932619116</v>
      </c>
      <c r="F9361" s="14" t="n">
        <f aca="false">(k_B+((ls_A*k_long+(1-ls_A)*k_spot)-k_B)*MIN(1,(Sens!F9346-base_fy)/k_ramp))</f>
        <v>1.25022828131298</v>
      </c>
      <c r="G9361" s="14" t="n">
        <f aca="false">(k_B+((ls_A*k_long+(1-ls_A)*k_spot)-k_B)*MIN(1,(Sens!G9346-base_fy)/k_ramp))</f>
        <v>1.3283172364348</v>
      </c>
      <c r="H9361" s="14" t="n">
        <f aca="false">(k_B+((ls_A*k_long+(1-ls_A)*k_spot)-k_B)*MIN(1,(Sens!H9346-base_fy)/k_ramp))</f>
        <v>1.40640619155662</v>
      </c>
      <c r="I9361" s="14" t="n">
        <f aca="false">(k_B+((ls_A*k_long+(1-ls_A)*k_spot)-k_B)*MIN(1,(Sens!I9346-base_fy)/k_ramp))</f>
        <v>1.40640619155662</v>
      </c>
      <c r="J9361" s="14" t="n">
        <f aca="false">(k_B+((ls_A*k_long+(1-ls_A)*k_spot)-k_B)*MIN(1,(Sens!J9346-base_fy)/k_ramp))</f>
        <v>1.40640619155662</v>
      </c>
      <c r="K9361" s="14" t="n">
        <f aca="false">(k_B+((ls_A*k_long+(1-ls_A)*k_spot)-k_B)*MIN(1,(Sens!K9346-base_fy)/k_ramp))</f>
        <v>1.40640619155662</v>
      </c>
      <c r="L9361" s="1" t="s">
        <v>829</v>
      </c>
    </row>
    <row r="9362" customFormat="false" ht="17.15" hidden="false" customHeight="false" outlineLevel="0" collapsed="false">
      <c r="A9362" s="1" t="s">
        <v>830</v>
      </c>
      <c r="B9362" s="0" t="s">
        <v>346</v>
      </c>
      <c r="C9362" s="14" t="n">
        <f aca="false">Sens!C9360*Sens!C9361*chip_f</f>
        <v>11.3973387156315</v>
      </c>
      <c r="D9362" s="14" t="n">
        <f aca="false">Sens!D9360*Sens!D9361*chip_f</f>
        <v>11.3973387156315</v>
      </c>
      <c r="E9362" s="14" t="n">
        <f aca="false">Sens!E9360*Sens!E9361*chip_f</f>
        <v>11.3973387156315</v>
      </c>
      <c r="F9362" s="14" t="n">
        <f aca="false">Sens!F9360*Sens!F9361*chip_f</f>
        <v>13.0123225874029</v>
      </c>
      <c r="G9362" s="14" t="n">
        <f aca="false">Sens!G9360*Sens!G9361*chip_f</f>
        <v>14.3973822777458</v>
      </c>
      <c r="H9362" s="14" t="n">
        <f aca="false">Sens!H9360*Sens!H9361*chip_f</f>
        <v>15.6548505449659</v>
      </c>
      <c r="I9362" s="14" t="n">
        <f aca="false">Sens!I9360*Sens!I9361*chip_f</f>
        <v>15.9759702319207</v>
      </c>
      <c r="J9362" s="14" t="n">
        <f aca="false">Sens!J9360*Sens!J9361*chip_f</f>
        <v>16.2377777170545</v>
      </c>
      <c r="K9362" s="14" t="n">
        <f aca="false">Sens!K9360*Sens!K9361*chip_f</f>
        <v>16.6065894658985</v>
      </c>
      <c r="L9362" s="1" t="s">
        <v>831</v>
      </c>
    </row>
    <row r="9363" customFormat="false" ht="17.15" hidden="false" customHeight="false" outlineLevel="0" collapsed="false">
      <c r="A9363" s="0" t="s">
        <v>832</v>
      </c>
      <c r="B9363" s="0" t="s">
        <v>98</v>
      </c>
      <c r="D9363" s="6" t="n">
        <f aca="false">(Sens!C9348+Sens!D9348)/2*Sens!D9362/1000</f>
        <v>12.9359794422418</v>
      </c>
      <c r="E9363" s="6" t="n">
        <f aca="false">(Sens!D9348+Sens!E9348)/2*Sens!E9362/1000</f>
        <v>27.8095064661409</v>
      </c>
      <c r="F9363" s="6" t="n">
        <f aca="false">(Sens!E9348+Sens!F9348)/2*Sens!F9362/1000</f>
        <v>58.7324192305018</v>
      </c>
      <c r="G9363" s="6" t="n">
        <f aca="false">(Sens!F9348+Sens!G9348)/2*Sens!G9362/1000</f>
        <v>101.369089141153</v>
      </c>
      <c r="H9363" s="6" t="n">
        <f aca="false">(Sens!G9348+Sens!H9348)/2*Sens!H9362/1000</f>
        <v>149.785610014234</v>
      </c>
      <c r="I9363" s="6" t="n">
        <f aca="false">(Sens!H9348+Sens!I9348)/2*Sens!I9362/1000</f>
        <v>187.368703083263</v>
      </c>
      <c r="J9363" s="6" t="n">
        <f aca="false">(Sens!I9348+Sens!J9348)/2*Sens!J9362/1000</f>
        <v>213.886657444854</v>
      </c>
      <c r="K9363" s="6" t="n">
        <f aca="false">(Sens!J9348+Sens!K9348)/2*Sens!K9362/1000</f>
        <v>231.253475259589</v>
      </c>
      <c r="L9363" s="11" t="s">
        <v>833</v>
      </c>
    </row>
    <row r="9364" customFormat="false" ht="17.15" hidden="false" customHeight="false" outlineLevel="0" collapsed="false">
      <c r="A9364" s="1" t="s">
        <v>834</v>
      </c>
      <c r="B9364" s="0" t="s">
        <v>346</v>
      </c>
      <c r="C9364" s="14" t="n">
        <f aca="false">(Sens!C9356*tk_opex_h100+Sens!C9357*tk_opex_gb200+Sens!C9358*tk_opex_gb300+Sens!C9359*tk_opex_vr200)/Sens!C9348</f>
        <v>1.88636041306092</v>
      </c>
      <c r="D9364" s="14" t="n">
        <f aca="false">(Sens!D9356*tk_opex_h100+Sens!D9357*tk_opex_gb200+Sens!D9358*tk_opex_gb300+Sens!D9359*tk_opex_vr200)/Sens!D9348</f>
        <v>1.88636041306092</v>
      </c>
      <c r="E9364" s="14" t="n">
        <f aca="false">(Sens!E9356*tk_opex_h100+Sens!E9357*tk_opex_gb200+Sens!E9358*tk_opex_gb300+Sens!E9359*tk_opex_vr200)/Sens!E9348</f>
        <v>1.88636041306092</v>
      </c>
      <c r="F9364" s="14" t="n">
        <f aca="false">(Sens!F9356*tk_opex_h100+Sens!F9357*tk_opex_gb200+Sens!F9358*tk_opex_gb300+Sens!F9359*tk_opex_vr200)/Sens!F9348</f>
        <v>1.9430236476499</v>
      </c>
      <c r="G9364" s="14" t="n">
        <f aca="false">(Sens!G9356*tk_opex_h100+Sens!G9357*tk_opex_gb200+Sens!G9358*tk_opex_gb300+Sens!G9359*tk_opex_vr200)/Sens!G9348</f>
        <v>1.9786941852423</v>
      </c>
      <c r="H9364" s="14" t="n">
        <f aca="false">(Sens!H9356*tk_opex_h100+Sens!H9357*tk_opex_gb200+Sens!H9358*tk_opex_gb300+Sens!H9359*tk_opex_vr200)/Sens!H9348</f>
        <v>2.00289275976156</v>
      </c>
      <c r="I9364" s="14" t="n">
        <f aca="false">(Sens!I9356*tk_opex_h100+Sens!I9357*tk_opex_gb200+Sens!I9358*tk_opex_gb300+Sens!I9359*tk_opex_vr200)/Sens!I9348</f>
        <v>2.02179589661219</v>
      </c>
      <c r="J9364" s="14" t="n">
        <f aca="false">(Sens!J9356*tk_opex_h100+Sens!J9357*tk_opex_gb200+Sens!J9358*tk_opex_gb300+Sens!J9359*tk_opex_vr200)/Sens!J9348</f>
        <v>2.03720754193029</v>
      </c>
      <c r="K9364" s="14" t="n">
        <f aca="false">(Sens!K9356*tk_opex_h100+Sens!K9357*tk_opex_gb200+Sens!K9358*tk_opex_gb300+Sens!K9359*tk_opex_vr200)/Sens!K9348</f>
        <v>2.0589181353437</v>
      </c>
    </row>
    <row r="9365" customFormat="false" ht="17.15" hidden="false" customHeight="false" outlineLevel="0" collapsed="false">
      <c r="A9365" s="0" t="s">
        <v>835</v>
      </c>
      <c r="B9365" s="0" t="s">
        <v>98</v>
      </c>
      <c r="D9365" s="6" t="n">
        <f aca="false">(Sens!C9351+Sens!D9351)/2*Sens!D9364/1000</f>
        <v>2.70378325872065</v>
      </c>
      <c r="E9365" s="6" t="n">
        <f aca="false">(Sens!D9351+Sens!E9351)/2*Sens!E9364/1000</f>
        <v>6.17783035277451</v>
      </c>
      <c r="F9365" s="6" t="n">
        <f aca="false">(Sens!E9351+Sens!F9351)/2*Sens!F9364/1000</f>
        <v>12.5020618235287</v>
      </c>
      <c r="G9365" s="6" t="n">
        <f aca="false">(Sens!F9351+Sens!G9351)/2*Sens!G9364/1000</f>
        <v>20.7261620256847</v>
      </c>
      <c r="H9365" s="6" t="n">
        <f aca="false">(Sens!G9351+Sens!H9351)/2*Sens!H9364/1000</f>
        <v>29.4158183316982</v>
      </c>
      <c r="I9365" s="6" t="n">
        <f aca="false">(Sens!H9351+Sens!I9351)/2*Sens!I9364/1000</f>
        <v>36.9724400356344</v>
      </c>
      <c r="J9365" s="6" t="n">
        <f aca="false">(Sens!I9351+Sens!J9351)/2*Sens!J9364/1000</f>
        <v>42.1571687189816</v>
      </c>
      <c r="K9365" s="6" t="n">
        <f aca="false">(Sens!J9351+Sens!K9351)/2*Sens!K9364/1000</f>
        <v>45.1912095080704</v>
      </c>
    </row>
    <row r="9366" customFormat="false" ht="17.15" hidden="false" customHeight="false" outlineLevel="0" collapsed="false">
      <c r="A9366" s="0" t="s">
        <v>836</v>
      </c>
      <c r="B9366" s="0" t="s">
        <v>98</v>
      </c>
      <c r="D9366" s="6" t="n">
        <f aca="false">(Sens!C9349+Sens!D9349)/2*rent_mw/1000</f>
        <v>2.44475</v>
      </c>
      <c r="E9366" s="6" t="n">
        <f aca="false">(Sens!D9349+Sens!E9349)/2*rent_mw/1000</f>
        <v>4.22275</v>
      </c>
      <c r="F9366" s="6" t="n">
        <f aca="false">(Sens!E9349+Sens!F9349)/2*rent_mw/1000</f>
        <v>5.80517</v>
      </c>
      <c r="G9366" s="6" t="n">
        <f aca="false">(Sens!F9349+Sens!G9349)/2*rent_mw/1000</f>
        <v>6.72084</v>
      </c>
      <c r="H9366" s="6" t="n">
        <f aca="false">(Sens!G9349+Sens!H9349)/2*rent_mw/1000</f>
        <v>6.72084</v>
      </c>
      <c r="I9366" s="6" t="n">
        <f aca="false">(Sens!H9349+Sens!I9349)/2*rent_mw/1000</f>
        <v>6.72084</v>
      </c>
      <c r="J9366" s="6" t="n">
        <f aca="false">(Sens!I9349+Sens!J9349)/2*rent_mw/1000</f>
        <v>6.72084</v>
      </c>
      <c r="K9366" s="6" t="n">
        <f aca="false">(Sens!J9349+Sens!K9349)/2*rent_mw/1000</f>
        <v>6.72084</v>
      </c>
    </row>
    <row r="9367" customFormat="false" ht="17.15" hidden="false" customHeight="false" outlineLevel="0" collapsed="false">
      <c r="A9367" s="0" t="s">
        <v>837</v>
      </c>
      <c r="B9367" s="0" t="s">
        <v>98</v>
      </c>
      <c r="D9367" s="6" t="n">
        <f aca="false">(Sens!C9351+Sens!D9351)/2*(1-self_build)*fac_rent/1000</f>
        <v>0.853242375631075</v>
      </c>
      <c r="E9367" s="6" t="n">
        <f aca="false">(Sens!D9351+Sens!E9351)/2*(1-self_build)*fac_rent/1000</f>
        <v>1.94955961408728</v>
      </c>
      <c r="F9367" s="6" t="n">
        <f aca="false">(Sens!E9351+Sens!F9351)/2*(1-self_build)*fac_rent/1000</f>
        <v>3.83026455274573</v>
      </c>
      <c r="G9367" s="6" t="n">
        <f aca="false">(Sens!F9351+Sens!G9351)/2*(1-self_build)*fac_rent/1000</f>
        <v>6.23541590972812</v>
      </c>
      <c r="H9367" s="6" t="n">
        <f aca="false">(Sens!G9351+Sens!H9351)/2*(1-self_build)*fac_rent/1000</f>
        <v>8.74275792332679</v>
      </c>
      <c r="I9367" s="6" t="n">
        <f aca="false">(Sens!H9351+Sens!I9351)/2*(1-self_build)*fac_rent/1000</f>
        <v>10.8859420438599</v>
      </c>
      <c r="J9367" s="6" t="n">
        <f aca="false">(Sens!I9351+Sens!J9351)/2*(1-self_build)*fac_rent/1000</f>
        <v>12.3186006405366</v>
      </c>
      <c r="K9367" s="6" t="n">
        <f aca="false">(Sens!J9351+Sens!K9351)/2*(1-self_build)*fac_rent/1000</f>
        <v>13.0659232089824</v>
      </c>
      <c r="L9367" s="11" t="s">
        <v>838</v>
      </c>
    </row>
    <row r="9368" customFormat="false" ht="17.15" hidden="false" customHeight="false" outlineLevel="0" collapsed="false">
      <c r="A9368" s="1" t="s">
        <v>839</v>
      </c>
      <c r="B9368" s="0" t="s">
        <v>129</v>
      </c>
      <c r="D9368" s="7" t="n">
        <f aca="false">(Sens!C9350+Sens!D9350)/(Sens!C9351+Sens!D9351)</f>
        <v>0.6</v>
      </c>
      <c r="E9368" s="7" t="n">
        <f aca="false">(Sens!D9350+Sens!E9350)/(Sens!D9351+Sens!E9351)</f>
        <v>0.6</v>
      </c>
      <c r="F9368" s="7" t="n">
        <f aca="false">(Sens!E9350+Sens!F9350)/(Sens!E9351+Sens!F9351)</f>
        <v>0.6</v>
      </c>
      <c r="G9368" s="7" t="n">
        <f aca="false">(Sens!F9350+Sens!G9350)/(Sens!F9351+Sens!G9351)</f>
        <v>0.6</v>
      </c>
      <c r="H9368" s="7" t="n">
        <f aca="false">(Sens!G9350+Sens!H9350)/(Sens!G9351+Sens!H9351)</f>
        <v>0.6</v>
      </c>
      <c r="I9368" s="7" t="n">
        <f aca="false">(Sens!H9350+Sens!I9350)/(Sens!H9351+Sens!I9351)</f>
        <v>0.6</v>
      </c>
      <c r="J9368" s="7" t="n">
        <f aca="false">(Sens!I9350+Sens!J9350)/(Sens!I9351+Sens!J9351)</f>
        <v>0.6</v>
      </c>
      <c r="K9368" s="7" t="n">
        <f aca="false">(Sens!J9350+Sens!K9350)/(Sens!J9351+Sens!K9351)</f>
        <v>0.6</v>
      </c>
    </row>
    <row r="9369" customFormat="false" ht="17.15" hidden="false" customHeight="false" outlineLevel="0" collapsed="false">
      <c r="A9369" s="0" t="s">
        <v>840</v>
      </c>
      <c r="B9369" s="0" t="s">
        <v>98</v>
      </c>
      <c r="D9369" s="6" t="n">
        <f aca="false">Sens!D9363-Sens!D9368*(Sens!D9365+Sens!D9367)-Sens!D9366</f>
        <v>8.35701406163072</v>
      </c>
      <c r="E9369" s="6" t="n">
        <f aca="false">Sens!E9363-Sens!E9368*(Sens!E9365+Sens!E9367)-Sens!E9366</f>
        <v>18.7103224860238</v>
      </c>
      <c r="F9369" s="6" t="n">
        <f aca="false">Sens!F9363-Sens!F9368*(Sens!F9365+Sens!F9367)-Sens!F9366</f>
        <v>43.1278534047371</v>
      </c>
      <c r="G9369" s="6" t="n">
        <f aca="false">Sens!G9363-Sens!G9368*(Sens!G9365+Sens!G9367)-Sens!G9366</f>
        <v>78.4713023799053</v>
      </c>
      <c r="H9369" s="6" t="n">
        <f aca="false">Sens!H9363-Sens!H9368*(Sens!H9365+Sens!H9367)-Sens!H9366</f>
        <v>120.169624261219</v>
      </c>
      <c r="I9369" s="6" t="n">
        <f aca="false">Sens!I9363-Sens!I9368*(Sens!I9365+Sens!I9367)-Sens!I9366</f>
        <v>151.932833835566</v>
      </c>
      <c r="J9369" s="6" t="n">
        <f aca="false">Sens!J9363-Sens!J9368*(Sens!J9365+Sens!J9367)-Sens!J9366</f>
        <v>174.480355829143</v>
      </c>
      <c r="K9369" s="6" t="n">
        <f aca="false">Sens!K9363-Sens!K9368*(Sens!K9365+Sens!K9367)-Sens!K9366</f>
        <v>189.578355629358</v>
      </c>
    </row>
    <row r="9370" customFormat="false" ht="17.15" hidden="false" customHeight="false" outlineLevel="0" collapsed="false">
      <c r="A9370" s="1" t="s">
        <v>841</v>
      </c>
      <c r="B9370" s="0" t="s">
        <v>98</v>
      </c>
      <c r="D9370" s="6" t="n">
        <f aca="false">(1-Sens!D9368)*(Sens!D9365+Sens!D9367)</f>
        <v>1.42281025374069</v>
      </c>
      <c r="E9370" s="6" t="n">
        <f aca="false">(1-Sens!E9368)*(Sens!E9365+Sens!E9367)</f>
        <v>3.25095598674472</v>
      </c>
      <c r="F9370" s="6" t="n">
        <f aca="false">(1-Sens!F9368)*(Sens!F9365+Sens!F9367)</f>
        <v>6.53293055050977</v>
      </c>
      <c r="G9370" s="6" t="n">
        <f aca="false">(1-Sens!G9368)*(Sens!G9365+Sens!G9367)</f>
        <v>10.7846311741651</v>
      </c>
      <c r="H9370" s="6" t="n">
        <f aca="false">(1-Sens!H9368)*(Sens!H9365+Sens!H9367)</f>
        <v>15.26343050201</v>
      </c>
      <c r="I9370" s="6" t="n">
        <f aca="false">(1-Sens!I9368)*(Sens!I9365+Sens!I9367)</f>
        <v>19.1433528317977</v>
      </c>
      <c r="J9370" s="6" t="n">
        <f aca="false">(1-Sens!J9368)*(Sens!J9365+Sens!J9367)</f>
        <v>21.7903077438073</v>
      </c>
      <c r="K9370" s="6" t="n">
        <f aca="false">(1-Sens!K9368)*(Sens!K9365+Sens!K9367)</f>
        <v>23.3028530868211</v>
      </c>
    </row>
    <row r="9371" customFormat="false" ht="17.15" hidden="false" customHeight="false" outlineLevel="0" collapsed="false">
      <c r="A9371" s="1" t="s">
        <v>842</v>
      </c>
      <c r="B9371" s="0" t="s">
        <v>357</v>
      </c>
      <c r="C9371" s="8" t="n">
        <f aca="false">cxit_open</f>
        <v>27.5918995</v>
      </c>
      <c r="D9371" s="8" t="n">
        <f aca="false">cxit_open</f>
        <v>27.5918995</v>
      </c>
      <c r="E9371" s="8" t="n">
        <f aca="false">cxit_open</f>
        <v>27.5918995</v>
      </c>
      <c r="F9371" s="8" t="n">
        <f aca="false">(a_g3_27*tk_cxit_gb300+(1-a_g3_27)*tk_cxit_vr200)</f>
        <v>33.8419624</v>
      </c>
      <c r="G9371" s="8" t="n">
        <f aca="false">(a_g3_28*tk_cxit_gb300+(1-a_g3_28)*tk_cxit_vr200)</f>
        <v>35.9816136</v>
      </c>
      <c r="H9371" s="8" t="n">
        <f aca="false">(a_g3_29*tk_cxit_gb300+(1-a_g3_29)*tk_cxit_vr200)</f>
        <v>37.0514392</v>
      </c>
      <c r="I9371" s="8" t="n">
        <f aca="false">(a_g3_29*tk_cxit_gb300+(1-a_g3_29)*tk_cxit_vr200)</f>
        <v>37.0514392</v>
      </c>
      <c r="J9371" s="8" t="n">
        <f aca="false">(a_g3_29*tk_cxit_gb300+(1-a_g3_29)*tk_cxit_vr200)</f>
        <v>37.0514392</v>
      </c>
      <c r="K9371" s="8" t="n">
        <f aca="false">(a_g3_29*tk_cxit_gb300+(1-a_g3_29)*tk_cxit_vr200)</f>
        <v>37.0514392</v>
      </c>
      <c r="L9371" s="11" t="s">
        <v>843</v>
      </c>
    </row>
    <row r="9372" customFormat="false" ht="17.15" hidden="false" customHeight="false" outlineLevel="0" collapsed="false">
      <c r="A9372" s="0" t="s">
        <v>844</v>
      </c>
      <c r="B9372" s="0" t="s">
        <v>399</v>
      </c>
      <c r="F9372" s="29" t="n">
        <f aca="false">Sens!C9353*IF(Sens!F9346-Sens!C9346=life_it,1,0)+Sens!D9353*IF(Sens!F9346-Sens!D9346=life_it,1,0)+Sens!E9353*IF(Sens!F9346-Sens!E9346=life_it,1,0)</f>
        <v>0</v>
      </c>
      <c r="G9372" s="29" t="n">
        <f aca="false">Sens!C9353*IF(Sens!G9346-Sens!C9346=life_it,1,0)+Sens!D9353*IF(Sens!G9346-Sens!D9346=life_it,1,0)+Sens!E9353*IF(Sens!G9346-Sens!E9346=life_it,1,0)+Sens!F9353*IF(Sens!G9346-Sens!F9346=life_it,1,0)</f>
        <v>0</v>
      </c>
      <c r="H9372" s="29" t="n">
        <f aca="false">Sens!C9353*IF(Sens!H9346-Sens!C9346=life_it,1,0)+Sens!D9353*IF(Sens!H9346-Sens!D9346=life_it,1,0)+Sens!E9353*IF(Sens!H9346-Sens!E9346=life_it,1,0)+Sens!F9353*IF(Sens!H9346-Sens!F9346=life_it,1,0)+Sens!G9353*IF(Sens!H9346-Sens!G9346=life_it,1,0)</f>
        <v>0</v>
      </c>
      <c r="I9372" s="29" t="n">
        <f aca="false">Sens!C9353*IF(Sens!I9346-Sens!C9346=life_it,1,0)+Sens!D9353*IF(Sens!I9346-Sens!D9346=life_it,1,0)+Sens!E9353*IF(Sens!I9346-Sens!E9346=life_it,1,0)+Sens!F9353*IF(Sens!I9346-Sens!F9346=life_it,1,0)+Sens!G9353*IF(Sens!I9346-Sens!G9346=life_it,1,0)+Sens!H9353*IF(Sens!I9346-Sens!H9346=life_it,1,0)</f>
        <v>816.666666666667</v>
      </c>
      <c r="J9372" s="29" t="n">
        <f aca="false">Sens!C9353*IF(Sens!J9346-Sens!C9346=life_it,1,0)+Sens!D9353*IF(Sens!J9346-Sens!D9346=life_it,1,0)+Sens!E9353*IF(Sens!J9346-Sens!E9346=life_it,1,0)+Sens!F9353*IF(Sens!J9346-Sens!F9346=life_it,1,0)+Sens!G9353*IF(Sens!J9346-Sens!G9346=life_it,1,0)+Sens!H9353*IF(Sens!J9346-Sens!H9346=life_it,1,0)+Sens!I9353*IF(Sens!J9346-Sens!I9346=life_it,1,0)</f>
        <v>1233.33333333333</v>
      </c>
      <c r="K9372" s="29" t="n">
        <f aca="false">Sens!C9353*IF(Sens!K9346-Sens!C9346=life_it,1,0)+Sens!D9353*IF(Sens!K9346-Sens!D9346=life_it,1,0)+Sens!E9353*IF(Sens!K9346-Sens!E9346=life_it,1,0)+Sens!F9353*IF(Sens!K9346-Sens!F9346=life_it,1,0)+Sens!G9353*IF(Sens!K9346-Sens!G9346=life_it,1,0)+Sens!H9353*IF(Sens!K9346-Sens!H9346=life_it,1,0)+Sens!I9353*IF(Sens!K9346-Sens!I9346=life_it,1,0)+Sens!J9353*IF(Sens!K9346-Sens!J9346=life_it,1,0)</f>
        <v>2450</v>
      </c>
      <c r="L9372" s="1" t="s">
        <v>845</v>
      </c>
    </row>
    <row r="9373" customFormat="false" ht="17.15" hidden="false" customHeight="false" outlineLevel="0" collapsed="false">
      <c r="A9373" s="0" t="s">
        <v>846</v>
      </c>
      <c r="B9373" s="0" t="s">
        <v>98</v>
      </c>
      <c r="C9373" s="6" t="n">
        <f aca="false">Sens!C9353*Sens!C9371/1000</f>
        <v>22.5333845916667</v>
      </c>
      <c r="D9373" s="6" t="n">
        <f aca="false">Sens!D9353*Sens!D9371/1000</f>
        <v>34.0300093833333</v>
      </c>
      <c r="E9373" s="6" t="n">
        <f aca="false">Sens!E9353*Sens!E9371/1000</f>
        <v>67.600153775</v>
      </c>
      <c r="F9373" s="6" t="n">
        <f aca="false">(Sens!F9353+Sens!F9372)*Sens!F9371/1000</f>
        <v>130.923271871467</v>
      </c>
      <c r="G9373" s="6" t="n">
        <f aca="false">(Sens!G9353+Sens!G9372)*Sens!G9371/1000</f>
        <v>151.5545564832</v>
      </c>
      <c r="H9373" s="6" t="n">
        <f aca="false">(Sens!H9353+Sens!H9372)*Sens!H9371/1000</f>
        <v>156.0606619104</v>
      </c>
      <c r="I9373" s="6" t="n">
        <f aca="false">(Sens!I9353+Sens!I9372)*Sens!I9371/1000</f>
        <v>140.987889434245</v>
      </c>
      <c r="J9373" s="6" t="n">
        <f aca="false">(Sens!J9353+Sens!J9372)*Sens!J9371/1000</f>
        <v>113.309125559842</v>
      </c>
      <c r="K9373" s="6" t="n">
        <f aca="false">(Sens!K9353+Sens!K9372)*Sens!K9371/1000</f>
        <v>116.192591420959</v>
      </c>
    </row>
    <row r="9374" customFormat="false" ht="17.15" hidden="false" customHeight="false" outlineLevel="0" collapsed="false">
      <c r="A9374" s="0" t="s">
        <v>847</v>
      </c>
      <c r="B9374" s="0" t="s">
        <v>98</v>
      </c>
      <c r="C9374" s="6" t="n">
        <f aca="false">Sens!C9353*self_build*tk_cxfac/1000</f>
        <v>6.2083</v>
      </c>
      <c r="D9374" s="6" t="n">
        <f aca="false">Sens!D9353*self_build*tk_cxfac/1000</f>
        <v>9.3758</v>
      </c>
      <c r="E9374" s="6" t="n">
        <f aca="false">Sens!E9353*self_build*tk_cxfac/1000</f>
        <v>18.6249</v>
      </c>
      <c r="F9374" s="6" t="n">
        <f aca="false">Sens!F9353*self_build*tk_cxfac/1000</f>
        <v>29.409604</v>
      </c>
      <c r="G9374" s="6" t="n">
        <f aca="false">Sens!G9353*self_build*tk_cxfac/1000</f>
        <v>32.019624</v>
      </c>
      <c r="H9374" s="6" t="n">
        <f aca="false">Sens!H9353*self_build*tk_cxfac/1000</f>
        <v>32.019624</v>
      </c>
      <c r="I9374" s="6" t="n">
        <f aca="false">Sens!I9353*self_build*tk_cxfac/1000</f>
        <v>22.71877972</v>
      </c>
      <c r="J9374" s="6" t="n">
        <f aca="false">Sens!J9353*self_build*tk_cxfac/1000</f>
        <v>13.8723110344</v>
      </c>
      <c r="K9374" s="6" t="n">
        <f aca="false">Sens!K9353*self_build*tk_cxfac/1000</f>
        <v>5.214823882632</v>
      </c>
    </row>
    <row r="9375" customFormat="false" ht="17.15" hidden="false" customHeight="false" outlineLevel="0" collapsed="false">
      <c r="A9375" s="0" t="s">
        <v>848</v>
      </c>
      <c r="B9375" s="0" t="s">
        <v>98</v>
      </c>
      <c r="F9375" s="6" t="n">
        <f aca="false">MAX(0,capex_floor27-Sens!F9373-Sens!F9374-Sens!F9469)</f>
        <v>8.12784289897089</v>
      </c>
    </row>
    <row r="9376" customFormat="false" ht="17.15" hidden="false" customHeight="false" outlineLevel="0" collapsed="false">
      <c r="A9376" s="0" t="s">
        <v>849</v>
      </c>
      <c r="B9376" s="0" t="s">
        <v>98</v>
      </c>
      <c r="C9376" s="6" t="n">
        <f aca="false">Sens!C9373</f>
        <v>22.5333845916667</v>
      </c>
      <c r="D9376" s="6" t="n">
        <f aca="false">Sens!D9373</f>
        <v>34.0300093833333</v>
      </c>
      <c r="E9376" s="6" t="n">
        <f aca="false">Sens!E9373</f>
        <v>67.600153775</v>
      </c>
      <c r="F9376" s="6" t="n">
        <f aca="false">Sens!F9373</f>
        <v>130.923271871467</v>
      </c>
      <c r="G9376" s="6" t="n">
        <f aca="false">Sens!G9373</f>
        <v>151.5545564832</v>
      </c>
      <c r="H9376" s="6" t="n">
        <f aca="false">Sens!H9373</f>
        <v>156.0606619104</v>
      </c>
      <c r="I9376" s="6" t="n">
        <f aca="false">Sens!I9373</f>
        <v>140.987889434245</v>
      </c>
      <c r="J9376" s="6" t="n">
        <f aca="false">Sens!J9373</f>
        <v>113.309125559842</v>
      </c>
      <c r="K9376" s="6" t="n">
        <f aca="false">Sens!K9373</f>
        <v>116.192591420959</v>
      </c>
    </row>
    <row r="9377" customFormat="false" ht="17.15" hidden="false" customHeight="false" outlineLevel="0" collapsed="false">
      <c r="A9377" s="0" t="s">
        <v>850</v>
      </c>
      <c r="B9377" s="0" t="s">
        <v>98</v>
      </c>
      <c r="C9377" s="6" t="n">
        <f aca="false">Sens!C9376+Sens!C9374</f>
        <v>28.7416845916667</v>
      </c>
      <c r="D9377" s="6" t="n">
        <f aca="false">Sens!D9376+Sens!D9374</f>
        <v>43.4058093833333</v>
      </c>
      <c r="E9377" s="6" t="n">
        <f aca="false">Sens!E9376+Sens!E9374</f>
        <v>86.225053775</v>
      </c>
      <c r="F9377" s="6" t="n">
        <f aca="false">Sens!F9376+Sens!F9374</f>
        <v>160.332875871467</v>
      </c>
      <c r="G9377" s="6" t="n">
        <f aca="false">Sens!G9376+Sens!G9374</f>
        <v>183.5741804832</v>
      </c>
      <c r="H9377" s="6" t="n">
        <f aca="false">Sens!H9376+Sens!H9374</f>
        <v>188.0802859104</v>
      </c>
      <c r="I9377" s="6" t="n">
        <f aca="false">Sens!I9376+Sens!I9374</f>
        <v>163.706669154245</v>
      </c>
      <c r="J9377" s="6" t="n">
        <f aca="false">Sens!J9376+Sens!J9374</f>
        <v>127.181436594242</v>
      </c>
      <c r="K9377" s="6" t="n">
        <f aca="false">Sens!K9376+Sens!K9374</f>
        <v>121.407415303591</v>
      </c>
      <c r="L9377" s="11" t="s">
        <v>851</v>
      </c>
    </row>
    <row r="9378" customFormat="false" ht="17.15" hidden="false" customHeight="false" outlineLevel="0" collapsed="false">
      <c r="A9378" s="0" t="s">
        <v>852</v>
      </c>
      <c r="B9378" s="0" t="s">
        <v>98</v>
      </c>
      <c r="E9378" s="6" t="n">
        <f aca="false">(Sens!C9376*IF(2&lt;life_it,1,IF(2=life_it,0.5,0))+Sens!D9376*IF(1&lt;life_it,1,IF(1=life_it,0.5,0))+Sens!E9376*0.5)/life_it</f>
        <v>15.0605784770833</v>
      </c>
      <c r="F9378" s="6" t="n">
        <f aca="false">(Sens!C9376*IF(3&lt;life_it,1,IF(3=life_it,0.5,0))+Sens!D9376*IF(2&lt;life_it,1,IF(2=life_it,0.5,0))+Sens!E9376*IF(1&lt;life_it,1,IF(1=life_it,0.5,0))+Sens!F9376*0.5)/life_it</f>
        <v>31.6041972809556</v>
      </c>
      <c r="G9378" s="6" t="n">
        <f aca="false">(Sens!C9376*IF(4&lt;life_it,1,IF(4=life_it,0.5,0))+Sens!D9376*IF(3&lt;life_it,1,IF(3=life_it,0.5,0))+Sens!E9376*IF(2&lt;life_it,1,IF(2=life_it,0.5,0))+Sens!F9376*IF(1&lt;life_it,1,IF(1=life_it,0.5,0))+Sens!G9376*0.5)/life_it</f>
        <v>55.1440163105111</v>
      </c>
      <c r="H9378" s="6" t="n">
        <f aca="false">(Sens!C9376*IF(5&lt;life_it,1,IF(5=life_it,0.5,0))+Sens!D9376*IF(4&lt;life_it,1,IF(4=life_it,0.5,0))+Sens!E9376*IF(3&lt;life_it,1,IF(3=life_it,0.5,0))+Sens!F9376*IF(2&lt;life_it,1,IF(2=life_it,0.5,0))+Sens!G9376*IF(1&lt;life_it,1,IF(1=life_it,0.5,0))+Sens!H9376*0.5)/life_it</f>
        <v>80.7786178433111</v>
      </c>
      <c r="I9378" s="6" t="n">
        <f aca="false">(Sens!C9376*IF(6&lt;life_it,1,IF(6=life_it,0.5,0))+Sens!D9376*IF(5&lt;life_it,1,IF(5=life_it,0.5,0))+Sens!E9376*IF(4&lt;life_it,1,IF(4=life_it,0.5,0))+Sens!F9376*IF(3&lt;life_it,1,IF(3=life_it,0.5,0))+Sens!G9376*IF(2&lt;life_it,1,IF(2=life_it,0.5,0))+Sens!H9376*IF(1&lt;life_it,1,IF(1=life_it,0.5,0))+Sens!I9376*0.5)/life_it</f>
        <v>103.654881739393</v>
      </c>
      <c r="J9378" s="6" t="n">
        <f aca="false">(Sens!C9376*IF(7&lt;life_it,1,IF(7=life_it,0.5,0))+Sens!D9376*IF(6&lt;life_it,1,IF(6=life_it,0.5,0))+Sens!E9376*IF(5&lt;life_it,1,IF(5=life_it,0.5,0))+Sens!F9376*IF(4&lt;life_it,1,IF(4=life_it,0.5,0))+Sens!G9376*IF(3&lt;life_it,1,IF(3=life_it,0.5,0))+Sens!H9376*IF(2&lt;life_it,1,IF(2=life_it,0.5,0))+Sens!I9376*IF(1&lt;life_it,1,IF(1=life_it,0.5,0))+Sens!J9376*0.5)/life_it</f>
        <v>120.132683490983</v>
      </c>
      <c r="K9378" s="6" t="n">
        <f aca="false">(Sens!C9376*IF(8&lt;life_it,1,IF(8=life_it,0.5,0))+Sens!D9376*IF(7&lt;life_it,1,IF(7=life_it,0.5,0))+Sens!E9376*IF(6&lt;life_it,1,IF(6=life_it,0.5,0))+Sens!F9376*IF(5&lt;life_it,1,IF(5=life_it,0.5,0))+Sens!G9376*IF(4&lt;life_it,1,IF(4=life_it,0.5,0))+Sens!H9376*IF(3&lt;life_it,1,IF(3=life_it,0.5,0))+Sens!I9376*IF(2&lt;life_it,1,IF(2=life_it,0.5,0))+Sens!J9376*IF(1&lt;life_it,1,IF(1=life_it,0.5,0))+Sens!K9376*0.5)/life_it</f>
        <v>130.788646309522</v>
      </c>
    </row>
    <row r="9379" customFormat="false" ht="17.15" hidden="false" customHeight="false" outlineLevel="0" collapsed="false">
      <c r="A9379" s="0" t="s">
        <v>853</v>
      </c>
      <c r="B9379" s="0" t="s">
        <v>98</v>
      </c>
      <c r="E9379" s="6" t="n">
        <f aca="false">(Sens!C9374*IF(2&lt;life_fac,1,IF(2=life_fac,0.5,0))+Sens!D9374*IF(1&lt;life_fac,1,IF(1=life_fac,0.5,0))+Sens!E9374*0.5)/life_fac</f>
        <v>1.2448275</v>
      </c>
      <c r="F9379" s="6" t="n">
        <f aca="false">(Sens!C9374*IF(3&lt;life_fac,1,IF(3=life_fac,0.5,0))+Sens!D9374*IF(2&lt;life_fac,1,IF(2=life_fac,0.5,0))+Sens!E9374*IF(1&lt;life_fac,1,IF(1=life_fac,0.5,0))+Sens!F9374*0.5)/life_fac</f>
        <v>2.4456901</v>
      </c>
      <c r="G9379" s="6" t="n">
        <f aca="false">(Sens!C9374*IF(4&lt;life_fac,1,IF(4=life_fac,0.5,0))+Sens!D9374*IF(3&lt;life_fac,1,IF(3=life_fac,0.5,0))+Sens!E9374*IF(2&lt;life_fac,1,IF(2=life_fac,0.5,0))+Sens!F9374*IF(1&lt;life_fac,1,IF(1=life_fac,0.5,0))+Sens!G9374*0.5)/life_fac</f>
        <v>3.9814208</v>
      </c>
      <c r="H9379" s="6" t="n">
        <f aca="false">(Sens!C9374*IF(5&lt;life_fac,1,IF(5=life_fac,0.5,0))+Sens!D9374*IF(4&lt;life_fac,1,IF(4=life_fac,0.5,0))+Sens!E9374*IF(3&lt;life_fac,1,IF(3=life_fac,0.5,0))+Sens!F9374*IF(2&lt;life_fac,1,IF(2=life_fac,0.5,0))+Sens!G9374*IF(1&lt;life_fac,1,IF(1=life_fac,0.5,0))+Sens!H9374*0.5)/life_fac</f>
        <v>5.582402</v>
      </c>
      <c r="I9379" s="6" t="n">
        <f aca="false">(Sens!C9374*IF(6&lt;life_fac,1,IF(6=life_fac,0.5,0))+Sens!D9374*IF(5&lt;life_fac,1,IF(5=life_fac,0.5,0))+Sens!E9374*IF(4&lt;life_fac,1,IF(4=life_fac,0.5,0))+Sens!F9374*IF(3&lt;life_fac,1,IF(3=life_fac,0.5,0))+Sens!G9374*IF(2&lt;life_fac,1,IF(2=life_fac,0.5,0))+Sens!H9374*IF(1&lt;life_fac,1,IF(1=life_fac,0.5,0))+Sens!I9374*0.5)/life_fac</f>
        <v>6.950862093</v>
      </c>
      <c r="J9379" s="6" t="n">
        <f aca="false">(Sens!C9374*IF(7&lt;life_fac,1,IF(7=life_fac,0.5,0))+Sens!D9374*IF(6&lt;life_fac,1,IF(6=life_fac,0.5,0))+Sens!E9374*IF(5&lt;life_fac,1,IF(5=life_fac,0.5,0))+Sens!F9374*IF(4&lt;life_fac,1,IF(4=life_fac,0.5,0))+Sens!G9374*IF(3&lt;life_fac,1,IF(3=life_fac,0.5,0))+Sens!H9374*IF(2&lt;life_fac,1,IF(2=life_fac,0.5,0))+Sens!I9374*IF(1&lt;life_fac,1,IF(1=life_fac,0.5,0))+Sens!J9374*0.5)/life_fac</f>
        <v>7.86563936186</v>
      </c>
      <c r="K9379" s="6" t="n">
        <f aca="false">(Sens!C9374*IF(8&lt;life_fac,1,IF(8=life_fac,0.5,0))+Sens!D9374*IF(7&lt;life_fac,1,IF(7=life_fac,0.5,0))+Sens!E9374*IF(6&lt;life_fac,1,IF(6=life_fac,0.5,0))+Sens!F9374*IF(5&lt;life_fac,1,IF(5=life_fac,0.5,0))+Sens!G9374*IF(4&lt;life_fac,1,IF(4=life_fac,0.5,0))+Sens!H9374*IF(3&lt;life_fac,1,IF(3=life_fac,0.5,0))+Sens!I9374*IF(2&lt;life_fac,1,IF(2=life_fac,0.5,0))+Sens!J9374*IF(1&lt;life_fac,1,IF(1=life_fac,0.5,0))+Sens!K9374*0.5)/life_fac</f>
        <v>8.3428177347858</v>
      </c>
    </row>
    <row r="9380" customFormat="false" ht="17.15" hidden="false" customHeight="false" outlineLevel="0" collapsed="false">
      <c r="A9380" s="0" t="s">
        <v>854</v>
      </c>
      <c r="B9380" s="0" t="s">
        <v>98</v>
      </c>
      <c r="E9380" s="6" t="n">
        <f aca="false">Sens!E9378+Sens!E9379</f>
        <v>16.3054059770833</v>
      </c>
      <c r="F9380" s="6" t="n">
        <f aca="false">Sens!F9378+Sens!F9379</f>
        <v>34.0498873809555</v>
      </c>
      <c r="G9380" s="6" t="n">
        <f aca="false">Sens!G9378+Sens!G9379</f>
        <v>59.1254371105111</v>
      </c>
      <c r="H9380" s="6" t="n">
        <f aca="false">Sens!H9378+Sens!H9379</f>
        <v>86.3610198433111</v>
      </c>
      <c r="I9380" s="6" t="n">
        <f aca="false">Sens!I9378+Sens!I9379</f>
        <v>110.605743832393</v>
      </c>
      <c r="J9380" s="6" t="n">
        <f aca="false">Sens!J9378+Sens!J9379</f>
        <v>127.998322852843</v>
      </c>
      <c r="K9380" s="6" t="n">
        <f aca="false">Sens!K9378+Sens!K9379</f>
        <v>139.131464044308</v>
      </c>
    </row>
    <row r="9381" customFormat="false" ht="17.15" hidden="false" customHeight="false" outlineLevel="0" collapsed="false">
      <c r="A9381" s="0" t="s">
        <v>855</v>
      </c>
      <c r="B9381" s="0" t="s">
        <v>98</v>
      </c>
      <c r="E9381" s="6" t="n">
        <f aca="false">Sens!E9369-Sens!E9368*Sens!E9380</f>
        <v>8.92707889977379</v>
      </c>
      <c r="F9381" s="6" t="n">
        <f aca="false">Sens!F9369-Sens!F9368*Sens!F9380</f>
        <v>22.6979209761638</v>
      </c>
      <c r="G9381" s="6" t="n">
        <f aca="false">Sens!G9369-Sens!G9368*Sens!G9380</f>
        <v>42.9960401135986</v>
      </c>
      <c r="H9381" s="6" t="n">
        <f aca="false">Sens!H9369-Sens!H9368*Sens!H9380</f>
        <v>68.3530123552322</v>
      </c>
      <c r="I9381" s="6" t="n">
        <f aca="false">Sens!I9369-Sens!I9368*Sens!I9380</f>
        <v>85.5693875361303</v>
      </c>
      <c r="J9381" s="6" t="n">
        <f aca="false">Sens!J9369-Sens!J9368*Sens!J9380</f>
        <v>97.6813621174372</v>
      </c>
      <c r="K9381" s="6" t="n">
        <f aca="false">Sens!K9369-Sens!K9368*Sens!K9380</f>
        <v>106.099477202773</v>
      </c>
    </row>
    <row r="9382" customFormat="false" ht="17.15" hidden="false" customHeight="false" outlineLevel="0" collapsed="false">
      <c r="A9382" s="3" t="s">
        <v>1503</v>
      </c>
    </row>
    <row r="9383" customFormat="false" ht="15" hidden="false" customHeight="false" outlineLevel="0" collapsed="false">
      <c r="A9383" s="4" t="s">
        <v>43</v>
      </c>
      <c r="B9383" s="4" t="s">
        <v>65</v>
      </c>
      <c r="C9383" s="20" t="s">
        <v>799</v>
      </c>
      <c r="D9383" s="20" t="s">
        <v>800</v>
      </c>
      <c r="E9383" s="20" t="s">
        <v>801</v>
      </c>
      <c r="F9383" s="20" t="s">
        <v>802</v>
      </c>
      <c r="G9383" s="20" t="s">
        <v>803</v>
      </c>
      <c r="H9383" s="20" t="s">
        <v>804</v>
      </c>
      <c r="I9383" s="20" t="s">
        <v>805</v>
      </c>
      <c r="J9383" s="20" t="s">
        <v>806</v>
      </c>
      <c r="K9383" s="20" t="s">
        <v>807</v>
      </c>
      <c r="L9383" s="4" t="s">
        <v>47</v>
      </c>
    </row>
    <row r="9384" customFormat="false" ht="17.15" hidden="false" customHeight="false" outlineLevel="0" collapsed="false">
      <c r="A9384" s="0" t="s">
        <v>874</v>
      </c>
      <c r="B9384" s="0" t="s">
        <v>98</v>
      </c>
      <c r="D9384" s="6" t="n">
        <f aca="false">Sens!D9363</f>
        <v>12.9359794422418</v>
      </c>
      <c r="E9384" s="6" t="n">
        <f aca="false">Sens!E9363</f>
        <v>27.8095064661409</v>
      </c>
      <c r="F9384" s="6" t="n">
        <f aca="false">Sens!F9363</f>
        <v>58.7324192305018</v>
      </c>
      <c r="G9384" s="6" t="n">
        <f aca="false">Sens!G9363</f>
        <v>101.369089141153</v>
      </c>
      <c r="H9384" s="6" t="n">
        <f aca="false">Sens!H9363</f>
        <v>149.785610014234</v>
      </c>
      <c r="I9384" s="6" t="n">
        <f aca="false">Sens!I9363</f>
        <v>187.368703083263</v>
      </c>
      <c r="J9384" s="6" t="n">
        <f aca="false">Sens!J9363</f>
        <v>213.886657444854</v>
      </c>
      <c r="K9384" s="6" t="n">
        <f aca="false">Sens!K9363</f>
        <v>231.253475259589</v>
      </c>
    </row>
    <row r="9385" customFormat="false" ht="17.15" hidden="false" customHeight="false" outlineLevel="0" collapsed="false">
      <c r="A9385" s="0" t="s">
        <v>875</v>
      </c>
      <c r="B9385" s="0" t="s">
        <v>98</v>
      </c>
      <c r="D9385" s="6" t="n">
        <f aca="false">Q!L6-Sens!D9384</f>
        <v>59.6740205577583</v>
      </c>
      <c r="E9385" s="6" t="n">
        <f aca="false">Q!M6-Sens!E9384</f>
        <v>74.1284935338591</v>
      </c>
      <c r="F9385" s="6" t="n">
        <f aca="false">Sens!E9385*(1+Sens!F9386)</f>
        <v>90.0799497373663</v>
      </c>
      <c r="G9385" s="6" t="n">
        <f aca="false">Sens!F9385*(1+Sens!G9386)</f>
        <v>107.02842520331</v>
      </c>
      <c r="H9385" s="6" t="n">
        <f aca="false">Sens!G9385*(1+Sens!H9386)</f>
        <v>124.271982585636</v>
      </c>
      <c r="I9385" s="6" t="n">
        <f aca="false">Sens!H9385*(1+Sens!I9386)</f>
        <v>140.933702381855</v>
      </c>
      <c r="J9385" s="6" t="n">
        <f aca="false">Sens!I9385*(1+Sens!J9386)</f>
        <v>156.018867314332</v>
      </c>
      <c r="K9385" s="6" t="n">
        <f aca="false">Sens!J9385*(1+Sens!K9386)</f>
        <v>168.500376699478</v>
      </c>
    </row>
    <row r="9386" customFormat="false" ht="15" hidden="false" customHeight="false" outlineLevel="0" collapsed="false">
      <c r="A9386" s="1" t="s">
        <v>876</v>
      </c>
      <c r="B9386" s="0" t="s">
        <v>129</v>
      </c>
      <c r="E9386" s="7" t="n">
        <f aca="false">Sens!E9385/Sens!D9385-1</f>
        <v>0.242223883039864</v>
      </c>
      <c r="F9386" s="7" t="n">
        <f aca="false">Sens!$E$9386+(glt_azo-Sens!$E$9386)*MIN(1,(Sens!F9346-base_fy)/n_conv)</f>
        <v>0.215186569199887</v>
      </c>
      <c r="G9386" s="7" t="n">
        <f aca="false">Sens!$E$9386+(glt_azo-Sens!$E$9386)*MIN(1,(Sens!G9346-base_fy)/n_conv)</f>
        <v>0.18814925535991</v>
      </c>
      <c r="H9386" s="7" t="n">
        <f aca="false">Sens!$E$9386+(glt_azo-Sens!$E$9386)*MIN(1,(Sens!H9346-base_fy)/n_conv)</f>
        <v>0.161111941519932</v>
      </c>
      <c r="I9386" s="7" t="n">
        <f aca="false">Sens!$E$9386+(glt_azo-Sens!$E$9386)*MIN(1,(Sens!I9346-base_fy)/n_conv)</f>
        <v>0.134074627679955</v>
      </c>
      <c r="J9386" s="7" t="n">
        <f aca="false">Sens!$E$9386+(glt_azo-Sens!$E$9386)*MIN(1,(Sens!J9346-base_fy)/n_conv)</f>
        <v>0.107037313839977</v>
      </c>
      <c r="K9386" s="7" t="n">
        <f aca="false">Sens!$E$9386+(glt_azo-Sens!$E$9386)*MIN(1,(Sens!K9346-base_fy)/n_conv)</f>
        <v>0.08</v>
      </c>
    </row>
    <row r="9387" customFormat="false" ht="15" hidden="false" customHeight="false" outlineLevel="0" collapsed="false">
      <c r="A9387" s="0" t="s">
        <v>877</v>
      </c>
      <c r="B9387" s="0" t="s">
        <v>98</v>
      </c>
      <c r="D9387" s="6" t="n">
        <f aca="false">Sens!D9384+Sens!D9385</f>
        <v>72.61</v>
      </c>
      <c r="E9387" s="6" t="n">
        <f aca="false">Sens!E9384+Sens!E9385</f>
        <v>101.938</v>
      </c>
      <c r="F9387" s="6" t="n">
        <f aca="false">Sens!F9384+Sens!F9385</f>
        <v>148.812368967868</v>
      </c>
      <c r="G9387" s="6" t="n">
        <f aca="false">Sens!G9384+Sens!G9385</f>
        <v>208.397514344463</v>
      </c>
      <c r="H9387" s="6" t="n">
        <f aca="false">Sens!H9384+Sens!H9385</f>
        <v>274.05759259987</v>
      </c>
      <c r="I9387" s="6" t="n">
        <f aca="false">Sens!I9384+Sens!I9385</f>
        <v>328.302405465117</v>
      </c>
      <c r="J9387" s="6" t="n">
        <f aca="false">Sens!J9384+Sens!J9385</f>
        <v>369.905524759186</v>
      </c>
      <c r="K9387" s="6" t="n">
        <f aca="false">Sens!K9384+Sens!K9385</f>
        <v>399.753851959067</v>
      </c>
    </row>
    <row r="9388" customFormat="false" ht="17.15" hidden="false" customHeight="false" outlineLevel="0" collapsed="false">
      <c r="A9388" s="0" t="s">
        <v>878</v>
      </c>
      <c r="B9388" s="1" t="s">
        <v>528</v>
      </c>
      <c r="C9388" s="29" t="n">
        <f aca="false">cop_s24</f>
        <v>1</v>
      </c>
      <c r="D9388" s="29" t="n">
        <f aca="false">cop_s25</f>
        <v>5</v>
      </c>
      <c r="E9388" s="29" t="n">
        <f aca="false">cop_s26</f>
        <v>30</v>
      </c>
      <c r="F9388" s="29" t="n">
        <f aca="false">Sens!E9388+cop_add_A</f>
        <v>60</v>
      </c>
      <c r="G9388" s="29" t="n">
        <f aca="false">Sens!F9388+cop_add_A</f>
        <v>90</v>
      </c>
      <c r="H9388" s="29" t="n">
        <f aca="false">Sens!G9388+cop_add_A</f>
        <v>120</v>
      </c>
      <c r="I9388" s="29" t="n">
        <f aca="false">Sens!H9388+cop_add_A*cop_tail</f>
        <v>135</v>
      </c>
      <c r="J9388" s="29" t="n">
        <f aca="false">Sens!I9388+cop_add_A*cop_tail</f>
        <v>150</v>
      </c>
      <c r="K9388" s="29" t="n">
        <f aca="false">Sens!J9388+cop_add_A*cop_tail</f>
        <v>165</v>
      </c>
      <c r="L9388" s="11" t="s">
        <v>879</v>
      </c>
    </row>
    <row r="9389" customFormat="false" ht="17.15" hidden="false" customHeight="false" outlineLevel="0" collapsed="false">
      <c r="A9389" s="0" t="s">
        <v>880</v>
      </c>
      <c r="B9389" s="0" t="s">
        <v>98</v>
      </c>
      <c r="D9389" s="6" t="n">
        <f aca="false">(Sens!C9388+Sens!D9388)/2*cop_px*12/1000</f>
        <v>0.9</v>
      </c>
      <c r="E9389" s="6" t="n">
        <f aca="false">(Sens!D9388+Sens!E9388)/2*cop_px*12/1000</f>
        <v>5.25</v>
      </c>
      <c r="F9389" s="6" t="n">
        <f aca="false">(Sens!E9388+Sens!F9388)/2*cop_px*12/1000</f>
        <v>13.5</v>
      </c>
      <c r="G9389" s="6" t="n">
        <f aca="false">(Sens!F9388+Sens!G9388)/2*cop_px*12/1000</f>
        <v>22.5</v>
      </c>
      <c r="H9389" s="6" t="n">
        <f aca="false">(Sens!G9388+Sens!H9388)/2*cop_px*12/1000</f>
        <v>31.5</v>
      </c>
      <c r="I9389" s="6" t="n">
        <f aca="false">(Sens!H9388+Sens!I9388)/2*cop_px*12/1000</f>
        <v>38.25</v>
      </c>
      <c r="J9389" s="6" t="n">
        <f aca="false">(Sens!I9388+Sens!J9388)/2*cop_px*12/1000</f>
        <v>42.75</v>
      </c>
      <c r="K9389" s="6" t="n">
        <f aca="false">(Sens!J9388+Sens!K9388)/2*cop_px*12/1000</f>
        <v>47.25</v>
      </c>
      <c r="L9389" s="1" t="s">
        <v>881</v>
      </c>
    </row>
    <row r="9390" customFormat="false" ht="17.15" hidden="false" customHeight="false" outlineLevel="0" collapsed="false">
      <c r="A9390" s="0" t="s">
        <v>882</v>
      </c>
      <c r="B9390" s="0" t="s">
        <v>98</v>
      </c>
      <c r="D9390" s="6" t="n">
        <f aca="false">Q!L7-Sens!D9389</f>
        <v>83.705</v>
      </c>
      <c r="E9390" s="6" t="n">
        <f aca="false">Q!M7-Sens!E9389</f>
        <v>95.049</v>
      </c>
      <c r="F9390" s="6" t="n">
        <f aca="false">Sens!E9390*(1+Sens!F9391)</f>
        <v>106.89238776686</v>
      </c>
      <c r="G9390" s="6" t="n">
        <f aca="false">Sens!F9390*(1+Sens!G9391)</f>
        <v>119.044168448684</v>
      </c>
      <c r="H9390" s="6" t="n">
        <f aca="false">Sens!G9390*(1+Sens!H9391)</f>
        <v>131.277359388781</v>
      </c>
      <c r="I9390" s="6" t="n">
        <f aca="false">Sens!H9390*(1+Sens!I9391)</f>
        <v>143.334028071957</v>
      </c>
      <c r="J9390" s="6" t="n">
        <f aca="false">Sens!I9390*(1+Sens!J9391)</f>
        <v>154.932702785465</v>
      </c>
      <c r="K9390" s="6" t="n">
        <f aca="false">Sens!J9390*(1+Sens!K9391)</f>
        <v>165.777991980448</v>
      </c>
    </row>
    <row r="9391" customFormat="false" ht="15" hidden="false" customHeight="false" outlineLevel="0" collapsed="false">
      <c r="A9391" s="1" t="s">
        <v>876</v>
      </c>
      <c r="B9391" s="0" t="s">
        <v>129</v>
      </c>
      <c r="E9391" s="7" t="n">
        <f aca="false">Sens!E9390/Sens!D9390-1</f>
        <v>0.135523564900544</v>
      </c>
      <c r="F9391" s="7" t="n">
        <f aca="false">Sens!$E$9391+(glt_m365b-Sens!$E$9391)*MIN(1,(Sens!F9346-base_fy)/n_conv)</f>
        <v>0.124602970750453</v>
      </c>
      <c r="G9391" s="7" t="n">
        <f aca="false">Sens!$E$9391+(glt_m365b-Sens!$E$9391)*MIN(1,(Sens!G9346-base_fy)/n_conv)</f>
        <v>0.113682376600363</v>
      </c>
      <c r="H9391" s="7" t="n">
        <f aca="false">Sens!$E$9391+(glt_m365b-Sens!$E$9391)*MIN(1,(Sens!H9346-base_fy)/n_conv)</f>
        <v>0.102761782450272</v>
      </c>
      <c r="I9391" s="7" t="n">
        <f aca="false">Sens!$E$9391+(glt_m365b-Sens!$E$9391)*MIN(1,(Sens!I9346-base_fy)/n_conv)</f>
        <v>0.0918411883001813</v>
      </c>
      <c r="J9391" s="7" t="n">
        <f aca="false">Sens!$E$9391+(glt_m365b-Sens!$E$9391)*MIN(1,(Sens!J9346-base_fy)/n_conv)</f>
        <v>0.0809205941500906</v>
      </c>
      <c r="K9391" s="7" t="n">
        <f aca="false">Sens!$E$9391+(glt_m365b-Sens!$E$9391)*MIN(1,(Sens!K9346-base_fy)/n_conv)</f>
        <v>0.07</v>
      </c>
    </row>
    <row r="9392" customFormat="false" ht="15" hidden="false" customHeight="false" outlineLevel="0" collapsed="false">
      <c r="A9392" s="0" t="s">
        <v>883</v>
      </c>
      <c r="B9392" s="0" t="s">
        <v>98</v>
      </c>
      <c r="D9392" s="6" t="n">
        <f aca="false">Sens!D9390+Sens!D9389</f>
        <v>84.605</v>
      </c>
      <c r="E9392" s="6" t="n">
        <f aca="false">Sens!E9390+Sens!E9389</f>
        <v>100.299</v>
      </c>
      <c r="F9392" s="6" t="n">
        <f aca="false">Sens!F9390+Sens!F9389</f>
        <v>120.39238776686</v>
      </c>
      <c r="G9392" s="6" t="n">
        <f aca="false">Sens!G9390+Sens!G9389</f>
        <v>141.544168448684</v>
      </c>
      <c r="H9392" s="6" t="n">
        <f aca="false">Sens!H9390+Sens!H9389</f>
        <v>162.777359388781</v>
      </c>
      <c r="I9392" s="6" t="n">
        <f aca="false">Sens!I9390+Sens!I9389</f>
        <v>181.584028071957</v>
      </c>
      <c r="J9392" s="6" t="n">
        <f aca="false">Sens!J9390+Sens!J9389</f>
        <v>197.682702785465</v>
      </c>
      <c r="K9392" s="6" t="n">
        <f aca="false">Sens!K9390+Sens!K9389</f>
        <v>213.027991980448</v>
      </c>
    </row>
    <row r="9393" customFormat="false" ht="15" hidden="false" customHeight="false" outlineLevel="0" collapsed="false">
      <c r="A9393" s="0" t="s">
        <v>884</v>
      </c>
      <c r="B9393" s="0" t="s">
        <v>98</v>
      </c>
      <c r="D9393" s="6" t="n">
        <f aca="false">Q!L8</f>
        <v>35.391</v>
      </c>
      <c r="E9393" s="6" t="n">
        <f aca="false">Q!M8</f>
        <v>37.285</v>
      </c>
      <c r="F9393" s="6" t="n">
        <f aca="false">Sens!E9393*(1+Sens!F9394)</f>
        <v>39.0720834331704</v>
      </c>
      <c r="G9393" s="6" t="n">
        <f aca="false">Sens!F9393*(1+Sens!G9394)</f>
        <v>40.726562953769</v>
      </c>
      <c r="H9393" s="6" t="n">
        <f aca="false">Sens!G9393*(1+Sens!H9394)</f>
        <v>42.2235987259198</v>
      </c>
      <c r="I9393" s="6" t="n">
        <f aca="false">Sens!H9393*(1+Sens!I9394)</f>
        <v>43.5397988077414</v>
      </c>
      <c r="J9393" s="6" t="n">
        <f aca="false">Sens!I9393*(1+Sens!J9394)</f>
        <v>44.653811225693</v>
      </c>
      <c r="K9393" s="6" t="n">
        <f aca="false">Sens!J9393*(1+Sens!K9394)</f>
        <v>45.5468874502068</v>
      </c>
    </row>
    <row r="9394" customFormat="false" ht="15" hidden="false" customHeight="false" outlineLevel="0" collapsed="false">
      <c r="A9394" s="1" t="s">
        <v>876</v>
      </c>
      <c r="B9394" s="0" t="s">
        <v>129</v>
      </c>
      <c r="E9394" s="7" t="n">
        <f aca="false">Sens!E9393/Sens!D9393-1</f>
        <v>0.0535164307309768</v>
      </c>
      <c r="F9394" s="7" t="n">
        <f aca="false">Sens!$E$9394+(glt_lic-Sens!$E$9394)*MIN(1,(Sens!F9346-base_fy)/n_conv)</f>
        <v>0.0479303589424807</v>
      </c>
      <c r="G9394" s="7" t="n">
        <f aca="false">Sens!$E$9394+(glt_lic-Sens!$E$9394)*MIN(1,(Sens!G9346-base_fy)/n_conv)</f>
        <v>0.0423442871539845</v>
      </c>
      <c r="H9394" s="7" t="n">
        <f aca="false">Sens!$E$9394+(glt_lic-Sens!$E$9394)*MIN(1,(Sens!H9346-base_fy)/n_conv)</f>
        <v>0.0367582153654884</v>
      </c>
      <c r="I9394" s="7" t="n">
        <f aca="false">Sens!$E$9394+(glt_lic-Sens!$E$9394)*MIN(1,(Sens!I9346-base_fy)/n_conv)</f>
        <v>0.0311721435769923</v>
      </c>
      <c r="J9394" s="7" t="n">
        <f aca="false">Sens!$E$9394+(glt_lic-Sens!$E$9394)*MIN(1,(Sens!J9346-base_fy)/n_conv)</f>
        <v>0.0255860717884961</v>
      </c>
      <c r="K9394" s="7" t="n">
        <f aca="false">Sens!$E$9394+(glt_lic-Sens!$E$9394)*MIN(1,(Sens!K9346-base_fy)/n_conv)</f>
        <v>0.02</v>
      </c>
    </row>
    <row r="9395" customFormat="false" ht="15" hidden="false" customHeight="false" outlineLevel="0" collapsed="false">
      <c r="A9395" s="0" t="s">
        <v>885</v>
      </c>
      <c r="B9395" s="0" t="s">
        <v>98</v>
      </c>
      <c r="D9395" s="6" t="n">
        <f aca="false">Q!L9</f>
        <v>18.417</v>
      </c>
      <c r="E9395" s="6" t="n">
        <f aca="false">Q!M9</f>
        <v>20.345</v>
      </c>
      <c r="F9395" s="6" t="n">
        <f aca="false">Sens!E9395*(1+Sens!F9396)</f>
        <v>22.3572203267814</v>
      </c>
      <c r="G9395" s="6" t="n">
        <f aca="false">Sens!F9395*(1+Sens!G9396)</f>
        <v>24.4392124437232</v>
      </c>
      <c r="H9395" s="6" t="n">
        <f aca="false">Sens!G9395*(1+Sens!H9396)</f>
        <v>26.5738052080665</v>
      </c>
      <c r="I9395" s="6" t="n">
        <f aca="false">Sens!H9395*(1+Sens!I9396)</f>
        <v>28.7412169166967</v>
      </c>
      <c r="J9395" s="6" t="n">
        <f aca="false">Sens!I9395*(1+Sens!J9396)</f>
        <v>30.9192545395413</v>
      </c>
      <c r="K9395" s="6" t="n">
        <f aca="false">Sens!J9395*(1+Sens!K9396)</f>
        <v>33.0836023573092</v>
      </c>
    </row>
    <row r="9396" customFormat="false" ht="15" hidden="false" customHeight="false" outlineLevel="0" collapsed="false">
      <c r="A9396" s="1" t="s">
        <v>876</v>
      </c>
      <c r="B9396" s="0" t="s">
        <v>129</v>
      </c>
      <c r="E9396" s="7" t="n">
        <f aca="false">Sens!E9395/Sens!D9395-1</f>
        <v>0.104685888038225</v>
      </c>
      <c r="F9396" s="7" t="n">
        <f aca="false">Sens!$E$9396+(glt_ind-Sens!$E$9396)*MIN(1,(Sens!F9346-base_fy)/n_conv)</f>
        <v>0.0989049066985211</v>
      </c>
      <c r="G9396" s="7" t="n">
        <f aca="false">Sens!$E$9396+(glt_ind-Sens!$E$9396)*MIN(1,(Sens!G9346-base_fy)/n_conv)</f>
        <v>0.0931239253588169</v>
      </c>
      <c r="H9396" s="7" t="n">
        <f aca="false">Sens!$E$9396+(glt_ind-Sens!$E$9396)*MIN(1,(Sens!H9346-base_fy)/n_conv)</f>
        <v>0.0873429440191127</v>
      </c>
      <c r="I9396" s="7" t="n">
        <f aca="false">Sens!$E$9396+(glt_ind-Sens!$E$9396)*MIN(1,(Sens!I9346-base_fy)/n_conv)</f>
        <v>0.0815619626794085</v>
      </c>
      <c r="J9396" s="7" t="n">
        <f aca="false">Sens!$E$9396+(glt_ind-Sens!$E$9396)*MIN(1,(Sens!J9346-base_fy)/n_conv)</f>
        <v>0.0757809813397042</v>
      </c>
      <c r="K9396" s="7" t="n">
        <f aca="false">Sens!$E$9396+(glt_ind-Sens!$E$9396)*MIN(1,(Sens!K9346-base_fy)/n_conv)</f>
        <v>0.07</v>
      </c>
    </row>
    <row r="9397" customFormat="false" ht="15" hidden="false" customHeight="false" outlineLevel="0" collapsed="false">
      <c r="A9397" s="0" t="s">
        <v>886</v>
      </c>
      <c r="B9397" s="0" t="s">
        <v>98</v>
      </c>
      <c r="D9397" s="6" t="n">
        <f aca="false">Q!L10</f>
        <v>7.76</v>
      </c>
      <c r="E9397" s="6" t="n">
        <f aca="false">Q!M10</f>
        <v>8.26</v>
      </c>
      <c r="F9397" s="6" t="n">
        <f aca="false">Sens!E9397*(1+Sens!F9398)</f>
        <v>8.79988041237113</v>
      </c>
      <c r="G9397" s="6" t="n">
        <f aca="false">Sens!F9397*(1+Sens!G9398)</f>
        <v>9.38321269125306</v>
      </c>
      <c r="H9397" s="6" t="n">
        <f aca="false">Sens!G9397*(1+Sens!H9398)</f>
        <v>10.0139193587476</v>
      </c>
      <c r="I9397" s="6" t="n">
        <f aca="false">Sens!H9397*(1+Sens!I9398)</f>
        <v>10.6963111830911</v>
      </c>
      <c r="J9397" s="6" t="n">
        <f aca="false">Sens!I9397*(1+Sens!J9398)</f>
        <v>11.4351285534696</v>
      </c>
      <c r="K9397" s="6" t="n">
        <f aca="false">Sens!J9397*(1+Sens!K9398)</f>
        <v>12.2355875522124</v>
      </c>
    </row>
    <row r="9398" customFormat="false" ht="15" hidden="false" customHeight="false" outlineLevel="0" collapsed="false">
      <c r="A9398" s="1" t="s">
        <v>876</v>
      </c>
      <c r="B9398" s="0" t="s">
        <v>129</v>
      </c>
      <c r="E9398" s="7" t="n">
        <f aca="false">Sens!E9397/Sens!D9397-1</f>
        <v>0.0644329896907216</v>
      </c>
      <c r="F9398" s="7" t="n">
        <f aca="false">Sens!$E$9398+(glt_fro-Sens!$E$9398)*MIN(1,(Sens!F9346-base_fy)/n_conv)</f>
        <v>0.065360824742268</v>
      </c>
      <c r="G9398" s="7" t="n">
        <f aca="false">Sens!$E$9398+(glt_fro-Sens!$E$9398)*MIN(1,(Sens!G9346-base_fy)/n_conv)</f>
        <v>0.0662886597938144</v>
      </c>
      <c r="H9398" s="7" t="n">
        <f aca="false">Sens!$E$9398+(glt_fro-Sens!$E$9398)*MIN(1,(Sens!H9346-base_fy)/n_conv)</f>
        <v>0.0672164948453608</v>
      </c>
      <c r="I9398" s="7" t="n">
        <f aca="false">Sens!$E$9398+(glt_fro-Sens!$E$9398)*MIN(1,(Sens!I9346-base_fy)/n_conv)</f>
        <v>0.0681443298969072</v>
      </c>
      <c r="J9398" s="7" t="n">
        <f aca="false">Sens!$E$9398+(glt_fro-Sens!$E$9398)*MIN(1,(Sens!J9346-base_fy)/n_conv)</f>
        <v>0.0690721649484536</v>
      </c>
      <c r="K9398" s="7" t="n">
        <f aca="false">Sens!$E$9398+(glt_fro-Sens!$E$9398)*MIN(1,(Sens!K9346-base_fy)/n_conv)</f>
        <v>0.07</v>
      </c>
    </row>
    <row r="9399" customFormat="false" ht="15" hidden="false" customHeight="false" outlineLevel="0" collapsed="false">
      <c r="A9399" s="0" t="s">
        <v>715</v>
      </c>
      <c r="B9399" s="0" t="s">
        <v>98</v>
      </c>
      <c r="D9399" s="6" t="n">
        <f aca="false">Sens!D9387+Sens!D9392+Sens!D9393+Sens!D9395+Sens!D9397</f>
        <v>218.783</v>
      </c>
      <c r="E9399" s="6" t="n">
        <f aca="false">Sens!E9387+Sens!E9392+Sens!E9393+Sens!E9395+Sens!E9397</f>
        <v>268.127</v>
      </c>
      <c r="F9399" s="6" t="n">
        <f aca="false">Sens!F9387+Sens!F9392+Sens!F9393+Sens!F9395+Sens!F9397</f>
        <v>339.433940907051</v>
      </c>
      <c r="G9399" s="6" t="n">
        <f aca="false">Sens!G9387+Sens!G9392+Sens!G9393+Sens!G9395+Sens!G9397</f>
        <v>424.490670881892</v>
      </c>
      <c r="H9399" s="6" t="n">
        <f aca="false">Sens!H9387+Sens!H9392+Sens!H9393+Sens!H9395+Sens!H9397</f>
        <v>515.646275281385</v>
      </c>
      <c r="I9399" s="6" t="n">
        <f aca="false">Sens!I9387+Sens!I9392+Sens!I9393+Sens!I9395+Sens!I9397</f>
        <v>592.863760444604</v>
      </c>
      <c r="J9399" s="6" t="n">
        <f aca="false">Sens!J9387+Sens!J9392+Sens!J9393+Sens!J9395+Sens!J9397</f>
        <v>654.596421863355</v>
      </c>
      <c r="K9399" s="6" t="n">
        <f aca="false">Sens!K9387+Sens!K9392+Sens!K9393+Sens!K9395+Sens!K9397</f>
        <v>703.647921299244</v>
      </c>
    </row>
    <row r="9400" customFormat="false" ht="15" hidden="false" customHeight="false" outlineLevel="0" collapsed="false">
      <c r="A9400" s="0" t="s">
        <v>887</v>
      </c>
      <c r="B9400" s="0" t="s">
        <v>98</v>
      </c>
      <c r="D9400" s="6" t="n">
        <f aca="false">Q!L13</f>
        <v>22.171</v>
      </c>
      <c r="E9400" s="6" t="n">
        <f aca="false">Q!M13</f>
        <v>24.835</v>
      </c>
      <c r="F9400" s="6" t="n">
        <f aca="false">Sens!E9400*(1+Sens!F9401)</f>
        <v>27.7356651218559</v>
      </c>
      <c r="G9400" s="6" t="n">
        <f aca="false">Sens!F9400*(1+Sens!G9401)</f>
        <v>30.8819427955575</v>
      </c>
      <c r="H9400" s="6" t="n">
        <f aca="false">Sens!G9400*(1+Sens!H9401)</f>
        <v>34.2813801456859</v>
      </c>
      <c r="I9400" s="6" t="n">
        <f aca="false">Sens!H9400*(1+Sens!I9401)</f>
        <v>37.9398543169022</v>
      </c>
      <c r="J9400" s="6" t="n">
        <f aca="false">Sens!I9400*(1+Sens!J9401)</f>
        <v>41.8612984476003</v>
      </c>
      <c r="K9400" s="6" t="n">
        <f aca="false">Sens!J9400*(1+Sens!K9401)</f>
        <v>46.0474282923604</v>
      </c>
    </row>
    <row r="9401" customFormat="false" ht="15" hidden="false" customHeight="false" outlineLevel="0" collapsed="false">
      <c r="A9401" s="1" t="s">
        <v>876</v>
      </c>
      <c r="B9401" s="0" t="s">
        <v>129</v>
      </c>
      <c r="E9401" s="7" t="n">
        <f aca="false">Sens!E9400/Sens!D9400-1</f>
        <v>0.120156961796942</v>
      </c>
      <c r="F9401" s="7" t="n">
        <f aca="false">Sens!$E$9401+(glt_srch_hi-Sens!$E$9401)*MIN(1,(Sens!F9346-base_fy)/n_conv)</f>
        <v>0.116797468164118</v>
      </c>
      <c r="G9401" s="7" t="n">
        <f aca="false">Sens!$E$9401+(glt_srch_hi-Sens!$E$9401)*MIN(1,(Sens!G9346-base_fy)/n_conv)</f>
        <v>0.113437974531295</v>
      </c>
      <c r="H9401" s="7" t="n">
        <f aca="false">Sens!$E$9401+(glt_srch_hi-Sens!$E$9401)*MIN(1,(Sens!H9346-base_fy)/n_conv)</f>
        <v>0.110078480898471</v>
      </c>
      <c r="I9401" s="7" t="n">
        <f aca="false">Sens!$E$9401+(glt_srch_hi-Sens!$E$9401)*MIN(1,(Sens!I9346-base_fy)/n_conv)</f>
        <v>0.106718987265647</v>
      </c>
      <c r="J9401" s="7" t="n">
        <f aca="false">Sens!$E$9401+(glt_srch_hi-Sens!$E$9401)*MIN(1,(Sens!J9346-base_fy)/n_conv)</f>
        <v>0.103359493632824</v>
      </c>
      <c r="K9401" s="7" t="n">
        <f aca="false">Sens!$E$9401+(glt_srch_hi-Sens!$E$9401)*MIN(1,(Sens!K9346-base_fy)/n_conv)</f>
        <v>0.1</v>
      </c>
    </row>
    <row r="9402" customFormat="false" ht="15" hidden="false" customHeight="false" outlineLevel="0" collapsed="false">
      <c r="A9402" s="0" t="s">
        <v>888</v>
      </c>
      <c r="B9402" s="0" t="s">
        <v>98</v>
      </c>
      <c r="D9402" s="6" t="n">
        <f aca="false">Q!L14</f>
        <v>23.455</v>
      </c>
      <c r="E9402" s="6" t="n">
        <f aca="false">Q!M14</f>
        <v>21.79</v>
      </c>
      <c r="F9402" s="6" t="n">
        <f aca="false">Sens!E9402*(1+Sens!F9403)</f>
        <v>20.5736277908051</v>
      </c>
      <c r="G9402" s="6" t="n">
        <f aca="false">Sens!F9402*(1+Sens!G9403)</f>
        <v>19.7371452817919</v>
      </c>
      <c r="H9402" s="6" t="n">
        <f aca="false">Sens!G9402*(1+Sens!H9403)</f>
        <v>19.2339764043138</v>
      </c>
      <c r="I9402" s="6" t="n">
        <f aca="false">Sens!H9402*(1+Sens!I9403)</f>
        <v>19.0353086852681</v>
      </c>
      <c r="J9402" s="6" t="n">
        <f aca="false">Sens!I9402*(1+Sens!J9403)</f>
        <v>19.1273539319129</v>
      </c>
      <c r="K9402" s="6" t="n">
        <f aca="false">Sens!J9402*(1+Sens!K9403)</f>
        <v>19.5099010105511</v>
      </c>
    </row>
    <row r="9403" customFormat="false" ht="15" hidden="false" customHeight="false" outlineLevel="0" collapsed="false">
      <c r="A9403" s="1" t="s">
        <v>876</v>
      </c>
      <c r="B9403" s="0" t="s">
        <v>129</v>
      </c>
      <c r="E9403" s="7" t="n">
        <f aca="false">Sens!E9402/Sens!D9402-1</f>
        <v>-0.0709869963760392</v>
      </c>
      <c r="F9403" s="7" t="n">
        <f aca="false">Sens!$E$9403+(glt_xbox-Sens!$E$9403)*MIN(1,(Sens!F9346-base_fy)/n_conv)</f>
        <v>-0.0558224969800327</v>
      </c>
      <c r="G9403" s="7" t="n">
        <f aca="false">Sens!$E$9403+(glt_xbox-Sens!$E$9403)*MIN(1,(Sens!G9346-base_fy)/n_conv)</f>
        <v>-0.0406579975840262</v>
      </c>
      <c r="H9403" s="7" t="n">
        <f aca="false">Sens!$E$9403+(glt_xbox-Sens!$E$9403)*MIN(1,(Sens!H9346-base_fy)/n_conv)</f>
        <v>-0.0254934981880196</v>
      </c>
      <c r="I9403" s="7" t="n">
        <f aca="false">Sens!$E$9403+(glt_xbox-Sens!$E$9403)*MIN(1,(Sens!I9346-base_fy)/n_conv)</f>
        <v>-0.0103289987920131</v>
      </c>
      <c r="J9403" s="7" t="n">
        <f aca="false">Sens!$E$9403+(glt_xbox-Sens!$E$9403)*MIN(1,(Sens!J9346-base_fy)/n_conv)</f>
        <v>0.00483550060399347</v>
      </c>
      <c r="K9403" s="7" t="n">
        <f aca="false">Sens!$E$9403+(glt_xbox-Sens!$E$9403)*MIN(1,(Sens!K9346-base_fy)/n_conv)</f>
        <v>0.02</v>
      </c>
    </row>
    <row r="9404" customFormat="false" ht="15" hidden="false" customHeight="false" outlineLevel="0" collapsed="false">
      <c r="A9404" s="0" t="s">
        <v>889</v>
      </c>
      <c r="B9404" s="0" t="s">
        <v>98</v>
      </c>
      <c r="D9404" s="6" t="n">
        <f aca="false">Q!L15</f>
        <v>17.315</v>
      </c>
      <c r="E9404" s="6" t="n">
        <f aca="false">Q!M15</f>
        <v>17.087</v>
      </c>
      <c r="F9404" s="6" t="n">
        <f aca="false">Sens!E9404*(1+Sens!F9405)</f>
        <v>16.9564585436519</v>
      </c>
      <c r="G9404" s="6" t="n">
        <f aca="false">Sens!F9404*(1+Sens!G9405)</f>
        <v>16.9206490624268</v>
      </c>
      <c r="H9404" s="6" t="n">
        <f aca="false">Sens!G9404*(1+Sens!H9405)</f>
        <v>16.9784519149849</v>
      </c>
      <c r="I9404" s="6" t="n">
        <f aca="false">Sens!H9404*(1+Sens!I9405)</f>
        <v>17.1303084701817</v>
      </c>
      <c r="J9404" s="6" t="n">
        <f aca="false">Sens!I9404*(1+Sens!J9405)</f>
        <v>17.3782189407267</v>
      </c>
      <c r="K9404" s="6" t="n">
        <f aca="false">Sens!J9404*(1+Sens!K9405)</f>
        <v>17.7257833195413</v>
      </c>
    </row>
    <row r="9405" customFormat="false" ht="15" hidden="false" customHeight="false" outlineLevel="0" collapsed="false">
      <c r="A9405" s="1" t="s">
        <v>876</v>
      </c>
      <c r="B9405" s="0" t="s">
        <v>129</v>
      </c>
      <c r="E9405" s="7" t="n">
        <f aca="false">Sens!E9404/Sens!D9404-1</f>
        <v>-0.0131677736066995</v>
      </c>
      <c r="F9405" s="7" t="n">
        <f aca="false">Sens!$E$9405+(glt_win-Sens!$E$9405)*MIN(1,(Sens!F9346-base_fy)/n_conv)</f>
        <v>-0.00763981133891627</v>
      </c>
      <c r="G9405" s="7" t="n">
        <f aca="false">Sens!$E$9405+(glt_win-Sens!$E$9405)*MIN(1,(Sens!G9346-base_fy)/n_conv)</f>
        <v>-0.00211184907113301</v>
      </c>
      <c r="H9405" s="7" t="n">
        <f aca="false">Sens!$E$9405+(glt_win-Sens!$E$9405)*MIN(1,(Sens!H9346-base_fy)/n_conv)</f>
        <v>0.00341611319665024</v>
      </c>
      <c r="I9405" s="7" t="n">
        <f aca="false">Sens!$E$9405+(glt_win-Sens!$E$9405)*MIN(1,(Sens!I9346-base_fy)/n_conv)</f>
        <v>0.00894407546443349</v>
      </c>
      <c r="J9405" s="7" t="n">
        <f aca="false">Sens!$E$9405+(glt_win-Sens!$E$9405)*MIN(1,(Sens!J9346-base_fy)/n_conv)</f>
        <v>0.0144720377322168</v>
      </c>
      <c r="K9405" s="7" t="n">
        <f aca="false">Sens!$E$9405+(glt_win-Sens!$E$9405)*MIN(1,(Sens!K9346-base_fy)/n_conv)</f>
        <v>0.02</v>
      </c>
    </row>
    <row r="9406" customFormat="false" ht="15" hidden="false" customHeight="false" outlineLevel="0" collapsed="false">
      <c r="A9406" s="0" t="s">
        <v>729</v>
      </c>
      <c r="B9406" s="0" t="s">
        <v>98</v>
      </c>
      <c r="D9406" s="6" t="n">
        <f aca="false">Sens!D9400+Sens!D9402+Sens!D9404</f>
        <v>62.941</v>
      </c>
      <c r="E9406" s="6" t="n">
        <f aca="false">Sens!E9400+Sens!E9402+Sens!E9404</f>
        <v>63.712</v>
      </c>
      <c r="F9406" s="6" t="n">
        <f aca="false">Sens!F9400+Sens!F9402+Sens!F9404</f>
        <v>65.2657514563129</v>
      </c>
      <c r="G9406" s="6" t="n">
        <f aca="false">Sens!G9400+Sens!G9402+Sens!G9404</f>
        <v>67.5397371397762</v>
      </c>
      <c r="H9406" s="6" t="n">
        <f aca="false">Sens!H9400+Sens!H9402+Sens!H9404</f>
        <v>70.4938084649846</v>
      </c>
      <c r="I9406" s="6" t="n">
        <f aca="false">Sens!I9400+Sens!I9402+Sens!I9404</f>
        <v>74.105471472352</v>
      </c>
      <c r="J9406" s="6" t="n">
        <f aca="false">Sens!J9400+Sens!J9402+Sens!J9404</f>
        <v>78.3668713202399</v>
      </c>
      <c r="K9406" s="6" t="n">
        <f aca="false">Sens!K9400+Sens!K9402+Sens!K9404</f>
        <v>83.2831126224528</v>
      </c>
    </row>
    <row r="9407" customFormat="false" ht="15" hidden="false" customHeight="false" outlineLevel="0" collapsed="false">
      <c r="A9407" s="1" t="s">
        <v>890</v>
      </c>
      <c r="B9407" s="0" t="s">
        <v>98</v>
      </c>
      <c r="D9407" s="6" t="n">
        <f aca="false">Sens!D9399+Sens!D9406</f>
        <v>281.724</v>
      </c>
      <c r="E9407" s="6" t="n">
        <f aca="false">Sens!E9399+Sens!E9406</f>
        <v>331.839</v>
      </c>
      <c r="F9407" s="6" t="n">
        <f aca="false">Sens!F9399+Sens!F9406</f>
        <v>404.699692363364</v>
      </c>
      <c r="G9407" s="6" t="n">
        <f aca="false">Sens!G9399+Sens!G9406</f>
        <v>492.030408021668</v>
      </c>
      <c r="H9407" s="6" t="n">
        <f aca="false">Sens!H9399+Sens!H9406</f>
        <v>586.140083746369</v>
      </c>
      <c r="I9407" s="6" t="n">
        <f aca="false">Sens!I9399+Sens!I9406</f>
        <v>666.969231916956</v>
      </c>
      <c r="J9407" s="6" t="n">
        <f aca="false">Sens!J9399+Sens!J9406</f>
        <v>732.963293183595</v>
      </c>
      <c r="K9407" s="6" t="n">
        <f aca="false">Sens!K9399+Sens!K9406</f>
        <v>786.931033921696</v>
      </c>
    </row>
    <row r="9408" customFormat="false" ht="15" hidden="false" customHeight="false" outlineLevel="0" collapsed="false">
      <c r="A9408" s="23" t="s">
        <v>891</v>
      </c>
      <c r="B9408" s="30" t="s">
        <v>98</v>
      </c>
      <c r="C9408" s="30"/>
      <c r="D9408" s="24" t="n">
        <f aca="false">(Sens!D9387+Sens!D9392+Sens!D9393+Sens!D9395+Sens!D9397-Sens!D9399)+(Sens!D9400+Sens!D9402+Sens!D9404-Sens!D9406)+(Sens!D9399-Q!L5)+(Sens!D9406-Q!L12)+(Sens!D9387-Q!L6)+(Sens!D9392-Q!L7)</f>
        <v>0</v>
      </c>
      <c r="E9408" s="24" t="n">
        <f aca="false">(Sens!E9387+Sens!E9392+Sens!E9393+Sens!E9395+Sens!E9397-Sens!E9399)+(Sens!E9400+Sens!E9402+Sens!E9404-Sens!E9406)+(Sens!E9399-Q!M5)+(Sens!E9406-Q!M12)+(Sens!E9387-Q!M6)+(Sens!E9392-Q!M7)</f>
        <v>0</v>
      </c>
      <c r="F9408" s="24" t="n">
        <f aca="false">(Sens!F9387+Sens!F9392+Sens!F9393+Sens!F9395+Sens!F9397-Sens!F9399)+(Sens!F9400+Sens!F9402+Sens!F9404-Sens!F9406)</f>
        <v>0</v>
      </c>
      <c r="G9408" s="24" t="n">
        <f aca="false">(Sens!G9387+Sens!G9392+Sens!G9393+Sens!G9395+Sens!G9397-Sens!G9399)+(Sens!G9400+Sens!G9402+Sens!G9404-Sens!G9406)</f>
        <v>0</v>
      </c>
      <c r="H9408" s="24" t="n">
        <f aca="false">(Sens!H9387+Sens!H9392+Sens!H9393+Sens!H9395+Sens!H9397-Sens!H9399)+(Sens!H9400+Sens!H9402+Sens!H9404-Sens!H9406)</f>
        <v>0</v>
      </c>
      <c r="I9408" s="24" t="n">
        <f aca="false">(Sens!I9387+Sens!I9392+Sens!I9393+Sens!I9395+Sens!I9397-Sens!I9399)+(Sens!I9400+Sens!I9402+Sens!I9404-Sens!I9406)</f>
        <v>0</v>
      </c>
      <c r="J9408" s="24" t="n">
        <f aca="false">(Sens!J9387+Sens!J9392+Sens!J9393+Sens!J9395+Sens!J9397-Sens!J9399)+(Sens!J9400+Sens!J9402+Sens!J9404-Sens!J9406)</f>
        <v>0</v>
      </c>
      <c r="K9408" s="24" t="n">
        <f aca="false">(Sens!K9387+Sens!K9392+Sens!K9393+Sens!K9395+Sens!K9397-Sens!K9399)+(Sens!K9400+Sens!K9402+Sens!K9404-Sens!K9406)</f>
        <v>0</v>
      </c>
    </row>
    <row r="9409" customFormat="false" ht="17.15" hidden="false" customHeight="false" outlineLevel="0" collapsed="false">
      <c r="A9409" s="3" t="s">
        <v>1504</v>
      </c>
    </row>
    <row r="9410" customFormat="false" ht="15" hidden="false" customHeight="false" outlineLevel="0" collapsed="false">
      <c r="A9410" s="4" t="s">
        <v>43</v>
      </c>
      <c r="B9410" s="4" t="s">
        <v>65</v>
      </c>
      <c r="C9410" s="20" t="s">
        <v>799</v>
      </c>
      <c r="D9410" s="20" t="s">
        <v>800</v>
      </c>
      <c r="E9410" s="20" t="s">
        <v>801</v>
      </c>
      <c r="F9410" s="20" t="s">
        <v>802</v>
      </c>
      <c r="G9410" s="20" t="s">
        <v>803</v>
      </c>
      <c r="H9410" s="20" t="s">
        <v>804</v>
      </c>
      <c r="I9410" s="20" t="s">
        <v>805</v>
      </c>
      <c r="J9410" s="20" t="s">
        <v>806</v>
      </c>
      <c r="K9410" s="20" t="s">
        <v>807</v>
      </c>
      <c r="L9410" s="4" t="s">
        <v>47</v>
      </c>
    </row>
    <row r="9411" customFormat="false" ht="15" hidden="false" customHeight="false" outlineLevel="0" collapsed="false">
      <c r="A9411" s="0" t="s">
        <v>877</v>
      </c>
      <c r="B9411" s="0" t="s">
        <v>98</v>
      </c>
      <c r="D9411" s="6" t="n">
        <f aca="false">Sens!D9387</f>
        <v>72.61</v>
      </c>
      <c r="E9411" s="6" t="n">
        <f aca="false">Sens!E9387</f>
        <v>101.938</v>
      </c>
      <c r="F9411" s="6" t="n">
        <f aca="false">Sens!F9387</f>
        <v>148.812368967868</v>
      </c>
      <c r="G9411" s="6" t="n">
        <f aca="false">Sens!G9387</f>
        <v>208.397514344463</v>
      </c>
      <c r="H9411" s="6" t="n">
        <f aca="false">Sens!H9387</f>
        <v>274.05759259987</v>
      </c>
      <c r="I9411" s="6" t="n">
        <f aca="false">Sens!I9387</f>
        <v>328.302405465117</v>
      </c>
      <c r="J9411" s="6" t="n">
        <f aca="false">Sens!J9387</f>
        <v>369.905524759186</v>
      </c>
      <c r="K9411" s="6" t="n">
        <f aca="false">Sens!K9387</f>
        <v>399.753851959067</v>
      </c>
    </row>
    <row r="9412" customFormat="false" ht="17.15" hidden="false" customHeight="false" outlineLevel="0" collapsed="false">
      <c r="A9412" s="0" t="s">
        <v>874</v>
      </c>
      <c r="B9412" s="0" t="s">
        <v>98</v>
      </c>
      <c r="D9412" s="6" t="n">
        <f aca="false">Sens!D9384</f>
        <v>12.9359794422418</v>
      </c>
      <c r="E9412" s="6" t="n">
        <f aca="false">Sens!E9384</f>
        <v>27.8095064661409</v>
      </c>
      <c r="F9412" s="6" t="n">
        <f aca="false">Sens!F9384</f>
        <v>58.7324192305018</v>
      </c>
      <c r="G9412" s="6" t="n">
        <f aca="false">Sens!G9384</f>
        <v>101.369089141153</v>
      </c>
      <c r="H9412" s="6" t="n">
        <f aca="false">Sens!H9384</f>
        <v>149.785610014234</v>
      </c>
      <c r="I9412" s="6" t="n">
        <f aca="false">Sens!I9384</f>
        <v>187.368703083263</v>
      </c>
      <c r="J9412" s="6" t="n">
        <f aca="false">Sens!J9384</f>
        <v>213.886657444854</v>
      </c>
      <c r="K9412" s="6" t="n">
        <f aca="false">Sens!K9384</f>
        <v>231.253475259589</v>
      </c>
    </row>
    <row r="9413" customFormat="false" ht="17.15" hidden="false" customHeight="false" outlineLevel="0" collapsed="false">
      <c r="A9413" s="0" t="s">
        <v>902</v>
      </c>
      <c r="B9413" s="0" t="s">
        <v>98</v>
      </c>
      <c r="D9413" s="6" t="n">
        <f aca="false">Sens!D9385</f>
        <v>59.6740205577583</v>
      </c>
      <c r="E9413" s="6" t="n">
        <f aca="false">Sens!E9385</f>
        <v>74.1284935338591</v>
      </c>
      <c r="F9413" s="6" t="n">
        <f aca="false">Sens!F9385</f>
        <v>90.0799497373663</v>
      </c>
      <c r="G9413" s="6" t="n">
        <f aca="false">Sens!G9385</f>
        <v>107.02842520331</v>
      </c>
      <c r="H9413" s="6" t="n">
        <f aca="false">Sens!H9385</f>
        <v>124.271982585636</v>
      </c>
      <c r="I9413" s="6" t="n">
        <f aca="false">Sens!I9385</f>
        <v>140.933702381855</v>
      </c>
      <c r="J9413" s="6" t="n">
        <f aca="false">Sens!J9385</f>
        <v>156.018867314332</v>
      </c>
      <c r="K9413" s="6" t="n">
        <f aca="false">Sens!K9385</f>
        <v>168.500376699478</v>
      </c>
    </row>
    <row r="9414" customFormat="false" ht="15" hidden="false" customHeight="false" outlineLevel="0" collapsed="false">
      <c r="A9414" s="0" t="s">
        <v>883</v>
      </c>
      <c r="B9414" s="0" t="s">
        <v>98</v>
      </c>
      <c r="D9414" s="6" t="n">
        <f aca="false">Sens!D9392</f>
        <v>84.605</v>
      </c>
      <c r="E9414" s="6" t="n">
        <f aca="false">Sens!E9392</f>
        <v>100.299</v>
      </c>
      <c r="F9414" s="6" t="n">
        <f aca="false">Sens!F9392</f>
        <v>120.39238776686</v>
      </c>
      <c r="G9414" s="6" t="n">
        <f aca="false">Sens!G9392</f>
        <v>141.544168448684</v>
      </c>
      <c r="H9414" s="6" t="n">
        <f aca="false">Sens!H9392</f>
        <v>162.777359388781</v>
      </c>
      <c r="I9414" s="6" t="n">
        <f aca="false">Sens!I9392</f>
        <v>181.584028071957</v>
      </c>
      <c r="J9414" s="6" t="n">
        <f aca="false">Sens!J9392</f>
        <v>197.682702785465</v>
      </c>
      <c r="K9414" s="6" t="n">
        <f aca="false">Sens!K9392</f>
        <v>213.027991980448</v>
      </c>
    </row>
    <row r="9415" customFormat="false" ht="17.15" hidden="false" customHeight="false" outlineLevel="0" collapsed="false">
      <c r="A9415" s="0" t="s">
        <v>903</v>
      </c>
      <c r="B9415" s="0" t="s">
        <v>98</v>
      </c>
      <c r="D9415" s="6" t="n">
        <f aca="false">Sens!D9390</f>
        <v>83.705</v>
      </c>
      <c r="E9415" s="6" t="n">
        <f aca="false">Sens!E9390</f>
        <v>95.049</v>
      </c>
      <c r="F9415" s="6" t="n">
        <f aca="false">Sens!F9390</f>
        <v>106.89238776686</v>
      </c>
      <c r="G9415" s="6" t="n">
        <f aca="false">Sens!G9390</f>
        <v>119.044168448684</v>
      </c>
      <c r="H9415" s="6" t="n">
        <f aca="false">Sens!H9390</f>
        <v>131.277359388781</v>
      </c>
      <c r="I9415" s="6" t="n">
        <f aca="false">Sens!I9390</f>
        <v>143.334028071957</v>
      </c>
      <c r="J9415" s="6" t="n">
        <f aca="false">Sens!J9390</f>
        <v>154.932702785465</v>
      </c>
      <c r="K9415" s="6" t="n">
        <f aca="false">Sens!K9390</f>
        <v>165.777991980448</v>
      </c>
    </row>
    <row r="9416" customFormat="false" ht="17.15" hidden="false" customHeight="false" outlineLevel="0" collapsed="false">
      <c r="A9416" s="0" t="s">
        <v>904</v>
      </c>
      <c r="B9416" s="0" t="s">
        <v>98</v>
      </c>
      <c r="D9416" s="6" t="n">
        <f aca="false">Sens!D9389</f>
        <v>0.9</v>
      </c>
      <c r="E9416" s="6" t="n">
        <f aca="false">Sens!E9389</f>
        <v>5.25</v>
      </c>
      <c r="F9416" s="6" t="n">
        <f aca="false">Sens!F9389</f>
        <v>13.5</v>
      </c>
      <c r="G9416" s="6" t="n">
        <f aca="false">Sens!G9389</f>
        <v>22.5</v>
      </c>
      <c r="H9416" s="6" t="n">
        <f aca="false">Sens!H9389</f>
        <v>31.5</v>
      </c>
      <c r="I9416" s="6" t="n">
        <f aca="false">Sens!I9389</f>
        <v>38.25</v>
      </c>
      <c r="J9416" s="6" t="n">
        <f aca="false">Sens!J9389</f>
        <v>42.75</v>
      </c>
      <c r="K9416" s="6" t="n">
        <f aca="false">Sens!K9389</f>
        <v>47.25</v>
      </c>
    </row>
    <row r="9417" customFormat="false" ht="15" hidden="false" customHeight="false" outlineLevel="0" collapsed="false">
      <c r="A9417" s="0" t="s">
        <v>884</v>
      </c>
      <c r="B9417" s="0" t="s">
        <v>98</v>
      </c>
      <c r="D9417" s="6" t="n">
        <f aca="false">Sens!D9393</f>
        <v>35.391</v>
      </c>
      <c r="E9417" s="6" t="n">
        <f aca="false">Sens!E9393</f>
        <v>37.285</v>
      </c>
      <c r="F9417" s="6" t="n">
        <f aca="false">Sens!F9393</f>
        <v>39.0720834331704</v>
      </c>
      <c r="G9417" s="6" t="n">
        <f aca="false">Sens!G9393</f>
        <v>40.726562953769</v>
      </c>
      <c r="H9417" s="6" t="n">
        <f aca="false">Sens!H9393</f>
        <v>42.2235987259198</v>
      </c>
      <c r="I9417" s="6" t="n">
        <f aca="false">Sens!I9393</f>
        <v>43.5397988077414</v>
      </c>
      <c r="J9417" s="6" t="n">
        <f aca="false">Sens!J9393</f>
        <v>44.653811225693</v>
      </c>
      <c r="K9417" s="6" t="n">
        <f aca="false">Sens!K9393</f>
        <v>45.5468874502068</v>
      </c>
    </row>
    <row r="9418" customFormat="false" ht="15" hidden="false" customHeight="false" outlineLevel="0" collapsed="false">
      <c r="A9418" s="0" t="s">
        <v>885</v>
      </c>
      <c r="B9418" s="0" t="s">
        <v>98</v>
      </c>
      <c r="D9418" s="6" t="n">
        <f aca="false">Sens!D9395</f>
        <v>18.417</v>
      </c>
      <c r="E9418" s="6" t="n">
        <f aca="false">Sens!E9395</f>
        <v>20.345</v>
      </c>
      <c r="F9418" s="6" t="n">
        <f aca="false">Sens!F9395</f>
        <v>22.3572203267814</v>
      </c>
      <c r="G9418" s="6" t="n">
        <f aca="false">Sens!G9395</f>
        <v>24.4392124437232</v>
      </c>
      <c r="H9418" s="6" t="n">
        <f aca="false">Sens!H9395</f>
        <v>26.5738052080665</v>
      </c>
      <c r="I9418" s="6" t="n">
        <f aca="false">Sens!I9395</f>
        <v>28.7412169166967</v>
      </c>
      <c r="J9418" s="6" t="n">
        <f aca="false">Sens!J9395</f>
        <v>30.9192545395413</v>
      </c>
      <c r="K9418" s="6" t="n">
        <f aca="false">Sens!K9395</f>
        <v>33.0836023573092</v>
      </c>
    </row>
    <row r="9419" customFormat="false" ht="15" hidden="false" customHeight="false" outlineLevel="0" collapsed="false">
      <c r="A9419" s="0" t="s">
        <v>886</v>
      </c>
      <c r="B9419" s="0" t="s">
        <v>98</v>
      </c>
      <c r="D9419" s="6" t="n">
        <f aca="false">Sens!D9397</f>
        <v>7.76</v>
      </c>
      <c r="E9419" s="6" t="n">
        <f aca="false">Sens!E9397</f>
        <v>8.26</v>
      </c>
      <c r="F9419" s="6" t="n">
        <f aca="false">Sens!F9397</f>
        <v>8.79988041237113</v>
      </c>
      <c r="G9419" s="6" t="n">
        <f aca="false">Sens!G9397</f>
        <v>9.38321269125306</v>
      </c>
      <c r="H9419" s="6" t="n">
        <f aca="false">Sens!H9397</f>
        <v>10.0139193587476</v>
      </c>
      <c r="I9419" s="6" t="n">
        <f aca="false">Sens!I9397</f>
        <v>10.6963111830911</v>
      </c>
      <c r="J9419" s="6" t="n">
        <f aca="false">Sens!J9397</f>
        <v>11.4351285534696</v>
      </c>
      <c r="K9419" s="6" t="n">
        <f aca="false">Sens!K9397</f>
        <v>12.2355875522124</v>
      </c>
    </row>
    <row r="9420" customFormat="false" ht="15" hidden="false" customHeight="false" outlineLevel="0" collapsed="false">
      <c r="A9420" s="0" t="s">
        <v>715</v>
      </c>
      <c r="B9420" s="0" t="s">
        <v>98</v>
      </c>
      <c r="D9420" s="6" t="n">
        <f aca="false">Sens!D9399</f>
        <v>218.783</v>
      </c>
      <c r="E9420" s="6" t="n">
        <f aca="false">Sens!E9399</f>
        <v>268.127</v>
      </c>
      <c r="F9420" s="6" t="n">
        <f aca="false">Sens!F9399</f>
        <v>339.433940907051</v>
      </c>
      <c r="G9420" s="6" t="n">
        <f aca="false">Sens!G9399</f>
        <v>424.490670881892</v>
      </c>
      <c r="H9420" s="6" t="n">
        <f aca="false">Sens!H9399</f>
        <v>515.646275281385</v>
      </c>
      <c r="I9420" s="6" t="n">
        <f aca="false">Sens!I9399</f>
        <v>592.863760444604</v>
      </c>
      <c r="J9420" s="6" t="n">
        <f aca="false">Sens!J9399</f>
        <v>654.596421863355</v>
      </c>
      <c r="K9420" s="6" t="n">
        <f aca="false">Sens!K9399</f>
        <v>703.647921299244</v>
      </c>
    </row>
    <row r="9421" customFormat="false" ht="15" hidden="false" customHeight="false" outlineLevel="0" collapsed="false">
      <c r="A9421" s="0" t="s">
        <v>887</v>
      </c>
      <c r="B9421" s="0" t="s">
        <v>98</v>
      </c>
      <c r="D9421" s="6" t="n">
        <f aca="false">Sens!D9400</f>
        <v>22.171</v>
      </c>
      <c r="E9421" s="6" t="n">
        <f aca="false">Sens!E9400</f>
        <v>24.835</v>
      </c>
      <c r="F9421" s="6" t="n">
        <f aca="false">Sens!F9400</f>
        <v>27.7356651218559</v>
      </c>
      <c r="G9421" s="6" t="n">
        <f aca="false">Sens!G9400</f>
        <v>30.8819427955575</v>
      </c>
      <c r="H9421" s="6" t="n">
        <f aca="false">Sens!H9400</f>
        <v>34.2813801456859</v>
      </c>
      <c r="I9421" s="6" t="n">
        <f aca="false">Sens!I9400</f>
        <v>37.9398543169022</v>
      </c>
      <c r="J9421" s="6" t="n">
        <f aca="false">Sens!J9400</f>
        <v>41.8612984476003</v>
      </c>
      <c r="K9421" s="6" t="n">
        <f aca="false">Sens!K9400</f>
        <v>46.0474282923604</v>
      </c>
    </row>
    <row r="9422" customFormat="false" ht="15" hidden="false" customHeight="false" outlineLevel="0" collapsed="false">
      <c r="A9422" s="0" t="s">
        <v>888</v>
      </c>
      <c r="B9422" s="0" t="s">
        <v>98</v>
      </c>
      <c r="D9422" s="6" t="n">
        <f aca="false">Sens!D9402</f>
        <v>23.455</v>
      </c>
      <c r="E9422" s="6" t="n">
        <f aca="false">Sens!E9402</f>
        <v>21.79</v>
      </c>
      <c r="F9422" s="6" t="n">
        <f aca="false">Sens!F9402</f>
        <v>20.5736277908051</v>
      </c>
      <c r="G9422" s="6" t="n">
        <f aca="false">Sens!G9402</f>
        <v>19.7371452817919</v>
      </c>
      <c r="H9422" s="6" t="n">
        <f aca="false">Sens!H9402</f>
        <v>19.2339764043138</v>
      </c>
      <c r="I9422" s="6" t="n">
        <f aca="false">Sens!I9402</f>
        <v>19.0353086852681</v>
      </c>
      <c r="J9422" s="6" t="n">
        <f aca="false">Sens!J9402</f>
        <v>19.1273539319129</v>
      </c>
      <c r="K9422" s="6" t="n">
        <f aca="false">Sens!K9402</f>
        <v>19.5099010105511</v>
      </c>
    </row>
    <row r="9423" customFormat="false" ht="15" hidden="false" customHeight="false" outlineLevel="0" collapsed="false">
      <c r="A9423" s="0" t="s">
        <v>889</v>
      </c>
      <c r="B9423" s="0" t="s">
        <v>98</v>
      </c>
      <c r="D9423" s="6" t="n">
        <f aca="false">Sens!D9404</f>
        <v>17.315</v>
      </c>
      <c r="E9423" s="6" t="n">
        <f aca="false">Sens!E9404</f>
        <v>17.087</v>
      </c>
      <c r="F9423" s="6" t="n">
        <f aca="false">Sens!F9404</f>
        <v>16.9564585436519</v>
      </c>
      <c r="G9423" s="6" t="n">
        <f aca="false">Sens!G9404</f>
        <v>16.9206490624268</v>
      </c>
      <c r="H9423" s="6" t="n">
        <f aca="false">Sens!H9404</f>
        <v>16.9784519149849</v>
      </c>
      <c r="I9423" s="6" t="n">
        <f aca="false">Sens!I9404</f>
        <v>17.1303084701817</v>
      </c>
      <c r="J9423" s="6" t="n">
        <f aca="false">Sens!J9404</f>
        <v>17.3782189407267</v>
      </c>
      <c r="K9423" s="6" t="n">
        <f aca="false">Sens!K9404</f>
        <v>17.7257833195413</v>
      </c>
    </row>
    <row r="9424" customFormat="false" ht="15" hidden="false" customHeight="false" outlineLevel="0" collapsed="false">
      <c r="A9424" s="0" t="s">
        <v>729</v>
      </c>
      <c r="B9424" s="0" t="s">
        <v>98</v>
      </c>
      <c r="D9424" s="6" t="n">
        <f aca="false">Sens!D9406</f>
        <v>62.941</v>
      </c>
      <c r="E9424" s="6" t="n">
        <f aca="false">Sens!E9406</f>
        <v>63.712</v>
      </c>
      <c r="F9424" s="6" t="n">
        <f aca="false">Sens!F9406</f>
        <v>65.2657514563129</v>
      </c>
      <c r="G9424" s="6" t="n">
        <f aca="false">Sens!G9406</f>
        <v>67.5397371397762</v>
      </c>
      <c r="H9424" s="6" t="n">
        <f aca="false">Sens!H9406</f>
        <v>70.4938084649846</v>
      </c>
      <c r="I9424" s="6" t="n">
        <f aca="false">Sens!I9406</f>
        <v>74.105471472352</v>
      </c>
      <c r="J9424" s="6" t="n">
        <f aca="false">Sens!J9406</f>
        <v>78.3668713202399</v>
      </c>
      <c r="K9424" s="6" t="n">
        <f aca="false">Sens!K9406</f>
        <v>83.2831126224528</v>
      </c>
    </row>
    <row r="9425" customFormat="false" ht="15" hidden="false" customHeight="false" outlineLevel="0" collapsed="false">
      <c r="A9425" s="1" t="s">
        <v>905</v>
      </c>
      <c r="B9425" s="0" t="s">
        <v>98</v>
      </c>
      <c r="D9425" s="6" t="n">
        <f aca="false">Sens!D9407</f>
        <v>281.724</v>
      </c>
      <c r="E9425" s="6" t="n">
        <f aca="false">Sens!E9407</f>
        <v>331.839</v>
      </c>
      <c r="F9425" s="6" t="n">
        <f aca="false">Sens!F9407</f>
        <v>404.699692363364</v>
      </c>
      <c r="G9425" s="6" t="n">
        <f aca="false">Sens!G9407</f>
        <v>492.030408021668</v>
      </c>
      <c r="H9425" s="6" t="n">
        <f aca="false">Sens!H9407</f>
        <v>586.140083746369</v>
      </c>
      <c r="I9425" s="6" t="n">
        <f aca="false">Sens!I9407</f>
        <v>666.969231916956</v>
      </c>
      <c r="J9425" s="6" t="n">
        <f aca="false">Sens!J9407</f>
        <v>732.963293183595</v>
      </c>
      <c r="K9425" s="6" t="n">
        <f aca="false">Sens!K9407</f>
        <v>786.931033921696</v>
      </c>
    </row>
    <row r="9426" customFormat="false" ht="15" hidden="false" customHeight="false" outlineLevel="0" collapsed="false">
      <c r="A9426" s="1" t="s">
        <v>906</v>
      </c>
      <c r="B9426" s="0" t="s">
        <v>129</v>
      </c>
      <c r="E9426" s="7" t="n">
        <f aca="false">Sens!E9425/Sens!D9425-1</f>
        <v>0.177886867998467</v>
      </c>
      <c r="F9426" s="7" t="n">
        <f aca="false">Sens!F9425/Sens!E9425-1</f>
        <v>0.219566393230946</v>
      </c>
      <c r="G9426" s="7" t="n">
        <f aca="false">Sens!G9425/Sens!F9425-1</f>
        <v>0.215791406087588</v>
      </c>
      <c r="H9426" s="7" t="n">
        <f aca="false">Sens!H9425/Sens!G9425-1</f>
        <v>0.191268007404447</v>
      </c>
      <c r="I9426" s="7" t="n">
        <f aca="false">Sens!I9425/Sens!H9425-1</f>
        <v>0.13790073467414</v>
      </c>
      <c r="J9426" s="7" t="n">
        <f aca="false">Sens!J9425/Sens!I9425-1</f>
        <v>0.0989461853839397</v>
      </c>
      <c r="K9426" s="7" t="n">
        <f aca="false">Sens!K9425/Sens!J9425-1</f>
        <v>0.0736295272082388</v>
      </c>
    </row>
    <row r="9427" customFormat="false" ht="17.15" hidden="false" customHeight="false" outlineLevel="0" collapsed="false">
      <c r="A9427" s="23" t="s">
        <v>907</v>
      </c>
      <c r="B9427" s="30" t="s">
        <v>98</v>
      </c>
      <c r="C9427" s="30"/>
      <c r="D9427" s="24" t="n">
        <f aca="false">(Sens!D9420+Sens!D9424-Sens!D9425)+(Sens!D9412+Sens!D9413-Sens!D9411)+(Sens!D9415+Sens!D9416-Sens!D9414)+(Sens!D9425-Q!L18)</f>
        <v>0</v>
      </c>
      <c r="E9427" s="24" t="n">
        <f aca="false">(Sens!E9420+Sens!E9424-Sens!E9425)+(Sens!E9412+Sens!E9413-Sens!E9411)+(Sens!E9415+Sens!E9416-Sens!E9414)+(Sens!E9425-Q!M18)</f>
        <v>0</v>
      </c>
      <c r="F9427" s="24" t="n">
        <f aca="false">(Sens!F9420+Sens!F9424-Sens!F9425)+(Sens!F9412+Sens!F9413-Sens!F9411)+(Sens!F9415+Sens!F9416-Sens!F9414)</f>
        <v>0</v>
      </c>
      <c r="G9427" s="24" t="n">
        <f aca="false">(Sens!G9420+Sens!G9424-Sens!G9425)+(Sens!G9412+Sens!G9413-Sens!G9411)+(Sens!G9415+Sens!G9416-Sens!G9414)</f>
        <v>0</v>
      </c>
      <c r="H9427" s="24" t="n">
        <f aca="false">(Sens!H9420+Sens!H9424-Sens!H9425)+(Sens!H9412+Sens!H9413-Sens!H9411)+(Sens!H9415+Sens!H9416-Sens!H9414)</f>
        <v>0</v>
      </c>
      <c r="I9427" s="24" t="n">
        <f aca="false">(Sens!I9420+Sens!I9424-Sens!I9425)+(Sens!I9412+Sens!I9413-Sens!I9411)+(Sens!I9415+Sens!I9416-Sens!I9414)</f>
        <v>0</v>
      </c>
      <c r="J9427" s="24" t="n">
        <f aca="false">(Sens!J9420+Sens!J9424-Sens!J9425)+(Sens!J9412+Sens!J9413-Sens!J9411)+(Sens!J9415+Sens!J9416-Sens!J9414)</f>
        <v>0</v>
      </c>
      <c r="K9427" s="24" t="n">
        <f aca="false">(Sens!K9420+Sens!K9424-Sens!K9425)+(Sens!K9412+Sens!K9413-Sens!K9411)+(Sens!K9415+Sens!K9416-Sens!K9414)</f>
        <v>0</v>
      </c>
    </row>
    <row r="9428" customFormat="false" ht="17.15" hidden="false" customHeight="false" outlineLevel="0" collapsed="false">
      <c r="A9428" s="0" t="s">
        <v>908</v>
      </c>
      <c r="B9428" s="0" t="s">
        <v>129</v>
      </c>
      <c r="E9428" s="7" t="n">
        <f aca="false">(Q!M21+Sens!E9365+Sens!E9366+Sens!E9367+Sens!E9380-Sens!E9363)/(Q!M5-Sens!E9363)</f>
        <v>0.570957350878296</v>
      </c>
      <c r="F9428" s="7" t="n">
        <f aca="false">Sens!$E$9428+dm_seg</f>
        <v>0.570957350878296</v>
      </c>
      <c r="G9428" s="7" t="n">
        <f aca="false">Sens!$E$9428+dm_seg</f>
        <v>0.570957350878296</v>
      </c>
      <c r="H9428" s="7" t="n">
        <f aca="false">Sens!$E$9428+dm_seg</f>
        <v>0.570957350878296</v>
      </c>
      <c r="I9428" s="7" t="n">
        <f aca="false">Sens!$E$9428+dm_seg</f>
        <v>0.570957350878296</v>
      </c>
      <c r="J9428" s="7" t="n">
        <f aca="false">Sens!$E$9428+dm_seg</f>
        <v>0.570957350878296</v>
      </c>
      <c r="K9428" s="7" t="n">
        <f aca="false">Sens!$E$9428+dm_seg</f>
        <v>0.570957350878296</v>
      </c>
      <c r="L9428" s="11" t="s">
        <v>909</v>
      </c>
    </row>
    <row r="9429" customFormat="false" ht="17.15" hidden="false" customHeight="false" outlineLevel="0" collapsed="false">
      <c r="A9429" s="0" t="s">
        <v>743</v>
      </c>
      <c r="B9429" s="0" t="s">
        <v>98</v>
      </c>
      <c r="D9429" s="6" t="n">
        <f aca="false">Q!L21</f>
        <v>110.814</v>
      </c>
      <c r="E9429" s="6" t="n">
        <f aca="false">Q!M21</f>
        <v>136.365</v>
      </c>
      <c r="F9429" s="6" t="n">
        <f aca="false">Sens!F9428*(Sens!F9399-Sens!F9363)+Sens!F9363-(Sens!F9365+Sens!F9366+Sens!F9367)-Sens!F9380-Sens!F9463</f>
        <v>162.000848387324</v>
      </c>
      <c r="G9429" s="6" t="n">
        <f aca="false">Sens!G9428*(Sens!G9399-Sens!G9363)+Sens!G9363-(Sens!G9365+Sens!G9366+Sens!G9367)-Sens!G9380-Sens!G9463</f>
        <v>192.318370556619</v>
      </c>
      <c r="H9429" s="6" t="n">
        <f aca="false">Sens!H9428*(Sens!H9399-Sens!H9363)+Sens!H9363-(Sens!H9365+Sens!H9366+Sens!H9367)-Sens!H9380-Sens!H9463</f>
        <v>226.777654872585</v>
      </c>
      <c r="I9429" s="6" t="n">
        <f aca="false">Sens!I9428*(Sens!I9399-Sens!I9363)+Sens!I9363-(Sens!I9365+Sens!I9366+Sens!I9367)-Sens!I9380-Sens!I9463</f>
        <v>253.111601169314</v>
      </c>
      <c r="J9429" s="6" t="n">
        <f aca="false">Sens!J9428*(Sens!J9399-Sens!J9363)+Sens!J9363-(Sens!J9365+Sens!J9366+Sens!J9367)-Sens!J9380-Sens!J9463</f>
        <v>275.784937058476</v>
      </c>
      <c r="K9429" s="6" t="n">
        <f aca="false">Sens!K9428*(Sens!K9399-Sens!K9363)+Sens!K9363-(Sens!K9365+Sens!K9366+Sens!K9367)-Sens!K9380-Sens!K9463</f>
        <v>296.381178983308</v>
      </c>
      <c r="L9429" s="1" t="s">
        <v>910</v>
      </c>
    </row>
    <row r="9430" customFormat="false" ht="17.15" hidden="false" customHeight="false" outlineLevel="0" collapsed="false">
      <c r="A9430" s="0" t="s">
        <v>911</v>
      </c>
      <c r="B9430" s="0" t="s">
        <v>129</v>
      </c>
      <c r="E9430" s="7" t="n">
        <f aca="false">Q!M22/Q!M12</f>
        <v>0.296207935710698</v>
      </c>
      <c r="F9430" s="7" t="n">
        <f aca="false">Sens!$E$9430+dm_seg</f>
        <v>0.296207935710698</v>
      </c>
      <c r="G9430" s="7" t="n">
        <f aca="false">Sens!$E$9430+dm_seg</f>
        <v>0.296207935710698</v>
      </c>
      <c r="H9430" s="7" t="n">
        <f aca="false">Sens!$E$9430+dm_seg</f>
        <v>0.296207935710698</v>
      </c>
      <c r="I9430" s="7" t="n">
        <f aca="false">Sens!$E$9430+dm_seg</f>
        <v>0.296207935710698</v>
      </c>
      <c r="J9430" s="7" t="n">
        <f aca="false">Sens!$E$9430+dm_seg</f>
        <v>0.296207935710698</v>
      </c>
      <c r="K9430" s="7" t="n">
        <f aca="false">Sens!$E$9430+dm_seg</f>
        <v>0.296207935710698</v>
      </c>
      <c r="L9430" s="11" t="s">
        <v>912</v>
      </c>
    </row>
    <row r="9431" customFormat="false" ht="17.15" hidden="false" customHeight="false" outlineLevel="0" collapsed="false">
      <c r="A9431" s="0" t="s">
        <v>745</v>
      </c>
      <c r="B9431" s="0" t="s">
        <v>98</v>
      </c>
      <c r="D9431" s="6" t="n">
        <f aca="false">Q!L22</f>
        <v>17.714</v>
      </c>
      <c r="E9431" s="6" t="n">
        <f aca="false">Q!M22</f>
        <v>18.872</v>
      </c>
      <c r="F9431" s="6" t="n">
        <f aca="false">Sens!F9406*Sens!F9430</f>
        <v>19.3322335114819</v>
      </c>
      <c r="G9431" s="6" t="n">
        <f aca="false">Sens!G9406*Sens!G9430</f>
        <v>20.0058061166163</v>
      </c>
      <c r="H9431" s="6" t="n">
        <f aca="false">Sens!H9406*Sens!H9430</f>
        <v>20.8808254857984</v>
      </c>
      <c r="I9431" s="6" t="n">
        <f aca="false">Sens!I9406*Sens!I9430</f>
        <v>21.9506287296934</v>
      </c>
      <c r="J9431" s="6" t="n">
        <f aca="false">Sens!J9406*Sens!J9430</f>
        <v>23.2128891818742</v>
      </c>
      <c r="K9431" s="6" t="n">
        <f aca="false">Sens!K9406*Sens!K9430</f>
        <v>24.6691188694583</v>
      </c>
    </row>
    <row r="9432" customFormat="false" ht="15" hidden="false" customHeight="false" outlineLevel="0" collapsed="false">
      <c r="A9432" s="1" t="s">
        <v>913</v>
      </c>
      <c r="B9432" s="0" t="s">
        <v>98</v>
      </c>
      <c r="D9432" s="6" t="n">
        <f aca="false">Sens!D9429+Sens!D9431</f>
        <v>128.528</v>
      </c>
      <c r="E9432" s="6" t="n">
        <f aca="false">Sens!E9429+Sens!E9431</f>
        <v>155.237</v>
      </c>
      <c r="F9432" s="6" t="n">
        <f aca="false">Sens!F9429+Sens!F9431</f>
        <v>181.333081898806</v>
      </c>
      <c r="G9432" s="6" t="n">
        <f aca="false">Sens!G9429+Sens!G9431</f>
        <v>212.324176673235</v>
      </c>
      <c r="H9432" s="6" t="n">
        <f aca="false">Sens!H9429+Sens!H9431</f>
        <v>247.658480358383</v>
      </c>
      <c r="I9432" s="6" t="n">
        <f aca="false">Sens!I9429+Sens!I9431</f>
        <v>275.062229899008</v>
      </c>
      <c r="J9432" s="6" t="n">
        <f aca="false">Sens!J9429+Sens!J9431</f>
        <v>298.99782624035</v>
      </c>
      <c r="K9432" s="6" t="n">
        <f aca="false">Sens!K9429+Sens!K9431</f>
        <v>321.050297852767</v>
      </c>
    </row>
    <row r="9433" customFormat="false" ht="15" hidden="false" customHeight="false" outlineLevel="0" collapsed="false">
      <c r="A9433" s="23" t="s">
        <v>914</v>
      </c>
      <c r="B9433" s="30" t="s">
        <v>98</v>
      </c>
      <c r="C9433" s="30"/>
      <c r="D9433" s="24" t="n">
        <f aca="false">Sens!D9432-Q!L23</f>
        <v>0</v>
      </c>
      <c r="E9433" s="24" t="n">
        <f aca="false">Sens!E9432-Q!M23</f>
        <v>0</v>
      </c>
      <c r="F9433" s="30"/>
      <c r="G9433" s="30"/>
      <c r="H9433" s="30"/>
      <c r="I9433" s="30"/>
      <c r="J9433" s="30"/>
      <c r="K9433" s="30"/>
    </row>
    <row r="9434" customFormat="false" ht="15" hidden="false" customHeight="false" outlineLevel="0" collapsed="false">
      <c r="A9434" s="1" t="s">
        <v>915</v>
      </c>
      <c r="B9434" s="0" t="s">
        <v>129</v>
      </c>
      <c r="D9434" s="7" t="n">
        <f aca="false">Sens!D9432/Sens!D9425</f>
        <v>0.456219562408598</v>
      </c>
      <c r="E9434" s="7" t="n">
        <f aca="false">Sens!E9432/Sens!E9425</f>
        <v>0.467808184089272</v>
      </c>
      <c r="F9434" s="7" t="n">
        <f aca="false">Sens!F9432/Sens!F9425</f>
        <v>0.448068247445056</v>
      </c>
      <c r="G9434" s="7" t="n">
        <f aca="false">Sens!G9432/Sens!G9425</f>
        <v>0.431526534156573</v>
      </c>
      <c r="H9434" s="7" t="n">
        <f aca="false">Sens!H9432/Sens!H9425</f>
        <v>0.422524388326167</v>
      </c>
      <c r="I9434" s="7" t="n">
        <f aca="false">Sens!I9432/Sens!I9425</f>
        <v>0.41240617518209</v>
      </c>
      <c r="J9434" s="7" t="n">
        <f aca="false">Sens!J9432/Sens!J9425</f>
        <v>0.407930150146627</v>
      </c>
      <c r="K9434" s="7" t="n">
        <f aca="false">Sens!K9432/Sens!K9425</f>
        <v>0.407977680398245</v>
      </c>
    </row>
    <row r="9435" customFormat="false" ht="17.15" hidden="false" customHeight="false" outlineLevel="0" collapsed="false">
      <c r="A9435" s="1" t="s">
        <v>916</v>
      </c>
      <c r="B9435" s="0" t="s">
        <v>98</v>
      </c>
      <c r="F9435" s="6" t="n">
        <f aca="false">Sens!F9450</f>
        <v>8.44248444763781</v>
      </c>
      <c r="G9435" s="6" t="n">
        <f aca="false">Sens!G9450</f>
        <v>21.3653222817508</v>
      </c>
      <c r="H9435" s="6" t="n">
        <f aca="false">Sens!H9450</f>
        <v>35.8221390663856</v>
      </c>
      <c r="I9435" s="6" t="n">
        <f aca="false">Sens!I9450</f>
        <v>49.3691841492478</v>
      </c>
      <c r="J9435" s="6" t="n">
        <f aca="false">Sens!J9450</f>
        <v>59.0322720639359</v>
      </c>
      <c r="K9435" s="6" t="n">
        <f aca="false">Sens!K9450</f>
        <v>64.2195097796802</v>
      </c>
      <c r="L9435" s="1" t="s">
        <v>917</v>
      </c>
    </row>
    <row r="9436" customFormat="false" ht="17.15" hidden="false" customHeight="false" outlineLevel="0" collapsed="false">
      <c r="A9436" s="1" t="s">
        <v>918</v>
      </c>
      <c r="B9436" s="0" t="s">
        <v>98</v>
      </c>
      <c r="D9436" s="6" t="n">
        <f aca="false">Sens!D9432</f>
        <v>128.528</v>
      </c>
      <c r="E9436" s="6" t="n">
        <f aca="false">Sens!E9432</f>
        <v>155.237</v>
      </c>
      <c r="F9436" s="6" t="n">
        <f aca="false">Sens!F9432+Sens!F9435</f>
        <v>189.775566346444</v>
      </c>
      <c r="G9436" s="6" t="n">
        <f aca="false">Sens!G9432+Sens!G9435</f>
        <v>233.689498954986</v>
      </c>
      <c r="H9436" s="6" t="n">
        <f aca="false">Sens!H9432+Sens!H9435</f>
        <v>283.480619424769</v>
      </c>
      <c r="I9436" s="6" t="n">
        <f aca="false">Sens!I9432+Sens!I9435</f>
        <v>324.431414048256</v>
      </c>
      <c r="J9436" s="6" t="n">
        <f aca="false">Sens!J9432+Sens!J9435</f>
        <v>358.030098304286</v>
      </c>
      <c r="K9436" s="6" t="n">
        <f aca="false">Sens!K9432+Sens!K9435</f>
        <v>385.269807632447</v>
      </c>
    </row>
    <row r="9437" customFormat="false" ht="17.15" hidden="false" customHeight="false" outlineLevel="0" collapsed="false">
      <c r="A9437" s="1" t="s">
        <v>919</v>
      </c>
      <c r="B9437" s="0" t="s">
        <v>98</v>
      </c>
      <c r="E9437" s="6" t="n">
        <f aca="false">Sens!E9380</f>
        <v>16.3054059770833</v>
      </c>
      <c r="F9437" s="6" t="n">
        <f aca="false">Sens!F9380</f>
        <v>34.0498873809555</v>
      </c>
      <c r="G9437" s="6" t="n">
        <f aca="false">Sens!G9380</f>
        <v>59.1254371105111</v>
      </c>
      <c r="H9437" s="6" t="n">
        <f aca="false">Sens!H9380</f>
        <v>86.3610198433111</v>
      </c>
      <c r="I9437" s="6" t="n">
        <f aca="false">Sens!I9380</f>
        <v>110.605743832393</v>
      </c>
      <c r="J9437" s="6" t="n">
        <f aca="false">Sens!J9380</f>
        <v>127.998322852843</v>
      </c>
      <c r="K9437" s="6" t="n">
        <f aca="false">Sens!K9380</f>
        <v>139.131464044308</v>
      </c>
    </row>
    <row r="9438" customFormat="false" ht="17.15" hidden="false" customHeight="false" outlineLevel="0" collapsed="false">
      <c r="A9438" s="1" t="s">
        <v>920</v>
      </c>
      <c r="B9438" s="0" t="s">
        <v>98</v>
      </c>
      <c r="E9438" s="6" t="n">
        <f aca="false">Sens!E9462</f>
        <v>22.2285940229167</v>
      </c>
      <c r="F9438" s="6" t="n">
        <f aca="false">Sens!F9462</f>
        <v>24.3924470334783</v>
      </c>
      <c r="G9438" s="6" t="n">
        <f aca="false">Sens!G9462</f>
        <v>26.1168066956631</v>
      </c>
      <c r="H9438" s="6" t="n">
        <f aca="false">Sens!H9462</f>
        <v>28.2686134181066</v>
      </c>
      <c r="I9438" s="6" t="n">
        <f aca="false">Sens!I9462</f>
        <v>30.7725493287686</v>
      </c>
      <c r="J9438" s="6" t="n">
        <f aca="false">Sens!J9462</f>
        <v>33.5379854141482</v>
      </c>
      <c r="K9438" s="6" t="n">
        <f aca="false">Sens!K9462</f>
        <v>36.4822505303046</v>
      </c>
    </row>
    <row r="9439" customFormat="false" ht="17.15" hidden="false" customHeight="false" outlineLevel="0" collapsed="false">
      <c r="A9439" s="1" t="s">
        <v>921</v>
      </c>
      <c r="B9439" s="0" t="s">
        <v>98</v>
      </c>
      <c r="D9439" s="6" t="n">
        <f aca="false">Q!L27</f>
        <v>-4.901</v>
      </c>
      <c r="E9439" s="6" t="n">
        <f aca="false">Q!M27</f>
        <v>10.697</v>
      </c>
      <c r="F9439" s="6" t="n">
        <f aca="false">oie_f</f>
        <v>-0.4</v>
      </c>
      <c r="G9439" s="6" t="n">
        <f aca="false">oie_f</f>
        <v>-0.4</v>
      </c>
      <c r="H9439" s="6" t="n">
        <f aca="false">oie_f</f>
        <v>-0.4</v>
      </c>
      <c r="I9439" s="6" t="n">
        <f aca="false">oie_f</f>
        <v>-0.4</v>
      </c>
      <c r="J9439" s="6" t="n">
        <f aca="false">oie_f</f>
        <v>-0.4</v>
      </c>
      <c r="K9439" s="6" t="n">
        <f aca="false">oie_f</f>
        <v>-0.4</v>
      </c>
      <c r="L9439" s="11" t="s">
        <v>922</v>
      </c>
    </row>
    <row r="9440" customFormat="false" ht="15" hidden="false" customHeight="false" outlineLevel="0" collapsed="false">
      <c r="A9440" s="1" t="s">
        <v>923</v>
      </c>
      <c r="B9440" s="0" t="s">
        <v>98</v>
      </c>
      <c r="D9440" s="6" t="n">
        <f aca="false">Sens!D9432+Sens!D9439</f>
        <v>123.627</v>
      </c>
      <c r="E9440" s="6" t="n">
        <f aca="false">Sens!E9432+Sens!E9439</f>
        <v>165.934</v>
      </c>
      <c r="F9440" s="6" t="n">
        <f aca="false">Sens!F9432+Sens!F9439</f>
        <v>180.933081898806</v>
      </c>
      <c r="G9440" s="6" t="n">
        <f aca="false">Sens!G9432+Sens!G9439</f>
        <v>211.924176673235</v>
      </c>
      <c r="H9440" s="6" t="n">
        <f aca="false">Sens!H9432+Sens!H9439</f>
        <v>247.258480358383</v>
      </c>
      <c r="I9440" s="6" t="n">
        <f aca="false">Sens!I9432+Sens!I9439</f>
        <v>274.662229899008</v>
      </c>
      <c r="J9440" s="6" t="n">
        <f aca="false">Sens!J9432+Sens!J9439</f>
        <v>298.59782624035</v>
      </c>
      <c r="K9440" s="6" t="n">
        <f aca="false">Sens!K9432+Sens!K9439</f>
        <v>320.650297852767</v>
      </c>
    </row>
    <row r="9441" customFormat="false" ht="15" hidden="false" customHeight="false" outlineLevel="0" collapsed="false">
      <c r="A9441" s="1" t="s">
        <v>924</v>
      </c>
      <c r="B9441" s="0" t="s">
        <v>98</v>
      </c>
      <c r="D9441" s="6" t="n">
        <f aca="false">Q!L29</f>
        <v>21.795</v>
      </c>
      <c r="E9441" s="6" t="n">
        <f aca="false">Q!M29</f>
        <v>32.185</v>
      </c>
      <c r="F9441" s="6" t="n">
        <f aca="false">Sens!F9440*tax_f</f>
        <v>36.1866163797611</v>
      </c>
      <c r="G9441" s="6" t="n">
        <f aca="false">Sens!G9440*tax_f</f>
        <v>42.384835334647</v>
      </c>
      <c r="H9441" s="6" t="n">
        <f aca="false">Sens!H9440*tax_f</f>
        <v>49.4516960716766</v>
      </c>
      <c r="I9441" s="6" t="n">
        <f aca="false">Sens!I9440*tax_f</f>
        <v>54.9324459798016</v>
      </c>
      <c r="J9441" s="6" t="n">
        <f aca="false">Sens!J9440*tax_f</f>
        <v>59.7195652480701</v>
      </c>
      <c r="K9441" s="6" t="n">
        <f aca="false">Sens!K9440*tax_f</f>
        <v>64.1300595705533</v>
      </c>
    </row>
    <row r="9442" customFormat="false" ht="15" hidden="false" customHeight="false" outlineLevel="0" collapsed="false">
      <c r="A9442" s="1" t="s">
        <v>925</v>
      </c>
      <c r="B9442" s="0" t="s">
        <v>98</v>
      </c>
      <c r="D9442" s="6" t="n">
        <f aca="false">Sens!D9440-Sens!D9441</f>
        <v>101.832</v>
      </c>
      <c r="E9442" s="6" t="n">
        <f aca="false">Sens!E9440-Sens!E9441</f>
        <v>133.749</v>
      </c>
      <c r="F9442" s="6" t="n">
        <f aca="false">Sens!F9440-Sens!F9441</f>
        <v>144.746465519045</v>
      </c>
      <c r="G9442" s="6" t="n">
        <f aca="false">Sens!G9440-Sens!G9441</f>
        <v>169.539341338588</v>
      </c>
      <c r="H9442" s="6" t="n">
        <f aca="false">Sens!H9440-Sens!H9441</f>
        <v>197.806784286706</v>
      </c>
      <c r="I9442" s="6" t="n">
        <f aca="false">Sens!I9440-Sens!I9441</f>
        <v>219.729783919206</v>
      </c>
      <c r="J9442" s="6" t="n">
        <f aca="false">Sens!J9440-Sens!J9441</f>
        <v>238.87826099228</v>
      </c>
      <c r="K9442" s="6" t="n">
        <f aca="false">Sens!K9440-Sens!K9441</f>
        <v>256.520238282213</v>
      </c>
    </row>
    <row r="9443" customFormat="false" ht="17.15" hidden="false" customHeight="false" outlineLevel="0" collapsed="false">
      <c r="A9443" s="1" t="s">
        <v>926</v>
      </c>
      <c r="B9443" s="1" t="s">
        <v>81</v>
      </c>
      <c r="D9443" s="14" t="n">
        <f aca="false">Q!L31</f>
        <v>7.465</v>
      </c>
      <c r="E9443" s="14" t="n">
        <f aca="false">Q!M31</f>
        <v>7.453</v>
      </c>
      <c r="F9443" s="14" t="n">
        <f aca="false">Sens!F9486</f>
        <v>7.4735</v>
      </c>
      <c r="G9443" s="14" t="n">
        <f aca="false">Sens!G9486</f>
        <v>7.50811706394727</v>
      </c>
      <c r="H9443" s="14" t="n">
        <f aca="false">Sens!H9486</f>
        <v>7.5254857137445</v>
      </c>
      <c r="I9443" s="14" t="n">
        <f aca="false">Sens!I9486</f>
        <v>7.53726654575181</v>
      </c>
      <c r="J9443" s="14" t="n">
        <f aca="false">Sens!J9486</f>
        <v>7.5515080568697</v>
      </c>
      <c r="K9443" s="14" t="n">
        <f aca="false">Sens!K9486</f>
        <v>7.56802797457144</v>
      </c>
    </row>
    <row r="9444" customFormat="false" ht="17.15" hidden="false" customHeight="false" outlineLevel="0" collapsed="false">
      <c r="A9444" s="0" t="s">
        <v>927</v>
      </c>
      <c r="B9444" s="0" t="s">
        <v>75</v>
      </c>
      <c r="D9444" s="8" t="n">
        <f aca="false">Sens!D9442/Sens!D9443</f>
        <v>13.641259209645</v>
      </c>
      <c r="E9444" s="8" t="n">
        <f aca="false">Sens!E9442/Sens!E9443</f>
        <v>17.9456594659869</v>
      </c>
      <c r="F9444" s="8" t="n">
        <f aca="false">Sens!F9442/Sens!F9443</f>
        <v>19.3679622023208</v>
      </c>
      <c r="G9444" s="8" t="n">
        <f aca="false">Sens!G9442/Sens!G9443</f>
        <v>22.5808068647048</v>
      </c>
      <c r="H9444" s="8" t="n">
        <f aca="false">Sens!H9442/Sens!H9443</f>
        <v>26.2849192478611</v>
      </c>
      <c r="I9444" s="8" t="n">
        <f aca="false">Sens!I9442/Sens!I9443</f>
        <v>29.1524497091126</v>
      </c>
      <c r="J9444" s="8" t="n">
        <f aca="false">Sens!J9442/Sens!J9443</f>
        <v>31.633186271313</v>
      </c>
      <c r="K9444" s="8" t="n">
        <f aca="false">Sens!K9442/Sens!K9443</f>
        <v>33.8952550313134</v>
      </c>
      <c r="L9444" s="1" t="s">
        <v>928</v>
      </c>
    </row>
    <row r="9445" customFormat="false" ht="17.15" hidden="false" customHeight="false" outlineLevel="0" collapsed="false">
      <c r="A9445" s="1" t="s">
        <v>929</v>
      </c>
      <c r="B9445" s="0" t="s">
        <v>98</v>
      </c>
      <c r="D9445" s="6" t="n">
        <f aca="false">Sens!D9442</f>
        <v>101.832</v>
      </c>
      <c r="E9445" s="6" t="n">
        <f aca="false">Sens!E9442</f>
        <v>133.749</v>
      </c>
      <c r="F9445" s="6" t="n">
        <f aca="false">Sens!F9442+Sens!F9435*(1-tax_f)</f>
        <v>151.500453077155</v>
      </c>
      <c r="G9445" s="6" t="n">
        <f aca="false">Sens!G9442+Sens!G9435*(1-tax_f)</f>
        <v>186.631599163989</v>
      </c>
      <c r="H9445" s="6" t="n">
        <f aca="false">Sens!H9442+Sens!H9435*(1-tax_f)</f>
        <v>226.464495539815</v>
      </c>
      <c r="I9445" s="6" t="n">
        <f aca="false">Sens!I9442+Sens!I9435*(1-tax_f)</f>
        <v>259.225131238605</v>
      </c>
      <c r="J9445" s="6" t="n">
        <f aca="false">Sens!J9442+Sens!J9435*(1-tax_f)</f>
        <v>286.104078643429</v>
      </c>
      <c r="K9445" s="6" t="n">
        <f aca="false">Sens!K9442+Sens!K9435*(1-tax_f)</f>
        <v>307.895846105958</v>
      </c>
    </row>
    <row r="9446" customFormat="false" ht="17.15" hidden="false" customHeight="false" outlineLevel="0" collapsed="false">
      <c r="A9446" s="0" t="s">
        <v>930</v>
      </c>
      <c r="B9446" s="0" t="s">
        <v>75</v>
      </c>
      <c r="D9446" s="8" t="n">
        <f aca="false">Sens!D9445/Sens!D9443</f>
        <v>13.641259209645</v>
      </c>
      <c r="E9446" s="8" t="n">
        <f aca="false">Sens!E9445/Sens!E9443</f>
        <v>17.9456594659869</v>
      </c>
      <c r="F9446" s="8" t="n">
        <f aca="false">Sens!F9445/Sens!F9443</f>
        <v>20.2716870378209</v>
      </c>
      <c r="G9446" s="8" t="n">
        <f aca="false">Sens!G9445/Sens!G9443</f>
        <v>24.8573107710537</v>
      </c>
      <c r="H9446" s="8" t="n">
        <f aca="false">Sens!H9445/Sens!H9443</f>
        <v>30.0930071697833</v>
      </c>
      <c r="I9446" s="8" t="n">
        <f aca="false">Sens!I9445/Sens!I9443</f>
        <v>34.3924590785117</v>
      </c>
      <c r="J9446" s="8" t="n">
        <f aca="false">Sens!J9445/Sens!J9443</f>
        <v>37.8870123012259</v>
      </c>
      <c r="K9446" s="8" t="n">
        <f aca="false">Sens!K9445/Sens!K9443</f>
        <v>40.6837616272676</v>
      </c>
      <c r="L9446" s="1" t="s">
        <v>931</v>
      </c>
    </row>
    <row r="9447" customFormat="false" ht="17.15" hidden="false" customHeight="false" outlineLevel="0" collapsed="false">
      <c r="A9447" s="0" t="s">
        <v>932</v>
      </c>
      <c r="B9447" s="0" t="s">
        <v>129</v>
      </c>
      <c r="E9447" s="7" t="n">
        <f aca="false">Sens!E9446/Sens!D9446-1</f>
        <v>0.315542736208578</v>
      </c>
      <c r="F9447" s="7" t="n">
        <f aca="false">Sens!F9446/Sens!E9446-1</f>
        <v>0.129615051274248</v>
      </c>
      <c r="G9447" s="7" t="n">
        <f aca="false">Sens!G9446/Sens!F9446-1</f>
        <v>0.226208293600693</v>
      </c>
      <c r="H9447" s="7" t="n">
        <f aca="false">Sens!H9446/Sens!G9446-1</f>
        <v>0.210630041477638</v>
      </c>
      <c r="I9447" s="7" t="n">
        <f aca="false">Sens!I9446/Sens!H9446-1</f>
        <v>0.14287212588862</v>
      </c>
      <c r="J9447" s="7" t="n">
        <f aca="false">Sens!J9446/Sens!I9446-1</f>
        <v>0.101608123302169</v>
      </c>
      <c r="K9447" s="7" t="n">
        <f aca="false">Sens!K9446/Sens!J9446-1</f>
        <v>0.073818154458994</v>
      </c>
    </row>
    <row r="9448" customFormat="false" ht="17.15" hidden="false" customHeight="false" outlineLevel="0" collapsed="false">
      <c r="A9448" s="0" t="s">
        <v>856</v>
      </c>
      <c r="B9448" s="0" t="s">
        <v>98</v>
      </c>
      <c r="E9448" s="6" t="n">
        <f aca="false">Sens!E9389</f>
        <v>5.25</v>
      </c>
      <c r="F9448" s="6" t="n">
        <f aca="false">Sens!F9389</f>
        <v>13.5</v>
      </c>
      <c r="G9448" s="6" t="n">
        <f aca="false">Sens!G9389</f>
        <v>22.5</v>
      </c>
      <c r="H9448" s="6" t="n">
        <f aca="false">Sens!H9389</f>
        <v>31.5</v>
      </c>
      <c r="I9448" s="6" t="n">
        <f aca="false">Sens!I9389</f>
        <v>38.25</v>
      </c>
      <c r="J9448" s="6" t="n">
        <f aca="false">Sens!J9389</f>
        <v>42.75</v>
      </c>
      <c r="K9448" s="6" t="n">
        <f aca="false">Sens!K9389</f>
        <v>47.25</v>
      </c>
    </row>
    <row r="9449" customFormat="false" ht="17.15" hidden="false" customHeight="false" outlineLevel="0" collapsed="false">
      <c r="A9449" s="1" t="s">
        <v>857</v>
      </c>
      <c r="B9449" s="0" t="s">
        <v>98</v>
      </c>
      <c r="F9449" s="6" t="n">
        <f aca="false">MAX(0,((Sens!E9352+Sens!F9352)/2-(shadow_base*(Sens!$D$9352+Sens!$E$9352)/2+(1-shadow_base)*Sens!$E$9352))*Sens!F9360/1000-(Sens!F9448-Sens!$E$9448)*Sens!F9428)</f>
        <v>8.44248444763781</v>
      </c>
      <c r="G9449" s="6" t="n">
        <f aca="false">MAX(0,((Sens!F9352+Sens!G9352)/2-(shadow_base*(Sens!$D$9352+Sens!$E$9352)/2+(1-shadow_base)*Sens!$E$9352))*Sens!G9360/1000-(Sens!G9448-Sens!$E$9448)*Sens!G9428)</f>
        <v>21.3653222817508</v>
      </c>
      <c r="H9449" s="6" t="n">
        <f aca="false">MAX(0,((Sens!G9352+Sens!H9352)/2-(shadow_base*(Sens!$D$9352+Sens!$E$9352)/2+(1-shadow_base)*Sens!$E$9352))*Sens!H9360/1000-(Sens!H9448-Sens!$E$9448)*Sens!H9428)</f>
        <v>35.8221390663856</v>
      </c>
      <c r="I9449" s="6" t="n">
        <f aca="false">MAX(0,((Sens!H9352+Sens!I9352)/2-(shadow_base*(Sens!$D$9352+Sens!$E$9352)/2+(1-shadow_base)*Sens!$E$9352))*Sens!I9360/1000-(Sens!I9448-Sens!$E$9448)*Sens!I9428)</f>
        <v>49.3691841492478</v>
      </c>
      <c r="J9449" s="6" t="n">
        <f aca="false">MAX(0,((Sens!I9352+Sens!J9352)/2-(shadow_base*(Sens!$D$9352+Sens!$E$9352)/2+(1-shadow_base)*Sens!$E$9352))*Sens!J9360/1000-(Sens!J9448-Sens!$E$9448)*Sens!J9428)</f>
        <v>59.0322720639359</v>
      </c>
      <c r="K9449" s="6" t="n">
        <f aca="false">MAX(0,((Sens!J9352+Sens!K9352)/2-(shadow_base*(Sens!$D$9352+Sens!$E$9352)/2+(1-shadow_base)*Sens!$E$9352))*Sens!K9360/1000-(Sens!K9448-Sens!$E$9448)*Sens!K9428)</f>
        <v>64.2195097796802</v>
      </c>
      <c r="L9449" s="1" t="s">
        <v>858</v>
      </c>
    </row>
    <row r="9450" customFormat="false" ht="17.15" hidden="false" customHeight="false" outlineLevel="0" collapsed="false">
      <c r="A9450" s="1" t="s">
        <v>859</v>
      </c>
      <c r="B9450" s="0" t="s">
        <v>98</v>
      </c>
      <c r="F9450" s="6" t="n">
        <f aca="false">IF(internal_ai_reading=2,1,0)*Sens!F9449</f>
        <v>8.44248444763781</v>
      </c>
      <c r="G9450" s="6" t="n">
        <f aca="false">IF(internal_ai_reading=2,1,0)*Sens!G9449</f>
        <v>21.3653222817508</v>
      </c>
      <c r="H9450" s="6" t="n">
        <f aca="false">IF(internal_ai_reading=2,1,0)*Sens!H9449</f>
        <v>35.8221390663856</v>
      </c>
      <c r="I9450" s="6" t="n">
        <f aca="false">IF(internal_ai_reading=2,1,0)*Sens!I9449</f>
        <v>49.3691841492478</v>
      </c>
      <c r="J9450" s="6" t="n">
        <f aca="false">IF(internal_ai_reading=2,1,0)*Sens!J9449</f>
        <v>59.0322720639359</v>
      </c>
      <c r="K9450" s="6" t="n">
        <f aca="false">IF(internal_ai_reading=2,1,0)*Sens!K9449</f>
        <v>64.2195097796802</v>
      </c>
    </row>
    <row r="9451" customFormat="false" ht="17.15" hidden="false" customHeight="false" outlineLevel="0" collapsed="false">
      <c r="A9451" s="0" t="s">
        <v>860</v>
      </c>
      <c r="B9451" s="0" t="s">
        <v>98</v>
      </c>
      <c r="F9451" s="6" t="n">
        <f aca="false">Sens!F9369+Sens!F9448*Sens!F9428+Sens!F9450-Sens!F9370-Sens!F9380</f>
        <v>18.6954441577666</v>
      </c>
      <c r="G9451" s="6" t="n">
        <f aca="false">Sens!G9369+Sens!G9448*Sens!G9428+Sens!G9450-Sens!G9370-Sens!G9380</f>
        <v>42.7730967717415</v>
      </c>
      <c r="H9451" s="6" t="n">
        <f aca="false">Sens!H9369+Sens!H9448*Sens!H9428+Sens!H9450-Sens!H9370-Sens!H9380</f>
        <v>72.3524695349497</v>
      </c>
      <c r="I9451" s="6" t="n">
        <f aca="false">Sens!I9369+Sens!I9448*Sens!I9428+Sens!I9450-Sens!I9370-Sens!I9380</f>
        <v>93.3920399917181</v>
      </c>
      <c r="J9451" s="6" t="n">
        <f aca="false">Sens!J9369+Sens!J9448*Sens!J9428+Sens!J9450-Sens!J9370-Sens!J9380</f>
        <v>108.132424046476</v>
      </c>
      <c r="K9451" s="6" t="n">
        <f aca="false">Sens!K9369+Sens!K9448*Sens!K9428+Sens!K9450-Sens!K9370-Sens!K9380</f>
        <v>118.341283106908</v>
      </c>
    </row>
    <row r="9452" customFormat="false" ht="17.15" hidden="false" customHeight="false" outlineLevel="0" collapsed="false">
      <c r="A9452" s="0" t="s">
        <v>861</v>
      </c>
      <c r="B9452" s="0" t="s">
        <v>98</v>
      </c>
      <c r="E9452" s="6" t="n">
        <f aca="false">Sens!E9351*(cxit_open+self_build*tk_cxfac)/1000*ai_net_open</f>
        <v>126.6980382</v>
      </c>
      <c r="F9452" s="6" t="n">
        <f aca="false">Sens!E9452+Sens!F9377-Sens!F9380</f>
        <v>252.981026690511</v>
      </c>
      <c r="G9452" s="6" t="n">
        <f aca="false">Sens!F9452+Sens!G9377-Sens!G9380</f>
        <v>377.4297700632</v>
      </c>
      <c r="H9452" s="6" t="n">
        <f aca="false">Sens!G9452+Sens!H9377-Sens!H9380</f>
        <v>479.149036130289</v>
      </c>
      <c r="I9452" s="6" t="n">
        <f aca="false">Sens!H9452+Sens!I9377-Sens!I9380</f>
        <v>532.249961452141</v>
      </c>
      <c r="J9452" s="6" t="n">
        <f aca="false">Sens!I9452+Sens!J9377-Sens!J9380</f>
        <v>531.43307519354</v>
      </c>
      <c r="K9452" s="6" t="n">
        <f aca="false">Sens!J9452+Sens!K9377-Sens!K9380</f>
        <v>513.709026452823</v>
      </c>
      <c r="L9452" s="1" t="s">
        <v>862</v>
      </c>
    </row>
    <row r="9453" customFormat="false" ht="17.15" hidden="false" customHeight="false" outlineLevel="0" collapsed="false">
      <c r="A9453" s="0" t="s">
        <v>863</v>
      </c>
      <c r="B9453" s="0" t="s">
        <v>129</v>
      </c>
      <c r="F9453" s="7" t="n">
        <f aca="false">Sens!F9451*(1-tax_f)/((Sens!E9452+Sens!F9452)/2)</f>
        <v>0.0787841980727922</v>
      </c>
      <c r="G9453" s="7" t="n">
        <f aca="false">Sens!G9451*(1-tax_f)/((Sens!F9452+Sens!G9452)/2)</f>
        <v>0.108559300042451</v>
      </c>
      <c r="H9453" s="7" t="n">
        <f aca="false">Sens!H9451*(1-tax_f)/((Sens!G9452+Sens!H9452)/2)</f>
        <v>0.135146877810762</v>
      </c>
      <c r="I9453" s="7" t="n">
        <f aca="false">Sens!I9451*(1-tax_f)/((Sens!H9452+Sens!I9452)/2)</f>
        <v>0.147743140287788</v>
      </c>
      <c r="J9453" s="7" t="n">
        <f aca="false">Sens!J9451*(1-tax_f)/((Sens!I9452+Sens!J9452)/2)</f>
        <v>0.162653603107137</v>
      </c>
      <c r="K9453" s="7" t="n">
        <f aca="false">Sens!K9451*(1-tax_f)/((Sens!J9452+Sens!K9452)/2)</f>
        <v>0.181167759554213</v>
      </c>
    </row>
    <row r="9454" customFormat="false" ht="17.15" hidden="false" customHeight="false" outlineLevel="0" collapsed="false">
      <c r="A9454" s="1" t="s">
        <v>864</v>
      </c>
      <c r="B9454" s="0" t="s">
        <v>129</v>
      </c>
      <c r="F9454" s="7" t="n">
        <f aca="false">(Sens!F9451-Sens!F9450)*(1-tax_f)/((Sens!E9452+Sens!F9452)/2)</f>
        <v>0.0432068477121243</v>
      </c>
      <c r="G9454" s="7" t="n">
        <f aca="false">(Sens!G9451-Sens!G9450)*(1-tax_f)/((Sens!F9452+Sens!G9452)/2)</f>
        <v>0.0543335224592717</v>
      </c>
      <c r="H9454" s="7" t="n">
        <f aca="false">(Sens!H9451-Sens!H9450)*(1-tax_f)/((Sens!G9452+Sens!H9452)/2)</f>
        <v>0.0682348527970699</v>
      </c>
      <c r="I9454" s="7" t="n">
        <f aca="false">(Sens!I9451-Sens!I9450)*(1-tax_f)/((Sens!H9452+Sens!I9452)/2)</f>
        <v>0.0696427122395006</v>
      </c>
      <c r="J9454" s="7" t="n">
        <f aca="false">(Sens!J9451-Sens!J9450)*(1-tax_f)/((Sens!I9452+Sens!J9452)/2)</f>
        <v>0.0738568168011806</v>
      </c>
      <c r="K9454" s="7" t="n">
        <f aca="false">(Sens!K9451-Sens!K9450)*(1-tax_f)/((Sens!J9452+Sens!K9452)/2)</f>
        <v>0.0828546062656513</v>
      </c>
    </row>
    <row r="9455" customFormat="false" ht="17.15" hidden="false" customHeight="false" outlineLevel="0" collapsed="false">
      <c r="A9455" s="1" t="s">
        <v>865</v>
      </c>
      <c r="B9455" s="0" t="s">
        <v>129</v>
      </c>
      <c r="F9455" s="7" t="n">
        <f aca="false">(Sens!F9451-Sens!F9450+Sens!F9449)*(1-tax_f)/((Sens!E9452+Sens!F9452)/2)</f>
        <v>0.0787841980727922</v>
      </c>
      <c r="G9455" s="7" t="n">
        <f aca="false">(Sens!G9451-Sens!G9450+Sens!G9449)*(1-tax_f)/((Sens!F9452+Sens!G9452)/2)</f>
        <v>0.108559300042451</v>
      </c>
      <c r="H9455" s="7" t="n">
        <f aca="false">(Sens!H9451-Sens!H9450+Sens!H9449)*(1-tax_f)/((Sens!G9452+Sens!H9452)/2)</f>
        <v>0.135146877810762</v>
      </c>
      <c r="I9455" s="7" t="n">
        <f aca="false">(Sens!I9451-Sens!I9450+Sens!I9449)*(1-tax_f)/((Sens!H9452+Sens!I9452)/2)</f>
        <v>0.147743140287788</v>
      </c>
      <c r="J9455" s="7" t="n">
        <f aca="false">(Sens!J9451-Sens!J9450+Sens!J9449)*(1-tax_f)/((Sens!I9452+Sens!J9452)/2)</f>
        <v>0.162653603107137</v>
      </c>
      <c r="K9455" s="7" t="n">
        <f aca="false">(Sens!K9451-Sens!K9450+Sens!K9449)*(1-tax_f)/((Sens!J9452+Sens!K9452)/2)</f>
        <v>0.181167759554213</v>
      </c>
    </row>
    <row r="9456" customFormat="false" ht="17.15" hidden="false" customHeight="false" outlineLevel="0" collapsed="false">
      <c r="A9456" s="1" t="s">
        <v>866</v>
      </c>
      <c r="B9456" s="0" t="s">
        <v>129</v>
      </c>
      <c r="F9456" s="7" t="n">
        <f aca="false">Sens!F9381*(1-tax_f)/(Sens!F9368*(Sens!E9452+Sens!F9452)/2)</f>
        <v>0.159418295257403</v>
      </c>
      <c r="G9456" s="7" t="n">
        <f aca="false">Sens!G9381*(1-tax_f)/(Sens!G9368*(Sens!F9452+Sens!G9452)/2)</f>
        <v>0.181875227327983</v>
      </c>
      <c r="H9456" s="7" t="n">
        <f aca="false">Sens!H9381*(1-tax_f)/(Sens!H9368*(Sens!G9452+Sens!H9452)/2)</f>
        <v>0.212793847216411</v>
      </c>
      <c r="I9456" s="7" t="n">
        <f aca="false">Sens!I9381*(1-tax_f)/(Sens!I9368*(Sens!H9452+Sens!I9452)/2)</f>
        <v>0.225613268329429</v>
      </c>
      <c r="J9456" s="7" t="n">
        <f aca="false">Sens!J9381*(1-tax_f)/(Sens!J9368*(Sens!I9452+Sens!J9452)/2)</f>
        <v>0.24488839563955</v>
      </c>
      <c r="K9456" s="7" t="n">
        <f aca="false">Sens!K9381*(1-tax_f)/(Sens!K9368*(Sens!J9452+Sens!K9452)/2)</f>
        <v>0.270711455180788</v>
      </c>
    </row>
    <row r="9457" customFormat="false" ht="17.15" hidden="false" customHeight="false" outlineLevel="0" collapsed="false">
      <c r="A9457" s="0" t="s">
        <v>867</v>
      </c>
      <c r="B9457" s="0" t="s">
        <v>209</v>
      </c>
      <c r="F9457" s="7" t="n">
        <f aca="false">Sens!F9453-wacc</f>
        <v>-0.0241502220200835</v>
      </c>
      <c r="G9457" s="7" t="n">
        <f aca="false">Sens!G9453-wacc</f>
        <v>0.00562487994957479</v>
      </c>
      <c r="H9457" s="7" t="n">
        <f aca="false">Sens!H9453-wacc</f>
        <v>0.0322124577178859</v>
      </c>
      <c r="I9457" s="7" t="n">
        <f aca="false">Sens!I9453-wacc</f>
        <v>0.0448087201949121</v>
      </c>
      <c r="J9457" s="7" t="n">
        <f aca="false">Sens!J9453-wacc</f>
        <v>0.0597191830142614</v>
      </c>
      <c r="K9457" s="7" t="n">
        <f aca="false">Sens!K9453-wacc</f>
        <v>0.0782333394613372</v>
      </c>
    </row>
    <row r="9458" customFormat="false" ht="17.15" hidden="false" customHeight="false" outlineLevel="0" collapsed="false">
      <c r="A9458" s="0" t="s">
        <v>868</v>
      </c>
      <c r="B9458" s="0" t="s">
        <v>98</v>
      </c>
      <c r="F9458" s="6" t="n">
        <f aca="false">Sens!F9451*(1-tax_f)-wacc*(Sens!E9452+Sens!F9452)/2</f>
        <v>-4.58466685674177</v>
      </c>
      <c r="G9458" s="6" t="n">
        <f aca="false">Sens!G9451*(1-tax_f)-wacc*(Sens!F9452+Sens!G9452)/2</f>
        <v>1.77299252532771</v>
      </c>
      <c r="H9458" s="6" t="n">
        <f aca="false">Sens!H9451*(1-tax_f)-wacc*(Sens!G9452+Sens!H9452)/2</f>
        <v>13.7962542882725</v>
      </c>
      <c r="I9458" s="6" t="n">
        <f aca="false">Sens!I9451*(1-tax_f)-wacc*(Sens!H9452+Sens!I9452)/2</f>
        <v>22.6597473440428</v>
      </c>
      <c r="J9458" s="6" t="n">
        <f aca="false">Sens!J9451*(1-tax_f)-wacc*(Sens!I9452+Sens!J9452)/2</f>
        <v>31.7611409673044</v>
      </c>
      <c r="K9458" s="6" t="n">
        <f aca="false">Sens!K9451*(1-tax_f)-wacc*(Sens!J9452+Sens!K9452)/2</f>
        <v>40.8824784117176</v>
      </c>
    </row>
    <row r="9459" customFormat="false" ht="17.15" hidden="false" customHeight="false" outlineLevel="0" collapsed="false">
      <c r="A9459" s="3" t="s">
        <v>1505</v>
      </c>
    </row>
    <row r="9460" customFormat="false" ht="15" hidden="false" customHeight="false" outlineLevel="0" collapsed="false">
      <c r="A9460" s="4" t="s">
        <v>43</v>
      </c>
      <c r="B9460" s="4" t="s">
        <v>65</v>
      </c>
      <c r="C9460" s="20" t="s">
        <v>799</v>
      </c>
      <c r="D9460" s="20" t="s">
        <v>800</v>
      </c>
      <c r="E9460" s="20" t="s">
        <v>801</v>
      </c>
      <c r="F9460" s="20" t="s">
        <v>802</v>
      </c>
      <c r="G9460" s="20" t="s">
        <v>803</v>
      </c>
      <c r="H9460" s="20" t="s">
        <v>804</v>
      </c>
      <c r="I9460" s="20" t="s">
        <v>805</v>
      </c>
      <c r="J9460" s="20" t="s">
        <v>806</v>
      </c>
      <c r="K9460" s="20" t="s">
        <v>807</v>
      </c>
      <c r="L9460" s="4" t="s">
        <v>47</v>
      </c>
    </row>
    <row r="9461" customFormat="false" ht="15" hidden="false" customHeight="false" outlineLevel="0" collapsed="false">
      <c r="A9461" s="1" t="s">
        <v>925</v>
      </c>
      <c r="B9461" s="0" t="s">
        <v>98</v>
      </c>
      <c r="F9461" s="6" t="n">
        <f aca="false">Sens!F9442</f>
        <v>144.746465519045</v>
      </c>
      <c r="G9461" s="6" t="n">
        <f aca="false">Sens!G9442</f>
        <v>169.539341338588</v>
      </c>
      <c r="H9461" s="6" t="n">
        <f aca="false">Sens!H9442</f>
        <v>197.806784286706</v>
      </c>
      <c r="I9461" s="6" t="n">
        <f aca="false">Sens!I9442</f>
        <v>219.729783919206</v>
      </c>
      <c r="J9461" s="6" t="n">
        <f aca="false">Sens!J9442</f>
        <v>238.87826099228</v>
      </c>
      <c r="K9461" s="6" t="n">
        <f aca="false">Sens!K9442</f>
        <v>256.520238282213</v>
      </c>
    </row>
    <row r="9462" customFormat="false" ht="17.15" hidden="false" customHeight="false" outlineLevel="0" collapsed="false">
      <c r="A9462" s="1" t="s">
        <v>947</v>
      </c>
      <c r="B9462" s="0" t="s">
        <v>98</v>
      </c>
      <c r="E9462" s="6" t="n">
        <f aca="false">Q!M38-Sens!E9380</f>
        <v>22.2285940229167</v>
      </c>
      <c r="F9462" s="6" t="n">
        <f aca="false">Sens!E9462*(1-1/life_nonai)+(Sens!F9469+Sens!F9470)/life_nonai</f>
        <v>24.3924470334783</v>
      </c>
      <c r="G9462" s="6" t="n">
        <f aca="false">Sens!F9462*(1-1/life_nonai)+(Sens!G9469)/life_nonai</f>
        <v>26.1168066956631</v>
      </c>
      <c r="H9462" s="6" t="n">
        <f aca="false">Sens!G9462*(1-1/life_nonai)+(Sens!H9469)/life_nonai</f>
        <v>28.2686134181066</v>
      </c>
      <c r="I9462" s="6" t="n">
        <f aca="false">Sens!H9462*(1-1/life_nonai)+(Sens!I9469)/life_nonai</f>
        <v>30.7725493287686</v>
      </c>
      <c r="J9462" s="6" t="n">
        <f aca="false">Sens!I9462*(1-1/life_nonai)+(Sens!J9469)/life_nonai</f>
        <v>33.5379854141482</v>
      </c>
      <c r="K9462" s="6" t="n">
        <f aca="false">Sens!J9462*(1-1/life_nonai)+(Sens!K9469)/life_nonai</f>
        <v>36.4822505303046</v>
      </c>
      <c r="L9462" s="11" t="s">
        <v>948</v>
      </c>
    </row>
    <row r="9463" customFormat="false" ht="17.15" hidden="false" customHeight="false" outlineLevel="0" collapsed="false">
      <c r="A9463" s="1" t="s">
        <v>949</v>
      </c>
      <c r="B9463" s="0" t="s">
        <v>98</v>
      </c>
      <c r="F9463" s="6" t="n">
        <f aca="false">Sens!$F$9470/life_nonai*(1-1/life_nonai)^(Sens!F9346-2027)</f>
        <v>0.812784289897089</v>
      </c>
      <c r="G9463" s="6" t="n">
        <f aca="false">Sens!$F$9470/life_nonai*(1-1/life_nonai)^(Sens!G9346-2027)</f>
        <v>0.73150586090738</v>
      </c>
      <c r="H9463" s="6" t="n">
        <f aca="false">Sens!$F$9470/life_nonai*(1-1/life_nonai)^(Sens!H9346-2027)</f>
        <v>0.658355274816642</v>
      </c>
      <c r="I9463" s="6" t="n">
        <f aca="false">Sens!$F$9470/life_nonai*(1-1/life_nonai)^(Sens!I9346-2027)</f>
        <v>0.592519747334978</v>
      </c>
      <c r="J9463" s="6" t="n">
        <f aca="false">Sens!$F$9470/life_nonai*(1-1/life_nonai)^(Sens!J9346-2027)</f>
        <v>0.53326777260148</v>
      </c>
      <c r="K9463" s="6" t="n">
        <f aca="false">Sens!$F$9470/life_nonai*(1-1/life_nonai)^(Sens!K9346-2027)</f>
        <v>0.479940995341332</v>
      </c>
      <c r="L9463" s="1" t="s">
        <v>950</v>
      </c>
    </row>
    <row r="9464" customFormat="false" ht="17.15" hidden="false" customHeight="false" outlineLevel="0" collapsed="false">
      <c r="A9464" s="1" t="s">
        <v>951</v>
      </c>
      <c r="B9464" s="0" t="s">
        <v>98</v>
      </c>
      <c r="E9464" s="6" t="n">
        <f aca="false">Sens!E9380+Sens!E9462</f>
        <v>38.534</v>
      </c>
      <c r="F9464" s="6" t="n">
        <f aca="false">Sens!F9380+Sens!F9462</f>
        <v>58.4423344144339</v>
      </c>
      <c r="G9464" s="6" t="n">
        <f aca="false">Sens!G9380+Sens!G9462</f>
        <v>85.2422438061742</v>
      </c>
      <c r="H9464" s="6" t="n">
        <f aca="false">Sens!H9380+Sens!H9462</f>
        <v>114.629633261418</v>
      </c>
      <c r="I9464" s="6" t="n">
        <f aca="false">Sens!I9380+Sens!I9462</f>
        <v>141.378293161161</v>
      </c>
      <c r="J9464" s="6" t="n">
        <f aca="false">Sens!J9380+Sens!J9462</f>
        <v>161.536308266991</v>
      </c>
      <c r="K9464" s="6" t="n">
        <f aca="false">Sens!K9380+Sens!K9462</f>
        <v>175.613714574613</v>
      </c>
    </row>
    <row r="9465" customFormat="false" ht="17.15" hidden="false" customHeight="false" outlineLevel="0" collapsed="false">
      <c r="A9465" s="1" t="s">
        <v>952</v>
      </c>
      <c r="B9465" s="0" t="s">
        <v>98</v>
      </c>
      <c r="F9465" s="6" t="n">
        <f aca="false">Sens!F9407*sbc_r</f>
        <v>15.1287211080299</v>
      </c>
      <c r="G9465" s="6" t="n">
        <f aca="false">Sens!G9407*sbc_r</f>
        <v>18.3933691082386</v>
      </c>
      <c r="H9465" s="6" t="n">
        <f aca="false">Sens!H9407*sbc_r</f>
        <v>21.9114321670259</v>
      </c>
      <c r="I9465" s="6" t="n">
        <f aca="false">Sens!I9407*sbc_r</f>
        <v>24.9330347606214</v>
      </c>
      <c r="J9465" s="6" t="n">
        <f aca="false">Sens!J9407*sbc_r</f>
        <v>27.40006344023</v>
      </c>
      <c r="K9465" s="6" t="n">
        <f aca="false">Sens!K9407*sbc_r</f>
        <v>29.4175171568099</v>
      </c>
    </row>
    <row r="9466" customFormat="false" ht="17.15" hidden="false" customHeight="false" outlineLevel="0" collapsed="false">
      <c r="A9466" s="1" t="s">
        <v>953</v>
      </c>
      <c r="B9466" s="0" t="s">
        <v>98</v>
      </c>
      <c r="F9466" s="6" t="n">
        <f aca="false">wc27</f>
        <v>-4.895</v>
      </c>
      <c r="G9466" s="6" t="n">
        <f aca="false">wc_f</f>
        <v>0</v>
      </c>
      <c r="H9466" s="6" t="n">
        <f aca="false">wc_f</f>
        <v>0</v>
      </c>
      <c r="I9466" s="6" t="n">
        <f aca="false">wc_f</f>
        <v>0</v>
      </c>
      <c r="J9466" s="6" t="n">
        <f aca="false">wc_f</f>
        <v>0</v>
      </c>
      <c r="K9466" s="6" t="n">
        <f aca="false">wc_f</f>
        <v>0</v>
      </c>
      <c r="L9466" s="11" t="s">
        <v>954</v>
      </c>
    </row>
    <row r="9467" customFormat="false" ht="15" hidden="false" customHeight="false" outlineLevel="0" collapsed="false">
      <c r="A9467" s="1" t="s">
        <v>767</v>
      </c>
      <c r="B9467" s="0" t="s">
        <v>98</v>
      </c>
      <c r="E9467" s="6" t="n">
        <f aca="false">Q!M35</f>
        <v>182.935</v>
      </c>
      <c r="F9467" s="6" t="n">
        <f aca="false">Sens!F9461+Sens!F9464+Sens!F9465+Sens!F9466</f>
        <v>213.422521041508</v>
      </c>
      <c r="G9467" s="6" t="n">
        <f aca="false">Sens!G9461+Sens!G9464+Sens!G9465+Sens!G9466</f>
        <v>273.174954253001</v>
      </c>
      <c r="H9467" s="6" t="n">
        <f aca="false">Sens!H9461+Sens!H9464+Sens!H9465+Sens!H9466</f>
        <v>334.34784971515</v>
      </c>
      <c r="I9467" s="6" t="n">
        <f aca="false">Sens!I9461+Sens!I9464+Sens!I9465+Sens!I9466</f>
        <v>386.041111840989</v>
      </c>
      <c r="J9467" s="6" t="n">
        <f aca="false">Sens!J9461+Sens!J9464+Sens!J9465+Sens!J9466</f>
        <v>427.814632699502</v>
      </c>
      <c r="K9467" s="6" t="n">
        <f aca="false">Sens!K9461+Sens!K9464+Sens!K9465+Sens!K9466</f>
        <v>461.551470013636</v>
      </c>
    </row>
    <row r="9468" customFormat="false" ht="17.15" hidden="false" customHeight="false" outlineLevel="0" collapsed="false">
      <c r="A9468" s="0" t="s">
        <v>955</v>
      </c>
      <c r="B9468" s="0" t="s">
        <v>98</v>
      </c>
      <c r="F9468" s="6" t="n">
        <f aca="false">Sens!F9377</f>
        <v>160.332875871467</v>
      </c>
      <c r="G9468" s="6" t="n">
        <f aca="false">Sens!G9377</f>
        <v>183.5741804832</v>
      </c>
      <c r="H9468" s="6" t="n">
        <f aca="false">Sens!H9377</f>
        <v>188.0802859104</v>
      </c>
      <c r="I9468" s="6" t="n">
        <f aca="false">Sens!I9377</f>
        <v>163.706669154245</v>
      </c>
      <c r="J9468" s="6" t="n">
        <f aca="false">Sens!J9377</f>
        <v>127.181436594242</v>
      </c>
      <c r="K9468" s="6" t="n">
        <f aca="false">Sens!K9377</f>
        <v>121.407415303591</v>
      </c>
    </row>
    <row r="9469" customFormat="false" ht="17.15" hidden="false" customHeight="false" outlineLevel="0" collapsed="false">
      <c r="A9469" s="1" t="s">
        <v>956</v>
      </c>
      <c r="B9469" s="0" t="s">
        <v>98</v>
      </c>
      <c r="E9469" s="6" t="n">
        <f aca="false">Sens!E9385*cx_azo+Sens!E9392*cx_m365+Sens!E9393*cx_lic+(Sens!E9395+Sens!E9397)*cx_ind+Sens!E9400*cx_srch+(Sens!E9402+Sens!E9404)*cx_dev</f>
        <v>30.1846587067718</v>
      </c>
      <c r="F9469" s="6" t="n">
        <f aca="false">Sens!F9385*cx_azo+Sens!F9392*cx_m365+Sens!F9393*cx_lic+(Sens!F9395+Sens!F9397)*cx_ind+Sens!F9400*cx_srch+(Sens!F9402+Sens!F9404)*cx_dev</f>
        <v>35.7392812295625</v>
      </c>
      <c r="G9469" s="6" t="n">
        <f aca="false">Sens!G9385*cx_azo+Sens!G9392*cx_m365+Sens!G9393*cx_lic+(Sens!G9395+Sens!G9397)*cx_ind+Sens!G9400*cx_srch+(Sens!G9402+Sens!G9404)*cx_dev</f>
        <v>41.6360436553257</v>
      </c>
      <c r="H9469" s="6" t="n">
        <f aca="false">Sens!H9385*cx_azo+Sens!H9392*cx_m365+Sens!H9393*cx_lic+(Sens!H9395+Sens!H9397)*cx_ind+Sens!H9400*cx_srch+(Sens!H9402+Sens!H9404)*cx_dev</f>
        <v>47.6348739200982</v>
      </c>
      <c r="I9469" s="6" t="n">
        <f aca="false">Sens!I9385*cx_azo+Sens!I9392*cx_m365+Sens!I9393*cx_lic+(Sens!I9395+Sens!I9397)*cx_ind+Sens!I9400*cx_srch+(Sens!I9402+Sens!I9404)*cx_dev</f>
        <v>53.3079725247266</v>
      </c>
      <c r="J9469" s="6" t="n">
        <f aca="false">Sens!J9385*cx_azo+Sens!J9392*cx_m365+Sens!J9393*cx_lic+(Sens!J9395+Sens!J9397)*cx_ind+Sens!J9400*cx_srch+(Sens!J9402+Sens!J9404)*cx_dev</f>
        <v>58.4269101825644</v>
      </c>
      <c r="K9469" s="6" t="n">
        <f aca="false">Sens!K9385*cx_azo+Sens!K9392*cx_m365+Sens!K9393*cx_lic+(Sens!K9395+Sens!K9397)*cx_ind+Sens!K9400*cx_srch+(Sens!K9402+Sens!K9404)*cx_dev</f>
        <v>62.9806365757122</v>
      </c>
    </row>
    <row r="9470" customFormat="false" ht="17.15" hidden="false" customHeight="false" outlineLevel="0" collapsed="false">
      <c r="A9470" s="0" t="s">
        <v>957</v>
      </c>
      <c r="B9470" s="0" t="s">
        <v>98</v>
      </c>
      <c r="F9470" s="6" t="n">
        <f aca="false">Sens!F9375</f>
        <v>8.12784289897089</v>
      </c>
      <c r="L9470" s="1" t="s">
        <v>958</v>
      </c>
    </row>
    <row r="9471" customFormat="false" ht="17.15" hidden="false" customHeight="false" outlineLevel="0" collapsed="false">
      <c r="A9471" s="1" t="s">
        <v>959</v>
      </c>
      <c r="B9471" s="0" t="s">
        <v>98</v>
      </c>
      <c r="E9471" s="6" t="n">
        <f aca="false">Q!M42</f>
        <v>145.3</v>
      </c>
      <c r="F9471" s="6" t="n">
        <f aca="false">Sens!F9468+Sens!F9469+Sens!F9470</f>
        <v>204.2</v>
      </c>
      <c r="G9471" s="6" t="n">
        <f aca="false">Sens!G9468+Sens!G9469</f>
        <v>225.210224138526</v>
      </c>
      <c r="H9471" s="6" t="n">
        <f aca="false">Sens!H9468+Sens!H9469</f>
        <v>235.715159830498</v>
      </c>
      <c r="I9471" s="6" t="n">
        <f aca="false">Sens!I9468+Sens!I9469</f>
        <v>217.014641678972</v>
      </c>
      <c r="J9471" s="6" t="n">
        <f aca="false">Sens!J9468+Sens!J9469</f>
        <v>185.608346776807</v>
      </c>
      <c r="K9471" s="6" t="n">
        <f aca="false">Sens!K9468+Sens!K9469</f>
        <v>184.388051879303</v>
      </c>
      <c r="L9471" s="1" t="s">
        <v>960</v>
      </c>
    </row>
    <row r="9472" customFormat="false" ht="15" hidden="false" customHeight="false" outlineLevel="0" collapsed="false">
      <c r="A9472" s="1" t="s">
        <v>961</v>
      </c>
      <c r="B9472" s="0" t="s">
        <v>98</v>
      </c>
      <c r="E9472" s="6" t="n">
        <f aca="false">fl_liab</f>
        <v>66.594</v>
      </c>
      <c r="F9472" s="6" t="n">
        <f aca="false">Sens!E9472-Sens!F9473</f>
        <v>62.46973</v>
      </c>
      <c r="G9472" s="6" t="n">
        <f aca="false">Sens!F9472-Sens!G9473</f>
        <v>57.98686785</v>
      </c>
      <c r="H9472" s="6" t="n">
        <f aca="false">Sens!G9472-Sens!H9473</f>
        <v>53.92827690325</v>
      </c>
      <c r="I9472" s="6" t="n">
        <f aca="false">Sens!H9472-Sens!I9473</f>
        <v>49.7850493638962</v>
      </c>
      <c r="J9472" s="6" t="n">
        <f aca="false">Sens!I9472-Sens!J9473</f>
        <v>45.4823765852716</v>
      </c>
      <c r="K9472" s="6" t="n">
        <f aca="false">Sens!J9472-Sens!K9473</f>
        <v>40.9860835316088</v>
      </c>
    </row>
    <row r="9473" customFormat="false" ht="15" hidden="false" customHeight="false" outlineLevel="0" collapsed="false">
      <c r="A9473" s="1" t="s">
        <v>962</v>
      </c>
      <c r="B9473" s="0" t="s">
        <v>98</v>
      </c>
      <c r="F9473" s="6" t="n">
        <f aca="false">fl_pay_27-Sens!E9472*fl_rate</f>
        <v>4.12427</v>
      </c>
      <c r="G9473" s="6" t="n">
        <f aca="false">fl_pay_28-Sens!F9472*fl_rate</f>
        <v>4.48286215</v>
      </c>
      <c r="H9473" s="6" t="n">
        <f aca="false">fl_pay_29-Sens!G9472*fl_rate</f>
        <v>4.05859094675</v>
      </c>
      <c r="I9473" s="6" t="n">
        <f aca="false">fl_pay_30-Sens!H9472*fl_rate</f>
        <v>4.14322753935375</v>
      </c>
      <c r="J9473" s="6" t="n">
        <f aca="false">fl_pay_31-Sens!I9472*fl_rate</f>
        <v>4.30267277862467</v>
      </c>
      <c r="K9473" s="6" t="n">
        <f aca="false">fl_pay_32-Sens!J9472*fl_rate</f>
        <v>4.49629305366278</v>
      </c>
    </row>
    <row r="9474" customFormat="false" ht="17.15" hidden="false" customHeight="false" outlineLevel="0" collapsed="false">
      <c r="A9474" s="1" t="s">
        <v>963</v>
      </c>
      <c r="B9474" s="0" t="s">
        <v>98</v>
      </c>
      <c r="E9474" s="6" t="n">
        <f aca="false">Q!M35-Q!M36-Q!M43</f>
        <v>63.886</v>
      </c>
      <c r="F9474" s="6" t="n">
        <f aca="false">Sens!F9467-Sens!F9471-Sens!F9473</f>
        <v>5.09825104150829</v>
      </c>
      <c r="G9474" s="6" t="n">
        <f aca="false">Sens!G9467-Sens!G9471-Sens!G9473</f>
        <v>43.4818679644751</v>
      </c>
      <c r="H9474" s="6" t="n">
        <f aca="false">Sens!H9467-Sens!H9471-Sens!H9473</f>
        <v>94.5740989379019</v>
      </c>
      <c r="I9474" s="6" t="n">
        <f aca="false">Sens!I9467-Sens!I9471-Sens!I9473</f>
        <v>164.883242622663</v>
      </c>
      <c r="J9474" s="6" t="n">
        <f aca="false">Sens!J9467-Sens!J9471-Sens!J9473</f>
        <v>237.90361314407</v>
      </c>
      <c r="K9474" s="6" t="n">
        <f aca="false">Sens!K9467-Sens!K9471-Sens!K9473</f>
        <v>272.66712508067</v>
      </c>
      <c r="L9474" s="11" t="s">
        <v>964</v>
      </c>
    </row>
    <row r="9475" customFormat="false" ht="15" hidden="false" customHeight="false" outlineLevel="0" collapsed="false">
      <c r="A9475" s="1" t="s">
        <v>965</v>
      </c>
      <c r="B9475" s="0" t="s">
        <v>75</v>
      </c>
      <c r="F9475" s="8" t="n">
        <f aca="false">dps_27</f>
        <v>3.85</v>
      </c>
      <c r="G9475" s="8" t="n">
        <f aca="false">Sens!F9475*(1+dps_g)</f>
        <v>4.158</v>
      </c>
      <c r="H9475" s="8" t="n">
        <f aca="false">Sens!G9475*(1+dps_g)</f>
        <v>4.49064</v>
      </c>
      <c r="I9475" s="8" t="n">
        <f aca="false">Sens!H9475*(1+dps_g)</f>
        <v>4.8498912</v>
      </c>
      <c r="J9475" s="8" t="n">
        <f aca="false">Sens!I9475*(1+dps_g)</f>
        <v>5.237882496</v>
      </c>
      <c r="K9475" s="8" t="n">
        <f aca="false">Sens!J9475*(1+dps_g)</f>
        <v>5.65691309568</v>
      </c>
    </row>
    <row r="9476" customFormat="false" ht="17.15" hidden="false" customHeight="false" outlineLevel="0" collapsed="false">
      <c r="A9476" s="1" t="s">
        <v>966</v>
      </c>
      <c r="B9476" s="0" t="s">
        <v>98</v>
      </c>
      <c r="E9476" s="6" t="n">
        <f aca="false">Q!M41</f>
        <v>26.445</v>
      </c>
      <c r="F9476" s="6" t="n">
        <f aca="false">Sens!F9475*Sens!E9485</f>
        <v>28.59395</v>
      </c>
      <c r="G9476" s="6" t="n">
        <f aca="false">Sens!G9475*Sens!F9485</f>
        <v>31.068576</v>
      </c>
      <c r="H9476" s="6" t="n">
        <f aca="false">Sens!H9475*Sens!G9485</f>
        <v>33.6628888240884</v>
      </c>
      <c r="I9476" s="6" t="n">
        <f aca="false">Sens!I9475*Sens!H9485</f>
        <v>36.4068591700149</v>
      </c>
      <c r="J9476" s="6" t="n">
        <f aca="false">Sens!J9475*Sens!I9485</f>
        <v>39.3878067519355</v>
      </c>
      <c r="K9476" s="6" t="n">
        <f aca="false">Sens!K9475*Sens!J9485</f>
        <v>42.6260865173954</v>
      </c>
      <c r="L9476" s="1" t="s">
        <v>967</v>
      </c>
    </row>
    <row r="9477" customFormat="false" ht="15" hidden="false" customHeight="false" outlineLevel="0" collapsed="false">
      <c r="A9477" s="1" t="s">
        <v>968</v>
      </c>
      <c r="B9477" s="0" t="s">
        <v>98</v>
      </c>
      <c r="E9477" s="6" t="n">
        <f aca="false">Sens!E9474-Sens!E9476</f>
        <v>37.441</v>
      </c>
      <c r="F9477" s="6" t="n">
        <f aca="false">Sens!F9474-Sens!F9476</f>
        <v>-23.4956989584917</v>
      </c>
      <c r="G9477" s="6" t="n">
        <f aca="false">Sens!G9474-Sens!G9476</f>
        <v>12.4132919644751</v>
      </c>
      <c r="H9477" s="6" t="n">
        <f aca="false">Sens!H9474-Sens!H9476</f>
        <v>60.9112101138135</v>
      </c>
      <c r="I9477" s="6" t="n">
        <f aca="false">Sens!I9474-Sens!I9476</f>
        <v>128.476383452648</v>
      </c>
      <c r="J9477" s="6" t="n">
        <f aca="false">Sens!J9474-Sens!J9476</f>
        <v>198.515806392135</v>
      </c>
      <c r="K9477" s="6" t="n">
        <f aca="false">Sens!K9474-Sens!K9476</f>
        <v>230.041038563275</v>
      </c>
    </row>
    <row r="9478" customFormat="false" ht="15" hidden="false" customHeight="false" outlineLevel="0" collapsed="false">
      <c r="A9478" s="1" t="s">
        <v>969</v>
      </c>
      <c r="B9478" s="0" t="s">
        <v>98</v>
      </c>
      <c r="F9478" s="6" t="n">
        <f aca="false">debt_mat_27</f>
        <v>9.25</v>
      </c>
      <c r="G9478" s="6" t="n">
        <f aca="false">debt_mat_28</f>
        <v>0</v>
      </c>
      <c r="H9478" s="6" t="n">
        <f aca="false">debt_mat_29</f>
        <v>2.001</v>
      </c>
      <c r="I9478" s="6" t="n">
        <f aca="false">debt_mat_30</f>
        <v>0</v>
      </c>
      <c r="J9478" s="6" t="n">
        <f aca="false">debt_mat_31</f>
        <v>0.5</v>
      </c>
      <c r="K9478" s="6" t="n">
        <f aca="false">debt_mat_32</f>
        <v>0</v>
      </c>
    </row>
    <row r="9479" customFormat="false" ht="15" hidden="false" customHeight="false" outlineLevel="0" collapsed="false">
      <c r="A9479" s="1" t="s">
        <v>970</v>
      </c>
      <c r="B9479" s="0" t="s">
        <v>98</v>
      </c>
      <c r="E9479" s="6" t="n">
        <f aca="false">Q!M40</f>
        <v>22.271</v>
      </c>
      <c r="F9479" s="6" t="n">
        <f aca="false">MAX(0,MIN(bb_target,Sens!E9481+Sens!F9477-Sens!F9478-min_cash))</f>
        <v>0</v>
      </c>
      <c r="G9479" s="6" t="n">
        <f aca="false">MAX(0,MIN(bb_target,Sens!F9481+Sens!G9477-Sens!G9478-min_cash))</f>
        <v>12.4132919644751</v>
      </c>
      <c r="H9479" s="6" t="n">
        <f aca="false">MAX(0,MIN(bb_target,Sens!G9481+Sens!H9477-Sens!H9478-min_cash))</f>
        <v>22.271</v>
      </c>
      <c r="I9479" s="6" t="n">
        <f aca="false">MAX(0,MIN(bb_target,Sens!H9481+Sens!I9477-Sens!I9478-min_cash))</f>
        <v>22.271</v>
      </c>
      <c r="J9479" s="6" t="n">
        <f aca="false">MAX(0,MIN(bb_target,Sens!I9481+Sens!J9477-Sens!J9478-min_cash))</f>
        <v>22.271</v>
      </c>
      <c r="K9479" s="6" t="n">
        <f aca="false">MAX(0,MIN(bb_target,Sens!J9481+Sens!K9477-Sens!K9478-min_cash))</f>
        <v>22.271</v>
      </c>
    </row>
    <row r="9480" customFormat="false" ht="15" hidden="false" customHeight="false" outlineLevel="0" collapsed="false">
      <c r="A9480" s="1" t="s">
        <v>971</v>
      </c>
      <c r="B9480" s="0" t="s">
        <v>98</v>
      </c>
      <c r="F9480" s="6" t="n">
        <f aca="false">MAX(0,min_cash-(Sens!E9481+Sens!F9477-Sens!F9478-Sens!F9479))</f>
        <v>5.90269895849171</v>
      </c>
      <c r="G9480" s="6" t="n">
        <f aca="false">MAX(0,min_cash-(Sens!F9481+Sens!G9477-Sens!G9478-Sens!G9479))</f>
        <v>0</v>
      </c>
      <c r="H9480" s="6" t="n">
        <f aca="false">MAX(0,min_cash-(Sens!G9481+Sens!H9477-Sens!H9478-Sens!H9479))</f>
        <v>0</v>
      </c>
      <c r="I9480" s="6" t="n">
        <f aca="false">MAX(0,min_cash-(Sens!H9481+Sens!I9477-Sens!I9478-Sens!I9479))</f>
        <v>0</v>
      </c>
      <c r="J9480" s="6" t="n">
        <f aca="false">MAX(0,min_cash-(Sens!I9481+Sens!J9477-Sens!J9478-Sens!J9479))</f>
        <v>0</v>
      </c>
      <c r="K9480" s="6" t="n">
        <f aca="false">MAX(0,min_cash-(Sens!J9481+Sens!K9477-Sens!K9478-Sens!K9479))</f>
        <v>0</v>
      </c>
    </row>
    <row r="9481" customFormat="false" ht="15" hidden="false" customHeight="false" outlineLevel="0" collapsed="false">
      <c r="A9481" s="1" t="s">
        <v>972</v>
      </c>
      <c r="B9481" s="0" t="s">
        <v>98</v>
      </c>
      <c r="E9481" s="6" t="n">
        <f aca="false">cash_open</f>
        <v>76.843</v>
      </c>
      <c r="F9481" s="6" t="n">
        <f aca="false">Sens!E9481+Sens!F9477-Sens!F9478-Sens!F9479+Sens!F9480</f>
        <v>50</v>
      </c>
      <c r="G9481" s="6" t="n">
        <f aca="false">Sens!F9481+Sens!G9477-Sens!G9478-Sens!G9479+Sens!G9480</f>
        <v>50</v>
      </c>
      <c r="H9481" s="6" t="n">
        <f aca="false">Sens!G9481+Sens!H9477-Sens!H9478-Sens!H9479+Sens!H9480</f>
        <v>86.6392101138135</v>
      </c>
      <c r="I9481" s="6" t="n">
        <f aca="false">Sens!H9481+Sens!I9477-Sens!I9478-Sens!I9479+Sens!I9480</f>
        <v>192.844593566462</v>
      </c>
      <c r="J9481" s="6" t="n">
        <f aca="false">Sens!I9481+Sens!J9477-Sens!J9478-Sens!J9479+Sens!J9480</f>
        <v>368.589399958597</v>
      </c>
      <c r="K9481" s="6" t="n">
        <f aca="false">Sens!J9481+Sens!K9477-Sens!K9478-Sens!K9479+Sens!K9480</f>
        <v>576.359438521872</v>
      </c>
    </row>
    <row r="9482" customFormat="false" ht="15" hidden="false" customHeight="false" outlineLevel="0" collapsed="false">
      <c r="A9482" s="1" t="s">
        <v>973</v>
      </c>
      <c r="B9482" s="0" t="s">
        <v>98</v>
      </c>
      <c r="E9482" s="6" t="n">
        <f aca="false">debt_face</f>
        <v>46.136</v>
      </c>
      <c r="F9482" s="6" t="n">
        <f aca="false">Sens!E9482-Sens!F9478+Sens!F9480</f>
        <v>42.7886989584917</v>
      </c>
      <c r="G9482" s="6" t="n">
        <f aca="false">Sens!F9482-Sens!G9478+Sens!G9480</f>
        <v>42.7886989584917</v>
      </c>
      <c r="H9482" s="6" t="n">
        <f aca="false">Sens!G9482-Sens!H9478+Sens!H9480</f>
        <v>40.7876989584917</v>
      </c>
      <c r="I9482" s="6" t="n">
        <f aca="false">Sens!H9482-Sens!I9478+Sens!I9480</f>
        <v>40.7876989584917</v>
      </c>
      <c r="J9482" s="6" t="n">
        <f aca="false">Sens!I9482-Sens!J9478+Sens!J9480</f>
        <v>40.2876989584917</v>
      </c>
      <c r="K9482" s="6" t="n">
        <f aca="false">Sens!J9482-Sens!K9478+Sens!K9480</f>
        <v>40.2876989584917</v>
      </c>
    </row>
    <row r="9483" customFormat="false" ht="15" hidden="false" customHeight="false" outlineLevel="0" collapsed="false">
      <c r="A9483" s="1" t="s">
        <v>974</v>
      </c>
      <c r="B9483" s="0" t="s">
        <v>98</v>
      </c>
      <c r="E9483" s="6" t="n">
        <f aca="false">Sens!E9481-Sens!E9482</f>
        <v>30.707</v>
      </c>
      <c r="F9483" s="6" t="n">
        <f aca="false">Sens!F9481-Sens!F9482</f>
        <v>7.21130104150829</v>
      </c>
      <c r="G9483" s="6" t="n">
        <f aca="false">Sens!G9481-Sens!G9482</f>
        <v>7.21130104150829</v>
      </c>
      <c r="H9483" s="6" t="n">
        <f aca="false">Sens!H9481-Sens!H9482</f>
        <v>45.8515111553218</v>
      </c>
      <c r="I9483" s="6" t="n">
        <f aca="false">Sens!I9481-Sens!I9482</f>
        <v>152.05689460797</v>
      </c>
      <c r="J9483" s="6" t="n">
        <f aca="false">Sens!J9481-Sens!J9482</f>
        <v>328.301701000105</v>
      </c>
      <c r="K9483" s="6" t="n">
        <f aca="false">Sens!K9481-Sens!K9482</f>
        <v>536.07173956338</v>
      </c>
    </row>
    <row r="9484" customFormat="false" ht="15" hidden="false" customHeight="false" outlineLevel="0" collapsed="false">
      <c r="A9484" s="1" t="s">
        <v>975</v>
      </c>
      <c r="B9484" s="0" t="s">
        <v>75</v>
      </c>
      <c r="F9484" s="29" t="n">
        <f aca="false">px*(1+bb_g)^(Sens!F9346-base_fy-mid_yr)</f>
        <v>553.494156066711</v>
      </c>
      <c r="G9484" s="29" t="n">
        <f aca="false">px*(1+bb_g)^(Sens!G9346-base_fy-mid_yr)</f>
        <v>597.773688552047</v>
      </c>
      <c r="H9484" s="29" t="n">
        <f aca="false">px*(1+bb_g)^(Sens!H9346-base_fy-mid_yr)</f>
        <v>645.595583636211</v>
      </c>
      <c r="I9484" s="29" t="n">
        <f aca="false">px*(1+bb_g)^(Sens!I9346-base_fy-mid_yr)</f>
        <v>697.243230327108</v>
      </c>
      <c r="J9484" s="29" t="n">
        <f aca="false">px*(1+bb_g)^(Sens!J9346-base_fy-mid_yr)</f>
        <v>753.022688753277</v>
      </c>
      <c r="K9484" s="29" t="n">
        <f aca="false">px*(1+bb_g)^(Sens!K9346-base_fy-mid_yr)</f>
        <v>813.264503853539</v>
      </c>
    </row>
    <row r="9485" customFormat="false" ht="15" hidden="false" customHeight="false" outlineLevel="0" collapsed="false">
      <c r="A9485" s="1" t="s">
        <v>976</v>
      </c>
      <c r="B9485" s="1" t="s">
        <v>81</v>
      </c>
      <c r="E9485" s="14" t="n">
        <f aca="false">sh_out26</f>
        <v>7.427</v>
      </c>
      <c r="F9485" s="14" t="n">
        <f aca="false">Sens!E9485+sh_iss-Sens!F9479/Sens!F9484</f>
        <v>7.472</v>
      </c>
      <c r="G9485" s="14" t="n">
        <f aca="false">Sens!F9485+sh_iss-Sens!G9479/Sens!G9484</f>
        <v>7.49623412789455</v>
      </c>
      <c r="H9485" s="14" t="n">
        <f aca="false">Sens!G9485+sh_iss-Sens!H9479/Sens!H9484</f>
        <v>7.50673729959445</v>
      </c>
      <c r="I9485" s="14" t="n">
        <f aca="false">Sens!H9485+sh_iss-Sens!I9479/Sens!I9484</f>
        <v>7.51979579190918</v>
      </c>
      <c r="J9485" s="14" t="n">
        <f aca="false">Sens!I9485+sh_iss-Sens!J9479/Sens!J9484</f>
        <v>7.53522032183022</v>
      </c>
      <c r="K9485" s="14" t="n">
        <f aca="false">Sens!J9485+sh_iss-Sens!K9479/Sens!K9484</f>
        <v>7.55283562731266</v>
      </c>
    </row>
    <row r="9486" customFormat="false" ht="15" hidden="false" customHeight="false" outlineLevel="0" collapsed="false">
      <c r="A9486" s="1" t="s">
        <v>977</v>
      </c>
      <c r="B9486" s="1" t="s">
        <v>81</v>
      </c>
      <c r="E9486" s="14" t="n">
        <f aca="false">sh_dil26</f>
        <v>7.453</v>
      </c>
      <c r="F9486" s="14" t="n">
        <f aca="false">(Sens!E9485+Sens!F9485)/2+dil_gap</f>
        <v>7.4735</v>
      </c>
      <c r="G9486" s="14" t="n">
        <f aca="false">(Sens!F9485+Sens!G9485)/2+dil_gap</f>
        <v>7.50811706394727</v>
      </c>
      <c r="H9486" s="14" t="n">
        <f aca="false">(Sens!G9485+Sens!H9485)/2+dil_gap</f>
        <v>7.5254857137445</v>
      </c>
      <c r="I9486" s="14" t="n">
        <f aca="false">(Sens!H9485+Sens!I9485)/2+dil_gap</f>
        <v>7.53726654575181</v>
      </c>
      <c r="J9486" s="14" t="n">
        <f aca="false">(Sens!I9485+Sens!J9485)/2+dil_gap</f>
        <v>7.5515080568697</v>
      </c>
      <c r="K9486" s="14" t="n">
        <f aca="false">(Sens!J9485+Sens!K9485)/2+dil_gap</f>
        <v>7.56802797457144</v>
      </c>
    </row>
    <row r="9487" customFormat="false" ht="17.15" hidden="false" customHeight="false" outlineLevel="0" collapsed="false">
      <c r="A9487" s="1" t="s">
        <v>978</v>
      </c>
      <c r="B9487" s="0" t="s">
        <v>98</v>
      </c>
      <c r="C9487" s="6" t="n">
        <f aca="false">SUM(Sens!F9477:J9477)</f>
        <v>376.82099296458</v>
      </c>
    </row>
    <row r="9488" customFormat="false" ht="15" hidden="false" customHeight="false" outlineLevel="0" collapsed="false">
      <c r="A9488" s="23" t="s">
        <v>945</v>
      </c>
      <c r="B9488" s="30" t="s">
        <v>98</v>
      </c>
      <c r="C9488" s="24" t="n">
        <f aca="false">Sens!$C$9487-(Sens!F9477+Sens!G9477+Sens!H9477+Sens!I9477+Sens!J9477)</f>
        <v>0</v>
      </c>
      <c r="D9488" s="30"/>
      <c r="E9488" s="30"/>
      <c r="F9488" s="30"/>
      <c r="G9488" s="30"/>
      <c r="H9488" s="30"/>
      <c r="I9488" s="30"/>
      <c r="J9488" s="30"/>
      <c r="K9488" s="30"/>
    </row>
    <row r="9489" customFormat="false" ht="17.15" hidden="false" customHeight="false" outlineLevel="0" collapsed="false">
      <c r="A9489" s="1" t="s">
        <v>939</v>
      </c>
      <c r="B9489" s="1" t="s">
        <v>979</v>
      </c>
      <c r="C9489" s="32" t="str">
        <f aca="false">IF(SUM(Sens!F9480:J9480)&gt;0.05,"需要舉債 "&amp;TEXT(SUM(Sens!F9480:J9480),"0.0")&amp;" 十億美元","不需舉債")&amp;"；"&amp;IF(SUM(Sens!F9479:J9479)&lt;COUNT(Sens!F9479:J9479)*bb_target-0.05,"回購較每年 "&amp;TEXT(bb_target,"0.0")&amp;" 的目標少 "&amp;TEXT(COUNT(Sens!F9479:J9479)*bb_target-SUM(Sens!F9479:J9479),"0.0")&amp;" 十億美元（"&amp;TEXT(COUNTIF(Sens!F9479:J9479,"&lt;"&amp;(bb_target-0.05)),"0")&amp;" 年減少）","回購不減")</f>
        <v>需要舉債 5.9 十億美元；回購較每年 22.3 的目標少 32.1 十億美元（2 年減少）</v>
      </c>
    </row>
    <row r="9490" customFormat="false" ht="17.15" hidden="false" customHeight="false" outlineLevel="0" collapsed="false">
      <c r="A9490" s="3" t="s">
        <v>1506</v>
      </c>
    </row>
    <row r="9491" customFormat="false" ht="15" hidden="false" customHeight="false" outlineLevel="0" collapsed="false">
      <c r="A9491" s="4" t="s">
        <v>43</v>
      </c>
      <c r="B9491" s="4" t="s">
        <v>65</v>
      </c>
      <c r="C9491" s="20" t="s">
        <v>799</v>
      </c>
      <c r="D9491" s="20" t="s">
        <v>800</v>
      </c>
      <c r="E9491" s="20" t="s">
        <v>801</v>
      </c>
      <c r="F9491" s="20" t="s">
        <v>802</v>
      </c>
      <c r="G9491" s="20" t="s">
        <v>803</v>
      </c>
      <c r="H9491" s="20" t="s">
        <v>804</v>
      </c>
      <c r="I9491" s="20" t="s">
        <v>805</v>
      </c>
      <c r="J9491" s="20" t="s">
        <v>806</v>
      </c>
      <c r="K9491" s="20" t="s">
        <v>807</v>
      </c>
      <c r="L9491" s="4" t="s">
        <v>47</v>
      </c>
    </row>
    <row r="9492" customFormat="false" ht="15" hidden="false" customHeight="false" outlineLevel="0" collapsed="false">
      <c r="A9492" s="1" t="s">
        <v>1057</v>
      </c>
      <c r="B9492" s="1" t="s">
        <v>235</v>
      </c>
      <c r="F9492" s="36" t="n">
        <f aca="false">Sens!F9346-base_fy-mid_yr</f>
        <v>0.5</v>
      </c>
      <c r="G9492" s="36" t="n">
        <f aca="false">Sens!G9346-base_fy-mid_yr</f>
        <v>1.5</v>
      </c>
      <c r="H9492" s="36" t="n">
        <f aca="false">Sens!H9346-base_fy-mid_yr</f>
        <v>2.5</v>
      </c>
      <c r="I9492" s="36" t="n">
        <f aca="false">Sens!I9346-base_fy-mid_yr</f>
        <v>3.5</v>
      </c>
      <c r="J9492" s="36" t="n">
        <f aca="false">Sens!J9346-base_fy-mid_yr</f>
        <v>4.5</v>
      </c>
      <c r="K9492" s="36" t="n">
        <f aca="false">Sens!K9346-base_fy-mid_yr</f>
        <v>5.5</v>
      </c>
    </row>
    <row r="9493" customFormat="false" ht="15" hidden="false" customHeight="false" outlineLevel="0" collapsed="false">
      <c r="A9493" s="1" t="s">
        <v>1058</v>
      </c>
      <c r="B9493" s="0" t="s">
        <v>185</v>
      </c>
      <c r="F9493" s="14" t="n">
        <f aca="false">1/(1+wacc)^Sens!F9492</f>
        <v>0.952193373608246</v>
      </c>
      <c r="G9493" s="14" t="n">
        <f aca="false">1/(1+wacc)^Sens!G9492</f>
        <v>0.863327280626589</v>
      </c>
      <c r="H9493" s="14" t="n">
        <f aca="false">1/(1+wacc)^Sens!H9492</f>
        <v>0.782754862754115</v>
      </c>
      <c r="I9493" s="14" t="n">
        <f aca="false">1/(1+wacc)^Sens!I9492</f>
        <v>0.709702089711011</v>
      </c>
      <c r="J9493" s="14" t="n">
        <f aca="false">1/(1+wacc)^Sens!J9492</f>
        <v>0.643467169744551</v>
      </c>
      <c r="K9493" s="14" t="n">
        <f aca="false">1/(1+wacc)^Sens!K9492</f>
        <v>0.583413807767797</v>
      </c>
    </row>
    <row r="9494" customFormat="false" ht="17.15" hidden="false" customHeight="false" outlineLevel="0" collapsed="false">
      <c r="A9494" s="1" t="s">
        <v>1059</v>
      </c>
      <c r="B9494" s="0" t="s">
        <v>98</v>
      </c>
      <c r="F9494" s="6" t="n">
        <f aca="false">Sens!F9467-Sens!F9465-Sens!F9471+Sens!F9450*(1-tax_f)</f>
        <v>0.847787491588659</v>
      </c>
      <c r="G9494" s="6" t="n">
        <f aca="false">Sens!G9467-Sens!G9465-Sens!G9471+Sens!G9450*(1-tax_f)</f>
        <v>46.6636188316372</v>
      </c>
      <c r="H9494" s="6" t="n">
        <f aca="false">Sens!H9467-Sens!H9465-Sens!H9471+Sens!H9450*(1-tax_f)</f>
        <v>105.378968970734</v>
      </c>
      <c r="I9494" s="6" t="n">
        <f aca="false">Sens!I9467-Sens!I9465-Sens!I9471+Sens!I9450*(1-tax_f)</f>
        <v>183.588782720794</v>
      </c>
      <c r="J9494" s="6" t="n">
        <f aca="false">Sens!J9467-Sens!J9465-Sens!J9471+Sens!J9450*(1-tax_f)</f>
        <v>262.032040133614</v>
      </c>
      <c r="K9494" s="6" t="n">
        <f aca="false">Sens!K9467-Sens!K9465-Sens!K9471+Sens!K9450*(1-tax_f)</f>
        <v>299.121508801267</v>
      </c>
      <c r="L9494" s="1" t="s">
        <v>1060</v>
      </c>
    </row>
    <row r="9495" customFormat="false" ht="15" hidden="false" customHeight="false" outlineLevel="0" collapsed="false">
      <c r="A9495" s="1" t="s">
        <v>1061</v>
      </c>
      <c r="B9495" s="0" t="s">
        <v>98</v>
      </c>
      <c r="F9495" s="6" t="n">
        <f aca="false">Sens!F9494*Sens!F9493</f>
        <v>0.807257631718678</v>
      </c>
      <c r="G9495" s="6" t="n">
        <f aca="false">Sens!G9494*Sens!G9493</f>
        <v>40.285975150113</v>
      </c>
      <c r="H9495" s="6" t="n">
        <f aca="false">Sens!H9494*Sens!H9493</f>
        <v>82.4859003938575</v>
      </c>
      <c r="I9495" s="6" t="n">
        <f aca="false">Sens!I9494*Sens!I9493</f>
        <v>130.293342744448</v>
      </c>
      <c r="J9495" s="6" t="n">
        <f aca="false">Sens!J9494*Sens!J9493</f>
        <v>168.609015247167</v>
      </c>
      <c r="K9495" s="6" t="n">
        <f aca="false">Sens!K9494*Sens!K9493</f>
        <v>174.511618434996</v>
      </c>
    </row>
    <row r="9496" customFormat="false" ht="17.15" hidden="false" customHeight="false" outlineLevel="0" collapsed="false">
      <c r="A9496" s="1" t="s">
        <v>1062</v>
      </c>
      <c r="B9496" s="0" t="s">
        <v>98</v>
      </c>
      <c r="C9496" s="6" t="n">
        <f aca="false">SUM(Sens!F9495:K9495)</f>
        <v>596.9931096023</v>
      </c>
    </row>
    <row r="9497" customFormat="false" ht="17.15" hidden="false" customHeight="false" outlineLevel="0" collapsed="false">
      <c r="A9497" s="1" t="s">
        <v>1063</v>
      </c>
      <c r="B9497" s="0" t="s">
        <v>98</v>
      </c>
      <c r="C9497" s="6" t="n">
        <f aca="false">Sens!K9436*(1+g_tv)*(1-tax_f)</f>
        <v>317.462321489136</v>
      </c>
    </row>
    <row r="9498" customFormat="false" ht="17.15" hidden="false" customHeight="false" outlineLevel="0" collapsed="false">
      <c r="A9498" s="1" t="s">
        <v>1064</v>
      </c>
      <c r="B9498" s="0" t="s">
        <v>98</v>
      </c>
      <c r="C9498" s="6" t="n">
        <f aca="false">Sens!$C$9497*(1-g_tv/(wacc+ronic_prem))</f>
        <v>224.938658014072</v>
      </c>
    </row>
    <row r="9499" customFormat="false" ht="17.15" hidden="false" customHeight="false" outlineLevel="0" collapsed="false">
      <c r="A9499" s="1" t="s">
        <v>1065</v>
      </c>
      <c r="B9499" s="0" t="s">
        <v>98</v>
      </c>
      <c r="C9499" s="6" t="n">
        <f aca="false">Sens!$C$9498/(wacc-g_tv)</f>
        <v>3084.12211583546</v>
      </c>
    </row>
    <row r="9500" customFormat="false" ht="15" hidden="false" customHeight="false" outlineLevel="0" collapsed="false">
      <c r="A9500" s="1" t="s">
        <v>1066</v>
      </c>
      <c r="B9500" s="0" t="s">
        <v>98</v>
      </c>
      <c r="C9500" s="6" t="n">
        <f aca="false">Sens!$C$9499/(1+wacc)^(Sens!K9492+mid_yr)</f>
        <v>1713.30003560389</v>
      </c>
    </row>
    <row r="9501" customFormat="false" ht="17.15" hidden="false" customHeight="false" outlineLevel="0" collapsed="false">
      <c r="A9501" s="0" t="s">
        <v>986</v>
      </c>
      <c r="B9501" s="0" t="s">
        <v>98</v>
      </c>
      <c r="C9501" s="6" t="n">
        <f aca="false">Sens!$C$9496+Sens!$C$9500</f>
        <v>2310.29314520619</v>
      </c>
    </row>
    <row r="9502" customFormat="false" ht="15" hidden="false" customHeight="false" outlineLevel="0" collapsed="false">
      <c r="A9502" s="1" t="s">
        <v>987</v>
      </c>
      <c r="B9502" s="0" t="s">
        <v>129</v>
      </c>
      <c r="C9502" s="7" t="n">
        <f aca="false">Sens!$C$9500/Sens!$C$9501</f>
        <v>0.741594216802725</v>
      </c>
    </row>
    <row r="9503" customFormat="false" ht="17.15" hidden="false" customHeight="false" outlineLevel="0" collapsed="false">
      <c r="A9503" s="1" t="s">
        <v>1067</v>
      </c>
      <c r="B9503" s="0" t="s">
        <v>98</v>
      </c>
      <c r="C9503" s="6" t="n">
        <f aca="false">Sens!$C$9501+Sens!E9483-Sens!E9472+oai_v</f>
        <v>2444.80614520619</v>
      </c>
    </row>
    <row r="9504" customFormat="false" ht="17.15" hidden="false" customHeight="false" outlineLevel="0" collapsed="false">
      <c r="A9504" s="0" t="s">
        <v>994</v>
      </c>
      <c r="B9504" s="0" t="s">
        <v>75</v>
      </c>
      <c r="C9504" s="5" t="n">
        <f aca="false">Sens!$C$9503/sh_dil26</f>
        <v>328.029806146007</v>
      </c>
    </row>
    <row r="9505" customFormat="false" ht="15" hidden="false" customHeight="false" outlineLevel="0" collapsed="false">
      <c r="A9505" s="1" t="s">
        <v>1068</v>
      </c>
      <c r="B9505" s="0" t="s">
        <v>75</v>
      </c>
      <c r="C9505" s="8" t="n">
        <f aca="false">dps_27+Sens!G9475*roll_div_q/q_per_yr</f>
        <v>4.8895</v>
      </c>
    </row>
    <row r="9506" customFormat="false" ht="17.15" hidden="false" customHeight="false" outlineLevel="0" collapsed="false">
      <c r="A9506" s="0" t="s">
        <v>1069</v>
      </c>
      <c r="B9506" s="0" t="s">
        <v>75</v>
      </c>
      <c r="C9506" s="5" t="n">
        <f aca="false">Sens!$C$9504*(1+wacc)^t_roll-Sens!$C$9505</f>
        <v>368.648993018115</v>
      </c>
    </row>
    <row r="9507" customFormat="false" ht="17.15" hidden="false" customHeight="false" outlineLevel="0" collapsed="false">
      <c r="A9507" s="1" t="s">
        <v>1070</v>
      </c>
      <c r="B9507" s="0" t="s">
        <v>129</v>
      </c>
      <c r="F9507" s="7" t="n">
        <f aca="false">Sens!F9462/(Sens!F9407-Sens!F9363)</f>
        <v>0.0705050706461212</v>
      </c>
      <c r="G9507" s="7" t="n">
        <f aca="false">Sens!G9462/(Sens!G9407-Sens!G9363)</f>
        <v>0.0668528094117528</v>
      </c>
      <c r="H9507" s="7" t="n">
        <f aca="false">Sens!H9462/(Sens!H9407-Sens!H9363)</f>
        <v>0.0647835993895638</v>
      </c>
      <c r="I9507" s="7" t="n">
        <f aca="false">Sens!I9462/(Sens!I9407-Sens!I9363)</f>
        <v>0.0641628761411131</v>
      </c>
      <c r="J9507" s="7" t="n">
        <f aca="false">Sens!J9462/(Sens!J9407-Sens!J9363)</f>
        <v>0.0646108553247008</v>
      </c>
      <c r="K9507" s="7" t="n">
        <f aca="false">Sens!K9462/(Sens!K9407-Sens!K9363)</f>
        <v>0.065653633049609</v>
      </c>
    </row>
    <row r="9508" customFormat="false" ht="17.15" hidden="false" customHeight="false" outlineLevel="0" collapsed="false">
      <c r="A9508" s="0" t="s">
        <v>1071</v>
      </c>
      <c r="B9508" s="0" t="s">
        <v>98</v>
      </c>
      <c r="F9508" s="6" t="n">
        <f aca="false">Sens!F9392*(al_m365+Sens!F9507+sbc_r)</f>
        <v>85.2242852704024</v>
      </c>
      <c r="G9508" s="6" t="n">
        <f aca="false">Sens!G9392*(al_m365+Sens!G9507+sbc_r)</f>
        <v>99.6804134546022</v>
      </c>
      <c r="H9508" s="6" t="n">
        <f aca="false">Sens!H9392*(al_m365+Sens!H9507+sbc_r)</f>
        <v>114.29675753156</v>
      </c>
      <c r="I9508" s="6" t="n">
        <f aca="false">Sens!I9392*(al_m365+Sens!I9507+sbc_r)</f>
        <v>127.389450915452</v>
      </c>
      <c r="J9508" s="6" t="n">
        <f aca="false">Sens!J9392*(al_m365+Sens!J9507+sbc_r)</f>
        <v>138.771960845155</v>
      </c>
      <c r="K9508" s="6" t="n">
        <f aca="false">Sens!K9392*(al_m365+Sens!K9507+sbc_r)</f>
        <v>149.766394062133</v>
      </c>
      <c r="L9508" s="11" t="s">
        <v>1072</v>
      </c>
    </row>
    <row r="9509" customFormat="false" ht="17.15" hidden="false" customHeight="false" outlineLevel="0" collapsed="false">
      <c r="A9509" s="0" t="s">
        <v>1073</v>
      </c>
      <c r="B9509" s="0" t="s">
        <v>98</v>
      </c>
      <c r="F9509" s="6" t="n">
        <f aca="false">Sens!F9393*(al_lic+Sens!F9507+sbc_r)</f>
        <v>33.5194581019858</v>
      </c>
      <c r="G9509" s="6" t="n">
        <f aca="false">Sens!G9393*(al_lic+Sens!G9507+sbc_r)</f>
        <v>34.7900716140171</v>
      </c>
      <c r="H9509" s="6" t="n">
        <f aca="false">Sens!H9393*(al_lic+Sens!H9507+sbc_r)</f>
        <v>35.9815230653293</v>
      </c>
      <c r="I9509" s="6" t="n">
        <f aca="false">Sens!I9393*(al_lic+Sens!I9507+sbc_r)</f>
        <v>37.0761181030878</v>
      </c>
      <c r="J9509" s="6" t="n">
        <f aca="false">Sens!J9393*(al_lic+Sens!J9507+sbc_r)</f>
        <v>38.0447543004091</v>
      </c>
      <c r="K9509" s="6" t="n">
        <f aca="false">Sens!K9393*(al_lic+Sens!K9507+sbc_r)</f>
        <v>38.8531446660893</v>
      </c>
    </row>
    <row r="9510" customFormat="false" ht="17.15" hidden="false" customHeight="false" outlineLevel="0" collapsed="false">
      <c r="A9510" s="0" t="s">
        <v>1074</v>
      </c>
      <c r="B9510" s="0" t="s">
        <v>98</v>
      </c>
      <c r="F9510" s="6" t="n">
        <f aca="false">Sens!F9395*(al_ind+Sens!F9507+sbc_r)</f>
        <v>9.11923421119965</v>
      </c>
      <c r="G9510" s="6" t="n">
        <f aca="false">Sens!G9395*(al_ind+Sens!G9507+sbc_r)</f>
        <v>9.87919470900627</v>
      </c>
      <c r="H9510" s="6" t="n">
        <f aca="false">Sens!H9395*(al_ind+Sens!H9507+sbc_r)</f>
        <v>10.6870858753647</v>
      </c>
      <c r="I9510" s="6" t="n">
        <f aca="false">Sens!I9395*(al_ind+Sens!I9507+sbc_r)</f>
        <v>11.5409052331539</v>
      </c>
      <c r="J9510" s="6" t="n">
        <f aca="false">Sens!J9395*(al_ind+Sens!J9507+sbc_r)</f>
        <v>12.4293375396766</v>
      </c>
      <c r="K9510" s="6" t="n">
        <f aca="false">Sens!K9395*(al_ind+Sens!K9507+sbc_r)</f>
        <v>13.3338900110518</v>
      </c>
    </row>
    <row r="9511" customFormat="false" ht="17.15" hidden="false" customHeight="false" outlineLevel="0" collapsed="false">
      <c r="A9511" s="0" t="s">
        <v>1075</v>
      </c>
      <c r="B9511" s="0" t="s">
        <v>98</v>
      </c>
      <c r="F9511" s="6" t="n">
        <f aca="false">Sens!F9397*(al_fro+Sens!F9507+sbc_r)</f>
        <v>3.58936260134416</v>
      </c>
      <c r="G9511" s="6" t="n">
        <f aca="false">Sens!G9397*(al_fro+Sens!G9507+sbc_r)</f>
        <v>3.7930266937352</v>
      </c>
      <c r="H9511" s="6" t="n">
        <f aca="false">Sens!H9397*(al_fro+Sens!H9507+sbc_r)</f>
        <v>4.02725975064446</v>
      </c>
      <c r="I9511" s="6" t="n">
        <f aca="false">Sens!I9397*(al_fro+Sens!I9507+sbc_r)</f>
        <v>4.2950552186489</v>
      </c>
      <c r="J9511" s="6" t="n">
        <f aca="false">Sens!J9397*(al_fro+Sens!J9507+sbc_r)</f>
        <v>4.59684668072774</v>
      </c>
      <c r="K9511" s="6" t="n">
        <f aca="false">Sens!K9397*(al_fro+Sens!K9507+sbc_r)</f>
        <v>4.93138494652929</v>
      </c>
    </row>
    <row r="9512" customFormat="false" ht="17.15" hidden="false" customHeight="false" outlineLevel="0" collapsed="false">
      <c r="A9512" s="0" t="s">
        <v>1076</v>
      </c>
      <c r="B9512" s="0" t="s">
        <v>98</v>
      </c>
      <c r="F9512" s="6" t="n">
        <f aca="false">Sens!F9400*(al_srch+Sens!F9507+sbc_r)</f>
        <v>11.3130354557819</v>
      </c>
      <c r="G9512" s="6" t="n">
        <f aca="false">Sens!G9400*(al_srch+Sens!G9507+sbc_r)</f>
        <v>12.4835743611723</v>
      </c>
      <c r="H9512" s="6" t="n">
        <f aca="false">Sens!H9400*(al_srch+Sens!H9507+sbc_r)</f>
        <v>13.7868118876613</v>
      </c>
      <c r="I9512" s="6" t="n">
        <f aca="false">Sens!I9400*(al_srch+Sens!I9507+sbc_r)</f>
        <v>15.2345763403172</v>
      </c>
      <c r="J9512" s="6" t="n">
        <f aca="false">Sens!J9400*(al_srch+Sens!J9507+sbc_r)</f>
        <v>16.8279674268654</v>
      </c>
      <c r="K9512" s="6" t="n">
        <f aca="false">Sens!K9400*(al_srch+Sens!K9507+sbc_r)</f>
        <v>18.5587814020646</v>
      </c>
    </row>
    <row r="9513" customFormat="false" ht="17.15" hidden="false" customHeight="false" outlineLevel="0" collapsed="false">
      <c r="A9513" s="0" t="s">
        <v>1077</v>
      </c>
      <c r="B9513" s="0" t="s">
        <v>98</v>
      </c>
      <c r="F9513" s="6" t="n">
        <f aca="false">Sens!F9369-Sens!F9370+Sens!F9450</f>
        <v>45.0374073018652</v>
      </c>
      <c r="G9513" s="6" t="n">
        <f aca="false">Sens!G9369-Sens!G9370+Sens!G9450</f>
        <v>89.051993487491</v>
      </c>
      <c r="H9513" s="6" t="n">
        <f aca="false">Sens!H9369-Sens!H9370+Sens!H9450</f>
        <v>140.728332825594</v>
      </c>
      <c r="I9513" s="6" t="n">
        <f aca="false">Sens!I9369-Sens!I9370+Sens!I9450</f>
        <v>182.158665153016</v>
      </c>
      <c r="J9513" s="6" t="n">
        <f aca="false">Sens!J9369-Sens!J9370+Sens!J9450</f>
        <v>211.722320149272</v>
      </c>
      <c r="K9513" s="6" t="n">
        <f aca="false">Sens!K9369-Sens!K9370+Sens!K9450</f>
        <v>230.495012322217</v>
      </c>
    </row>
    <row r="9514" customFormat="false" ht="17.15" hidden="false" customHeight="false" outlineLevel="0" collapsed="false">
      <c r="A9514" s="0" t="s">
        <v>1078</v>
      </c>
      <c r="B9514" s="0" t="s">
        <v>98</v>
      </c>
      <c r="F9514" s="6" t="n">
        <f aca="false">Sens!F9429+Sens!F9450+Sens!F9380+Sens!F9507*(Sens!F9399-Sens!F9363)+sbc_r*Sens!F9399</f>
        <v>236.973019364834</v>
      </c>
      <c r="G9514" s="6" t="n">
        <f aca="false">Sens!G9429+Sens!G9450+Sens!G9380+Sens!G9507*(Sens!G9399-Sens!G9363)+sbc_r*Sens!G9399</f>
        <v>310.279274536986</v>
      </c>
      <c r="H9514" s="6" t="n">
        <f aca="false">Sens!H9429+Sens!H9450+Sens!H9380+Sens!H9507*(Sens!H9399-Sens!H9363)+sbc_r*Sens!H9399</f>
        <v>391.938775853543</v>
      </c>
      <c r="I9514" s="6" t="n">
        <f aca="false">Sens!I9429+Sens!I9450+Sens!I9380+Sens!I9507*(Sens!I9399-Sens!I9363)+sbc_r*Sens!I9399</f>
        <v>461.267038882597</v>
      </c>
      <c r="J9514" s="6" t="n">
        <f aca="false">Sens!J9429+Sens!J9450+Sens!J9380+Sens!J9507*(Sens!J9399-Sens!J9363)+sbc_r*Sens!J9399</f>
        <v>515.760673927359</v>
      </c>
      <c r="K9514" s="6" t="n">
        <f aca="false">Sens!K9429+Sens!K9450+Sens!K9380+Sens!K9507*(Sens!K9399-Sens!K9363)+sbc_r*Sens!K9399</f>
        <v>557.050743447981</v>
      </c>
    </row>
    <row r="9515" customFormat="false" ht="17.15" hidden="false" customHeight="false" outlineLevel="0" collapsed="false">
      <c r="A9515" s="0" t="s">
        <v>1079</v>
      </c>
      <c r="B9515" s="0" t="s">
        <v>98</v>
      </c>
      <c r="F9515" s="6" t="n">
        <f aca="false">Sens!F9514-Sens!F9508-Sens!F9509-Sens!F9510-Sens!F9511-Sens!F9513</f>
        <v>60.4832718780365</v>
      </c>
      <c r="G9515" s="6" t="n">
        <f aca="false">Sens!G9514-Sens!G9508-Sens!G9509-Sens!G9510-Sens!G9511-Sens!G9513</f>
        <v>73.0845745781344</v>
      </c>
      <c r="H9515" s="6" t="n">
        <f aca="false">Sens!H9514-Sens!H9508-Sens!H9509-Sens!H9510-Sens!H9511-Sens!H9513</f>
        <v>86.2178168050507</v>
      </c>
      <c r="I9515" s="6" t="n">
        <f aca="false">Sens!I9514-Sens!I9508-Sens!I9509-Sens!I9510-Sens!I9511-Sens!I9513</f>
        <v>98.806844259238</v>
      </c>
      <c r="J9515" s="6" t="n">
        <f aca="false">Sens!J9514-Sens!J9508-Sens!J9509-Sens!J9510-Sens!J9511-Sens!J9513</f>
        <v>110.19545441212</v>
      </c>
      <c r="K9515" s="6" t="n">
        <f aca="false">Sens!K9514-Sens!K9508-Sens!K9509-Sens!K9510-Sens!K9511-Sens!K9513</f>
        <v>119.670917439961</v>
      </c>
    </row>
    <row r="9516" customFormat="false" ht="17.15" hidden="false" customHeight="false" outlineLevel="0" collapsed="false">
      <c r="A9516" s="0" t="s">
        <v>1080</v>
      </c>
      <c r="B9516" s="0" t="s">
        <v>98</v>
      </c>
      <c r="F9516" s="6" t="n">
        <f aca="false">Sens!F9431+Sens!F9507*Sens!F9406+sbc_r*Sens!F9406</f>
        <v>26.3736025040736</v>
      </c>
      <c r="G9516" s="6" t="n">
        <f aca="false">Sens!G9431+Sens!G9507*Sens!G9406+sbc_r*Sens!G9406</f>
        <v>27.0458373324125</v>
      </c>
      <c r="H9516" s="6" t="n">
        <f aca="false">Sens!H9431+Sens!H9507*Sens!H9406+sbc_r*Sens!H9406</f>
        <v>28.082908999669</v>
      </c>
      <c r="I9516" s="6" t="n">
        <f aca="false">Sens!I9431+Sens!I9507*Sens!I9406+sbc_r*Sens!I9406</f>
        <v>29.4757030874417</v>
      </c>
      <c r="J9516" s="6" t="n">
        <f aca="false">Sens!J9431+Sens!J9507*Sens!J9406+sbc_r*Sens!J9406</f>
        <v>31.2057960841482</v>
      </c>
      <c r="K9516" s="6" t="n">
        <f aca="false">Sens!K9431+Sens!K9507*Sens!K9406+sbc_r*Sens!K9406</f>
        <v>33.2502959158883</v>
      </c>
    </row>
    <row r="9517" customFormat="false" ht="17.15" hidden="false" customHeight="false" outlineLevel="0" collapsed="false">
      <c r="A9517" s="0" t="s">
        <v>1081</v>
      </c>
      <c r="B9517" s="0" t="s">
        <v>98</v>
      </c>
      <c r="F9517" s="6" t="n">
        <f aca="false">(Sens!F9516-Sens!F9512)*Sens!F9402/(Sens!F9402+Sens!F9404)</f>
        <v>8.256056168076</v>
      </c>
      <c r="G9517" s="6" t="n">
        <f aca="false">(Sens!G9516-Sens!G9512)*Sens!G9402/(Sens!G9402+Sens!G9404)</f>
        <v>7.84055628650651</v>
      </c>
      <c r="H9517" s="6" t="n">
        <f aca="false">(Sens!H9516-Sens!H9512)*Sens!H9402/(Sens!H9402+Sens!H9404)</f>
        <v>7.59327135152646</v>
      </c>
      <c r="I9517" s="6" t="n">
        <f aca="false">(Sens!I9516-Sens!I9512)*Sens!I9402/(Sens!I9402+Sens!I9404)</f>
        <v>7.49563438921417</v>
      </c>
      <c r="J9517" s="6" t="n">
        <f aca="false">(Sens!J9516-Sens!J9512)*Sens!J9402/(Sens!J9402+Sens!J9404)</f>
        <v>7.53336534286695</v>
      </c>
      <c r="K9517" s="6" t="n">
        <f aca="false">(Sens!K9516-Sens!K9512)*Sens!K9402/(Sens!K9402+Sens!K9404)</f>
        <v>7.69772327315962</v>
      </c>
    </row>
    <row r="9518" customFormat="false" ht="17.15" hidden="false" customHeight="false" outlineLevel="0" collapsed="false">
      <c r="A9518" s="0" t="s">
        <v>1082</v>
      </c>
      <c r="B9518" s="0" t="s">
        <v>98</v>
      </c>
      <c r="F9518" s="6" t="n">
        <f aca="false">Sens!F9516-Sens!F9512-Sens!F9517</f>
        <v>6.80451088021576</v>
      </c>
      <c r="G9518" s="6" t="n">
        <f aca="false">Sens!G9516-Sens!G9512-Sens!G9517</f>
        <v>6.72170668473372</v>
      </c>
      <c r="H9518" s="6" t="n">
        <f aca="false">Sens!H9516-Sens!H9512-Sens!H9517</f>
        <v>6.70282576048129</v>
      </c>
      <c r="I9518" s="6" t="n">
        <f aca="false">Sens!I9516-Sens!I9512-Sens!I9517</f>
        <v>6.74549235791038</v>
      </c>
      <c r="J9518" s="6" t="n">
        <f aca="false">Sens!J9516-Sens!J9512-Sens!J9517</f>
        <v>6.8444633144158</v>
      </c>
      <c r="K9518" s="6" t="n">
        <f aca="false">Sens!K9516-Sens!K9512-Sens!K9517</f>
        <v>6.99379124066416</v>
      </c>
    </row>
    <row r="9519" customFormat="false" ht="17.15" hidden="false" customHeight="false" outlineLevel="0" collapsed="false">
      <c r="A9519" s="0" t="s">
        <v>1083</v>
      </c>
      <c r="B9519" s="0" t="s">
        <v>98</v>
      </c>
      <c r="F9519" s="6" t="n">
        <f aca="false">Sens!F9513-tax_f*(Sens!F9513-Sens!F9380)-Sens!F9377</f>
        <v>-117.492972553783</v>
      </c>
      <c r="G9519" s="6" t="n">
        <f aca="false">Sens!G9513-tax_f*(Sens!G9513-Sens!G9380)-Sens!G9377</f>
        <v>-100.507498271105</v>
      </c>
      <c r="H9519" s="6" t="n">
        <f aca="false">Sens!H9513-tax_f*(Sens!H9513-Sens!H9380)-Sens!H9377</f>
        <v>-58.2254156812621</v>
      </c>
      <c r="I9519" s="6" t="n">
        <f aca="false">Sens!I9513-tax_f*(Sens!I9513-Sens!I9380)-Sens!I9377</f>
        <v>4.14141173464586</v>
      </c>
      <c r="J9519" s="6" t="n">
        <f aca="false">Sens!J9513-tax_f*(Sens!J9513-Sens!J9380)-Sens!J9377</f>
        <v>67.7960840957439</v>
      </c>
      <c r="K9519" s="6" t="n">
        <f aca="false">Sens!K9513-tax_f*(Sens!K9513-Sens!K9380)-Sens!K9377</f>
        <v>90.8148873630444</v>
      </c>
    </row>
    <row r="9520" customFormat="false" ht="17.15" hidden="false" customHeight="false" outlineLevel="0" collapsed="false">
      <c r="A9520" s="0" t="s">
        <v>1084</v>
      </c>
      <c r="B9520" s="0" t="s">
        <v>98</v>
      </c>
      <c r="G9520" s="6" t="n">
        <f aca="false">Sens!G9519/(1+wacc)^(Sens!G9492-(Sens!F9492+mid_yr))</f>
        <v>-95.7025738516884</v>
      </c>
      <c r="H9520" s="6" t="n">
        <f aca="false">Sens!H9519/(1+wacc)^(Sens!H9492-(Sens!F9492+mid_yr))</f>
        <v>-50.2675897834568</v>
      </c>
      <c r="I9520" s="6" t="n">
        <f aca="false">Sens!I9519/(1+wacc)^(Sens!I9492-(Sens!F9492+mid_yr))</f>
        <v>3.241710173961</v>
      </c>
      <c r="J9520" s="6" t="n">
        <f aca="false">Sens!J9519/(1+wacc)^(Sens!J9492-(Sens!F9492+mid_yr))</f>
        <v>48.1150225569729</v>
      </c>
      <c r="K9520" s="6" t="n">
        <f aca="false">Sens!K9519/(1+wacc)^(Sens!K9492-(Sens!F9492+mid_yr))</f>
        <v>58.4363985421684</v>
      </c>
      <c r="L9520" s="1" t="s">
        <v>1085</v>
      </c>
    </row>
    <row r="9521" customFormat="false" ht="17.15" hidden="false" customHeight="false" outlineLevel="0" collapsed="false">
      <c r="A9521" s="0" t="s">
        <v>1086</v>
      </c>
      <c r="B9521" s="0" t="s">
        <v>98</v>
      </c>
      <c r="C9521" s="6" t="n">
        <f aca="false">(Sens!K9513-Sens!K9380)*(1-tax_f)*(1+g_tv)*(1-g_tv/(wacc+ronic_prem))/(wacc-g_tv)/(1+wacc)^(Sens!K9492+mid_yr-(Sens!F9492+mid_yr))</f>
        <v>448.116665852667</v>
      </c>
    </row>
    <row r="9522" customFormat="false" ht="17.15" hidden="false" customHeight="false" outlineLevel="0" collapsed="false">
      <c r="A9522" s="1" t="s">
        <v>1087</v>
      </c>
      <c r="B9522" s="0" t="s">
        <v>98</v>
      </c>
      <c r="C9522" s="6" t="n">
        <f aca="false">(SUM(Sens!G9520:K9520)+Sens!$C$9521)*(1+wacc)^(t_roll-(Sens!F9492+mid_yr))</f>
        <v>425.310341738423</v>
      </c>
      <c r="L9522" s="11" t="s">
        <v>1088</v>
      </c>
    </row>
    <row r="9523" customFormat="false" ht="17.15" hidden="false" customHeight="false" outlineLevel="0" collapsed="false">
      <c r="A9523" s="1" t="s">
        <v>1089</v>
      </c>
      <c r="B9523" s="0" t="s">
        <v>98</v>
      </c>
      <c r="C9523" s="6" t="n">
        <f aca="false">(w_ntm28*Sens!G9369+(1-w_ntm28)*Sens!H9369)*m_ai</f>
        <v>551.711134531404</v>
      </c>
    </row>
    <row r="9524" customFormat="false" ht="17.15" hidden="false" customHeight="false" outlineLevel="0" collapsed="false">
      <c r="A9524" s="1" t="s">
        <v>1090</v>
      </c>
      <c r="B9524" s="0" t="s">
        <v>98</v>
      </c>
      <c r="C9524" s="6" t="n">
        <f aca="false">(w_ntm28*Sens!G9515+(1-w_ntm28)*Sens!H9515)*m_cloud</f>
        <v>1068.70598805055</v>
      </c>
    </row>
    <row r="9525" customFormat="false" ht="17.15" hidden="false" customHeight="false" outlineLevel="0" collapsed="false">
      <c r="A9525" s="1" t="s">
        <v>1091</v>
      </c>
      <c r="B9525" s="0" t="s">
        <v>98</v>
      </c>
      <c r="C9525" s="6" t="n">
        <f aca="false">(w_ntm28*Sens!G9508+(1-w_ntm28)*Sens!H9508)*m_sw</f>
        <v>1127.58153076635</v>
      </c>
    </row>
    <row r="9526" customFormat="false" ht="17.15" hidden="false" customHeight="false" outlineLevel="0" collapsed="false">
      <c r="A9526" s="1" t="s">
        <v>1092</v>
      </c>
      <c r="B9526" s="0" t="s">
        <v>98</v>
      </c>
      <c r="C9526" s="6" t="n">
        <f aca="false">(w_ntm28*Sens!G9509+(1-w_ntm28)*Sens!H9509)*m_sw</f>
        <v>379.892734334268</v>
      </c>
    </row>
    <row r="9527" customFormat="false" ht="17.15" hidden="false" customHeight="false" outlineLevel="0" collapsed="false">
      <c r="A9527" s="1" t="s">
        <v>1093</v>
      </c>
      <c r="B9527" s="0" t="s">
        <v>98</v>
      </c>
      <c r="C9527" s="6" t="n">
        <f aca="false">(w_ntm28*Sens!G9510+(1-w_ntm28)*Sens!H9510)*m_sw</f>
        <v>109.516060398109</v>
      </c>
    </row>
    <row r="9528" customFormat="false" ht="17.15" hidden="false" customHeight="false" outlineLevel="0" collapsed="false">
      <c r="A9528" s="1" t="s">
        <v>1094</v>
      </c>
      <c r="B9528" s="0" t="s">
        <v>98</v>
      </c>
      <c r="C9528" s="6" t="n">
        <f aca="false">(w_ntm28*Sens!G9511+(1-w_ntm28)*Sens!H9511)*m_sw</f>
        <v>41.7825146148749</v>
      </c>
    </row>
    <row r="9529" customFormat="false" ht="17.15" hidden="false" customHeight="false" outlineLevel="0" collapsed="false">
      <c r="A9529" s="1" t="s">
        <v>1095</v>
      </c>
      <c r="B9529" s="0" t="s">
        <v>98</v>
      </c>
      <c r="C9529" s="6" t="n">
        <f aca="false">(w_ntm28*Sens!G9512+(1-w_ntm28)*Sens!H9512)*m_ads</f>
        <v>117.563593324047</v>
      </c>
    </row>
    <row r="9530" customFormat="false" ht="17.15" hidden="false" customHeight="false" outlineLevel="0" collapsed="false">
      <c r="A9530" s="1" t="s">
        <v>1096</v>
      </c>
      <c r="B9530" s="0" t="s">
        <v>98</v>
      </c>
      <c r="C9530" s="6" t="n">
        <f aca="false">(w_ntm28*Sens!G9517+(1-w_ntm28)*Sens!H9517)*m_game</f>
        <v>98.0165310218699</v>
      </c>
    </row>
    <row r="9531" customFormat="false" ht="17.15" hidden="false" customHeight="false" outlineLevel="0" collapsed="false">
      <c r="A9531" s="1" t="s">
        <v>1097</v>
      </c>
      <c r="B9531" s="0" t="s">
        <v>98</v>
      </c>
      <c r="C9531" s="6" t="n">
        <f aca="false">(w_ntm28*Sens!G9518+(1-w_ntm28)*Sens!H9518)*m_pc</f>
        <v>97.1747712817296</v>
      </c>
    </row>
    <row r="9532" customFormat="false" ht="17.15" hidden="false" customHeight="false" outlineLevel="0" collapsed="false">
      <c r="A9532" s="1" t="s">
        <v>1098</v>
      </c>
      <c r="B9532" s="0" t="s">
        <v>98</v>
      </c>
      <c r="C9532" s="6" t="n">
        <f aca="false">Sens!$C$9522+Sens!$C$9524+Sens!$C$9525+Sens!$C$9526+Sens!$C$9527+Sens!$C$9528+Sens!$C$9529+Sens!$C$9530+Sens!$C$9531</f>
        <v>3465.54406553021</v>
      </c>
    </row>
    <row r="9533" customFormat="false" ht="17.15" hidden="false" customHeight="false" outlineLevel="0" collapsed="false">
      <c r="A9533" s="1" t="s">
        <v>1099</v>
      </c>
      <c r="B9533" s="0" t="s">
        <v>98</v>
      </c>
      <c r="C9533" s="6" t="n">
        <f aca="false">(Sens!G9494-Sens!G9519)*t_stub</f>
        <v>47.981816260894</v>
      </c>
      <c r="L9533" s="1" t="s">
        <v>1100</v>
      </c>
    </row>
    <row r="9534" customFormat="false" ht="17.15" hidden="false" customHeight="false" outlineLevel="0" collapsed="false">
      <c r="A9534" s="1" t="s">
        <v>1014</v>
      </c>
      <c r="B9534" s="0" t="s">
        <v>98</v>
      </c>
      <c r="C9534" s="6" t="n">
        <f aca="false">Sens!F9483+oai_v-Sens!F9472+Sens!$C$9533</f>
        <v>163.123387302402</v>
      </c>
      <c r="L9534" s="1" t="s">
        <v>1101</v>
      </c>
    </row>
    <row r="9535" customFormat="false" ht="17.15" hidden="false" customHeight="false" outlineLevel="0" collapsed="false">
      <c r="A9535" s="1" t="s">
        <v>1102</v>
      </c>
      <c r="B9535" s="0" t="s">
        <v>75</v>
      </c>
      <c r="C9535" s="5" t="n">
        <f aca="false">(Sens!$C$9532+Sens!$C$9534)/(Sens!F9485+dil_gap)-Sens!G9475*roll_div_q/q_per_yr</f>
        <v>483.041003312782</v>
      </c>
      <c r="L9535" s="1" t="s">
        <v>1103</v>
      </c>
    </row>
    <row r="9536" customFormat="false" ht="17.15" hidden="false" customHeight="false" outlineLevel="0" collapsed="false">
      <c r="A9536" s="1" t="s">
        <v>1104</v>
      </c>
      <c r="B9536" s="0" t="s">
        <v>75</v>
      </c>
      <c r="C9536" s="5" t="n">
        <f aca="false">w_dcf*Sens!$C$9506+(1-w_dcf)*Sens!$C$9535</f>
        <v>425.844998165449</v>
      </c>
    </row>
    <row r="9537" customFormat="false" ht="17.15" hidden="false" customHeight="false" outlineLevel="0" collapsed="false">
      <c r="A9537" s="3" t="s">
        <v>1507</v>
      </c>
    </row>
    <row r="9538" customFormat="false" ht="15" hidden="false" customHeight="false" outlineLevel="0" collapsed="false">
      <c r="A9538" s="4" t="s">
        <v>43</v>
      </c>
      <c r="B9538" s="4" t="s">
        <v>65</v>
      </c>
      <c r="C9538" s="20" t="s">
        <v>799</v>
      </c>
      <c r="D9538" s="20" t="s">
        <v>800</v>
      </c>
      <c r="E9538" s="20" t="s">
        <v>801</v>
      </c>
      <c r="F9538" s="20" t="s">
        <v>802</v>
      </c>
      <c r="G9538" s="20" t="s">
        <v>803</v>
      </c>
      <c r="H9538" s="20" t="s">
        <v>804</v>
      </c>
      <c r="I9538" s="20" t="s">
        <v>805</v>
      </c>
      <c r="J9538" s="20" t="s">
        <v>806</v>
      </c>
      <c r="K9538" s="20" t="s">
        <v>807</v>
      </c>
      <c r="L9538" s="4" t="s">
        <v>47</v>
      </c>
    </row>
    <row r="9539" customFormat="false" ht="17.15" hidden="false" customHeight="false" outlineLevel="0" collapsed="false">
      <c r="A9539" s="1" t="s">
        <v>808</v>
      </c>
      <c r="B9539" s="1" t="s">
        <v>235</v>
      </c>
      <c r="C9539" s="28" t="n">
        <v>2024</v>
      </c>
      <c r="D9539" s="28" t="n">
        <v>2025</v>
      </c>
      <c r="E9539" s="28" t="n">
        <v>2026</v>
      </c>
      <c r="F9539" s="28" t="n">
        <v>2027</v>
      </c>
      <c r="G9539" s="28" t="n">
        <v>2028</v>
      </c>
      <c r="H9539" s="28" t="n">
        <v>2029</v>
      </c>
      <c r="I9539" s="28" t="n">
        <v>2030</v>
      </c>
      <c r="J9539" s="28" t="n">
        <v>2031</v>
      </c>
      <c r="K9539" s="28" t="n">
        <v>2032</v>
      </c>
    </row>
    <row r="9540" customFormat="false" ht="17.15" hidden="false" customHeight="false" outlineLevel="0" collapsed="false">
      <c r="A9540" s="1" t="s">
        <v>809</v>
      </c>
      <c r="B9540" s="0" t="s">
        <v>399</v>
      </c>
      <c r="F9540" s="29" t="n">
        <f aca="false">pace</f>
        <v>2527.2</v>
      </c>
      <c r="G9540" s="29" t="n">
        <f aca="false">pace</f>
        <v>2527.2</v>
      </c>
      <c r="H9540" s="29" t="n">
        <f aca="false">pace</f>
        <v>2527.2</v>
      </c>
      <c r="I9540" s="29" t="n">
        <f aca="false">pace+(g_tv*Sens!H9541-pace)*MIN(1,(Sens!I9539-pace_y0)/(pace_y1-pace_y0))</f>
        <v>1793.116</v>
      </c>
      <c r="J9540" s="29" t="n">
        <f aca="false">pace+(g_tv*Sens!I9541-pace)*MIN(1,(Sens!J9539-pace_y0)/(pace_y1-pace_y0))</f>
        <v>1094.89432</v>
      </c>
      <c r="K9540" s="29" t="n">
        <f aca="false">pace+(g_tv*Sens!J9541-pace)*MIN(1,(Sens!K9539-pace_y0)/(pace_y1-pace_y0))</f>
        <v>411.5883096</v>
      </c>
      <c r="L9540" s="11" t="s">
        <v>810</v>
      </c>
    </row>
    <row r="9541" customFormat="false" ht="17.15" hidden="false" customHeight="false" outlineLevel="0" collapsed="false">
      <c r="A9541" s="1" t="s">
        <v>811</v>
      </c>
      <c r="B9541" s="0" t="s">
        <v>399</v>
      </c>
      <c r="C9541" s="29" t="n">
        <f aca="false">mw_ext_24</f>
        <v>640</v>
      </c>
      <c r="D9541" s="29" t="n">
        <f aca="false">mw_ext_25</f>
        <v>1630</v>
      </c>
      <c r="E9541" s="29" t="n">
        <f aca="false">mw_ext_26</f>
        <v>3250</v>
      </c>
      <c r="F9541" s="29" t="n">
        <f aca="false">Sens!E9541+Sens!F9540</f>
        <v>5777.2</v>
      </c>
      <c r="G9541" s="29" t="n">
        <f aca="false">Sens!F9541+Sens!G9540</f>
        <v>8304.4</v>
      </c>
      <c r="H9541" s="29" t="n">
        <f aca="false">Sens!G9541+Sens!H9540</f>
        <v>10831.6</v>
      </c>
      <c r="I9541" s="29" t="n">
        <f aca="false">Sens!H9541+Sens!I9540</f>
        <v>12624.716</v>
      </c>
      <c r="J9541" s="29" t="n">
        <f aca="false">Sens!I9541+Sens!J9540</f>
        <v>13719.61032</v>
      </c>
      <c r="K9541" s="29" t="n">
        <f aca="false">Sens!J9541+Sens!K9540</f>
        <v>14131.1986296</v>
      </c>
      <c r="L9541" s="1" t="s">
        <v>812</v>
      </c>
    </row>
    <row r="9542" customFormat="false" ht="17.15" hidden="false" customHeight="false" outlineLevel="0" collapsed="false">
      <c r="A9542" s="1" t="s">
        <v>813</v>
      </c>
      <c r="B9542" s="0" t="s">
        <v>399</v>
      </c>
      <c r="C9542" s="29" t="n">
        <f aca="false">rent_ext_24</f>
        <v>150</v>
      </c>
      <c r="D9542" s="29" t="n">
        <f aca="false">rent_ext_25</f>
        <v>400</v>
      </c>
      <c r="E9542" s="29" t="n">
        <f aca="false">rent_ext_26</f>
        <v>550</v>
      </c>
      <c r="F9542" s="29" t="n">
        <f aca="false">rent_ext_f</f>
        <v>756</v>
      </c>
      <c r="G9542" s="29" t="n">
        <f aca="false">rent_ext_f</f>
        <v>756</v>
      </c>
      <c r="H9542" s="29" t="n">
        <f aca="false">rent_ext_f</f>
        <v>756</v>
      </c>
      <c r="I9542" s="29" t="n">
        <f aca="false">rent_ext_f</f>
        <v>756</v>
      </c>
      <c r="J9542" s="29" t="n">
        <f aca="false">rent_ext_f</f>
        <v>756</v>
      </c>
      <c r="K9542" s="29" t="n">
        <f aca="false">rent_ext_f</f>
        <v>756</v>
      </c>
      <c r="L9542" s="1" t="s">
        <v>814</v>
      </c>
    </row>
    <row r="9543" customFormat="false" ht="17.15" hidden="false" customHeight="false" outlineLevel="0" collapsed="false">
      <c r="A9543" s="1" t="s">
        <v>815</v>
      </c>
      <c r="B9543" s="0" t="s">
        <v>399</v>
      </c>
      <c r="C9543" s="29" t="n">
        <f aca="false">Sens!C9541-Sens!C9542</f>
        <v>490</v>
      </c>
      <c r="D9543" s="29" t="n">
        <f aca="false">Sens!D9541-Sens!D9542</f>
        <v>1230</v>
      </c>
      <c r="E9543" s="29" t="n">
        <f aca="false">Sens!E9541-Sens!E9542</f>
        <v>2700</v>
      </c>
      <c r="F9543" s="29" t="n">
        <f aca="false">Sens!F9541-Sens!F9542</f>
        <v>5021.2</v>
      </c>
      <c r="G9543" s="29" t="n">
        <f aca="false">Sens!G9541-Sens!G9542</f>
        <v>7548.4</v>
      </c>
      <c r="H9543" s="29" t="n">
        <f aca="false">Sens!H9541-Sens!H9542</f>
        <v>10075.6</v>
      </c>
      <c r="I9543" s="29" t="n">
        <f aca="false">Sens!I9541-Sens!I9542</f>
        <v>11868.716</v>
      </c>
      <c r="J9543" s="29" t="n">
        <f aca="false">Sens!J9541-Sens!J9542</f>
        <v>12963.61032</v>
      </c>
      <c r="K9543" s="29" t="n">
        <f aca="false">Sens!K9541-Sens!K9542</f>
        <v>13375.1986296</v>
      </c>
    </row>
    <row r="9544" customFormat="false" ht="17.15" hidden="false" customHeight="false" outlineLevel="0" collapsed="false">
      <c r="A9544" s="1" t="s">
        <v>816</v>
      </c>
      <c r="B9544" s="0" t="s">
        <v>399</v>
      </c>
      <c r="C9544" s="29" t="n">
        <f aca="false">Sens!C9543/ext_sh</f>
        <v>816.666666666667</v>
      </c>
      <c r="D9544" s="29" t="n">
        <f aca="false">Sens!D9543/ext_sh</f>
        <v>2050</v>
      </c>
      <c r="E9544" s="29" t="n">
        <f aca="false">Sens!E9543/ext_sh</f>
        <v>4500</v>
      </c>
      <c r="F9544" s="29" t="n">
        <f aca="false">Sens!F9543/ext_sh</f>
        <v>8368.66666666667</v>
      </c>
      <c r="G9544" s="29" t="n">
        <f aca="false">Sens!G9543/ext_sh</f>
        <v>12580.6666666667</v>
      </c>
      <c r="H9544" s="29" t="n">
        <f aca="false">Sens!H9543/ext_sh</f>
        <v>16792.6666666667</v>
      </c>
      <c r="I9544" s="29" t="n">
        <f aca="false">Sens!I9543/ext_sh</f>
        <v>19781.1933333333</v>
      </c>
      <c r="J9544" s="29" t="n">
        <f aca="false">Sens!J9543/ext_sh</f>
        <v>21606.0172</v>
      </c>
      <c r="K9544" s="29" t="n">
        <f aca="false">Sens!K9543/ext_sh</f>
        <v>22291.997716</v>
      </c>
      <c r="L9544" s="1" t="s">
        <v>817</v>
      </c>
    </row>
    <row r="9545" customFormat="false" ht="17.15" hidden="false" customHeight="false" outlineLevel="0" collapsed="false">
      <c r="A9545" s="1" t="s">
        <v>818</v>
      </c>
      <c r="B9545" s="0" t="s">
        <v>399</v>
      </c>
      <c r="C9545" s="29" t="n">
        <f aca="false">Sens!C9544-Sens!C9543</f>
        <v>326.666666666667</v>
      </c>
      <c r="D9545" s="29" t="n">
        <f aca="false">Sens!D9544-Sens!D9543</f>
        <v>820</v>
      </c>
      <c r="E9545" s="29" t="n">
        <f aca="false">Sens!E9544-Sens!E9543</f>
        <v>1800</v>
      </c>
      <c r="F9545" s="29" t="n">
        <f aca="false">Sens!F9544-Sens!F9543</f>
        <v>3347.46666666667</v>
      </c>
      <c r="G9545" s="29" t="n">
        <f aca="false">Sens!G9544-Sens!G9543</f>
        <v>5032.26666666667</v>
      </c>
      <c r="H9545" s="29" t="n">
        <f aca="false">Sens!H9544-Sens!H9543</f>
        <v>6717.06666666667</v>
      </c>
      <c r="I9545" s="29" t="n">
        <f aca="false">Sens!I9544-Sens!I9543</f>
        <v>7912.47733333333</v>
      </c>
      <c r="J9545" s="29" t="n">
        <f aca="false">Sens!J9544-Sens!J9543</f>
        <v>8642.40688</v>
      </c>
      <c r="K9545" s="29" t="n">
        <f aca="false">Sens!K9544-Sens!K9543</f>
        <v>8916.7990864</v>
      </c>
    </row>
    <row r="9546" customFormat="false" ht="17.15" hidden="false" customHeight="false" outlineLevel="0" collapsed="false">
      <c r="A9546" s="1" t="s">
        <v>819</v>
      </c>
      <c r="B9546" s="0" t="s">
        <v>399</v>
      </c>
      <c r="C9546" s="29" t="n">
        <f aca="false">Sens!C9544</f>
        <v>816.666666666667</v>
      </c>
      <c r="D9546" s="29" t="n">
        <f aca="false">Sens!D9544-Sens!C9544</f>
        <v>1233.33333333333</v>
      </c>
      <c r="E9546" s="29" t="n">
        <f aca="false">Sens!E9544-Sens!D9544</f>
        <v>2450</v>
      </c>
      <c r="F9546" s="29" t="n">
        <f aca="false">Sens!F9544-Sens!E9544</f>
        <v>3868.66666666667</v>
      </c>
      <c r="G9546" s="29" t="n">
        <f aca="false">Sens!G9544-Sens!F9544</f>
        <v>4212</v>
      </c>
      <c r="H9546" s="29" t="n">
        <f aca="false">Sens!H9544-Sens!G9544</f>
        <v>4212</v>
      </c>
      <c r="I9546" s="29" t="n">
        <f aca="false">Sens!I9544-Sens!H9544</f>
        <v>2988.52666666667</v>
      </c>
      <c r="J9546" s="29" t="n">
        <f aca="false">Sens!J9544-Sens!I9544</f>
        <v>1824.82386666667</v>
      </c>
      <c r="K9546" s="29" t="n">
        <f aca="false">Sens!K9544-Sens!J9544</f>
        <v>685.980516</v>
      </c>
    </row>
    <row r="9547" customFormat="false" ht="17.15" hidden="false" customHeight="false" outlineLevel="0" collapsed="false">
      <c r="A9547" s="1" t="s">
        <v>820</v>
      </c>
      <c r="B9547" s="0" t="s">
        <v>399</v>
      </c>
      <c r="D9547" s="29" t="n">
        <f aca="false">Sens!D9541-Sens!C9541</f>
        <v>990</v>
      </c>
      <c r="E9547" s="29" t="n">
        <f aca="false">Sens!E9541-Sens!D9541</f>
        <v>1620</v>
      </c>
      <c r="F9547" s="29" t="n">
        <f aca="false">Sens!F9541-Sens!E9541</f>
        <v>2527.2</v>
      </c>
      <c r="G9547" s="29" t="n">
        <f aca="false">Sens!G9541-Sens!F9541</f>
        <v>2527.2</v>
      </c>
      <c r="H9547" s="29" t="n">
        <f aca="false">Sens!H9541-Sens!G9541</f>
        <v>2527.2</v>
      </c>
      <c r="I9547" s="29" t="n">
        <f aca="false">Sens!I9541-Sens!H9541</f>
        <v>1793.116</v>
      </c>
      <c r="J9547" s="29" t="n">
        <f aca="false">Sens!J9541-Sens!I9541</f>
        <v>1094.89432</v>
      </c>
      <c r="K9547" s="29" t="n">
        <f aca="false">Sens!K9541-Sens!J9541</f>
        <v>411.5883096</v>
      </c>
    </row>
    <row r="9548" customFormat="false" ht="17.15" hidden="false" customHeight="false" outlineLevel="0" collapsed="false">
      <c r="A9548" s="1" t="s">
        <v>821</v>
      </c>
      <c r="B9548" s="0" t="s">
        <v>399</v>
      </c>
      <c r="F9548" s="29" t="n">
        <f aca="false">Sens!F9565*ext_sh</f>
        <v>0</v>
      </c>
      <c r="G9548" s="29" t="n">
        <f aca="false">Sens!G9565*ext_sh</f>
        <v>0</v>
      </c>
      <c r="H9548" s="29" t="n">
        <f aca="false">Sens!H9565*ext_sh</f>
        <v>0</v>
      </c>
      <c r="I9548" s="29" t="n">
        <f aca="false">Sens!I9565*ext_sh</f>
        <v>490</v>
      </c>
      <c r="J9548" s="29" t="n">
        <f aca="false">Sens!J9565*ext_sh</f>
        <v>740</v>
      </c>
      <c r="K9548" s="29" t="n">
        <f aca="false">Sens!K9565*ext_sh</f>
        <v>1470</v>
      </c>
      <c r="L9548" s="1" t="s">
        <v>822</v>
      </c>
    </row>
    <row r="9549" customFormat="false" ht="17.15" hidden="false" customHeight="false" outlineLevel="0" collapsed="false">
      <c r="A9549" s="1" t="s">
        <v>823</v>
      </c>
      <c r="B9549" s="0" t="s">
        <v>399</v>
      </c>
      <c r="C9549" s="29" t="n">
        <f aca="false">mix_h*Sens!C9541</f>
        <v>128</v>
      </c>
      <c r="D9549" s="29" t="n">
        <f aca="false">mix_h*Sens!D9541</f>
        <v>326</v>
      </c>
      <c r="E9549" s="29" t="n">
        <f aca="false">mix_h*Sens!E9541</f>
        <v>650</v>
      </c>
      <c r="F9549" s="29" t="n">
        <f aca="false">Sens!E9549-Sens!F9548*mix_h</f>
        <v>650</v>
      </c>
      <c r="G9549" s="29" t="n">
        <f aca="false">Sens!F9549-Sens!G9548*mix_h</f>
        <v>650</v>
      </c>
      <c r="H9549" s="29" t="n">
        <f aca="false">Sens!G9549-Sens!H9548*mix_h</f>
        <v>650</v>
      </c>
      <c r="I9549" s="29" t="n">
        <f aca="false">Sens!H9549-Sens!I9548*mix_h</f>
        <v>552</v>
      </c>
      <c r="J9549" s="29" t="n">
        <f aca="false">Sens!I9549-Sens!J9548*mix_h</f>
        <v>404</v>
      </c>
      <c r="K9549" s="29" t="n">
        <f aca="false">Sens!J9549-Sens!K9548*mix_h</f>
        <v>110</v>
      </c>
    </row>
    <row r="9550" customFormat="false" ht="17.15" hidden="false" customHeight="false" outlineLevel="0" collapsed="false">
      <c r="A9550" s="1" t="s">
        <v>824</v>
      </c>
      <c r="B9550" s="0" t="s">
        <v>399</v>
      </c>
      <c r="C9550" s="29" t="n">
        <f aca="false">mix_g2*Sens!C9541</f>
        <v>288</v>
      </c>
      <c r="D9550" s="29" t="n">
        <f aca="false">mix_g2*Sens!D9541</f>
        <v>733.5</v>
      </c>
      <c r="E9550" s="29" t="n">
        <f aca="false">mix_g2*Sens!E9541</f>
        <v>1462.5</v>
      </c>
      <c r="F9550" s="29" t="n">
        <f aca="false">Sens!E9550-Sens!F9548*mix_g2</f>
        <v>1462.5</v>
      </c>
      <c r="G9550" s="29" t="n">
        <f aca="false">Sens!F9550-Sens!G9548*mix_g2</f>
        <v>1462.5</v>
      </c>
      <c r="H9550" s="29" t="n">
        <f aca="false">Sens!G9550-Sens!H9548*mix_g2</f>
        <v>1462.5</v>
      </c>
      <c r="I9550" s="29" t="n">
        <f aca="false">Sens!H9550-Sens!I9548*mix_g2</f>
        <v>1242</v>
      </c>
      <c r="J9550" s="29" t="n">
        <f aca="false">Sens!I9550-Sens!J9548*mix_g2</f>
        <v>909</v>
      </c>
      <c r="K9550" s="29" t="n">
        <f aca="false">Sens!J9550-Sens!K9548*mix_g2</f>
        <v>247.5</v>
      </c>
    </row>
    <row r="9551" customFormat="false" ht="17.15" hidden="false" customHeight="false" outlineLevel="0" collapsed="false">
      <c r="A9551" s="1" t="s">
        <v>825</v>
      </c>
      <c r="B9551" s="0" t="s">
        <v>399</v>
      </c>
      <c r="C9551" s="29" t="n">
        <f aca="false">mix_g3*Sens!C9541</f>
        <v>224</v>
      </c>
      <c r="D9551" s="29" t="n">
        <f aca="false">mix_g3*Sens!D9541</f>
        <v>570.5</v>
      </c>
      <c r="E9551" s="29" t="n">
        <f aca="false">mix_g3*Sens!E9541</f>
        <v>1137.5</v>
      </c>
      <c r="F9551" s="29" t="n">
        <f aca="false">Sens!E9551+(Sens!F9547+Sens!F9548)*a_g3_27-Sens!F9548*mix_g3</f>
        <v>2906.54</v>
      </c>
      <c r="G9551" s="29" t="n">
        <f aca="false">Sens!F9551+(Sens!G9547+Sens!G9548)*a_g3_28-Sens!G9548*mix_g3</f>
        <v>3664.7</v>
      </c>
      <c r="H9551" s="29" t="n">
        <f aca="false">Sens!G9551+(Sens!H9547+Sens!H9548)*a_g3_29-Sens!H9548*mix_g3</f>
        <v>3917.42</v>
      </c>
      <c r="I9551" s="29" t="n">
        <f aca="false">Sens!H9551+(Sens!I9547+Sens!I9548)*a_g3_29-Sens!I9548*mix_g3</f>
        <v>3974.2316</v>
      </c>
      <c r="J9551" s="29" t="n">
        <f aca="false">Sens!I9551+(Sens!J9547+Sens!J9548)*a_g3_29-Sens!J9548*mix_g3</f>
        <v>3898.721032</v>
      </c>
      <c r="K9551" s="29" t="n">
        <f aca="false">Sens!J9551+(Sens!K9547+Sens!K9548)*a_g3_29-Sens!K9548*mix_g3</f>
        <v>3572.37986296</v>
      </c>
    </row>
    <row r="9552" customFormat="false" ht="17.15" hidden="false" customHeight="false" outlineLevel="0" collapsed="false">
      <c r="A9552" s="1" t="s">
        <v>826</v>
      </c>
      <c r="B9552" s="0" t="s">
        <v>399</v>
      </c>
      <c r="C9552" s="29" t="n">
        <v>0</v>
      </c>
      <c r="D9552" s="29" t="n">
        <v>0</v>
      </c>
      <c r="E9552" s="29" t="n">
        <v>0</v>
      </c>
      <c r="F9552" s="29" t="n">
        <f aca="false">Sens!E9552+(Sens!F9547+Sens!F9548)*(1-a_g3_27)</f>
        <v>758.16</v>
      </c>
      <c r="G9552" s="29" t="n">
        <f aca="false">Sens!F9552+(Sens!G9547+Sens!G9548)*(1-a_g3_28)</f>
        <v>2527.2</v>
      </c>
      <c r="H9552" s="29" t="n">
        <f aca="false">Sens!G9552+(Sens!H9547+Sens!H9548)*(1-a_g3_29)</f>
        <v>4801.68</v>
      </c>
      <c r="I9552" s="29" t="n">
        <f aca="false">Sens!H9552+(Sens!I9547+Sens!I9548)*(1-a_g3_29)</f>
        <v>6856.4844</v>
      </c>
      <c r="J9552" s="29" t="n">
        <f aca="false">Sens!I9552+(Sens!J9547+Sens!J9548)*(1-a_g3_29)</f>
        <v>8507.889288</v>
      </c>
      <c r="K9552" s="29" t="n">
        <f aca="false">Sens!J9552+(Sens!K9547+Sens!K9548)*(1-a_g3_29)</f>
        <v>10201.31876664</v>
      </c>
    </row>
    <row r="9553" customFormat="false" ht="17.15" hidden="false" customHeight="false" outlineLevel="0" collapsed="false">
      <c r="A9553" s="1" t="s">
        <v>827</v>
      </c>
      <c r="B9553" s="0" t="s">
        <v>346</v>
      </c>
      <c r="C9553" s="14" t="n">
        <f aca="false">(Sens!C9549*tk_hold_h100+Sens!C9550*tk_hold_gb200+Sens!C9551*tk_hold_gb300+Sens!C9552*tk_hold_vr200)/Sens!C9541</f>
        <v>9.7235358126469</v>
      </c>
      <c r="D9553" s="14" t="n">
        <f aca="false">(Sens!D9549*tk_hold_h100+Sens!D9550*tk_hold_gb200+Sens!D9551*tk_hold_gb300+Sens!D9552*tk_hold_vr200)/Sens!D9541</f>
        <v>9.7235358126469</v>
      </c>
      <c r="E9553" s="14" t="n">
        <f aca="false">(Sens!E9549*tk_hold_h100+Sens!E9550*tk_hold_gb200+Sens!E9551*tk_hold_gb300+Sens!E9552*tk_hold_vr200)/Sens!E9541</f>
        <v>9.7235358126469</v>
      </c>
      <c r="F9553" s="14" t="n">
        <f aca="false">(Sens!F9549*tk_hold_h100+Sens!F9550*tk_hold_gb200+Sens!F9551*tk_hold_gb300+Sens!F9552*tk_hold_vr200)/Sens!F9541</f>
        <v>10.4079573161931</v>
      </c>
      <c r="G9553" s="14" t="n">
        <f aca="false">(Sens!G9549*tk_hold_h100+Sens!G9550*tk_hold_gb200+Sens!G9551*tk_hold_gb300+Sens!G9552*tk_hold_vr200)/Sens!G9541</f>
        <v>10.8388131109316</v>
      </c>
      <c r="H9553" s="14" t="n">
        <f aca="false">(Sens!H9549*tk_hold_h100+Sens!H9550*tk_hold_gb200+Sens!H9551*tk_hold_gb300+Sens!H9552*tk_hold_vr200)/Sens!H9541</f>
        <v>11.1311018388216</v>
      </c>
      <c r="I9553" s="14" t="n">
        <f aca="false">(Sens!I9549*tk_hold_h100+Sens!I9550*tk_hold_gb200+Sens!I9551*tk_hold_gb300+Sens!I9552*tk_hold_vr200)/Sens!I9541</f>
        <v>11.3594282560989</v>
      </c>
      <c r="J9553" s="14" t="n">
        <f aca="false">(Sens!J9549*tk_hold_h100+Sens!J9550*tk_hold_gb200+Sens!J9551*tk_hold_gb300+Sens!J9552*tk_hold_vr200)/Sens!J9541</f>
        <v>11.5455817917599</v>
      </c>
      <c r="K9553" s="14" t="n">
        <f aca="false">(Sens!K9549*tk_hold_h100+Sens!K9550*tk_hold_gb200+Sens!K9551*tk_hold_gb300+Sens!K9552*tk_hold_vr200)/Sens!K9541</f>
        <v>11.8078187977246</v>
      </c>
    </row>
    <row r="9554" customFormat="false" ht="17.15" hidden="false" customHeight="false" outlineLevel="0" collapsed="false">
      <c r="A9554" s="0" t="s">
        <v>828</v>
      </c>
      <c r="B9554" s="0" t="s">
        <v>185</v>
      </c>
      <c r="C9554" s="14" t="n">
        <f aca="false">k_B</f>
        <v>1.17213932619116</v>
      </c>
      <c r="D9554" s="14" t="n">
        <f aca="false">k_B</f>
        <v>1.17213932619116</v>
      </c>
      <c r="E9554" s="14" t="n">
        <f aca="false">k_B</f>
        <v>1.17213932619116</v>
      </c>
      <c r="F9554" s="14" t="n">
        <f aca="false">(k_B+((ls_B*k_long+(1-ls_B)*k_spot)-k_B)*MIN(1,(Sens!F9539-base_fy)/k_ramp))</f>
        <v>1.17213932619116</v>
      </c>
      <c r="G9554" s="14" t="n">
        <f aca="false">(k_B+((ls_B*k_long+(1-ls_B)*k_spot)-k_B)*MIN(1,(Sens!G9539-base_fy)/k_ramp))</f>
        <v>1.17213932619116</v>
      </c>
      <c r="H9554" s="14" t="n">
        <f aca="false">(k_B+((ls_B*k_long+(1-ls_B)*k_spot)-k_B)*MIN(1,(Sens!H9539-base_fy)/k_ramp))</f>
        <v>1.17213932619116</v>
      </c>
      <c r="I9554" s="14" t="n">
        <f aca="false">(k_B+((ls_B*k_long+(1-ls_B)*k_spot)-k_B)*MIN(1,(Sens!I9539-base_fy)/k_ramp))</f>
        <v>1.17213932619116</v>
      </c>
      <c r="J9554" s="14" t="n">
        <f aca="false">(k_B+((ls_B*k_long+(1-ls_B)*k_spot)-k_B)*MIN(1,(Sens!J9539-base_fy)/k_ramp))</f>
        <v>1.17213932619116</v>
      </c>
      <c r="K9554" s="14" t="n">
        <f aca="false">(k_B+((ls_B*k_long+(1-ls_B)*k_spot)-k_B)*MIN(1,(Sens!K9539-base_fy)/k_ramp))</f>
        <v>1.17213932619116</v>
      </c>
      <c r="L9554" s="1" t="s">
        <v>829</v>
      </c>
    </row>
    <row r="9555" customFormat="false" ht="17.15" hidden="false" customHeight="false" outlineLevel="0" collapsed="false">
      <c r="A9555" s="1" t="s">
        <v>830</v>
      </c>
      <c r="B9555" s="0" t="s">
        <v>346</v>
      </c>
      <c r="C9555" s="14" t="n">
        <f aca="false">Sens!C9553*Sens!C9554*chip_f</f>
        <v>11.3973387156315</v>
      </c>
      <c r="D9555" s="14" t="n">
        <f aca="false">Sens!D9553*Sens!D9554*chip_f</f>
        <v>11.3973387156315</v>
      </c>
      <c r="E9555" s="14" t="n">
        <f aca="false">Sens!E9553*Sens!E9554*chip_f</f>
        <v>11.3973387156315</v>
      </c>
      <c r="F9555" s="14" t="n">
        <f aca="false">Sens!F9553*Sens!F9554*chip_f</f>
        <v>12.1995760756289</v>
      </c>
      <c r="G9555" s="14" t="n">
        <f aca="false">Sens!G9553*Sens!G9554*chip_f</f>
        <v>12.7045990965592</v>
      </c>
      <c r="H9555" s="14" t="n">
        <f aca="false">Sens!H9553*Sens!H9554*chip_f</f>
        <v>13.0472022091214</v>
      </c>
      <c r="I9555" s="14" t="n">
        <f aca="false">Sens!I9553*Sens!I9554*chip_f</f>
        <v>13.3148325820205</v>
      </c>
      <c r="J9555" s="14" t="n">
        <f aca="false">Sens!J9553*Sens!J9554*chip_f</f>
        <v>13.5330304618783</v>
      </c>
      <c r="K9555" s="14" t="n">
        <f aca="false">Sens!K9553*Sens!K9554*chip_f</f>
        <v>13.8404087693522</v>
      </c>
      <c r="L9555" s="1" t="s">
        <v>831</v>
      </c>
    </row>
    <row r="9556" customFormat="false" ht="17.15" hidden="false" customHeight="false" outlineLevel="0" collapsed="false">
      <c r="A9556" s="0" t="s">
        <v>832</v>
      </c>
      <c r="B9556" s="0" t="s">
        <v>98</v>
      </c>
      <c r="D9556" s="6" t="n">
        <f aca="false">(Sens!C9541+Sens!D9541)/2*Sens!D9555/1000</f>
        <v>12.9359794422418</v>
      </c>
      <c r="E9556" s="6" t="n">
        <f aca="false">(Sens!D9541+Sens!E9541)/2*Sens!E9555/1000</f>
        <v>27.8095064661409</v>
      </c>
      <c r="F9556" s="6" t="n">
        <f aca="false">(Sens!E9541+Sens!F9541)/2*Sens!F9555/1000</f>
        <v>55.0640065749585</v>
      </c>
      <c r="G9556" s="6" t="n">
        <f aca="false">(Sens!F9541+Sens!G9541)/2*Sens!G9555/1000</f>
        <v>89.4505413190538</v>
      </c>
      <c r="H9556" s="6" t="n">
        <f aca="false">(Sens!G9541+Sens!H9541)/2*Sens!H9555/1000</f>
        <v>124.835630736874</v>
      </c>
      <c r="I9556" s="6" t="n">
        <f aca="false">(Sens!H9541+Sens!I9541)/2*Sens!I9555/1000</f>
        <v>156.158460265485</v>
      </c>
      <c r="J9556" s="6" t="n">
        <f aca="false">(Sens!I9541+Sens!J9541)/2*Sens!J9555/1000</f>
        <v>178.259285293112</v>
      </c>
      <c r="K9556" s="6" t="n">
        <f aca="false">(Sens!J9541+Sens!K9541)/2*Sens!K9555/1000</f>
        <v>192.733290209798</v>
      </c>
      <c r="L9556" s="11" t="s">
        <v>833</v>
      </c>
    </row>
    <row r="9557" customFormat="false" ht="17.15" hidden="false" customHeight="false" outlineLevel="0" collapsed="false">
      <c r="A9557" s="1" t="s">
        <v>834</v>
      </c>
      <c r="B9557" s="0" t="s">
        <v>346</v>
      </c>
      <c r="C9557" s="14" t="n">
        <f aca="false">(Sens!C9549*tk_opex_h100+Sens!C9550*tk_opex_gb200+Sens!C9551*tk_opex_gb300+Sens!C9552*tk_opex_vr200)/Sens!C9541</f>
        <v>1.88636041306092</v>
      </c>
      <c r="D9557" s="14" t="n">
        <f aca="false">(Sens!D9549*tk_opex_h100+Sens!D9550*tk_opex_gb200+Sens!D9551*tk_opex_gb300+Sens!D9552*tk_opex_vr200)/Sens!D9541</f>
        <v>1.88636041306092</v>
      </c>
      <c r="E9557" s="14" t="n">
        <f aca="false">(Sens!E9549*tk_opex_h100+Sens!E9550*tk_opex_gb200+Sens!E9551*tk_opex_gb300+Sens!E9552*tk_opex_vr200)/Sens!E9541</f>
        <v>1.88636041306092</v>
      </c>
      <c r="F9557" s="14" t="n">
        <f aca="false">(Sens!F9549*tk_opex_h100+Sens!F9550*tk_opex_gb200+Sens!F9551*tk_opex_gb300+Sens!F9552*tk_opex_vr200)/Sens!F9541</f>
        <v>1.9430236476499</v>
      </c>
      <c r="G9557" s="14" t="n">
        <f aca="false">(Sens!G9549*tk_opex_h100+Sens!G9550*tk_opex_gb200+Sens!G9551*tk_opex_gb300+Sens!G9552*tk_opex_vr200)/Sens!G9541</f>
        <v>1.9786941852423</v>
      </c>
      <c r="H9557" s="14" t="n">
        <f aca="false">(Sens!H9549*tk_opex_h100+Sens!H9550*tk_opex_gb200+Sens!H9551*tk_opex_gb300+Sens!H9552*tk_opex_vr200)/Sens!H9541</f>
        <v>2.00289275976156</v>
      </c>
      <c r="I9557" s="14" t="n">
        <f aca="false">(Sens!I9549*tk_opex_h100+Sens!I9550*tk_opex_gb200+Sens!I9551*tk_opex_gb300+Sens!I9552*tk_opex_vr200)/Sens!I9541</f>
        <v>2.02179589661219</v>
      </c>
      <c r="J9557" s="14" t="n">
        <f aca="false">(Sens!J9549*tk_opex_h100+Sens!J9550*tk_opex_gb200+Sens!J9551*tk_opex_gb300+Sens!J9552*tk_opex_vr200)/Sens!J9541</f>
        <v>2.03720754193029</v>
      </c>
      <c r="K9557" s="14" t="n">
        <f aca="false">(Sens!K9549*tk_opex_h100+Sens!K9550*tk_opex_gb200+Sens!K9551*tk_opex_gb300+Sens!K9552*tk_opex_vr200)/Sens!K9541</f>
        <v>2.0589181353437</v>
      </c>
    </row>
    <row r="9558" customFormat="false" ht="17.15" hidden="false" customHeight="false" outlineLevel="0" collapsed="false">
      <c r="A9558" s="0" t="s">
        <v>835</v>
      </c>
      <c r="B9558" s="0" t="s">
        <v>98</v>
      </c>
      <c r="D9558" s="6" t="n">
        <f aca="false">(Sens!C9544+Sens!D9544)/2*Sens!D9557/1000</f>
        <v>2.70378325872065</v>
      </c>
      <c r="E9558" s="6" t="n">
        <f aca="false">(Sens!D9544+Sens!E9544)/2*Sens!E9557/1000</f>
        <v>6.17783035277451</v>
      </c>
      <c r="F9558" s="6" t="n">
        <f aca="false">(Sens!E9544+Sens!F9544)/2*Sens!F9557/1000</f>
        <v>12.5020618235287</v>
      </c>
      <c r="G9558" s="6" t="n">
        <f aca="false">(Sens!F9544+Sens!G9544)/2*Sens!G9557/1000</f>
        <v>20.7261620256847</v>
      </c>
      <c r="H9558" s="6" t="n">
        <f aca="false">(Sens!G9544+Sens!H9544)/2*Sens!H9557/1000</f>
        <v>29.4158183316982</v>
      </c>
      <c r="I9558" s="6" t="n">
        <f aca="false">(Sens!H9544+Sens!I9544)/2*Sens!I9557/1000</f>
        <v>36.9724400356344</v>
      </c>
      <c r="J9558" s="6" t="n">
        <f aca="false">(Sens!I9544+Sens!J9544)/2*Sens!J9557/1000</f>
        <v>42.1571687189816</v>
      </c>
      <c r="K9558" s="6" t="n">
        <f aca="false">(Sens!J9544+Sens!K9544)/2*Sens!K9557/1000</f>
        <v>45.1912095080704</v>
      </c>
    </row>
    <row r="9559" customFormat="false" ht="17.15" hidden="false" customHeight="false" outlineLevel="0" collapsed="false">
      <c r="A9559" s="0" t="s">
        <v>836</v>
      </c>
      <c r="B9559" s="0" t="s">
        <v>98</v>
      </c>
      <c r="D9559" s="6" t="n">
        <f aca="false">(Sens!C9542+Sens!D9542)/2*rent_mw/1000</f>
        <v>2.44475</v>
      </c>
      <c r="E9559" s="6" t="n">
        <f aca="false">(Sens!D9542+Sens!E9542)/2*rent_mw/1000</f>
        <v>4.22275</v>
      </c>
      <c r="F9559" s="6" t="n">
        <f aca="false">(Sens!E9542+Sens!F9542)/2*rent_mw/1000</f>
        <v>5.80517</v>
      </c>
      <c r="G9559" s="6" t="n">
        <f aca="false">(Sens!F9542+Sens!G9542)/2*rent_mw/1000</f>
        <v>6.72084</v>
      </c>
      <c r="H9559" s="6" t="n">
        <f aca="false">(Sens!G9542+Sens!H9542)/2*rent_mw/1000</f>
        <v>6.72084</v>
      </c>
      <c r="I9559" s="6" t="n">
        <f aca="false">(Sens!H9542+Sens!I9542)/2*rent_mw/1000</f>
        <v>6.72084</v>
      </c>
      <c r="J9559" s="6" t="n">
        <f aca="false">(Sens!I9542+Sens!J9542)/2*rent_mw/1000</f>
        <v>6.72084</v>
      </c>
      <c r="K9559" s="6" t="n">
        <f aca="false">(Sens!J9542+Sens!K9542)/2*rent_mw/1000</f>
        <v>6.72084</v>
      </c>
    </row>
    <row r="9560" customFormat="false" ht="17.15" hidden="false" customHeight="false" outlineLevel="0" collapsed="false">
      <c r="A9560" s="0" t="s">
        <v>837</v>
      </c>
      <c r="B9560" s="0" t="s">
        <v>98</v>
      </c>
      <c r="D9560" s="6" t="n">
        <f aca="false">(Sens!C9544+Sens!D9544)/2*(1-self_build)*fac_rent/1000</f>
        <v>0.853242375631075</v>
      </c>
      <c r="E9560" s="6" t="n">
        <f aca="false">(Sens!D9544+Sens!E9544)/2*(1-self_build)*fac_rent/1000</f>
        <v>1.94955961408728</v>
      </c>
      <c r="F9560" s="6" t="n">
        <f aca="false">(Sens!E9544+Sens!F9544)/2*(1-self_build)*fac_rent/1000</f>
        <v>3.83026455274573</v>
      </c>
      <c r="G9560" s="6" t="n">
        <f aca="false">(Sens!F9544+Sens!G9544)/2*(1-self_build)*fac_rent/1000</f>
        <v>6.23541590972812</v>
      </c>
      <c r="H9560" s="6" t="n">
        <f aca="false">(Sens!G9544+Sens!H9544)/2*(1-self_build)*fac_rent/1000</f>
        <v>8.74275792332679</v>
      </c>
      <c r="I9560" s="6" t="n">
        <f aca="false">(Sens!H9544+Sens!I9544)/2*(1-self_build)*fac_rent/1000</f>
        <v>10.8859420438599</v>
      </c>
      <c r="J9560" s="6" t="n">
        <f aca="false">(Sens!I9544+Sens!J9544)/2*(1-self_build)*fac_rent/1000</f>
        <v>12.3186006405366</v>
      </c>
      <c r="K9560" s="6" t="n">
        <f aca="false">(Sens!J9544+Sens!K9544)/2*(1-self_build)*fac_rent/1000</f>
        <v>13.0659232089824</v>
      </c>
      <c r="L9560" s="11" t="s">
        <v>838</v>
      </c>
    </row>
    <row r="9561" customFormat="false" ht="17.15" hidden="false" customHeight="false" outlineLevel="0" collapsed="false">
      <c r="A9561" s="1" t="s">
        <v>839</v>
      </c>
      <c r="B9561" s="0" t="s">
        <v>129</v>
      </c>
      <c r="D9561" s="7" t="n">
        <f aca="false">(Sens!C9543+Sens!D9543)/(Sens!C9544+Sens!D9544)</f>
        <v>0.6</v>
      </c>
      <c r="E9561" s="7" t="n">
        <f aca="false">(Sens!D9543+Sens!E9543)/(Sens!D9544+Sens!E9544)</f>
        <v>0.6</v>
      </c>
      <c r="F9561" s="7" t="n">
        <f aca="false">(Sens!E9543+Sens!F9543)/(Sens!E9544+Sens!F9544)</f>
        <v>0.6</v>
      </c>
      <c r="G9561" s="7" t="n">
        <f aca="false">(Sens!F9543+Sens!G9543)/(Sens!F9544+Sens!G9544)</f>
        <v>0.6</v>
      </c>
      <c r="H9561" s="7" t="n">
        <f aca="false">(Sens!G9543+Sens!H9543)/(Sens!G9544+Sens!H9544)</f>
        <v>0.6</v>
      </c>
      <c r="I9561" s="7" t="n">
        <f aca="false">(Sens!H9543+Sens!I9543)/(Sens!H9544+Sens!I9544)</f>
        <v>0.6</v>
      </c>
      <c r="J9561" s="7" t="n">
        <f aca="false">(Sens!I9543+Sens!J9543)/(Sens!I9544+Sens!J9544)</f>
        <v>0.6</v>
      </c>
      <c r="K9561" s="7" t="n">
        <f aca="false">(Sens!J9543+Sens!K9543)/(Sens!J9544+Sens!K9544)</f>
        <v>0.6</v>
      </c>
    </row>
    <row r="9562" customFormat="false" ht="17.15" hidden="false" customHeight="false" outlineLevel="0" collapsed="false">
      <c r="A9562" s="0" t="s">
        <v>840</v>
      </c>
      <c r="B9562" s="0" t="s">
        <v>98</v>
      </c>
      <c r="D9562" s="6" t="n">
        <f aca="false">Sens!D9556-Sens!D9561*(Sens!D9558+Sens!D9560)-Sens!D9559</f>
        <v>8.35701406163072</v>
      </c>
      <c r="E9562" s="6" t="n">
        <f aca="false">Sens!E9556-Sens!E9561*(Sens!E9558+Sens!E9560)-Sens!E9559</f>
        <v>18.7103224860238</v>
      </c>
      <c r="F9562" s="6" t="n">
        <f aca="false">Sens!F9556-Sens!F9561*(Sens!F9558+Sens!F9560)-Sens!F9559</f>
        <v>39.4594407491938</v>
      </c>
      <c r="G9562" s="6" t="n">
        <f aca="false">Sens!G9556-Sens!G9561*(Sens!G9558+Sens!G9560)-Sens!G9559</f>
        <v>66.5527545578061</v>
      </c>
      <c r="H9562" s="6" t="n">
        <f aca="false">Sens!H9556-Sens!H9561*(Sens!H9558+Sens!H9560)-Sens!H9559</f>
        <v>95.219644983859</v>
      </c>
      <c r="I9562" s="6" t="n">
        <f aca="false">Sens!I9556-Sens!I9561*(Sens!I9558+Sens!I9560)-Sens!I9559</f>
        <v>120.722591017788</v>
      </c>
      <c r="J9562" s="6" t="n">
        <f aca="false">Sens!J9556-Sens!J9561*(Sens!J9558+Sens!J9560)-Sens!J9559</f>
        <v>138.852983677401</v>
      </c>
      <c r="K9562" s="6" t="n">
        <f aca="false">Sens!K9556-Sens!K9561*(Sens!K9558+Sens!K9560)-Sens!K9559</f>
        <v>151.058170579566</v>
      </c>
    </row>
    <row r="9563" customFormat="false" ht="17.15" hidden="false" customHeight="false" outlineLevel="0" collapsed="false">
      <c r="A9563" s="1" t="s">
        <v>841</v>
      </c>
      <c r="B9563" s="0" t="s">
        <v>98</v>
      </c>
      <c r="D9563" s="6" t="n">
        <f aca="false">(1-Sens!D9561)*(Sens!D9558+Sens!D9560)</f>
        <v>1.42281025374069</v>
      </c>
      <c r="E9563" s="6" t="n">
        <f aca="false">(1-Sens!E9561)*(Sens!E9558+Sens!E9560)</f>
        <v>3.25095598674472</v>
      </c>
      <c r="F9563" s="6" t="n">
        <f aca="false">(1-Sens!F9561)*(Sens!F9558+Sens!F9560)</f>
        <v>6.53293055050977</v>
      </c>
      <c r="G9563" s="6" t="n">
        <f aca="false">(1-Sens!G9561)*(Sens!G9558+Sens!G9560)</f>
        <v>10.7846311741651</v>
      </c>
      <c r="H9563" s="6" t="n">
        <f aca="false">(1-Sens!H9561)*(Sens!H9558+Sens!H9560)</f>
        <v>15.26343050201</v>
      </c>
      <c r="I9563" s="6" t="n">
        <f aca="false">(1-Sens!I9561)*(Sens!I9558+Sens!I9560)</f>
        <v>19.1433528317977</v>
      </c>
      <c r="J9563" s="6" t="n">
        <f aca="false">(1-Sens!J9561)*(Sens!J9558+Sens!J9560)</f>
        <v>21.7903077438073</v>
      </c>
      <c r="K9563" s="6" t="n">
        <f aca="false">(1-Sens!K9561)*(Sens!K9558+Sens!K9560)</f>
        <v>23.3028530868211</v>
      </c>
    </row>
    <row r="9564" customFormat="false" ht="17.15" hidden="false" customHeight="false" outlineLevel="0" collapsed="false">
      <c r="A9564" s="1" t="s">
        <v>842</v>
      </c>
      <c r="B9564" s="0" t="s">
        <v>357</v>
      </c>
      <c r="C9564" s="8" t="n">
        <f aca="false">cxit_open</f>
        <v>27.5918995</v>
      </c>
      <c r="D9564" s="8" t="n">
        <f aca="false">cxit_open</f>
        <v>27.5918995</v>
      </c>
      <c r="E9564" s="8" t="n">
        <f aca="false">cxit_open</f>
        <v>27.5918995</v>
      </c>
      <c r="F9564" s="8" t="n">
        <f aca="false">(a_g3_27*tk_cxit_gb300+(1-a_g3_27)*tk_cxit_vr200)</f>
        <v>33.8419624</v>
      </c>
      <c r="G9564" s="8" t="n">
        <f aca="false">(a_g3_28*tk_cxit_gb300+(1-a_g3_28)*tk_cxit_vr200)</f>
        <v>35.9816136</v>
      </c>
      <c r="H9564" s="8" t="n">
        <f aca="false">(a_g3_29*tk_cxit_gb300+(1-a_g3_29)*tk_cxit_vr200)</f>
        <v>37.0514392</v>
      </c>
      <c r="I9564" s="8" t="n">
        <f aca="false">(a_g3_29*tk_cxit_gb300+(1-a_g3_29)*tk_cxit_vr200)</f>
        <v>37.0514392</v>
      </c>
      <c r="J9564" s="8" t="n">
        <f aca="false">(a_g3_29*tk_cxit_gb300+(1-a_g3_29)*tk_cxit_vr200)</f>
        <v>37.0514392</v>
      </c>
      <c r="K9564" s="8" t="n">
        <f aca="false">(a_g3_29*tk_cxit_gb300+(1-a_g3_29)*tk_cxit_vr200)</f>
        <v>37.0514392</v>
      </c>
      <c r="L9564" s="11" t="s">
        <v>843</v>
      </c>
    </row>
    <row r="9565" customFormat="false" ht="17.15" hidden="false" customHeight="false" outlineLevel="0" collapsed="false">
      <c r="A9565" s="0" t="s">
        <v>844</v>
      </c>
      <c r="B9565" s="0" t="s">
        <v>399</v>
      </c>
      <c r="F9565" s="29" t="n">
        <f aca="false">Sens!C9546*IF(Sens!F9539-Sens!C9539=life_it,1,0)+Sens!D9546*IF(Sens!F9539-Sens!D9539=life_it,1,0)+Sens!E9546*IF(Sens!F9539-Sens!E9539=life_it,1,0)</f>
        <v>0</v>
      </c>
      <c r="G9565" s="29" t="n">
        <f aca="false">Sens!C9546*IF(Sens!G9539-Sens!C9539=life_it,1,0)+Sens!D9546*IF(Sens!G9539-Sens!D9539=life_it,1,0)+Sens!E9546*IF(Sens!G9539-Sens!E9539=life_it,1,0)+Sens!F9546*IF(Sens!G9539-Sens!F9539=life_it,1,0)</f>
        <v>0</v>
      </c>
      <c r="H9565" s="29" t="n">
        <f aca="false">Sens!C9546*IF(Sens!H9539-Sens!C9539=life_it,1,0)+Sens!D9546*IF(Sens!H9539-Sens!D9539=life_it,1,0)+Sens!E9546*IF(Sens!H9539-Sens!E9539=life_it,1,0)+Sens!F9546*IF(Sens!H9539-Sens!F9539=life_it,1,0)+Sens!G9546*IF(Sens!H9539-Sens!G9539=life_it,1,0)</f>
        <v>0</v>
      </c>
      <c r="I9565" s="29" t="n">
        <f aca="false">Sens!C9546*IF(Sens!I9539-Sens!C9539=life_it,1,0)+Sens!D9546*IF(Sens!I9539-Sens!D9539=life_it,1,0)+Sens!E9546*IF(Sens!I9539-Sens!E9539=life_it,1,0)+Sens!F9546*IF(Sens!I9539-Sens!F9539=life_it,1,0)+Sens!G9546*IF(Sens!I9539-Sens!G9539=life_it,1,0)+Sens!H9546*IF(Sens!I9539-Sens!H9539=life_it,1,0)</f>
        <v>816.666666666667</v>
      </c>
      <c r="J9565" s="29" t="n">
        <f aca="false">Sens!C9546*IF(Sens!J9539-Sens!C9539=life_it,1,0)+Sens!D9546*IF(Sens!J9539-Sens!D9539=life_it,1,0)+Sens!E9546*IF(Sens!J9539-Sens!E9539=life_it,1,0)+Sens!F9546*IF(Sens!J9539-Sens!F9539=life_it,1,0)+Sens!G9546*IF(Sens!J9539-Sens!G9539=life_it,1,0)+Sens!H9546*IF(Sens!J9539-Sens!H9539=life_it,1,0)+Sens!I9546*IF(Sens!J9539-Sens!I9539=life_it,1,0)</f>
        <v>1233.33333333333</v>
      </c>
      <c r="K9565" s="29" t="n">
        <f aca="false">Sens!C9546*IF(Sens!K9539-Sens!C9539=life_it,1,0)+Sens!D9546*IF(Sens!K9539-Sens!D9539=life_it,1,0)+Sens!E9546*IF(Sens!K9539-Sens!E9539=life_it,1,0)+Sens!F9546*IF(Sens!K9539-Sens!F9539=life_it,1,0)+Sens!G9546*IF(Sens!K9539-Sens!G9539=life_it,1,0)+Sens!H9546*IF(Sens!K9539-Sens!H9539=life_it,1,0)+Sens!I9546*IF(Sens!K9539-Sens!I9539=life_it,1,0)+Sens!J9546*IF(Sens!K9539-Sens!J9539=life_it,1,0)</f>
        <v>2450</v>
      </c>
      <c r="L9565" s="1" t="s">
        <v>845</v>
      </c>
    </row>
    <row r="9566" customFormat="false" ht="17.15" hidden="false" customHeight="false" outlineLevel="0" collapsed="false">
      <c r="A9566" s="0" t="s">
        <v>846</v>
      </c>
      <c r="B9566" s="0" t="s">
        <v>98</v>
      </c>
      <c r="C9566" s="6" t="n">
        <f aca="false">Sens!C9546*Sens!C9564/1000</f>
        <v>22.5333845916667</v>
      </c>
      <c r="D9566" s="6" t="n">
        <f aca="false">Sens!D9546*Sens!D9564/1000</f>
        <v>34.0300093833333</v>
      </c>
      <c r="E9566" s="6" t="n">
        <f aca="false">Sens!E9546*Sens!E9564/1000</f>
        <v>67.600153775</v>
      </c>
      <c r="F9566" s="6" t="n">
        <f aca="false">(Sens!F9546+Sens!F9565)*Sens!F9564/1000</f>
        <v>130.923271871467</v>
      </c>
      <c r="G9566" s="6" t="n">
        <f aca="false">(Sens!G9546+Sens!G9565)*Sens!G9564/1000</f>
        <v>151.5545564832</v>
      </c>
      <c r="H9566" s="6" t="n">
        <f aca="false">(Sens!H9546+Sens!H9565)*Sens!H9564/1000</f>
        <v>156.0606619104</v>
      </c>
      <c r="I9566" s="6" t="n">
        <f aca="false">(Sens!I9546+Sens!I9565)*Sens!I9564/1000</f>
        <v>140.987889434245</v>
      </c>
      <c r="J9566" s="6" t="n">
        <f aca="false">(Sens!J9546+Sens!J9565)*Sens!J9564/1000</f>
        <v>113.309125559842</v>
      </c>
      <c r="K9566" s="6" t="n">
        <f aca="false">(Sens!K9546+Sens!K9565)*Sens!K9564/1000</f>
        <v>116.192591420959</v>
      </c>
    </row>
    <row r="9567" customFormat="false" ht="17.15" hidden="false" customHeight="false" outlineLevel="0" collapsed="false">
      <c r="A9567" s="0" t="s">
        <v>847</v>
      </c>
      <c r="B9567" s="0" t="s">
        <v>98</v>
      </c>
      <c r="C9567" s="6" t="n">
        <f aca="false">Sens!C9546*self_build*tk_cxfac/1000</f>
        <v>6.2083</v>
      </c>
      <c r="D9567" s="6" t="n">
        <f aca="false">Sens!D9546*self_build*tk_cxfac/1000</f>
        <v>9.3758</v>
      </c>
      <c r="E9567" s="6" t="n">
        <f aca="false">Sens!E9546*self_build*tk_cxfac/1000</f>
        <v>18.6249</v>
      </c>
      <c r="F9567" s="6" t="n">
        <f aca="false">Sens!F9546*self_build*tk_cxfac/1000</f>
        <v>29.409604</v>
      </c>
      <c r="G9567" s="6" t="n">
        <f aca="false">Sens!G9546*self_build*tk_cxfac/1000</f>
        <v>32.019624</v>
      </c>
      <c r="H9567" s="6" t="n">
        <f aca="false">Sens!H9546*self_build*tk_cxfac/1000</f>
        <v>32.019624</v>
      </c>
      <c r="I9567" s="6" t="n">
        <f aca="false">Sens!I9546*self_build*tk_cxfac/1000</f>
        <v>22.71877972</v>
      </c>
      <c r="J9567" s="6" t="n">
        <f aca="false">Sens!J9546*self_build*tk_cxfac/1000</f>
        <v>13.8723110344</v>
      </c>
      <c r="K9567" s="6" t="n">
        <f aca="false">Sens!K9546*self_build*tk_cxfac/1000</f>
        <v>5.214823882632</v>
      </c>
    </row>
    <row r="9568" customFormat="false" ht="17.15" hidden="false" customHeight="false" outlineLevel="0" collapsed="false">
      <c r="A9568" s="0" t="s">
        <v>848</v>
      </c>
      <c r="B9568" s="0" t="s">
        <v>98</v>
      </c>
      <c r="F9568" s="6" t="n">
        <f aca="false">MAX(0,capex_floor27-Sens!F9566-Sens!F9567-Sens!F9662)</f>
        <v>8.27784289897088</v>
      </c>
    </row>
    <row r="9569" customFormat="false" ht="17.15" hidden="false" customHeight="false" outlineLevel="0" collapsed="false">
      <c r="A9569" s="0" t="s">
        <v>849</v>
      </c>
      <c r="B9569" s="0" t="s">
        <v>98</v>
      </c>
      <c r="C9569" s="6" t="n">
        <f aca="false">Sens!C9566</f>
        <v>22.5333845916667</v>
      </c>
      <c r="D9569" s="6" t="n">
        <f aca="false">Sens!D9566</f>
        <v>34.0300093833333</v>
      </c>
      <c r="E9569" s="6" t="n">
        <f aca="false">Sens!E9566</f>
        <v>67.600153775</v>
      </c>
      <c r="F9569" s="6" t="n">
        <f aca="false">Sens!F9566</f>
        <v>130.923271871467</v>
      </c>
      <c r="G9569" s="6" t="n">
        <f aca="false">Sens!G9566</f>
        <v>151.5545564832</v>
      </c>
      <c r="H9569" s="6" t="n">
        <f aca="false">Sens!H9566</f>
        <v>156.0606619104</v>
      </c>
      <c r="I9569" s="6" t="n">
        <f aca="false">Sens!I9566</f>
        <v>140.987889434245</v>
      </c>
      <c r="J9569" s="6" t="n">
        <f aca="false">Sens!J9566</f>
        <v>113.309125559842</v>
      </c>
      <c r="K9569" s="6" t="n">
        <f aca="false">Sens!K9566</f>
        <v>116.192591420959</v>
      </c>
    </row>
    <row r="9570" customFormat="false" ht="17.15" hidden="false" customHeight="false" outlineLevel="0" collapsed="false">
      <c r="A9570" s="0" t="s">
        <v>850</v>
      </c>
      <c r="B9570" s="0" t="s">
        <v>98</v>
      </c>
      <c r="C9570" s="6" t="n">
        <f aca="false">Sens!C9569+Sens!C9567</f>
        <v>28.7416845916667</v>
      </c>
      <c r="D9570" s="6" t="n">
        <f aca="false">Sens!D9569+Sens!D9567</f>
        <v>43.4058093833333</v>
      </c>
      <c r="E9570" s="6" t="n">
        <f aca="false">Sens!E9569+Sens!E9567</f>
        <v>86.225053775</v>
      </c>
      <c r="F9570" s="6" t="n">
        <f aca="false">Sens!F9569+Sens!F9567</f>
        <v>160.332875871467</v>
      </c>
      <c r="G9570" s="6" t="n">
        <f aca="false">Sens!G9569+Sens!G9567</f>
        <v>183.5741804832</v>
      </c>
      <c r="H9570" s="6" t="n">
        <f aca="false">Sens!H9569+Sens!H9567</f>
        <v>188.0802859104</v>
      </c>
      <c r="I9570" s="6" t="n">
        <f aca="false">Sens!I9569+Sens!I9567</f>
        <v>163.706669154245</v>
      </c>
      <c r="J9570" s="6" t="n">
        <f aca="false">Sens!J9569+Sens!J9567</f>
        <v>127.181436594242</v>
      </c>
      <c r="K9570" s="6" t="n">
        <f aca="false">Sens!K9569+Sens!K9567</f>
        <v>121.407415303591</v>
      </c>
      <c r="L9570" s="11" t="s">
        <v>851</v>
      </c>
    </row>
    <row r="9571" customFormat="false" ht="17.15" hidden="false" customHeight="false" outlineLevel="0" collapsed="false">
      <c r="A9571" s="0" t="s">
        <v>852</v>
      </c>
      <c r="B9571" s="0" t="s">
        <v>98</v>
      </c>
      <c r="E9571" s="6" t="n">
        <f aca="false">(Sens!C9569*IF(2&lt;life_it,1,IF(2=life_it,0.5,0))+Sens!D9569*IF(1&lt;life_it,1,IF(1=life_it,0.5,0))+Sens!E9569*0.5)/life_it</f>
        <v>15.0605784770833</v>
      </c>
      <c r="F9571" s="6" t="n">
        <f aca="false">(Sens!C9569*IF(3&lt;life_it,1,IF(3=life_it,0.5,0))+Sens!D9569*IF(2&lt;life_it,1,IF(2=life_it,0.5,0))+Sens!E9569*IF(1&lt;life_it,1,IF(1=life_it,0.5,0))+Sens!F9569*0.5)/life_it</f>
        <v>31.6041972809556</v>
      </c>
      <c r="G9571" s="6" t="n">
        <f aca="false">(Sens!C9569*IF(4&lt;life_it,1,IF(4=life_it,0.5,0))+Sens!D9569*IF(3&lt;life_it,1,IF(3=life_it,0.5,0))+Sens!E9569*IF(2&lt;life_it,1,IF(2=life_it,0.5,0))+Sens!F9569*IF(1&lt;life_it,1,IF(1=life_it,0.5,0))+Sens!G9569*0.5)/life_it</f>
        <v>55.1440163105111</v>
      </c>
      <c r="H9571" s="6" t="n">
        <f aca="false">(Sens!C9569*IF(5&lt;life_it,1,IF(5=life_it,0.5,0))+Sens!D9569*IF(4&lt;life_it,1,IF(4=life_it,0.5,0))+Sens!E9569*IF(3&lt;life_it,1,IF(3=life_it,0.5,0))+Sens!F9569*IF(2&lt;life_it,1,IF(2=life_it,0.5,0))+Sens!G9569*IF(1&lt;life_it,1,IF(1=life_it,0.5,0))+Sens!H9569*0.5)/life_it</f>
        <v>80.7786178433111</v>
      </c>
      <c r="I9571" s="6" t="n">
        <f aca="false">(Sens!C9569*IF(6&lt;life_it,1,IF(6=life_it,0.5,0))+Sens!D9569*IF(5&lt;life_it,1,IF(5=life_it,0.5,0))+Sens!E9569*IF(4&lt;life_it,1,IF(4=life_it,0.5,0))+Sens!F9569*IF(3&lt;life_it,1,IF(3=life_it,0.5,0))+Sens!G9569*IF(2&lt;life_it,1,IF(2=life_it,0.5,0))+Sens!H9569*IF(1&lt;life_it,1,IF(1=life_it,0.5,0))+Sens!I9569*0.5)/life_it</f>
        <v>103.654881739393</v>
      </c>
      <c r="J9571" s="6" t="n">
        <f aca="false">(Sens!C9569*IF(7&lt;life_it,1,IF(7=life_it,0.5,0))+Sens!D9569*IF(6&lt;life_it,1,IF(6=life_it,0.5,0))+Sens!E9569*IF(5&lt;life_it,1,IF(5=life_it,0.5,0))+Sens!F9569*IF(4&lt;life_it,1,IF(4=life_it,0.5,0))+Sens!G9569*IF(3&lt;life_it,1,IF(3=life_it,0.5,0))+Sens!H9569*IF(2&lt;life_it,1,IF(2=life_it,0.5,0))+Sens!I9569*IF(1&lt;life_it,1,IF(1=life_it,0.5,0))+Sens!J9569*0.5)/life_it</f>
        <v>120.132683490983</v>
      </c>
      <c r="K9571" s="6" t="n">
        <f aca="false">(Sens!C9569*IF(8&lt;life_it,1,IF(8=life_it,0.5,0))+Sens!D9569*IF(7&lt;life_it,1,IF(7=life_it,0.5,0))+Sens!E9569*IF(6&lt;life_it,1,IF(6=life_it,0.5,0))+Sens!F9569*IF(5&lt;life_it,1,IF(5=life_it,0.5,0))+Sens!G9569*IF(4&lt;life_it,1,IF(4=life_it,0.5,0))+Sens!H9569*IF(3&lt;life_it,1,IF(3=life_it,0.5,0))+Sens!I9569*IF(2&lt;life_it,1,IF(2=life_it,0.5,0))+Sens!J9569*IF(1&lt;life_it,1,IF(1=life_it,0.5,0))+Sens!K9569*0.5)/life_it</f>
        <v>130.788646309522</v>
      </c>
    </row>
    <row r="9572" customFormat="false" ht="17.15" hidden="false" customHeight="false" outlineLevel="0" collapsed="false">
      <c r="A9572" s="0" t="s">
        <v>853</v>
      </c>
      <c r="B9572" s="0" t="s">
        <v>98</v>
      </c>
      <c r="E9572" s="6" t="n">
        <f aca="false">(Sens!C9567*IF(2&lt;life_fac,1,IF(2=life_fac,0.5,0))+Sens!D9567*IF(1&lt;life_fac,1,IF(1=life_fac,0.5,0))+Sens!E9567*0.5)/life_fac</f>
        <v>1.2448275</v>
      </c>
      <c r="F9572" s="6" t="n">
        <f aca="false">(Sens!C9567*IF(3&lt;life_fac,1,IF(3=life_fac,0.5,0))+Sens!D9567*IF(2&lt;life_fac,1,IF(2=life_fac,0.5,0))+Sens!E9567*IF(1&lt;life_fac,1,IF(1=life_fac,0.5,0))+Sens!F9567*0.5)/life_fac</f>
        <v>2.4456901</v>
      </c>
      <c r="G9572" s="6" t="n">
        <f aca="false">(Sens!C9567*IF(4&lt;life_fac,1,IF(4=life_fac,0.5,0))+Sens!D9567*IF(3&lt;life_fac,1,IF(3=life_fac,0.5,0))+Sens!E9567*IF(2&lt;life_fac,1,IF(2=life_fac,0.5,0))+Sens!F9567*IF(1&lt;life_fac,1,IF(1=life_fac,0.5,0))+Sens!G9567*0.5)/life_fac</f>
        <v>3.9814208</v>
      </c>
      <c r="H9572" s="6" t="n">
        <f aca="false">(Sens!C9567*IF(5&lt;life_fac,1,IF(5=life_fac,0.5,0))+Sens!D9567*IF(4&lt;life_fac,1,IF(4=life_fac,0.5,0))+Sens!E9567*IF(3&lt;life_fac,1,IF(3=life_fac,0.5,0))+Sens!F9567*IF(2&lt;life_fac,1,IF(2=life_fac,0.5,0))+Sens!G9567*IF(1&lt;life_fac,1,IF(1=life_fac,0.5,0))+Sens!H9567*0.5)/life_fac</f>
        <v>5.582402</v>
      </c>
      <c r="I9572" s="6" t="n">
        <f aca="false">(Sens!C9567*IF(6&lt;life_fac,1,IF(6=life_fac,0.5,0))+Sens!D9567*IF(5&lt;life_fac,1,IF(5=life_fac,0.5,0))+Sens!E9567*IF(4&lt;life_fac,1,IF(4=life_fac,0.5,0))+Sens!F9567*IF(3&lt;life_fac,1,IF(3=life_fac,0.5,0))+Sens!G9567*IF(2&lt;life_fac,1,IF(2=life_fac,0.5,0))+Sens!H9567*IF(1&lt;life_fac,1,IF(1=life_fac,0.5,0))+Sens!I9567*0.5)/life_fac</f>
        <v>6.950862093</v>
      </c>
      <c r="J9572" s="6" t="n">
        <f aca="false">(Sens!C9567*IF(7&lt;life_fac,1,IF(7=life_fac,0.5,0))+Sens!D9567*IF(6&lt;life_fac,1,IF(6=life_fac,0.5,0))+Sens!E9567*IF(5&lt;life_fac,1,IF(5=life_fac,0.5,0))+Sens!F9567*IF(4&lt;life_fac,1,IF(4=life_fac,0.5,0))+Sens!G9567*IF(3&lt;life_fac,1,IF(3=life_fac,0.5,0))+Sens!H9567*IF(2&lt;life_fac,1,IF(2=life_fac,0.5,0))+Sens!I9567*IF(1&lt;life_fac,1,IF(1=life_fac,0.5,0))+Sens!J9567*0.5)/life_fac</f>
        <v>7.86563936186</v>
      </c>
      <c r="K9572" s="6" t="n">
        <f aca="false">(Sens!C9567*IF(8&lt;life_fac,1,IF(8=life_fac,0.5,0))+Sens!D9567*IF(7&lt;life_fac,1,IF(7=life_fac,0.5,0))+Sens!E9567*IF(6&lt;life_fac,1,IF(6=life_fac,0.5,0))+Sens!F9567*IF(5&lt;life_fac,1,IF(5=life_fac,0.5,0))+Sens!G9567*IF(4&lt;life_fac,1,IF(4=life_fac,0.5,0))+Sens!H9567*IF(3&lt;life_fac,1,IF(3=life_fac,0.5,0))+Sens!I9567*IF(2&lt;life_fac,1,IF(2=life_fac,0.5,0))+Sens!J9567*IF(1&lt;life_fac,1,IF(1=life_fac,0.5,0))+Sens!K9567*0.5)/life_fac</f>
        <v>8.3428177347858</v>
      </c>
    </row>
    <row r="9573" customFormat="false" ht="17.15" hidden="false" customHeight="false" outlineLevel="0" collapsed="false">
      <c r="A9573" s="0" t="s">
        <v>854</v>
      </c>
      <c r="B9573" s="0" t="s">
        <v>98</v>
      </c>
      <c r="E9573" s="6" t="n">
        <f aca="false">Sens!E9571+Sens!E9572</f>
        <v>16.3054059770833</v>
      </c>
      <c r="F9573" s="6" t="n">
        <f aca="false">Sens!F9571+Sens!F9572</f>
        <v>34.0498873809555</v>
      </c>
      <c r="G9573" s="6" t="n">
        <f aca="false">Sens!G9571+Sens!G9572</f>
        <v>59.1254371105111</v>
      </c>
      <c r="H9573" s="6" t="n">
        <f aca="false">Sens!H9571+Sens!H9572</f>
        <v>86.3610198433111</v>
      </c>
      <c r="I9573" s="6" t="n">
        <f aca="false">Sens!I9571+Sens!I9572</f>
        <v>110.605743832393</v>
      </c>
      <c r="J9573" s="6" t="n">
        <f aca="false">Sens!J9571+Sens!J9572</f>
        <v>127.998322852843</v>
      </c>
      <c r="K9573" s="6" t="n">
        <f aca="false">Sens!K9571+Sens!K9572</f>
        <v>139.131464044308</v>
      </c>
    </row>
    <row r="9574" customFormat="false" ht="17.15" hidden="false" customHeight="false" outlineLevel="0" collapsed="false">
      <c r="A9574" s="0" t="s">
        <v>855</v>
      </c>
      <c r="B9574" s="0" t="s">
        <v>98</v>
      </c>
      <c r="E9574" s="6" t="n">
        <f aca="false">Sens!E9562-Sens!E9561*Sens!E9573</f>
        <v>8.92707889977379</v>
      </c>
      <c r="F9574" s="6" t="n">
        <f aca="false">Sens!F9562-Sens!F9561*Sens!F9573</f>
        <v>19.0295083206205</v>
      </c>
      <c r="G9574" s="6" t="n">
        <f aca="false">Sens!G9562-Sens!G9561*Sens!G9573</f>
        <v>31.0774922914994</v>
      </c>
      <c r="H9574" s="6" t="n">
        <f aca="false">Sens!H9562-Sens!H9561*Sens!H9573</f>
        <v>43.4030330778723</v>
      </c>
      <c r="I9574" s="6" t="n">
        <f aca="false">Sens!I9562-Sens!I9561*Sens!I9573</f>
        <v>54.3591447183526</v>
      </c>
      <c r="J9574" s="6" t="n">
        <f aca="false">Sens!J9562-Sens!J9561*Sens!J9573</f>
        <v>62.0539899656947</v>
      </c>
      <c r="K9574" s="6" t="n">
        <f aca="false">Sens!K9562-Sens!K9561*Sens!K9573</f>
        <v>67.5792921529812</v>
      </c>
    </row>
    <row r="9575" customFormat="false" ht="17.15" hidden="false" customHeight="false" outlineLevel="0" collapsed="false">
      <c r="A9575" s="3" t="s">
        <v>1508</v>
      </c>
    </row>
    <row r="9576" customFormat="false" ht="15" hidden="false" customHeight="false" outlineLevel="0" collapsed="false">
      <c r="A9576" s="4" t="s">
        <v>43</v>
      </c>
      <c r="B9576" s="4" t="s">
        <v>65</v>
      </c>
      <c r="C9576" s="20" t="s">
        <v>799</v>
      </c>
      <c r="D9576" s="20" t="s">
        <v>800</v>
      </c>
      <c r="E9576" s="20" t="s">
        <v>801</v>
      </c>
      <c r="F9576" s="20" t="s">
        <v>802</v>
      </c>
      <c r="G9576" s="20" t="s">
        <v>803</v>
      </c>
      <c r="H9576" s="20" t="s">
        <v>804</v>
      </c>
      <c r="I9576" s="20" t="s">
        <v>805</v>
      </c>
      <c r="J9576" s="20" t="s">
        <v>806</v>
      </c>
      <c r="K9576" s="20" t="s">
        <v>807</v>
      </c>
      <c r="L9576" s="4" t="s">
        <v>47</v>
      </c>
    </row>
    <row r="9577" customFormat="false" ht="17.15" hidden="false" customHeight="false" outlineLevel="0" collapsed="false">
      <c r="A9577" s="0" t="s">
        <v>874</v>
      </c>
      <c r="B9577" s="0" t="s">
        <v>98</v>
      </c>
      <c r="D9577" s="6" t="n">
        <f aca="false">Sens!D9556</f>
        <v>12.9359794422418</v>
      </c>
      <c r="E9577" s="6" t="n">
        <f aca="false">Sens!E9556</f>
        <v>27.8095064661409</v>
      </c>
      <c r="F9577" s="6" t="n">
        <f aca="false">Sens!F9556</f>
        <v>55.0640065749585</v>
      </c>
      <c r="G9577" s="6" t="n">
        <f aca="false">Sens!G9556</f>
        <v>89.4505413190538</v>
      </c>
      <c r="H9577" s="6" t="n">
        <f aca="false">Sens!H9556</f>
        <v>124.835630736874</v>
      </c>
      <c r="I9577" s="6" t="n">
        <f aca="false">Sens!I9556</f>
        <v>156.158460265485</v>
      </c>
      <c r="J9577" s="6" t="n">
        <f aca="false">Sens!J9556</f>
        <v>178.259285293112</v>
      </c>
      <c r="K9577" s="6" t="n">
        <f aca="false">Sens!K9556</f>
        <v>192.733290209798</v>
      </c>
    </row>
    <row r="9578" customFormat="false" ht="17.15" hidden="false" customHeight="false" outlineLevel="0" collapsed="false">
      <c r="A9578" s="0" t="s">
        <v>875</v>
      </c>
      <c r="B9578" s="0" t="s">
        <v>98</v>
      </c>
      <c r="D9578" s="6" t="n">
        <f aca="false">Q!L6-Sens!D9577</f>
        <v>59.6740205577583</v>
      </c>
      <c r="E9578" s="6" t="n">
        <f aca="false">Q!M6-Sens!E9577</f>
        <v>74.1284935338591</v>
      </c>
      <c r="F9578" s="6" t="n">
        <f aca="false">Sens!E9578*(1+Sens!F9579)</f>
        <v>90.0799497373663</v>
      </c>
      <c r="G9578" s="6" t="n">
        <f aca="false">Sens!F9578*(1+Sens!G9579)</f>
        <v>107.02842520331</v>
      </c>
      <c r="H9578" s="6" t="n">
        <f aca="false">Sens!G9578*(1+Sens!H9579)</f>
        <v>124.271982585636</v>
      </c>
      <c r="I9578" s="6" t="n">
        <f aca="false">Sens!H9578*(1+Sens!I9579)</f>
        <v>140.933702381855</v>
      </c>
      <c r="J9578" s="6" t="n">
        <f aca="false">Sens!I9578*(1+Sens!J9579)</f>
        <v>156.018867314332</v>
      </c>
      <c r="K9578" s="6" t="n">
        <f aca="false">Sens!J9578*(1+Sens!K9579)</f>
        <v>168.500376699478</v>
      </c>
    </row>
    <row r="9579" customFormat="false" ht="15" hidden="false" customHeight="false" outlineLevel="0" collapsed="false">
      <c r="A9579" s="1" t="s">
        <v>876</v>
      </c>
      <c r="B9579" s="0" t="s">
        <v>129</v>
      </c>
      <c r="E9579" s="7" t="n">
        <f aca="false">Sens!E9578/Sens!D9578-1</f>
        <v>0.242223883039864</v>
      </c>
      <c r="F9579" s="7" t="n">
        <f aca="false">Sens!$E$9579+(glt_azo-Sens!$E$9579)*MIN(1,(Sens!F9539-base_fy)/n_conv)</f>
        <v>0.215186569199887</v>
      </c>
      <c r="G9579" s="7" t="n">
        <f aca="false">Sens!$E$9579+(glt_azo-Sens!$E$9579)*MIN(1,(Sens!G9539-base_fy)/n_conv)</f>
        <v>0.18814925535991</v>
      </c>
      <c r="H9579" s="7" t="n">
        <f aca="false">Sens!$E$9579+(glt_azo-Sens!$E$9579)*MIN(1,(Sens!H9539-base_fy)/n_conv)</f>
        <v>0.161111941519932</v>
      </c>
      <c r="I9579" s="7" t="n">
        <f aca="false">Sens!$E$9579+(glt_azo-Sens!$E$9579)*MIN(1,(Sens!I9539-base_fy)/n_conv)</f>
        <v>0.134074627679955</v>
      </c>
      <c r="J9579" s="7" t="n">
        <f aca="false">Sens!$E$9579+(glt_azo-Sens!$E$9579)*MIN(1,(Sens!J9539-base_fy)/n_conv)</f>
        <v>0.107037313839977</v>
      </c>
      <c r="K9579" s="7" t="n">
        <f aca="false">Sens!$E$9579+(glt_azo-Sens!$E$9579)*MIN(1,(Sens!K9539-base_fy)/n_conv)</f>
        <v>0.08</v>
      </c>
    </row>
    <row r="9580" customFormat="false" ht="15" hidden="false" customHeight="false" outlineLevel="0" collapsed="false">
      <c r="A9580" s="0" t="s">
        <v>877</v>
      </c>
      <c r="B9580" s="0" t="s">
        <v>98</v>
      </c>
      <c r="D9580" s="6" t="n">
        <f aca="false">Sens!D9577+Sens!D9578</f>
        <v>72.61</v>
      </c>
      <c r="E9580" s="6" t="n">
        <f aca="false">Sens!E9577+Sens!E9578</f>
        <v>101.938</v>
      </c>
      <c r="F9580" s="6" t="n">
        <f aca="false">Sens!F9577+Sens!F9578</f>
        <v>145.143956312325</v>
      </c>
      <c r="G9580" s="6" t="n">
        <f aca="false">Sens!G9577+Sens!G9578</f>
        <v>196.478966522364</v>
      </c>
      <c r="H9580" s="6" t="n">
        <f aca="false">Sens!H9577+Sens!H9578</f>
        <v>249.10761332251</v>
      </c>
      <c r="I9580" s="6" t="n">
        <f aca="false">Sens!I9577+Sens!I9578</f>
        <v>297.09216264734</v>
      </c>
      <c r="J9580" s="6" t="n">
        <f aca="false">Sens!J9577+Sens!J9578</f>
        <v>334.278152607443</v>
      </c>
      <c r="K9580" s="6" t="n">
        <f aca="false">Sens!K9577+Sens!K9578</f>
        <v>361.233666909276</v>
      </c>
    </row>
    <row r="9581" customFormat="false" ht="17.15" hidden="false" customHeight="false" outlineLevel="0" collapsed="false">
      <c r="A9581" s="0" t="s">
        <v>878</v>
      </c>
      <c r="B9581" s="1" t="s">
        <v>528</v>
      </c>
      <c r="C9581" s="29" t="n">
        <f aca="false">cop_s24</f>
        <v>1</v>
      </c>
      <c r="D9581" s="29" t="n">
        <f aca="false">cop_s25</f>
        <v>5</v>
      </c>
      <c r="E9581" s="29" t="n">
        <f aca="false">cop_s26</f>
        <v>30</v>
      </c>
      <c r="F9581" s="29" t="n">
        <f aca="false">Sens!E9581+cop_add_B</f>
        <v>50</v>
      </c>
      <c r="G9581" s="29" t="n">
        <f aca="false">Sens!F9581+cop_add_B</f>
        <v>70</v>
      </c>
      <c r="H9581" s="29" t="n">
        <f aca="false">Sens!G9581+cop_add_B</f>
        <v>90</v>
      </c>
      <c r="I9581" s="29" t="n">
        <f aca="false">Sens!H9581+cop_add_B*cop_tail</f>
        <v>100</v>
      </c>
      <c r="J9581" s="29" t="n">
        <f aca="false">Sens!I9581+cop_add_B*cop_tail</f>
        <v>110</v>
      </c>
      <c r="K9581" s="29" t="n">
        <f aca="false">Sens!J9581+cop_add_B*cop_tail</f>
        <v>120</v>
      </c>
      <c r="L9581" s="11" t="s">
        <v>879</v>
      </c>
    </row>
    <row r="9582" customFormat="false" ht="17.15" hidden="false" customHeight="false" outlineLevel="0" collapsed="false">
      <c r="A9582" s="0" t="s">
        <v>880</v>
      </c>
      <c r="B9582" s="0" t="s">
        <v>98</v>
      </c>
      <c r="D9582" s="6" t="n">
        <f aca="false">(Sens!C9581+Sens!D9581)/2*cop_px*12/1000</f>
        <v>0.9</v>
      </c>
      <c r="E9582" s="6" t="n">
        <f aca="false">(Sens!D9581+Sens!E9581)/2*cop_px*12/1000</f>
        <v>5.25</v>
      </c>
      <c r="F9582" s="6" t="n">
        <f aca="false">(Sens!E9581+Sens!F9581)/2*cop_px*12/1000</f>
        <v>12</v>
      </c>
      <c r="G9582" s="6" t="n">
        <f aca="false">(Sens!F9581+Sens!G9581)/2*cop_px*12/1000</f>
        <v>18</v>
      </c>
      <c r="H9582" s="6" t="n">
        <f aca="false">(Sens!G9581+Sens!H9581)/2*cop_px*12/1000</f>
        <v>24</v>
      </c>
      <c r="I9582" s="6" t="n">
        <f aca="false">(Sens!H9581+Sens!I9581)/2*cop_px*12/1000</f>
        <v>28.5</v>
      </c>
      <c r="J9582" s="6" t="n">
        <f aca="false">(Sens!I9581+Sens!J9581)/2*cop_px*12/1000</f>
        <v>31.5</v>
      </c>
      <c r="K9582" s="6" t="n">
        <f aca="false">(Sens!J9581+Sens!K9581)/2*cop_px*12/1000</f>
        <v>34.5</v>
      </c>
      <c r="L9582" s="1" t="s">
        <v>881</v>
      </c>
    </row>
    <row r="9583" customFormat="false" ht="17.15" hidden="false" customHeight="false" outlineLevel="0" collapsed="false">
      <c r="A9583" s="0" t="s">
        <v>882</v>
      </c>
      <c r="B9583" s="0" t="s">
        <v>98</v>
      </c>
      <c r="D9583" s="6" t="n">
        <f aca="false">Q!L7-Sens!D9582</f>
        <v>83.705</v>
      </c>
      <c r="E9583" s="6" t="n">
        <f aca="false">Q!M7-Sens!E9582</f>
        <v>95.049</v>
      </c>
      <c r="F9583" s="6" t="n">
        <f aca="false">Sens!E9583*(1+Sens!F9584)</f>
        <v>106.89238776686</v>
      </c>
      <c r="G9583" s="6" t="n">
        <f aca="false">Sens!F9583*(1+Sens!G9584)</f>
        <v>119.044168448684</v>
      </c>
      <c r="H9583" s="6" t="n">
        <f aca="false">Sens!G9583*(1+Sens!H9584)</f>
        <v>131.277359388781</v>
      </c>
      <c r="I9583" s="6" t="n">
        <f aca="false">Sens!H9583*(1+Sens!I9584)</f>
        <v>143.334028071957</v>
      </c>
      <c r="J9583" s="6" t="n">
        <f aca="false">Sens!I9583*(1+Sens!J9584)</f>
        <v>154.932702785465</v>
      </c>
      <c r="K9583" s="6" t="n">
        <f aca="false">Sens!J9583*(1+Sens!K9584)</f>
        <v>165.777991980448</v>
      </c>
    </row>
    <row r="9584" customFormat="false" ht="15" hidden="false" customHeight="false" outlineLevel="0" collapsed="false">
      <c r="A9584" s="1" t="s">
        <v>876</v>
      </c>
      <c r="B9584" s="0" t="s">
        <v>129</v>
      </c>
      <c r="E9584" s="7" t="n">
        <f aca="false">Sens!E9583/Sens!D9583-1</f>
        <v>0.135523564900544</v>
      </c>
      <c r="F9584" s="7" t="n">
        <f aca="false">Sens!$E$9584+(glt_m365b-Sens!$E$9584)*MIN(1,(Sens!F9539-base_fy)/n_conv)</f>
        <v>0.124602970750453</v>
      </c>
      <c r="G9584" s="7" t="n">
        <f aca="false">Sens!$E$9584+(glt_m365b-Sens!$E$9584)*MIN(1,(Sens!G9539-base_fy)/n_conv)</f>
        <v>0.113682376600363</v>
      </c>
      <c r="H9584" s="7" t="n">
        <f aca="false">Sens!$E$9584+(glt_m365b-Sens!$E$9584)*MIN(1,(Sens!H9539-base_fy)/n_conv)</f>
        <v>0.102761782450272</v>
      </c>
      <c r="I9584" s="7" t="n">
        <f aca="false">Sens!$E$9584+(glt_m365b-Sens!$E$9584)*MIN(1,(Sens!I9539-base_fy)/n_conv)</f>
        <v>0.0918411883001813</v>
      </c>
      <c r="J9584" s="7" t="n">
        <f aca="false">Sens!$E$9584+(glt_m365b-Sens!$E$9584)*MIN(1,(Sens!J9539-base_fy)/n_conv)</f>
        <v>0.0809205941500906</v>
      </c>
      <c r="K9584" s="7" t="n">
        <f aca="false">Sens!$E$9584+(glt_m365b-Sens!$E$9584)*MIN(1,(Sens!K9539-base_fy)/n_conv)</f>
        <v>0.07</v>
      </c>
    </row>
    <row r="9585" customFormat="false" ht="15" hidden="false" customHeight="false" outlineLevel="0" collapsed="false">
      <c r="A9585" s="0" t="s">
        <v>883</v>
      </c>
      <c r="B9585" s="0" t="s">
        <v>98</v>
      </c>
      <c r="D9585" s="6" t="n">
        <f aca="false">Sens!D9583+Sens!D9582</f>
        <v>84.605</v>
      </c>
      <c r="E9585" s="6" t="n">
        <f aca="false">Sens!E9583+Sens!E9582</f>
        <v>100.299</v>
      </c>
      <c r="F9585" s="6" t="n">
        <f aca="false">Sens!F9583+Sens!F9582</f>
        <v>118.89238776686</v>
      </c>
      <c r="G9585" s="6" t="n">
        <f aca="false">Sens!G9583+Sens!G9582</f>
        <v>137.044168448684</v>
      </c>
      <c r="H9585" s="6" t="n">
        <f aca="false">Sens!H9583+Sens!H9582</f>
        <v>155.277359388781</v>
      </c>
      <c r="I9585" s="6" t="n">
        <f aca="false">Sens!I9583+Sens!I9582</f>
        <v>171.834028071957</v>
      </c>
      <c r="J9585" s="6" t="n">
        <f aca="false">Sens!J9583+Sens!J9582</f>
        <v>186.432702785465</v>
      </c>
      <c r="K9585" s="6" t="n">
        <f aca="false">Sens!K9583+Sens!K9582</f>
        <v>200.277991980448</v>
      </c>
    </row>
    <row r="9586" customFormat="false" ht="15" hidden="false" customHeight="false" outlineLevel="0" collapsed="false">
      <c r="A9586" s="0" t="s">
        <v>884</v>
      </c>
      <c r="B9586" s="0" t="s">
        <v>98</v>
      </c>
      <c r="D9586" s="6" t="n">
        <f aca="false">Q!L8</f>
        <v>35.391</v>
      </c>
      <c r="E9586" s="6" t="n">
        <f aca="false">Q!M8</f>
        <v>37.285</v>
      </c>
      <c r="F9586" s="6" t="n">
        <f aca="false">Sens!E9586*(1+Sens!F9587)</f>
        <v>39.0720834331704</v>
      </c>
      <c r="G9586" s="6" t="n">
        <f aca="false">Sens!F9586*(1+Sens!G9587)</f>
        <v>40.726562953769</v>
      </c>
      <c r="H9586" s="6" t="n">
        <f aca="false">Sens!G9586*(1+Sens!H9587)</f>
        <v>42.2235987259198</v>
      </c>
      <c r="I9586" s="6" t="n">
        <f aca="false">Sens!H9586*(1+Sens!I9587)</f>
        <v>43.5397988077414</v>
      </c>
      <c r="J9586" s="6" t="n">
        <f aca="false">Sens!I9586*(1+Sens!J9587)</f>
        <v>44.653811225693</v>
      </c>
      <c r="K9586" s="6" t="n">
        <f aca="false">Sens!J9586*(1+Sens!K9587)</f>
        <v>45.5468874502068</v>
      </c>
    </row>
    <row r="9587" customFormat="false" ht="15" hidden="false" customHeight="false" outlineLevel="0" collapsed="false">
      <c r="A9587" s="1" t="s">
        <v>876</v>
      </c>
      <c r="B9587" s="0" t="s">
        <v>129</v>
      </c>
      <c r="E9587" s="7" t="n">
        <f aca="false">Sens!E9586/Sens!D9586-1</f>
        <v>0.0535164307309768</v>
      </c>
      <c r="F9587" s="7" t="n">
        <f aca="false">Sens!$E$9587+(glt_lic-Sens!$E$9587)*MIN(1,(Sens!F9539-base_fy)/n_conv)</f>
        <v>0.0479303589424807</v>
      </c>
      <c r="G9587" s="7" t="n">
        <f aca="false">Sens!$E$9587+(glt_lic-Sens!$E$9587)*MIN(1,(Sens!G9539-base_fy)/n_conv)</f>
        <v>0.0423442871539845</v>
      </c>
      <c r="H9587" s="7" t="n">
        <f aca="false">Sens!$E$9587+(glt_lic-Sens!$E$9587)*MIN(1,(Sens!H9539-base_fy)/n_conv)</f>
        <v>0.0367582153654884</v>
      </c>
      <c r="I9587" s="7" t="n">
        <f aca="false">Sens!$E$9587+(glt_lic-Sens!$E$9587)*MIN(1,(Sens!I9539-base_fy)/n_conv)</f>
        <v>0.0311721435769923</v>
      </c>
      <c r="J9587" s="7" t="n">
        <f aca="false">Sens!$E$9587+(glt_lic-Sens!$E$9587)*MIN(1,(Sens!J9539-base_fy)/n_conv)</f>
        <v>0.0255860717884961</v>
      </c>
      <c r="K9587" s="7" t="n">
        <f aca="false">Sens!$E$9587+(glt_lic-Sens!$E$9587)*MIN(1,(Sens!K9539-base_fy)/n_conv)</f>
        <v>0.02</v>
      </c>
    </row>
    <row r="9588" customFormat="false" ht="15" hidden="false" customHeight="false" outlineLevel="0" collapsed="false">
      <c r="A9588" s="0" t="s">
        <v>885</v>
      </c>
      <c r="B9588" s="0" t="s">
        <v>98</v>
      </c>
      <c r="D9588" s="6" t="n">
        <f aca="false">Q!L9</f>
        <v>18.417</v>
      </c>
      <c r="E9588" s="6" t="n">
        <f aca="false">Q!M9</f>
        <v>20.345</v>
      </c>
      <c r="F9588" s="6" t="n">
        <f aca="false">Sens!E9588*(1+Sens!F9589)</f>
        <v>22.3572203267814</v>
      </c>
      <c r="G9588" s="6" t="n">
        <f aca="false">Sens!F9588*(1+Sens!G9589)</f>
        <v>24.4392124437232</v>
      </c>
      <c r="H9588" s="6" t="n">
        <f aca="false">Sens!G9588*(1+Sens!H9589)</f>
        <v>26.5738052080665</v>
      </c>
      <c r="I9588" s="6" t="n">
        <f aca="false">Sens!H9588*(1+Sens!I9589)</f>
        <v>28.7412169166967</v>
      </c>
      <c r="J9588" s="6" t="n">
        <f aca="false">Sens!I9588*(1+Sens!J9589)</f>
        <v>30.9192545395413</v>
      </c>
      <c r="K9588" s="6" t="n">
        <f aca="false">Sens!J9588*(1+Sens!K9589)</f>
        <v>33.0836023573092</v>
      </c>
    </row>
    <row r="9589" customFormat="false" ht="15" hidden="false" customHeight="false" outlineLevel="0" collapsed="false">
      <c r="A9589" s="1" t="s">
        <v>876</v>
      </c>
      <c r="B9589" s="0" t="s">
        <v>129</v>
      </c>
      <c r="E9589" s="7" t="n">
        <f aca="false">Sens!E9588/Sens!D9588-1</f>
        <v>0.104685888038225</v>
      </c>
      <c r="F9589" s="7" t="n">
        <f aca="false">Sens!$E$9589+(glt_ind-Sens!$E$9589)*MIN(1,(Sens!F9539-base_fy)/n_conv)</f>
        <v>0.0989049066985211</v>
      </c>
      <c r="G9589" s="7" t="n">
        <f aca="false">Sens!$E$9589+(glt_ind-Sens!$E$9589)*MIN(1,(Sens!G9539-base_fy)/n_conv)</f>
        <v>0.0931239253588169</v>
      </c>
      <c r="H9589" s="7" t="n">
        <f aca="false">Sens!$E$9589+(glt_ind-Sens!$E$9589)*MIN(1,(Sens!H9539-base_fy)/n_conv)</f>
        <v>0.0873429440191127</v>
      </c>
      <c r="I9589" s="7" t="n">
        <f aca="false">Sens!$E$9589+(glt_ind-Sens!$E$9589)*MIN(1,(Sens!I9539-base_fy)/n_conv)</f>
        <v>0.0815619626794085</v>
      </c>
      <c r="J9589" s="7" t="n">
        <f aca="false">Sens!$E$9589+(glt_ind-Sens!$E$9589)*MIN(1,(Sens!J9539-base_fy)/n_conv)</f>
        <v>0.0757809813397042</v>
      </c>
      <c r="K9589" s="7" t="n">
        <f aca="false">Sens!$E$9589+(glt_ind-Sens!$E$9589)*MIN(1,(Sens!K9539-base_fy)/n_conv)</f>
        <v>0.07</v>
      </c>
    </row>
    <row r="9590" customFormat="false" ht="15" hidden="false" customHeight="false" outlineLevel="0" collapsed="false">
      <c r="A9590" s="0" t="s">
        <v>886</v>
      </c>
      <c r="B9590" s="0" t="s">
        <v>98</v>
      </c>
      <c r="D9590" s="6" t="n">
        <f aca="false">Q!L10</f>
        <v>7.76</v>
      </c>
      <c r="E9590" s="6" t="n">
        <f aca="false">Q!M10</f>
        <v>8.26</v>
      </c>
      <c r="F9590" s="6" t="n">
        <f aca="false">Sens!E9590*(1+Sens!F9591)</f>
        <v>8.79988041237113</v>
      </c>
      <c r="G9590" s="6" t="n">
        <f aca="false">Sens!F9590*(1+Sens!G9591)</f>
        <v>9.38321269125306</v>
      </c>
      <c r="H9590" s="6" t="n">
        <f aca="false">Sens!G9590*(1+Sens!H9591)</f>
        <v>10.0139193587476</v>
      </c>
      <c r="I9590" s="6" t="n">
        <f aca="false">Sens!H9590*(1+Sens!I9591)</f>
        <v>10.6963111830911</v>
      </c>
      <c r="J9590" s="6" t="n">
        <f aca="false">Sens!I9590*(1+Sens!J9591)</f>
        <v>11.4351285534696</v>
      </c>
      <c r="K9590" s="6" t="n">
        <f aca="false">Sens!J9590*(1+Sens!K9591)</f>
        <v>12.2355875522124</v>
      </c>
    </row>
    <row r="9591" customFormat="false" ht="15" hidden="false" customHeight="false" outlineLevel="0" collapsed="false">
      <c r="A9591" s="1" t="s">
        <v>876</v>
      </c>
      <c r="B9591" s="0" t="s">
        <v>129</v>
      </c>
      <c r="E9591" s="7" t="n">
        <f aca="false">Sens!E9590/Sens!D9590-1</f>
        <v>0.0644329896907216</v>
      </c>
      <c r="F9591" s="7" t="n">
        <f aca="false">Sens!$E$9591+(glt_fro-Sens!$E$9591)*MIN(1,(Sens!F9539-base_fy)/n_conv)</f>
        <v>0.065360824742268</v>
      </c>
      <c r="G9591" s="7" t="n">
        <f aca="false">Sens!$E$9591+(glt_fro-Sens!$E$9591)*MIN(1,(Sens!G9539-base_fy)/n_conv)</f>
        <v>0.0662886597938144</v>
      </c>
      <c r="H9591" s="7" t="n">
        <f aca="false">Sens!$E$9591+(glt_fro-Sens!$E$9591)*MIN(1,(Sens!H9539-base_fy)/n_conv)</f>
        <v>0.0672164948453608</v>
      </c>
      <c r="I9591" s="7" t="n">
        <f aca="false">Sens!$E$9591+(glt_fro-Sens!$E$9591)*MIN(1,(Sens!I9539-base_fy)/n_conv)</f>
        <v>0.0681443298969072</v>
      </c>
      <c r="J9591" s="7" t="n">
        <f aca="false">Sens!$E$9591+(glt_fro-Sens!$E$9591)*MIN(1,(Sens!J9539-base_fy)/n_conv)</f>
        <v>0.0690721649484536</v>
      </c>
      <c r="K9591" s="7" t="n">
        <f aca="false">Sens!$E$9591+(glt_fro-Sens!$E$9591)*MIN(1,(Sens!K9539-base_fy)/n_conv)</f>
        <v>0.07</v>
      </c>
    </row>
    <row r="9592" customFormat="false" ht="15" hidden="false" customHeight="false" outlineLevel="0" collapsed="false">
      <c r="A9592" s="0" t="s">
        <v>715</v>
      </c>
      <c r="B9592" s="0" t="s">
        <v>98</v>
      </c>
      <c r="D9592" s="6" t="n">
        <f aca="false">Sens!D9580+Sens!D9585+Sens!D9586+Sens!D9588+Sens!D9590</f>
        <v>218.783</v>
      </c>
      <c r="E9592" s="6" t="n">
        <f aca="false">Sens!E9580+Sens!E9585+Sens!E9586+Sens!E9588+Sens!E9590</f>
        <v>268.127</v>
      </c>
      <c r="F9592" s="6" t="n">
        <f aca="false">Sens!F9580+Sens!F9585+Sens!F9586+Sens!F9588+Sens!F9590</f>
        <v>334.265528251508</v>
      </c>
      <c r="G9592" s="6" t="n">
        <f aca="false">Sens!G9580+Sens!G9585+Sens!G9586+Sens!G9588+Sens!G9590</f>
        <v>408.072123059793</v>
      </c>
      <c r="H9592" s="6" t="n">
        <f aca="false">Sens!H9580+Sens!H9585+Sens!H9586+Sens!H9588+Sens!H9590</f>
        <v>483.196296004025</v>
      </c>
      <c r="I9592" s="6" t="n">
        <f aca="false">Sens!I9580+Sens!I9585+Sens!I9586+Sens!I9588+Sens!I9590</f>
        <v>551.903517626826</v>
      </c>
      <c r="J9592" s="6" t="n">
        <f aca="false">Sens!J9580+Sens!J9585+Sens!J9586+Sens!J9588+Sens!J9590</f>
        <v>607.719049711612</v>
      </c>
      <c r="K9592" s="6" t="n">
        <f aca="false">Sens!K9580+Sens!K9585+Sens!K9586+Sens!K9588+Sens!K9590</f>
        <v>652.377736249452</v>
      </c>
    </row>
    <row r="9593" customFormat="false" ht="15" hidden="false" customHeight="false" outlineLevel="0" collapsed="false">
      <c r="A9593" s="0" t="s">
        <v>887</v>
      </c>
      <c r="B9593" s="0" t="s">
        <v>98</v>
      </c>
      <c r="D9593" s="6" t="n">
        <f aca="false">Q!L13</f>
        <v>22.171</v>
      </c>
      <c r="E9593" s="6" t="n">
        <f aca="false">Q!M13</f>
        <v>24.835</v>
      </c>
      <c r="F9593" s="6" t="n">
        <f aca="false">Sens!E9593*(1+Sens!F9594)</f>
        <v>27.7356651218559</v>
      </c>
      <c r="G9593" s="6" t="n">
        <f aca="false">Sens!F9593*(1+Sens!G9594)</f>
        <v>30.8819427955575</v>
      </c>
      <c r="H9593" s="6" t="n">
        <f aca="false">Sens!G9593*(1+Sens!H9594)</f>
        <v>34.2813801456859</v>
      </c>
      <c r="I9593" s="6" t="n">
        <f aca="false">Sens!H9593*(1+Sens!I9594)</f>
        <v>37.9398543169022</v>
      </c>
      <c r="J9593" s="6" t="n">
        <f aca="false">Sens!I9593*(1+Sens!J9594)</f>
        <v>41.8612984476003</v>
      </c>
      <c r="K9593" s="6" t="n">
        <f aca="false">Sens!J9593*(1+Sens!K9594)</f>
        <v>46.0474282923604</v>
      </c>
    </row>
    <row r="9594" customFormat="false" ht="15" hidden="false" customHeight="false" outlineLevel="0" collapsed="false">
      <c r="A9594" s="1" t="s">
        <v>876</v>
      </c>
      <c r="B9594" s="0" t="s">
        <v>129</v>
      </c>
      <c r="E9594" s="7" t="n">
        <f aca="false">Sens!E9593/Sens!D9593-1</f>
        <v>0.120156961796942</v>
      </c>
      <c r="F9594" s="7" t="n">
        <f aca="false">Sens!$E$9594+(glt_srch_hi-Sens!$E$9594)*MIN(1,(Sens!F9539-base_fy)/n_conv)</f>
        <v>0.116797468164118</v>
      </c>
      <c r="G9594" s="7" t="n">
        <f aca="false">Sens!$E$9594+(glt_srch_hi-Sens!$E$9594)*MIN(1,(Sens!G9539-base_fy)/n_conv)</f>
        <v>0.113437974531295</v>
      </c>
      <c r="H9594" s="7" t="n">
        <f aca="false">Sens!$E$9594+(glt_srch_hi-Sens!$E$9594)*MIN(1,(Sens!H9539-base_fy)/n_conv)</f>
        <v>0.110078480898471</v>
      </c>
      <c r="I9594" s="7" t="n">
        <f aca="false">Sens!$E$9594+(glt_srch_hi-Sens!$E$9594)*MIN(1,(Sens!I9539-base_fy)/n_conv)</f>
        <v>0.106718987265647</v>
      </c>
      <c r="J9594" s="7" t="n">
        <f aca="false">Sens!$E$9594+(glt_srch_hi-Sens!$E$9594)*MIN(1,(Sens!J9539-base_fy)/n_conv)</f>
        <v>0.103359493632824</v>
      </c>
      <c r="K9594" s="7" t="n">
        <f aca="false">Sens!$E$9594+(glt_srch_hi-Sens!$E$9594)*MIN(1,(Sens!K9539-base_fy)/n_conv)</f>
        <v>0.1</v>
      </c>
    </row>
    <row r="9595" customFormat="false" ht="15" hidden="false" customHeight="false" outlineLevel="0" collapsed="false">
      <c r="A9595" s="0" t="s">
        <v>888</v>
      </c>
      <c r="B9595" s="0" t="s">
        <v>98</v>
      </c>
      <c r="D9595" s="6" t="n">
        <f aca="false">Q!L14</f>
        <v>23.455</v>
      </c>
      <c r="E9595" s="6" t="n">
        <f aca="false">Q!M14</f>
        <v>21.79</v>
      </c>
      <c r="F9595" s="6" t="n">
        <f aca="false">Sens!E9595*(1+Sens!F9596)</f>
        <v>20.5736277908051</v>
      </c>
      <c r="G9595" s="6" t="n">
        <f aca="false">Sens!F9595*(1+Sens!G9596)</f>
        <v>19.7371452817919</v>
      </c>
      <c r="H9595" s="6" t="n">
        <f aca="false">Sens!G9595*(1+Sens!H9596)</f>
        <v>19.2339764043138</v>
      </c>
      <c r="I9595" s="6" t="n">
        <f aca="false">Sens!H9595*(1+Sens!I9596)</f>
        <v>19.0353086852681</v>
      </c>
      <c r="J9595" s="6" t="n">
        <f aca="false">Sens!I9595*(1+Sens!J9596)</f>
        <v>19.1273539319129</v>
      </c>
      <c r="K9595" s="6" t="n">
        <f aca="false">Sens!J9595*(1+Sens!K9596)</f>
        <v>19.5099010105511</v>
      </c>
    </row>
    <row r="9596" customFormat="false" ht="15" hidden="false" customHeight="false" outlineLevel="0" collapsed="false">
      <c r="A9596" s="1" t="s">
        <v>876</v>
      </c>
      <c r="B9596" s="0" t="s">
        <v>129</v>
      </c>
      <c r="E9596" s="7" t="n">
        <f aca="false">Sens!E9595/Sens!D9595-1</f>
        <v>-0.0709869963760392</v>
      </c>
      <c r="F9596" s="7" t="n">
        <f aca="false">Sens!$E$9596+(glt_xbox-Sens!$E$9596)*MIN(1,(Sens!F9539-base_fy)/n_conv)</f>
        <v>-0.0558224969800327</v>
      </c>
      <c r="G9596" s="7" t="n">
        <f aca="false">Sens!$E$9596+(glt_xbox-Sens!$E$9596)*MIN(1,(Sens!G9539-base_fy)/n_conv)</f>
        <v>-0.0406579975840262</v>
      </c>
      <c r="H9596" s="7" t="n">
        <f aca="false">Sens!$E$9596+(glt_xbox-Sens!$E$9596)*MIN(1,(Sens!H9539-base_fy)/n_conv)</f>
        <v>-0.0254934981880196</v>
      </c>
      <c r="I9596" s="7" t="n">
        <f aca="false">Sens!$E$9596+(glt_xbox-Sens!$E$9596)*MIN(1,(Sens!I9539-base_fy)/n_conv)</f>
        <v>-0.0103289987920131</v>
      </c>
      <c r="J9596" s="7" t="n">
        <f aca="false">Sens!$E$9596+(glt_xbox-Sens!$E$9596)*MIN(1,(Sens!J9539-base_fy)/n_conv)</f>
        <v>0.00483550060399347</v>
      </c>
      <c r="K9596" s="7" t="n">
        <f aca="false">Sens!$E$9596+(glt_xbox-Sens!$E$9596)*MIN(1,(Sens!K9539-base_fy)/n_conv)</f>
        <v>0.02</v>
      </c>
    </row>
    <row r="9597" customFormat="false" ht="15" hidden="false" customHeight="false" outlineLevel="0" collapsed="false">
      <c r="A9597" s="0" t="s">
        <v>889</v>
      </c>
      <c r="B9597" s="0" t="s">
        <v>98</v>
      </c>
      <c r="D9597" s="6" t="n">
        <f aca="false">Q!L15</f>
        <v>17.315</v>
      </c>
      <c r="E9597" s="6" t="n">
        <f aca="false">Q!M15</f>
        <v>17.087</v>
      </c>
      <c r="F9597" s="6" t="n">
        <f aca="false">Sens!E9597*(1+Sens!F9598)</f>
        <v>16.9564585436519</v>
      </c>
      <c r="G9597" s="6" t="n">
        <f aca="false">Sens!F9597*(1+Sens!G9598)</f>
        <v>16.9206490624268</v>
      </c>
      <c r="H9597" s="6" t="n">
        <f aca="false">Sens!G9597*(1+Sens!H9598)</f>
        <v>16.9784519149849</v>
      </c>
      <c r="I9597" s="6" t="n">
        <f aca="false">Sens!H9597*(1+Sens!I9598)</f>
        <v>17.1303084701817</v>
      </c>
      <c r="J9597" s="6" t="n">
        <f aca="false">Sens!I9597*(1+Sens!J9598)</f>
        <v>17.3782189407267</v>
      </c>
      <c r="K9597" s="6" t="n">
        <f aca="false">Sens!J9597*(1+Sens!K9598)</f>
        <v>17.7257833195413</v>
      </c>
    </row>
    <row r="9598" customFormat="false" ht="15" hidden="false" customHeight="false" outlineLevel="0" collapsed="false">
      <c r="A9598" s="1" t="s">
        <v>876</v>
      </c>
      <c r="B9598" s="0" t="s">
        <v>129</v>
      </c>
      <c r="E9598" s="7" t="n">
        <f aca="false">Sens!E9597/Sens!D9597-1</f>
        <v>-0.0131677736066995</v>
      </c>
      <c r="F9598" s="7" t="n">
        <f aca="false">Sens!$E$9598+(glt_win-Sens!$E$9598)*MIN(1,(Sens!F9539-base_fy)/n_conv)</f>
        <v>-0.00763981133891627</v>
      </c>
      <c r="G9598" s="7" t="n">
        <f aca="false">Sens!$E$9598+(glt_win-Sens!$E$9598)*MIN(1,(Sens!G9539-base_fy)/n_conv)</f>
        <v>-0.00211184907113301</v>
      </c>
      <c r="H9598" s="7" t="n">
        <f aca="false">Sens!$E$9598+(glt_win-Sens!$E$9598)*MIN(1,(Sens!H9539-base_fy)/n_conv)</f>
        <v>0.00341611319665024</v>
      </c>
      <c r="I9598" s="7" t="n">
        <f aca="false">Sens!$E$9598+(glt_win-Sens!$E$9598)*MIN(1,(Sens!I9539-base_fy)/n_conv)</f>
        <v>0.00894407546443349</v>
      </c>
      <c r="J9598" s="7" t="n">
        <f aca="false">Sens!$E$9598+(glt_win-Sens!$E$9598)*MIN(1,(Sens!J9539-base_fy)/n_conv)</f>
        <v>0.0144720377322168</v>
      </c>
      <c r="K9598" s="7" t="n">
        <f aca="false">Sens!$E$9598+(glt_win-Sens!$E$9598)*MIN(1,(Sens!K9539-base_fy)/n_conv)</f>
        <v>0.02</v>
      </c>
    </row>
    <row r="9599" customFormat="false" ht="15" hidden="false" customHeight="false" outlineLevel="0" collapsed="false">
      <c r="A9599" s="0" t="s">
        <v>729</v>
      </c>
      <c r="B9599" s="0" t="s">
        <v>98</v>
      </c>
      <c r="D9599" s="6" t="n">
        <f aca="false">Sens!D9593+Sens!D9595+Sens!D9597</f>
        <v>62.941</v>
      </c>
      <c r="E9599" s="6" t="n">
        <f aca="false">Sens!E9593+Sens!E9595+Sens!E9597</f>
        <v>63.712</v>
      </c>
      <c r="F9599" s="6" t="n">
        <f aca="false">Sens!F9593+Sens!F9595+Sens!F9597</f>
        <v>65.2657514563129</v>
      </c>
      <c r="G9599" s="6" t="n">
        <f aca="false">Sens!G9593+Sens!G9595+Sens!G9597</f>
        <v>67.5397371397762</v>
      </c>
      <c r="H9599" s="6" t="n">
        <f aca="false">Sens!H9593+Sens!H9595+Sens!H9597</f>
        <v>70.4938084649846</v>
      </c>
      <c r="I9599" s="6" t="n">
        <f aca="false">Sens!I9593+Sens!I9595+Sens!I9597</f>
        <v>74.105471472352</v>
      </c>
      <c r="J9599" s="6" t="n">
        <f aca="false">Sens!J9593+Sens!J9595+Sens!J9597</f>
        <v>78.3668713202399</v>
      </c>
      <c r="K9599" s="6" t="n">
        <f aca="false">Sens!K9593+Sens!K9595+Sens!K9597</f>
        <v>83.2831126224528</v>
      </c>
    </row>
    <row r="9600" customFormat="false" ht="15" hidden="false" customHeight="false" outlineLevel="0" collapsed="false">
      <c r="A9600" s="1" t="s">
        <v>890</v>
      </c>
      <c r="B9600" s="0" t="s">
        <v>98</v>
      </c>
      <c r="D9600" s="6" t="n">
        <f aca="false">Sens!D9592+Sens!D9599</f>
        <v>281.724</v>
      </c>
      <c r="E9600" s="6" t="n">
        <f aca="false">Sens!E9592+Sens!E9599</f>
        <v>331.839</v>
      </c>
      <c r="F9600" s="6" t="n">
        <f aca="false">Sens!F9592+Sens!F9599</f>
        <v>399.531279707821</v>
      </c>
      <c r="G9600" s="6" t="n">
        <f aca="false">Sens!G9592+Sens!G9599</f>
        <v>475.611860199569</v>
      </c>
      <c r="H9600" s="6" t="n">
        <f aca="false">Sens!H9592+Sens!H9599</f>
        <v>553.69010446901</v>
      </c>
      <c r="I9600" s="6" t="n">
        <f aca="false">Sens!I9592+Sens!I9599</f>
        <v>626.008989099178</v>
      </c>
      <c r="J9600" s="6" t="n">
        <f aca="false">Sens!J9592+Sens!J9599</f>
        <v>686.085921031852</v>
      </c>
      <c r="K9600" s="6" t="n">
        <f aca="false">Sens!K9592+Sens!K9599</f>
        <v>735.660848871905</v>
      </c>
    </row>
    <row r="9601" customFormat="false" ht="15" hidden="false" customHeight="false" outlineLevel="0" collapsed="false">
      <c r="A9601" s="23" t="s">
        <v>891</v>
      </c>
      <c r="B9601" s="30" t="s">
        <v>98</v>
      </c>
      <c r="C9601" s="30"/>
      <c r="D9601" s="24" t="n">
        <f aca="false">(Sens!D9580+Sens!D9585+Sens!D9586+Sens!D9588+Sens!D9590-Sens!D9592)+(Sens!D9593+Sens!D9595+Sens!D9597-Sens!D9599)+(Sens!D9592-Q!L5)+(Sens!D9599-Q!L12)+(Sens!D9580-Q!L6)+(Sens!D9585-Q!L7)</f>
        <v>0</v>
      </c>
      <c r="E9601" s="24" t="n">
        <f aca="false">(Sens!E9580+Sens!E9585+Sens!E9586+Sens!E9588+Sens!E9590-Sens!E9592)+(Sens!E9593+Sens!E9595+Sens!E9597-Sens!E9599)+(Sens!E9592-Q!M5)+(Sens!E9599-Q!M12)+(Sens!E9580-Q!M6)+(Sens!E9585-Q!M7)</f>
        <v>0</v>
      </c>
      <c r="F9601" s="24" t="n">
        <f aca="false">(Sens!F9580+Sens!F9585+Sens!F9586+Sens!F9588+Sens!F9590-Sens!F9592)+(Sens!F9593+Sens!F9595+Sens!F9597-Sens!F9599)</f>
        <v>0</v>
      </c>
      <c r="G9601" s="24" t="n">
        <f aca="false">(Sens!G9580+Sens!G9585+Sens!G9586+Sens!G9588+Sens!G9590-Sens!G9592)+(Sens!G9593+Sens!G9595+Sens!G9597-Sens!G9599)</f>
        <v>0</v>
      </c>
      <c r="H9601" s="24" t="n">
        <f aca="false">(Sens!H9580+Sens!H9585+Sens!H9586+Sens!H9588+Sens!H9590-Sens!H9592)+(Sens!H9593+Sens!H9595+Sens!H9597-Sens!H9599)</f>
        <v>0</v>
      </c>
      <c r="I9601" s="24" t="n">
        <f aca="false">(Sens!I9580+Sens!I9585+Sens!I9586+Sens!I9588+Sens!I9590-Sens!I9592)+(Sens!I9593+Sens!I9595+Sens!I9597-Sens!I9599)</f>
        <v>0</v>
      </c>
      <c r="J9601" s="24" t="n">
        <f aca="false">(Sens!J9580+Sens!J9585+Sens!J9586+Sens!J9588+Sens!J9590-Sens!J9592)+(Sens!J9593+Sens!J9595+Sens!J9597-Sens!J9599)</f>
        <v>0</v>
      </c>
      <c r="K9601" s="24" t="n">
        <f aca="false">(Sens!K9580+Sens!K9585+Sens!K9586+Sens!K9588+Sens!K9590-Sens!K9592)+(Sens!K9593+Sens!K9595+Sens!K9597-Sens!K9599)</f>
        <v>0</v>
      </c>
    </row>
    <row r="9602" customFormat="false" ht="17.15" hidden="false" customHeight="false" outlineLevel="0" collapsed="false">
      <c r="A9602" s="3" t="s">
        <v>1509</v>
      </c>
    </row>
    <row r="9603" customFormat="false" ht="15" hidden="false" customHeight="false" outlineLevel="0" collapsed="false">
      <c r="A9603" s="4" t="s">
        <v>43</v>
      </c>
      <c r="B9603" s="4" t="s">
        <v>65</v>
      </c>
      <c r="C9603" s="20" t="s">
        <v>799</v>
      </c>
      <c r="D9603" s="20" t="s">
        <v>800</v>
      </c>
      <c r="E9603" s="20" t="s">
        <v>801</v>
      </c>
      <c r="F9603" s="20" t="s">
        <v>802</v>
      </c>
      <c r="G9603" s="20" t="s">
        <v>803</v>
      </c>
      <c r="H9603" s="20" t="s">
        <v>804</v>
      </c>
      <c r="I9603" s="20" t="s">
        <v>805</v>
      </c>
      <c r="J9603" s="20" t="s">
        <v>806</v>
      </c>
      <c r="K9603" s="20" t="s">
        <v>807</v>
      </c>
      <c r="L9603" s="4" t="s">
        <v>47</v>
      </c>
    </row>
    <row r="9604" customFormat="false" ht="15" hidden="false" customHeight="false" outlineLevel="0" collapsed="false">
      <c r="A9604" s="0" t="s">
        <v>877</v>
      </c>
      <c r="B9604" s="0" t="s">
        <v>98</v>
      </c>
      <c r="D9604" s="6" t="n">
        <f aca="false">Sens!D9580</f>
        <v>72.61</v>
      </c>
      <c r="E9604" s="6" t="n">
        <f aca="false">Sens!E9580</f>
        <v>101.938</v>
      </c>
      <c r="F9604" s="6" t="n">
        <f aca="false">Sens!F9580</f>
        <v>145.143956312325</v>
      </c>
      <c r="G9604" s="6" t="n">
        <f aca="false">Sens!G9580</f>
        <v>196.478966522364</v>
      </c>
      <c r="H9604" s="6" t="n">
        <f aca="false">Sens!H9580</f>
        <v>249.10761332251</v>
      </c>
      <c r="I9604" s="6" t="n">
        <f aca="false">Sens!I9580</f>
        <v>297.09216264734</v>
      </c>
      <c r="J9604" s="6" t="n">
        <f aca="false">Sens!J9580</f>
        <v>334.278152607443</v>
      </c>
      <c r="K9604" s="6" t="n">
        <f aca="false">Sens!K9580</f>
        <v>361.233666909276</v>
      </c>
    </row>
    <row r="9605" customFormat="false" ht="17.15" hidden="false" customHeight="false" outlineLevel="0" collapsed="false">
      <c r="A9605" s="0" t="s">
        <v>874</v>
      </c>
      <c r="B9605" s="0" t="s">
        <v>98</v>
      </c>
      <c r="D9605" s="6" t="n">
        <f aca="false">Sens!D9577</f>
        <v>12.9359794422418</v>
      </c>
      <c r="E9605" s="6" t="n">
        <f aca="false">Sens!E9577</f>
        <v>27.8095064661409</v>
      </c>
      <c r="F9605" s="6" t="n">
        <f aca="false">Sens!F9577</f>
        <v>55.0640065749585</v>
      </c>
      <c r="G9605" s="6" t="n">
        <f aca="false">Sens!G9577</f>
        <v>89.4505413190538</v>
      </c>
      <c r="H9605" s="6" t="n">
        <f aca="false">Sens!H9577</f>
        <v>124.835630736874</v>
      </c>
      <c r="I9605" s="6" t="n">
        <f aca="false">Sens!I9577</f>
        <v>156.158460265485</v>
      </c>
      <c r="J9605" s="6" t="n">
        <f aca="false">Sens!J9577</f>
        <v>178.259285293112</v>
      </c>
      <c r="K9605" s="6" t="n">
        <f aca="false">Sens!K9577</f>
        <v>192.733290209798</v>
      </c>
    </row>
    <row r="9606" customFormat="false" ht="17.15" hidden="false" customHeight="false" outlineLevel="0" collapsed="false">
      <c r="A9606" s="0" t="s">
        <v>902</v>
      </c>
      <c r="B9606" s="0" t="s">
        <v>98</v>
      </c>
      <c r="D9606" s="6" t="n">
        <f aca="false">Sens!D9578</f>
        <v>59.6740205577583</v>
      </c>
      <c r="E9606" s="6" t="n">
        <f aca="false">Sens!E9578</f>
        <v>74.1284935338591</v>
      </c>
      <c r="F9606" s="6" t="n">
        <f aca="false">Sens!F9578</f>
        <v>90.0799497373663</v>
      </c>
      <c r="G9606" s="6" t="n">
        <f aca="false">Sens!G9578</f>
        <v>107.02842520331</v>
      </c>
      <c r="H9606" s="6" t="n">
        <f aca="false">Sens!H9578</f>
        <v>124.271982585636</v>
      </c>
      <c r="I9606" s="6" t="n">
        <f aca="false">Sens!I9578</f>
        <v>140.933702381855</v>
      </c>
      <c r="J9606" s="6" t="n">
        <f aca="false">Sens!J9578</f>
        <v>156.018867314332</v>
      </c>
      <c r="K9606" s="6" t="n">
        <f aca="false">Sens!K9578</f>
        <v>168.500376699478</v>
      </c>
    </row>
    <row r="9607" customFormat="false" ht="15" hidden="false" customHeight="false" outlineLevel="0" collapsed="false">
      <c r="A9607" s="0" t="s">
        <v>883</v>
      </c>
      <c r="B9607" s="0" t="s">
        <v>98</v>
      </c>
      <c r="D9607" s="6" t="n">
        <f aca="false">Sens!D9585</f>
        <v>84.605</v>
      </c>
      <c r="E9607" s="6" t="n">
        <f aca="false">Sens!E9585</f>
        <v>100.299</v>
      </c>
      <c r="F9607" s="6" t="n">
        <f aca="false">Sens!F9585</f>
        <v>118.89238776686</v>
      </c>
      <c r="G9607" s="6" t="n">
        <f aca="false">Sens!G9585</f>
        <v>137.044168448684</v>
      </c>
      <c r="H9607" s="6" t="n">
        <f aca="false">Sens!H9585</f>
        <v>155.277359388781</v>
      </c>
      <c r="I9607" s="6" t="n">
        <f aca="false">Sens!I9585</f>
        <v>171.834028071957</v>
      </c>
      <c r="J9607" s="6" t="n">
        <f aca="false">Sens!J9585</f>
        <v>186.432702785465</v>
      </c>
      <c r="K9607" s="6" t="n">
        <f aca="false">Sens!K9585</f>
        <v>200.277991980448</v>
      </c>
    </row>
    <row r="9608" customFormat="false" ht="17.15" hidden="false" customHeight="false" outlineLevel="0" collapsed="false">
      <c r="A9608" s="0" t="s">
        <v>903</v>
      </c>
      <c r="B9608" s="0" t="s">
        <v>98</v>
      </c>
      <c r="D9608" s="6" t="n">
        <f aca="false">Sens!D9583</f>
        <v>83.705</v>
      </c>
      <c r="E9608" s="6" t="n">
        <f aca="false">Sens!E9583</f>
        <v>95.049</v>
      </c>
      <c r="F9608" s="6" t="n">
        <f aca="false">Sens!F9583</f>
        <v>106.89238776686</v>
      </c>
      <c r="G9608" s="6" t="n">
        <f aca="false">Sens!G9583</f>
        <v>119.044168448684</v>
      </c>
      <c r="H9608" s="6" t="n">
        <f aca="false">Sens!H9583</f>
        <v>131.277359388781</v>
      </c>
      <c r="I9608" s="6" t="n">
        <f aca="false">Sens!I9583</f>
        <v>143.334028071957</v>
      </c>
      <c r="J9608" s="6" t="n">
        <f aca="false">Sens!J9583</f>
        <v>154.932702785465</v>
      </c>
      <c r="K9608" s="6" t="n">
        <f aca="false">Sens!K9583</f>
        <v>165.777991980448</v>
      </c>
    </row>
    <row r="9609" customFormat="false" ht="17.15" hidden="false" customHeight="false" outlineLevel="0" collapsed="false">
      <c r="A9609" s="0" t="s">
        <v>904</v>
      </c>
      <c r="B9609" s="0" t="s">
        <v>98</v>
      </c>
      <c r="D9609" s="6" t="n">
        <f aca="false">Sens!D9582</f>
        <v>0.9</v>
      </c>
      <c r="E9609" s="6" t="n">
        <f aca="false">Sens!E9582</f>
        <v>5.25</v>
      </c>
      <c r="F9609" s="6" t="n">
        <f aca="false">Sens!F9582</f>
        <v>12</v>
      </c>
      <c r="G9609" s="6" t="n">
        <f aca="false">Sens!G9582</f>
        <v>18</v>
      </c>
      <c r="H9609" s="6" t="n">
        <f aca="false">Sens!H9582</f>
        <v>24</v>
      </c>
      <c r="I9609" s="6" t="n">
        <f aca="false">Sens!I9582</f>
        <v>28.5</v>
      </c>
      <c r="J9609" s="6" t="n">
        <f aca="false">Sens!J9582</f>
        <v>31.5</v>
      </c>
      <c r="K9609" s="6" t="n">
        <f aca="false">Sens!K9582</f>
        <v>34.5</v>
      </c>
    </row>
    <row r="9610" customFormat="false" ht="15" hidden="false" customHeight="false" outlineLevel="0" collapsed="false">
      <c r="A9610" s="0" t="s">
        <v>884</v>
      </c>
      <c r="B9610" s="0" t="s">
        <v>98</v>
      </c>
      <c r="D9610" s="6" t="n">
        <f aca="false">Sens!D9586</f>
        <v>35.391</v>
      </c>
      <c r="E9610" s="6" t="n">
        <f aca="false">Sens!E9586</f>
        <v>37.285</v>
      </c>
      <c r="F9610" s="6" t="n">
        <f aca="false">Sens!F9586</f>
        <v>39.0720834331704</v>
      </c>
      <c r="G9610" s="6" t="n">
        <f aca="false">Sens!G9586</f>
        <v>40.726562953769</v>
      </c>
      <c r="H9610" s="6" t="n">
        <f aca="false">Sens!H9586</f>
        <v>42.2235987259198</v>
      </c>
      <c r="I9610" s="6" t="n">
        <f aca="false">Sens!I9586</f>
        <v>43.5397988077414</v>
      </c>
      <c r="J9610" s="6" t="n">
        <f aca="false">Sens!J9586</f>
        <v>44.653811225693</v>
      </c>
      <c r="K9610" s="6" t="n">
        <f aca="false">Sens!K9586</f>
        <v>45.5468874502068</v>
      </c>
    </row>
    <row r="9611" customFormat="false" ht="15" hidden="false" customHeight="false" outlineLevel="0" collapsed="false">
      <c r="A9611" s="0" t="s">
        <v>885</v>
      </c>
      <c r="B9611" s="0" t="s">
        <v>98</v>
      </c>
      <c r="D9611" s="6" t="n">
        <f aca="false">Sens!D9588</f>
        <v>18.417</v>
      </c>
      <c r="E9611" s="6" t="n">
        <f aca="false">Sens!E9588</f>
        <v>20.345</v>
      </c>
      <c r="F9611" s="6" t="n">
        <f aca="false">Sens!F9588</f>
        <v>22.3572203267814</v>
      </c>
      <c r="G9611" s="6" t="n">
        <f aca="false">Sens!G9588</f>
        <v>24.4392124437232</v>
      </c>
      <c r="H9611" s="6" t="n">
        <f aca="false">Sens!H9588</f>
        <v>26.5738052080665</v>
      </c>
      <c r="I9611" s="6" t="n">
        <f aca="false">Sens!I9588</f>
        <v>28.7412169166967</v>
      </c>
      <c r="J9611" s="6" t="n">
        <f aca="false">Sens!J9588</f>
        <v>30.9192545395413</v>
      </c>
      <c r="K9611" s="6" t="n">
        <f aca="false">Sens!K9588</f>
        <v>33.0836023573092</v>
      </c>
    </row>
    <row r="9612" customFormat="false" ht="15" hidden="false" customHeight="false" outlineLevel="0" collapsed="false">
      <c r="A9612" s="0" t="s">
        <v>886</v>
      </c>
      <c r="B9612" s="0" t="s">
        <v>98</v>
      </c>
      <c r="D9612" s="6" t="n">
        <f aca="false">Sens!D9590</f>
        <v>7.76</v>
      </c>
      <c r="E9612" s="6" t="n">
        <f aca="false">Sens!E9590</f>
        <v>8.26</v>
      </c>
      <c r="F9612" s="6" t="n">
        <f aca="false">Sens!F9590</f>
        <v>8.79988041237113</v>
      </c>
      <c r="G9612" s="6" t="n">
        <f aca="false">Sens!G9590</f>
        <v>9.38321269125306</v>
      </c>
      <c r="H9612" s="6" t="n">
        <f aca="false">Sens!H9590</f>
        <v>10.0139193587476</v>
      </c>
      <c r="I9612" s="6" t="n">
        <f aca="false">Sens!I9590</f>
        <v>10.6963111830911</v>
      </c>
      <c r="J9612" s="6" t="n">
        <f aca="false">Sens!J9590</f>
        <v>11.4351285534696</v>
      </c>
      <c r="K9612" s="6" t="n">
        <f aca="false">Sens!K9590</f>
        <v>12.2355875522124</v>
      </c>
    </row>
    <row r="9613" customFormat="false" ht="15" hidden="false" customHeight="false" outlineLevel="0" collapsed="false">
      <c r="A9613" s="0" t="s">
        <v>715</v>
      </c>
      <c r="B9613" s="0" t="s">
        <v>98</v>
      </c>
      <c r="D9613" s="6" t="n">
        <f aca="false">Sens!D9592</f>
        <v>218.783</v>
      </c>
      <c r="E9613" s="6" t="n">
        <f aca="false">Sens!E9592</f>
        <v>268.127</v>
      </c>
      <c r="F9613" s="6" t="n">
        <f aca="false">Sens!F9592</f>
        <v>334.265528251508</v>
      </c>
      <c r="G9613" s="6" t="n">
        <f aca="false">Sens!G9592</f>
        <v>408.072123059793</v>
      </c>
      <c r="H9613" s="6" t="n">
        <f aca="false">Sens!H9592</f>
        <v>483.196296004025</v>
      </c>
      <c r="I9613" s="6" t="n">
        <f aca="false">Sens!I9592</f>
        <v>551.903517626826</v>
      </c>
      <c r="J9613" s="6" t="n">
        <f aca="false">Sens!J9592</f>
        <v>607.719049711612</v>
      </c>
      <c r="K9613" s="6" t="n">
        <f aca="false">Sens!K9592</f>
        <v>652.377736249452</v>
      </c>
    </row>
    <row r="9614" customFormat="false" ht="15" hidden="false" customHeight="false" outlineLevel="0" collapsed="false">
      <c r="A9614" s="0" t="s">
        <v>887</v>
      </c>
      <c r="B9614" s="0" t="s">
        <v>98</v>
      </c>
      <c r="D9614" s="6" t="n">
        <f aca="false">Sens!D9593</f>
        <v>22.171</v>
      </c>
      <c r="E9614" s="6" t="n">
        <f aca="false">Sens!E9593</f>
        <v>24.835</v>
      </c>
      <c r="F9614" s="6" t="n">
        <f aca="false">Sens!F9593</f>
        <v>27.7356651218559</v>
      </c>
      <c r="G9614" s="6" t="n">
        <f aca="false">Sens!G9593</f>
        <v>30.8819427955575</v>
      </c>
      <c r="H9614" s="6" t="n">
        <f aca="false">Sens!H9593</f>
        <v>34.2813801456859</v>
      </c>
      <c r="I9614" s="6" t="n">
        <f aca="false">Sens!I9593</f>
        <v>37.9398543169022</v>
      </c>
      <c r="J9614" s="6" t="n">
        <f aca="false">Sens!J9593</f>
        <v>41.8612984476003</v>
      </c>
      <c r="K9614" s="6" t="n">
        <f aca="false">Sens!K9593</f>
        <v>46.0474282923604</v>
      </c>
    </row>
    <row r="9615" customFormat="false" ht="15" hidden="false" customHeight="false" outlineLevel="0" collapsed="false">
      <c r="A9615" s="0" t="s">
        <v>888</v>
      </c>
      <c r="B9615" s="0" t="s">
        <v>98</v>
      </c>
      <c r="D9615" s="6" t="n">
        <f aca="false">Sens!D9595</f>
        <v>23.455</v>
      </c>
      <c r="E9615" s="6" t="n">
        <f aca="false">Sens!E9595</f>
        <v>21.79</v>
      </c>
      <c r="F9615" s="6" t="n">
        <f aca="false">Sens!F9595</f>
        <v>20.5736277908051</v>
      </c>
      <c r="G9615" s="6" t="n">
        <f aca="false">Sens!G9595</f>
        <v>19.7371452817919</v>
      </c>
      <c r="H9615" s="6" t="n">
        <f aca="false">Sens!H9595</f>
        <v>19.2339764043138</v>
      </c>
      <c r="I9615" s="6" t="n">
        <f aca="false">Sens!I9595</f>
        <v>19.0353086852681</v>
      </c>
      <c r="J9615" s="6" t="n">
        <f aca="false">Sens!J9595</f>
        <v>19.1273539319129</v>
      </c>
      <c r="K9615" s="6" t="n">
        <f aca="false">Sens!K9595</f>
        <v>19.5099010105511</v>
      </c>
    </row>
    <row r="9616" customFormat="false" ht="15" hidden="false" customHeight="false" outlineLevel="0" collapsed="false">
      <c r="A9616" s="0" t="s">
        <v>889</v>
      </c>
      <c r="B9616" s="0" t="s">
        <v>98</v>
      </c>
      <c r="D9616" s="6" t="n">
        <f aca="false">Sens!D9597</f>
        <v>17.315</v>
      </c>
      <c r="E9616" s="6" t="n">
        <f aca="false">Sens!E9597</f>
        <v>17.087</v>
      </c>
      <c r="F9616" s="6" t="n">
        <f aca="false">Sens!F9597</f>
        <v>16.9564585436519</v>
      </c>
      <c r="G9616" s="6" t="n">
        <f aca="false">Sens!G9597</f>
        <v>16.9206490624268</v>
      </c>
      <c r="H9616" s="6" t="n">
        <f aca="false">Sens!H9597</f>
        <v>16.9784519149849</v>
      </c>
      <c r="I9616" s="6" t="n">
        <f aca="false">Sens!I9597</f>
        <v>17.1303084701817</v>
      </c>
      <c r="J9616" s="6" t="n">
        <f aca="false">Sens!J9597</f>
        <v>17.3782189407267</v>
      </c>
      <c r="K9616" s="6" t="n">
        <f aca="false">Sens!K9597</f>
        <v>17.7257833195413</v>
      </c>
    </row>
    <row r="9617" customFormat="false" ht="15" hidden="false" customHeight="false" outlineLevel="0" collapsed="false">
      <c r="A9617" s="0" t="s">
        <v>729</v>
      </c>
      <c r="B9617" s="0" t="s">
        <v>98</v>
      </c>
      <c r="D9617" s="6" t="n">
        <f aca="false">Sens!D9599</f>
        <v>62.941</v>
      </c>
      <c r="E9617" s="6" t="n">
        <f aca="false">Sens!E9599</f>
        <v>63.712</v>
      </c>
      <c r="F9617" s="6" t="n">
        <f aca="false">Sens!F9599</f>
        <v>65.2657514563129</v>
      </c>
      <c r="G9617" s="6" t="n">
        <f aca="false">Sens!G9599</f>
        <v>67.5397371397762</v>
      </c>
      <c r="H9617" s="6" t="n">
        <f aca="false">Sens!H9599</f>
        <v>70.4938084649846</v>
      </c>
      <c r="I9617" s="6" t="n">
        <f aca="false">Sens!I9599</f>
        <v>74.105471472352</v>
      </c>
      <c r="J9617" s="6" t="n">
        <f aca="false">Sens!J9599</f>
        <v>78.3668713202399</v>
      </c>
      <c r="K9617" s="6" t="n">
        <f aca="false">Sens!K9599</f>
        <v>83.2831126224528</v>
      </c>
    </row>
    <row r="9618" customFormat="false" ht="15" hidden="false" customHeight="false" outlineLevel="0" collapsed="false">
      <c r="A9618" s="1" t="s">
        <v>905</v>
      </c>
      <c r="B9618" s="0" t="s">
        <v>98</v>
      </c>
      <c r="D9618" s="6" t="n">
        <f aca="false">Sens!D9600</f>
        <v>281.724</v>
      </c>
      <c r="E9618" s="6" t="n">
        <f aca="false">Sens!E9600</f>
        <v>331.839</v>
      </c>
      <c r="F9618" s="6" t="n">
        <f aca="false">Sens!F9600</f>
        <v>399.531279707821</v>
      </c>
      <c r="G9618" s="6" t="n">
        <f aca="false">Sens!G9600</f>
        <v>475.611860199569</v>
      </c>
      <c r="H9618" s="6" t="n">
        <f aca="false">Sens!H9600</f>
        <v>553.69010446901</v>
      </c>
      <c r="I9618" s="6" t="n">
        <f aca="false">Sens!I9600</f>
        <v>626.008989099178</v>
      </c>
      <c r="J9618" s="6" t="n">
        <f aca="false">Sens!J9600</f>
        <v>686.085921031852</v>
      </c>
      <c r="K9618" s="6" t="n">
        <f aca="false">Sens!K9600</f>
        <v>735.660848871905</v>
      </c>
    </row>
    <row r="9619" customFormat="false" ht="15" hidden="false" customHeight="false" outlineLevel="0" collapsed="false">
      <c r="A9619" s="1" t="s">
        <v>906</v>
      </c>
      <c r="B9619" s="0" t="s">
        <v>129</v>
      </c>
      <c r="E9619" s="7" t="n">
        <f aca="false">Sens!E9618/Sens!D9618-1</f>
        <v>0.177886867998467</v>
      </c>
      <c r="F9619" s="7" t="n">
        <f aca="false">Sens!F9618/Sens!E9618-1</f>
        <v>0.20399133226601</v>
      </c>
      <c r="G9619" s="7" t="n">
        <f aca="false">Sens!G9618/Sens!F9618-1</f>
        <v>0.190424590904088</v>
      </c>
      <c r="H9619" s="7" t="n">
        <f aca="false">Sens!H9618/Sens!G9618-1</f>
        <v>0.164163787330027</v>
      </c>
      <c r="I9619" s="7" t="n">
        <f aca="false">Sens!I9618/Sens!H9618-1</f>
        <v>0.130612564765849</v>
      </c>
      <c r="J9619" s="7" t="n">
        <f aca="false">Sens!J9618/Sens!I9618-1</f>
        <v>0.0959681617657351</v>
      </c>
      <c r="K9619" s="7" t="n">
        <f aca="false">Sens!K9618/Sens!J9618-1</f>
        <v>0.0722576084428221</v>
      </c>
    </row>
    <row r="9620" customFormat="false" ht="17.15" hidden="false" customHeight="false" outlineLevel="0" collapsed="false">
      <c r="A9620" s="23" t="s">
        <v>907</v>
      </c>
      <c r="B9620" s="30" t="s">
        <v>98</v>
      </c>
      <c r="C9620" s="30"/>
      <c r="D9620" s="24" t="n">
        <f aca="false">(Sens!D9613+Sens!D9617-Sens!D9618)+(Sens!D9605+Sens!D9606-Sens!D9604)+(Sens!D9608+Sens!D9609-Sens!D9607)+(Sens!D9618-Q!L18)</f>
        <v>0</v>
      </c>
      <c r="E9620" s="24" t="n">
        <f aca="false">(Sens!E9613+Sens!E9617-Sens!E9618)+(Sens!E9605+Sens!E9606-Sens!E9604)+(Sens!E9608+Sens!E9609-Sens!E9607)+(Sens!E9618-Q!M18)</f>
        <v>0</v>
      </c>
      <c r="F9620" s="24" t="n">
        <f aca="false">(Sens!F9613+Sens!F9617-Sens!F9618)+(Sens!F9605+Sens!F9606-Sens!F9604)+(Sens!F9608+Sens!F9609-Sens!F9607)</f>
        <v>0</v>
      </c>
      <c r="G9620" s="24" t="n">
        <f aca="false">(Sens!G9613+Sens!G9617-Sens!G9618)+(Sens!G9605+Sens!G9606-Sens!G9604)+(Sens!G9608+Sens!G9609-Sens!G9607)</f>
        <v>0</v>
      </c>
      <c r="H9620" s="24" t="n">
        <f aca="false">(Sens!H9613+Sens!H9617-Sens!H9618)+(Sens!H9605+Sens!H9606-Sens!H9604)+(Sens!H9608+Sens!H9609-Sens!H9607)</f>
        <v>0</v>
      </c>
      <c r="I9620" s="24" t="n">
        <f aca="false">(Sens!I9613+Sens!I9617-Sens!I9618)+(Sens!I9605+Sens!I9606-Sens!I9604)+(Sens!I9608+Sens!I9609-Sens!I9607)</f>
        <v>0</v>
      </c>
      <c r="J9620" s="24" t="n">
        <f aca="false">(Sens!J9613+Sens!J9617-Sens!J9618)+(Sens!J9605+Sens!J9606-Sens!J9604)+(Sens!J9608+Sens!J9609-Sens!J9607)</f>
        <v>0</v>
      </c>
      <c r="K9620" s="24" t="n">
        <f aca="false">(Sens!K9613+Sens!K9617-Sens!K9618)+(Sens!K9605+Sens!K9606-Sens!K9604)+(Sens!K9608+Sens!K9609-Sens!K9607)</f>
        <v>0</v>
      </c>
    </row>
    <row r="9621" customFormat="false" ht="17.15" hidden="false" customHeight="false" outlineLevel="0" collapsed="false">
      <c r="A9621" s="0" t="s">
        <v>908</v>
      </c>
      <c r="B9621" s="0" t="s">
        <v>129</v>
      </c>
      <c r="E9621" s="7" t="n">
        <f aca="false">(Q!M21+Sens!E9558+Sens!E9559+Sens!E9560+Sens!E9573-Sens!E9556)/(Q!M5-Sens!E9556)</f>
        <v>0.570957350878296</v>
      </c>
      <c r="F9621" s="7" t="n">
        <f aca="false">Sens!$E$9621+dm_seg</f>
        <v>0.570957350878296</v>
      </c>
      <c r="G9621" s="7" t="n">
        <f aca="false">Sens!$E$9621+dm_seg</f>
        <v>0.570957350878296</v>
      </c>
      <c r="H9621" s="7" t="n">
        <f aca="false">Sens!$E$9621+dm_seg</f>
        <v>0.570957350878296</v>
      </c>
      <c r="I9621" s="7" t="n">
        <f aca="false">Sens!$E$9621+dm_seg</f>
        <v>0.570957350878296</v>
      </c>
      <c r="J9621" s="7" t="n">
        <f aca="false">Sens!$E$9621+dm_seg</f>
        <v>0.570957350878296</v>
      </c>
      <c r="K9621" s="7" t="n">
        <f aca="false">Sens!$E$9621+dm_seg</f>
        <v>0.570957350878296</v>
      </c>
      <c r="L9621" s="11" t="s">
        <v>909</v>
      </c>
    </row>
    <row r="9622" customFormat="false" ht="17.15" hidden="false" customHeight="false" outlineLevel="0" collapsed="false">
      <c r="A9622" s="0" t="s">
        <v>743</v>
      </c>
      <c r="B9622" s="0" t="s">
        <v>98</v>
      </c>
      <c r="D9622" s="6" t="n">
        <f aca="false">Q!L21</f>
        <v>110.814</v>
      </c>
      <c r="E9622" s="6" t="n">
        <f aca="false">Q!M21</f>
        <v>136.365</v>
      </c>
      <c r="F9622" s="6" t="n">
        <f aca="false">Sens!F9621*(Sens!F9592-Sens!F9556)+Sens!F9556-(Sens!F9558+Sens!F9559+Sens!F9560)-Sens!F9573-Sens!F9656</f>
        <v>157.460999705463</v>
      </c>
      <c r="G9622" s="6" t="n">
        <f aca="false">Sens!G9621*(Sens!G9592-Sens!G9556)+Sens!G9556-(Sens!G9558+Sens!G9559+Sens!G9560)-Sens!G9573-Sens!G9656</f>
        <v>177.817014655567</v>
      </c>
      <c r="H9622" s="6" t="n">
        <f aca="false">Sens!H9621*(Sens!H9592-Sens!H9556)+Sens!H9556-(Sens!H9558+Sens!H9559+Sens!H9560)-Sens!H9573-Sens!H9656</f>
        <v>197.533345463638</v>
      </c>
      <c r="I9622" s="6" t="n">
        <f aca="false">Sens!I9621*(Sens!I9592-Sens!I9556)+Sens!I9556-(Sens!I9558+Sens!I9559+Sens!I9560)-Sens!I9573-Sens!I9656</f>
        <v>216.323589180473</v>
      </c>
      <c r="J9622" s="6" t="n">
        <f aca="false">Sens!J9621*(Sens!J9592-Sens!J9556)+Sens!J9556-(Sens!J9558+Sens!J9559+Sens!J9560)-Sens!J9573-Sens!J9656</f>
        <v>233.724453209353</v>
      </c>
      <c r="K9622" s="6" t="n">
        <f aca="false">Sens!K9621*(Sens!K9592-Sens!K9556)+Sens!K9556-(Sens!K9558+Sens!K9559+Sens!K9560)-Sens!K9573-Sens!K9656</f>
        <v>250.572430359818</v>
      </c>
      <c r="L9622" s="1" t="s">
        <v>910</v>
      </c>
    </row>
    <row r="9623" customFormat="false" ht="17.15" hidden="false" customHeight="false" outlineLevel="0" collapsed="false">
      <c r="A9623" s="0" t="s">
        <v>911</v>
      </c>
      <c r="B9623" s="0" t="s">
        <v>129</v>
      </c>
      <c r="E9623" s="7" t="n">
        <f aca="false">Q!M22/Q!M12</f>
        <v>0.296207935710698</v>
      </c>
      <c r="F9623" s="7" t="n">
        <f aca="false">Sens!$E$9623+dm_seg</f>
        <v>0.296207935710698</v>
      </c>
      <c r="G9623" s="7" t="n">
        <f aca="false">Sens!$E$9623+dm_seg</f>
        <v>0.296207935710698</v>
      </c>
      <c r="H9623" s="7" t="n">
        <f aca="false">Sens!$E$9623+dm_seg</f>
        <v>0.296207935710698</v>
      </c>
      <c r="I9623" s="7" t="n">
        <f aca="false">Sens!$E$9623+dm_seg</f>
        <v>0.296207935710698</v>
      </c>
      <c r="J9623" s="7" t="n">
        <f aca="false">Sens!$E$9623+dm_seg</f>
        <v>0.296207935710698</v>
      </c>
      <c r="K9623" s="7" t="n">
        <f aca="false">Sens!$E$9623+dm_seg</f>
        <v>0.296207935710698</v>
      </c>
      <c r="L9623" s="11" t="s">
        <v>912</v>
      </c>
    </row>
    <row r="9624" customFormat="false" ht="17.15" hidden="false" customHeight="false" outlineLevel="0" collapsed="false">
      <c r="A9624" s="0" t="s">
        <v>745</v>
      </c>
      <c r="B9624" s="0" t="s">
        <v>98</v>
      </c>
      <c r="D9624" s="6" t="n">
        <f aca="false">Q!L22</f>
        <v>17.714</v>
      </c>
      <c r="E9624" s="6" t="n">
        <f aca="false">Q!M22</f>
        <v>18.872</v>
      </c>
      <c r="F9624" s="6" t="n">
        <f aca="false">Sens!F9599*Sens!F9623</f>
        <v>19.3322335114819</v>
      </c>
      <c r="G9624" s="6" t="n">
        <f aca="false">Sens!G9599*Sens!G9623</f>
        <v>20.0058061166163</v>
      </c>
      <c r="H9624" s="6" t="n">
        <f aca="false">Sens!H9599*Sens!H9623</f>
        <v>20.8808254857984</v>
      </c>
      <c r="I9624" s="6" t="n">
        <f aca="false">Sens!I9599*Sens!I9623</f>
        <v>21.9506287296934</v>
      </c>
      <c r="J9624" s="6" t="n">
        <f aca="false">Sens!J9599*Sens!J9623</f>
        <v>23.2128891818742</v>
      </c>
      <c r="K9624" s="6" t="n">
        <f aca="false">Sens!K9599*Sens!K9623</f>
        <v>24.6691188694583</v>
      </c>
    </row>
    <row r="9625" customFormat="false" ht="15" hidden="false" customHeight="false" outlineLevel="0" collapsed="false">
      <c r="A9625" s="1" t="s">
        <v>913</v>
      </c>
      <c r="B9625" s="0" t="s">
        <v>98</v>
      </c>
      <c r="D9625" s="6" t="n">
        <f aca="false">Sens!D9622+Sens!D9624</f>
        <v>128.528</v>
      </c>
      <c r="E9625" s="6" t="n">
        <f aca="false">Sens!E9622+Sens!E9624</f>
        <v>155.237</v>
      </c>
      <c r="F9625" s="6" t="n">
        <f aca="false">Sens!F9622+Sens!F9624</f>
        <v>176.793233216945</v>
      </c>
      <c r="G9625" s="6" t="n">
        <f aca="false">Sens!G9622+Sens!G9624</f>
        <v>197.822820772184</v>
      </c>
      <c r="H9625" s="6" t="n">
        <f aca="false">Sens!H9622+Sens!H9624</f>
        <v>218.414170949436</v>
      </c>
      <c r="I9625" s="6" t="n">
        <f aca="false">Sens!I9622+Sens!I9624</f>
        <v>238.274217910167</v>
      </c>
      <c r="J9625" s="6" t="n">
        <f aca="false">Sens!J9622+Sens!J9624</f>
        <v>256.937342391227</v>
      </c>
      <c r="K9625" s="6" t="n">
        <f aca="false">Sens!K9622+Sens!K9624</f>
        <v>275.241549229277</v>
      </c>
    </row>
    <row r="9626" customFormat="false" ht="15" hidden="false" customHeight="false" outlineLevel="0" collapsed="false">
      <c r="A9626" s="23" t="s">
        <v>914</v>
      </c>
      <c r="B9626" s="30" t="s">
        <v>98</v>
      </c>
      <c r="C9626" s="30"/>
      <c r="D9626" s="24" t="n">
        <f aca="false">Sens!D9625-Q!L23</f>
        <v>0</v>
      </c>
      <c r="E9626" s="24" t="n">
        <f aca="false">Sens!E9625-Q!M23</f>
        <v>0</v>
      </c>
      <c r="F9626" s="30"/>
      <c r="G9626" s="30"/>
      <c r="H9626" s="30"/>
      <c r="I9626" s="30"/>
      <c r="J9626" s="30"/>
      <c r="K9626" s="30"/>
    </row>
    <row r="9627" customFormat="false" ht="15" hidden="false" customHeight="false" outlineLevel="0" collapsed="false">
      <c r="A9627" s="1" t="s">
        <v>915</v>
      </c>
      <c r="B9627" s="0" t="s">
        <v>129</v>
      </c>
      <c r="D9627" s="7" t="n">
        <f aca="false">Sens!D9625/Sens!D9618</f>
        <v>0.456219562408598</v>
      </c>
      <c r="E9627" s="7" t="n">
        <f aca="false">Sens!E9625/Sens!E9618</f>
        <v>0.467808184089272</v>
      </c>
      <c r="F9627" s="7" t="n">
        <f aca="false">Sens!F9625/Sens!F9618</f>
        <v>0.442501606748375</v>
      </c>
      <c r="G9627" s="7" t="n">
        <f aca="false">Sens!G9625/Sens!G9618</f>
        <v>0.415933321530662</v>
      </c>
      <c r="H9627" s="7" t="n">
        <f aca="false">Sens!H9625/Sens!H9618</f>
        <v>0.394470064006103</v>
      </c>
      <c r="I9627" s="7" t="n">
        <f aca="false">Sens!I9625/Sens!I9618</f>
        <v>0.380624275464545</v>
      </c>
      <c r="J9627" s="7" t="n">
        <f aca="false">Sens!J9625/Sens!J9618</f>
        <v>0.374497325356569</v>
      </c>
      <c r="K9627" s="7" t="n">
        <f aca="false">Sens!K9625/Sens!K9618</f>
        <v>0.374141902007351</v>
      </c>
    </row>
    <row r="9628" customFormat="false" ht="17.15" hidden="false" customHeight="false" outlineLevel="0" collapsed="false">
      <c r="A9628" s="1" t="s">
        <v>916</v>
      </c>
      <c r="B9628" s="0" t="s">
        <v>98</v>
      </c>
      <c r="F9628" s="6" t="n">
        <f aca="false">Sens!F9643</f>
        <v>9.29892047395526</v>
      </c>
      <c r="G9628" s="6" t="n">
        <f aca="false">Sens!G9643</f>
        <v>23.9346303607031</v>
      </c>
      <c r="H9628" s="6" t="n">
        <f aca="false">Sens!H9643</f>
        <v>40.1043191979728</v>
      </c>
      <c r="I9628" s="6" t="n">
        <f aca="false">Sens!I9643</f>
        <v>54.9360183203111</v>
      </c>
      <c r="J9628" s="6" t="n">
        <f aca="false">Sens!J9643</f>
        <v>65.4555422613168</v>
      </c>
      <c r="K9628" s="6" t="n">
        <f aca="false">Sens!K9643</f>
        <v>71.4992160033785</v>
      </c>
      <c r="L9628" s="1" t="s">
        <v>917</v>
      </c>
    </row>
    <row r="9629" customFormat="false" ht="17.15" hidden="false" customHeight="false" outlineLevel="0" collapsed="false">
      <c r="A9629" s="1" t="s">
        <v>918</v>
      </c>
      <c r="B9629" s="0" t="s">
        <v>98</v>
      </c>
      <c r="D9629" s="6" t="n">
        <f aca="false">Sens!D9625</f>
        <v>128.528</v>
      </c>
      <c r="E9629" s="6" t="n">
        <f aca="false">Sens!E9625</f>
        <v>155.237</v>
      </c>
      <c r="F9629" s="6" t="n">
        <f aca="false">Sens!F9625+Sens!F9628</f>
        <v>186.0921536909</v>
      </c>
      <c r="G9629" s="6" t="n">
        <f aca="false">Sens!G9625+Sens!G9628</f>
        <v>221.757451132887</v>
      </c>
      <c r="H9629" s="6" t="n">
        <f aca="false">Sens!H9625+Sens!H9628</f>
        <v>258.518490147409</v>
      </c>
      <c r="I9629" s="6" t="n">
        <f aca="false">Sens!I9625+Sens!I9628</f>
        <v>293.210236230478</v>
      </c>
      <c r="J9629" s="6" t="n">
        <f aca="false">Sens!J9625+Sens!J9628</f>
        <v>322.392884652544</v>
      </c>
      <c r="K9629" s="6" t="n">
        <f aca="false">Sens!K9625+Sens!K9628</f>
        <v>346.740765232655</v>
      </c>
    </row>
    <row r="9630" customFormat="false" ht="17.15" hidden="false" customHeight="false" outlineLevel="0" collapsed="false">
      <c r="A9630" s="1" t="s">
        <v>919</v>
      </c>
      <c r="B9630" s="0" t="s">
        <v>98</v>
      </c>
      <c r="E9630" s="6" t="n">
        <f aca="false">Sens!E9573</f>
        <v>16.3054059770833</v>
      </c>
      <c r="F9630" s="6" t="n">
        <f aca="false">Sens!F9573</f>
        <v>34.0498873809555</v>
      </c>
      <c r="G9630" s="6" t="n">
        <f aca="false">Sens!G9573</f>
        <v>59.1254371105111</v>
      </c>
      <c r="H9630" s="6" t="n">
        <f aca="false">Sens!H9573</f>
        <v>86.3610198433111</v>
      </c>
      <c r="I9630" s="6" t="n">
        <f aca="false">Sens!I9573</f>
        <v>110.605743832393</v>
      </c>
      <c r="J9630" s="6" t="n">
        <f aca="false">Sens!J9573</f>
        <v>127.998322852843</v>
      </c>
      <c r="K9630" s="6" t="n">
        <f aca="false">Sens!K9573</f>
        <v>139.131464044308</v>
      </c>
    </row>
    <row r="9631" customFormat="false" ht="17.15" hidden="false" customHeight="false" outlineLevel="0" collapsed="false">
      <c r="A9631" s="1" t="s">
        <v>920</v>
      </c>
      <c r="B9631" s="0" t="s">
        <v>98</v>
      </c>
      <c r="E9631" s="6" t="n">
        <f aca="false">Sens!E9655</f>
        <v>22.2285940229167</v>
      </c>
      <c r="F9631" s="6" t="n">
        <f aca="false">Sens!F9655</f>
        <v>24.3924470334783</v>
      </c>
      <c r="G9631" s="6" t="n">
        <f aca="false">Sens!G9655</f>
        <v>26.0718066956631</v>
      </c>
      <c r="H9631" s="6" t="n">
        <f aca="false">Sens!H9655</f>
        <v>28.1531134181066</v>
      </c>
      <c r="I9631" s="6" t="n">
        <f aca="false">Sens!I9655</f>
        <v>30.5710993287686</v>
      </c>
      <c r="J9631" s="6" t="n">
        <f aca="false">Sens!J9655</f>
        <v>33.2441804141482</v>
      </c>
      <c r="K9631" s="6" t="n">
        <f aca="false">Sens!K9655</f>
        <v>36.0903260303046</v>
      </c>
    </row>
    <row r="9632" customFormat="false" ht="17.15" hidden="false" customHeight="false" outlineLevel="0" collapsed="false">
      <c r="A9632" s="1" t="s">
        <v>921</v>
      </c>
      <c r="B9632" s="0" t="s">
        <v>98</v>
      </c>
      <c r="D9632" s="6" t="n">
        <f aca="false">Q!L27</f>
        <v>-4.901</v>
      </c>
      <c r="E9632" s="6" t="n">
        <f aca="false">Q!M27</f>
        <v>10.697</v>
      </c>
      <c r="F9632" s="6" t="n">
        <f aca="false">oie_f</f>
        <v>-0.4</v>
      </c>
      <c r="G9632" s="6" t="n">
        <f aca="false">oie_f</f>
        <v>-0.4</v>
      </c>
      <c r="H9632" s="6" t="n">
        <f aca="false">oie_f</f>
        <v>-0.4</v>
      </c>
      <c r="I9632" s="6" t="n">
        <f aca="false">oie_f</f>
        <v>-0.4</v>
      </c>
      <c r="J9632" s="6" t="n">
        <f aca="false">oie_f</f>
        <v>-0.4</v>
      </c>
      <c r="K9632" s="6" t="n">
        <f aca="false">oie_f</f>
        <v>-0.4</v>
      </c>
      <c r="L9632" s="11" t="s">
        <v>922</v>
      </c>
    </row>
    <row r="9633" customFormat="false" ht="15" hidden="false" customHeight="false" outlineLevel="0" collapsed="false">
      <c r="A9633" s="1" t="s">
        <v>923</v>
      </c>
      <c r="B9633" s="0" t="s">
        <v>98</v>
      </c>
      <c r="D9633" s="6" t="n">
        <f aca="false">Sens!D9625+Sens!D9632</f>
        <v>123.627</v>
      </c>
      <c r="E9633" s="6" t="n">
        <f aca="false">Sens!E9625+Sens!E9632</f>
        <v>165.934</v>
      </c>
      <c r="F9633" s="6" t="n">
        <f aca="false">Sens!F9625+Sens!F9632</f>
        <v>176.393233216945</v>
      </c>
      <c r="G9633" s="6" t="n">
        <f aca="false">Sens!G9625+Sens!G9632</f>
        <v>197.422820772184</v>
      </c>
      <c r="H9633" s="6" t="n">
        <f aca="false">Sens!H9625+Sens!H9632</f>
        <v>218.014170949436</v>
      </c>
      <c r="I9633" s="6" t="n">
        <f aca="false">Sens!I9625+Sens!I9632</f>
        <v>237.874217910167</v>
      </c>
      <c r="J9633" s="6" t="n">
        <f aca="false">Sens!J9625+Sens!J9632</f>
        <v>256.537342391227</v>
      </c>
      <c r="K9633" s="6" t="n">
        <f aca="false">Sens!K9625+Sens!K9632</f>
        <v>274.841549229277</v>
      </c>
    </row>
    <row r="9634" customFormat="false" ht="15" hidden="false" customHeight="false" outlineLevel="0" collapsed="false">
      <c r="A9634" s="1" t="s">
        <v>924</v>
      </c>
      <c r="B9634" s="0" t="s">
        <v>98</v>
      </c>
      <c r="D9634" s="6" t="n">
        <f aca="false">Q!L29</f>
        <v>21.795</v>
      </c>
      <c r="E9634" s="6" t="n">
        <f aca="false">Q!M29</f>
        <v>32.185</v>
      </c>
      <c r="F9634" s="6" t="n">
        <f aca="false">Sens!F9633*tax_f</f>
        <v>35.278646643389</v>
      </c>
      <c r="G9634" s="6" t="n">
        <f aca="false">Sens!G9633*tax_f</f>
        <v>39.4845641544367</v>
      </c>
      <c r="H9634" s="6" t="n">
        <f aca="false">Sens!H9633*tax_f</f>
        <v>43.6028341898872</v>
      </c>
      <c r="I9634" s="6" t="n">
        <f aca="false">Sens!I9633*tax_f</f>
        <v>47.5748435820334</v>
      </c>
      <c r="J9634" s="6" t="n">
        <f aca="false">Sens!J9633*tax_f</f>
        <v>51.3074684782454</v>
      </c>
      <c r="K9634" s="6" t="n">
        <f aca="false">Sens!K9633*tax_f</f>
        <v>54.9683098458553</v>
      </c>
    </row>
    <row r="9635" customFormat="false" ht="15" hidden="false" customHeight="false" outlineLevel="0" collapsed="false">
      <c r="A9635" s="1" t="s">
        <v>925</v>
      </c>
      <c r="B9635" s="0" t="s">
        <v>98</v>
      </c>
      <c r="D9635" s="6" t="n">
        <f aca="false">Sens!D9633-Sens!D9634</f>
        <v>101.832</v>
      </c>
      <c r="E9635" s="6" t="n">
        <f aca="false">Sens!E9633-Sens!E9634</f>
        <v>133.749</v>
      </c>
      <c r="F9635" s="6" t="n">
        <f aca="false">Sens!F9633-Sens!F9634</f>
        <v>141.114586573556</v>
      </c>
      <c r="G9635" s="6" t="n">
        <f aca="false">Sens!G9633-Sens!G9634</f>
        <v>157.938256617747</v>
      </c>
      <c r="H9635" s="6" t="n">
        <f aca="false">Sens!H9633-Sens!H9634</f>
        <v>174.411336759549</v>
      </c>
      <c r="I9635" s="6" t="n">
        <f aca="false">Sens!I9633-Sens!I9634</f>
        <v>190.299374328133</v>
      </c>
      <c r="J9635" s="6" t="n">
        <f aca="false">Sens!J9633-Sens!J9634</f>
        <v>205.229873912982</v>
      </c>
      <c r="K9635" s="6" t="n">
        <f aca="false">Sens!K9633-Sens!K9634</f>
        <v>219.873239383421</v>
      </c>
    </row>
    <row r="9636" customFormat="false" ht="17.15" hidden="false" customHeight="false" outlineLevel="0" collapsed="false">
      <c r="A9636" s="1" t="s">
        <v>926</v>
      </c>
      <c r="B9636" s="1" t="s">
        <v>81</v>
      </c>
      <c r="D9636" s="14" t="n">
        <f aca="false">Q!L31</f>
        <v>7.465</v>
      </c>
      <c r="E9636" s="14" t="n">
        <f aca="false">Q!M31</f>
        <v>7.453</v>
      </c>
      <c r="F9636" s="14" t="n">
        <f aca="false">Sens!F9679</f>
        <v>7.4735</v>
      </c>
      <c r="G9636" s="14" t="n">
        <f aca="false">Sens!G9679</f>
        <v>7.51799526093483</v>
      </c>
      <c r="H9636" s="14" t="n">
        <f aca="false">Sens!H9679</f>
        <v>7.54524210771961</v>
      </c>
      <c r="I9636" s="14" t="n">
        <f aca="false">Sens!I9679</f>
        <v>7.55702293972693</v>
      </c>
      <c r="J9636" s="14" t="n">
        <f aca="false">Sens!J9679</f>
        <v>7.57126445084481</v>
      </c>
      <c r="K9636" s="14" t="n">
        <f aca="false">Sens!K9679</f>
        <v>7.58778436854655</v>
      </c>
    </row>
    <row r="9637" customFormat="false" ht="17.15" hidden="false" customHeight="false" outlineLevel="0" collapsed="false">
      <c r="A9637" s="0" t="s">
        <v>927</v>
      </c>
      <c r="B9637" s="0" t="s">
        <v>75</v>
      </c>
      <c r="D9637" s="8" t="n">
        <f aca="false">Sens!D9635/Sens!D9636</f>
        <v>13.641259209645</v>
      </c>
      <c r="E9637" s="8" t="n">
        <f aca="false">Sens!E9635/Sens!E9636</f>
        <v>17.9456594659869</v>
      </c>
      <c r="F9637" s="8" t="n">
        <f aca="false">Sens!F9635/Sens!F9636</f>
        <v>18.8819945906946</v>
      </c>
      <c r="G9637" s="8" t="n">
        <f aca="false">Sens!G9635/Sens!G9636</f>
        <v>21.0080282224211</v>
      </c>
      <c r="H9637" s="8" t="n">
        <f aca="false">Sens!H9635/Sens!H9636</f>
        <v>23.1154062745193</v>
      </c>
      <c r="I9637" s="8" t="n">
        <f aca="false">Sens!I9635/Sens!I9636</f>
        <v>25.1817912749395</v>
      </c>
      <c r="J9637" s="8" t="n">
        <f aca="false">Sens!J9635/Sens!J9636</f>
        <v>27.1064199705879</v>
      </c>
      <c r="K9637" s="8" t="n">
        <f aca="false">Sens!K9635/Sens!K9636</f>
        <v>28.9772651282575</v>
      </c>
      <c r="L9637" s="1" t="s">
        <v>928</v>
      </c>
    </row>
    <row r="9638" customFormat="false" ht="17.15" hidden="false" customHeight="false" outlineLevel="0" collapsed="false">
      <c r="A9638" s="1" t="s">
        <v>929</v>
      </c>
      <c r="B9638" s="0" t="s">
        <v>98</v>
      </c>
      <c r="D9638" s="6" t="n">
        <f aca="false">Sens!D9635</f>
        <v>101.832</v>
      </c>
      <c r="E9638" s="6" t="n">
        <f aca="false">Sens!E9635</f>
        <v>133.749</v>
      </c>
      <c r="F9638" s="6" t="n">
        <f aca="false">Sens!F9635+Sens!F9628*(1-tax_f)</f>
        <v>148.55372295272</v>
      </c>
      <c r="G9638" s="6" t="n">
        <f aca="false">Sens!G9635+Sens!G9628*(1-tax_f)</f>
        <v>177.085960906309</v>
      </c>
      <c r="H9638" s="6" t="n">
        <f aca="false">Sens!H9635+Sens!H9628*(1-tax_f)</f>
        <v>206.494792117927</v>
      </c>
      <c r="I9638" s="6" t="n">
        <f aca="false">Sens!I9635+Sens!I9628*(1-tax_f)</f>
        <v>234.248188984382</v>
      </c>
      <c r="J9638" s="6" t="n">
        <f aca="false">Sens!J9635+Sens!J9628*(1-tax_f)</f>
        <v>257.594307722035</v>
      </c>
      <c r="K9638" s="6" t="n">
        <f aca="false">Sens!K9635+Sens!K9628*(1-tax_f)</f>
        <v>277.072612186124</v>
      </c>
    </row>
    <row r="9639" customFormat="false" ht="17.15" hidden="false" customHeight="false" outlineLevel="0" collapsed="false">
      <c r="A9639" s="0" t="s">
        <v>930</v>
      </c>
      <c r="B9639" s="0" t="s">
        <v>75</v>
      </c>
      <c r="D9639" s="8" t="n">
        <f aca="false">Sens!D9638/Sens!D9636</f>
        <v>13.641259209645</v>
      </c>
      <c r="E9639" s="8" t="n">
        <f aca="false">Sens!E9638/Sens!E9636</f>
        <v>17.9456594659869</v>
      </c>
      <c r="F9639" s="8" t="n">
        <f aca="false">Sens!F9638/Sens!F9636</f>
        <v>19.8773965280953</v>
      </c>
      <c r="G9639" s="8" t="n">
        <f aca="false">Sens!G9638/Sens!G9636</f>
        <v>23.5549444712326</v>
      </c>
      <c r="H9639" s="8" t="n">
        <f aca="false">Sens!H9638/Sens!H9636</f>
        <v>27.3675501951965</v>
      </c>
      <c r="I9639" s="8" t="n">
        <f aca="false">Sens!I9638/Sens!I9636</f>
        <v>30.9974166881181</v>
      </c>
      <c r="J9639" s="8" t="n">
        <f aca="false">Sens!J9638/Sens!J9636</f>
        <v>34.0226271839299</v>
      </c>
      <c r="K9639" s="8" t="n">
        <f aca="false">Sens!K9638/Sens!K9636</f>
        <v>36.5156149316349</v>
      </c>
      <c r="L9639" s="1" t="s">
        <v>931</v>
      </c>
    </row>
    <row r="9640" customFormat="false" ht="17.15" hidden="false" customHeight="false" outlineLevel="0" collapsed="false">
      <c r="A9640" s="0" t="s">
        <v>932</v>
      </c>
      <c r="B9640" s="0" t="s">
        <v>129</v>
      </c>
      <c r="E9640" s="7" t="n">
        <f aca="false">Sens!E9639/Sens!D9639-1</f>
        <v>0.315542736208578</v>
      </c>
      <c r="F9640" s="7" t="n">
        <f aca="false">Sens!F9639/Sens!E9639-1</f>
        <v>0.107643693215607</v>
      </c>
      <c r="G9640" s="7" t="n">
        <f aca="false">Sens!G9639/Sens!F9639-1</f>
        <v>0.185011550075952</v>
      </c>
      <c r="H9640" s="7" t="n">
        <f aca="false">Sens!H9639/Sens!G9639-1</f>
        <v>0.161860102392527</v>
      </c>
      <c r="I9640" s="7" t="n">
        <f aca="false">Sens!I9639/Sens!H9639-1</f>
        <v>0.13263395762616</v>
      </c>
      <c r="J9640" s="7" t="n">
        <f aca="false">Sens!J9639/Sens!I9639-1</f>
        <v>0.0975955682452567</v>
      </c>
      <c r="K9640" s="7" t="n">
        <f aca="false">Sens!K9639/Sens!J9639-1</f>
        <v>0.0732744045375326</v>
      </c>
    </row>
    <row r="9641" customFormat="false" ht="17.15" hidden="false" customHeight="false" outlineLevel="0" collapsed="false">
      <c r="A9641" s="0" t="s">
        <v>856</v>
      </c>
      <c r="B9641" s="0" t="s">
        <v>98</v>
      </c>
      <c r="E9641" s="6" t="n">
        <f aca="false">Sens!E9582</f>
        <v>5.25</v>
      </c>
      <c r="F9641" s="6" t="n">
        <f aca="false">Sens!F9582</f>
        <v>12</v>
      </c>
      <c r="G9641" s="6" t="n">
        <f aca="false">Sens!G9582</f>
        <v>18</v>
      </c>
      <c r="H9641" s="6" t="n">
        <f aca="false">Sens!H9582</f>
        <v>24</v>
      </c>
      <c r="I9641" s="6" t="n">
        <f aca="false">Sens!I9582</f>
        <v>28.5</v>
      </c>
      <c r="J9641" s="6" t="n">
        <f aca="false">Sens!J9582</f>
        <v>31.5</v>
      </c>
      <c r="K9641" s="6" t="n">
        <f aca="false">Sens!K9582</f>
        <v>34.5</v>
      </c>
    </row>
    <row r="9642" customFormat="false" ht="17.15" hidden="false" customHeight="false" outlineLevel="0" collapsed="false">
      <c r="A9642" s="1" t="s">
        <v>857</v>
      </c>
      <c r="B9642" s="0" t="s">
        <v>98</v>
      </c>
      <c r="F9642" s="6" t="n">
        <f aca="false">MAX(0,((Sens!E9545+Sens!F9545)/2-(shadow_base*(Sens!$D$9545+Sens!$E$9545)/2+(1-shadow_base)*Sens!$E$9545))*Sens!F9553/1000-(Sens!F9641-Sens!$E$9641)*Sens!F9621)</f>
        <v>9.29892047395526</v>
      </c>
      <c r="G9642" s="6" t="n">
        <f aca="false">MAX(0,((Sens!F9545+Sens!G9545)/2-(shadow_base*(Sens!$D$9545+Sens!$E$9545)/2+(1-shadow_base)*Sens!$E$9545))*Sens!G9553/1000-(Sens!G9641-Sens!$E$9641)*Sens!G9621)</f>
        <v>23.9346303607031</v>
      </c>
      <c r="H9642" s="6" t="n">
        <f aca="false">MAX(0,((Sens!G9545+Sens!H9545)/2-(shadow_base*(Sens!$D$9545+Sens!$E$9545)/2+(1-shadow_base)*Sens!$E$9545))*Sens!H9553/1000-(Sens!H9641-Sens!$E$9641)*Sens!H9621)</f>
        <v>40.1043191979728</v>
      </c>
      <c r="I9642" s="6" t="n">
        <f aca="false">MAX(0,((Sens!H9545+Sens!I9545)/2-(shadow_base*(Sens!$D$9545+Sens!$E$9545)/2+(1-shadow_base)*Sens!$E$9545))*Sens!I9553/1000-(Sens!I9641-Sens!$E$9641)*Sens!I9621)</f>
        <v>54.9360183203111</v>
      </c>
      <c r="J9642" s="6" t="n">
        <f aca="false">MAX(0,((Sens!I9545+Sens!J9545)/2-(shadow_base*(Sens!$D$9545+Sens!$E$9545)/2+(1-shadow_base)*Sens!$E$9545))*Sens!J9553/1000-(Sens!J9641-Sens!$E$9641)*Sens!J9621)</f>
        <v>65.4555422613168</v>
      </c>
      <c r="K9642" s="6" t="n">
        <f aca="false">MAX(0,((Sens!J9545+Sens!K9545)/2-(shadow_base*(Sens!$D$9545+Sens!$E$9545)/2+(1-shadow_base)*Sens!$E$9545))*Sens!K9553/1000-(Sens!K9641-Sens!$E$9641)*Sens!K9621)</f>
        <v>71.4992160033785</v>
      </c>
      <c r="L9642" s="1" t="s">
        <v>858</v>
      </c>
    </row>
    <row r="9643" customFormat="false" ht="17.15" hidden="false" customHeight="false" outlineLevel="0" collapsed="false">
      <c r="A9643" s="1" t="s">
        <v>859</v>
      </c>
      <c r="B9643" s="0" t="s">
        <v>98</v>
      </c>
      <c r="F9643" s="6" t="n">
        <f aca="false">IF(internal_ai_reading=2,1,0)*Sens!F9642</f>
        <v>9.29892047395526</v>
      </c>
      <c r="G9643" s="6" t="n">
        <f aca="false">IF(internal_ai_reading=2,1,0)*Sens!G9642</f>
        <v>23.9346303607031</v>
      </c>
      <c r="H9643" s="6" t="n">
        <f aca="false">IF(internal_ai_reading=2,1,0)*Sens!H9642</f>
        <v>40.1043191979728</v>
      </c>
      <c r="I9643" s="6" t="n">
        <f aca="false">IF(internal_ai_reading=2,1,0)*Sens!I9642</f>
        <v>54.9360183203111</v>
      </c>
      <c r="J9643" s="6" t="n">
        <f aca="false">IF(internal_ai_reading=2,1,0)*Sens!J9642</f>
        <v>65.4555422613168</v>
      </c>
      <c r="K9643" s="6" t="n">
        <f aca="false">IF(internal_ai_reading=2,1,0)*Sens!K9642</f>
        <v>71.4992160033785</v>
      </c>
    </row>
    <row r="9644" customFormat="false" ht="17.15" hidden="false" customHeight="false" outlineLevel="0" collapsed="false">
      <c r="A9644" s="0" t="s">
        <v>860</v>
      </c>
      <c r="B9644" s="0" t="s">
        <v>98</v>
      </c>
      <c r="F9644" s="6" t="n">
        <f aca="false">Sens!F9562+Sens!F9641*Sens!F9621+Sens!F9643-Sens!F9563-Sens!F9573</f>
        <v>15.0270315022233</v>
      </c>
      <c r="G9644" s="6" t="n">
        <f aca="false">Sens!G9562+Sens!G9641*Sens!G9621+Sens!G9643-Sens!G9563-Sens!G9573</f>
        <v>30.8545489496424</v>
      </c>
      <c r="H9644" s="6" t="n">
        <f aca="false">Sens!H9562+Sens!H9641*Sens!H9621+Sens!H9643-Sens!H9563-Sens!H9573</f>
        <v>47.4024902575898</v>
      </c>
      <c r="I9644" s="6" t="n">
        <f aca="false">Sens!I9562+Sens!I9641*Sens!I9621+Sens!I9643-Sens!I9563-Sens!I9573</f>
        <v>62.1817971739404</v>
      </c>
      <c r="J9644" s="6" t="n">
        <f aca="false">Sens!J9562+Sens!J9641*Sens!J9621+Sens!J9643-Sens!J9563-Sens!J9573</f>
        <v>72.5050518947332</v>
      </c>
      <c r="K9644" s="6" t="n">
        <f aca="false">Sens!K9562+Sens!K9641*Sens!K9621+Sens!K9643-Sens!K9563-Sens!K9573</f>
        <v>79.8210980571165</v>
      </c>
    </row>
    <row r="9645" customFormat="false" ht="17.15" hidden="false" customHeight="false" outlineLevel="0" collapsed="false">
      <c r="A9645" s="0" t="s">
        <v>861</v>
      </c>
      <c r="B9645" s="0" t="s">
        <v>98</v>
      </c>
      <c r="E9645" s="6" t="n">
        <f aca="false">Sens!E9544*(cxit_open+self_build*tk_cxfac)/1000*ai_net_open</f>
        <v>126.6980382</v>
      </c>
      <c r="F9645" s="6" t="n">
        <f aca="false">Sens!E9645+Sens!F9570-Sens!F9573</f>
        <v>252.981026690511</v>
      </c>
      <c r="G9645" s="6" t="n">
        <f aca="false">Sens!F9645+Sens!G9570-Sens!G9573</f>
        <v>377.4297700632</v>
      </c>
      <c r="H9645" s="6" t="n">
        <f aca="false">Sens!G9645+Sens!H9570-Sens!H9573</f>
        <v>479.149036130289</v>
      </c>
      <c r="I9645" s="6" t="n">
        <f aca="false">Sens!H9645+Sens!I9570-Sens!I9573</f>
        <v>532.249961452141</v>
      </c>
      <c r="J9645" s="6" t="n">
        <f aca="false">Sens!I9645+Sens!J9570-Sens!J9573</f>
        <v>531.43307519354</v>
      </c>
      <c r="K9645" s="6" t="n">
        <f aca="false">Sens!J9645+Sens!K9570-Sens!K9573</f>
        <v>513.709026452823</v>
      </c>
      <c r="L9645" s="1" t="s">
        <v>862</v>
      </c>
    </row>
    <row r="9646" customFormat="false" ht="17.15" hidden="false" customHeight="false" outlineLevel="0" collapsed="false">
      <c r="A9646" s="0" t="s">
        <v>863</v>
      </c>
      <c r="B9646" s="0" t="s">
        <v>129</v>
      </c>
      <c r="F9646" s="7" t="n">
        <f aca="false">Sens!F9644*(1-tax_f)/((Sens!E9645+Sens!F9645)/2)</f>
        <v>0.0633251938989334</v>
      </c>
      <c r="G9646" s="7" t="n">
        <f aca="false">Sens!G9644*(1-tax_f)/((Sens!F9645+Sens!G9645)/2)</f>
        <v>0.0783096967463813</v>
      </c>
      <c r="H9646" s="7" t="n">
        <f aca="false">Sens!H9644*(1-tax_f)/((Sens!G9645+Sens!H9645)/2)</f>
        <v>0.0885429149819656</v>
      </c>
      <c r="I9646" s="7" t="n">
        <f aca="false">Sens!I9644*(1-tax_f)/((Sens!H9645+Sens!I9645)/2)</f>
        <v>0.0983695610892634</v>
      </c>
      <c r="J9646" s="7" t="n">
        <f aca="false">Sens!J9644*(1-tax_f)/((Sens!I9645+Sens!J9645)/2)</f>
        <v>0.109062642756252</v>
      </c>
      <c r="K9646" s="7" t="n">
        <f aca="false">Sens!K9644*(1-tax_f)/((Sens!J9645+Sens!K9645)/2)</f>
        <v>0.122197504712713</v>
      </c>
    </row>
    <row r="9647" customFormat="false" ht="17.15" hidden="false" customHeight="false" outlineLevel="0" collapsed="false">
      <c r="A9647" s="1" t="s">
        <v>864</v>
      </c>
      <c r="B9647" s="0" t="s">
        <v>129</v>
      </c>
      <c r="F9647" s="7" t="n">
        <f aca="false">(Sens!F9644-Sens!F9643)*(1-tax_f)/((Sens!E9645+Sens!F9645)/2)</f>
        <v>0.0241387489928418</v>
      </c>
      <c r="G9647" s="7" t="n">
        <f aca="false">(Sens!G9644-Sens!G9643)*(1-tax_f)/((Sens!F9645+Sens!G9645)/2)</f>
        <v>0.0175629443520275</v>
      </c>
      <c r="H9647" s="7" t="n">
        <f aca="false">(Sens!H9644-Sens!H9643)*(1-tax_f)/((Sens!G9645+Sens!H9645)/2)</f>
        <v>0.0136322234579658</v>
      </c>
      <c r="I9647" s="7" t="n">
        <f aca="false">(Sens!I9644-Sens!I9643)*(1-tax_f)/((Sens!H9645+Sens!I9645)/2)</f>
        <v>0.0114625841962651</v>
      </c>
      <c r="J9647" s="7" t="n">
        <f aca="false">(Sens!J9644-Sens!J9643)*(1-tax_f)/((Sens!I9645+Sens!J9645)/2)</f>
        <v>0.0106039252529919</v>
      </c>
      <c r="K9647" s="7" t="n">
        <f aca="false">(Sens!K9644-Sens!K9643)*(1-tax_f)/((Sens!J9645+Sens!K9645)/2)</f>
        <v>0.0127399051908886</v>
      </c>
    </row>
    <row r="9648" customFormat="false" ht="17.15" hidden="false" customHeight="false" outlineLevel="0" collapsed="false">
      <c r="A9648" s="1" t="s">
        <v>865</v>
      </c>
      <c r="B9648" s="0" t="s">
        <v>129</v>
      </c>
      <c r="F9648" s="7" t="n">
        <f aca="false">(Sens!F9644-Sens!F9643+Sens!F9642)*(1-tax_f)/((Sens!E9645+Sens!F9645)/2)</f>
        <v>0.0633251938989334</v>
      </c>
      <c r="G9648" s="7" t="n">
        <f aca="false">(Sens!G9644-Sens!G9643+Sens!G9642)*(1-tax_f)/((Sens!F9645+Sens!G9645)/2)</f>
        <v>0.0783096967463813</v>
      </c>
      <c r="H9648" s="7" t="n">
        <f aca="false">(Sens!H9644-Sens!H9643+Sens!H9642)*(1-tax_f)/((Sens!G9645+Sens!H9645)/2)</f>
        <v>0.0885429149819656</v>
      </c>
      <c r="I9648" s="7" t="n">
        <f aca="false">(Sens!I9644-Sens!I9643+Sens!I9642)*(1-tax_f)/((Sens!H9645+Sens!I9645)/2)</f>
        <v>0.0983695610892634</v>
      </c>
      <c r="J9648" s="7" t="n">
        <f aca="false">(Sens!J9644-Sens!J9643+Sens!J9642)*(1-tax_f)/((Sens!I9645+Sens!J9645)/2)</f>
        <v>0.109062642756252</v>
      </c>
      <c r="K9648" s="7" t="n">
        <f aca="false">(Sens!K9644-Sens!K9643+Sens!K9642)*(1-tax_f)/((Sens!J9645+Sens!K9645)/2)</f>
        <v>0.122197504712713</v>
      </c>
    </row>
    <row r="9649" customFormat="false" ht="17.15" hidden="false" customHeight="false" outlineLevel="0" collapsed="false">
      <c r="A9649" s="1" t="s">
        <v>866</v>
      </c>
      <c r="B9649" s="0" t="s">
        <v>129</v>
      </c>
      <c r="F9649" s="7" t="n">
        <f aca="false">Sens!F9574*(1-tax_f)/(Sens!F9561*(Sens!E9645+Sens!F9645)/2)</f>
        <v>0.133653288300971</v>
      </c>
      <c r="G9649" s="7" t="n">
        <f aca="false">Sens!G9574*(1-tax_f)/(Sens!G9561*(Sens!F9645+Sens!G9645)/2)</f>
        <v>0.131459221834535</v>
      </c>
      <c r="H9649" s="7" t="n">
        <f aca="false">Sens!H9574*(1-tax_f)/(Sens!H9561*(Sens!G9645+Sens!H9645)/2)</f>
        <v>0.135120575835084</v>
      </c>
      <c r="I9649" s="7" t="n">
        <f aca="false">Sens!I9574*(1-tax_f)/(Sens!I9561*(Sens!H9645+Sens!I9645)/2)</f>
        <v>0.143323969665222</v>
      </c>
      <c r="J9649" s="7" t="n">
        <f aca="false">Sens!J9574*(1-tax_f)/(Sens!J9561*(Sens!I9645+Sens!J9645)/2)</f>
        <v>0.155570128388075</v>
      </c>
      <c r="K9649" s="7" t="n">
        <f aca="false">Sens!K9574*(1-tax_f)/(Sens!K9561*(Sens!J9645+Sens!K9645)/2)</f>
        <v>0.172427697111622</v>
      </c>
    </row>
    <row r="9650" customFormat="false" ht="17.15" hidden="false" customHeight="false" outlineLevel="0" collapsed="false">
      <c r="A9650" s="0" t="s">
        <v>867</v>
      </c>
      <c r="B9650" s="0" t="s">
        <v>209</v>
      </c>
      <c r="F9650" s="7" t="n">
        <f aca="false">Sens!F9646-wacc</f>
        <v>-0.0396092261939423</v>
      </c>
      <c r="G9650" s="7" t="n">
        <f aca="false">Sens!G9646-wacc</f>
        <v>-0.0246247233464944</v>
      </c>
      <c r="H9650" s="7" t="n">
        <f aca="false">Sens!H9646-wacc</f>
        <v>-0.0143915051109101</v>
      </c>
      <c r="I9650" s="7" t="n">
        <f aca="false">Sens!I9646-wacc</f>
        <v>-0.00456485900361238</v>
      </c>
      <c r="J9650" s="7" t="n">
        <f aca="false">Sens!J9646-wacc</f>
        <v>0.00612822266337605</v>
      </c>
      <c r="K9650" s="7" t="n">
        <f aca="false">Sens!K9646-wacc</f>
        <v>0.0192630846198374</v>
      </c>
    </row>
    <row r="9651" customFormat="false" ht="17.15" hidden="false" customHeight="false" outlineLevel="0" collapsed="false">
      <c r="A9651" s="0" t="s">
        <v>868</v>
      </c>
      <c r="B9651" s="0" t="s">
        <v>98</v>
      </c>
      <c r="F9651" s="6" t="n">
        <f aca="false">Sens!F9644*(1-tax_f)-wacc*(Sens!E9645+Sens!F9645)/2</f>
        <v>-7.51939698117638</v>
      </c>
      <c r="G9651" s="6" t="n">
        <f aca="false">Sens!G9644*(1-tax_f)-wacc*(Sens!F9645+Sens!G9645)/2</f>
        <v>-7.76184573235162</v>
      </c>
      <c r="H9651" s="6" t="n">
        <f aca="false">Sens!H9644*(1-tax_f)-wacc*(Sens!G9645+Sens!H9645)/2</f>
        <v>-6.16372913361546</v>
      </c>
      <c r="I9651" s="6" t="n">
        <f aca="false">Sens!I9644*(1-tax_f)-wacc*(Sens!H9645+Sens!I9645)/2</f>
        <v>-2.30844691017934</v>
      </c>
      <c r="J9651" s="6" t="n">
        <f aca="false">Sens!J9644*(1-tax_f)-wacc*(Sens!I9645+Sens!J9645)/2</f>
        <v>3.25924324591036</v>
      </c>
      <c r="K9651" s="6" t="n">
        <f aca="false">Sens!K9644*(1-tax_f)-wacc*(Sens!J9645+Sens!K9645)/2</f>
        <v>10.0663303718843</v>
      </c>
    </row>
    <row r="9652" customFormat="false" ht="17.15" hidden="false" customHeight="false" outlineLevel="0" collapsed="false">
      <c r="A9652" s="3" t="s">
        <v>1510</v>
      </c>
    </row>
    <row r="9653" customFormat="false" ht="15" hidden="false" customHeight="false" outlineLevel="0" collapsed="false">
      <c r="A9653" s="4" t="s">
        <v>43</v>
      </c>
      <c r="B9653" s="4" t="s">
        <v>65</v>
      </c>
      <c r="C9653" s="20" t="s">
        <v>799</v>
      </c>
      <c r="D9653" s="20" t="s">
        <v>800</v>
      </c>
      <c r="E9653" s="20" t="s">
        <v>801</v>
      </c>
      <c r="F9653" s="20" t="s">
        <v>802</v>
      </c>
      <c r="G9653" s="20" t="s">
        <v>803</v>
      </c>
      <c r="H9653" s="20" t="s">
        <v>804</v>
      </c>
      <c r="I9653" s="20" t="s">
        <v>805</v>
      </c>
      <c r="J9653" s="20" t="s">
        <v>806</v>
      </c>
      <c r="K9653" s="20" t="s">
        <v>807</v>
      </c>
      <c r="L9653" s="4" t="s">
        <v>47</v>
      </c>
    </row>
    <row r="9654" customFormat="false" ht="15" hidden="false" customHeight="false" outlineLevel="0" collapsed="false">
      <c r="A9654" s="1" t="s">
        <v>925</v>
      </c>
      <c r="B9654" s="0" t="s">
        <v>98</v>
      </c>
      <c r="F9654" s="6" t="n">
        <f aca="false">Sens!F9635</f>
        <v>141.114586573556</v>
      </c>
      <c r="G9654" s="6" t="n">
        <f aca="false">Sens!G9635</f>
        <v>157.938256617747</v>
      </c>
      <c r="H9654" s="6" t="n">
        <f aca="false">Sens!H9635</f>
        <v>174.411336759549</v>
      </c>
      <c r="I9654" s="6" t="n">
        <f aca="false">Sens!I9635</f>
        <v>190.299374328133</v>
      </c>
      <c r="J9654" s="6" t="n">
        <f aca="false">Sens!J9635</f>
        <v>205.229873912982</v>
      </c>
      <c r="K9654" s="6" t="n">
        <f aca="false">Sens!K9635</f>
        <v>219.873239383421</v>
      </c>
    </row>
    <row r="9655" customFormat="false" ht="17.15" hidden="false" customHeight="false" outlineLevel="0" collapsed="false">
      <c r="A9655" s="1" t="s">
        <v>947</v>
      </c>
      <c r="B9655" s="0" t="s">
        <v>98</v>
      </c>
      <c r="E9655" s="6" t="n">
        <f aca="false">Q!M38-Sens!E9573</f>
        <v>22.2285940229167</v>
      </c>
      <c r="F9655" s="6" t="n">
        <f aca="false">Sens!E9655*(1-1/life_nonai)+(Sens!F9662+Sens!F9663)/life_nonai</f>
        <v>24.3924470334783</v>
      </c>
      <c r="G9655" s="6" t="n">
        <f aca="false">Sens!F9655*(1-1/life_nonai)+(Sens!G9662)/life_nonai</f>
        <v>26.0718066956631</v>
      </c>
      <c r="H9655" s="6" t="n">
        <f aca="false">Sens!G9655*(1-1/life_nonai)+(Sens!H9662)/life_nonai</f>
        <v>28.1531134181066</v>
      </c>
      <c r="I9655" s="6" t="n">
        <f aca="false">Sens!H9655*(1-1/life_nonai)+(Sens!I9662)/life_nonai</f>
        <v>30.5710993287686</v>
      </c>
      <c r="J9655" s="6" t="n">
        <f aca="false">Sens!I9655*(1-1/life_nonai)+(Sens!J9662)/life_nonai</f>
        <v>33.2441804141482</v>
      </c>
      <c r="K9655" s="6" t="n">
        <f aca="false">Sens!J9655*(1-1/life_nonai)+(Sens!K9662)/life_nonai</f>
        <v>36.0903260303046</v>
      </c>
      <c r="L9655" s="11" t="s">
        <v>948</v>
      </c>
    </row>
    <row r="9656" customFormat="false" ht="17.15" hidden="false" customHeight="false" outlineLevel="0" collapsed="false">
      <c r="A9656" s="1" t="s">
        <v>949</v>
      </c>
      <c r="B9656" s="0" t="s">
        <v>98</v>
      </c>
      <c r="F9656" s="6" t="n">
        <f aca="false">Sens!$F$9663/life_nonai*(1-1/life_nonai)^(Sens!F9539-2027)</f>
        <v>0.827784289897088</v>
      </c>
      <c r="G9656" s="6" t="n">
        <f aca="false">Sens!$F$9663/life_nonai*(1-1/life_nonai)^(Sens!G9539-2027)</f>
        <v>0.745005860907379</v>
      </c>
      <c r="H9656" s="6" t="n">
        <f aca="false">Sens!$F$9663/life_nonai*(1-1/life_nonai)^(Sens!H9539-2027)</f>
        <v>0.670505274816642</v>
      </c>
      <c r="I9656" s="6" t="n">
        <f aca="false">Sens!$F$9663/life_nonai*(1-1/life_nonai)^(Sens!I9539-2027)</f>
        <v>0.603454747334977</v>
      </c>
      <c r="J9656" s="6" t="n">
        <f aca="false">Sens!$F$9663/life_nonai*(1-1/life_nonai)^(Sens!J9539-2027)</f>
        <v>0.54310927260148</v>
      </c>
      <c r="K9656" s="6" t="n">
        <f aca="false">Sens!$F$9663/life_nonai*(1-1/life_nonai)^(Sens!K9539-2027)</f>
        <v>0.488798345341332</v>
      </c>
      <c r="L9656" s="1" t="s">
        <v>950</v>
      </c>
    </row>
    <row r="9657" customFormat="false" ht="17.15" hidden="false" customHeight="false" outlineLevel="0" collapsed="false">
      <c r="A9657" s="1" t="s">
        <v>951</v>
      </c>
      <c r="B9657" s="0" t="s">
        <v>98</v>
      </c>
      <c r="E9657" s="6" t="n">
        <f aca="false">Sens!E9573+Sens!E9655</f>
        <v>38.534</v>
      </c>
      <c r="F9657" s="6" t="n">
        <f aca="false">Sens!F9573+Sens!F9655</f>
        <v>58.4423344144339</v>
      </c>
      <c r="G9657" s="6" t="n">
        <f aca="false">Sens!G9573+Sens!G9655</f>
        <v>85.1972438061742</v>
      </c>
      <c r="H9657" s="6" t="n">
        <f aca="false">Sens!H9573+Sens!H9655</f>
        <v>114.514133261418</v>
      </c>
      <c r="I9657" s="6" t="n">
        <f aca="false">Sens!I9573+Sens!I9655</f>
        <v>141.176843161161</v>
      </c>
      <c r="J9657" s="6" t="n">
        <f aca="false">Sens!J9573+Sens!J9655</f>
        <v>161.242503266992</v>
      </c>
      <c r="K9657" s="6" t="n">
        <f aca="false">Sens!K9573+Sens!K9655</f>
        <v>175.221790074613</v>
      </c>
    </row>
    <row r="9658" customFormat="false" ht="17.15" hidden="false" customHeight="false" outlineLevel="0" collapsed="false">
      <c r="A9658" s="1" t="s">
        <v>952</v>
      </c>
      <c r="B9658" s="0" t="s">
        <v>98</v>
      </c>
      <c r="F9658" s="6" t="n">
        <f aca="false">Sens!F9600*sbc_r</f>
        <v>14.9355124767599</v>
      </c>
      <c r="G9658" s="6" t="n">
        <f aca="false">Sens!G9600*sbc_r</f>
        <v>17.7796013300898</v>
      </c>
      <c r="H9658" s="6" t="n">
        <f aca="false">Sens!H9600*sbc_r</f>
        <v>20.6983680216553</v>
      </c>
      <c r="I9658" s="6" t="n">
        <f aca="false">Sens!I9600*sbc_r</f>
        <v>23.4018349554311</v>
      </c>
      <c r="J9658" s="6" t="n">
        <f aca="false">Sens!J9600*sbc_r</f>
        <v>25.6476660380489</v>
      </c>
      <c r="K9658" s="6" t="n">
        <f aca="false">Sens!K9600*sbc_r</f>
        <v>27.5009050480986</v>
      </c>
    </row>
    <row r="9659" customFormat="false" ht="17.15" hidden="false" customHeight="false" outlineLevel="0" collapsed="false">
      <c r="A9659" s="1" t="s">
        <v>953</v>
      </c>
      <c r="B9659" s="0" t="s">
        <v>98</v>
      </c>
      <c r="F9659" s="6" t="n">
        <f aca="false">wc27</f>
        <v>-4.895</v>
      </c>
      <c r="G9659" s="6" t="n">
        <f aca="false">wc_f</f>
        <v>0</v>
      </c>
      <c r="H9659" s="6" t="n">
        <f aca="false">wc_f</f>
        <v>0</v>
      </c>
      <c r="I9659" s="6" t="n">
        <f aca="false">wc_f</f>
        <v>0</v>
      </c>
      <c r="J9659" s="6" t="n">
        <f aca="false">wc_f</f>
        <v>0</v>
      </c>
      <c r="K9659" s="6" t="n">
        <f aca="false">wc_f</f>
        <v>0</v>
      </c>
      <c r="L9659" s="11" t="s">
        <v>954</v>
      </c>
    </row>
    <row r="9660" customFormat="false" ht="15" hidden="false" customHeight="false" outlineLevel="0" collapsed="false">
      <c r="A9660" s="1" t="s">
        <v>767</v>
      </c>
      <c r="B9660" s="0" t="s">
        <v>98</v>
      </c>
      <c r="E9660" s="6" t="n">
        <f aca="false">Q!M35</f>
        <v>182.935</v>
      </c>
      <c r="F9660" s="6" t="n">
        <f aca="false">Sens!F9654+Sens!F9657+Sens!F9658+Sens!F9659</f>
        <v>209.59743346475</v>
      </c>
      <c r="G9660" s="6" t="n">
        <f aca="false">Sens!G9654+Sens!G9657+Sens!G9658+Sens!G9659</f>
        <v>260.915101754011</v>
      </c>
      <c r="H9660" s="6" t="n">
        <f aca="false">Sens!H9654+Sens!H9657+Sens!H9658+Sens!H9659</f>
        <v>309.623838042622</v>
      </c>
      <c r="I9660" s="6" t="n">
        <f aca="false">Sens!I9654+Sens!I9657+Sens!I9658+Sens!I9659</f>
        <v>354.878052444726</v>
      </c>
      <c r="J9660" s="6" t="n">
        <f aca="false">Sens!J9654+Sens!J9657+Sens!J9658+Sens!J9659</f>
        <v>392.120043218022</v>
      </c>
      <c r="K9660" s="6" t="n">
        <f aca="false">Sens!K9654+Sens!K9657+Sens!K9658+Sens!K9659</f>
        <v>422.595934506133</v>
      </c>
    </row>
    <row r="9661" customFormat="false" ht="17.15" hidden="false" customHeight="false" outlineLevel="0" collapsed="false">
      <c r="A9661" s="0" t="s">
        <v>955</v>
      </c>
      <c r="B9661" s="0" t="s">
        <v>98</v>
      </c>
      <c r="F9661" s="6" t="n">
        <f aca="false">Sens!F9570</f>
        <v>160.332875871467</v>
      </c>
      <c r="G9661" s="6" t="n">
        <f aca="false">Sens!G9570</f>
        <v>183.5741804832</v>
      </c>
      <c r="H9661" s="6" t="n">
        <f aca="false">Sens!H9570</f>
        <v>188.0802859104</v>
      </c>
      <c r="I9661" s="6" t="n">
        <f aca="false">Sens!I9570</f>
        <v>163.706669154245</v>
      </c>
      <c r="J9661" s="6" t="n">
        <f aca="false">Sens!J9570</f>
        <v>127.181436594242</v>
      </c>
      <c r="K9661" s="6" t="n">
        <f aca="false">Sens!K9570</f>
        <v>121.407415303591</v>
      </c>
    </row>
    <row r="9662" customFormat="false" ht="17.15" hidden="false" customHeight="false" outlineLevel="0" collapsed="false">
      <c r="A9662" s="1" t="s">
        <v>956</v>
      </c>
      <c r="B9662" s="0" t="s">
        <v>98</v>
      </c>
      <c r="E9662" s="6" t="n">
        <f aca="false">Sens!E9578*cx_azo+Sens!E9585*cx_m365+Sens!E9586*cx_lic+(Sens!E9588+Sens!E9590)*cx_ind+Sens!E9593*cx_srch+(Sens!E9595+Sens!E9597)*cx_dev</f>
        <v>30.1846587067718</v>
      </c>
      <c r="F9662" s="6" t="n">
        <f aca="false">Sens!F9578*cx_azo+Sens!F9585*cx_m365+Sens!F9586*cx_lic+(Sens!F9588+Sens!F9590)*cx_ind+Sens!F9593*cx_srch+(Sens!F9595+Sens!F9597)*cx_dev</f>
        <v>35.5892812295625</v>
      </c>
      <c r="G9662" s="6" t="n">
        <f aca="false">Sens!G9578*cx_azo+Sens!G9585*cx_m365+Sens!G9586*cx_lic+(Sens!G9588+Sens!G9590)*cx_ind+Sens!G9593*cx_srch+(Sens!G9595+Sens!G9597)*cx_dev</f>
        <v>41.1860436553257</v>
      </c>
      <c r="H9662" s="6" t="n">
        <f aca="false">Sens!H9578*cx_azo+Sens!H9585*cx_m365+Sens!H9586*cx_lic+(Sens!H9588+Sens!H9590)*cx_ind+Sens!H9593*cx_srch+(Sens!H9595+Sens!H9597)*cx_dev</f>
        <v>46.8848739200982</v>
      </c>
      <c r="I9662" s="6" t="n">
        <f aca="false">Sens!I9578*cx_azo+Sens!I9585*cx_m365+Sens!I9586*cx_lic+(Sens!I9588+Sens!I9590)*cx_ind+Sens!I9593*cx_srch+(Sens!I9595+Sens!I9597)*cx_dev</f>
        <v>52.3329725247266</v>
      </c>
      <c r="J9662" s="6" t="n">
        <f aca="false">Sens!J9578*cx_azo+Sens!J9585*cx_m365+Sens!J9586*cx_lic+(Sens!J9588+Sens!J9590)*cx_ind+Sens!J9593*cx_srch+(Sens!J9595+Sens!J9597)*cx_dev</f>
        <v>57.3019101825644</v>
      </c>
      <c r="K9662" s="6" t="n">
        <f aca="false">Sens!K9578*cx_azo+Sens!K9585*cx_m365+Sens!K9586*cx_lic+(Sens!K9588+Sens!K9590)*cx_ind+Sens!K9593*cx_srch+(Sens!K9595+Sens!K9597)*cx_dev</f>
        <v>61.7056365757122</v>
      </c>
    </row>
    <row r="9663" customFormat="false" ht="17.15" hidden="false" customHeight="false" outlineLevel="0" collapsed="false">
      <c r="A9663" s="0" t="s">
        <v>957</v>
      </c>
      <c r="B9663" s="0" t="s">
        <v>98</v>
      </c>
      <c r="F9663" s="6" t="n">
        <f aca="false">Sens!F9568</f>
        <v>8.27784289897088</v>
      </c>
      <c r="L9663" s="1" t="s">
        <v>958</v>
      </c>
    </row>
    <row r="9664" customFormat="false" ht="17.15" hidden="false" customHeight="false" outlineLevel="0" collapsed="false">
      <c r="A9664" s="1" t="s">
        <v>959</v>
      </c>
      <c r="B9664" s="0" t="s">
        <v>98</v>
      </c>
      <c r="E9664" s="6" t="n">
        <f aca="false">Q!M42</f>
        <v>145.3</v>
      </c>
      <c r="F9664" s="6" t="n">
        <f aca="false">Sens!F9661+Sens!F9662+Sens!F9663</f>
        <v>204.2</v>
      </c>
      <c r="G9664" s="6" t="n">
        <f aca="false">Sens!G9661+Sens!G9662</f>
        <v>224.760224138526</v>
      </c>
      <c r="H9664" s="6" t="n">
        <f aca="false">Sens!H9661+Sens!H9662</f>
        <v>234.965159830498</v>
      </c>
      <c r="I9664" s="6" t="n">
        <f aca="false">Sens!I9661+Sens!I9662</f>
        <v>216.039641678972</v>
      </c>
      <c r="J9664" s="6" t="n">
        <f aca="false">Sens!J9661+Sens!J9662</f>
        <v>184.483346776807</v>
      </c>
      <c r="K9664" s="6" t="n">
        <f aca="false">Sens!K9661+Sens!K9662</f>
        <v>183.113051879303</v>
      </c>
      <c r="L9664" s="1" t="s">
        <v>960</v>
      </c>
    </row>
    <row r="9665" customFormat="false" ht="15" hidden="false" customHeight="false" outlineLevel="0" collapsed="false">
      <c r="A9665" s="1" t="s">
        <v>961</v>
      </c>
      <c r="B9665" s="0" t="s">
        <v>98</v>
      </c>
      <c r="E9665" s="6" t="n">
        <f aca="false">fl_liab</f>
        <v>66.594</v>
      </c>
      <c r="F9665" s="6" t="n">
        <f aca="false">Sens!E9665-Sens!F9666</f>
        <v>62.46973</v>
      </c>
      <c r="G9665" s="6" t="n">
        <f aca="false">Sens!F9665-Sens!G9666</f>
        <v>57.98686785</v>
      </c>
      <c r="H9665" s="6" t="n">
        <f aca="false">Sens!G9665-Sens!H9666</f>
        <v>53.92827690325</v>
      </c>
      <c r="I9665" s="6" t="n">
        <f aca="false">Sens!H9665-Sens!I9666</f>
        <v>49.7850493638962</v>
      </c>
      <c r="J9665" s="6" t="n">
        <f aca="false">Sens!I9665-Sens!J9666</f>
        <v>45.4823765852716</v>
      </c>
      <c r="K9665" s="6" t="n">
        <f aca="false">Sens!J9665-Sens!K9666</f>
        <v>40.9860835316088</v>
      </c>
    </row>
    <row r="9666" customFormat="false" ht="15" hidden="false" customHeight="false" outlineLevel="0" collapsed="false">
      <c r="A9666" s="1" t="s">
        <v>962</v>
      </c>
      <c r="B9666" s="0" t="s">
        <v>98</v>
      </c>
      <c r="F9666" s="6" t="n">
        <f aca="false">fl_pay_27-Sens!E9665*fl_rate</f>
        <v>4.12427</v>
      </c>
      <c r="G9666" s="6" t="n">
        <f aca="false">fl_pay_28-Sens!F9665*fl_rate</f>
        <v>4.48286215</v>
      </c>
      <c r="H9666" s="6" t="n">
        <f aca="false">fl_pay_29-Sens!G9665*fl_rate</f>
        <v>4.05859094675</v>
      </c>
      <c r="I9666" s="6" t="n">
        <f aca="false">fl_pay_30-Sens!H9665*fl_rate</f>
        <v>4.14322753935375</v>
      </c>
      <c r="J9666" s="6" t="n">
        <f aca="false">fl_pay_31-Sens!I9665*fl_rate</f>
        <v>4.30267277862467</v>
      </c>
      <c r="K9666" s="6" t="n">
        <f aca="false">fl_pay_32-Sens!J9665*fl_rate</f>
        <v>4.49629305366278</v>
      </c>
    </row>
    <row r="9667" customFormat="false" ht="17.15" hidden="false" customHeight="false" outlineLevel="0" collapsed="false">
      <c r="A9667" s="1" t="s">
        <v>963</v>
      </c>
      <c r="B9667" s="0" t="s">
        <v>98</v>
      </c>
      <c r="E9667" s="6" t="n">
        <f aca="false">Q!M35-Q!M36-Q!M43</f>
        <v>63.886</v>
      </c>
      <c r="F9667" s="6" t="n">
        <f aca="false">Sens!F9660-Sens!F9664-Sens!F9666</f>
        <v>1.27316346474972</v>
      </c>
      <c r="G9667" s="6" t="n">
        <f aca="false">Sens!G9660-Sens!G9664-Sens!G9666</f>
        <v>31.6720154654851</v>
      </c>
      <c r="H9667" s="6" t="n">
        <f aca="false">Sens!H9660-Sens!H9664-Sens!H9666</f>
        <v>70.6000872653736</v>
      </c>
      <c r="I9667" s="6" t="n">
        <f aca="false">Sens!I9660-Sens!I9664-Sens!I9666</f>
        <v>134.6951832264</v>
      </c>
      <c r="J9667" s="6" t="n">
        <f aca="false">Sens!J9660-Sens!J9664-Sens!J9666</f>
        <v>203.334023662591</v>
      </c>
      <c r="K9667" s="6" t="n">
        <f aca="false">Sens!K9660-Sens!K9664-Sens!K9666</f>
        <v>234.986589573167</v>
      </c>
      <c r="L9667" s="11" t="s">
        <v>964</v>
      </c>
    </row>
    <row r="9668" customFormat="false" ht="15" hidden="false" customHeight="false" outlineLevel="0" collapsed="false">
      <c r="A9668" s="1" t="s">
        <v>965</v>
      </c>
      <c r="B9668" s="0" t="s">
        <v>75</v>
      </c>
      <c r="F9668" s="8" t="n">
        <f aca="false">dps_27</f>
        <v>3.85</v>
      </c>
      <c r="G9668" s="8" t="n">
        <f aca="false">Sens!F9668*(1+dps_g)</f>
        <v>4.158</v>
      </c>
      <c r="H9668" s="8" t="n">
        <f aca="false">Sens!G9668*(1+dps_g)</f>
        <v>4.49064</v>
      </c>
      <c r="I9668" s="8" t="n">
        <f aca="false">Sens!H9668*(1+dps_g)</f>
        <v>4.8498912</v>
      </c>
      <c r="J9668" s="8" t="n">
        <f aca="false">Sens!I9668*(1+dps_g)</f>
        <v>5.237882496</v>
      </c>
      <c r="K9668" s="8" t="n">
        <f aca="false">Sens!J9668*(1+dps_g)</f>
        <v>5.65691309568</v>
      </c>
    </row>
    <row r="9669" customFormat="false" ht="17.15" hidden="false" customHeight="false" outlineLevel="0" collapsed="false">
      <c r="A9669" s="1" t="s">
        <v>966</v>
      </c>
      <c r="B9669" s="0" t="s">
        <v>98</v>
      </c>
      <c r="E9669" s="6" t="n">
        <f aca="false">Q!M41</f>
        <v>26.445</v>
      </c>
      <c r="F9669" s="6" t="n">
        <f aca="false">Sens!F9668*Sens!E9678</f>
        <v>28.59395</v>
      </c>
      <c r="G9669" s="6" t="n">
        <f aca="false">Sens!G9668*Sens!F9678</f>
        <v>31.068576</v>
      </c>
      <c r="H9669" s="6" t="n">
        <f aca="false">Sens!H9668*Sens!G9678</f>
        <v>33.7516076771288</v>
      </c>
      <c r="I9669" s="6" t="n">
        <f aca="false">Sens!I9668*Sens!H9678</f>
        <v>36.5026755312985</v>
      </c>
      <c r="J9669" s="6" t="n">
        <f aca="false">Sens!J9668*Sens!I9678</f>
        <v>39.4912884221219</v>
      </c>
      <c r="K9669" s="6" t="n">
        <f aca="false">Sens!K9668*Sens!J9678</f>
        <v>42.7378467211967</v>
      </c>
      <c r="L9669" s="1" t="s">
        <v>967</v>
      </c>
    </row>
    <row r="9670" customFormat="false" ht="15" hidden="false" customHeight="false" outlineLevel="0" collapsed="false">
      <c r="A9670" s="1" t="s">
        <v>968</v>
      </c>
      <c r="B9670" s="0" t="s">
        <v>98</v>
      </c>
      <c r="E9670" s="6" t="n">
        <f aca="false">Sens!E9667-Sens!E9669</f>
        <v>37.441</v>
      </c>
      <c r="F9670" s="6" t="n">
        <f aca="false">Sens!F9667-Sens!F9669</f>
        <v>-27.3207865352503</v>
      </c>
      <c r="G9670" s="6" t="n">
        <f aca="false">Sens!G9667-Sens!G9669</f>
        <v>0.603439465485106</v>
      </c>
      <c r="H9670" s="6" t="n">
        <f aca="false">Sens!H9667-Sens!H9669</f>
        <v>36.8484795882448</v>
      </c>
      <c r="I9670" s="6" t="n">
        <f aca="false">Sens!I9667-Sens!I9669</f>
        <v>98.1925076951015</v>
      </c>
      <c r="J9670" s="6" t="n">
        <f aca="false">Sens!J9667-Sens!J9669</f>
        <v>163.842735240469</v>
      </c>
      <c r="K9670" s="6" t="n">
        <f aca="false">Sens!K9667-Sens!K9669</f>
        <v>192.24874285197</v>
      </c>
    </row>
    <row r="9671" customFormat="false" ht="15" hidden="false" customHeight="false" outlineLevel="0" collapsed="false">
      <c r="A9671" s="1" t="s">
        <v>969</v>
      </c>
      <c r="B9671" s="0" t="s">
        <v>98</v>
      </c>
      <c r="F9671" s="6" t="n">
        <f aca="false">debt_mat_27</f>
        <v>9.25</v>
      </c>
      <c r="G9671" s="6" t="n">
        <f aca="false">debt_mat_28</f>
        <v>0</v>
      </c>
      <c r="H9671" s="6" t="n">
        <f aca="false">debt_mat_29</f>
        <v>2.001</v>
      </c>
      <c r="I9671" s="6" t="n">
        <f aca="false">debt_mat_30</f>
        <v>0</v>
      </c>
      <c r="J9671" s="6" t="n">
        <f aca="false">debt_mat_31</f>
        <v>0.5</v>
      </c>
      <c r="K9671" s="6" t="n">
        <f aca="false">debt_mat_32</f>
        <v>0</v>
      </c>
    </row>
    <row r="9672" customFormat="false" ht="15" hidden="false" customHeight="false" outlineLevel="0" collapsed="false">
      <c r="A9672" s="1" t="s">
        <v>970</v>
      </c>
      <c r="B9672" s="0" t="s">
        <v>98</v>
      </c>
      <c r="E9672" s="6" t="n">
        <f aca="false">Q!M40</f>
        <v>22.271</v>
      </c>
      <c r="F9672" s="6" t="n">
        <f aca="false">MAX(0,MIN(bb_target,Sens!E9674+Sens!F9670-Sens!F9671-min_cash))</f>
        <v>0</v>
      </c>
      <c r="G9672" s="6" t="n">
        <f aca="false">MAX(0,MIN(bb_target,Sens!F9674+Sens!G9670-Sens!G9671-min_cash))</f>
        <v>0.60343946548511</v>
      </c>
      <c r="H9672" s="6" t="n">
        <f aca="false">MAX(0,MIN(bb_target,Sens!G9674+Sens!H9670-Sens!H9671-min_cash))</f>
        <v>22.271</v>
      </c>
      <c r="I9672" s="6" t="n">
        <f aca="false">MAX(0,MIN(bb_target,Sens!H9674+Sens!I9670-Sens!I9671-min_cash))</f>
        <v>22.271</v>
      </c>
      <c r="J9672" s="6" t="n">
        <f aca="false">MAX(0,MIN(bb_target,Sens!I9674+Sens!J9670-Sens!J9671-min_cash))</f>
        <v>22.271</v>
      </c>
      <c r="K9672" s="6" t="n">
        <f aca="false">MAX(0,MIN(bb_target,Sens!J9674+Sens!K9670-Sens!K9671-min_cash))</f>
        <v>22.271</v>
      </c>
    </row>
    <row r="9673" customFormat="false" ht="15" hidden="false" customHeight="false" outlineLevel="0" collapsed="false">
      <c r="A9673" s="1" t="s">
        <v>971</v>
      </c>
      <c r="B9673" s="0" t="s">
        <v>98</v>
      </c>
      <c r="F9673" s="6" t="n">
        <f aca="false">MAX(0,min_cash-(Sens!E9674+Sens!F9670-Sens!F9671-Sens!F9672))</f>
        <v>9.72778653525027</v>
      </c>
      <c r="G9673" s="6" t="n">
        <f aca="false">MAX(0,min_cash-(Sens!F9674+Sens!G9670-Sens!G9671-Sens!G9672))</f>
        <v>0</v>
      </c>
      <c r="H9673" s="6" t="n">
        <f aca="false">MAX(0,min_cash-(Sens!G9674+Sens!H9670-Sens!H9671-Sens!H9672))</f>
        <v>0</v>
      </c>
      <c r="I9673" s="6" t="n">
        <f aca="false">MAX(0,min_cash-(Sens!H9674+Sens!I9670-Sens!I9671-Sens!I9672))</f>
        <v>0</v>
      </c>
      <c r="J9673" s="6" t="n">
        <f aca="false">MAX(0,min_cash-(Sens!I9674+Sens!J9670-Sens!J9671-Sens!J9672))</f>
        <v>0</v>
      </c>
      <c r="K9673" s="6" t="n">
        <f aca="false">MAX(0,min_cash-(Sens!J9674+Sens!K9670-Sens!K9671-Sens!K9672))</f>
        <v>0</v>
      </c>
    </row>
    <row r="9674" customFormat="false" ht="15" hidden="false" customHeight="false" outlineLevel="0" collapsed="false">
      <c r="A9674" s="1" t="s">
        <v>972</v>
      </c>
      <c r="B9674" s="0" t="s">
        <v>98</v>
      </c>
      <c r="E9674" s="6" t="n">
        <f aca="false">cash_open</f>
        <v>76.843</v>
      </c>
      <c r="F9674" s="6" t="n">
        <f aca="false">Sens!E9674+Sens!F9670-Sens!F9671-Sens!F9672+Sens!F9673</f>
        <v>50</v>
      </c>
      <c r="G9674" s="6" t="n">
        <f aca="false">Sens!F9674+Sens!G9670-Sens!G9671-Sens!G9672+Sens!G9673</f>
        <v>50</v>
      </c>
      <c r="H9674" s="6" t="n">
        <f aca="false">Sens!G9674+Sens!H9670-Sens!H9671-Sens!H9672+Sens!H9673</f>
        <v>62.5764795882448</v>
      </c>
      <c r="I9674" s="6" t="n">
        <f aca="false">Sens!H9674+Sens!I9670-Sens!I9671-Sens!I9672+Sens!I9673</f>
        <v>138.497987283346</v>
      </c>
      <c r="J9674" s="6" t="n">
        <f aca="false">Sens!I9674+Sens!J9670-Sens!J9671-Sens!J9672+Sens!J9673</f>
        <v>279.569722523815</v>
      </c>
      <c r="K9674" s="6" t="n">
        <f aca="false">Sens!J9674+Sens!K9670-Sens!K9671-Sens!K9672+Sens!K9673</f>
        <v>449.547465375785</v>
      </c>
    </row>
    <row r="9675" customFormat="false" ht="15" hidden="false" customHeight="false" outlineLevel="0" collapsed="false">
      <c r="A9675" s="1" t="s">
        <v>973</v>
      </c>
      <c r="B9675" s="0" t="s">
        <v>98</v>
      </c>
      <c r="E9675" s="6" t="n">
        <f aca="false">debt_face</f>
        <v>46.136</v>
      </c>
      <c r="F9675" s="6" t="n">
        <f aca="false">Sens!E9675-Sens!F9671+Sens!F9673</f>
        <v>46.6137865352503</v>
      </c>
      <c r="G9675" s="6" t="n">
        <f aca="false">Sens!F9675-Sens!G9671+Sens!G9673</f>
        <v>46.6137865352503</v>
      </c>
      <c r="H9675" s="6" t="n">
        <f aca="false">Sens!G9675-Sens!H9671+Sens!H9673</f>
        <v>44.6127865352503</v>
      </c>
      <c r="I9675" s="6" t="n">
        <f aca="false">Sens!H9675-Sens!I9671+Sens!I9673</f>
        <v>44.6127865352503</v>
      </c>
      <c r="J9675" s="6" t="n">
        <f aca="false">Sens!I9675-Sens!J9671+Sens!J9673</f>
        <v>44.1127865352503</v>
      </c>
      <c r="K9675" s="6" t="n">
        <f aca="false">Sens!J9675-Sens!K9671+Sens!K9673</f>
        <v>44.1127865352503</v>
      </c>
    </row>
    <row r="9676" customFormat="false" ht="15" hidden="false" customHeight="false" outlineLevel="0" collapsed="false">
      <c r="A9676" s="1" t="s">
        <v>974</v>
      </c>
      <c r="B9676" s="0" t="s">
        <v>98</v>
      </c>
      <c r="E9676" s="6" t="n">
        <f aca="false">Sens!E9674-Sens!E9675</f>
        <v>30.707</v>
      </c>
      <c r="F9676" s="6" t="n">
        <f aca="false">Sens!F9674-Sens!F9675</f>
        <v>3.38621346474972</v>
      </c>
      <c r="G9676" s="6" t="n">
        <f aca="false">Sens!G9674-Sens!G9675</f>
        <v>3.38621346474972</v>
      </c>
      <c r="H9676" s="6" t="n">
        <f aca="false">Sens!H9674-Sens!H9675</f>
        <v>17.9636930529945</v>
      </c>
      <c r="I9676" s="6" t="n">
        <f aca="false">Sens!I9674-Sens!I9675</f>
        <v>93.885200748096</v>
      </c>
      <c r="J9676" s="6" t="n">
        <f aca="false">Sens!J9674-Sens!J9675</f>
        <v>235.456935988565</v>
      </c>
      <c r="K9676" s="6" t="n">
        <f aca="false">Sens!K9674-Sens!K9675</f>
        <v>405.434678840535</v>
      </c>
    </row>
    <row r="9677" customFormat="false" ht="15" hidden="false" customHeight="false" outlineLevel="0" collapsed="false">
      <c r="A9677" s="1" t="s">
        <v>975</v>
      </c>
      <c r="B9677" s="0" t="s">
        <v>75</v>
      </c>
      <c r="F9677" s="29" t="n">
        <f aca="false">px*(1+bb_g)^(Sens!F9539-base_fy-mid_yr)</f>
        <v>553.494156066711</v>
      </c>
      <c r="G9677" s="29" t="n">
        <f aca="false">px*(1+bb_g)^(Sens!G9539-base_fy-mid_yr)</f>
        <v>597.773688552047</v>
      </c>
      <c r="H9677" s="29" t="n">
        <f aca="false">px*(1+bb_g)^(Sens!H9539-base_fy-mid_yr)</f>
        <v>645.595583636211</v>
      </c>
      <c r="I9677" s="29" t="n">
        <f aca="false">px*(1+bb_g)^(Sens!I9539-base_fy-mid_yr)</f>
        <v>697.243230327108</v>
      </c>
      <c r="J9677" s="29" t="n">
        <f aca="false">px*(1+bb_g)^(Sens!J9539-base_fy-mid_yr)</f>
        <v>753.022688753277</v>
      </c>
      <c r="K9677" s="29" t="n">
        <f aca="false">px*(1+bb_g)^(Sens!K9539-base_fy-mid_yr)</f>
        <v>813.264503853539</v>
      </c>
    </row>
    <row r="9678" customFormat="false" ht="15" hidden="false" customHeight="false" outlineLevel="0" collapsed="false">
      <c r="A9678" s="1" t="s">
        <v>976</v>
      </c>
      <c r="B9678" s="1" t="s">
        <v>81</v>
      </c>
      <c r="E9678" s="14" t="n">
        <f aca="false">sh_out26</f>
        <v>7.427</v>
      </c>
      <c r="F9678" s="14" t="n">
        <f aca="false">Sens!E9678+sh_iss-Sens!F9672/Sens!F9677</f>
        <v>7.472</v>
      </c>
      <c r="G9678" s="14" t="n">
        <f aca="false">Sens!F9678+sh_iss-Sens!G9672/Sens!G9677</f>
        <v>7.51599052186966</v>
      </c>
      <c r="H9678" s="14" t="n">
        <f aca="false">Sens!G9678+sh_iss-Sens!H9672/Sens!H9677</f>
        <v>7.52649369356956</v>
      </c>
      <c r="I9678" s="14" t="n">
        <f aca="false">Sens!H9678+sh_iss-Sens!I9672/Sens!I9677</f>
        <v>7.53955218588429</v>
      </c>
      <c r="J9678" s="14" t="n">
        <f aca="false">Sens!I9678+sh_iss-Sens!J9672/Sens!J9677</f>
        <v>7.55497671580533</v>
      </c>
      <c r="K9678" s="14" t="n">
        <f aca="false">Sens!J9678+sh_iss-Sens!K9672/Sens!K9677</f>
        <v>7.57259202128777</v>
      </c>
    </row>
    <row r="9679" customFormat="false" ht="15" hidden="false" customHeight="false" outlineLevel="0" collapsed="false">
      <c r="A9679" s="1" t="s">
        <v>977</v>
      </c>
      <c r="B9679" s="1" t="s">
        <v>81</v>
      </c>
      <c r="E9679" s="14" t="n">
        <f aca="false">sh_dil26</f>
        <v>7.453</v>
      </c>
      <c r="F9679" s="14" t="n">
        <f aca="false">(Sens!E9678+Sens!F9678)/2+dil_gap</f>
        <v>7.4735</v>
      </c>
      <c r="G9679" s="14" t="n">
        <f aca="false">(Sens!F9678+Sens!G9678)/2+dil_gap</f>
        <v>7.51799526093483</v>
      </c>
      <c r="H9679" s="14" t="n">
        <f aca="false">(Sens!G9678+Sens!H9678)/2+dil_gap</f>
        <v>7.54524210771961</v>
      </c>
      <c r="I9679" s="14" t="n">
        <f aca="false">(Sens!H9678+Sens!I9678)/2+dil_gap</f>
        <v>7.55702293972693</v>
      </c>
      <c r="J9679" s="14" t="n">
        <f aca="false">(Sens!I9678+Sens!J9678)/2+dil_gap</f>
        <v>7.57126445084481</v>
      </c>
      <c r="K9679" s="14" t="n">
        <f aca="false">(Sens!J9678+Sens!K9678)/2+dil_gap</f>
        <v>7.58778436854655</v>
      </c>
    </row>
    <row r="9680" customFormat="false" ht="17.15" hidden="false" customHeight="false" outlineLevel="0" collapsed="false">
      <c r="A9680" s="1" t="s">
        <v>978</v>
      </c>
      <c r="B9680" s="0" t="s">
        <v>98</v>
      </c>
      <c r="C9680" s="6" t="n">
        <f aca="false">SUM(Sens!F9670:J9670)</f>
        <v>272.16637545405</v>
      </c>
    </row>
    <row r="9681" customFormat="false" ht="15" hidden="false" customHeight="false" outlineLevel="0" collapsed="false">
      <c r="A9681" s="23" t="s">
        <v>945</v>
      </c>
      <c r="B9681" s="30" t="s">
        <v>98</v>
      </c>
      <c r="C9681" s="24" t="n">
        <f aca="false">Sens!$C$9680-(Sens!F9670+Sens!G9670+Sens!H9670+Sens!I9670+Sens!J9670)</f>
        <v>0</v>
      </c>
      <c r="D9681" s="30"/>
      <c r="E9681" s="30"/>
      <c r="F9681" s="30"/>
      <c r="G9681" s="30"/>
      <c r="H9681" s="30"/>
      <c r="I9681" s="30"/>
      <c r="J9681" s="30"/>
      <c r="K9681" s="30"/>
    </row>
    <row r="9682" customFormat="false" ht="17.15" hidden="false" customHeight="false" outlineLevel="0" collapsed="false">
      <c r="A9682" s="1" t="s">
        <v>939</v>
      </c>
      <c r="B9682" s="1" t="s">
        <v>979</v>
      </c>
      <c r="C9682" s="32" t="str">
        <f aca="false">IF(SUM(Sens!F9673:J9673)&gt;0.05,"需要舉債 "&amp;TEXT(SUM(Sens!F9673:J9673),"0.0")&amp;" 十億美元","不需舉債")&amp;"；"&amp;IF(SUM(Sens!F9672:J9672)&lt;COUNT(Sens!F9672:J9672)*bb_target-0.05,"回購較每年 "&amp;TEXT(bb_target,"0.0")&amp;" 的目標少 "&amp;TEXT(COUNT(Sens!F9672:J9672)*bb_target-SUM(Sens!F9672:J9672),"0.0")&amp;" 十億美元（"&amp;TEXT(COUNTIF(Sens!F9672:J9672,"&lt;"&amp;(bb_target-0.05)),"0")&amp;" 年減少）","回購不減")</f>
        <v>需要舉債 9.7 十億美元；回購較每年 22.3 的目標少 43.9 十億美元（2 年減少）</v>
      </c>
    </row>
    <row r="9683" customFormat="false" ht="17.15" hidden="false" customHeight="false" outlineLevel="0" collapsed="false">
      <c r="A9683" s="3" t="s">
        <v>1511</v>
      </c>
    </row>
    <row r="9684" customFormat="false" ht="15" hidden="false" customHeight="false" outlineLevel="0" collapsed="false">
      <c r="A9684" s="4" t="s">
        <v>43</v>
      </c>
      <c r="B9684" s="4" t="s">
        <v>65</v>
      </c>
      <c r="C9684" s="20" t="s">
        <v>799</v>
      </c>
      <c r="D9684" s="20" t="s">
        <v>800</v>
      </c>
      <c r="E9684" s="20" t="s">
        <v>801</v>
      </c>
      <c r="F9684" s="20" t="s">
        <v>802</v>
      </c>
      <c r="G9684" s="20" t="s">
        <v>803</v>
      </c>
      <c r="H9684" s="20" t="s">
        <v>804</v>
      </c>
      <c r="I9684" s="20" t="s">
        <v>805</v>
      </c>
      <c r="J9684" s="20" t="s">
        <v>806</v>
      </c>
      <c r="K9684" s="20" t="s">
        <v>807</v>
      </c>
      <c r="L9684" s="4" t="s">
        <v>47</v>
      </c>
    </row>
    <row r="9685" customFormat="false" ht="15" hidden="false" customHeight="false" outlineLevel="0" collapsed="false">
      <c r="A9685" s="1" t="s">
        <v>1057</v>
      </c>
      <c r="B9685" s="1" t="s">
        <v>235</v>
      </c>
      <c r="F9685" s="36" t="n">
        <f aca="false">Sens!F9539-base_fy-mid_yr</f>
        <v>0.5</v>
      </c>
      <c r="G9685" s="36" t="n">
        <f aca="false">Sens!G9539-base_fy-mid_yr</f>
        <v>1.5</v>
      </c>
      <c r="H9685" s="36" t="n">
        <f aca="false">Sens!H9539-base_fy-mid_yr</f>
        <v>2.5</v>
      </c>
      <c r="I9685" s="36" t="n">
        <f aca="false">Sens!I9539-base_fy-mid_yr</f>
        <v>3.5</v>
      </c>
      <c r="J9685" s="36" t="n">
        <f aca="false">Sens!J9539-base_fy-mid_yr</f>
        <v>4.5</v>
      </c>
      <c r="K9685" s="36" t="n">
        <f aca="false">Sens!K9539-base_fy-mid_yr</f>
        <v>5.5</v>
      </c>
    </row>
    <row r="9686" customFormat="false" ht="15" hidden="false" customHeight="false" outlineLevel="0" collapsed="false">
      <c r="A9686" s="1" t="s">
        <v>1058</v>
      </c>
      <c r="B9686" s="0" t="s">
        <v>185</v>
      </c>
      <c r="F9686" s="14" t="n">
        <f aca="false">1/(1+wacc)^Sens!F9685</f>
        <v>0.952193373608246</v>
      </c>
      <c r="G9686" s="14" t="n">
        <f aca="false">1/(1+wacc)^Sens!G9685</f>
        <v>0.863327280626589</v>
      </c>
      <c r="H9686" s="14" t="n">
        <f aca="false">1/(1+wacc)^Sens!H9685</f>
        <v>0.782754862754115</v>
      </c>
      <c r="I9686" s="14" t="n">
        <f aca="false">1/(1+wacc)^Sens!I9685</f>
        <v>0.709702089711011</v>
      </c>
      <c r="J9686" s="14" t="n">
        <f aca="false">1/(1+wacc)^Sens!J9685</f>
        <v>0.643467169744551</v>
      </c>
      <c r="K9686" s="14" t="n">
        <f aca="false">1/(1+wacc)^Sens!K9685</f>
        <v>0.583413807767797</v>
      </c>
    </row>
    <row r="9687" customFormat="false" ht="17.15" hidden="false" customHeight="false" outlineLevel="0" collapsed="false">
      <c r="A9687" s="1" t="s">
        <v>1059</v>
      </c>
      <c r="B9687" s="0" t="s">
        <v>98</v>
      </c>
      <c r="F9687" s="6" t="n">
        <f aca="false">Sens!F9660-Sens!F9658-Sens!F9664+Sens!F9643*(1-tax_f)</f>
        <v>-2.09894263284591</v>
      </c>
      <c r="G9687" s="6" t="n">
        <f aca="false">Sens!G9660-Sens!G9658-Sens!G9664+Sens!G9643*(1-tax_f)</f>
        <v>37.5229805739579</v>
      </c>
      <c r="H9687" s="6" t="n">
        <f aca="false">Sens!H9660-Sens!H9658-Sens!H9664+Sens!H9643*(1-tax_f)</f>
        <v>86.0437655488466</v>
      </c>
      <c r="I9687" s="6" t="n">
        <f aca="false">Sens!I9660-Sens!I9658-Sens!I9664+Sens!I9643*(1-tax_f)</f>
        <v>159.385390466572</v>
      </c>
      <c r="J9687" s="6" t="n">
        <f aca="false">Sens!J9660-Sens!J9658-Sens!J9664+Sens!J9643*(1-tax_f)</f>
        <v>234.35346421222</v>
      </c>
      <c r="K9687" s="6" t="n">
        <f aca="false">Sens!K9660-Sens!K9658-Sens!K9664+Sens!K9643*(1-tax_f)</f>
        <v>269.181350381434</v>
      </c>
      <c r="L9687" s="1" t="s">
        <v>1060</v>
      </c>
    </row>
    <row r="9688" customFormat="false" ht="15" hidden="false" customHeight="false" outlineLevel="0" collapsed="false">
      <c r="A9688" s="1" t="s">
        <v>1061</v>
      </c>
      <c r="B9688" s="0" t="s">
        <v>98</v>
      </c>
      <c r="F9688" s="6" t="n">
        <f aca="false">Sens!F9687*Sens!F9686</f>
        <v>-1.99859926657972</v>
      </c>
      <c r="G9688" s="6" t="n">
        <f aca="false">Sens!G9687*Sens!G9686</f>
        <v>32.3946127799194</v>
      </c>
      <c r="H9688" s="6" t="n">
        <f aca="false">Sens!H9687*Sens!H9686</f>
        <v>67.3511758930347</v>
      </c>
      <c r="I9688" s="6" t="n">
        <f aca="false">Sens!I9687*Sens!I9686</f>
        <v>113.116144683531</v>
      </c>
      <c r="J9688" s="6" t="n">
        <f aca="false">Sens!J9687*Sens!J9686</f>
        <v>150.798760336468</v>
      </c>
      <c r="K9688" s="6" t="n">
        <f aca="false">Sens!K9687*Sens!K9686</f>
        <v>157.04411660611</v>
      </c>
    </row>
    <row r="9689" customFormat="false" ht="17.15" hidden="false" customHeight="false" outlineLevel="0" collapsed="false">
      <c r="A9689" s="1" t="s">
        <v>1062</v>
      </c>
      <c r="B9689" s="0" t="s">
        <v>98</v>
      </c>
      <c r="C9689" s="6" t="n">
        <f aca="false">SUM(Sens!F9688:K9688)</f>
        <v>518.706211032484</v>
      </c>
    </row>
    <row r="9690" customFormat="false" ht="17.15" hidden="false" customHeight="false" outlineLevel="0" collapsed="false">
      <c r="A9690" s="1" t="s">
        <v>1063</v>
      </c>
      <c r="B9690" s="0" t="s">
        <v>98</v>
      </c>
      <c r="C9690" s="6" t="n">
        <f aca="false">Sens!K9629*(1+g_tv)*(1-tax_f)</f>
        <v>285.714390551708</v>
      </c>
    </row>
    <row r="9691" customFormat="false" ht="17.15" hidden="false" customHeight="false" outlineLevel="0" collapsed="false">
      <c r="A9691" s="1" t="s">
        <v>1064</v>
      </c>
      <c r="B9691" s="0" t="s">
        <v>98</v>
      </c>
      <c r="C9691" s="6" t="n">
        <f aca="false">Sens!$C$9690*(1-g_tv/(wacc+ronic_prem))</f>
        <v>202.443588532156</v>
      </c>
    </row>
    <row r="9692" customFormat="false" ht="17.15" hidden="false" customHeight="false" outlineLevel="0" collapsed="false">
      <c r="A9692" s="1" t="s">
        <v>1065</v>
      </c>
      <c r="B9692" s="0" t="s">
        <v>98</v>
      </c>
      <c r="C9692" s="6" t="n">
        <f aca="false">Sens!$C$9691/(wacc-g_tv)</f>
        <v>2775.69340065173</v>
      </c>
    </row>
    <row r="9693" customFormat="false" ht="15" hidden="false" customHeight="false" outlineLevel="0" collapsed="false">
      <c r="A9693" s="1" t="s">
        <v>1066</v>
      </c>
      <c r="B9693" s="0" t="s">
        <v>98</v>
      </c>
      <c r="C9693" s="6" t="n">
        <f aca="false">Sens!$C$9692/(1+wacc)^(Sens!K9685+mid_yr)</f>
        <v>1541.96086391794</v>
      </c>
    </row>
    <row r="9694" customFormat="false" ht="17.15" hidden="false" customHeight="false" outlineLevel="0" collapsed="false">
      <c r="A9694" s="0" t="s">
        <v>986</v>
      </c>
      <c r="B9694" s="0" t="s">
        <v>98</v>
      </c>
      <c r="C9694" s="6" t="n">
        <f aca="false">Sens!$C$9689+Sens!$C$9693</f>
        <v>2060.66707495043</v>
      </c>
    </row>
    <row r="9695" customFormat="false" ht="15" hidden="false" customHeight="false" outlineLevel="0" collapsed="false">
      <c r="A9695" s="1" t="s">
        <v>987</v>
      </c>
      <c r="B9695" s="0" t="s">
        <v>129</v>
      </c>
      <c r="C9695" s="7" t="n">
        <f aca="false">Sens!$C$9693/Sens!$C$9694</f>
        <v>0.748282380333096</v>
      </c>
    </row>
    <row r="9696" customFormat="false" ht="17.15" hidden="false" customHeight="false" outlineLevel="0" collapsed="false">
      <c r="A9696" s="1" t="s">
        <v>1067</v>
      </c>
      <c r="B9696" s="0" t="s">
        <v>98</v>
      </c>
      <c r="C9696" s="6" t="n">
        <f aca="false">Sens!$C$9694+Sens!E9676-Sens!E9665+oai_v</f>
        <v>2195.18007495043</v>
      </c>
    </row>
    <row r="9697" customFormat="false" ht="17.15" hidden="false" customHeight="false" outlineLevel="0" collapsed="false">
      <c r="A9697" s="0" t="s">
        <v>994</v>
      </c>
      <c r="B9697" s="0" t="s">
        <v>75</v>
      </c>
      <c r="C9697" s="5" t="n">
        <f aca="false">Sens!$C$9696/sh_dil26</f>
        <v>294.536438340323</v>
      </c>
    </row>
    <row r="9698" customFormat="false" ht="15" hidden="false" customHeight="false" outlineLevel="0" collapsed="false">
      <c r="A9698" s="1" t="s">
        <v>1068</v>
      </c>
      <c r="B9698" s="0" t="s">
        <v>75</v>
      </c>
      <c r="C9698" s="8" t="n">
        <f aca="false">dps_27+Sens!G9668*roll_div_q/q_per_yr</f>
        <v>4.8895</v>
      </c>
    </row>
    <row r="9699" customFormat="false" ht="17.15" hidden="false" customHeight="false" outlineLevel="0" collapsed="false">
      <c r="A9699" s="0" t="s">
        <v>1069</v>
      </c>
      <c r="B9699" s="0" t="s">
        <v>75</v>
      </c>
      <c r="C9699" s="5" t="n">
        <f aca="false">Sens!$C$9697*(1+wacc)^t_roll-Sens!$C$9698</f>
        <v>330.508976770116</v>
      </c>
    </row>
    <row r="9700" customFormat="false" ht="17.15" hidden="false" customHeight="false" outlineLevel="0" collapsed="false">
      <c r="A9700" s="1" t="s">
        <v>1070</v>
      </c>
      <c r="B9700" s="0" t="s">
        <v>129</v>
      </c>
      <c r="F9700" s="7" t="n">
        <f aca="false">Sens!F9655/(Sens!F9600-Sens!F9556)</f>
        <v>0.0708120885088265</v>
      </c>
      <c r="G9700" s="7" t="n">
        <f aca="false">Sens!G9655/(Sens!G9600-Sens!G9556)</f>
        <v>0.0675153243500552</v>
      </c>
      <c r="H9700" s="7" t="n">
        <f aca="false">Sens!H9655/(Sens!H9600-Sens!H9556)</f>
        <v>0.0656472419958738</v>
      </c>
      <c r="I9700" s="7" t="n">
        <f aca="false">Sens!I9655/(Sens!I9600-Sens!I9556)</f>
        <v>0.0650655845906038</v>
      </c>
      <c r="J9700" s="7" t="n">
        <f aca="false">Sens!J9655/(Sens!J9600-Sens!J9556)</f>
        <v>0.065463640688692</v>
      </c>
      <c r="K9700" s="7" t="n">
        <f aca="false">Sens!K9655/(Sens!K9600-Sens!K9556)</f>
        <v>0.0664735570234068</v>
      </c>
    </row>
    <row r="9701" customFormat="false" ht="17.15" hidden="false" customHeight="false" outlineLevel="0" collapsed="false">
      <c r="A9701" s="0" t="s">
        <v>1071</v>
      </c>
      <c r="B9701" s="0" t="s">
        <v>98</v>
      </c>
      <c r="F9701" s="6" t="n">
        <f aca="false">Sens!F9585*(al_m365+Sens!F9700+sbc_r)</f>
        <v>84.1989558720169</v>
      </c>
      <c r="G9701" s="6" t="n">
        <f aca="false">Sens!G9585*(al_m365+Sens!G9700+sbc_r)</f>
        <v>96.6021479834524</v>
      </c>
      <c r="H9701" s="6" t="n">
        <f aca="false">Sens!H9585*(al_m365+Sens!H9700+sbc_r)</f>
        <v>109.164615283499</v>
      </c>
      <c r="I9701" s="6" t="n">
        <f aca="false">Sens!I9585*(al_m365+Sens!I9700+sbc_r)</f>
        <v>120.704498687324</v>
      </c>
      <c r="J9701" s="6" t="n">
        <f aca="false">Sens!J9585*(al_m365+Sens!J9700+sbc_r)</f>
        <v>131.033521709053</v>
      </c>
      <c r="K9701" s="6" t="n">
        <f aca="false">Sens!K9585*(al_m365+Sens!K9700+sbc_r)</f>
        <v>140.966894994595</v>
      </c>
      <c r="L9701" s="11" t="s">
        <v>1072</v>
      </c>
    </row>
    <row r="9702" customFormat="false" ht="17.15" hidden="false" customHeight="false" outlineLevel="0" collapsed="false">
      <c r="A9702" s="0" t="s">
        <v>1073</v>
      </c>
      <c r="B9702" s="0" t="s">
        <v>98</v>
      </c>
      <c r="F9702" s="6" t="n">
        <f aca="false">Sens!F9586*(al_lic+Sens!F9700+sbc_r)</f>
        <v>33.5314539295329</v>
      </c>
      <c r="G9702" s="6" t="n">
        <f aca="false">Sens!G9586*(al_lic+Sens!G9700+sbc_r)</f>
        <v>34.8170535703597</v>
      </c>
      <c r="H9702" s="6" t="n">
        <f aca="false">Sens!H9586*(al_lic+Sens!H9700+sbc_r)</f>
        <v>36.0179891641808</v>
      </c>
      <c r="I9702" s="6" t="n">
        <f aca="false">Sens!I9586*(al_lic+Sens!I9700+sbc_r)</f>
        <v>37.1154218473607</v>
      </c>
      <c r="J9702" s="6" t="n">
        <f aca="false">Sens!J9586*(al_lic+Sens!J9700+sbc_r)</f>
        <v>38.0828344170688</v>
      </c>
      <c r="K9702" s="6" t="n">
        <f aca="false">Sens!K9586*(al_lic+Sens!K9700+sbc_r)</f>
        <v>38.8904896510416</v>
      </c>
    </row>
    <row r="9703" customFormat="false" ht="17.15" hidden="false" customHeight="false" outlineLevel="0" collapsed="false">
      <c r="A9703" s="0" t="s">
        <v>1074</v>
      </c>
      <c r="B9703" s="0" t="s">
        <v>98</v>
      </c>
      <c r="F9703" s="6" t="n">
        <f aca="false">Sens!F9588*(al_ind+Sens!F9700+sbc_r)</f>
        <v>9.12609827720041</v>
      </c>
      <c r="G9703" s="6" t="n">
        <f aca="false">Sens!G9588*(al_ind+Sens!G9700+sbc_r)</f>
        <v>9.89538605233059</v>
      </c>
      <c r="H9703" s="6" t="n">
        <f aca="false">Sens!H9588*(al_ind+Sens!H9700+sbc_r)</f>
        <v>10.7100361457542</v>
      </c>
      <c r="I9703" s="6" t="n">
        <f aca="false">Sens!I9588*(al_ind+Sens!I9700+sbc_r)</f>
        <v>11.5668501725132</v>
      </c>
      <c r="J9703" s="6" t="n">
        <f aca="false">Sens!J9588*(al_ind+Sens!J9700+sbc_r)</f>
        <v>12.4557050274134</v>
      </c>
      <c r="K9703" s="6" t="n">
        <f aca="false">Sens!K9588*(al_ind+Sens!K9700+sbc_r)</f>
        <v>13.3610160497642</v>
      </c>
    </row>
    <row r="9704" customFormat="false" ht="17.15" hidden="false" customHeight="false" outlineLevel="0" collapsed="false">
      <c r="A9704" s="0" t="s">
        <v>1075</v>
      </c>
      <c r="B9704" s="0" t="s">
        <v>98</v>
      </c>
      <c r="F9704" s="6" t="n">
        <f aca="false">Sens!F9590*(al_fro+Sens!F9700+sbc_r)</f>
        <v>3.59206432182042</v>
      </c>
      <c r="G9704" s="6" t="n">
        <f aca="false">Sens!G9590*(al_fro+Sens!G9700+sbc_r)</f>
        <v>3.79924321231242</v>
      </c>
      <c r="H9704" s="6" t="n">
        <f aca="false">Sens!H9590*(al_fro+Sens!H9700+sbc_r)</f>
        <v>4.03590819805882</v>
      </c>
      <c r="I9704" s="6" t="n">
        <f aca="false">Sens!I9590*(al_fro+Sens!I9700+sbc_r)</f>
        <v>4.30471086913226</v>
      </c>
      <c r="J9704" s="6" t="n">
        <f aca="false">Sens!J9590*(al_fro+Sens!J9700+sbc_r)</f>
        <v>4.60659839099349</v>
      </c>
      <c r="K9704" s="6" t="n">
        <f aca="false">Sens!K9590*(al_fro+Sens!K9700+sbc_r)</f>
        <v>4.94141719809685</v>
      </c>
    </row>
    <row r="9705" customFormat="false" ht="17.15" hidden="false" customHeight="false" outlineLevel="0" collapsed="false">
      <c r="A9705" s="0" t="s">
        <v>1076</v>
      </c>
      <c r="B9705" s="0" t="s">
        <v>98</v>
      </c>
      <c r="F9705" s="6" t="n">
        <f aca="false">Sens!F9593*(al_srch+Sens!F9700+sbc_r)</f>
        <v>11.3215508004083</v>
      </c>
      <c r="G9705" s="6" t="n">
        <f aca="false">Sens!G9593*(al_srch+Sens!G9700+sbc_r)</f>
        <v>12.5040341095981</v>
      </c>
      <c r="H9705" s="6" t="n">
        <f aca="false">Sens!H9593*(al_srch+Sens!H9700+sbc_r)</f>
        <v>13.8164187481582</v>
      </c>
      <c r="I9705" s="6" t="n">
        <f aca="false">Sens!I9593*(al_srch+Sens!I9700+sbc_r)</f>
        <v>15.2688249673815</v>
      </c>
      <c r="J9705" s="6" t="n">
        <f aca="false">Sens!J9593*(al_srch+Sens!J9700+sbc_r)</f>
        <v>16.8636661294992</v>
      </c>
      <c r="K9705" s="6" t="n">
        <f aca="false">Sens!K9593*(al_srch+Sens!K9700+sbc_r)</f>
        <v>18.5965367924532</v>
      </c>
    </row>
    <row r="9706" customFormat="false" ht="17.15" hidden="false" customHeight="false" outlineLevel="0" collapsed="false">
      <c r="A9706" s="0" t="s">
        <v>1077</v>
      </c>
      <c r="B9706" s="0" t="s">
        <v>98</v>
      </c>
      <c r="F9706" s="6" t="n">
        <f aca="false">Sens!F9562-Sens!F9563+Sens!F9643</f>
        <v>42.2254306726393</v>
      </c>
      <c r="G9706" s="6" t="n">
        <f aca="false">Sens!G9562-Sens!G9563+Sens!G9643</f>
        <v>79.7027537443441</v>
      </c>
      <c r="H9706" s="6" t="n">
        <f aca="false">Sens!H9562-Sens!H9563+Sens!H9643</f>
        <v>120.060533679822</v>
      </c>
      <c r="I9706" s="6" t="n">
        <f aca="false">Sens!I9562-Sens!I9563+Sens!I9643</f>
        <v>156.515256506302</v>
      </c>
      <c r="J9706" s="6" t="n">
        <f aca="false">Sens!J9562-Sens!J9563+Sens!J9643</f>
        <v>182.51821819491</v>
      </c>
      <c r="K9706" s="6" t="n">
        <f aca="false">Sens!K9562-Sens!K9563+Sens!K9643</f>
        <v>199.254533496123</v>
      </c>
    </row>
    <row r="9707" customFormat="false" ht="17.15" hidden="false" customHeight="false" outlineLevel="0" collapsed="false">
      <c r="A9707" s="0" t="s">
        <v>1078</v>
      </c>
      <c r="B9707" s="0" t="s">
        <v>98</v>
      </c>
      <c r="F9707" s="6" t="n">
        <f aca="false">Sens!F9622+Sens!F9643+Sens!F9573+Sens!F9700*(Sens!F9592-Sens!F9556)+sbc_r*Sens!F9592</f>
        <v>233.0763603265</v>
      </c>
      <c r="G9707" s="6" t="n">
        <f aca="false">Sens!G9622+Sens!G9643+Sens!G9573+Sens!G9700*(Sens!G9592-Sens!G9556)+sbc_r*Sens!G9592</f>
        <v>297.643712851954</v>
      </c>
      <c r="H9707" s="6" t="n">
        <f aca="false">Sens!H9622+Sens!H9643+Sens!H9573+Sens!H9700*(Sens!H9592-Sens!H9556)+sbc_r*Sens!H9592</f>
        <v>365.587200974341</v>
      </c>
      <c r="I9707" s="6" t="n">
        <f aca="false">Sens!I9622+Sens!I9643+Sens!I9573+Sens!I9700*(Sens!I9592-Sens!I9556)+sbc_r*Sens!I9592</f>
        <v>428.246315624377</v>
      </c>
      <c r="J9707" s="6" t="n">
        <f aca="false">Sens!J9622+Sens!J9643+Sens!J9573+Sens!J9700*(Sens!J9592-Sens!J9556)+sbc_r*Sens!J9592</f>
        <v>478.010427752552</v>
      </c>
      <c r="K9707" s="6" t="n">
        <f aca="false">Sens!K9622+Sens!K9643+Sens!K9573+Sens!K9700*(Sens!K9592-Sens!K9556)+sbc_r*Sens!K9592</f>
        <v>516.144878618826</v>
      </c>
    </row>
    <row r="9708" customFormat="false" ht="17.15" hidden="false" customHeight="false" outlineLevel="0" collapsed="false">
      <c r="A9708" s="0" t="s">
        <v>1079</v>
      </c>
      <c r="B9708" s="0" t="s">
        <v>98</v>
      </c>
      <c r="F9708" s="6" t="n">
        <f aca="false">Sens!F9707-Sens!F9701-Sens!F9702-Sens!F9703-Sens!F9704-Sens!F9706</f>
        <v>60.4023572532905</v>
      </c>
      <c r="G9708" s="6" t="n">
        <f aca="false">Sens!G9707-Sens!G9701-Sens!G9702-Sens!G9703-Sens!G9704-Sens!G9706</f>
        <v>72.8271282891548</v>
      </c>
      <c r="H9708" s="6" t="n">
        <f aca="false">Sens!H9707-Sens!H9701-Sens!H9702-Sens!H9703-Sens!H9704-Sens!H9706</f>
        <v>85.5981185030267</v>
      </c>
      <c r="I9708" s="6" t="n">
        <f aca="false">Sens!I9707-Sens!I9701-Sens!I9702-Sens!I9703-Sens!I9704-Sens!I9706</f>
        <v>98.0395775417454</v>
      </c>
      <c r="J9708" s="6" t="n">
        <f aca="false">Sens!J9707-Sens!J9701-Sens!J9702-Sens!J9703-Sens!J9704-Sens!J9706</f>
        <v>109.313550013114</v>
      </c>
      <c r="K9708" s="6" t="n">
        <f aca="false">Sens!K9707-Sens!K9701-Sens!K9702-Sens!K9703-Sens!K9704-Sens!K9706</f>
        <v>118.730527229205</v>
      </c>
    </row>
    <row r="9709" customFormat="false" ht="17.15" hidden="false" customHeight="false" outlineLevel="0" collapsed="false">
      <c r="A9709" s="0" t="s">
        <v>1080</v>
      </c>
      <c r="B9709" s="0" t="s">
        <v>98</v>
      </c>
      <c r="F9709" s="6" t="n">
        <f aca="false">Sens!F9624+Sens!F9700*Sens!F9599+sbc_r*Sens!F9599</f>
        <v>26.3936402555936</v>
      </c>
      <c r="G9709" s="6" t="n">
        <f aca="false">Sens!G9624+Sens!G9700*Sens!G9599+sbc_r*Sens!G9599</f>
        <v>27.0905834171966</v>
      </c>
      <c r="H9709" s="6" t="n">
        <f aca="false">Sens!H9624+Sens!H9700*Sens!H9599+sbc_r*Sens!H9599</f>
        <v>28.1437904561405</v>
      </c>
      <c r="I9709" s="6" t="n">
        <f aca="false">Sens!I9624+Sens!I9700*Sens!I9599+sbc_r*Sens!I9599</f>
        <v>29.5425987226933</v>
      </c>
      <c r="J9709" s="6" t="n">
        <f aca="false">Sens!J9624+Sens!J9700*Sens!J9599+sbc_r*Sens!J9599</f>
        <v>31.2726262050319</v>
      </c>
      <c r="K9709" s="6" t="n">
        <f aca="false">Sens!K9624+Sens!K9700*Sens!K9599+sbc_r*Sens!K9599</f>
        <v>33.31858173654</v>
      </c>
    </row>
    <row r="9710" customFormat="false" ht="17.15" hidden="false" customHeight="false" outlineLevel="0" collapsed="false">
      <c r="A9710" s="0" t="s">
        <v>1081</v>
      </c>
      <c r="B9710" s="0" t="s">
        <v>98</v>
      </c>
      <c r="F9710" s="6" t="n">
        <f aca="false">(Sens!F9709-Sens!F9705)*Sens!F9595/(Sens!F9595+Sens!F9597)</f>
        <v>8.26237263930843</v>
      </c>
      <c r="G9710" s="6" t="n">
        <f aca="false">(Sens!G9709-Sens!G9705)*Sens!G9595/(Sens!G9595+Sens!G9597)</f>
        <v>7.85363244009514</v>
      </c>
      <c r="H9710" s="6" t="n">
        <f aca="false">(Sens!H9709-Sens!H9705)*Sens!H9595/(Sens!H9595+Sens!H9597)</f>
        <v>7.60988263303799</v>
      </c>
      <c r="I9710" s="6" t="n">
        <f aca="false">(Sens!I9709-Sens!I9705)*Sens!I9595/(Sens!I9595+Sens!I9597)</f>
        <v>7.51281772320302</v>
      </c>
      <c r="J9710" s="6" t="n">
        <f aca="false">(Sens!J9709-Sens!J9705)*Sens!J9595/(Sens!J9595+Sens!J9597)</f>
        <v>7.54967687035196</v>
      </c>
      <c r="K9710" s="6" t="n">
        <f aca="false">(Sens!K9709-Sens!K9705)*Sens!K9595/(Sens!K9595+Sens!K9597)</f>
        <v>7.71371990872459</v>
      </c>
    </row>
    <row r="9711" customFormat="false" ht="17.15" hidden="false" customHeight="false" outlineLevel="0" collapsed="false">
      <c r="A9711" s="0" t="s">
        <v>1082</v>
      </c>
      <c r="B9711" s="0" t="s">
        <v>98</v>
      </c>
      <c r="F9711" s="6" t="n">
        <f aca="false">Sens!F9709-Sens!F9705-Sens!F9710</f>
        <v>6.80971681587689</v>
      </c>
      <c r="G9711" s="6" t="n">
        <f aca="false">Sens!G9709-Sens!G9705-Sens!G9710</f>
        <v>6.73291686750335</v>
      </c>
      <c r="H9711" s="6" t="n">
        <f aca="false">Sens!H9709-Sens!H9705-Sens!H9710</f>
        <v>6.71748907494425</v>
      </c>
      <c r="I9711" s="6" t="n">
        <f aca="false">Sens!I9709-Sens!I9705-Sens!I9710</f>
        <v>6.7609560321088</v>
      </c>
      <c r="J9711" s="6" t="n">
        <f aca="false">Sens!J9709-Sens!J9705-Sens!J9710</f>
        <v>6.85928320518069</v>
      </c>
      <c r="K9711" s="6" t="n">
        <f aca="false">Sens!K9709-Sens!K9705-Sens!K9710</f>
        <v>7.00832503536219</v>
      </c>
    </row>
    <row r="9712" customFormat="false" ht="17.15" hidden="false" customHeight="false" outlineLevel="0" collapsed="false">
      <c r="A9712" s="0" t="s">
        <v>1083</v>
      </c>
      <c r="B9712" s="0" t="s">
        <v>98</v>
      </c>
      <c r="F9712" s="6" t="n">
        <f aca="false">Sens!F9706-tax_f*(Sens!F9706-Sens!F9573)-Sens!F9570</f>
        <v>-119.742553857164</v>
      </c>
      <c r="G9712" s="6" t="n">
        <f aca="false">Sens!G9706-tax_f*(Sens!G9706-Sens!G9573)-Sens!G9570</f>
        <v>-107.986890065622</v>
      </c>
      <c r="H9712" s="6" t="n">
        <f aca="false">Sens!H9706-tax_f*(Sens!H9706-Sens!H9573)-Sens!H9570</f>
        <v>-74.7596549978803</v>
      </c>
      <c r="I9712" s="6" t="n">
        <f aca="false">Sens!I9706-tax_f*(Sens!I9706-Sens!I9573)-Sens!I9570</f>
        <v>-16.3733151827256</v>
      </c>
      <c r="J9712" s="6" t="n">
        <f aca="false">Sens!J9706-tax_f*(Sens!J9706-Sens!J9573)-Sens!J9570</f>
        <v>44.4328025322546</v>
      </c>
      <c r="K9712" s="6" t="n">
        <f aca="false">Sens!K9706-tax_f*(Sens!K9706-Sens!K9573)-Sens!K9570</f>
        <v>65.8225043021697</v>
      </c>
    </row>
    <row r="9713" customFormat="false" ht="17.15" hidden="false" customHeight="false" outlineLevel="0" collapsed="false">
      <c r="A9713" s="0" t="s">
        <v>1084</v>
      </c>
      <c r="B9713" s="0" t="s">
        <v>98</v>
      </c>
      <c r="G9713" s="6" t="n">
        <f aca="false">Sens!G9712/(1+wacc)^(Sens!G9685-(Sens!F9685+mid_yr))</f>
        <v>-102.824401157048</v>
      </c>
      <c r="H9713" s="6" t="n">
        <f aca="false">Sens!H9712/(1+wacc)^(Sens!H9685-(Sens!F9685+mid_yr))</f>
        <v>-64.5420496499019</v>
      </c>
      <c r="I9713" s="6" t="n">
        <f aca="false">Sens!I9712/(1+wacc)^(Sens!I9685-(Sens!F9685+mid_yr))</f>
        <v>-12.8162920786843</v>
      </c>
      <c r="J9713" s="6" t="n">
        <f aca="false">Sens!J9712/(1+wacc)^(Sens!J9685-(Sens!F9685+mid_yr))</f>
        <v>31.5340528088578</v>
      </c>
      <c r="K9713" s="6" t="n">
        <f aca="false">Sens!K9712/(1+wacc)^(Sens!K9685-(Sens!F9685+mid_yr))</f>
        <v>42.3546205488157</v>
      </c>
      <c r="L9713" s="1" t="s">
        <v>1085</v>
      </c>
    </row>
    <row r="9714" customFormat="false" ht="17.15" hidden="false" customHeight="false" outlineLevel="0" collapsed="false">
      <c r="A9714" s="0" t="s">
        <v>1086</v>
      </c>
      <c r="B9714" s="0" t="s">
        <v>98</v>
      </c>
      <c r="C9714" s="6" t="n">
        <f aca="false">(Sens!K9706-Sens!K9573)*(1-tax_f)*(1+g_tv)*(1-g_tv/(wacc+ronic_prem))/(wacc-g_tv)/(1+wacc)^(Sens!K9685+mid_yr-(Sens!F9685+mid_yr))</f>
        <v>294.889481980532</v>
      </c>
    </row>
    <row r="9715" customFormat="false" ht="17.15" hidden="false" customHeight="false" outlineLevel="0" collapsed="false">
      <c r="A9715" s="1" t="s">
        <v>1087</v>
      </c>
      <c r="B9715" s="0" t="s">
        <v>98</v>
      </c>
      <c r="C9715" s="6" t="n">
        <f aca="false">(SUM(Sens!G9713:K9713)+Sens!$C$9714)*(1+wacc)^(t_roll-(Sens!F9685+mid_yr))</f>
        <v>194.716829358755</v>
      </c>
      <c r="L9715" s="11" t="s">
        <v>1088</v>
      </c>
    </row>
    <row r="9716" customFormat="false" ht="17.15" hidden="false" customHeight="false" outlineLevel="0" collapsed="false">
      <c r="A9716" s="1" t="s">
        <v>1089</v>
      </c>
      <c r="B9716" s="0" t="s">
        <v>98</v>
      </c>
      <c r="C9716" s="6" t="n">
        <f aca="false">(w_ntm28*Sens!G9562+(1-w_ntm28)*Sens!H9562)*m_ai</f>
        <v>454.922440830797</v>
      </c>
    </row>
    <row r="9717" customFormat="false" ht="17.15" hidden="false" customHeight="false" outlineLevel="0" collapsed="false">
      <c r="A9717" s="1" t="s">
        <v>1090</v>
      </c>
      <c r="B9717" s="0" t="s">
        <v>98</v>
      </c>
      <c r="C9717" s="6" t="n">
        <f aca="false">(w_ntm28*Sens!G9708+(1-w_ntm28)*Sens!H9708)*m_cloud</f>
        <v>1063.52959789084</v>
      </c>
    </row>
    <row r="9718" customFormat="false" ht="17.15" hidden="false" customHeight="false" outlineLevel="0" collapsed="false">
      <c r="A9718" s="1" t="s">
        <v>1091</v>
      </c>
      <c r="B9718" s="0" t="s">
        <v>98</v>
      </c>
      <c r="C9718" s="6" t="n">
        <f aca="false">(w_ntm28*Sens!G9701+(1-w_ntm28)*Sens!H9701)*m_sw</f>
        <v>1087.1651388437</v>
      </c>
    </row>
    <row r="9719" customFormat="false" ht="17.15" hidden="false" customHeight="false" outlineLevel="0" collapsed="false">
      <c r="A9719" s="1" t="s">
        <v>1092</v>
      </c>
      <c r="B9719" s="0" t="s">
        <v>98</v>
      </c>
      <c r="C9719" s="6" t="n">
        <f aca="false">(w_ntm28*Sens!G9702+(1-w_ntm28)*Sens!H9702)*m_sw</f>
        <v>380.217253411297</v>
      </c>
    </row>
    <row r="9720" customFormat="false" ht="17.15" hidden="false" customHeight="false" outlineLevel="0" collapsed="false">
      <c r="A9720" s="1" t="s">
        <v>1093</v>
      </c>
      <c r="B9720" s="0" t="s">
        <v>98</v>
      </c>
      <c r="C9720" s="6" t="n">
        <f aca="false">(w_ntm28*Sens!G9703+(1-w_ntm28)*Sens!H9703)*m_sw</f>
        <v>109.714525746154</v>
      </c>
    </row>
    <row r="9721" customFormat="false" ht="17.15" hidden="false" customHeight="false" outlineLevel="0" collapsed="false">
      <c r="A9721" s="1" t="s">
        <v>1094</v>
      </c>
      <c r="B9721" s="0" t="s">
        <v>98</v>
      </c>
      <c r="C9721" s="6" t="n">
        <f aca="false">(w_ntm28*Sens!G9704+(1-w_ntm28)*Sens!H9704)*m_sw</f>
        <v>41.8581441117008</v>
      </c>
    </row>
    <row r="9722" customFormat="false" ht="17.15" hidden="false" customHeight="false" outlineLevel="0" collapsed="false">
      <c r="A9722" s="1" t="s">
        <v>1095</v>
      </c>
      <c r="B9722" s="0" t="s">
        <v>98</v>
      </c>
      <c r="C9722" s="6" t="n">
        <f aca="false">(w_ntm28*Sens!G9705+(1-w_ntm28)*Sens!H9705)*m_ads</f>
        <v>117.776921255588</v>
      </c>
    </row>
    <row r="9723" customFormat="false" ht="17.15" hidden="false" customHeight="false" outlineLevel="0" collapsed="false">
      <c r="A9723" s="1" t="s">
        <v>1096</v>
      </c>
      <c r="B9723" s="0" t="s">
        <v>98</v>
      </c>
      <c r="C9723" s="6" t="n">
        <f aca="false">(w_ntm28*Sens!G9710+(1-w_ntm28)*Sens!H9710)*m_game</f>
        <v>98.1961172048412</v>
      </c>
    </row>
    <row r="9724" customFormat="false" ht="17.15" hidden="false" customHeight="false" outlineLevel="0" collapsed="false">
      <c r="A9724" s="1" t="s">
        <v>1097</v>
      </c>
      <c r="B9724" s="0" t="s">
        <v>98</v>
      </c>
      <c r="C9724" s="6" t="n">
        <f aca="false">(w_ntm28*Sens!G9711+(1-w_ntm28)*Sens!H9711)*m_pc</f>
        <v>97.3531362818612</v>
      </c>
    </row>
    <row r="9725" customFormat="false" ht="17.15" hidden="false" customHeight="false" outlineLevel="0" collapsed="false">
      <c r="A9725" s="1" t="s">
        <v>1098</v>
      </c>
      <c r="B9725" s="0" t="s">
        <v>98</v>
      </c>
      <c r="C9725" s="6" t="n">
        <f aca="false">Sens!$C$9715+Sens!$C$9717+Sens!$C$9718+Sens!$C$9719+Sens!$C$9720+Sens!$C$9721+Sens!$C$9722+Sens!$C$9723+Sens!$C$9724</f>
        <v>3190.52766410473</v>
      </c>
    </row>
    <row r="9726" customFormat="false" ht="17.15" hidden="false" customHeight="false" outlineLevel="0" collapsed="false">
      <c r="A9726" s="1" t="s">
        <v>1099</v>
      </c>
      <c r="B9726" s="0" t="s">
        <v>98</v>
      </c>
      <c r="C9726" s="6" t="n">
        <f aca="false">(Sens!G9687-Sens!G9712)*t_stub</f>
        <v>47.4402044003015</v>
      </c>
      <c r="L9726" s="1" t="s">
        <v>1100</v>
      </c>
    </row>
    <row r="9727" customFormat="false" ht="17.15" hidden="false" customHeight="false" outlineLevel="0" collapsed="false">
      <c r="A9727" s="1" t="s">
        <v>1014</v>
      </c>
      <c r="B9727" s="0" t="s">
        <v>98</v>
      </c>
      <c r="C9727" s="6" t="n">
        <f aca="false">Sens!F9676+oai_v-Sens!F9665+Sens!$C$9726</f>
        <v>158.756687865051</v>
      </c>
      <c r="L9727" s="1" t="s">
        <v>1101</v>
      </c>
    </row>
    <row r="9728" customFormat="false" ht="17.15" hidden="false" customHeight="false" outlineLevel="0" collapsed="false">
      <c r="A9728" s="1" t="s">
        <v>1102</v>
      </c>
      <c r="B9728" s="0" t="s">
        <v>75</v>
      </c>
      <c r="C9728" s="5" t="n">
        <f aca="false">(Sens!$C$9725+Sens!$C$9727)/(Sens!F9678+dil_gap)-Sens!G9668*roll_div_q/q_per_yr</f>
        <v>445.770045353493</v>
      </c>
      <c r="L9728" s="1" t="s">
        <v>1103</v>
      </c>
    </row>
    <row r="9729" customFormat="false" ht="17.15" hidden="false" customHeight="false" outlineLevel="0" collapsed="false">
      <c r="A9729" s="1" t="s">
        <v>1104</v>
      </c>
      <c r="B9729" s="0" t="s">
        <v>75</v>
      </c>
      <c r="C9729" s="5" t="n">
        <f aca="false">w_dcf*Sens!$C$9699+(1-w_dcf)*Sens!$C$9728</f>
        <v>388.139511061805</v>
      </c>
    </row>
    <row r="9730" customFormat="false" ht="17.15" hidden="false" customHeight="false" outlineLevel="0" collapsed="false">
      <c r="A9730" s="3" t="s">
        <v>1512</v>
      </c>
    </row>
    <row r="9731" customFormat="false" ht="15" hidden="false" customHeight="false" outlineLevel="0" collapsed="false">
      <c r="A9731" s="4" t="s">
        <v>43</v>
      </c>
      <c r="B9731" s="4" t="s">
        <v>65</v>
      </c>
      <c r="C9731" s="20" t="s">
        <v>799</v>
      </c>
      <c r="D9731" s="20" t="s">
        <v>800</v>
      </c>
      <c r="E9731" s="20" t="s">
        <v>801</v>
      </c>
      <c r="F9731" s="20" t="s">
        <v>802</v>
      </c>
      <c r="G9731" s="20" t="s">
        <v>803</v>
      </c>
      <c r="H9731" s="20" t="s">
        <v>804</v>
      </c>
      <c r="I9731" s="20" t="s">
        <v>805</v>
      </c>
      <c r="J9731" s="20" t="s">
        <v>806</v>
      </c>
      <c r="K9731" s="20" t="s">
        <v>807</v>
      </c>
      <c r="L9731" s="4" t="s">
        <v>47</v>
      </c>
    </row>
    <row r="9732" customFormat="false" ht="17.15" hidden="false" customHeight="false" outlineLevel="0" collapsed="false">
      <c r="A9732" s="1" t="s">
        <v>808</v>
      </c>
      <c r="B9732" s="1" t="s">
        <v>235</v>
      </c>
      <c r="C9732" s="28" t="n">
        <v>2024</v>
      </c>
      <c r="D9732" s="28" t="n">
        <v>2025</v>
      </c>
      <c r="E9732" s="28" t="n">
        <v>2026</v>
      </c>
      <c r="F9732" s="28" t="n">
        <v>2027</v>
      </c>
      <c r="G9732" s="28" t="n">
        <v>2028</v>
      </c>
      <c r="H9732" s="28" t="n">
        <v>2029</v>
      </c>
      <c r="I9732" s="28" t="n">
        <v>2030</v>
      </c>
      <c r="J9732" s="28" t="n">
        <v>2031</v>
      </c>
      <c r="K9732" s="28" t="n">
        <v>2032</v>
      </c>
    </row>
    <row r="9733" customFormat="false" ht="17.15" hidden="false" customHeight="false" outlineLevel="0" collapsed="false">
      <c r="A9733" s="1" t="s">
        <v>809</v>
      </c>
      <c r="B9733" s="0" t="s">
        <v>399</v>
      </c>
      <c r="F9733" s="29" t="n">
        <f aca="false">pace</f>
        <v>2527.2</v>
      </c>
      <c r="G9733" s="29" t="n">
        <f aca="false">pace</f>
        <v>2527.2</v>
      </c>
      <c r="H9733" s="29" t="n">
        <f aca="false">pace</f>
        <v>2527.2</v>
      </c>
      <c r="I9733" s="29" t="n">
        <f aca="false">pace+(g_tv*Sens!H9734-pace)*MIN(1,(Sens!I9732-pace_y0)/(pace_y1-pace_y0))</f>
        <v>1793.116</v>
      </c>
      <c r="J9733" s="29" t="n">
        <f aca="false">pace+(g_tv*Sens!I9734-pace)*MIN(1,(Sens!J9732-pace_y0)/(pace_y1-pace_y0))</f>
        <v>1094.89432</v>
      </c>
      <c r="K9733" s="29" t="n">
        <f aca="false">pace+(g_tv*Sens!J9734-pace)*MIN(1,(Sens!K9732-pace_y0)/(pace_y1-pace_y0))</f>
        <v>411.5883096</v>
      </c>
      <c r="L9733" s="11" t="s">
        <v>810</v>
      </c>
    </row>
    <row r="9734" customFormat="false" ht="17.15" hidden="false" customHeight="false" outlineLevel="0" collapsed="false">
      <c r="A9734" s="1" t="s">
        <v>811</v>
      </c>
      <c r="B9734" s="0" t="s">
        <v>399</v>
      </c>
      <c r="C9734" s="29" t="n">
        <f aca="false">mw_ext_24</f>
        <v>640</v>
      </c>
      <c r="D9734" s="29" t="n">
        <f aca="false">mw_ext_25</f>
        <v>1630</v>
      </c>
      <c r="E9734" s="29" t="n">
        <f aca="false">mw_ext_26</f>
        <v>3250</v>
      </c>
      <c r="F9734" s="29" t="n">
        <f aca="false">Sens!E9734+Sens!F9733</f>
        <v>5777.2</v>
      </c>
      <c r="G9734" s="29" t="n">
        <f aca="false">Sens!F9734+Sens!G9733</f>
        <v>8304.4</v>
      </c>
      <c r="H9734" s="29" t="n">
        <f aca="false">Sens!G9734+Sens!H9733</f>
        <v>10831.6</v>
      </c>
      <c r="I9734" s="29" t="n">
        <f aca="false">Sens!H9734+Sens!I9733</f>
        <v>12624.716</v>
      </c>
      <c r="J9734" s="29" t="n">
        <f aca="false">Sens!I9734+Sens!J9733</f>
        <v>13719.61032</v>
      </c>
      <c r="K9734" s="29" t="n">
        <f aca="false">Sens!J9734+Sens!K9733</f>
        <v>14131.1986296</v>
      </c>
      <c r="L9734" s="1" t="s">
        <v>812</v>
      </c>
    </row>
    <row r="9735" customFormat="false" ht="17.15" hidden="false" customHeight="false" outlineLevel="0" collapsed="false">
      <c r="A9735" s="1" t="s">
        <v>813</v>
      </c>
      <c r="B9735" s="0" t="s">
        <v>399</v>
      </c>
      <c r="C9735" s="29" t="n">
        <f aca="false">rent_ext_24</f>
        <v>150</v>
      </c>
      <c r="D9735" s="29" t="n">
        <f aca="false">rent_ext_25</f>
        <v>400</v>
      </c>
      <c r="E9735" s="29" t="n">
        <f aca="false">rent_ext_26</f>
        <v>550</v>
      </c>
      <c r="F9735" s="29" t="n">
        <f aca="false">rent_ext_f</f>
        <v>756</v>
      </c>
      <c r="G9735" s="29" t="n">
        <f aca="false">rent_ext_f</f>
        <v>756</v>
      </c>
      <c r="H9735" s="29" t="n">
        <f aca="false">rent_ext_f</f>
        <v>756</v>
      </c>
      <c r="I9735" s="29" t="n">
        <f aca="false">rent_ext_f</f>
        <v>756</v>
      </c>
      <c r="J9735" s="29" t="n">
        <f aca="false">rent_ext_f</f>
        <v>756</v>
      </c>
      <c r="K9735" s="29" t="n">
        <f aca="false">rent_ext_f</f>
        <v>756</v>
      </c>
      <c r="L9735" s="1" t="s">
        <v>814</v>
      </c>
    </row>
    <row r="9736" customFormat="false" ht="17.15" hidden="false" customHeight="false" outlineLevel="0" collapsed="false">
      <c r="A9736" s="1" t="s">
        <v>815</v>
      </c>
      <c r="B9736" s="0" t="s">
        <v>399</v>
      </c>
      <c r="C9736" s="29" t="n">
        <f aca="false">Sens!C9734-Sens!C9735</f>
        <v>490</v>
      </c>
      <c r="D9736" s="29" t="n">
        <f aca="false">Sens!D9734-Sens!D9735</f>
        <v>1230</v>
      </c>
      <c r="E9736" s="29" t="n">
        <f aca="false">Sens!E9734-Sens!E9735</f>
        <v>2700</v>
      </c>
      <c r="F9736" s="29" t="n">
        <f aca="false">Sens!F9734-Sens!F9735</f>
        <v>5021.2</v>
      </c>
      <c r="G9736" s="29" t="n">
        <f aca="false">Sens!G9734-Sens!G9735</f>
        <v>7548.4</v>
      </c>
      <c r="H9736" s="29" t="n">
        <f aca="false">Sens!H9734-Sens!H9735</f>
        <v>10075.6</v>
      </c>
      <c r="I9736" s="29" t="n">
        <f aca="false">Sens!I9734-Sens!I9735</f>
        <v>11868.716</v>
      </c>
      <c r="J9736" s="29" t="n">
        <f aca="false">Sens!J9734-Sens!J9735</f>
        <v>12963.61032</v>
      </c>
      <c r="K9736" s="29" t="n">
        <f aca="false">Sens!K9734-Sens!K9735</f>
        <v>13375.1986296</v>
      </c>
    </row>
    <row r="9737" customFormat="false" ht="17.15" hidden="false" customHeight="false" outlineLevel="0" collapsed="false">
      <c r="A9737" s="1" t="s">
        <v>816</v>
      </c>
      <c r="B9737" s="0" t="s">
        <v>399</v>
      </c>
      <c r="C9737" s="29" t="n">
        <f aca="false">Sens!C9736/ext_sh</f>
        <v>816.666666666667</v>
      </c>
      <c r="D9737" s="29" t="n">
        <f aca="false">Sens!D9736/ext_sh</f>
        <v>2050</v>
      </c>
      <c r="E9737" s="29" t="n">
        <f aca="false">Sens!E9736/ext_sh</f>
        <v>4500</v>
      </c>
      <c r="F9737" s="29" t="n">
        <f aca="false">Sens!F9736/ext_sh</f>
        <v>8368.66666666667</v>
      </c>
      <c r="G9737" s="29" t="n">
        <f aca="false">Sens!G9736/ext_sh</f>
        <v>12580.6666666667</v>
      </c>
      <c r="H9737" s="29" t="n">
        <f aca="false">Sens!H9736/ext_sh</f>
        <v>16792.6666666667</v>
      </c>
      <c r="I9737" s="29" t="n">
        <f aca="false">Sens!I9736/ext_sh</f>
        <v>19781.1933333333</v>
      </c>
      <c r="J9737" s="29" t="n">
        <f aca="false">Sens!J9736/ext_sh</f>
        <v>21606.0172</v>
      </c>
      <c r="K9737" s="29" t="n">
        <f aca="false">Sens!K9736/ext_sh</f>
        <v>22291.997716</v>
      </c>
      <c r="L9737" s="1" t="s">
        <v>817</v>
      </c>
    </row>
    <row r="9738" customFormat="false" ht="17.15" hidden="false" customHeight="false" outlineLevel="0" collapsed="false">
      <c r="A9738" s="1" t="s">
        <v>818</v>
      </c>
      <c r="B9738" s="0" t="s">
        <v>399</v>
      </c>
      <c r="C9738" s="29" t="n">
        <f aca="false">Sens!C9737-Sens!C9736</f>
        <v>326.666666666667</v>
      </c>
      <c r="D9738" s="29" t="n">
        <f aca="false">Sens!D9737-Sens!D9736</f>
        <v>820</v>
      </c>
      <c r="E9738" s="29" t="n">
        <f aca="false">Sens!E9737-Sens!E9736</f>
        <v>1800</v>
      </c>
      <c r="F9738" s="29" t="n">
        <f aca="false">Sens!F9737-Sens!F9736</f>
        <v>3347.46666666667</v>
      </c>
      <c r="G9738" s="29" t="n">
        <f aca="false">Sens!G9737-Sens!G9736</f>
        <v>5032.26666666667</v>
      </c>
      <c r="H9738" s="29" t="n">
        <f aca="false">Sens!H9737-Sens!H9736</f>
        <v>6717.06666666667</v>
      </c>
      <c r="I9738" s="29" t="n">
        <f aca="false">Sens!I9737-Sens!I9736</f>
        <v>7912.47733333333</v>
      </c>
      <c r="J9738" s="29" t="n">
        <f aca="false">Sens!J9737-Sens!J9736</f>
        <v>8642.40688</v>
      </c>
      <c r="K9738" s="29" t="n">
        <f aca="false">Sens!K9737-Sens!K9736</f>
        <v>8916.7990864</v>
      </c>
    </row>
    <row r="9739" customFormat="false" ht="17.15" hidden="false" customHeight="false" outlineLevel="0" collapsed="false">
      <c r="A9739" s="1" t="s">
        <v>819</v>
      </c>
      <c r="B9739" s="0" t="s">
        <v>399</v>
      </c>
      <c r="C9739" s="29" t="n">
        <f aca="false">Sens!C9737</f>
        <v>816.666666666667</v>
      </c>
      <c r="D9739" s="29" t="n">
        <f aca="false">Sens!D9737-Sens!C9737</f>
        <v>1233.33333333333</v>
      </c>
      <c r="E9739" s="29" t="n">
        <f aca="false">Sens!E9737-Sens!D9737</f>
        <v>2450</v>
      </c>
      <c r="F9739" s="29" t="n">
        <f aca="false">Sens!F9737-Sens!E9737</f>
        <v>3868.66666666667</v>
      </c>
      <c r="G9739" s="29" t="n">
        <f aca="false">Sens!G9737-Sens!F9737</f>
        <v>4212</v>
      </c>
      <c r="H9739" s="29" t="n">
        <f aca="false">Sens!H9737-Sens!G9737</f>
        <v>4212</v>
      </c>
      <c r="I9739" s="29" t="n">
        <f aca="false">Sens!I9737-Sens!H9737</f>
        <v>2988.52666666667</v>
      </c>
      <c r="J9739" s="29" t="n">
        <f aca="false">Sens!J9737-Sens!I9737</f>
        <v>1824.82386666667</v>
      </c>
      <c r="K9739" s="29" t="n">
        <f aca="false">Sens!K9737-Sens!J9737</f>
        <v>685.980516</v>
      </c>
    </row>
    <row r="9740" customFormat="false" ht="17.15" hidden="false" customHeight="false" outlineLevel="0" collapsed="false">
      <c r="A9740" s="1" t="s">
        <v>820</v>
      </c>
      <c r="B9740" s="0" t="s">
        <v>399</v>
      </c>
      <c r="D9740" s="29" t="n">
        <f aca="false">Sens!D9734-Sens!C9734</f>
        <v>990</v>
      </c>
      <c r="E9740" s="29" t="n">
        <f aca="false">Sens!E9734-Sens!D9734</f>
        <v>1620</v>
      </c>
      <c r="F9740" s="29" t="n">
        <f aca="false">Sens!F9734-Sens!E9734</f>
        <v>2527.2</v>
      </c>
      <c r="G9740" s="29" t="n">
        <f aca="false">Sens!G9734-Sens!F9734</f>
        <v>2527.2</v>
      </c>
      <c r="H9740" s="29" t="n">
        <f aca="false">Sens!H9734-Sens!G9734</f>
        <v>2527.2</v>
      </c>
      <c r="I9740" s="29" t="n">
        <f aca="false">Sens!I9734-Sens!H9734</f>
        <v>1793.116</v>
      </c>
      <c r="J9740" s="29" t="n">
        <f aca="false">Sens!J9734-Sens!I9734</f>
        <v>1094.89432</v>
      </c>
      <c r="K9740" s="29" t="n">
        <f aca="false">Sens!K9734-Sens!J9734</f>
        <v>411.5883096</v>
      </c>
    </row>
    <row r="9741" customFormat="false" ht="17.15" hidden="false" customHeight="false" outlineLevel="0" collapsed="false">
      <c r="A9741" s="1" t="s">
        <v>821</v>
      </c>
      <c r="B9741" s="0" t="s">
        <v>399</v>
      </c>
      <c r="F9741" s="29" t="n">
        <f aca="false">Sens!F9758*ext_sh</f>
        <v>0</v>
      </c>
      <c r="G9741" s="29" t="n">
        <f aca="false">Sens!G9758*ext_sh</f>
        <v>0</v>
      </c>
      <c r="H9741" s="29" t="n">
        <f aca="false">Sens!H9758*ext_sh</f>
        <v>0</v>
      </c>
      <c r="I9741" s="29" t="n">
        <f aca="false">Sens!I9758*ext_sh</f>
        <v>490</v>
      </c>
      <c r="J9741" s="29" t="n">
        <f aca="false">Sens!J9758*ext_sh</f>
        <v>740</v>
      </c>
      <c r="K9741" s="29" t="n">
        <f aca="false">Sens!K9758*ext_sh</f>
        <v>1470</v>
      </c>
      <c r="L9741" s="1" t="s">
        <v>822</v>
      </c>
    </row>
    <row r="9742" customFormat="false" ht="17.15" hidden="false" customHeight="false" outlineLevel="0" collapsed="false">
      <c r="A9742" s="1" t="s">
        <v>823</v>
      </c>
      <c r="B9742" s="0" t="s">
        <v>399</v>
      </c>
      <c r="C9742" s="29" t="n">
        <f aca="false">mix_h*Sens!C9734</f>
        <v>128</v>
      </c>
      <c r="D9742" s="29" t="n">
        <f aca="false">mix_h*Sens!D9734</f>
        <v>326</v>
      </c>
      <c r="E9742" s="29" t="n">
        <f aca="false">mix_h*Sens!E9734</f>
        <v>650</v>
      </c>
      <c r="F9742" s="29" t="n">
        <f aca="false">Sens!E9742-Sens!F9741*mix_h</f>
        <v>650</v>
      </c>
      <c r="G9742" s="29" t="n">
        <f aca="false">Sens!F9742-Sens!G9741*mix_h</f>
        <v>650</v>
      </c>
      <c r="H9742" s="29" t="n">
        <f aca="false">Sens!G9742-Sens!H9741*mix_h</f>
        <v>650</v>
      </c>
      <c r="I9742" s="29" t="n">
        <f aca="false">Sens!H9742-Sens!I9741*mix_h</f>
        <v>552</v>
      </c>
      <c r="J9742" s="29" t="n">
        <f aca="false">Sens!I9742-Sens!J9741*mix_h</f>
        <v>404</v>
      </c>
      <c r="K9742" s="29" t="n">
        <f aca="false">Sens!J9742-Sens!K9741*mix_h</f>
        <v>110</v>
      </c>
    </row>
    <row r="9743" customFormat="false" ht="17.15" hidden="false" customHeight="false" outlineLevel="0" collapsed="false">
      <c r="A9743" s="1" t="s">
        <v>824</v>
      </c>
      <c r="B9743" s="0" t="s">
        <v>399</v>
      </c>
      <c r="C9743" s="29" t="n">
        <f aca="false">mix_g2*Sens!C9734</f>
        <v>288</v>
      </c>
      <c r="D9743" s="29" t="n">
        <f aca="false">mix_g2*Sens!D9734</f>
        <v>733.5</v>
      </c>
      <c r="E9743" s="29" t="n">
        <f aca="false">mix_g2*Sens!E9734</f>
        <v>1462.5</v>
      </c>
      <c r="F9743" s="29" t="n">
        <f aca="false">Sens!E9743-Sens!F9741*mix_g2</f>
        <v>1462.5</v>
      </c>
      <c r="G9743" s="29" t="n">
        <f aca="false">Sens!F9743-Sens!G9741*mix_g2</f>
        <v>1462.5</v>
      </c>
      <c r="H9743" s="29" t="n">
        <f aca="false">Sens!G9743-Sens!H9741*mix_g2</f>
        <v>1462.5</v>
      </c>
      <c r="I9743" s="29" t="n">
        <f aca="false">Sens!H9743-Sens!I9741*mix_g2</f>
        <v>1242</v>
      </c>
      <c r="J9743" s="29" t="n">
        <f aca="false">Sens!I9743-Sens!J9741*mix_g2</f>
        <v>909</v>
      </c>
      <c r="K9743" s="29" t="n">
        <f aca="false">Sens!J9743-Sens!K9741*mix_g2</f>
        <v>247.5</v>
      </c>
    </row>
    <row r="9744" customFormat="false" ht="17.15" hidden="false" customHeight="false" outlineLevel="0" collapsed="false">
      <c r="A9744" s="1" t="s">
        <v>825</v>
      </c>
      <c r="B9744" s="0" t="s">
        <v>399</v>
      </c>
      <c r="C9744" s="29" t="n">
        <f aca="false">mix_g3*Sens!C9734</f>
        <v>224</v>
      </c>
      <c r="D9744" s="29" t="n">
        <f aca="false">mix_g3*Sens!D9734</f>
        <v>570.5</v>
      </c>
      <c r="E9744" s="29" t="n">
        <f aca="false">mix_g3*Sens!E9734</f>
        <v>1137.5</v>
      </c>
      <c r="F9744" s="29" t="n">
        <f aca="false">Sens!E9744+(Sens!F9740+Sens!F9741)*a_g3_27-Sens!F9741*mix_g3</f>
        <v>2906.54</v>
      </c>
      <c r="G9744" s="29" t="n">
        <f aca="false">Sens!F9744+(Sens!G9740+Sens!G9741)*a_g3_28-Sens!G9741*mix_g3</f>
        <v>3664.7</v>
      </c>
      <c r="H9744" s="29" t="n">
        <f aca="false">Sens!G9744+(Sens!H9740+Sens!H9741)*a_g3_29-Sens!H9741*mix_g3</f>
        <v>3917.42</v>
      </c>
      <c r="I9744" s="29" t="n">
        <f aca="false">Sens!H9744+(Sens!I9740+Sens!I9741)*a_g3_29-Sens!I9741*mix_g3</f>
        <v>3974.2316</v>
      </c>
      <c r="J9744" s="29" t="n">
        <f aca="false">Sens!I9744+(Sens!J9740+Sens!J9741)*a_g3_29-Sens!J9741*mix_g3</f>
        <v>3898.721032</v>
      </c>
      <c r="K9744" s="29" t="n">
        <f aca="false">Sens!J9744+(Sens!K9740+Sens!K9741)*a_g3_29-Sens!K9741*mix_g3</f>
        <v>3572.37986296</v>
      </c>
    </row>
    <row r="9745" customFormat="false" ht="17.15" hidden="false" customHeight="false" outlineLevel="0" collapsed="false">
      <c r="A9745" s="1" t="s">
        <v>826</v>
      </c>
      <c r="B9745" s="0" t="s">
        <v>399</v>
      </c>
      <c r="C9745" s="29" t="n">
        <v>0</v>
      </c>
      <c r="D9745" s="29" t="n">
        <v>0</v>
      </c>
      <c r="E9745" s="29" t="n">
        <v>0</v>
      </c>
      <c r="F9745" s="29" t="n">
        <f aca="false">Sens!E9745+(Sens!F9740+Sens!F9741)*(1-a_g3_27)</f>
        <v>758.16</v>
      </c>
      <c r="G9745" s="29" t="n">
        <f aca="false">Sens!F9745+(Sens!G9740+Sens!G9741)*(1-a_g3_28)</f>
        <v>2527.2</v>
      </c>
      <c r="H9745" s="29" t="n">
        <f aca="false">Sens!G9745+(Sens!H9740+Sens!H9741)*(1-a_g3_29)</f>
        <v>4801.68</v>
      </c>
      <c r="I9745" s="29" t="n">
        <f aca="false">Sens!H9745+(Sens!I9740+Sens!I9741)*(1-a_g3_29)</f>
        <v>6856.4844</v>
      </c>
      <c r="J9745" s="29" t="n">
        <f aca="false">Sens!I9745+(Sens!J9740+Sens!J9741)*(1-a_g3_29)</f>
        <v>8507.889288</v>
      </c>
      <c r="K9745" s="29" t="n">
        <f aca="false">Sens!J9745+(Sens!K9740+Sens!K9741)*(1-a_g3_29)</f>
        <v>10201.31876664</v>
      </c>
    </row>
    <row r="9746" customFormat="false" ht="17.15" hidden="false" customHeight="false" outlineLevel="0" collapsed="false">
      <c r="A9746" s="1" t="s">
        <v>827</v>
      </c>
      <c r="B9746" s="0" t="s">
        <v>346</v>
      </c>
      <c r="C9746" s="14" t="n">
        <f aca="false">(Sens!C9742*tk_hold_h100+Sens!C9743*tk_hold_gb200+Sens!C9744*tk_hold_gb300+Sens!C9745*tk_hold_vr200)/Sens!C9734</f>
        <v>9.7235358126469</v>
      </c>
      <c r="D9746" s="14" t="n">
        <f aca="false">(Sens!D9742*tk_hold_h100+Sens!D9743*tk_hold_gb200+Sens!D9744*tk_hold_gb300+Sens!D9745*tk_hold_vr200)/Sens!D9734</f>
        <v>9.7235358126469</v>
      </c>
      <c r="E9746" s="14" t="n">
        <f aca="false">(Sens!E9742*tk_hold_h100+Sens!E9743*tk_hold_gb200+Sens!E9744*tk_hold_gb300+Sens!E9745*tk_hold_vr200)/Sens!E9734</f>
        <v>9.7235358126469</v>
      </c>
      <c r="F9746" s="14" t="n">
        <f aca="false">(Sens!F9742*tk_hold_h100+Sens!F9743*tk_hold_gb200+Sens!F9744*tk_hold_gb300+Sens!F9745*tk_hold_vr200)/Sens!F9734</f>
        <v>10.4079573161931</v>
      </c>
      <c r="G9746" s="14" t="n">
        <f aca="false">(Sens!G9742*tk_hold_h100+Sens!G9743*tk_hold_gb200+Sens!G9744*tk_hold_gb300+Sens!G9745*tk_hold_vr200)/Sens!G9734</f>
        <v>10.8388131109316</v>
      </c>
      <c r="H9746" s="14" t="n">
        <f aca="false">(Sens!H9742*tk_hold_h100+Sens!H9743*tk_hold_gb200+Sens!H9744*tk_hold_gb300+Sens!H9745*tk_hold_vr200)/Sens!H9734</f>
        <v>11.1311018388216</v>
      </c>
      <c r="I9746" s="14" t="n">
        <f aca="false">(Sens!I9742*tk_hold_h100+Sens!I9743*tk_hold_gb200+Sens!I9744*tk_hold_gb300+Sens!I9745*tk_hold_vr200)/Sens!I9734</f>
        <v>11.3594282560989</v>
      </c>
      <c r="J9746" s="14" t="n">
        <f aca="false">(Sens!J9742*tk_hold_h100+Sens!J9743*tk_hold_gb200+Sens!J9744*tk_hold_gb300+Sens!J9745*tk_hold_vr200)/Sens!J9734</f>
        <v>11.5455817917599</v>
      </c>
      <c r="K9746" s="14" t="n">
        <f aca="false">(Sens!K9742*tk_hold_h100+Sens!K9743*tk_hold_gb200+Sens!K9744*tk_hold_gb300+Sens!K9745*tk_hold_vr200)/Sens!K9734</f>
        <v>11.8078187977246</v>
      </c>
    </row>
    <row r="9747" customFormat="false" ht="17.15" hidden="false" customHeight="false" outlineLevel="0" collapsed="false">
      <c r="A9747" s="0" t="s">
        <v>828</v>
      </c>
      <c r="B9747" s="0" t="s">
        <v>185</v>
      </c>
      <c r="C9747" s="14" t="n">
        <f aca="false">k_B</f>
        <v>1.17213932619116</v>
      </c>
      <c r="D9747" s="14" t="n">
        <f aca="false">k_B</f>
        <v>1.17213932619116</v>
      </c>
      <c r="E9747" s="14" t="n">
        <f aca="false">k_B</f>
        <v>1.17213932619116</v>
      </c>
      <c r="F9747" s="14" t="n">
        <f aca="false">(k_B+((ls_C*k_long+(1-ls_C)*k_spot)-k_B)*MIN(1,(Sens!F9732-base_fy)/k_ramp))</f>
        <v>1.07843258004497</v>
      </c>
      <c r="G9747" s="14" t="n">
        <f aca="false">(k_B+((ls_C*k_long+(1-ls_C)*k_spot)-k_B)*MIN(1,(Sens!G9732-base_fy)/k_ramp))</f>
        <v>0.984725833898784</v>
      </c>
      <c r="H9747" s="14" t="n">
        <f aca="false">(k_B+((ls_C*k_long+(1-ls_C)*k_spot)-k_B)*MIN(1,(Sens!H9732-base_fy)/k_ramp))</f>
        <v>0.891019087752599</v>
      </c>
      <c r="I9747" s="14" t="n">
        <f aca="false">(k_B+((ls_C*k_long+(1-ls_C)*k_spot)-k_B)*MIN(1,(Sens!I9732-base_fy)/k_ramp))</f>
        <v>0.891019087752599</v>
      </c>
      <c r="J9747" s="14" t="n">
        <f aca="false">(k_B+((ls_C*k_long+(1-ls_C)*k_spot)-k_B)*MIN(1,(Sens!J9732-base_fy)/k_ramp))</f>
        <v>0.891019087752599</v>
      </c>
      <c r="K9747" s="14" t="n">
        <f aca="false">(k_B+((ls_C*k_long+(1-ls_C)*k_spot)-k_B)*MIN(1,(Sens!K9732-base_fy)/k_ramp))</f>
        <v>0.891019087752599</v>
      </c>
      <c r="L9747" s="1" t="s">
        <v>829</v>
      </c>
    </row>
    <row r="9748" customFormat="false" ht="17.15" hidden="false" customHeight="false" outlineLevel="0" collapsed="false">
      <c r="A9748" s="1" t="s">
        <v>830</v>
      </c>
      <c r="B9748" s="0" t="s">
        <v>346</v>
      </c>
      <c r="C9748" s="14" t="n">
        <f aca="false">Sens!C9746*Sens!C9747*chip_f</f>
        <v>11.3973387156315</v>
      </c>
      <c r="D9748" s="14" t="n">
        <f aca="false">Sens!D9746*Sens!D9747*chip_f</f>
        <v>11.3973387156315</v>
      </c>
      <c r="E9748" s="14" t="n">
        <f aca="false">Sens!E9746*Sens!E9747*chip_f</f>
        <v>11.3973387156315</v>
      </c>
      <c r="F9748" s="14" t="n">
        <f aca="false">Sens!F9746*Sens!F9747*chip_f</f>
        <v>11.2242802615</v>
      </c>
      <c r="G9748" s="14" t="n">
        <f aca="false">Sens!G9746*Sens!G9747*chip_f</f>
        <v>10.6732592791352</v>
      </c>
      <c r="H9748" s="14" t="n">
        <f aca="false">Sens!H9746*Sens!H9747*chip_f</f>
        <v>9.91802420610807</v>
      </c>
      <c r="I9748" s="14" t="n">
        <f aca="false">Sens!I9746*Sens!I9747*chip_f</f>
        <v>10.1214674021403</v>
      </c>
      <c r="J9748" s="14" t="n">
        <f aca="false">Sens!J9746*Sens!J9747*chip_f</f>
        <v>10.2873337556669</v>
      </c>
      <c r="K9748" s="14" t="n">
        <f aca="false">Sens!K9746*Sens!K9747*chip_f</f>
        <v>10.5209919334966</v>
      </c>
      <c r="L9748" s="1" t="s">
        <v>831</v>
      </c>
    </row>
    <row r="9749" customFormat="false" ht="17.15" hidden="false" customHeight="false" outlineLevel="0" collapsed="false">
      <c r="A9749" s="0" t="s">
        <v>832</v>
      </c>
      <c r="B9749" s="0" t="s">
        <v>98</v>
      </c>
      <c r="D9749" s="6" t="n">
        <f aca="false">(Sens!C9734+Sens!D9734)/2*Sens!D9748/1000</f>
        <v>12.9359794422418</v>
      </c>
      <c r="E9749" s="6" t="n">
        <f aca="false">(Sens!D9734+Sens!E9734)/2*Sens!E9748/1000</f>
        <v>27.8095064661409</v>
      </c>
      <c r="F9749" s="6" t="n">
        <f aca="false">(Sens!E9734+Sens!F9734)/2*Sens!F9748/1000</f>
        <v>50.6619113883066</v>
      </c>
      <c r="G9749" s="6" t="n">
        <f aca="false">(Sens!F9734+Sens!G9734)/2*Sens!G9748/1000</f>
        <v>75.1482839325348</v>
      </c>
      <c r="H9749" s="6" t="n">
        <f aca="false">(Sens!G9734+Sens!H9734)/2*Sens!H9748/1000</f>
        <v>94.895655604042</v>
      </c>
      <c r="I9749" s="6" t="n">
        <f aca="false">(Sens!H9734+Sens!I9734)/2*Sens!I9748/1000</f>
        <v>118.706168884151</v>
      </c>
      <c r="J9749" s="6" t="n">
        <f aca="false">(Sens!I9734+Sens!J9734)/2*Sens!J9748/1000</f>
        <v>135.50643871102</v>
      </c>
      <c r="K9749" s="6" t="n">
        <f aca="false">(Sens!J9734+Sens!K9734)/2*Sens!K9748/1000</f>
        <v>146.509068150048</v>
      </c>
      <c r="L9749" s="11" t="s">
        <v>833</v>
      </c>
    </row>
    <row r="9750" customFormat="false" ht="17.15" hidden="false" customHeight="false" outlineLevel="0" collapsed="false">
      <c r="A9750" s="1" t="s">
        <v>834</v>
      </c>
      <c r="B9750" s="0" t="s">
        <v>346</v>
      </c>
      <c r="C9750" s="14" t="n">
        <f aca="false">(Sens!C9742*tk_opex_h100+Sens!C9743*tk_opex_gb200+Sens!C9744*tk_opex_gb300+Sens!C9745*tk_opex_vr200)/Sens!C9734</f>
        <v>1.88636041306092</v>
      </c>
      <c r="D9750" s="14" t="n">
        <f aca="false">(Sens!D9742*tk_opex_h100+Sens!D9743*tk_opex_gb200+Sens!D9744*tk_opex_gb300+Sens!D9745*tk_opex_vr200)/Sens!D9734</f>
        <v>1.88636041306092</v>
      </c>
      <c r="E9750" s="14" t="n">
        <f aca="false">(Sens!E9742*tk_opex_h100+Sens!E9743*tk_opex_gb200+Sens!E9744*tk_opex_gb300+Sens!E9745*tk_opex_vr200)/Sens!E9734</f>
        <v>1.88636041306092</v>
      </c>
      <c r="F9750" s="14" t="n">
        <f aca="false">(Sens!F9742*tk_opex_h100+Sens!F9743*tk_opex_gb200+Sens!F9744*tk_opex_gb300+Sens!F9745*tk_opex_vr200)/Sens!F9734</f>
        <v>1.9430236476499</v>
      </c>
      <c r="G9750" s="14" t="n">
        <f aca="false">(Sens!G9742*tk_opex_h100+Sens!G9743*tk_opex_gb200+Sens!G9744*tk_opex_gb300+Sens!G9745*tk_opex_vr200)/Sens!G9734</f>
        <v>1.9786941852423</v>
      </c>
      <c r="H9750" s="14" t="n">
        <f aca="false">(Sens!H9742*tk_opex_h100+Sens!H9743*tk_opex_gb200+Sens!H9744*tk_opex_gb300+Sens!H9745*tk_opex_vr200)/Sens!H9734</f>
        <v>2.00289275976156</v>
      </c>
      <c r="I9750" s="14" t="n">
        <f aca="false">(Sens!I9742*tk_opex_h100+Sens!I9743*tk_opex_gb200+Sens!I9744*tk_opex_gb300+Sens!I9745*tk_opex_vr200)/Sens!I9734</f>
        <v>2.02179589661219</v>
      </c>
      <c r="J9750" s="14" t="n">
        <f aca="false">(Sens!J9742*tk_opex_h100+Sens!J9743*tk_opex_gb200+Sens!J9744*tk_opex_gb300+Sens!J9745*tk_opex_vr200)/Sens!J9734</f>
        <v>2.03720754193029</v>
      </c>
      <c r="K9750" s="14" t="n">
        <f aca="false">(Sens!K9742*tk_opex_h100+Sens!K9743*tk_opex_gb200+Sens!K9744*tk_opex_gb300+Sens!K9745*tk_opex_vr200)/Sens!K9734</f>
        <v>2.0589181353437</v>
      </c>
    </row>
    <row r="9751" customFormat="false" ht="17.15" hidden="false" customHeight="false" outlineLevel="0" collapsed="false">
      <c r="A9751" s="0" t="s">
        <v>835</v>
      </c>
      <c r="B9751" s="0" t="s">
        <v>98</v>
      </c>
      <c r="D9751" s="6" t="n">
        <f aca="false">(Sens!C9737+Sens!D9737)/2*Sens!D9750/1000</f>
        <v>2.70378325872065</v>
      </c>
      <c r="E9751" s="6" t="n">
        <f aca="false">(Sens!D9737+Sens!E9737)/2*Sens!E9750/1000</f>
        <v>6.17783035277451</v>
      </c>
      <c r="F9751" s="6" t="n">
        <f aca="false">(Sens!E9737+Sens!F9737)/2*Sens!F9750/1000</f>
        <v>12.5020618235287</v>
      </c>
      <c r="G9751" s="6" t="n">
        <f aca="false">(Sens!F9737+Sens!G9737)/2*Sens!G9750/1000</f>
        <v>20.7261620256847</v>
      </c>
      <c r="H9751" s="6" t="n">
        <f aca="false">(Sens!G9737+Sens!H9737)/2*Sens!H9750/1000</f>
        <v>29.4158183316982</v>
      </c>
      <c r="I9751" s="6" t="n">
        <f aca="false">(Sens!H9737+Sens!I9737)/2*Sens!I9750/1000</f>
        <v>36.9724400356344</v>
      </c>
      <c r="J9751" s="6" t="n">
        <f aca="false">(Sens!I9737+Sens!J9737)/2*Sens!J9750/1000</f>
        <v>42.1571687189816</v>
      </c>
      <c r="K9751" s="6" t="n">
        <f aca="false">(Sens!J9737+Sens!K9737)/2*Sens!K9750/1000</f>
        <v>45.1912095080704</v>
      </c>
    </row>
    <row r="9752" customFormat="false" ht="17.15" hidden="false" customHeight="false" outlineLevel="0" collapsed="false">
      <c r="A9752" s="0" t="s">
        <v>836</v>
      </c>
      <c r="B9752" s="0" t="s">
        <v>98</v>
      </c>
      <c r="D9752" s="6" t="n">
        <f aca="false">(Sens!C9735+Sens!D9735)/2*rent_mw/1000</f>
        <v>2.44475</v>
      </c>
      <c r="E9752" s="6" t="n">
        <f aca="false">(Sens!D9735+Sens!E9735)/2*rent_mw/1000</f>
        <v>4.22275</v>
      </c>
      <c r="F9752" s="6" t="n">
        <f aca="false">(Sens!E9735+Sens!F9735)/2*rent_mw/1000</f>
        <v>5.80517</v>
      </c>
      <c r="G9752" s="6" t="n">
        <f aca="false">(Sens!F9735+Sens!G9735)/2*rent_mw/1000</f>
        <v>6.72084</v>
      </c>
      <c r="H9752" s="6" t="n">
        <f aca="false">(Sens!G9735+Sens!H9735)/2*rent_mw/1000</f>
        <v>6.72084</v>
      </c>
      <c r="I9752" s="6" t="n">
        <f aca="false">(Sens!H9735+Sens!I9735)/2*rent_mw/1000</f>
        <v>6.72084</v>
      </c>
      <c r="J9752" s="6" t="n">
        <f aca="false">(Sens!I9735+Sens!J9735)/2*rent_mw/1000</f>
        <v>6.72084</v>
      </c>
      <c r="K9752" s="6" t="n">
        <f aca="false">(Sens!J9735+Sens!K9735)/2*rent_mw/1000</f>
        <v>6.72084</v>
      </c>
    </row>
    <row r="9753" customFormat="false" ht="17.15" hidden="false" customHeight="false" outlineLevel="0" collapsed="false">
      <c r="A9753" s="0" t="s">
        <v>837</v>
      </c>
      <c r="B9753" s="0" t="s">
        <v>98</v>
      </c>
      <c r="D9753" s="6" t="n">
        <f aca="false">(Sens!C9737+Sens!D9737)/2*(1-self_build)*fac_rent/1000</f>
        <v>0.853242375631075</v>
      </c>
      <c r="E9753" s="6" t="n">
        <f aca="false">(Sens!D9737+Sens!E9737)/2*(1-self_build)*fac_rent/1000</f>
        <v>1.94955961408728</v>
      </c>
      <c r="F9753" s="6" t="n">
        <f aca="false">(Sens!E9737+Sens!F9737)/2*(1-self_build)*fac_rent/1000</f>
        <v>3.83026455274573</v>
      </c>
      <c r="G9753" s="6" t="n">
        <f aca="false">(Sens!F9737+Sens!G9737)/2*(1-self_build)*fac_rent/1000</f>
        <v>6.23541590972812</v>
      </c>
      <c r="H9753" s="6" t="n">
        <f aca="false">(Sens!G9737+Sens!H9737)/2*(1-self_build)*fac_rent/1000</f>
        <v>8.74275792332679</v>
      </c>
      <c r="I9753" s="6" t="n">
        <f aca="false">(Sens!H9737+Sens!I9737)/2*(1-self_build)*fac_rent/1000</f>
        <v>10.8859420438599</v>
      </c>
      <c r="J9753" s="6" t="n">
        <f aca="false">(Sens!I9737+Sens!J9737)/2*(1-self_build)*fac_rent/1000</f>
        <v>12.3186006405366</v>
      </c>
      <c r="K9753" s="6" t="n">
        <f aca="false">(Sens!J9737+Sens!K9737)/2*(1-self_build)*fac_rent/1000</f>
        <v>13.0659232089824</v>
      </c>
      <c r="L9753" s="11" t="s">
        <v>838</v>
      </c>
    </row>
    <row r="9754" customFormat="false" ht="17.15" hidden="false" customHeight="false" outlineLevel="0" collapsed="false">
      <c r="A9754" s="1" t="s">
        <v>839</v>
      </c>
      <c r="B9754" s="0" t="s">
        <v>129</v>
      </c>
      <c r="D9754" s="7" t="n">
        <f aca="false">(Sens!C9736+Sens!D9736)/(Sens!C9737+Sens!D9737)</f>
        <v>0.6</v>
      </c>
      <c r="E9754" s="7" t="n">
        <f aca="false">(Sens!D9736+Sens!E9736)/(Sens!D9737+Sens!E9737)</f>
        <v>0.6</v>
      </c>
      <c r="F9754" s="7" t="n">
        <f aca="false">(Sens!E9736+Sens!F9736)/(Sens!E9737+Sens!F9737)</f>
        <v>0.6</v>
      </c>
      <c r="G9754" s="7" t="n">
        <f aca="false">(Sens!F9736+Sens!G9736)/(Sens!F9737+Sens!G9737)</f>
        <v>0.6</v>
      </c>
      <c r="H9754" s="7" t="n">
        <f aca="false">(Sens!G9736+Sens!H9736)/(Sens!G9737+Sens!H9737)</f>
        <v>0.6</v>
      </c>
      <c r="I9754" s="7" t="n">
        <f aca="false">(Sens!H9736+Sens!I9736)/(Sens!H9737+Sens!I9737)</f>
        <v>0.6</v>
      </c>
      <c r="J9754" s="7" t="n">
        <f aca="false">(Sens!I9736+Sens!J9736)/(Sens!I9737+Sens!J9737)</f>
        <v>0.6</v>
      </c>
      <c r="K9754" s="7" t="n">
        <f aca="false">(Sens!J9736+Sens!K9736)/(Sens!J9737+Sens!K9737)</f>
        <v>0.6</v>
      </c>
    </row>
    <row r="9755" customFormat="false" ht="17.15" hidden="false" customHeight="false" outlineLevel="0" collapsed="false">
      <c r="A9755" s="0" t="s">
        <v>840</v>
      </c>
      <c r="B9755" s="0" t="s">
        <v>98</v>
      </c>
      <c r="D9755" s="6" t="n">
        <f aca="false">Sens!D9749-Sens!D9754*(Sens!D9751+Sens!D9753)-Sens!D9752</f>
        <v>8.35701406163072</v>
      </c>
      <c r="E9755" s="6" t="n">
        <f aca="false">Sens!E9749-Sens!E9754*(Sens!E9751+Sens!E9753)-Sens!E9752</f>
        <v>18.7103224860238</v>
      </c>
      <c r="F9755" s="6" t="n">
        <f aca="false">Sens!F9749-Sens!F9754*(Sens!F9751+Sens!F9753)-Sens!F9752</f>
        <v>35.0573455625419</v>
      </c>
      <c r="G9755" s="6" t="n">
        <f aca="false">Sens!G9749-Sens!G9754*(Sens!G9751+Sens!G9753)-Sens!G9752</f>
        <v>52.2504971712871</v>
      </c>
      <c r="H9755" s="6" t="n">
        <f aca="false">Sens!H9749-Sens!H9754*(Sens!H9751+Sens!H9753)-Sens!H9752</f>
        <v>65.2796698510271</v>
      </c>
      <c r="I9755" s="6" t="n">
        <f aca="false">Sens!I9749-Sens!I9754*(Sens!I9751+Sens!I9753)-Sens!I9752</f>
        <v>83.2702996364549</v>
      </c>
      <c r="J9755" s="6" t="n">
        <f aca="false">Sens!J9749-Sens!J9754*(Sens!J9751+Sens!J9753)-Sens!J9752</f>
        <v>96.1001370953095</v>
      </c>
      <c r="K9755" s="6" t="n">
        <f aca="false">Sens!K9749-Sens!K9754*(Sens!K9751+Sens!K9753)-Sens!K9752</f>
        <v>104.833948519816</v>
      </c>
    </row>
    <row r="9756" customFormat="false" ht="17.15" hidden="false" customHeight="false" outlineLevel="0" collapsed="false">
      <c r="A9756" s="1" t="s">
        <v>841</v>
      </c>
      <c r="B9756" s="0" t="s">
        <v>98</v>
      </c>
      <c r="D9756" s="6" t="n">
        <f aca="false">(1-Sens!D9754)*(Sens!D9751+Sens!D9753)</f>
        <v>1.42281025374069</v>
      </c>
      <c r="E9756" s="6" t="n">
        <f aca="false">(1-Sens!E9754)*(Sens!E9751+Sens!E9753)</f>
        <v>3.25095598674472</v>
      </c>
      <c r="F9756" s="6" t="n">
        <f aca="false">(1-Sens!F9754)*(Sens!F9751+Sens!F9753)</f>
        <v>6.53293055050977</v>
      </c>
      <c r="G9756" s="6" t="n">
        <f aca="false">(1-Sens!G9754)*(Sens!G9751+Sens!G9753)</f>
        <v>10.7846311741651</v>
      </c>
      <c r="H9756" s="6" t="n">
        <f aca="false">(1-Sens!H9754)*(Sens!H9751+Sens!H9753)</f>
        <v>15.26343050201</v>
      </c>
      <c r="I9756" s="6" t="n">
        <f aca="false">(1-Sens!I9754)*(Sens!I9751+Sens!I9753)</f>
        <v>19.1433528317977</v>
      </c>
      <c r="J9756" s="6" t="n">
        <f aca="false">(1-Sens!J9754)*(Sens!J9751+Sens!J9753)</f>
        <v>21.7903077438073</v>
      </c>
      <c r="K9756" s="6" t="n">
        <f aca="false">(1-Sens!K9754)*(Sens!K9751+Sens!K9753)</f>
        <v>23.3028530868211</v>
      </c>
    </row>
    <row r="9757" customFormat="false" ht="17.15" hidden="false" customHeight="false" outlineLevel="0" collapsed="false">
      <c r="A9757" s="1" t="s">
        <v>842</v>
      </c>
      <c r="B9757" s="0" t="s">
        <v>357</v>
      </c>
      <c r="C9757" s="8" t="n">
        <f aca="false">cxit_open</f>
        <v>27.5918995</v>
      </c>
      <c r="D9757" s="8" t="n">
        <f aca="false">cxit_open</f>
        <v>27.5918995</v>
      </c>
      <c r="E9757" s="8" t="n">
        <f aca="false">cxit_open</f>
        <v>27.5918995</v>
      </c>
      <c r="F9757" s="8" t="n">
        <f aca="false">(a_g3_27*tk_cxit_gb300+(1-a_g3_27)*tk_cxit_vr200)</f>
        <v>33.8419624</v>
      </c>
      <c r="G9757" s="8" t="n">
        <f aca="false">(a_g3_28*tk_cxit_gb300+(1-a_g3_28)*tk_cxit_vr200)</f>
        <v>35.9816136</v>
      </c>
      <c r="H9757" s="8" t="n">
        <f aca="false">(a_g3_29*tk_cxit_gb300+(1-a_g3_29)*tk_cxit_vr200)</f>
        <v>37.0514392</v>
      </c>
      <c r="I9757" s="8" t="n">
        <f aca="false">(a_g3_29*tk_cxit_gb300+(1-a_g3_29)*tk_cxit_vr200)</f>
        <v>37.0514392</v>
      </c>
      <c r="J9757" s="8" t="n">
        <f aca="false">(a_g3_29*tk_cxit_gb300+(1-a_g3_29)*tk_cxit_vr200)</f>
        <v>37.0514392</v>
      </c>
      <c r="K9757" s="8" t="n">
        <f aca="false">(a_g3_29*tk_cxit_gb300+(1-a_g3_29)*tk_cxit_vr200)</f>
        <v>37.0514392</v>
      </c>
      <c r="L9757" s="11" t="s">
        <v>843</v>
      </c>
    </row>
    <row r="9758" customFormat="false" ht="17.15" hidden="false" customHeight="false" outlineLevel="0" collapsed="false">
      <c r="A9758" s="0" t="s">
        <v>844</v>
      </c>
      <c r="B9758" s="0" t="s">
        <v>399</v>
      </c>
      <c r="F9758" s="29" t="n">
        <f aca="false">Sens!C9739*IF(Sens!F9732-Sens!C9732=life_it,1,0)+Sens!D9739*IF(Sens!F9732-Sens!D9732=life_it,1,0)+Sens!E9739*IF(Sens!F9732-Sens!E9732=life_it,1,0)</f>
        <v>0</v>
      </c>
      <c r="G9758" s="29" t="n">
        <f aca="false">Sens!C9739*IF(Sens!G9732-Sens!C9732=life_it,1,0)+Sens!D9739*IF(Sens!G9732-Sens!D9732=life_it,1,0)+Sens!E9739*IF(Sens!G9732-Sens!E9732=life_it,1,0)+Sens!F9739*IF(Sens!G9732-Sens!F9732=life_it,1,0)</f>
        <v>0</v>
      </c>
      <c r="H9758" s="29" t="n">
        <f aca="false">Sens!C9739*IF(Sens!H9732-Sens!C9732=life_it,1,0)+Sens!D9739*IF(Sens!H9732-Sens!D9732=life_it,1,0)+Sens!E9739*IF(Sens!H9732-Sens!E9732=life_it,1,0)+Sens!F9739*IF(Sens!H9732-Sens!F9732=life_it,1,0)+Sens!G9739*IF(Sens!H9732-Sens!G9732=life_it,1,0)</f>
        <v>0</v>
      </c>
      <c r="I9758" s="29" t="n">
        <f aca="false">Sens!C9739*IF(Sens!I9732-Sens!C9732=life_it,1,0)+Sens!D9739*IF(Sens!I9732-Sens!D9732=life_it,1,0)+Sens!E9739*IF(Sens!I9732-Sens!E9732=life_it,1,0)+Sens!F9739*IF(Sens!I9732-Sens!F9732=life_it,1,0)+Sens!G9739*IF(Sens!I9732-Sens!G9732=life_it,1,0)+Sens!H9739*IF(Sens!I9732-Sens!H9732=life_it,1,0)</f>
        <v>816.666666666667</v>
      </c>
      <c r="J9758" s="29" t="n">
        <f aca="false">Sens!C9739*IF(Sens!J9732-Sens!C9732=life_it,1,0)+Sens!D9739*IF(Sens!J9732-Sens!D9732=life_it,1,0)+Sens!E9739*IF(Sens!J9732-Sens!E9732=life_it,1,0)+Sens!F9739*IF(Sens!J9732-Sens!F9732=life_it,1,0)+Sens!G9739*IF(Sens!J9732-Sens!G9732=life_it,1,0)+Sens!H9739*IF(Sens!J9732-Sens!H9732=life_it,1,0)+Sens!I9739*IF(Sens!J9732-Sens!I9732=life_it,1,0)</f>
        <v>1233.33333333333</v>
      </c>
      <c r="K9758" s="29" t="n">
        <f aca="false">Sens!C9739*IF(Sens!K9732-Sens!C9732=life_it,1,0)+Sens!D9739*IF(Sens!K9732-Sens!D9732=life_it,1,0)+Sens!E9739*IF(Sens!K9732-Sens!E9732=life_it,1,0)+Sens!F9739*IF(Sens!K9732-Sens!F9732=life_it,1,0)+Sens!G9739*IF(Sens!K9732-Sens!G9732=life_it,1,0)+Sens!H9739*IF(Sens!K9732-Sens!H9732=life_it,1,0)+Sens!I9739*IF(Sens!K9732-Sens!I9732=life_it,1,0)+Sens!J9739*IF(Sens!K9732-Sens!J9732=life_it,1,0)</f>
        <v>2450</v>
      </c>
      <c r="L9758" s="1" t="s">
        <v>845</v>
      </c>
    </row>
    <row r="9759" customFormat="false" ht="17.15" hidden="false" customHeight="false" outlineLevel="0" collapsed="false">
      <c r="A9759" s="0" t="s">
        <v>846</v>
      </c>
      <c r="B9759" s="0" t="s">
        <v>98</v>
      </c>
      <c r="C9759" s="6" t="n">
        <f aca="false">Sens!C9739*Sens!C9757/1000</f>
        <v>22.5333845916667</v>
      </c>
      <c r="D9759" s="6" t="n">
        <f aca="false">Sens!D9739*Sens!D9757/1000</f>
        <v>34.0300093833333</v>
      </c>
      <c r="E9759" s="6" t="n">
        <f aca="false">Sens!E9739*Sens!E9757/1000</f>
        <v>67.600153775</v>
      </c>
      <c r="F9759" s="6" t="n">
        <f aca="false">(Sens!F9739+Sens!F9758)*Sens!F9757/1000</f>
        <v>130.923271871467</v>
      </c>
      <c r="G9759" s="6" t="n">
        <f aca="false">(Sens!G9739+Sens!G9758)*Sens!G9757/1000</f>
        <v>151.5545564832</v>
      </c>
      <c r="H9759" s="6" t="n">
        <f aca="false">(Sens!H9739+Sens!H9758)*Sens!H9757/1000</f>
        <v>156.0606619104</v>
      </c>
      <c r="I9759" s="6" t="n">
        <f aca="false">(Sens!I9739+Sens!I9758)*Sens!I9757/1000</f>
        <v>140.987889434245</v>
      </c>
      <c r="J9759" s="6" t="n">
        <f aca="false">(Sens!J9739+Sens!J9758)*Sens!J9757/1000</f>
        <v>113.309125559842</v>
      </c>
      <c r="K9759" s="6" t="n">
        <f aca="false">(Sens!K9739+Sens!K9758)*Sens!K9757/1000</f>
        <v>116.192591420959</v>
      </c>
    </row>
    <row r="9760" customFormat="false" ht="17.15" hidden="false" customHeight="false" outlineLevel="0" collapsed="false">
      <c r="A9760" s="0" t="s">
        <v>847</v>
      </c>
      <c r="B9760" s="0" t="s">
        <v>98</v>
      </c>
      <c r="C9760" s="6" t="n">
        <f aca="false">Sens!C9739*self_build*tk_cxfac/1000</f>
        <v>6.2083</v>
      </c>
      <c r="D9760" s="6" t="n">
        <f aca="false">Sens!D9739*self_build*tk_cxfac/1000</f>
        <v>9.3758</v>
      </c>
      <c r="E9760" s="6" t="n">
        <f aca="false">Sens!E9739*self_build*tk_cxfac/1000</f>
        <v>18.6249</v>
      </c>
      <c r="F9760" s="6" t="n">
        <f aca="false">Sens!F9739*self_build*tk_cxfac/1000</f>
        <v>29.409604</v>
      </c>
      <c r="G9760" s="6" t="n">
        <f aca="false">Sens!G9739*self_build*tk_cxfac/1000</f>
        <v>32.019624</v>
      </c>
      <c r="H9760" s="6" t="n">
        <f aca="false">Sens!H9739*self_build*tk_cxfac/1000</f>
        <v>32.019624</v>
      </c>
      <c r="I9760" s="6" t="n">
        <f aca="false">Sens!I9739*self_build*tk_cxfac/1000</f>
        <v>22.71877972</v>
      </c>
      <c r="J9760" s="6" t="n">
        <f aca="false">Sens!J9739*self_build*tk_cxfac/1000</f>
        <v>13.8723110344</v>
      </c>
      <c r="K9760" s="6" t="n">
        <f aca="false">Sens!K9739*self_build*tk_cxfac/1000</f>
        <v>5.214823882632</v>
      </c>
    </row>
    <row r="9761" customFormat="false" ht="17.15" hidden="false" customHeight="false" outlineLevel="0" collapsed="false">
      <c r="A9761" s="0" t="s">
        <v>848</v>
      </c>
      <c r="B9761" s="0" t="s">
        <v>98</v>
      </c>
      <c r="F9761" s="6" t="n">
        <f aca="false">MAX(0,capex_floor27-Sens!F9759-Sens!F9760-Sens!F9855)</f>
        <v>8.42784289897089</v>
      </c>
    </row>
    <row r="9762" customFormat="false" ht="17.15" hidden="false" customHeight="false" outlineLevel="0" collapsed="false">
      <c r="A9762" s="0" t="s">
        <v>849</v>
      </c>
      <c r="B9762" s="0" t="s">
        <v>98</v>
      </c>
      <c r="C9762" s="6" t="n">
        <f aca="false">Sens!C9759</f>
        <v>22.5333845916667</v>
      </c>
      <c r="D9762" s="6" t="n">
        <f aca="false">Sens!D9759</f>
        <v>34.0300093833333</v>
      </c>
      <c r="E9762" s="6" t="n">
        <f aca="false">Sens!E9759</f>
        <v>67.600153775</v>
      </c>
      <c r="F9762" s="6" t="n">
        <f aca="false">Sens!F9759</f>
        <v>130.923271871467</v>
      </c>
      <c r="G9762" s="6" t="n">
        <f aca="false">Sens!G9759</f>
        <v>151.5545564832</v>
      </c>
      <c r="H9762" s="6" t="n">
        <f aca="false">Sens!H9759</f>
        <v>156.0606619104</v>
      </c>
      <c r="I9762" s="6" t="n">
        <f aca="false">Sens!I9759</f>
        <v>140.987889434245</v>
      </c>
      <c r="J9762" s="6" t="n">
        <f aca="false">Sens!J9759</f>
        <v>113.309125559842</v>
      </c>
      <c r="K9762" s="6" t="n">
        <f aca="false">Sens!K9759</f>
        <v>116.192591420959</v>
      </c>
    </row>
    <row r="9763" customFormat="false" ht="17.15" hidden="false" customHeight="false" outlineLevel="0" collapsed="false">
      <c r="A9763" s="0" t="s">
        <v>850</v>
      </c>
      <c r="B9763" s="0" t="s">
        <v>98</v>
      </c>
      <c r="C9763" s="6" t="n">
        <f aca="false">Sens!C9762+Sens!C9760</f>
        <v>28.7416845916667</v>
      </c>
      <c r="D9763" s="6" t="n">
        <f aca="false">Sens!D9762+Sens!D9760</f>
        <v>43.4058093833333</v>
      </c>
      <c r="E9763" s="6" t="n">
        <f aca="false">Sens!E9762+Sens!E9760</f>
        <v>86.225053775</v>
      </c>
      <c r="F9763" s="6" t="n">
        <f aca="false">Sens!F9762+Sens!F9760</f>
        <v>160.332875871467</v>
      </c>
      <c r="G9763" s="6" t="n">
        <f aca="false">Sens!G9762+Sens!G9760</f>
        <v>183.5741804832</v>
      </c>
      <c r="H9763" s="6" t="n">
        <f aca="false">Sens!H9762+Sens!H9760</f>
        <v>188.0802859104</v>
      </c>
      <c r="I9763" s="6" t="n">
        <f aca="false">Sens!I9762+Sens!I9760</f>
        <v>163.706669154245</v>
      </c>
      <c r="J9763" s="6" t="n">
        <f aca="false">Sens!J9762+Sens!J9760</f>
        <v>127.181436594242</v>
      </c>
      <c r="K9763" s="6" t="n">
        <f aca="false">Sens!K9762+Sens!K9760</f>
        <v>121.407415303591</v>
      </c>
      <c r="L9763" s="11" t="s">
        <v>851</v>
      </c>
    </row>
    <row r="9764" customFormat="false" ht="17.15" hidden="false" customHeight="false" outlineLevel="0" collapsed="false">
      <c r="A9764" s="0" t="s">
        <v>852</v>
      </c>
      <c r="B9764" s="0" t="s">
        <v>98</v>
      </c>
      <c r="E9764" s="6" t="n">
        <f aca="false">(Sens!C9762*IF(2&lt;life_it,1,IF(2=life_it,0.5,0))+Sens!D9762*IF(1&lt;life_it,1,IF(1=life_it,0.5,0))+Sens!E9762*0.5)/life_it</f>
        <v>15.0605784770833</v>
      </c>
      <c r="F9764" s="6" t="n">
        <f aca="false">(Sens!C9762*IF(3&lt;life_it,1,IF(3=life_it,0.5,0))+Sens!D9762*IF(2&lt;life_it,1,IF(2=life_it,0.5,0))+Sens!E9762*IF(1&lt;life_it,1,IF(1=life_it,0.5,0))+Sens!F9762*0.5)/life_it</f>
        <v>31.6041972809556</v>
      </c>
      <c r="G9764" s="6" t="n">
        <f aca="false">(Sens!C9762*IF(4&lt;life_it,1,IF(4=life_it,0.5,0))+Sens!D9762*IF(3&lt;life_it,1,IF(3=life_it,0.5,0))+Sens!E9762*IF(2&lt;life_it,1,IF(2=life_it,0.5,0))+Sens!F9762*IF(1&lt;life_it,1,IF(1=life_it,0.5,0))+Sens!G9762*0.5)/life_it</f>
        <v>55.1440163105111</v>
      </c>
      <c r="H9764" s="6" t="n">
        <f aca="false">(Sens!C9762*IF(5&lt;life_it,1,IF(5=life_it,0.5,0))+Sens!D9762*IF(4&lt;life_it,1,IF(4=life_it,0.5,0))+Sens!E9762*IF(3&lt;life_it,1,IF(3=life_it,0.5,0))+Sens!F9762*IF(2&lt;life_it,1,IF(2=life_it,0.5,0))+Sens!G9762*IF(1&lt;life_it,1,IF(1=life_it,0.5,0))+Sens!H9762*0.5)/life_it</f>
        <v>80.7786178433111</v>
      </c>
      <c r="I9764" s="6" t="n">
        <f aca="false">(Sens!C9762*IF(6&lt;life_it,1,IF(6=life_it,0.5,0))+Sens!D9762*IF(5&lt;life_it,1,IF(5=life_it,0.5,0))+Sens!E9762*IF(4&lt;life_it,1,IF(4=life_it,0.5,0))+Sens!F9762*IF(3&lt;life_it,1,IF(3=life_it,0.5,0))+Sens!G9762*IF(2&lt;life_it,1,IF(2=life_it,0.5,0))+Sens!H9762*IF(1&lt;life_it,1,IF(1=life_it,0.5,0))+Sens!I9762*0.5)/life_it</f>
        <v>103.654881739393</v>
      </c>
      <c r="J9764" s="6" t="n">
        <f aca="false">(Sens!C9762*IF(7&lt;life_it,1,IF(7=life_it,0.5,0))+Sens!D9762*IF(6&lt;life_it,1,IF(6=life_it,0.5,0))+Sens!E9762*IF(5&lt;life_it,1,IF(5=life_it,0.5,0))+Sens!F9762*IF(4&lt;life_it,1,IF(4=life_it,0.5,0))+Sens!G9762*IF(3&lt;life_it,1,IF(3=life_it,0.5,0))+Sens!H9762*IF(2&lt;life_it,1,IF(2=life_it,0.5,0))+Sens!I9762*IF(1&lt;life_it,1,IF(1=life_it,0.5,0))+Sens!J9762*0.5)/life_it</f>
        <v>120.132683490983</v>
      </c>
      <c r="K9764" s="6" t="n">
        <f aca="false">(Sens!C9762*IF(8&lt;life_it,1,IF(8=life_it,0.5,0))+Sens!D9762*IF(7&lt;life_it,1,IF(7=life_it,0.5,0))+Sens!E9762*IF(6&lt;life_it,1,IF(6=life_it,0.5,0))+Sens!F9762*IF(5&lt;life_it,1,IF(5=life_it,0.5,0))+Sens!G9762*IF(4&lt;life_it,1,IF(4=life_it,0.5,0))+Sens!H9762*IF(3&lt;life_it,1,IF(3=life_it,0.5,0))+Sens!I9762*IF(2&lt;life_it,1,IF(2=life_it,0.5,0))+Sens!J9762*IF(1&lt;life_it,1,IF(1=life_it,0.5,0))+Sens!K9762*0.5)/life_it</f>
        <v>130.788646309522</v>
      </c>
    </row>
    <row r="9765" customFormat="false" ht="17.15" hidden="false" customHeight="false" outlineLevel="0" collapsed="false">
      <c r="A9765" s="0" t="s">
        <v>853</v>
      </c>
      <c r="B9765" s="0" t="s">
        <v>98</v>
      </c>
      <c r="E9765" s="6" t="n">
        <f aca="false">(Sens!C9760*IF(2&lt;life_fac,1,IF(2=life_fac,0.5,0))+Sens!D9760*IF(1&lt;life_fac,1,IF(1=life_fac,0.5,0))+Sens!E9760*0.5)/life_fac</f>
        <v>1.2448275</v>
      </c>
      <c r="F9765" s="6" t="n">
        <f aca="false">(Sens!C9760*IF(3&lt;life_fac,1,IF(3=life_fac,0.5,0))+Sens!D9760*IF(2&lt;life_fac,1,IF(2=life_fac,0.5,0))+Sens!E9760*IF(1&lt;life_fac,1,IF(1=life_fac,0.5,0))+Sens!F9760*0.5)/life_fac</f>
        <v>2.4456901</v>
      </c>
      <c r="G9765" s="6" t="n">
        <f aca="false">(Sens!C9760*IF(4&lt;life_fac,1,IF(4=life_fac,0.5,0))+Sens!D9760*IF(3&lt;life_fac,1,IF(3=life_fac,0.5,0))+Sens!E9760*IF(2&lt;life_fac,1,IF(2=life_fac,0.5,0))+Sens!F9760*IF(1&lt;life_fac,1,IF(1=life_fac,0.5,0))+Sens!G9760*0.5)/life_fac</f>
        <v>3.9814208</v>
      </c>
      <c r="H9765" s="6" t="n">
        <f aca="false">(Sens!C9760*IF(5&lt;life_fac,1,IF(5=life_fac,0.5,0))+Sens!D9760*IF(4&lt;life_fac,1,IF(4=life_fac,0.5,0))+Sens!E9760*IF(3&lt;life_fac,1,IF(3=life_fac,0.5,0))+Sens!F9760*IF(2&lt;life_fac,1,IF(2=life_fac,0.5,0))+Sens!G9760*IF(1&lt;life_fac,1,IF(1=life_fac,0.5,0))+Sens!H9760*0.5)/life_fac</f>
        <v>5.582402</v>
      </c>
      <c r="I9765" s="6" t="n">
        <f aca="false">(Sens!C9760*IF(6&lt;life_fac,1,IF(6=life_fac,0.5,0))+Sens!D9760*IF(5&lt;life_fac,1,IF(5=life_fac,0.5,0))+Sens!E9760*IF(4&lt;life_fac,1,IF(4=life_fac,0.5,0))+Sens!F9760*IF(3&lt;life_fac,1,IF(3=life_fac,0.5,0))+Sens!G9760*IF(2&lt;life_fac,1,IF(2=life_fac,0.5,0))+Sens!H9760*IF(1&lt;life_fac,1,IF(1=life_fac,0.5,0))+Sens!I9760*0.5)/life_fac</f>
        <v>6.950862093</v>
      </c>
      <c r="J9765" s="6" t="n">
        <f aca="false">(Sens!C9760*IF(7&lt;life_fac,1,IF(7=life_fac,0.5,0))+Sens!D9760*IF(6&lt;life_fac,1,IF(6=life_fac,0.5,0))+Sens!E9760*IF(5&lt;life_fac,1,IF(5=life_fac,0.5,0))+Sens!F9760*IF(4&lt;life_fac,1,IF(4=life_fac,0.5,0))+Sens!G9760*IF(3&lt;life_fac,1,IF(3=life_fac,0.5,0))+Sens!H9760*IF(2&lt;life_fac,1,IF(2=life_fac,0.5,0))+Sens!I9760*IF(1&lt;life_fac,1,IF(1=life_fac,0.5,0))+Sens!J9760*0.5)/life_fac</f>
        <v>7.86563936186</v>
      </c>
      <c r="K9765" s="6" t="n">
        <f aca="false">(Sens!C9760*IF(8&lt;life_fac,1,IF(8=life_fac,0.5,0))+Sens!D9760*IF(7&lt;life_fac,1,IF(7=life_fac,0.5,0))+Sens!E9760*IF(6&lt;life_fac,1,IF(6=life_fac,0.5,0))+Sens!F9760*IF(5&lt;life_fac,1,IF(5=life_fac,0.5,0))+Sens!G9760*IF(4&lt;life_fac,1,IF(4=life_fac,0.5,0))+Sens!H9760*IF(3&lt;life_fac,1,IF(3=life_fac,0.5,0))+Sens!I9760*IF(2&lt;life_fac,1,IF(2=life_fac,0.5,0))+Sens!J9760*IF(1&lt;life_fac,1,IF(1=life_fac,0.5,0))+Sens!K9760*0.5)/life_fac</f>
        <v>8.3428177347858</v>
      </c>
    </row>
    <row r="9766" customFormat="false" ht="17.15" hidden="false" customHeight="false" outlineLevel="0" collapsed="false">
      <c r="A9766" s="0" t="s">
        <v>854</v>
      </c>
      <c r="B9766" s="0" t="s">
        <v>98</v>
      </c>
      <c r="E9766" s="6" t="n">
        <f aca="false">Sens!E9764+Sens!E9765</f>
        <v>16.3054059770833</v>
      </c>
      <c r="F9766" s="6" t="n">
        <f aca="false">Sens!F9764+Sens!F9765</f>
        <v>34.0498873809555</v>
      </c>
      <c r="G9766" s="6" t="n">
        <f aca="false">Sens!G9764+Sens!G9765</f>
        <v>59.1254371105111</v>
      </c>
      <c r="H9766" s="6" t="n">
        <f aca="false">Sens!H9764+Sens!H9765</f>
        <v>86.3610198433111</v>
      </c>
      <c r="I9766" s="6" t="n">
        <f aca="false">Sens!I9764+Sens!I9765</f>
        <v>110.605743832393</v>
      </c>
      <c r="J9766" s="6" t="n">
        <f aca="false">Sens!J9764+Sens!J9765</f>
        <v>127.998322852843</v>
      </c>
      <c r="K9766" s="6" t="n">
        <f aca="false">Sens!K9764+Sens!K9765</f>
        <v>139.131464044308</v>
      </c>
    </row>
    <row r="9767" customFormat="false" ht="17.15" hidden="false" customHeight="false" outlineLevel="0" collapsed="false">
      <c r="A9767" s="0" t="s">
        <v>855</v>
      </c>
      <c r="B9767" s="0" t="s">
        <v>98</v>
      </c>
      <c r="E9767" s="6" t="n">
        <f aca="false">Sens!E9755-Sens!E9754*Sens!E9766</f>
        <v>8.92707889977379</v>
      </c>
      <c r="F9767" s="6" t="n">
        <f aca="false">Sens!F9755-Sens!F9754*Sens!F9766</f>
        <v>14.6274131339686</v>
      </c>
      <c r="G9767" s="6" t="n">
        <f aca="false">Sens!G9755-Sens!G9754*Sens!G9766</f>
        <v>16.7752349049804</v>
      </c>
      <c r="H9767" s="6" t="n">
        <f aca="false">Sens!H9755-Sens!H9754*Sens!H9766</f>
        <v>13.4630579450404</v>
      </c>
      <c r="I9767" s="6" t="n">
        <f aca="false">Sens!I9755-Sens!I9754*Sens!I9766</f>
        <v>16.9068533370192</v>
      </c>
      <c r="J9767" s="6" t="n">
        <f aca="false">Sens!J9755-Sens!J9754*Sens!J9766</f>
        <v>19.3011433836036</v>
      </c>
      <c r="K9767" s="6" t="n">
        <f aca="false">Sens!K9755-Sens!K9754*Sens!K9766</f>
        <v>21.3550700932312</v>
      </c>
    </row>
    <row r="9768" customFormat="false" ht="17.15" hidden="false" customHeight="false" outlineLevel="0" collapsed="false">
      <c r="A9768" s="3" t="s">
        <v>1513</v>
      </c>
    </row>
    <row r="9769" customFormat="false" ht="15" hidden="false" customHeight="false" outlineLevel="0" collapsed="false">
      <c r="A9769" s="4" t="s">
        <v>43</v>
      </c>
      <c r="B9769" s="4" t="s">
        <v>65</v>
      </c>
      <c r="C9769" s="20" t="s">
        <v>799</v>
      </c>
      <c r="D9769" s="20" t="s">
        <v>800</v>
      </c>
      <c r="E9769" s="20" t="s">
        <v>801</v>
      </c>
      <c r="F9769" s="20" t="s">
        <v>802</v>
      </c>
      <c r="G9769" s="20" t="s">
        <v>803</v>
      </c>
      <c r="H9769" s="20" t="s">
        <v>804</v>
      </c>
      <c r="I9769" s="20" t="s">
        <v>805</v>
      </c>
      <c r="J9769" s="20" t="s">
        <v>806</v>
      </c>
      <c r="K9769" s="20" t="s">
        <v>807</v>
      </c>
      <c r="L9769" s="4" t="s">
        <v>47</v>
      </c>
    </row>
    <row r="9770" customFormat="false" ht="17.15" hidden="false" customHeight="false" outlineLevel="0" collapsed="false">
      <c r="A9770" s="0" t="s">
        <v>874</v>
      </c>
      <c r="B9770" s="0" t="s">
        <v>98</v>
      </c>
      <c r="D9770" s="6" t="n">
        <f aca="false">Sens!D9749</f>
        <v>12.9359794422418</v>
      </c>
      <c r="E9770" s="6" t="n">
        <f aca="false">Sens!E9749</f>
        <v>27.8095064661409</v>
      </c>
      <c r="F9770" s="6" t="n">
        <f aca="false">Sens!F9749</f>
        <v>50.6619113883066</v>
      </c>
      <c r="G9770" s="6" t="n">
        <f aca="false">Sens!G9749</f>
        <v>75.1482839325348</v>
      </c>
      <c r="H9770" s="6" t="n">
        <f aca="false">Sens!H9749</f>
        <v>94.895655604042</v>
      </c>
      <c r="I9770" s="6" t="n">
        <f aca="false">Sens!I9749</f>
        <v>118.706168884151</v>
      </c>
      <c r="J9770" s="6" t="n">
        <f aca="false">Sens!J9749</f>
        <v>135.50643871102</v>
      </c>
      <c r="K9770" s="6" t="n">
        <f aca="false">Sens!K9749</f>
        <v>146.509068150048</v>
      </c>
    </row>
    <row r="9771" customFormat="false" ht="17.15" hidden="false" customHeight="false" outlineLevel="0" collapsed="false">
      <c r="A9771" s="0" t="s">
        <v>875</v>
      </c>
      <c r="B9771" s="0" t="s">
        <v>98</v>
      </c>
      <c r="D9771" s="6" t="n">
        <f aca="false">Q!L6-Sens!D9770</f>
        <v>59.6740205577583</v>
      </c>
      <c r="E9771" s="6" t="n">
        <f aca="false">Q!M6-Sens!E9770</f>
        <v>74.1284935338591</v>
      </c>
      <c r="F9771" s="6" t="n">
        <f aca="false">Sens!E9771*(1+Sens!F9772)</f>
        <v>90.0799497373663</v>
      </c>
      <c r="G9771" s="6" t="n">
        <f aca="false">Sens!F9771*(1+Sens!G9772)</f>
        <v>107.02842520331</v>
      </c>
      <c r="H9771" s="6" t="n">
        <f aca="false">Sens!G9771*(1+Sens!H9772)</f>
        <v>124.271982585636</v>
      </c>
      <c r="I9771" s="6" t="n">
        <f aca="false">Sens!H9771*(1+Sens!I9772)</f>
        <v>140.933702381855</v>
      </c>
      <c r="J9771" s="6" t="n">
        <f aca="false">Sens!I9771*(1+Sens!J9772)</f>
        <v>156.018867314332</v>
      </c>
      <c r="K9771" s="6" t="n">
        <f aca="false">Sens!J9771*(1+Sens!K9772)</f>
        <v>168.500376699478</v>
      </c>
    </row>
    <row r="9772" customFormat="false" ht="15" hidden="false" customHeight="false" outlineLevel="0" collapsed="false">
      <c r="A9772" s="1" t="s">
        <v>876</v>
      </c>
      <c r="B9772" s="0" t="s">
        <v>129</v>
      </c>
      <c r="E9772" s="7" t="n">
        <f aca="false">Sens!E9771/Sens!D9771-1</f>
        <v>0.242223883039864</v>
      </c>
      <c r="F9772" s="7" t="n">
        <f aca="false">Sens!$E$9772+(glt_azo-Sens!$E$9772)*MIN(1,(Sens!F9732-base_fy)/n_conv)</f>
        <v>0.215186569199887</v>
      </c>
      <c r="G9772" s="7" t="n">
        <f aca="false">Sens!$E$9772+(glt_azo-Sens!$E$9772)*MIN(1,(Sens!G9732-base_fy)/n_conv)</f>
        <v>0.18814925535991</v>
      </c>
      <c r="H9772" s="7" t="n">
        <f aca="false">Sens!$E$9772+(glt_azo-Sens!$E$9772)*MIN(1,(Sens!H9732-base_fy)/n_conv)</f>
        <v>0.161111941519932</v>
      </c>
      <c r="I9772" s="7" t="n">
        <f aca="false">Sens!$E$9772+(glt_azo-Sens!$E$9772)*MIN(1,(Sens!I9732-base_fy)/n_conv)</f>
        <v>0.134074627679955</v>
      </c>
      <c r="J9772" s="7" t="n">
        <f aca="false">Sens!$E$9772+(glt_azo-Sens!$E$9772)*MIN(1,(Sens!J9732-base_fy)/n_conv)</f>
        <v>0.107037313839977</v>
      </c>
      <c r="K9772" s="7" t="n">
        <f aca="false">Sens!$E$9772+(glt_azo-Sens!$E$9772)*MIN(1,(Sens!K9732-base_fy)/n_conv)</f>
        <v>0.08</v>
      </c>
    </row>
    <row r="9773" customFormat="false" ht="15" hidden="false" customHeight="false" outlineLevel="0" collapsed="false">
      <c r="A9773" s="0" t="s">
        <v>877</v>
      </c>
      <c r="B9773" s="0" t="s">
        <v>98</v>
      </c>
      <c r="D9773" s="6" t="n">
        <f aca="false">Sens!D9770+Sens!D9771</f>
        <v>72.61</v>
      </c>
      <c r="E9773" s="6" t="n">
        <f aca="false">Sens!E9770+Sens!E9771</f>
        <v>101.938</v>
      </c>
      <c r="F9773" s="6" t="n">
        <f aca="false">Sens!F9770+Sens!F9771</f>
        <v>140.741861125673</v>
      </c>
      <c r="G9773" s="6" t="n">
        <f aca="false">Sens!G9770+Sens!G9771</f>
        <v>182.176709135845</v>
      </c>
      <c r="H9773" s="6" t="n">
        <f aca="false">Sens!H9770+Sens!H9771</f>
        <v>219.167638189678</v>
      </c>
      <c r="I9773" s="6" t="n">
        <f aca="false">Sens!I9770+Sens!I9771</f>
        <v>259.639871266006</v>
      </c>
      <c r="J9773" s="6" t="n">
        <f aca="false">Sens!J9770+Sens!J9771</f>
        <v>291.525306025352</v>
      </c>
      <c r="K9773" s="6" t="n">
        <f aca="false">Sens!K9770+Sens!K9771</f>
        <v>315.009444849526</v>
      </c>
    </row>
    <row r="9774" customFormat="false" ht="17.15" hidden="false" customHeight="false" outlineLevel="0" collapsed="false">
      <c r="A9774" s="0" t="s">
        <v>878</v>
      </c>
      <c r="B9774" s="1" t="s">
        <v>528</v>
      </c>
      <c r="C9774" s="29" t="n">
        <f aca="false">cop_s24</f>
        <v>1</v>
      </c>
      <c r="D9774" s="29" t="n">
        <f aca="false">cop_s25</f>
        <v>5</v>
      </c>
      <c r="E9774" s="29" t="n">
        <f aca="false">cop_s26</f>
        <v>30</v>
      </c>
      <c r="F9774" s="29" t="n">
        <f aca="false">Sens!E9774+cop_add_C</f>
        <v>40</v>
      </c>
      <c r="G9774" s="29" t="n">
        <f aca="false">Sens!F9774+cop_add_C</f>
        <v>50</v>
      </c>
      <c r="H9774" s="29" t="n">
        <f aca="false">Sens!G9774+cop_add_C</f>
        <v>60</v>
      </c>
      <c r="I9774" s="29" t="n">
        <f aca="false">Sens!H9774+cop_add_C*cop_tail</f>
        <v>65</v>
      </c>
      <c r="J9774" s="29" t="n">
        <f aca="false">Sens!I9774+cop_add_C*cop_tail</f>
        <v>70</v>
      </c>
      <c r="K9774" s="29" t="n">
        <f aca="false">Sens!J9774+cop_add_C*cop_tail</f>
        <v>75</v>
      </c>
      <c r="L9774" s="11" t="s">
        <v>879</v>
      </c>
    </row>
    <row r="9775" customFormat="false" ht="17.15" hidden="false" customHeight="false" outlineLevel="0" collapsed="false">
      <c r="A9775" s="0" t="s">
        <v>880</v>
      </c>
      <c r="B9775" s="0" t="s">
        <v>98</v>
      </c>
      <c r="D9775" s="6" t="n">
        <f aca="false">(Sens!C9774+Sens!D9774)/2*cop_px*12/1000</f>
        <v>0.9</v>
      </c>
      <c r="E9775" s="6" t="n">
        <f aca="false">(Sens!D9774+Sens!E9774)/2*cop_px*12/1000</f>
        <v>5.25</v>
      </c>
      <c r="F9775" s="6" t="n">
        <f aca="false">(Sens!E9774+Sens!F9774)/2*cop_px*12/1000</f>
        <v>10.5</v>
      </c>
      <c r="G9775" s="6" t="n">
        <f aca="false">(Sens!F9774+Sens!G9774)/2*cop_px*12/1000</f>
        <v>13.5</v>
      </c>
      <c r="H9775" s="6" t="n">
        <f aca="false">(Sens!G9774+Sens!H9774)/2*cop_px*12/1000</f>
        <v>16.5</v>
      </c>
      <c r="I9775" s="6" t="n">
        <f aca="false">(Sens!H9774+Sens!I9774)/2*cop_px*12/1000</f>
        <v>18.75</v>
      </c>
      <c r="J9775" s="6" t="n">
        <f aca="false">(Sens!I9774+Sens!J9774)/2*cop_px*12/1000</f>
        <v>20.25</v>
      </c>
      <c r="K9775" s="6" t="n">
        <f aca="false">(Sens!J9774+Sens!K9774)/2*cop_px*12/1000</f>
        <v>21.75</v>
      </c>
      <c r="L9775" s="1" t="s">
        <v>881</v>
      </c>
    </row>
    <row r="9776" customFormat="false" ht="17.15" hidden="false" customHeight="false" outlineLevel="0" collapsed="false">
      <c r="A9776" s="0" t="s">
        <v>882</v>
      </c>
      <c r="B9776" s="0" t="s">
        <v>98</v>
      </c>
      <c r="D9776" s="6" t="n">
        <f aca="false">Q!L7-Sens!D9775</f>
        <v>83.705</v>
      </c>
      <c r="E9776" s="6" t="n">
        <f aca="false">Q!M7-Sens!E9775</f>
        <v>95.049</v>
      </c>
      <c r="F9776" s="6" t="n">
        <f aca="false">Sens!E9776*(1+Sens!F9777)</f>
        <v>106.89238776686</v>
      </c>
      <c r="G9776" s="6" t="n">
        <f aca="false">Sens!F9776*(1+Sens!G9777)</f>
        <v>119.044168448684</v>
      </c>
      <c r="H9776" s="6" t="n">
        <f aca="false">Sens!G9776*(1+Sens!H9777)</f>
        <v>131.277359388781</v>
      </c>
      <c r="I9776" s="6" t="n">
        <f aca="false">Sens!H9776*(1+Sens!I9777)</f>
        <v>143.334028071957</v>
      </c>
      <c r="J9776" s="6" t="n">
        <f aca="false">Sens!I9776*(1+Sens!J9777)</f>
        <v>154.932702785465</v>
      </c>
      <c r="K9776" s="6" t="n">
        <f aca="false">Sens!J9776*(1+Sens!K9777)</f>
        <v>165.777991980448</v>
      </c>
    </row>
    <row r="9777" customFormat="false" ht="15" hidden="false" customHeight="false" outlineLevel="0" collapsed="false">
      <c r="A9777" s="1" t="s">
        <v>876</v>
      </c>
      <c r="B9777" s="0" t="s">
        <v>129</v>
      </c>
      <c r="E9777" s="7" t="n">
        <f aca="false">Sens!E9776/Sens!D9776-1</f>
        <v>0.135523564900544</v>
      </c>
      <c r="F9777" s="7" t="n">
        <f aca="false">Sens!$E$9777+(glt_m365b-Sens!$E$9777)*MIN(1,(Sens!F9732-base_fy)/n_conv)</f>
        <v>0.124602970750453</v>
      </c>
      <c r="G9777" s="7" t="n">
        <f aca="false">Sens!$E$9777+(glt_m365b-Sens!$E$9777)*MIN(1,(Sens!G9732-base_fy)/n_conv)</f>
        <v>0.113682376600363</v>
      </c>
      <c r="H9777" s="7" t="n">
        <f aca="false">Sens!$E$9777+(glt_m365b-Sens!$E$9777)*MIN(1,(Sens!H9732-base_fy)/n_conv)</f>
        <v>0.102761782450272</v>
      </c>
      <c r="I9777" s="7" t="n">
        <f aca="false">Sens!$E$9777+(glt_m365b-Sens!$E$9777)*MIN(1,(Sens!I9732-base_fy)/n_conv)</f>
        <v>0.0918411883001813</v>
      </c>
      <c r="J9777" s="7" t="n">
        <f aca="false">Sens!$E$9777+(glt_m365b-Sens!$E$9777)*MIN(1,(Sens!J9732-base_fy)/n_conv)</f>
        <v>0.0809205941500906</v>
      </c>
      <c r="K9777" s="7" t="n">
        <f aca="false">Sens!$E$9777+(glt_m365b-Sens!$E$9777)*MIN(1,(Sens!K9732-base_fy)/n_conv)</f>
        <v>0.07</v>
      </c>
    </row>
    <row r="9778" customFormat="false" ht="15" hidden="false" customHeight="false" outlineLevel="0" collapsed="false">
      <c r="A9778" s="0" t="s">
        <v>883</v>
      </c>
      <c r="B9778" s="0" t="s">
        <v>98</v>
      </c>
      <c r="D9778" s="6" t="n">
        <f aca="false">Sens!D9776+Sens!D9775</f>
        <v>84.605</v>
      </c>
      <c r="E9778" s="6" t="n">
        <f aca="false">Sens!E9776+Sens!E9775</f>
        <v>100.299</v>
      </c>
      <c r="F9778" s="6" t="n">
        <f aca="false">Sens!F9776+Sens!F9775</f>
        <v>117.39238776686</v>
      </c>
      <c r="G9778" s="6" t="n">
        <f aca="false">Sens!G9776+Sens!G9775</f>
        <v>132.544168448684</v>
      </c>
      <c r="H9778" s="6" t="n">
        <f aca="false">Sens!H9776+Sens!H9775</f>
        <v>147.777359388781</v>
      </c>
      <c r="I9778" s="6" t="n">
        <f aca="false">Sens!I9776+Sens!I9775</f>
        <v>162.084028071957</v>
      </c>
      <c r="J9778" s="6" t="n">
        <f aca="false">Sens!J9776+Sens!J9775</f>
        <v>175.182702785465</v>
      </c>
      <c r="K9778" s="6" t="n">
        <f aca="false">Sens!K9776+Sens!K9775</f>
        <v>187.527991980448</v>
      </c>
    </row>
    <row r="9779" customFormat="false" ht="15" hidden="false" customHeight="false" outlineLevel="0" collapsed="false">
      <c r="A9779" s="0" t="s">
        <v>884</v>
      </c>
      <c r="B9779" s="0" t="s">
        <v>98</v>
      </c>
      <c r="D9779" s="6" t="n">
        <f aca="false">Q!L8</f>
        <v>35.391</v>
      </c>
      <c r="E9779" s="6" t="n">
        <f aca="false">Q!M8</f>
        <v>37.285</v>
      </c>
      <c r="F9779" s="6" t="n">
        <f aca="false">Sens!E9779*(1+Sens!F9780)</f>
        <v>39.0720834331704</v>
      </c>
      <c r="G9779" s="6" t="n">
        <f aca="false">Sens!F9779*(1+Sens!G9780)</f>
        <v>40.726562953769</v>
      </c>
      <c r="H9779" s="6" t="n">
        <f aca="false">Sens!G9779*(1+Sens!H9780)</f>
        <v>42.2235987259198</v>
      </c>
      <c r="I9779" s="6" t="n">
        <f aca="false">Sens!H9779*(1+Sens!I9780)</f>
        <v>43.5397988077414</v>
      </c>
      <c r="J9779" s="6" t="n">
        <f aca="false">Sens!I9779*(1+Sens!J9780)</f>
        <v>44.653811225693</v>
      </c>
      <c r="K9779" s="6" t="n">
        <f aca="false">Sens!J9779*(1+Sens!K9780)</f>
        <v>45.5468874502068</v>
      </c>
    </row>
    <row r="9780" customFormat="false" ht="15" hidden="false" customHeight="false" outlineLevel="0" collapsed="false">
      <c r="A9780" s="1" t="s">
        <v>876</v>
      </c>
      <c r="B9780" s="0" t="s">
        <v>129</v>
      </c>
      <c r="E9780" s="7" t="n">
        <f aca="false">Sens!E9779/Sens!D9779-1</f>
        <v>0.0535164307309768</v>
      </c>
      <c r="F9780" s="7" t="n">
        <f aca="false">Sens!$E$9780+(glt_lic-Sens!$E$9780)*MIN(1,(Sens!F9732-base_fy)/n_conv)</f>
        <v>0.0479303589424807</v>
      </c>
      <c r="G9780" s="7" t="n">
        <f aca="false">Sens!$E$9780+(glt_lic-Sens!$E$9780)*MIN(1,(Sens!G9732-base_fy)/n_conv)</f>
        <v>0.0423442871539845</v>
      </c>
      <c r="H9780" s="7" t="n">
        <f aca="false">Sens!$E$9780+(glt_lic-Sens!$E$9780)*MIN(1,(Sens!H9732-base_fy)/n_conv)</f>
        <v>0.0367582153654884</v>
      </c>
      <c r="I9780" s="7" t="n">
        <f aca="false">Sens!$E$9780+(glt_lic-Sens!$E$9780)*MIN(1,(Sens!I9732-base_fy)/n_conv)</f>
        <v>0.0311721435769923</v>
      </c>
      <c r="J9780" s="7" t="n">
        <f aca="false">Sens!$E$9780+(glt_lic-Sens!$E$9780)*MIN(1,(Sens!J9732-base_fy)/n_conv)</f>
        <v>0.0255860717884961</v>
      </c>
      <c r="K9780" s="7" t="n">
        <f aca="false">Sens!$E$9780+(glt_lic-Sens!$E$9780)*MIN(1,(Sens!K9732-base_fy)/n_conv)</f>
        <v>0.02</v>
      </c>
    </row>
    <row r="9781" customFormat="false" ht="15" hidden="false" customHeight="false" outlineLevel="0" collapsed="false">
      <c r="A9781" s="0" t="s">
        <v>885</v>
      </c>
      <c r="B9781" s="0" t="s">
        <v>98</v>
      </c>
      <c r="D9781" s="6" t="n">
        <f aca="false">Q!L9</f>
        <v>18.417</v>
      </c>
      <c r="E9781" s="6" t="n">
        <f aca="false">Q!M9</f>
        <v>20.345</v>
      </c>
      <c r="F9781" s="6" t="n">
        <f aca="false">Sens!E9781*(1+Sens!F9782)</f>
        <v>22.3572203267814</v>
      </c>
      <c r="G9781" s="6" t="n">
        <f aca="false">Sens!F9781*(1+Sens!G9782)</f>
        <v>24.4392124437232</v>
      </c>
      <c r="H9781" s="6" t="n">
        <f aca="false">Sens!G9781*(1+Sens!H9782)</f>
        <v>26.5738052080665</v>
      </c>
      <c r="I9781" s="6" t="n">
        <f aca="false">Sens!H9781*(1+Sens!I9782)</f>
        <v>28.7412169166967</v>
      </c>
      <c r="J9781" s="6" t="n">
        <f aca="false">Sens!I9781*(1+Sens!J9782)</f>
        <v>30.9192545395413</v>
      </c>
      <c r="K9781" s="6" t="n">
        <f aca="false">Sens!J9781*(1+Sens!K9782)</f>
        <v>33.0836023573092</v>
      </c>
    </row>
    <row r="9782" customFormat="false" ht="15" hidden="false" customHeight="false" outlineLevel="0" collapsed="false">
      <c r="A9782" s="1" t="s">
        <v>876</v>
      </c>
      <c r="B9782" s="0" t="s">
        <v>129</v>
      </c>
      <c r="E9782" s="7" t="n">
        <f aca="false">Sens!E9781/Sens!D9781-1</f>
        <v>0.104685888038225</v>
      </c>
      <c r="F9782" s="7" t="n">
        <f aca="false">Sens!$E$9782+(glt_ind-Sens!$E$9782)*MIN(1,(Sens!F9732-base_fy)/n_conv)</f>
        <v>0.0989049066985211</v>
      </c>
      <c r="G9782" s="7" t="n">
        <f aca="false">Sens!$E$9782+(glt_ind-Sens!$E$9782)*MIN(1,(Sens!G9732-base_fy)/n_conv)</f>
        <v>0.0931239253588169</v>
      </c>
      <c r="H9782" s="7" t="n">
        <f aca="false">Sens!$E$9782+(glt_ind-Sens!$E$9782)*MIN(1,(Sens!H9732-base_fy)/n_conv)</f>
        <v>0.0873429440191127</v>
      </c>
      <c r="I9782" s="7" t="n">
        <f aca="false">Sens!$E$9782+(glt_ind-Sens!$E$9782)*MIN(1,(Sens!I9732-base_fy)/n_conv)</f>
        <v>0.0815619626794085</v>
      </c>
      <c r="J9782" s="7" t="n">
        <f aca="false">Sens!$E$9782+(glt_ind-Sens!$E$9782)*MIN(1,(Sens!J9732-base_fy)/n_conv)</f>
        <v>0.0757809813397042</v>
      </c>
      <c r="K9782" s="7" t="n">
        <f aca="false">Sens!$E$9782+(glt_ind-Sens!$E$9782)*MIN(1,(Sens!K9732-base_fy)/n_conv)</f>
        <v>0.07</v>
      </c>
    </row>
    <row r="9783" customFormat="false" ht="15" hidden="false" customHeight="false" outlineLevel="0" collapsed="false">
      <c r="A9783" s="0" t="s">
        <v>886</v>
      </c>
      <c r="B9783" s="0" t="s">
        <v>98</v>
      </c>
      <c r="D9783" s="6" t="n">
        <f aca="false">Q!L10</f>
        <v>7.76</v>
      </c>
      <c r="E9783" s="6" t="n">
        <f aca="false">Q!M10</f>
        <v>8.26</v>
      </c>
      <c r="F9783" s="6" t="n">
        <f aca="false">Sens!E9783*(1+Sens!F9784)</f>
        <v>8.79988041237113</v>
      </c>
      <c r="G9783" s="6" t="n">
        <f aca="false">Sens!F9783*(1+Sens!G9784)</f>
        <v>9.38321269125306</v>
      </c>
      <c r="H9783" s="6" t="n">
        <f aca="false">Sens!G9783*(1+Sens!H9784)</f>
        <v>10.0139193587476</v>
      </c>
      <c r="I9783" s="6" t="n">
        <f aca="false">Sens!H9783*(1+Sens!I9784)</f>
        <v>10.6963111830911</v>
      </c>
      <c r="J9783" s="6" t="n">
        <f aca="false">Sens!I9783*(1+Sens!J9784)</f>
        <v>11.4351285534696</v>
      </c>
      <c r="K9783" s="6" t="n">
        <f aca="false">Sens!J9783*(1+Sens!K9784)</f>
        <v>12.2355875522124</v>
      </c>
    </row>
    <row r="9784" customFormat="false" ht="15" hidden="false" customHeight="false" outlineLevel="0" collapsed="false">
      <c r="A9784" s="1" t="s">
        <v>876</v>
      </c>
      <c r="B9784" s="0" t="s">
        <v>129</v>
      </c>
      <c r="E9784" s="7" t="n">
        <f aca="false">Sens!E9783/Sens!D9783-1</f>
        <v>0.0644329896907216</v>
      </c>
      <c r="F9784" s="7" t="n">
        <f aca="false">Sens!$E$9784+(glt_fro-Sens!$E$9784)*MIN(1,(Sens!F9732-base_fy)/n_conv)</f>
        <v>0.065360824742268</v>
      </c>
      <c r="G9784" s="7" t="n">
        <f aca="false">Sens!$E$9784+(glt_fro-Sens!$E$9784)*MIN(1,(Sens!G9732-base_fy)/n_conv)</f>
        <v>0.0662886597938144</v>
      </c>
      <c r="H9784" s="7" t="n">
        <f aca="false">Sens!$E$9784+(glt_fro-Sens!$E$9784)*MIN(1,(Sens!H9732-base_fy)/n_conv)</f>
        <v>0.0672164948453608</v>
      </c>
      <c r="I9784" s="7" t="n">
        <f aca="false">Sens!$E$9784+(glt_fro-Sens!$E$9784)*MIN(1,(Sens!I9732-base_fy)/n_conv)</f>
        <v>0.0681443298969072</v>
      </c>
      <c r="J9784" s="7" t="n">
        <f aca="false">Sens!$E$9784+(glt_fro-Sens!$E$9784)*MIN(1,(Sens!J9732-base_fy)/n_conv)</f>
        <v>0.0690721649484536</v>
      </c>
      <c r="K9784" s="7" t="n">
        <f aca="false">Sens!$E$9784+(glt_fro-Sens!$E$9784)*MIN(1,(Sens!K9732-base_fy)/n_conv)</f>
        <v>0.07</v>
      </c>
    </row>
    <row r="9785" customFormat="false" ht="15" hidden="false" customHeight="false" outlineLevel="0" collapsed="false">
      <c r="A9785" s="0" t="s">
        <v>715</v>
      </c>
      <c r="B9785" s="0" t="s">
        <v>98</v>
      </c>
      <c r="D9785" s="6" t="n">
        <f aca="false">Sens!D9773+Sens!D9778+Sens!D9779+Sens!D9781+Sens!D9783</f>
        <v>218.783</v>
      </c>
      <c r="E9785" s="6" t="n">
        <f aca="false">Sens!E9773+Sens!E9778+Sens!E9779+Sens!E9781+Sens!E9783</f>
        <v>268.127</v>
      </c>
      <c r="F9785" s="6" t="n">
        <f aca="false">Sens!F9773+Sens!F9778+Sens!F9779+Sens!F9781+Sens!F9783</f>
        <v>328.363433064856</v>
      </c>
      <c r="G9785" s="6" t="n">
        <f aca="false">Sens!G9773+Sens!G9778+Sens!G9779+Sens!G9781+Sens!G9783</f>
        <v>389.269865673274</v>
      </c>
      <c r="H9785" s="6" t="n">
        <f aca="false">Sens!H9773+Sens!H9778+Sens!H9779+Sens!H9781+Sens!H9783</f>
        <v>445.756320871193</v>
      </c>
      <c r="I9785" s="6" t="n">
        <f aca="false">Sens!I9773+Sens!I9778+Sens!I9779+Sens!I9781+Sens!I9783</f>
        <v>504.701226245492</v>
      </c>
      <c r="J9785" s="6" t="n">
        <f aca="false">Sens!J9773+Sens!J9778+Sens!J9779+Sens!J9781+Sens!J9783</f>
        <v>553.716203129521</v>
      </c>
      <c r="K9785" s="6" t="n">
        <f aca="false">Sens!K9773+Sens!K9778+Sens!K9779+Sens!K9781+Sens!K9783</f>
        <v>593.403514189702</v>
      </c>
    </row>
    <row r="9786" customFormat="false" ht="15" hidden="false" customHeight="false" outlineLevel="0" collapsed="false">
      <c r="A9786" s="0" t="s">
        <v>887</v>
      </c>
      <c r="B9786" s="0" t="s">
        <v>98</v>
      </c>
      <c r="D9786" s="6" t="n">
        <f aca="false">Q!L13</f>
        <v>22.171</v>
      </c>
      <c r="E9786" s="6" t="n">
        <f aca="false">Q!M13</f>
        <v>24.835</v>
      </c>
      <c r="F9786" s="6" t="n">
        <f aca="false">Sens!E9786*(1+Sens!F9787)</f>
        <v>27.7356651218559</v>
      </c>
      <c r="G9786" s="6" t="n">
        <f aca="false">Sens!F9786*(1+Sens!G9787)</f>
        <v>30.8819427955575</v>
      </c>
      <c r="H9786" s="6" t="n">
        <f aca="false">Sens!G9786*(1+Sens!H9787)</f>
        <v>34.2813801456859</v>
      </c>
      <c r="I9786" s="6" t="n">
        <f aca="false">Sens!H9786*(1+Sens!I9787)</f>
        <v>37.9398543169022</v>
      </c>
      <c r="J9786" s="6" t="n">
        <f aca="false">Sens!I9786*(1+Sens!J9787)</f>
        <v>41.8612984476003</v>
      </c>
      <c r="K9786" s="6" t="n">
        <f aca="false">Sens!J9786*(1+Sens!K9787)</f>
        <v>46.0474282923604</v>
      </c>
    </row>
    <row r="9787" customFormat="false" ht="15" hidden="false" customHeight="false" outlineLevel="0" collapsed="false">
      <c r="A9787" s="1" t="s">
        <v>876</v>
      </c>
      <c r="B9787" s="0" t="s">
        <v>129</v>
      </c>
      <c r="E9787" s="7" t="n">
        <f aca="false">Sens!E9786/Sens!D9786-1</f>
        <v>0.120156961796942</v>
      </c>
      <c r="F9787" s="7" t="n">
        <f aca="false">Sens!$E$9787+(glt_srch_hi-Sens!$E$9787)*MIN(1,(Sens!F9732-base_fy)/n_conv)</f>
        <v>0.116797468164118</v>
      </c>
      <c r="G9787" s="7" t="n">
        <f aca="false">Sens!$E$9787+(glt_srch_hi-Sens!$E$9787)*MIN(1,(Sens!G9732-base_fy)/n_conv)</f>
        <v>0.113437974531295</v>
      </c>
      <c r="H9787" s="7" t="n">
        <f aca="false">Sens!$E$9787+(glt_srch_hi-Sens!$E$9787)*MIN(1,(Sens!H9732-base_fy)/n_conv)</f>
        <v>0.110078480898471</v>
      </c>
      <c r="I9787" s="7" t="n">
        <f aca="false">Sens!$E$9787+(glt_srch_hi-Sens!$E$9787)*MIN(1,(Sens!I9732-base_fy)/n_conv)</f>
        <v>0.106718987265647</v>
      </c>
      <c r="J9787" s="7" t="n">
        <f aca="false">Sens!$E$9787+(glt_srch_hi-Sens!$E$9787)*MIN(1,(Sens!J9732-base_fy)/n_conv)</f>
        <v>0.103359493632824</v>
      </c>
      <c r="K9787" s="7" t="n">
        <f aca="false">Sens!$E$9787+(glt_srch_hi-Sens!$E$9787)*MIN(1,(Sens!K9732-base_fy)/n_conv)</f>
        <v>0.1</v>
      </c>
    </row>
    <row r="9788" customFormat="false" ht="15" hidden="false" customHeight="false" outlineLevel="0" collapsed="false">
      <c r="A9788" s="0" t="s">
        <v>888</v>
      </c>
      <c r="B9788" s="0" t="s">
        <v>98</v>
      </c>
      <c r="D9788" s="6" t="n">
        <f aca="false">Q!L14</f>
        <v>23.455</v>
      </c>
      <c r="E9788" s="6" t="n">
        <f aca="false">Q!M14</f>
        <v>21.79</v>
      </c>
      <c r="F9788" s="6" t="n">
        <f aca="false">Sens!E9788*(1+Sens!F9789)</f>
        <v>20.5736277908051</v>
      </c>
      <c r="G9788" s="6" t="n">
        <f aca="false">Sens!F9788*(1+Sens!G9789)</f>
        <v>19.7371452817919</v>
      </c>
      <c r="H9788" s="6" t="n">
        <f aca="false">Sens!G9788*(1+Sens!H9789)</f>
        <v>19.2339764043138</v>
      </c>
      <c r="I9788" s="6" t="n">
        <f aca="false">Sens!H9788*(1+Sens!I9789)</f>
        <v>19.0353086852681</v>
      </c>
      <c r="J9788" s="6" t="n">
        <f aca="false">Sens!I9788*(1+Sens!J9789)</f>
        <v>19.1273539319129</v>
      </c>
      <c r="K9788" s="6" t="n">
        <f aca="false">Sens!J9788*(1+Sens!K9789)</f>
        <v>19.5099010105511</v>
      </c>
    </row>
    <row r="9789" customFormat="false" ht="15" hidden="false" customHeight="false" outlineLevel="0" collapsed="false">
      <c r="A9789" s="1" t="s">
        <v>876</v>
      </c>
      <c r="B9789" s="0" t="s">
        <v>129</v>
      </c>
      <c r="E9789" s="7" t="n">
        <f aca="false">Sens!E9788/Sens!D9788-1</f>
        <v>-0.0709869963760392</v>
      </c>
      <c r="F9789" s="7" t="n">
        <f aca="false">Sens!$E$9789+(glt_xbox-Sens!$E$9789)*MIN(1,(Sens!F9732-base_fy)/n_conv)</f>
        <v>-0.0558224969800327</v>
      </c>
      <c r="G9789" s="7" t="n">
        <f aca="false">Sens!$E$9789+(glt_xbox-Sens!$E$9789)*MIN(1,(Sens!G9732-base_fy)/n_conv)</f>
        <v>-0.0406579975840262</v>
      </c>
      <c r="H9789" s="7" t="n">
        <f aca="false">Sens!$E$9789+(glt_xbox-Sens!$E$9789)*MIN(1,(Sens!H9732-base_fy)/n_conv)</f>
        <v>-0.0254934981880196</v>
      </c>
      <c r="I9789" s="7" t="n">
        <f aca="false">Sens!$E$9789+(glt_xbox-Sens!$E$9789)*MIN(1,(Sens!I9732-base_fy)/n_conv)</f>
        <v>-0.0103289987920131</v>
      </c>
      <c r="J9789" s="7" t="n">
        <f aca="false">Sens!$E$9789+(glt_xbox-Sens!$E$9789)*MIN(1,(Sens!J9732-base_fy)/n_conv)</f>
        <v>0.00483550060399347</v>
      </c>
      <c r="K9789" s="7" t="n">
        <f aca="false">Sens!$E$9789+(glt_xbox-Sens!$E$9789)*MIN(1,(Sens!K9732-base_fy)/n_conv)</f>
        <v>0.02</v>
      </c>
    </row>
    <row r="9790" customFormat="false" ht="15" hidden="false" customHeight="false" outlineLevel="0" collapsed="false">
      <c r="A9790" s="0" t="s">
        <v>889</v>
      </c>
      <c r="B9790" s="0" t="s">
        <v>98</v>
      </c>
      <c r="D9790" s="6" t="n">
        <f aca="false">Q!L15</f>
        <v>17.315</v>
      </c>
      <c r="E9790" s="6" t="n">
        <f aca="false">Q!M15</f>
        <v>17.087</v>
      </c>
      <c r="F9790" s="6" t="n">
        <f aca="false">Sens!E9790*(1+Sens!F9791)</f>
        <v>16.9564585436519</v>
      </c>
      <c r="G9790" s="6" t="n">
        <f aca="false">Sens!F9790*(1+Sens!G9791)</f>
        <v>16.9206490624268</v>
      </c>
      <c r="H9790" s="6" t="n">
        <f aca="false">Sens!G9790*(1+Sens!H9791)</f>
        <v>16.9784519149849</v>
      </c>
      <c r="I9790" s="6" t="n">
        <f aca="false">Sens!H9790*(1+Sens!I9791)</f>
        <v>17.1303084701817</v>
      </c>
      <c r="J9790" s="6" t="n">
        <f aca="false">Sens!I9790*(1+Sens!J9791)</f>
        <v>17.3782189407267</v>
      </c>
      <c r="K9790" s="6" t="n">
        <f aca="false">Sens!J9790*(1+Sens!K9791)</f>
        <v>17.7257833195413</v>
      </c>
    </row>
    <row r="9791" customFormat="false" ht="15" hidden="false" customHeight="false" outlineLevel="0" collapsed="false">
      <c r="A9791" s="1" t="s">
        <v>876</v>
      </c>
      <c r="B9791" s="0" t="s">
        <v>129</v>
      </c>
      <c r="E9791" s="7" t="n">
        <f aca="false">Sens!E9790/Sens!D9790-1</f>
        <v>-0.0131677736066995</v>
      </c>
      <c r="F9791" s="7" t="n">
        <f aca="false">Sens!$E$9791+(glt_win-Sens!$E$9791)*MIN(1,(Sens!F9732-base_fy)/n_conv)</f>
        <v>-0.00763981133891627</v>
      </c>
      <c r="G9791" s="7" t="n">
        <f aca="false">Sens!$E$9791+(glt_win-Sens!$E$9791)*MIN(1,(Sens!G9732-base_fy)/n_conv)</f>
        <v>-0.00211184907113301</v>
      </c>
      <c r="H9791" s="7" t="n">
        <f aca="false">Sens!$E$9791+(glt_win-Sens!$E$9791)*MIN(1,(Sens!H9732-base_fy)/n_conv)</f>
        <v>0.00341611319665024</v>
      </c>
      <c r="I9791" s="7" t="n">
        <f aca="false">Sens!$E$9791+(glt_win-Sens!$E$9791)*MIN(1,(Sens!I9732-base_fy)/n_conv)</f>
        <v>0.00894407546443349</v>
      </c>
      <c r="J9791" s="7" t="n">
        <f aca="false">Sens!$E$9791+(glt_win-Sens!$E$9791)*MIN(1,(Sens!J9732-base_fy)/n_conv)</f>
        <v>0.0144720377322168</v>
      </c>
      <c r="K9791" s="7" t="n">
        <f aca="false">Sens!$E$9791+(glt_win-Sens!$E$9791)*MIN(1,(Sens!K9732-base_fy)/n_conv)</f>
        <v>0.02</v>
      </c>
    </row>
    <row r="9792" customFormat="false" ht="15" hidden="false" customHeight="false" outlineLevel="0" collapsed="false">
      <c r="A9792" s="0" t="s">
        <v>729</v>
      </c>
      <c r="B9792" s="0" t="s">
        <v>98</v>
      </c>
      <c r="D9792" s="6" t="n">
        <f aca="false">Sens!D9786+Sens!D9788+Sens!D9790</f>
        <v>62.941</v>
      </c>
      <c r="E9792" s="6" t="n">
        <f aca="false">Sens!E9786+Sens!E9788+Sens!E9790</f>
        <v>63.712</v>
      </c>
      <c r="F9792" s="6" t="n">
        <f aca="false">Sens!F9786+Sens!F9788+Sens!F9790</f>
        <v>65.2657514563129</v>
      </c>
      <c r="G9792" s="6" t="n">
        <f aca="false">Sens!G9786+Sens!G9788+Sens!G9790</f>
        <v>67.5397371397762</v>
      </c>
      <c r="H9792" s="6" t="n">
        <f aca="false">Sens!H9786+Sens!H9788+Sens!H9790</f>
        <v>70.4938084649846</v>
      </c>
      <c r="I9792" s="6" t="n">
        <f aca="false">Sens!I9786+Sens!I9788+Sens!I9790</f>
        <v>74.105471472352</v>
      </c>
      <c r="J9792" s="6" t="n">
        <f aca="false">Sens!J9786+Sens!J9788+Sens!J9790</f>
        <v>78.3668713202399</v>
      </c>
      <c r="K9792" s="6" t="n">
        <f aca="false">Sens!K9786+Sens!K9788+Sens!K9790</f>
        <v>83.2831126224528</v>
      </c>
    </row>
    <row r="9793" customFormat="false" ht="15" hidden="false" customHeight="false" outlineLevel="0" collapsed="false">
      <c r="A9793" s="1" t="s">
        <v>890</v>
      </c>
      <c r="B9793" s="0" t="s">
        <v>98</v>
      </c>
      <c r="D9793" s="6" t="n">
        <f aca="false">Sens!D9785+Sens!D9792</f>
        <v>281.724</v>
      </c>
      <c r="E9793" s="6" t="n">
        <f aca="false">Sens!E9785+Sens!E9792</f>
        <v>331.839</v>
      </c>
      <c r="F9793" s="6" t="n">
        <f aca="false">Sens!F9785+Sens!F9792</f>
        <v>393.629184521169</v>
      </c>
      <c r="G9793" s="6" t="n">
        <f aca="false">Sens!G9785+Sens!G9792</f>
        <v>456.80960281305</v>
      </c>
      <c r="H9793" s="6" t="n">
        <f aca="false">Sens!H9785+Sens!H9792</f>
        <v>516.250129336178</v>
      </c>
      <c r="I9793" s="6" t="n">
        <f aca="false">Sens!I9785+Sens!I9792</f>
        <v>578.806697717844</v>
      </c>
      <c r="J9793" s="6" t="n">
        <f aca="false">Sens!J9785+Sens!J9792</f>
        <v>632.083074449761</v>
      </c>
      <c r="K9793" s="6" t="n">
        <f aca="false">Sens!K9785+Sens!K9792</f>
        <v>676.686626812155</v>
      </c>
    </row>
    <row r="9794" customFormat="false" ht="15" hidden="false" customHeight="false" outlineLevel="0" collapsed="false">
      <c r="A9794" s="23" t="s">
        <v>891</v>
      </c>
      <c r="B9794" s="30" t="s">
        <v>98</v>
      </c>
      <c r="C9794" s="30"/>
      <c r="D9794" s="24" t="n">
        <f aca="false">(Sens!D9773+Sens!D9778+Sens!D9779+Sens!D9781+Sens!D9783-Sens!D9785)+(Sens!D9786+Sens!D9788+Sens!D9790-Sens!D9792)+(Sens!D9785-Q!L5)+(Sens!D9792-Q!L12)+(Sens!D9773-Q!L6)+(Sens!D9778-Q!L7)</f>
        <v>0</v>
      </c>
      <c r="E9794" s="24" t="n">
        <f aca="false">(Sens!E9773+Sens!E9778+Sens!E9779+Sens!E9781+Sens!E9783-Sens!E9785)+(Sens!E9786+Sens!E9788+Sens!E9790-Sens!E9792)+(Sens!E9785-Q!M5)+(Sens!E9792-Q!M12)+(Sens!E9773-Q!M6)+(Sens!E9778-Q!M7)</f>
        <v>0</v>
      </c>
      <c r="F9794" s="24" t="n">
        <f aca="false">(Sens!F9773+Sens!F9778+Sens!F9779+Sens!F9781+Sens!F9783-Sens!F9785)+(Sens!F9786+Sens!F9788+Sens!F9790-Sens!F9792)</f>
        <v>0</v>
      </c>
      <c r="G9794" s="24" t="n">
        <f aca="false">(Sens!G9773+Sens!G9778+Sens!G9779+Sens!G9781+Sens!G9783-Sens!G9785)+(Sens!G9786+Sens!G9788+Sens!G9790-Sens!G9792)</f>
        <v>0</v>
      </c>
      <c r="H9794" s="24" t="n">
        <f aca="false">(Sens!H9773+Sens!H9778+Sens!H9779+Sens!H9781+Sens!H9783-Sens!H9785)+(Sens!H9786+Sens!H9788+Sens!H9790-Sens!H9792)</f>
        <v>0</v>
      </c>
      <c r="I9794" s="24" t="n">
        <f aca="false">(Sens!I9773+Sens!I9778+Sens!I9779+Sens!I9781+Sens!I9783-Sens!I9785)+(Sens!I9786+Sens!I9788+Sens!I9790-Sens!I9792)</f>
        <v>0</v>
      </c>
      <c r="J9794" s="24" t="n">
        <f aca="false">(Sens!J9773+Sens!J9778+Sens!J9779+Sens!J9781+Sens!J9783-Sens!J9785)+(Sens!J9786+Sens!J9788+Sens!J9790-Sens!J9792)</f>
        <v>0</v>
      </c>
      <c r="K9794" s="24" t="n">
        <f aca="false">(Sens!K9773+Sens!K9778+Sens!K9779+Sens!K9781+Sens!K9783-Sens!K9785)+(Sens!K9786+Sens!K9788+Sens!K9790-Sens!K9792)</f>
        <v>0</v>
      </c>
    </row>
    <row r="9795" customFormat="false" ht="17.15" hidden="false" customHeight="false" outlineLevel="0" collapsed="false">
      <c r="A9795" s="3" t="s">
        <v>1514</v>
      </c>
    </row>
    <row r="9796" customFormat="false" ht="15" hidden="false" customHeight="false" outlineLevel="0" collapsed="false">
      <c r="A9796" s="4" t="s">
        <v>43</v>
      </c>
      <c r="B9796" s="4" t="s">
        <v>65</v>
      </c>
      <c r="C9796" s="20" t="s">
        <v>799</v>
      </c>
      <c r="D9796" s="20" t="s">
        <v>800</v>
      </c>
      <c r="E9796" s="20" t="s">
        <v>801</v>
      </c>
      <c r="F9796" s="20" t="s">
        <v>802</v>
      </c>
      <c r="G9796" s="20" t="s">
        <v>803</v>
      </c>
      <c r="H9796" s="20" t="s">
        <v>804</v>
      </c>
      <c r="I9796" s="20" t="s">
        <v>805</v>
      </c>
      <c r="J9796" s="20" t="s">
        <v>806</v>
      </c>
      <c r="K9796" s="20" t="s">
        <v>807</v>
      </c>
      <c r="L9796" s="4" t="s">
        <v>47</v>
      </c>
    </row>
    <row r="9797" customFormat="false" ht="15" hidden="false" customHeight="false" outlineLevel="0" collapsed="false">
      <c r="A9797" s="0" t="s">
        <v>877</v>
      </c>
      <c r="B9797" s="0" t="s">
        <v>98</v>
      </c>
      <c r="D9797" s="6" t="n">
        <f aca="false">Sens!D9773</f>
        <v>72.61</v>
      </c>
      <c r="E9797" s="6" t="n">
        <f aca="false">Sens!E9773</f>
        <v>101.938</v>
      </c>
      <c r="F9797" s="6" t="n">
        <f aca="false">Sens!F9773</f>
        <v>140.741861125673</v>
      </c>
      <c r="G9797" s="6" t="n">
        <f aca="false">Sens!G9773</f>
        <v>182.176709135845</v>
      </c>
      <c r="H9797" s="6" t="n">
        <f aca="false">Sens!H9773</f>
        <v>219.167638189678</v>
      </c>
      <c r="I9797" s="6" t="n">
        <f aca="false">Sens!I9773</f>
        <v>259.639871266006</v>
      </c>
      <c r="J9797" s="6" t="n">
        <f aca="false">Sens!J9773</f>
        <v>291.525306025352</v>
      </c>
      <c r="K9797" s="6" t="n">
        <f aca="false">Sens!K9773</f>
        <v>315.009444849526</v>
      </c>
    </row>
    <row r="9798" customFormat="false" ht="17.15" hidden="false" customHeight="false" outlineLevel="0" collapsed="false">
      <c r="A9798" s="0" t="s">
        <v>874</v>
      </c>
      <c r="B9798" s="0" t="s">
        <v>98</v>
      </c>
      <c r="D9798" s="6" t="n">
        <f aca="false">Sens!D9770</f>
        <v>12.9359794422418</v>
      </c>
      <c r="E9798" s="6" t="n">
        <f aca="false">Sens!E9770</f>
        <v>27.8095064661409</v>
      </c>
      <c r="F9798" s="6" t="n">
        <f aca="false">Sens!F9770</f>
        <v>50.6619113883066</v>
      </c>
      <c r="G9798" s="6" t="n">
        <f aca="false">Sens!G9770</f>
        <v>75.1482839325348</v>
      </c>
      <c r="H9798" s="6" t="n">
        <f aca="false">Sens!H9770</f>
        <v>94.895655604042</v>
      </c>
      <c r="I9798" s="6" t="n">
        <f aca="false">Sens!I9770</f>
        <v>118.706168884151</v>
      </c>
      <c r="J9798" s="6" t="n">
        <f aca="false">Sens!J9770</f>
        <v>135.50643871102</v>
      </c>
      <c r="K9798" s="6" t="n">
        <f aca="false">Sens!K9770</f>
        <v>146.509068150048</v>
      </c>
    </row>
    <row r="9799" customFormat="false" ht="17.15" hidden="false" customHeight="false" outlineLevel="0" collapsed="false">
      <c r="A9799" s="0" t="s">
        <v>902</v>
      </c>
      <c r="B9799" s="0" t="s">
        <v>98</v>
      </c>
      <c r="D9799" s="6" t="n">
        <f aca="false">Sens!D9771</f>
        <v>59.6740205577583</v>
      </c>
      <c r="E9799" s="6" t="n">
        <f aca="false">Sens!E9771</f>
        <v>74.1284935338591</v>
      </c>
      <c r="F9799" s="6" t="n">
        <f aca="false">Sens!F9771</f>
        <v>90.0799497373663</v>
      </c>
      <c r="G9799" s="6" t="n">
        <f aca="false">Sens!G9771</f>
        <v>107.02842520331</v>
      </c>
      <c r="H9799" s="6" t="n">
        <f aca="false">Sens!H9771</f>
        <v>124.271982585636</v>
      </c>
      <c r="I9799" s="6" t="n">
        <f aca="false">Sens!I9771</f>
        <v>140.933702381855</v>
      </c>
      <c r="J9799" s="6" t="n">
        <f aca="false">Sens!J9771</f>
        <v>156.018867314332</v>
      </c>
      <c r="K9799" s="6" t="n">
        <f aca="false">Sens!K9771</f>
        <v>168.500376699478</v>
      </c>
    </row>
    <row r="9800" customFormat="false" ht="15" hidden="false" customHeight="false" outlineLevel="0" collapsed="false">
      <c r="A9800" s="0" t="s">
        <v>883</v>
      </c>
      <c r="B9800" s="0" t="s">
        <v>98</v>
      </c>
      <c r="D9800" s="6" t="n">
        <f aca="false">Sens!D9778</f>
        <v>84.605</v>
      </c>
      <c r="E9800" s="6" t="n">
        <f aca="false">Sens!E9778</f>
        <v>100.299</v>
      </c>
      <c r="F9800" s="6" t="n">
        <f aca="false">Sens!F9778</f>
        <v>117.39238776686</v>
      </c>
      <c r="G9800" s="6" t="n">
        <f aca="false">Sens!G9778</f>
        <v>132.544168448684</v>
      </c>
      <c r="H9800" s="6" t="n">
        <f aca="false">Sens!H9778</f>
        <v>147.777359388781</v>
      </c>
      <c r="I9800" s="6" t="n">
        <f aca="false">Sens!I9778</f>
        <v>162.084028071957</v>
      </c>
      <c r="J9800" s="6" t="n">
        <f aca="false">Sens!J9778</f>
        <v>175.182702785465</v>
      </c>
      <c r="K9800" s="6" t="n">
        <f aca="false">Sens!K9778</f>
        <v>187.527991980448</v>
      </c>
    </row>
    <row r="9801" customFormat="false" ht="17.15" hidden="false" customHeight="false" outlineLevel="0" collapsed="false">
      <c r="A9801" s="0" t="s">
        <v>903</v>
      </c>
      <c r="B9801" s="0" t="s">
        <v>98</v>
      </c>
      <c r="D9801" s="6" t="n">
        <f aca="false">Sens!D9776</f>
        <v>83.705</v>
      </c>
      <c r="E9801" s="6" t="n">
        <f aca="false">Sens!E9776</f>
        <v>95.049</v>
      </c>
      <c r="F9801" s="6" t="n">
        <f aca="false">Sens!F9776</f>
        <v>106.89238776686</v>
      </c>
      <c r="G9801" s="6" t="n">
        <f aca="false">Sens!G9776</f>
        <v>119.044168448684</v>
      </c>
      <c r="H9801" s="6" t="n">
        <f aca="false">Sens!H9776</f>
        <v>131.277359388781</v>
      </c>
      <c r="I9801" s="6" t="n">
        <f aca="false">Sens!I9776</f>
        <v>143.334028071957</v>
      </c>
      <c r="J9801" s="6" t="n">
        <f aca="false">Sens!J9776</f>
        <v>154.932702785465</v>
      </c>
      <c r="K9801" s="6" t="n">
        <f aca="false">Sens!K9776</f>
        <v>165.777991980448</v>
      </c>
    </row>
    <row r="9802" customFormat="false" ht="17.15" hidden="false" customHeight="false" outlineLevel="0" collapsed="false">
      <c r="A9802" s="0" t="s">
        <v>904</v>
      </c>
      <c r="B9802" s="0" t="s">
        <v>98</v>
      </c>
      <c r="D9802" s="6" t="n">
        <f aca="false">Sens!D9775</f>
        <v>0.9</v>
      </c>
      <c r="E9802" s="6" t="n">
        <f aca="false">Sens!E9775</f>
        <v>5.25</v>
      </c>
      <c r="F9802" s="6" t="n">
        <f aca="false">Sens!F9775</f>
        <v>10.5</v>
      </c>
      <c r="G9802" s="6" t="n">
        <f aca="false">Sens!G9775</f>
        <v>13.5</v>
      </c>
      <c r="H9802" s="6" t="n">
        <f aca="false">Sens!H9775</f>
        <v>16.5</v>
      </c>
      <c r="I9802" s="6" t="n">
        <f aca="false">Sens!I9775</f>
        <v>18.75</v>
      </c>
      <c r="J9802" s="6" t="n">
        <f aca="false">Sens!J9775</f>
        <v>20.25</v>
      </c>
      <c r="K9802" s="6" t="n">
        <f aca="false">Sens!K9775</f>
        <v>21.75</v>
      </c>
    </row>
    <row r="9803" customFormat="false" ht="15" hidden="false" customHeight="false" outlineLevel="0" collapsed="false">
      <c r="A9803" s="0" t="s">
        <v>884</v>
      </c>
      <c r="B9803" s="0" t="s">
        <v>98</v>
      </c>
      <c r="D9803" s="6" t="n">
        <f aca="false">Sens!D9779</f>
        <v>35.391</v>
      </c>
      <c r="E9803" s="6" t="n">
        <f aca="false">Sens!E9779</f>
        <v>37.285</v>
      </c>
      <c r="F9803" s="6" t="n">
        <f aca="false">Sens!F9779</f>
        <v>39.0720834331704</v>
      </c>
      <c r="G9803" s="6" t="n">
        <f aca="false">Sens!G9779</f>
        <v>40.726562953769</v>
      </c>
      <c r="H9803" s="6" t="n">
        <f aca="false">Sens!H9779</f>
        <v>42.2235987259198</v>
      </c>
      <c r="I9803" s="6" t="n">
        <f aca="false">Sens!I9779</f>
        <v>43.5397988077414</v>
      </c>
      <c r="J9803" s="6" t="n">
        <f aca="false">Sens!J9779</f>
        <v>44.653811225693</v>
      </c>
      <c r="K9803" s="6" t="n">
        <f aca="false">Sens!K9779</f>
        <v>45.5468874502068</v>
      </c>
    </row>
    <row r="9804" customFormat="false" ht="15" hidden="false" customHeight="false" outlineLevel="0" collapsed="false">
      <c r="A9804" s="0" t="s">
        <v>885</v>
      </c>
      <c r="B9804" s="0" t="s">
        <v>98</v>
      </c>
      <c r="D9804" s="6" t="n">
        <f aca="false">Sens!D9781</f>
        <v>18.417</v>
      </c>
      <c r="E9804" s="6" t="n">
        <f aca="false">Sens!E9781</f>
        <v>20.345</v>
      </c>
      <c r="F9804" s="6" t="n">
        <f aca="false">Sens!F9781</f>
        <v>22.3572203267814</v>
      </c>
      <c r="G9804" s="6" t="n">
        <f aca="false">Sens!G9781</f>
        <v>24.4392124437232</v>
      </c>
      <c r="H9804" s="6" t="n">
        <f aca="false">Sens!H9781</f>
        <v>26.5738052080665</v>
      </c>
      <c r="I9804" s="6" t="n">
        <f aca="false">Sens!I9781</f>
        <v>28.7412169166967</v>
      </c>
      <c r="J9804" s="6" t="n">
        <f aca="false">Sens!J9781</f>
        <v>30.9192545395413</v>
      </c>
      <c r="K9804" s="6" t="n">
        <f aca="false">Sens!K9781</f>
        <v>33.0836023573092</v>
      </c>
    </row>
    <row r="9805" customFormat="false" ht="15" hidden="false" customHeight="false" outlineLevel="0" collapsed="false">
      <c r="A9805" s="0" t="s">
        <v>886</v>
      </c>
      <c r="B9805" s="0" t="s">
        <v>98</v>
      </c>
      <c r="D9805" s="6" t="n">
        <f aca="false">Sens!D9783</f>
        <v>7.76</v>
      </c>
      <c r="E9805" s="6" t="n">
        <f aca="false">Sens!E9783</f>
        <v>8.26</v>
      </c>
      <c r="F9805" s="6" t="n">
        <f aca="false">Sens!F9783</f>
        <v>8.79988041237113</v>
      </c>
      <c r="G9805" s="6" t="n">
        <f aca="false">Sens!G9783</f>
        <v>9.38321269125306</v>
      </c>
      <c r="H9805" s="6" t="n">
        <f aca="false">Sens!H9783</f>
        <v>10.0139193587476</v>
      </c>
      <c r="I9805" s="6" t="n">
        <f aca="false">Sens!I9783</f>
        <v>10.6963111830911</v>
      </c>
      <c r="J9805" s="6" t="n">
        <f aca="false">Sens!J9783</f>
        <v>11.4351285534696</v>
      </c>
      <c r="K9805" s="6" t="n">
        <f aca="false">Sens!K9783</f>
        <v>12.2355875522124</v>
      </c>
    </row>
    <row r="9806" customFormat="false" ht="15" hidden="false" customHeight="false" outlineLevel="0" collapsed="false">
      <c r="A9806" s="0" t="s">
        <v>715</v>
      </c>
      <c r="B9806" s="0" t="s">
        <v>98</v>
      </c>
      <c r="D9806" s="6" t="n">
        <f aca="false">Sens!D9785</f>
        <v>218.783</v>
      </c>
      <c r="E9806" s="6" t="n">
        <f aca="false">Sens!E9785</f>
        <v>268.127</v>
      </c>
      <c r="F9806" s="6" t="n">
        <f aca="false">Sens!F9785</f>
        <v>328.363433064856</v>
      </c>
      <c r="G9806" s="6" t="n">
        <f aca="false">Sens!G9785</f>
        <v>389.269865673274</v>
      </c>
      <c r="H9806" s="6" t="n">
        <f aca="false">Sens!H9785</f>
        <v>445.756320871193</v>
      </c>
      <c r="I9806" s="6" t="n">
        <f aca="false">Sens!I9785</f>
        <v>504.701226245492</v>
      </c>
      <c r="J9806" s="6" t="n">
        <f aca="false">Sens!J9785</f>
        <v>553.716203129521</v>
      </c>
      <c r="K9806" s="6" t="n">
        <f aca="false">Sens!K9785</f>
        <v>593.403514189702</v>
      </c>
    </row>
    <row r="9807" customFormat="false" ht="15" hidden="false" customHeight="false" outlineLevel="0" collapsed="false">
      <c r="A9807" s="0" t="s">
        <v>887</v>
      </c>
      <c r="B9807" s="0" t="s">
        <v>98</v>
      </c>
      <c r="D9807" s="6" t="n">
        <f aca="false">Sens!D9786</f>
        <v>22.171</v>
      </c>
      <c r="E9807" s="6" t="n">
        <f aca="false">Sens!E9786</f>
        <v>24.835</v>
      </c>
      <c r="F9807" s="6" t="n">
        <f aca="false">Sens!F9786</f>
        <v>27.7356651218559</v>
      </c>
      <c r="G9807" s="6" t="n">
        <f aca="false">Sens!G9786</f>
        <v>30.8819427955575</v>
      </c>
      <c r="H9807" s="6" t="n">
        <f aca="false">Sens!H9786</f>
        <v>34.2813801456859</v>
      </c>
      <c r="I9807" s="6" t="n">
        <f aca="false">Sens!I9786</f>
        <v>37.9398543169022</v>
      </c>
      <c r="J9807" s="6" t="n">
        <f aca="false">Sens!J9786</f>
        <v>41.8612984476003</v>
      </c>
      <c r="K9807" s="6" t="n">
        <f aca="false">Sens!K9786</f>
        <v>46.0474282923604</v>
      </c>
    </row>
    <row r="9808" customFormat="false" ht="15" hidden="false" customHeight="false" outlineLevel="0" collapsed="false">
      <c r="A9808" s="0" t="s">
        <v>888</v>
      </c>
      <c r="B9808" s="0" t="s">
        <v>98</v>
      </c>
      <c r="D9808" s="6" t="n">
        <f aca="false">Sens!D9788</f>
        <v>23.455</v>
      </c>
      <c r="E9808" s="6" t="n">
        <f aca="false">Sens!E9788</f>
        <v>21.79</v>
      </c>
      <c r="F9808" s="6" t="n">
        <f aca="false">Sens!F9788</f>
        <v>20.5736277908051</v>
      </c>
      <c r="G9808" s="6" t="n">
        <f aca="false">Sens!G9788</f>
        <v>19.7371452817919</v>
      </c>
      <c r="H9808" s="6" t="n">
        <f aca="false">Sens!H9788</f>
        <v>19.2339764043138</v>
      </c>
      <c r="I9808" s="6" t="n">
        <f aca="false">Sens!I9788</f>
        <v>19.0353086852681</v>
      </c>
      <c r="J9808" s="6" t="n">
        <f aca="false">Sens!J9788</f>
        <v>19.1273539319129</v>
      </c>
      <c r="K9808" s="6" t="n">
        <f aca="false">Sens!K9788</f>
        <v>19.5099010105511</v>
      </c>
    </row>
    <row r="9809" customFormat="false" ht="15" hidden="false" customHeight="false" outlineLevel="0" collapsed="false">
      <c r="A9809" s="0" t="s">
        <v>889</v>
      </c>
      <c r="B9809" s="0" t="s">
        <v>98</v>
      </c>
      <c r="D9809" s="6" t="n">
        <f aca="false">Sens!D9790</f>
        <v>17.315</v>
      </c>
      <c r="E9809" s="6" t="n">
        <f aca="false">Sens!E9790</f>
        <v>17.087</v>
      </c>
      <c r="F9809" s="6" t="n">
        <f aca="false">Sens!F9790</f>
        <v>16.9564585436519</v>
      </c>
      <c r="G9809" s="6" t="n">
        <f aca="false">Sens!G9790</f>
        <v>16.9206490624268</v>
      </c>
      <c r="H9809" s="6" t="n">
        <f aca="false">Sens!H9790</f>
        <v>16.9784519149849</v>
      </c>
      <c r="I9809" s="6" t="n">
        <f aca="false">Sens!I9790</f>
        <v>17.1303084701817</v>
      </c>
      <c r="J9809" s="6" t="n">
        <f aca="false">Sens!J9790</f>
        <v>17.3782189407267</v>
      </c>
      <c r="K9809" s="6" t="n">
        <f aca="false">Sens!K9790</f>
        <v>17.7257833195413</v>
      </c>
    </row>
    <row r="9810" customFormat="false" ht="15" hidden="false" customHeight="false" outlineLevel="0" collapsed="false">
      <c r="A9810" s="0" t="s">
        <v>729</v>
      </c>
      <c r="B9810" s="0" t="s">
        <v>98</v>
      </c>
      <c r="D9810" s="6" t="n">
        <f aca="false">Sens!D9792</f>
        <v>62.941</v>
      </c>
      <c r="E9810" s="6" t="n">
        <f aca="false">Sens!E9792</f>
        <v>63.712</v>
      </c>
      <c r="F9810" s="6" t="n">
        <f aca="false">Sens!F9792</f>
        <v>65.2657514563129</v>
      </c>
      <c r="G9810" s="6" t="n">
        <f aca="false">Sens!G9792</f>
        <v>67.5397371397762</v>
      </c>
      <c r="H9810" s="6" t="n">
        <f aca="false">Sens!H9792</f>
        <v>70.4938084649846</v>
      </c>
      <c r="I9810" s="6" t="n">
        <f aca="false">Sens!I9792</f>
        <v>74.105471472352</v>
      </c>
      <c r="J9810" s="6" t="n">
        <f aca="false">Sens!J9792</f>
        <v>78.3668713202399</v>
      </c>
      <c r="K9810" s="6" t="n">
        <f aca="false">Sens!K9792</f>
        <v>83.2831126224528</v>
      </c>
    </row>
    <row r="9811" customFormat="false" ht="15" hidden="false" customHeight="false" outlineLevel="0" collapsed="false">
      <c r="A9811" s="1" t="s">
        <v>905</v>
      </c>
      <c r="B9811" s="0" t="s">
        <v>98</v>
      </c>
      <c r="D9811" s="6" t="n">
        <f aca="false">Sens!D9793</f>
        <v>281.724</v>
      </c>
      <c r="E9811" s="6" t="n">
        <f aca="false">Sens!E9793</f>
        <v>331.839</v>
      </c>
      <c r="F9811" s="6" t="n">
        <f aca="false">Sens!F9793</f>
        <v>393.629184521169</v>
      </c>
      <c r="G9811" s="6" t="n">
        <f aca="false">Sens!G9793</f>
        <v>456.80960281305</v>
      </c>
      <c r="H9811" s="6" t="n">
        <f aca="false">Sens!H9793</f>
        <v>516.250129336178</v>
      </c>
      <c r="I9811" s="6" t="n">
        <f aca="false">Sens!I9793</f>
        <v>578.806697717844</v>
      </c>
      <c r="J9811" s="6" t="n">
        <f aca="false">Sens!J9793</f>
        <v>632.083074449761</v>
      </c>
      <c r="K9811" s="6" t="n">
        <f aca="false">Sens!K9793</f>
        <v>676.686626812155</v>
      </c>
    </row>
    <row r="9812" customFormat="false" ht="15" hidden="false" customHeight="false" outlineLevel="0" collapsed="false">
      <c r="A9812" s="1" t="s">
        <v>906</v>
      </c>
      <c r="B9812" s="0" t="s">
        <v>129</v>
      </c>
      <c r="E9812" s="7" t="n">
        <f aca="false">Sens!E9811/Sens!D9811-1</f>
        <v>0.177886867998467</v>
      </c>
      <c r="F9812" s="7" t="n">
        <f aca="false">Sens!F9811/Sens!E9811-1</f>
        <v>0.186205311977099</v>
      </c>
      <c r="G9812" s="7" t="n">
        <f aca="false">Sens!G9811/Sens!F9811-1</f>
        <v>0.160507454163333</v>
      </c>
      <c r="H9812" s="7" t="n">
        <f aca="false">Sens!H9811/Sens!G9811-1</f>
        <v>0.130121009184331</v>
      </c>
      <c r="I9812" s="7" t="n">
        <f aca="false">Sens!I9811/Sens!H9811-1</f>
        <v>0.121174920502403</v>
      </c>
      <c r="J9812" s="7" t="n">
        <f aca="false">Sens!J9811/Sens!I9811-1</f>
        <v>0.0920451973724181</v>
      </c>
      <c r="K9812" s="7" t="n">
        <f aca="false">Sens!K9811/Sens!J9811-1</f>
        <v>0.0705659654013389</v>
      </c>
    </row>
    <row r="9813" customFormat="false" ht="17.15" hidden="false" customHeight="false" outlineLevel="0" collapsed="false">
      <c r="A9813" s="23" t="s">
        <v>907</v>
      </c>
      <c r="B9813" s="30" t="s">
        <v>98</v>
      </c>
      <c r="C9813" s="30"/>
      <c r="D9813" s="24" t="n">
        <f aca="false">(Sens!D9806+Sens!D9810-Sens!D9811)+(Sens!D9798+Sens!D9799-Sens!D9797)+(Sens!D9801+Sens!D9802-Sens!D9800)+(Sens!D9811-Q!L18)</f>
        <v>0</v>
      </c>
      <c r="E9813" s="24" t="n">
        <f aca="false">(Sens!E9806+Sens!E9810-Sens!E9811)+(Sens!E9798+Sens!E9799-Sens!E9797)+(Sens!E9801+Sens!E9802-Sens!E9800)+(Sens!E9811-Q!M18)</f>
        <v>0</v>
      </c>
      <c r="F9813" s="24" t="n">
        <f aca="false">(Sens!F9806+Sens!F9810-Sens!F9811)+(Sens!F9798+Sens!F9799-Sens!F9797)+(Sens!F9801+Sens!F9802-Sens!F9800)</f>
        <v>0</v>
      </c>
      <c r="G9813" s="24" t="n">
        <f aca="false">(Sens!G9806+Sens!G9810-Sens!G9811)+(Sens!G9798+Sens!G9799-Sens!G9797)+(Sens!G9801+Sens!G9802-Sens!G9800)</f>
        <v>0</v>
      </c>
      <c r="H9813" s="24" t="n">
        <f aca="false">(Sens!H9806+Sens!H9810-Sens!H9811)+(Sens!H9798+Sens!H9799-Sens!H9797)+(Sens!H9801+Sens!H9802-Sens!H9800)</f>
        <v>0</v>
      </c>
      <c r="I9813" s="24" t="n">
        <f aca="false">(Sens!I9806+Sens!I9810-Sens!I9811)+(Sens!I9798+Sens!I9799-Sens!I9797)+(Sens!I9801+Sens!I9802-Sens!I9800)</f>
        <v>0</v>
      </c>
      <c r="J9813" s="24" t="n">
        <f aca="false">(Sens!J9806+Sens!J9810-Sens!J9811)+(Sens!J9798+Sens!J9799-Sens!J9797)+(Sens!J9801+Sens!J9802-Sens!J9800)</f>
        <v>0</v>
      </c>
      <c r="K9813" s="24" t="n">
        <f aca="false">(Sens!K9806+Sens!K9810-Sens!K9811)+(Sens!K9798+Sens!K9799-Sens!K9797)+(Sens!K9801+Sens!K9802-Sens!K9800)</f>
        <v>0</v>
      </c>
    </row>
    <row r="9814" customFormat="false" ht="17.15" hidden="false" customHeight="false" outlineLevel="0" collapsed="false">
      <c r="A9814" s="0" t="s">
        <v>908</v>
      </c>
      <c r="B9814" s="0" t="s">
        <v>129</v>
      </c>
      <c r="E9814" s="7" t="n">
        <f aca="false">(Q!M21+Sens!E9751+Sens!E9752+Sens!E9753+Sens!E9766-Sens!E9749)/(Q!M5-Sens!E9749)</f>
        <v>0.570957350878296</v>
      </c>
      <c r="F9814" s="7" t="n">
        <f aca="false">Sens!$E$9814+dm_seg</f>
        <v>0.570957350878296</v>
      </c>
      <c r="G9814" s="7" t="n">
        <f aca="false">Sens!$E$9814+dm_seg</f>
        <v>0.570957350878296</v>
      </c>
      <c r="H9814" s="7" t="n">
        <f aca="false">Sens!$E$9814+dm_seg</f>
        <v>0.570957350878296</v>
      </c>
      <c r="I9814" s="7" t="n">
        <f aca="false">Sens!$E$9814+dm_seg</f>
        <v>0.570957350878296</v>
      </c>
      <c r="J9814" s="7" t="n">
        <f aca="false">Sens!$E$9814+dm_seg</f>
        <v>0.570957350878296</v>
      </c>
      <c r="K9814" s="7" t="n">
        <f aca="false">Sens!$E$9814+dm_seg</f>
        <v>0.570957350878296</v>
      </c>
      <c r="L9814" s="11" t="s">
        <v>909</v>
      </c>
    </row>
    <row r="9815" customFormat="false" ht="17.15" hidden="false" customHeight="false" outlineLevel="0" collapsed="false">
      <c r="A9815" s="0" t="s">
        <v>743</v>
      </c>
      <c r="B9815" s="0" t="s">
        <v>98</v>
      </c>
      <c r="D9815" s="6" t="n">
        <f aca="false">Q!L21</f>
        <v>110.814</v>
      </c>
      <c r="E9815" s="6" t="n">
        <f aca="false">Q!M21</f>
        <v>136.365</v>
      </c>
      <c r="F9815" s="6" t="n">
        <f aca="false">Sens!F9814*(Sens!F9785-Sens!F9749)+Sens!F9749-(Sens!F9751+Sens!F9752+Sens!F9753)-Sens!F9766-Sens!F9849</f>
        <v>152.187468492494</v>
      </c>
      <c r="G9815" s="6" t="n">
        <f aca="false">Sens!G9814*(Sens!G9785-Sens!G9749)+Sens!G9749-(Sens!G9751+Sens!G9752+Sens!G9753)-Sens!G9766-Sens!G9849</f>
        <v>160.931949190096</v>
      </c>
      <c r="H9815" s="6" t="n">
        <f aca="false">Sens!H9814*(Sens!H9785-Sens!H9749)+Sens!H9749-(Sens!H9751+Sens!H9752+Sens!H9753)-Sens!H9766-Sens!H9849</f>
        <v>163.299040199218</v>
      </c>
      <c r="I9815" s="6" t="n">
        <f aca="false">Sens!I9814*(Sens!I9785-Sens!I9749)+Sens!I9749-(Sens!I9751+Sens!I9752+Sens!I9753)-Sens!I9766-Sens!I9849</f>
        <v>173.293528628077</v>
      </c>
      <c r="J9815" s="6" t="n">
        <f aca="false">Sens!J9814*(Sens!J9785-Sens!J9749)+Sens!J9749-(Sens!J9751+Sens!J9752+Sens!J9753)-Sens!J9766-Sens!J9849</f>
        <v>184.538494929881</v>
      </c>
      <c r="K9815" s="6" t="n">
        <f aca="false">Sens!K9814*(Sens!K9785-Sens!K9749)+Sens!K9749-(Sens!K9751+Sens!K9752+Sens!K9753)-Sens!K9766-Sens!K9849</f>
        <v>197.05964472637</v>
      </c>
      <c r="L9815" s="1" t="s">
        <v>910</v>
      </c>
    </row>
    <row r="9816" customFormat="false" ht="17.15" hidden="false" customHeight="false" outlineLevel="0" collapsed="false">
      <c r="A9816" s="0" t="s">
        <v>911</v>
      </c>
      <c r="B9816" s="0" t="s">
        <v>129</v>
      </c>
      <c r="E9816" s="7" t="n">
        <f aca="false">Q!M22/Q!M12</f>
        <v>0.296207935710698</v>
      </c>
      <c r="F9816" s="7" t="n">
        <f aca="false">Sens!$E$9816+dm_seg</f>
        <v>0.296207935710698</v>
      </c>
      <c r="G9816" s="7" t="n">
        <f aca="false">Sens!$E$9816+dm_seg</f>
        <v>0.296207935710698</v>
      </c>
      <c r="H9816" s="7" t="n">
        <f aca="false">Sens!$E$9816+dm_seg</f>
        <v>0.296207935710698</v>
      </c>
      <c r="I9816" s="7" t="n">
        <f aca="false">Sens!$E$9816+dm_seg</f>
        <v>0.296207935710698</v>
      </c>
      <c r="J9816" s="7" t="n">
        <f aca="false">Sens!$E$9816+dm_seg</f>
        <v>0.296207935710698</v>
      </c>
      <c r="K9816" s="7" t="n">
        <f aca="false">Sens!$E$9816+dm_seg</f>
        <v>0.296207935710698</v>
      </c>
      <c r="L9816" s="11" t="s">
        <v>912</v>
      </c>
    </row>
    <row r="9817" customFormat="false" ht="17.15" hidden="false" customHeight="false" outlineLevel="0" collapsed="false">
      <c r="A9817" s="0" t="s">
        <v>745</v>
      </c>
      <c r="B9817" s="0" t="s">
        <v>98</v>
      </c>
      <c r="D9817" s="6" t="n">
        <f aca="false">Q!L22</f>
        <v>17.714</v>
      </c>
      <c r="E9817" s="6" t="n">
        <f aca="false">Q!M22</f>
        <v>18.872</v>
      </c>
      <c r="F9817" s="6" t="n">
        <f aca="false">Sens!F9792*Sens!F9816</f>
        <v>19.3322335114819</v>
      </c>
      <c r="G9817" s="6" t="n">
        <f aca="false">Sens!G9792*Sens!G9816</f>
        <v>20.0058061166163</v>
      </c>
      <c r="H9817" s="6" t="n">
        <f aca="false">Sens!H9792*Sens!H9816</f>
        <v>20.8808254857984</v>
      </c>
      <c r="I9817" s="6" t="n">
        <f aca="false">Sens!I9792*Sens!I9816</f>
        <v>21.9506287296934</v>
      </c>
      <c r="J9817" s="6" t="n">
        <f aca="false">Sens!J9792*Sens!J9816</f>
        <v>23.2128891818742</v>
      </c>
      <c r="K9817" s="6" t="n">
        <f aca="false">Sens!K9792*Sens!K9816</f>
        <v>24.6691188694583</v>
      </c>
    </row>
    <row r="9818" customFormat="false" ht="15" hidden="false" customHeight="false" outlineLevel="0" collapsed="false">
      <c r="A9818" s="1" t="s">
        <v>913</v>
      </c>
      <c r="B9818" s="0" t="s">
        <v>98</v>
      </c>
      <c r="D9818" s="6" t="n">
        <f aca="false">Sens!D9815+Sens!D9817</f>
        <v>128.528</v>
      </c>
      <c r="E9818" s="6" t="n">
        <f aca="false">Sens!E9815+Sens!E9817</f>
        <v>155.237</v>
      </c>
      <c r="F9818" s="6" t="n">
        <f aca="false">Sens!F9815+Sens!F9817</f>
        <v>171.519702003976</v>
      </c>
      <c r="G9818" s="6" t="n">
        <f aca="false">Sens!G9815+Sens!G9817</f>
        <v>180.937755306712</v>
      </c>
      <c r="H9818" s="6" t="n">
        <f aca="false">Sens!H9815+Sens!H9817</f>
        <v>184.179865685017</v>
      </c>
      <c r="I9818" s="6" t="n">
        <f aca="false">Sens!I9815+Sens!I9817</f>
        <v>195.24415735777</v>
      </c>
      <c r="J9818" s="6" t="n">
        <f aca="false">Sens!J9815+Sens!J9817</f>
        <v>207.751384111755</v>
      </c>
      <c r="K9818" s="6" t="n">
        <f aca="false">Sens!K9815+Sens!K9817</f>
        <v>221.728763595828</v>
      </c>
    </row>
    <row r="9819" customFormat="false" ht="15" hidden="false" customHeight="false" outlineLevel="0" collapsed="false">
      <c r="A9819" s="23" t="s">
        <v>914</v>
      </c>
      <c r="B9819" s="30" t="s">
        <v>98</v>
      </c>
      <c r="C9819" s="30"/>
      <c r="D9819" s="24" t="n">
        <f aca="false">Sens!D9818-Q!L23</f>
        <v>0</v>
      </c>
      <c r="E9819" s="24" t="n">
        <f aca="false">Sens!E9818-Q!M23</f>
        <v>0</v>
      </c>
      <c r="F9819" s="30"/>
      <c r="G9819" s="30"/>
      <c r="H9819" s="30"/>
      <c r="I9819" s="30"/>
      <c r="J9819" s="30"/>
      <c r="K9819" s="30"/>
    </row>
    <row r="9820" customFormat="false" ht="15" hidden="false" customHeight="false" outlineLevel="0" collapsed="false">
      <c r="A9820" s="1" t="s">
        <v>915</v>
      </c>
      <c r="B9820" s="0" t="s">
        <v>129</v>
      </c>
      <c r="D9820" s="7" t="n">
        <f aca="false">Sens!D9818/Sens!D9811</f>
        <v>0.456219562408598</v>
      </c>
      <c r="E9820" s="7" t="n">
        <f aca="false">Sens!E9818/Sens!E9811</f>
        <v>0.467808184089272</v>
      </c>
      <c r="F9820" s="7" t="n">
        <f aca="false">Sens!F9818/Sens!F9811</f>
        <v>0.43573929156859</v>
      </c>
      <c r="G9820" s="7" t="n">
        <f aca="false">Sens!G9818/Sens!G9811</f>
        <v>0.396090086969475</v>
      </c>
      <c r="H9820" s="7" t="n">
        <f aca="false">Sens!H9818/Sens!H9811</f>
        <v>0.356764783617285</v>
      </c>
      <c r="I9820" s="7" t="n">
        <f aca="false">Sens!I9818/Sens!I9811</f>
        <v>0.337321869507715</v>
      </c>
      <c r="J9820" s="7" t="n">
        <f aca="false">Sens!J9818/Sens!J9811</f>
        <v>0.328677340858409</v>
      </c>
      <c r="K9820" s="7" t="n">
        <f aca="false">Sens!K9818/Sens!K9811</f>
        <v>0.327668310278843</v>
      </c>
    </row>
    <row r="9821" customFormat="false" ht="17.15" hidden="false" customHeight="false" outlineLevel="0" collapsed="false">
      <c r="A9821" s="1" t="s">
        <v>916</v>
      </c>
      <c r="B9821" s="0" t="s">
        <v>98</v>
      </c>
      <c r="F9821" s="6" t="n">
        <f aca="false">Sens!F9836</f>
        <v>10.1553565002727</v>
      </c>
      <c r="G9821" s="6" t="n">
        <f aca="false">Sens!G9836</f>
        <v>26.5039384396555</v>
      </c>
      <c r="H9821" s="6" t="n">
        <f aca="false">Sens!H9836</f>
        <v>44.38649932956</v>
      </c>
      <c r="I9821" s="6" t="n">
        <f aca="false">Sens!I9836</f>
        <v>60.5028524913745</v>
      </c>
      <c r="J9821" s="6" t="n">
        <f aca="false">Sens!J9836</f>
        <v>71.8788124586976</v>
      </c>
      <c r="K9821" s="6" t="n">
        <f aca="false">Sens!K9836</f>
        <v>78.7789222270768</v>
      </c>
      <c r="L9821" s="1" t="s">
        <v>917</v>
      </c>
    </row>
    <row r="9822" customFormat="false" ht="17.15" hidden="false" customHeight="false" outlineLevel="0" collapsed="false">
      <c r="A9822" s="1" t="s">
        <v>918</v>
      </c>
      <c r="B9822" s="0" t="s">
        <v>98</v>
      </c>
      <c r="D9822" s="6" t="n">
        <f aca="false">Sens!D9818</f>
        <v>128.528</v>
      </c>
      <c r="E9822" s="6" t="n">
        <f aca="false">Sens!E9818</f>
        <v>155.237</v>
      </c>
      <c r="F9822" s="6" t="n">
        <f aca="false">Sens!F9818+Sens!F9821</f>
        <v>181.675058504248</v>
      </c>
      <c r="G9822" s="6" t="n">
        <f aca="false">Sens!G9818+Sens!G9821</f>
        <v>207.441693746368</v>
      </c>
      <c r="H9822" s="6" t="n">
        <f aca="false">Sens!H9818+Sens!H9821</f>
        <v>228.566365014577</v>
      </c>
      <c r="I9822" s="6" t="n">
        <f aca="false">Sens!I9818+Sens!I9821</f>
        <v>255.747009849145</v>
      </c>
      <c r="J9822" s="6" t="n">
        <f aca="false">Sens!J9818+Sens!J9821</f>
        <v>279.630196570453</v>
      </c>
      <c r="K9822" s="6" t="n">
        <f aca="false">Sens!K9818+Sens!K9821</f>
        <v>300.507685822905</v>
      </c>
    </row>
    <row r="9823" customFormat="false" ht="17.15" hidden="false" customHeight="false" outlineLevel="0" collapsed="false">
      <c r="A9823" s="1" t="s">
        <v>919</v>
      </c>
      <c r="B9823" s="0" t="s">
        <v>98</v>
      </c>
      <c r="E9823" s="6" t="n">
        <f aca="false">Sens!E9766</f>
        <v>16.3054059770833</v>
      </c>
      <c r="F9823" s="6" t="n">
        <f aca="false">Sens!F9766</f>
        <v>34.0498873809555</v>
      </c>
      <c r="G9823" s="6" t="n">
        <f aca="false">Sens!G9766</f>
        <v>59.1254371105111</v>
      </c>
      <c r="H9823" s="6" t="n">
        <f aca="false">Sens!H9766</f>
        <v>86.3610198433111</v>
      </c>
      <c r="I9823" s="6" t="n">
        <f aca="false">Sens!I9766</f>
        <v>110.605743832393</v>
      </c>
      <c r="J9823" s="6" t="n">
        <f aca="false">Sens!J9766</f>
        <v>127.998322852843</v>
      </c>
      <c r="K9823" s="6" t="n">
        <f aca="false">Sens!K9766</f>
        <v>139.131464044308</v>
      </c>
    </row>
    <row r="9824" customFormat="false" ht="17.15" hidden="false" customHeight="false" outlineLevel="0" collapsed="false">
      <c r="A9824" s="1" t="s">
        <v>920</v>
      </c>
      <c r="B9824" s="0" t="s">
        <v>98</v>
      </c>
      <c r="E9824" s="6" t="n">
        <f aca="false">Sens!E9848</f>
        <v>22.2285940229167</v>
      </c>
      <c r="F9824" s="6" t="n">
        <f aca="false">Sens!F9848</f>
        <v>24.3924470334783</v>
      </c>
      <c r="G9824" s="6" t="n">
        <f aca="false">Sens!G9848</f>
        <v>26.0268066956631</v>
      </c>
      <c r="H9824" s="6" t="n">
        <f aca="false">Sens!H9848</f>
        <v>28.0376134181066</v>
      </c>
      <c r="I9824" s="6" t="n">
        <f aca="false">Sens!I9848</f>
        <v>30.3696493287686</v>
      </c>
      <c r="J9824" s="6" t="n">
        <f aca="false">Sens!J9848</f>
        <v>32.9503754141482</v>
      </c>
      <c r="K9824" s="6" t="n">
        <f aca="false">Sens!K9848</f>
        <v>35.6984015303046</v>
      </c>
    </row>
    <row r="9825" customFormat="false" ht="17.15" hidden="false" customHeight="false" outlineLevel="0" collapsed="false">
      <c r="A9825" s="1" t="s">
        <v>921</v>
      </c>
      <c r="B9825" s="0" t="s">
        <v>98</v>
      </c>
      <c r="D9825" s="6" t="n">
        <f aca="false">Q!L27</f>
        <v>-4.901</v>
      </c>
      <c r="E9825" s="6" t="n">
        <f aca="false">Q!M27</f>
        <v>10.697</v>
      </c>
      <c r="F9825" s="6" t="n">
        <f aca="false">oie_f</f>
        <v>-0.4</v>
      </c>
      <c r="G9825" s="6" t="n">
        <f aca="false">oie_f</f>
        <v>-0.4</v>
      </c>
      <c r="H9825" s="6" t="n">
        <f aca="false">oie_f</f>
        <v>-0.4</v>
      </c>
      <c r="I9825" s="6" t="n">
        <f aca="false">oie_f</f>
        <v>-0.4</v>
      </c>
      <c r="J9825" s="6" t="n">
        <f aca="false">oie_f</f>
        <v>-0.4</v>
      </c>
      <c r="K9825" s="6" t="n">
        <f aca="false">oie_f</f>
        <v>-0.4</v>
      </c>
      <c r="L9825" s="11" t="s">
        <v>922</v>
      </c>
    </row>
    <row r="9826" customFormat="false" ht="15" hidden="false" customHeight="false" outlineLevel="0" collapsed="false">
      <c r="A9826" s="1" t="s">
        <v>923</v>
      </c>
      <c r="B9826" s="0" t="s">
        <v>98</v>
      </c>
      <c r="D9826" s="6" t="n">
        <f aca="false">Sens!D9818+Sens!D9825</f>
        <v>123.627</v>
      </c>
      <c r="E9826" s="6" t="n">
        <f aca="false">Sens!E9818+Sens!E9825</f>
        <v>165.934</v>
      </c>
      <c r="F9826" s="6" t="n">
        <f aca="false">Sens!F9818+Sens!F9825</f>
        <v>171.119702003976</v>
      </c>
      <c r="G9826" s="6" t="n">
        <f aca="false">Sens!G9818+Sens!G9825</f>
        <v>180.537755306712</v>
      </c>
      <c r="H9826" s="6" t="n">
        <f aca="false">Sens!H9818+Sens!H9825</f>
        <v>183.779865685017</v>
      </c>
      <c r="I9826" s="6" t="n">
        <f aca="false">Sens!I9818+Sens!I9825</f>
        <v>194.84415735777</v>
      </c>
      <c r="J9826" s="6" t="n">
        <f aca="false">Sens!J9818+Sens!J9825</f>
        <v>207.351384111755</v>
      </c>
      <c r="K9826" s="6" t="n">
        <f aca="false">Sens!K9818+Sens!K9825</f>
        <v>221.328763595828</v>
      </c>
    </row>
    <row r="9827" customFormat="false" ht="15" hidden="false" customHeight="false" outlineLevel="0" collapsed="false">
      <c r="A9827" s="1" t="s">
        <v>924</v>
      </c>
      <c r="B9827" s="0" t="s">
        <v>98</v>
      </c>
      <c r="D9827" s="6" t="n">
        <f aca="false">Q!L29</f>
        <v>21.795</v>
      </c>
      <c r="E9827" s="6" t="n">
        <f aca="false">Q!M29</f>
        <v>32.185</v>
      </c>
      <c r="F9827" s="6" t="n">
        <f aca="false">Sens!F9826*tax_f</f>
        <v>34.2239404007951</v>
      </c>
      <c r="G9827" s="6" t="n">
        <f aca="false">Sens!G9826*tax_f</f>
        <v>36.1075510613425</v>
      </c>
      <c r="H9827" s="6" t="n">
        <f aca="false">Sens!H9826*tax_f</f>
        <v>36.7559731370034</v>
      </c>
      <c r="I9827" s="6" t="n">
        <f aca="false">Sens!I9826*tax_f</f>
        <v>38.968831471554</v>
      </c>
      <c r="J9827" s="6" t="n">
        <f aca="false">Sens!J9826*tax_f</f>
        <v>41.470276822351</v>
      </c>
      <c r="K9827" s="6" t="n">
        <f aca="false">Sens!K9826*tax_f</f>
        <v>44.2657527191657</v>
      </c>
    </row>
    <row r="9828" customFormat="false" ht="15" hidden="false" customHeight="false" outlineLevel="0" collapsed="false">
      <c r="A9828" s="1" t="s">
        <v>925</v>
      </c>
      <c r="B9828" s="0" t="s">
        <v>98</v>
      </c>
      <c r="D9828" s="6" t="n">
        <f aca="false">Sens!D9826-Sens!D9827</f>
        <v>101.832</v>
      </c>
      <c r="E9828" s="6" t="n">
        <f aca="false">Sens!E9826-Sens!E9827</f>
        <v>133.749</v>
      </c>
      <c r="F9828" s="6" t="n">
        <f aca="false">Sens!F9826-Sens!F9827</f>
        <v>136.895761603181</v>
      </c>
      <c r="G9828" s="6" t="n">
        <f aca="false">Sens!G9826-Sens!G9827</f>
        <v>144.43020424537</v>
      </c>
      <c r="H9828" s="6" t="n">
        <f aca="false">Sens!H9826-Sens!H9827</f>
        <v>147.023892548014</v>
      </c>
      <c r="I9828" s="6" t="n">
        <f aca="false">Sens!I9826-Sens!I9827</f>
        <v>155.875325886216</v>
      </c>
      <c r="J9828" s="6" t="n">
        <f aca="false">Sens!J9826-Sens!J9827</f>
        <v>165.881107289404</v>
      </c>
      <c r="K9828" s="6" t="n">
        <f aca="false">Sens!K9826-Sens!K9827</f>
        <v>177.063010876663</v>
      </c>
    </row>
    <row r="9829" customFormat="false" ht="17.15" hidden="false" customHeight="false" outlineLevel="0" collapsed="false">
      <c r="A9829" s="1" t="s">
        <v>926</v>
      </c>
      <c r="B9829" s="1" t="s">
        <v>81</v>
      </c>
      <c r="D9829" s="14" t="n">
        <f aca="false">Q!L31</f>
        <v>7.465</v>
      </c>
      <c r="E9829" s="14" t="n">
        <f aca="false">Q!M31</f>
        <v>7.453</v>
      </c>
      <c r="F9829" s="14" t="n">
        <f aca="false">Sens!F9872</f>
        <v>7.4735</v>
      </c>
      <c r="G9829" s="14" t="n">
        <f aca="false">Sens!G9872</f>
        <v>7.5185</v>
      </c>
      <c r="H9829" s="14" t="n">
        <f aca="false">Sens!H9872</f>
        <v>7.55831842871282</v>
      </c>
      <c r="I9829" s="14" t="n">
        <f aca="false">Sens!I9872</f>
        <v>7.58216610358301</v>
      </c>
      <c r="J9829" s="14" t="n">
        <f aca="false">Sens!J9872</f>
        <v>7.59640761470089</v>
      </c>
      <c r="K9829" s="14" t="n">
        <f aca="false">Sens!K9872</f>
        <v>7.61292753240263</v>
      </c>
    </row>
    <row r="9830" customFormat="false" ht="17.15" hidden="false" customHeight="false" outlineLevel="0" collapsed="false">
      <c r="A9830" s="0" t="s">
        <v>927</v>
      </c>
      <c r="B9830" s="0" t="s">
        <v>75</v>
      </c>
      <c r="D9830" s="8" t="n">
        <f aca="false">Sens!D9828/Sens!D9829</f>
        <v>13.641259209645</v>
      </c>
      <c r="E9830" s="8" t="n">
        <f aca="false">Sens!E9828/Sens!E9829</f>
        <v>17.9456594659869</v>
      </c>
      <c r="F9830" s="8" t="n">
        <f aca="false">Sens!F9828/Sens!F9829</f>
        <v>18.3174900117991</v>
      </c>
      <c r="G9830" s="8" t="n">
        <f aca="false">Sens!G9828/Sens!G9829</f>
        <v>19.2099759586846</v>
      </c>
      <c r="H9830" s="8" t="n">
        <f aca="false">Sens!H9828/Sens!H9829</f>
        <v>19.4519315287768</v>
      </c>
      <c r="I9830" s="8" t="n">
        <f aca="false">Sens!I9828/Sens!I9829</f>
        <v>20.5581523481207</v>
      </c>
      <c r="J9830" s="8" t="n">
        <f aca="false">Sens!J9828/Sens!J9829</f>
        <v>21.8367833459047</v>
      </c>
      <c r="K9830" s="8" t="n">
        <f aca="false">Sens!K9828/Sens!K9829</f>
        <v>23.2582025932909</v>
      </c>
      <c r="L9830" s="1" t="s">
        <v>928</v>
      </c>
    </row>
    <row r="9831" customFormat="false" ht="17.15" hidden="false" customHeight="false" outlineLevel="0" collapsed="false">
      <c r="A9831" s="1" t="s">
        <v>929</v>
      </c>
      <c r="B9831" s="0" t="s">
        <v>98</v>
      </c>
      <c r="D9831" s="6" t="n">
        <f aca="false">Sens!D9828</f>
        <v>101.832</v>
      </c>
      <c r="E9831" s="6" t="n">
        <f aca="false">Sens!E9828</f>
        <v>133.749</v>
      </c>
      <c r="F9831" s="6" t="n">
        <f aca="false">Sens!F9828+Sens!F9821*(1-tax_f)</f>
        <v>145.020046803399</v>
      </c>
      <c r="G9831" s="6" t="n">
        <f aca="false">Sens!G9828+Sens!G9821*(1-tax_f)</f>
        <v>165.633354997094</v>
      </c>
      <c r="H9831" s="6" t="n">
        <f aca="false">Sens!H9828+Sens!H9821*(1-tax_f)</f>
        <v>182.533092011662</v>
      </c>
      <c r="I9831" s="6" t="n">
        <f aca="false">Sens!I9828+Sens!I9821*(1-tax_f)</f>
        <v>204.277607879316</v>
      </c>
      <c r="J9831" s="6" t="n">
        <f aca="false">Sens!J9828+Sens!J9821*(1-tax_f)</f>
        <v>223.384157256362</v>
      </c>
      <c r="K9831" s="6" t="n">
        <f aca="false">Sens!K9828+Sens!K9821*(1-tax_f)</f>
        <v>240.086148658324</v>
      </c>
    </row>
    <row r="9832" customFormat="false" ht="17.15" hidden="false" customHeight="false" outlineLevel="0" collapsed="false">
      <c r="A9832" s="0" t="s">
        <v>930</v>
      </c>
      <c r="B9832" s="0" t="s">
        <v>75</v>
      </c>
      <c r="D9832" s="8" t="n">
        <f aca="false">Sens!D9831/Sens!D9829</f>
        <v>13.641259209645</v>
      </c>
      <c r="E9832" s="8" t="n">
        <f aca="false">Sens!E9831/Sens!E9829</f>
        <v>17.9456594659869</v>
      </c>
      <c r="F9832" s="8" t="n">
        <f aca="false">Sens!F9831/Sens!F9829</f>
        <v>19.4045690511004</v>
      </c>
      <c r="G9832" s="8" t="n">
        <f aca="false">Sens!G9831/Sens!G9829</f>
        <v>22.0301064038165</v>
      </c>
      <c r="H9832" s="8" t="n">
        <f aca="false">Sens!H9831/Sens!H9829</f>
        <v>24.1499605677168</v>
      </c>
      <c r="I9832" s="8" t="n">
        <f aca="false">Sens!I9831/Sens!I9829</f>
        <v>26.9418534345723</v>
      </c>
      <c r="J9832" s="8" t="n">
        <f aca="false">Sens!J9831/Sens!J9829</f>
        <v>29.4065522266156</v>
      </c>
      <c r="K9832" s="8" t="n">
        <f aca="false">Sens!K9831/Sens!K9829</f>
        <v>31.5366391754623</v>
      </c>
      <c r="L9832" s="1" t="s">
        <v>931</v>
      </c>
    </row>
    <row r="9833" customFormat="false" ht="17.15" hidden="false" customHeight="false" outlineLevel="0" collapsed="false">
      <c r="A9833" s="0" t="s">
        <v>932</v>
      </c>
      <c r="B9833" s="0" t="s">
        <v>129</v>
      </c>
      <c r="E9833" s="7" t="n">
        <f aca="false">Sens!E9832/Sens!D9832-1</f>
        <v>0.315542736208578</v>
      </c>
      <c r="F9833" s="7" t="n">
        <f aca="false">Sens!F9832/Sens!E9832-1</f>
        <v>0.0812959583836224</v>
      </c>
      <c r="G9833" s="7" t="n">
        <f aca="false">Sens!G9832/Sens!F9832-1</f>
        <v>0.135305110141944</v>
      </c>
      <c r="H9833" s="7" t="n">
        <f aca="false">Sens!H9832/Sens!G9832-1</f>
        <v>0.0962253256994268</v>
      </c>
      <c r="I9833" s="7" t="n">
        <f aca="false">Sens!I9832/Sens!H9832-1</f>
        <v>0.115606518653604</v>
      </c>
      <c r="J9833" s="7" t="n">
        <f aca="false">Sens!J9832/Sens!I9832-1</f>
        <v>0.0914821542633932</v>
      </c>
      <c r="K9833" s="7" t="n">
        <f aca="false">Sens!K9832/Sens!J9832-1</f>
        <v>0.0724357936432536</v>
      </c>
    </row>
    <row r="9834" customFormat="false" ht="17.15" hidden="false" customHeight="false" outlineLevel="0" collapsed="false">
      <c r="A9834" s="0" t="s">
        <v>856</v>
      </c>
      <c r="B9834" s="0" t="s">
        <v>98</v>
      </c>
      <c r="E9834" s="6" t="n">
        <f aca="false">Sens!E9775</f>
        <v>5.25</v>
      </c>
      <c r="F9834" s="6" t="n">
        <f aca="false">Sens!F9775</f>
        <v>10.5</v>
      </c>
      <c r="G9834" s="6" t="n">
        <f aca="false">Sens!G9775</f>
        <v>13.5</v>
      </c>
      <c r="H9834" s="6" t="n">
        <f aca="false">Sens!H9775</f>
        <v>16.5</v>
      </c>
      <c r="I9834" s="6" t="n">
        <f aca="false">Sens!I9775</f>
        <v>18.75</v>
      </c>
      <c r="J9834" s="6" t="n">
        <f aca="false">Sens!J9775</f>
        <v>20.25</v>
      </c>
      <c r="K9834" s="6" t="n">
        <f aca="false">Sens!K9775</f>
        <v>21.75</v>
      </c>
    </row>
    <row r="9835" customFormat="false" ht="17.15" hidden="false" customHeight="false" outlineLevel="0" collapsed="false">
      <c r="A9835" s="1" t="s">
        <v>857</v>
      </c>
      <c r="B9835" s="0" t="s">
        <v>98</v>
      </c>
      <c r="F9835" s="6" t="n">
        <f aca="false">MAX(0,((Sens!E9738+Sens!F9738)/2-(shadow_base*(Sens!$D$9738+Sens!$E$9738)/2+(1-shadow_base)*Sens!$E$9738))*Sens!F9746/1000-(Sens!F9834-Sens!$E$9834)*Sens!F9814)</f>
        <v>10.1553565002727</v>
      </c>
      <c r="G9835" s="6" t="n">
        <f aca="false">MAX(0,((Sens!F9738+Sens!G9738)/2-(shadow_base*(Sens!$D$9738+Sens!$E$9738)/2+(1-shadow_base)*Sens!$E$9738))*Sens!G9746/1000-(Sens!G9834-Sens!$E$9834)*Sens!G9814)</f>
        <v>26.5039384396555</v>
      </c>
      <c r="H9835" s="6" t="n">
        <f aca="false">MAX(0,((Sens!G9738+Sens!H9738)/2-(shadow_base*(Sens!$D$9738+Sens!$E$9738)/2+(1-shadow_base)*Sens!$E$9738))*Sens!H9746/1000-(Sens!H9834-Sens!$E$9834)*Sens!H9814)</f>
        <v>44.38649932956</v>
      </c>
      <c r="I9835" s="6" t="n">
        <f aca="false">MAX(0,((Sens!H9738+Sens!I9738)/2-(shadow_base*(Sens!$D$9738+Sens!$E$9738)/2+(1-shadow_base)*Sens!$E$9738))*Sens!I9746/1000-(Sens!I9834-Sens!$E$9834)*Sens!I9814)</f>
        <v>60.5028524913745</v>
      </c>
      <c r="J9835" s="6" t="n">
        <f aca="false">MAX(0,((Sens!I9738+Sens!J9738)/2-(shadow_base*(Sens!$D$9738+Sens!$E$9738)/2+(1-shadow_base)*Sens!$E$9738))*Sens!J9746/1000-(Sens!J9834-Sens!$E$9834)*Sens!J9814)</f>
        <v>71.8788124586976</v>
      </c>
      <c r="K9835" s="6" t="n">
        <f aca="false">MAX(0,((Sens!J9738+Sens!K9738)/2-(shadow_base*(Sens!$D$9738+Sens!$E$9738)/2+(1-shadow_base)*Sens!$E$9738))*Sens!K9746/1000-(Sens!K9834-Sens!$E$9834)*Sens!K9814)</f>
        <v>78.7789222270768</v>
      </c>
      <c r="L9835" s="1" t="s">
        <v>858</v>
      </c>
    </row>
    <row r="9836" customFormat="false" ht="17.15" hidden="false" customHeight="false" outlineLevel="0" collapsed="false">
      <c r="A9836" s="1" t="s">
        <v>859</v>
      </c>
      <c r="B9836" s="0" t="s">
        <v>98</v>
      </c>
      <c r="F9836" s="6" t="n">
        <f aca="false">IF(internal_ai_reading=2,1,0)*Sens!F9835</f>
        <v>10.1553565002727</v>
      </c>
      <c r="G9836" s="6" t="n">
        <f aca="false">IF(internal_ai_reading=2,1,0)*Sens!G9835</f>
        <v>26.5039384396555</v>
      </c>
      <c r="H9836" s="6" t="n">
        <f aca="false">IF(internal_ai_reading=2,1,0)*Sens!H9835</f>
        <v>44.38649932956</v>
      </c>
      <c r="I9836" s="6" t="n">
        <f aca="false">IF(internal_ai_reading=2,1,0)*Sens!I9835</f>
        <v>60.5028524913745</v>
      </c>
      <c r="J9836" s="6" t="n">
        <f aca="false">IF(internal_ai_reading=2,1,0)*Sens!J9835</f>
        <v>71.8788124586976</v>
      </c>
      <c r="K9836" s="6" t="n">
        <f aca="false">IF(internal_ai_reading=2,1,0)*Sens!K9835</f>
        <v>78.7789222270768</v>
      </c>
    </row>
    <row r="9837" customFormat="false" ht="17.15" hidden="false" customHeight="false" outlineLevel="0" collapsed="false">
      <c r="A9837" s="0" t="s">
        <v>860</v>
      </c>
      <c r="B9837" s="0" t="s">
        <v>98</v>
      </c>
      <c r="F9837" s="6" t="n">
        <f aca="false">Sens!F9755+Sens!F9834*Sens!F9814+Sens!F9836-Sens!F9756-Sens!F9766</f>
        <v>10.6249363155714</v>
      </c>
      <c r="G9837" s="6" t="n">
        <f aca="false">Sens!G9755+Sens!G9834*Sens!G9814+Sens!G9836-Sens!G9756-Sens!G9766</f>
        <v>16.5522915631233</v>
      </c>
      <c r="H9837" s="6" t="n">
        <f aca="false">Sens!H9755+Sens!H9834*Sens!H9814+Sens!H9836-Sens!H9756-Sens!H9766</f>
        <v>17.4625151247579</v>
      </c>
      <c r="I9837" s="6" t="n">
        <f aca="false">Sens!I9755+Sens!I9834*Sens!I9814+Sens!I9836-Sens!I9756-Sens!I9766</f>
        <v>24.729505792607</v>
      </c>
      <c r="J9837" s="6" t="n">
        <f aca="false">Sens!J9755+Sens!J9834*Sens!J9814+Sens!J9836-Sens!J9756-Sens!J9766</f>
        <v>29.752205312642</v>
      </c>
      <c r="K9837" s="6" t="n">
        <f aca="false">Sens!K9755+Sens!K9834*Sens!K9814+Sens!K9836-Sens!K9756-Sens!K9766</f>
        <v>33.5968759973665</v>
      </c>
    </row>
    <row r="9838" customFormat="false" ht="17.15" hidden="false" customHeight="false" outlineLevel="0" collapsed="false">
      <c r="A9838" s="0" t="s">
        <v>861</v>
      </c>
      <c r="B9838" s="0" t="s">
        <v>98</v>
      </c>
      <c r="E9838" s="6" t="n">
        <f aca="false">Sens!E9737*(cxit_open+self_build*tk_cxfac)/1000*ai_net_open</f>
        <v>126.6980382</v>
      </c>
      <c r="F9838" s="6" t="n">
        <f aca="false">Sens!E9838+Sens!F9763-Sens!F9766</f>
        <v>252.981026690511</v>
      </c>
      <c r="G9838" s="6" t="n">
        <f aca="false">Sens!F9838+Sens!G9763-Sens!G9766</f>
        <v>377.4297700632</v>
      </c>
      <c r="H9838" s="6" t="n">
        <f aca="false">Sens!G9838+Sens!H9763-Sens!H9766</f>
        <v>479.149036130289</v>
      </c>
      <c r="I9838" s="6" t="n">
        <f aca="false">Sens!H9838+Sens!I9763-Sens!I9766</f>
        <v>532.249961452141</v>
      </c>
      <c r="J9838" s="6" t="n">
        <f aca="false">Sens!I9838+Sens!J9763-Sens!J9766</f>
        <v>531.43307519354</v>
      </c>
      <c r="K9838" s="6" t="n">
        <f aca="false">Sens!J9838+Sens!K9763-Sens!K9766</f>
        <v>513.709026452823</v>
      </c>
      <c r="L9838" s="1" t="s">
        <v>862</v>
      </c>
    </row>
    <row r="9839" customFormat="false" ht="17.15" hidden="false" customHeight="false" outlineLevel="0" collapsed="false">
      <c r="A9839" s="0" t="s">
        <v>863</v>
      </c>
      <c r="B9839" s="0" t="s">
        <v>129</v>
      </c>
      <c r="F9839" s="7" t="n">
        <f aca="false">Sens!F9837*(1-tax_f)/((Sens!E9838+Sens!F9838)/2)</f>
        <v>0.0447743888903029</v>
      </c>
      <c r="G9839" s="7" t="n">
        <f aca="false">Sens!G9837*(1-tax_f)/((Sens!F9838+Sens!G9838)/2)</f>
        <v>0.0420101727910983</v>
      </c>
      <c r="H9839" s="7" t="n">
        <f aca="false">Sens!H9837*(1-tax_f)/((Sens!G9838+Sens!H9838)/2)</f>
        <v>0.0326181595874103</v>
      </c>
      <c r="I9839" s="7" t="n">
        <f aca="false">Sens!I9837*(1-tax_f)/((Sens!H9838+Sens!I9838)/2)</f>
        <v>0.0391212660510339</v>
      </c>
      <c r="J9839" s="7" t="n">
        <f aca="false">Sens!J9837*(1-tax_f)/((Sens!I9838+Sens!J9838)/2)</f>
        <v>0.0447534903351892</v>
      </c>
      <c r="K9839" s="7" t="n">
        <f aca="false">Sens!K9837*(1-tax_f)/((Sens!J9838+Sens!K9838)/2)</f>
        <v>0.0514331989029135</v>
      </c>
    </row>
    <row r="9840" customFormat="false" ht="17.15" hidden="false" customHeight="false" outlineLevel="0" collapsed="false">
      <c r="A9840" s="1" t="s">
        <v>864</v>
      </c>
      <c r="B9840" s="0" t="s">
        <v>129</v>
      </c>
      <c r="F9840" s="7" t="n">
        <f aca="false">(Sens!F9837-Sens!F9836)*(1-tax_f)/((Sens!E9838+Sens!F9838)/2)</f>
        <v>0.00197884943878752</v>
      </c>
      <c r="G9840" s="7" t="n">
        <f aca="false">(Sens!G9837-Sens!G9836)*(1-tax_f)/((Sens!F9838+Sens!G9838)/2)</f>
        <v>-0.0252575544144306</v>
      </c>
      <c r="H9840" s="7" t="n">
        <f aca="false">(Sens!H9837-Sens!H9836)*(1-tax_f)/((Sens!G9838+Sens!H9838)/2)</f>
        <v>-0.0502911984468976</v>
      </c>
      <c r="I9840" s="7" t="n">
        <f aca="false">(Sens!I9837-Sens!I9836)*(1-tax_f)/((Sens!H9838+Sens!I9838)/2)</f>
        <v>-0.0565922596866753</v>
      </c>
      <c r="J9840" s="7" t="n">
        <f aca="false">(Sens!J9837-Sens!J9836)*(1-tax_f)/((Sens!I9838+Sens!J9838)/2)</f>
        <v>-0.0633671583653741</v>
      </c>
      <c r="K9840" s="7" t="n">
        <f aca="false">(Sens!K9837-Sens!K9836)*(1-tax_f)/((Sens!J9838+Sens!K9838)/2)</f>
        <v>-0.0691688468521739</v>
      </c>
    </row>
    <row r="9841" customFormat="false" ht="17.15" hidden="false" customHeight="false" outlineLevel="0" collapsed="false">
      <c r="A9841" s="1" t="s">
        <v>865</v>
      </c>
      <c r="B9841" s="0" t="s">
        <v>129</v>
      </c>
      <c r="F9841" s="7" t="n">
        <f aca="false">(Sens!F9837-Sens!F9836+Sens!F9835)*(1-tax_f)/((Sens!E9838+Sens!F9838)/2)</f>
        <v>0.0447743888903029</v>
      </c>
      <c r="G9841" s="7" t="n">
        <f aca="false">(Sens!G9837-Sens!G9836+Sens!G9835)*(1-tax_f)/((Sens!F9838+Sens!G9838)/2)</f>
        <v>0.0420101727910983</v>
      </c>
      <c r="H9841" s="7" t="n">
        <f aca="false">(Sens!H9837-Sens!H9836+Sens!H9835)*(1-tax_f)/((Sens!G9838+Sens!H9838)/2)</f>
        <v>0.0326181595874103</v>
      </c>
      <c r="I9841" s="7" t="n">
        <f aca="false">(Sens!I9837-Sens!I9836+Sens!I9835)*(1-tax_f)/((Sens!H9838+Sens!I9838)/2)</f>
        <v>0.0391212660510339</v>
      </c>
      <c r="J9841" s="7" t="n">
        <f aca="false">(Sens!J9837-Sens!J9836+Sens!J9835)*(1-tax_f)/((Sens!I9838+Sens!J9838)/2)</f>
        <v>0.0447534903351892</v>
      </c>
      <c r="K9841" s="7" t="n">
        <f aca="false">(Sens!K9837-Sens!K9836+Sens!K9835)*(1-tax_f)/((Sens!J9838+Sens!K9838)/2)</f>
        <v>0.0514331989029135</v>
      </c>
    </row>
    <row r="9842" customFormat="false" ht="17.15" hidden="false" customHeight="false" outlineLevel="0" collapsed="false">
      <c r="A9842" s="1" t="s">
        <v>866</v>
      </c>
      <c r="B9842" s="0" t="s">
        <v>129</v>
      </c>
      <c r="F9842" s="7" t="n">
        <f aca="false">Sens!F9767*(1-tax_f)/(Sens!F9754*(Sens!E9838+Sens!F9838)/2)</f>
        <v>0.102735279953254</v>
      </c>
      <c r="G9842" s="7" t="n">
        <f aca="false">Sens!G9767*(1-tax_f)/(Sens!G9754*(Sens!F9838+Sens!G9838)/2)</f>
        <v>0.0709600152423962</v>
      </c>
      <c r="H9842" s="7" t="n">
        <f aca="false">Sens!H9767*(1-tax_f)/(Sens!H9754*(Sens!G9838+Sens!H9838)/2)</f>
        <v>0.0419126501774916</v>
      </c>
      <c r="I9842" s="7" t="n">
        <f aca="false">Sens!I9767*(1-tax_f)/(Sens!I9754*(Sens!H9838+Sens!I9838)/2)</f>
        <v>0.044576811268173</v>
      </c>
      <c r="J9842" s="7" t="n">
        <f aca="false">Sens!J9767*(1-tax_f)/(Sens!J9754*(Sens!I9838+Sens!J9838)/2)</f>
        <v>0.0483882076863038</v>
      </c>
      <c r="K9842" s="7" t="n">
        <f aca="false">Sens!K9767*(1-tax_f)/(Sens!K9754*(Sens!J9838+Sens!K9838)/2)</f>
        <v>0.0544871874286225</v>
      </c>
    </row>
    <row r="9843" customFormat="false" ht="17.15" hidden="false" customHeight="false" outlineLevel="0" collapsed="false">
      <c r="A9843" s="0" t="s">
        <v>867</v>
      </c>
      <c r="B9843" s="0" t="s">
        <v>209</v>
      </c>
      <c r="F9843" s="7" t="n">
        <f aca="false">Sens!F9839-wacc</f>
        <v>-0.0581600312025729</v>
      </c>
      <c r="G9843" s="7" t="n">
        <f aca="false">Sens!G9839-wacc</f>
        <v>-0.0609242473017775</v>
      </c>
      <c r="H9843" s="7" t="n">
        <f aca="false">Sens!H9839-wacc</f>
        <v>-0.0703162605054654</v>
      </c>
      <c r="I9843" s="7" t="n">
        <f aca="false">Sens!I9839-wacc</f>
        <v>-0.0638131540418418</v>
      </c>
      <c r="J9843" s="7" t="n">
        <f aca="false">Sens!J9839-wacc</f>
        <v>-0.0581809297576865</v>
      </c>
      <c r="K9843" s="7" t="n">
        <f aca="false">Sens!K9839-wacc</f>
        <v>-0.0515012211899623</v>
      </c>
    </row>
    <row r="9844" customFormat="false" ht="17.15" hidden="false" customHeight="false" outlineLevel="0" collapsed="false">
      <c r="A9844" s="0" t="s">
        <v>868</v>
      </c>
      <c r="B9844" s="0" t="s">
        <v>98</v>
      </c>
      <c r="F9844" s="6" t="n">
        <f aca="false">Sens!F9837*(1-tax_f)-wacc*(Sens!E9838+Sens!F9838)/2</f>
        <v>-11.0410731304979</v>
      </c>
      <c r="G9844" s="6" t="n">
        <f aca="false">Sens!G9837*(1-tax_f)-wacc*(Sens!F9838+Sens!G9838)/2</f>
        <v>-19.2036516415668</v>
      </c>
      <c r="H9844" s="6" t="n">
        <f aca="false">Sens!H9837*(1-tax_f)-wacc*(Sens!G9838+Sens!H9838)/2</f>
        <v>-30.115709239881</v>
      </c>
      <c r="I9844" s="6" t="n">
        <f aca="false">Sens!I9837*(1-tax_f)-wacc*(Sens!H9838+Sens!I9838)/2</f>
        <v>-32.270280015246</v>
      </c>
      <c r="J9844" s="6" t="n">
        <f aca="false">Sens!J9837*(1-tax_f)-wacc*(Sens!I9838+Sens!J9838)/2</f>
        <v>-30.9430340197625</v>
      </c>
      <c r="K9844" s="6" t="n">
        <f aca="false">Sens!K9837*(1-tax_f)-wacc*(Sens!J9838+Sens!K9838)/2</f>
        <v>-26.9130472759157</v>
      </c>
    </row>
    <row r="9845" customFormat="false" ht="17.15" hidden="false" customHeight="false" outlineLevel="0" collapsed="false">
      <c r="A9845" s="3" t="s">
        <v>1515</v>
      </c>
    </row>
    <row r="9846" customFormat="false" ht="15" hidden="false" customHeight="false" outlineLevel="0" collapsed="false">
      <c r="A9846" s="4" t="s">
        <v>43</v>
      </c>
      <c r="B9846" s="4" t="s">
        <v>65</v>
      </c>
      <c r="C9846" s="20" t="s">
        <v>799</v>
      </c>
      <c r="D9846" s="20" t="s">
        <v>800</v>
      </c>
      <c r="E9846" s="20" t="s">
        <v>801</v>
      </c>
      <c r="F9846" s="20" t="s">
        <v>802</v>
      </c>
      <c r="G9846" s="20" t="s">
        <v>803</v>
      </c>
      <c r="H9846" s="20" t="s">
        <v>804</v>
      </c>
      <c r="I9846" s="20" t="s">
        <v>805</v>
      </c>
      <c r="J9846" s="20" t="s">
        <v>806</v>
      </c>
      <c r="K9846" s="20" t="s">
        <v>807</v>
      </c>
      <c r="L9846" s="4" t="s">
        <v>47</v>
      </c>
    </row>
    <row r="9847" customFormat="false" ht="15" hidden="false" customHeight="false" outlineLevel="0" collapsed="false">
      <c r="A9847" s="1" t="s">
        <v>925</v>
      </c>
      <c r="B9847" s="0" t="s">
        <v>98</v>
      </c>
      <c r="F9847" s="6" t="n">
        <f aca="false">Sens!F9828</f>
        <v>136.895761603181</v>
      </c>
      <c r="G9847" s="6" t="n">
        <f aca="false">Sens!G9828</f>
        <v>144.43020424537</v>
      </c>
      <c r="H9847" s="6" t="n">
        <f aca="false">Sens!H9828</f>
        <v>147.023892548014</v>
      </c>
      <c r="I9847" s="6" t="n">
        <f aca="false">Sens!I9828</f>
        <v>155.875325886216</v>
      </c>
      <c r="J9847" s="6" t="n">
        <f aca="false">Sens!J9828</f>
        <v>165.881107289404</v>
      </c>
      <c r="K9847" s="6" t="n">
        <f aca="false">Sens!K9828</f>
        <v>177.063010876663</v>
      </c>
    </row>
    <row r="9848" customFormat="false" ht="17.15" hidden="false" customHeight="false" outlineLevel="0" collapsed="false">
      <c r="A9848" s="1" t="s">
        <v>947</v>
      </c>
      <c r="B9848" s="0" t="s">
        <v>98</v>
      </c>
      <c r="E9848" s="6" t="n">
        <f aca="false">Q!M38-Sens!E9766</f>
        <v>22.2285940229167</v>
      </c>
      <c r="F9848" s="6" t="n">
        <f aca="false">Sens!E9848*(1-1/life_nonai)+(Sens!F9855+Sens!F9856)/life_nonai</f>
        <v>24.3924470334783</v>
      </c>
      <c r="G9848" s="6" t="n">
        <f aca="false">Sens!F9848*(1-1/life_nonai)+(Sens!G9855)/life_nonai</f>
        <v>26.0268066956631</v>
      </c>
      <c r="H9848" s="6" t="n">
        <f aca="false">Sens!G9848*(1-1/life_nonai)+(Sens!H9855)/life_nonai</f>
        <v>28.0376134181066</v>
      </c>
      <c r="I9848" s="6" t="n">
        <f aca="false">Sens!H9848*(1-1/life_nonai)+(Sens!I9855)/life_nonai</f>
        <v>30.3696493287686</v>
      </c>
      <c r="J9848" s="6" t="n">
        <f aca="false">Sens!I9848*(1-1/life_nonai)+(Sens!J9855)/life_nonai</f>
        <v>32.9503754141482</v>
      </c>
      <c r="K9848" s="6" t="n">
        <f aca="false">Sens!J9848*(1-1/life_nonai)+(Sens!K9855)/life_nonai</f>
        <v>35.6984015303046</v>
      </c>
      <c r="L9848" s="11" t="s">
        <v>948</v>
      </c>
    </row>
    <row r="9849" customFormat="false" ht="17.15" hidden="false" customHeight="false" outlineLevel="0" collapsed="false">
      <c r="A9849" s="1" t="s">
        <v>949</v>
      </c>
      <c r="B9849" s="0" t="s">
        <v>98</v>
      </c>
      <c r="F9849" s="6" t="n">
        <f aca="false">Sens!$F$9856/life_nonai*(1-1/life_nonai)^(Sens!F9732-2027)</f>
        <v>0.842784289897089</v>
      </c>
      <c r="G9849" s="6" t="n">
        <f aca="false">Sens!$F$9856/life_nonai*(1-1/life_nonai)^(Sens!G9732-2027)</f>
        <v>0.75850586090738</v>
      </c>
      <c r="H9849" s="6" t="n">
        <f aca="false">Sens!$F$9856/life_nonai*(1-1/life_nonai)^(Sens!H9732-2027)</f>
        <v>0.682655274816642</v>
      </c>
      <c r="I9849" s="6" t="n">
        <f aca="false">Sens!$F$9856/life_nonai*(1-1/life_nonai)^(Sens!I9732-2027)</f>
        <v>0.614389747334978</v>
      </c>
      <c r="J9849" s="6" t="n">
        <f aca="false">Sens!$F$9856/life_nonai*(1-1/life_nonai)^(Sens!J9732-2027)</f>
        <v>0.55295077260148</v>
      </c>
      <c r="K9849" s="6" t="n">
        <f aca="false">Sens!$F$9856/life_nonai*(1-1/life_nonai)^(Sens!K9732-2027)</f>
        <v>0.497655695341332</v>
      </c>
      <c r="L9849" s="1" t="s">
        <v>950</v>
      </c>
    </row>
    <row r="9850" customFormat="false" ht="17.15" hidden="false" customHeight="false" outlineLevel="0" collapsed="false">
      <c r="A9850" s="1" t="s">
        <v>951</v>
      </c>
      <c r="B9850" s="0" t="s">
        <v>98</v>
      </c>
      <c r="E9850" s="6" t="n">
        <f aca="false">Sens!E9766+Sens!E9848</f>
        <v>38.534</v>
      </c>
      <c r="F9850" s="6" t="n">
        <f aca="false">Sens!F9766+Sens!F9848</f>
        <v>58.4423344144339</v>
      </c>
      <c r="G9850" s="6" t="n">
        <f aca="false">Sens!G9766+Sens!G9848</f>
        <v>85.1522438061742</v>
      </c>
      <c r="H9850" s="6" t="n">
        <f aca="false">Sens!H9766+Sens!H9848</f>
        <v>114.398633261418</v>
      </c>
      <c r="I9850" s="6" t="n">
        <f aca="false">Sens!I9766+Sens!I9848</f>
        <v>140.975393161161</v>
      </c>
      <c r="J9850" s="6" t="n">
        <f aca="false">Sens!J9766+Sens!J9848</f>
        <v>160.948698266991</v>
      </c>
      <c r="K9850" s="6" t="n">
        <f aca="false">Sens!K9766+Sens!K9848</f>
        <v>174.829865574613</v>
      </c>
    </row>
    <row r="9851" customFormat="false" ht="17.15" hidden="false" customHeight="false" outlineLevel="0" collapsed="false">
      <c r="A9851" s="1" t="s">
        <v>952</v>
      </c>
      <c r="B9851" s="0" t="s">
        <v>98</v>
      </c>
      <c r="F9851" s="6" t="n">
        <f aca="false">Sens!F9793*sbc_r</f>
        <v>14.7148768950759</v>
      </c>
      <c r="G9851" s="6" t="n">
        <f aca="false">Sens!G9793*sbc_r</f>
        <v>17.0767243238314</v>
      </c>
      <c r="H9851" s="6" t="n">
        <f aca="false">Sens!H9793*sbc_r</f>
        <v>19.298764926411</v>
      </c>
      <c r="I9851" s="6" t="n">
        <f aca="false">Sens!I9793*sbc_r</f>
        <v>21.6372912321634</v>
      </c>
      <c r="J9851" s="6" t="n">
        <f aca="false">Sens!J9793*sbc_r</f>
        <v>23.6288999742323</v>
      </c>
      <c r="K9851" s="6" t="n">
        <f aca="false">Sens!K9793*sbc_r</f>
        <v>25.2962961122857</v>
      </c>
    </row>
    <row r="9852" customFormat="false" ht="17.15" hidden="false" customHeight="false" outlineLevel="0" collapsed="false">
      <c r="A9852" s="1" t="s">
        <v>953</v>
      </c>
      <c r="B9852" s="0" t="s">
        <v>98</v>
      </c>
      <c r="F9852" s="6" t="n">
        <f aca="false">wc27</f>
        <v>-4.895</v>
      </c>
      <c r="G9852" s="6" t="n">
        <f aca="false">wc_f</f>
        <v>0</v>
      </c>
      <c r="H9852" s="6" t="n">
        <f aca="false">wc_f</f>
        <v>0</v>
      </c>
      <c r="I9852" s="6" t="n">
        <f aca="false">wc_f</f>
        <v>0</v>
      </c>
      <c r="J9852" s="6" t="n">
        <f aca="false">wc_f</f>
        <v>0</v>
      </c>
      <c r="K9852" s="6" t="n">
        <f aca="false">wc_f</f>
        <v>0</v>
      </c>
      <c r="L9852" s="11" t="s">
        <v>954</v>
      </c>
    </row>
    <row r="9853" customFormat="false" ht="15" hidden="false" customHeight="false" outlineLevel="0" collapsed="false">
      <c r="A9853" s="1" t="s">
        <v>767</v>
      </c>
      <c r="B9853" s="0" t="s">
        <v>98</v>
      </c>
      <c r="E9853" s="6" t="n">
        <f aca="false">Q!M35</f>
        <v>182.935</v>
      </c>
      <c r="F9853" s="6" t="n">
        <f aca="false">Sens!F9847+Sens!F9850+Sens!F9851+Sens!F9852</f>
        <v>205.15797291269</v>
      </c>
      <c r="G9853" s="6" t="n">
        <f aca="false">Sens!G9847+Sens!G9850+Sens!G9851+Sens!G9852</f>
        <v>246.659172375375</v>
      </c>
      <c r="H9853" s="6" t="n">
        <f aca="false">Sens!H9847+Sens!H9850+Sens!H9851+Sens!H9852</f>
        <v>280.721290735842</v>
      </c>
      <c r="I9853" s="6" t="n">
        <f aca="false">Sens!I9847+Sens!I9850+Sens!I9851+Sens!I9852</f>
        <v>318.488010279541</v>
      </c>
      <c r="J9853" s="6" t="n">
        <f aca="false">Sens!J9847+Sens!J9850+Sens!J9851+Sens!J9852</f>
        <v>350.458705530628</v>
      </c>
      <c r="K9853" s="6" t="n">
        <f aca="false">Sens!K9847+Sens!K9850+Sens!K9851+Sens!K9852</f>
        <v>377.189172563561</v>
      </c>
    </row>
    <row r="9854" customFormat="false" ht="17.15" hidden="false" customHeight="false" outlineLevel="0" collapsed="false">
      <c r="A9854" s="0" t="s">
        <v>955</v>
      </c>
      <c r="B9854" s="0" t="s">
        <v>98</v>
      </c>
      <c r="F9854" s="6" t="n">
        <f aca="false">Sens!F9763</f>
        <v>160.332875871467</v>
      </c>
      <c r="G9854" s="6" t="n">
        <f aca="false">Sens!G9763</f>
        <v>183.5741804832</v>
      </c>
      <c r="H9854" s="6" t="n">
        <f aca="false">Sens!H9763</f>
        <v>188.0802859104</v>
      </c>
      <c r="I9854" s="6" t="n">
        <f aca="false">Sens!I9763</f>
        <v>163.706669154245</v>
      </c>
      <c r="J9854" s="6" t="n">
        <f aca="false">Sens!J9763</f>
        <v>127.181436594242</v>
      </c>
      <c r="K9854" s="6" t="n">
        <f aca="false">Sens!K9763</f>
        <v>121.407415303591</v>
      </c>
    </row>
    <row r="9855" customFormat="false" ht="17.15" hidden="false" customHeight="false" outlineLevel="0" collapsed="false">
      <c r="A9855" s="1" t="s">
        <v>956</v>
      </c>
      <c r="B9855" s="0" t="s">
        <v>98</v>
      </c>
      <c r="E9855" s="6" t="n">
        <f aca="false">Sens!E9771*cx_azo+Sens!E9778*cx_m365+Sens!E9779*cx_lic+(Sens!E9781+Sens!E9783)*cx_ind+Sens!E9786*cx_srch+(Sens!E9788+Sens!E9790)*cx_dev</f>
        <v>30.1846587067718</v>
      </c>
      <c r="F9855" s="6" t="n">
        <f aca="false">Sens!F9771*cx_azo+Sens!F9778*cx_m365+Sens!F9779*cx_lic+(Sens!F9781+Sens!F9783)*cx_ind+Sens!F9786*cx_srch+(Sens!F9788+Sens!F9790)*cx_dev</f>
        <v>35.4392812295625</v>
      </c>
      <c r="G9855" s="6" t="n">
        <f aca="false">Sens!G9771*cx_azo+Sens!G9778*cx_m365+Sens!G9779*cx_lic+(Sens!G9781+Sens!G9783)*cx_ind+Sens!G9786*cx_srch+(Sens!G9788+Sens!G9790)*cx_dev</f>
        <v>40.7360436553257</v>
      </c>
      <c r="H9855" s="6" t="n">
        <f aca="false">Sens!H9771*cx_azo+Sens!H9778*cx_m365+Sens!H9779*cx_lic+(Sens!H9781+Sens!H9783)*cx_ind+Sens!H9786*cx_srch+(Sens!H9788+Sens!H9790)*cx_dev</f>
        <v>46.1348739200982</v>
      </c>
      <c r="I9855" s="6" t="n">
        <f aca="false">Sens!I9771*cx_azo+Sens!I9778*cx_m365+Sens!I9779*cx_lic+(Sens!I9781+Sens!I9783)*cx_ind+Sens!I9786*cx_srch+(Sens!I9788+Sens!I9790)*cx_dev</f>
        <v>51.3579725247266</v>
      </c>
      <c r="J9855" s="6" t="n">
        <f aca="false">Sens!J9771*cx_azo+Sens!J9778*cx_m365+Sens!J9779*cx_lic+(Sens!J9781+Sens!J9783)*cx_ind+Sens!J9786*cx_srch+(Sens!J9788+Sens!J9790)*cx_dev</f>
        <v>56.1769101825644</v>
      </c>
      <c r="K9855" s="6" t="n">
        <f aca="false">Sens!K9771*cx_azo+Sens!K9778*cx_m365+Sens!K9779*cx_lic+(Sens!K9781+Sens!K9783)*cx_ind+Sens!K9786*cx_srch+(Sens!K9788+Sens!K9790)*cx_dev</f>
        <v>60.4306365757122</v>
      </c>
    </row>
    <row r="9856" customFormat="false" ht="17.15" hidden="false" customHeight="false" outlineLevel="0" collapsed="false">
      <c r="A9856" s="0" t="s">
        <v>957</v>
      </c>
      <c r="B9856" s="0" t="s">
        <v>98</v>
      </c>
      <c r="F9856" s="6" t="n">
        <f aca="false">Sens!F9761</f>
        <v>8.42784289897089</v>
      </c>
      <c r="L9856" s="1" t="s">
        <v>958</v>
      </c>
    </row>
    <row r="9857" customFormat="false" ht="17.15" hidden="false" customHeight="false" outlineLevel="0" collapsed="false">
      <c r="A9857" s="1" t="s">
        <v>959</v>
      </c>
      <c r="B9857" s="0" t="s">
        <v>98</v>
      </c>
      <c r="E9857" s="6" t="n">
        <f aca="false">Q!M42</f>
        <v>145.3</v>
      </c>
      <c r="F9857" s="6" t="n">
        <f aca="false">Sens!F9854+Sens!F9855+Sens!F9856</f>
        <v>204.2</v>
      </c>
      <c r="G9857" s="6" t="n">
        <f aca="false">Sens!G9854+Sens!G9855</f>
        <v>224.310224138526</v>
      </c>
      <c r="H9857" s="6" t="n">
        <f aca="false">Sens!H9854+Sens!H9855</f>
        <v>234.215159830498</v>
      </c>
      <c r="I9857" s="6" t="n">
        <f aca="false">Sens!I9854+Sens!I9855</f>
        <v>215.064641678972</v>
      </c>
      <c r="J9857" s="6" t="n">
        <f aca="false">Sens!J9854+Sens!J9855</f>
        <v>183.358346776807</v>
      </c>
      <c r="K9857" s="6" t="n">
        <f aca="false">Sens!K9854+Sens!K9855</f>
        <v>181.838051879303</v>
      </c>
      <c r="L9857" s="1" t="s">
        <v>960</v>
      </c>
    </row>
    <row r="9858" customFormat="false" ht="15" hidden="false" customHeight="false" outlineLevel="0" collapsed="false">
      <c r="A9858" s="1" t="s">
        <v>961</v>
      </c>
      <c r="B9858" s="0" t="s">
        <v>98</v>
      </c>
      <c r="E9858" s="6" t="n">
        <f aca="false">fl_liab</f>
        <v>66.594</v>
      </c>
      <c r="F9858" s="6" t="n">
        <f aca="false">Sens!E9858-Sens!F9859</f>
        <v>62.46973</v>
      </c>
      <c r="G9858" s="6" t="n">
        <f aca="false">Sens!F9858-Sens!G9859</f>
        <v>57.98686785</v>
      </c>
      <c r="H9858" s="6" t="n">
        <f aca="false">Sens!G9858-Sens!H9859</f>
        <v>53.92827690325</v>
      </c>
      <c r="I9858" s="6" t="n">
        <f aca="false">Sens!H9858-Sens!I9859</f>
        <v>49.7850493638962</v>
      </c>
      <c r="J9858" s="6" t="n">
        <f aca="false">Sens!I9858-Sens!J9859</f>
        <v>45.4823765852716</v>
      </c>
      <c r="K9858" s="6" t="n">
        <f aca="false">Sens!J9858-Sens!K9859</f>
        <v>40.9860835316088</v>
      </c>
    </row>
    <row r="9859" customFormat="false" ht="15" hidden="false" customHeight="false" outlineLevel="0" collapsed="false">
      <c r="A9859" s="1" t="s">
        <v>962</v>
      </c>
      <c r="B9859" s="0" t="s">
        <v>98</v>
      </c>
      <c r="F9859" s="6" t="n">
        <f aca="false">fl_pay_27-Sens!E9858*fl_rate</f>
        <v>4.12427</v>
      </c>
      <c r="G9859" s="6" t="n">
        <f aca="false">fl_pay_28-Sens!F9858*fl_rate</f>
        <v>4.48286215</v>
      </c>
      <c r="H9859" s="6" t="n">
        <f aca="false">fl_pay_29-Sens!G9858*fl_rate</f>
        <v>4.05859094675</v>
      </c>
      <c r="I9859" s="6" t="n">
        <f aca="false">fl_pay_30-Sens!H9858*fl_rate</f>
        <v>4.14322753935375</v>
      </c>
      <c r="J9859" s="6" t="n">
        <f aca="false">fl_pay_31-Sens!I9858*fl_rate</f>
        <v>4.30267277862467</v>
      </c>
      <c r="K9859" s="6" t="n">
        <f aca="false">fl_pay_32-Sens!J9858*fl_rate</f>
        <v>4.49629305366278</v>
      </c>
    </row>
    <row r="9860" customFormat="false" ht="17.15" hidden="false" customHeight="false" outlineLevel="0" collapsed="false">
      <c r="A9860" s="1" t="s">
        <v>963</v>
      </c>
      <c r="B9860" s="0" t="s">
        <v>98</v>
      </c>
      <c r="E9860" s="6" t="n">
        <f aca="false">Q!M35-Q!M36-Q!M43</f>
        <v>63.886</v>
      </c>
      <c r="F9860" s="6" t="n">
        <f aca="false">Sens!F9853-Sens!F9857-Sens!F9859</f>
        <v>-3.16629708730966</v>
      </c>
      <c r="G9860" s="6" t="n">
        <f aca="false">Sens!G9853-Sens!G9857-Sens!G9859</f>
        <v>17.8660860868497</v>
      </c>
      <c r="H9860" s="6" t="n">
        <f aca="false">Sens!H9853-Sens!H9857-Sens!H9859</f>
        <v>42.4475399585941</v>
      </c>
      <c r="I9860" s="6" t="n">
        <f aca="false">Sens!I9853-Sens!I9857-Sens!I9859</f>
        <v>99.2801410612149</v>
      </c>
      <c r="J9860" s="6" t="n">
        <f aca="false">Sens!J9853-Sens!J9857-Sens!J9859</f>
        <v>162.797685975196</v>
      </c>
      <c r="K9860" s="6" t="n">
        <f aca="false">Sens!K9853-Sens!K9857-Sens!K9859</f>
        <v>190.854827630595</v>
      </c>
      <c r="L9860" s="11" t="s">
        <v>964</v>
      </c>
    </row>
    <row r="9861" customFormat="false" ht="15" hidden="false" customHeight="false" outlineLevel="0" collapsed="false">
      <c r="A9861" s="1" t="s">
        <v>965</v>
      </c>
      <c r="B9861" s="0" t="s">
        <v>75</v>
      </c>
      <c r="F9861" s="8" t="n">
        <f aca="false">dps_27</f>
        <v>3.85</v>
      </c>
      <c r="G9861" s="8" t="n">
        <f aca="false">Sens!F9861*(1+dps_g)</f>
        <v>4.158</v>
      </c>
      <c r="H9861" s="8" t="n">
        <f aca="false">Sens!G9861*(1+dps_g)</f>
        <v>4.49064</v>
      </c>
      <c r="I9861" s="8" t="n">
        <f aca="false">Sens!H9861*(1+dps_g)</f>
        <v>4.8498912</v>
      </c>
      <c r="J9861" s="8" t="n">
        <f aca="false">Sens!I9861*(1+dps_g)</f>
        <v>5.237882496</v>
      </c>
      <c r="K9861" s="8" t="n">
        <f aca="false">Sens!J9861*(1+dps_g)</f>
        <v>5.65691309568</v>
      </c>
    </row>
    <row r="9862" customFormat="false" ht="17.15" hidden="false" customHeight="false" outlineLevel="0" collapsed="false">
      <c r="A9862" s="1" t="s">
        <v>966</v>
      </c>
      <c r="B9862" s="0" t="s">
        <v>98</v>
      </c>
      <c r="E9862" s="6" t="n">
        <f aca="false">Q!M41</f>
        <v>26.445</v>
      </c>
      <c r="F9862" s="6" t="n">
        <f aca="false">Sens!F9861*Sens!E9871</f>
        <v>28.59395</v>
      </c>
      <c r="G9862" s="6" t="n">
        <f aca="false">Sens!G9861*Sens!F9871</f>
        <v>31.068576</v>
      </c>
      <c r="H9862" s="6" t="n">
        <f aca="false">Sens!H9861*Sens!G9871</f>
        <v>33.75614088</v>
      </c>
      <c r="I9862" s="6" t="n">
        <f aca="false">Sens!I9861*Sens!H9871</f>
        <v>36.6246171404243</v>
      </c>
      <c r="J9862" s="6" t="n">
        <f aca="false">Sens!J9861*Sens!I9871</f>
        <v>39.6229853599777</v>
      </c>
      <c r="K9862" s="6" t="n">
        <f aca="false">Sens!K9861*Sens!J9871</f>
        <v>42.880079414081</v>
      </c>
      <c r="L9862" s="1" t="s">
        <v>967</v>
      </c>
    </row>
    <row r="9863" customFormat="false" ht="15" hidden="false" customHeight="false" outlineLevel="0" collapsed="false">
      <c r="A9863" s="1" t="s">
        <v>968</v>
      </c>
      <c r="B9863" s="0" t="s">
        <v>98</v>
      </c>
      <c r="E9863" s="6" t="n">
        <f aca="false">Sens!E9860-Sens!E9862</f>
        <v>37.441</v>
      </c>
      <c r="F9863" s="6" t="n">
        <f aca="false">Sens!F9860-Sens!F9862</f>
        <v>-31.7602470873097</v>
      </c>
      <c r="G9863" s="6" t="n">
        <f aca="false">Sens!G9860-Sens!G9862</f>
        <v>-13.2024899131503</v>
      </c>
      <c r="H9863" s="6" t="n">
        <f aca="false">Sens!H9860-Sens!H9862</f>
        <v>8.69139907859406</v>
      </c>
      <c r="I9863" s="6" t="n">
        <f aca="false">Sens!I9860-Sens!I9862</f>
        <v>62.6555239207906</v>
      </c>
      <c r="J9863" s="6" t="n">
        <f aca="false">Sens!J9860-Sens!J9862</f>
        <v>123.174700615219</v>
      </c>
      <c r="K9863" s="6" t="n">
        <f aca="false">Sens!K9860-Sens!K9862</f>
        <v>147.974748216515</v>
      </c>
    </row>
    <row r="9864" customFormat="false" ht="15" hidden="false" customHeight="false" outlineLevel="0" collapsed="false">
      <c r="A9864" s="1" t="s">
        <v>969</v>
      </c>
      <c r="B9864" s="0" t="s">
        <v>98</v>
      </c>
      <c r="F9864" s="6" t="n">
        <f aca="false">debt_mat_27</f>
        <v>9.25</v>
      </c>
      <c r="G9864" s="6" t="n">
        <f aca="false">debt_mat_28</f>
        <v>0</v>
      </c>
      <c r="H9864" s="6" t="n">
        <f aca="false">debt_mat_29</f>
        <v>2.001</v>
      </c>
      <c r="I9864" s="6" t="n">
        <f aca="false">debt_mat_30</f>
        <v>0</v>
      </c>
      <c r="J9864" s="6" t="n">
        <f aca="false">debt_mat_31</f>
        <v>0.5</v>
      </c>
      <c r="K9864" s="6" t="n">
        <f aca="false">debt_mat_32</f>
        <v>0</v>
      </c>
    </row>
    <row r="9865" customFormat="false" ht="15" hidden="false" customHeight="false" outlineLevel="0" collapsed="false">
      <c r="A9865" s="1" t="s">
        <v>970</v>
      </c>
      <c r="B9865" s="0" t="s">
        <v>98</v>
      </c>
      <c r="E9865" s="6" t="n">
        <f aca="false">Q!M40</f>
        <v>22.271</v>
      </c>
      <c r="F9865" s="6" t="n">
        <f aca="false">MAX(0,MIN(bb_target,Sens!E9867+Sens!F9863-Sens!F9864-min_cash))</f>
        <v>0</v>
      </c>
      <c r="G9865" s="6" t="n">
        <f aca="false">MAX(0,MIN(bb_target,Sens!F9867+Sens!G9863-Sens!G9864-min_cash))</f>
        <v>0</v>
      </c>
      <c r="H9865" s="6" t="n">
        <f aca="false">MAX(0,MIN(bb_target,Sens!G9867+Sens!H9863-Sens!H9864-min_cash))</f>
        <v>6.69039907859406</v>
      </c>
      <c r="I9865" s="6" t="n">
        <f aca="false">MAX(0,MIN(bb_target,Sens!H9867+Sens!I9863-Sens!I9864-min_cash))</f>
        <v>22.271</v>
      </c>
      <c r="J9865" s="6" t="n">
        <f aca="false">MAX(0,MIN(bb_target,Sens!I9867+Sens!J9863-Sens!J9864-min_cash))</f>
        <v>22.271</v>
      </c>
      <c r="K9865" s="6" t="n">
        <f aca="false">MAX(0,MIN(bb_target,Sens!J9867+Sens!K9863-Sens!K9864-min_cash))</f>
        <v>22.271</v>
      </c>
    </row>
    <row r="9866" customFormat="false" ht="15" hidden="false" customHeight="false" outlineLevel="0" collapsed="false">
      <c r="A9866" s="1" t="s">
        <v>971</v>
      </c>
      <c r="B9866" s="0" t="s">
        <v>98</v>
      </c>
      <c r="F9866" s="6" t="n">
        <f aca="false">MAX(0,min_cash-(Sens!E9867+Sens!F9863-Sens!F9864-Sens!F9865))</f>
        <v>14.1672470873097</v>
      </c>
      <c r="G9866" s="6" t="n">
        <f aca="false">MAX(0,min_cash-(Sens!F9867+Sens!G9863-Sens!G9864-Sens!G9865))</f>
        <v>13.2024899131503</v>
      </c>
      <c r="H9866" s="6" t="n">
        <f aca="false">MAX(0,min_cash-(Sens!G9867+Sens!H9863-Sens!H9864-Sens!H9865))</f>
        <v>0</v>
      </c>
      <c r="I9866" s="6" t="n">
        <f aca="false">MAX(0,min_cash-(Sens!H9867+Sens!I9863-Sens!I9864-Sens!I9865))</f>
        <v>0</v>
      </c>
      <c r="J9866" s="6" t="n">
        <f aca="false">MAX(0,min_cash-(Sens!I9867+Sens!J9863-Sens!J9864-Sens!J9865))</f>
        <v>0</v>
      </c>
      <c r="K9866" s="6" t="n">
        <f aca="false">MAX(0,min_cash-(Sens!J9867+Sens!K9863-Sens!K9864-Sens!K9865))</f>
        <v>0</v>
      </c>
    </row>
    <row r="9867" customFormat="false" ht="15" hidden="false" customHeight="false" outlineLevel="0" collapsed="false">
      <c r="A9867" s="1" t="s">
        <v>972</v>
      </c>
      <c r="B9867" s="0" t="s">
        <v>98</v>
      </c>
      <c r="E9867" s="6" t="n">
        <f aca="false">cash_open</f>
        <v>76.843</v>
      </c>
      <c r="F9867" s="6" t="n">
        <f aca="false">Sens!E9867+Sens!F9863-Sens!F9864-Sens!F9865+Sens!F9866</f>
        <v>50</v>
      </c>
      <c r="G9867" s="6" t="n">
        <f aca="false">Sens!F9867+Sens!G9863-Sens!G9864-Sens!G9865+Sens!G9866</f>
        <v>50</v>
      </c>
      <c r="H9867" s="6" t="n">
        <f aca="false">Sens!G9867+Sens!H9863-Sens!H9864-Sens!H9865+Sens!H9866</f>
        <v>50</v>
      </c>
      <c r="I9867" s="6" t="n">
        <f aca="false">Sens!H9867+Sens!I9863-Sens!I9864-Sens!I9865+Sens!I9866</f>
        <v>90.3845239207906</v>
      </c>
      <c r="J9867" s="6" t="n">
        <f aca="false">Sens!I9867+Sens!J9863-Sens!J9864-Sens!J9865+Sens!J9866</f>
        <v>190.788224536009</v>
      </c>
      <c r="K9867" s="6" t="n">
        <f aca="false">Sens!J9867+Sens!K9863-Sens!K9864-Sens!K9865+Sens!K9866</f>
        <v>316.491972752524</v>
      </c>
    </row>
    <row r="9868" customFormat="false" ht="15" hidden="false" customHeight="false" outlineLevel="0" collapsed="false">
      <c r="A9868" s="1" t="s">
        <v>973</v>
      </c>
      <c r="B9868" s="0" t="s">
        <v>98</v>
      </c>
      <c r="E9868" s="6" t="n">
        <f aca="false">debt_face</f>
        <v>46.136</v>
      </c>
      <c r="F9868" s="6" t="n">
        <f aca="false">Sens!E9868-Sens!F9864+Sens!F9866</f>
        <v>51.0532470873097</v>
      </c>
      <c r="G9868" s="6" t="n">
        <f aca="false">Sens!F9868-Sens!G9864+Sens!G9866</f>
        <v>64.25573700046</v>
      </c>
      <c r="H9868" s="6" t="n">
        <f aca="false">Sens!G9868-Sens!H9864+Sens!H9866</f>
        <v>62.25473700046</v>
      </c>
      <c r="I9868" s="6" t="n">
        <f aca="false">Sens!H9868-Sens!I9864+Sens!I9866</f>
        <v>62.25473700046</v>
      </c>
      <c r="J9868" s="6" t="n">
        <f aca="false">Sens!I9868-Sens!J9864+Sens!J9866</f>
        <v>61.75473700046</v>
      </c>
      <c r="K9868" s="6" t="n">
        <f aca="false">Sens!J9868-Sens!K9864+Sens!K9866</f>
        <v>61.75473700046</v>
      </c>
    </row>
    <row r="9869" customFormat="false" ht="15" hidden="false" customHeight="false" outlineLevel="0" collapsed="false">
      <c r="A9869" s="1" t="s">
        <v>974</v>
      </c>
      <c r="B9869" s="0" t="s">
        <v>98</v>
      </c>
      <c r="E9869" s="6" t="n">
        <f aca="false">Sens!E9867-Sens!E9868</f>
        <v>30.707</v>
      </c>
      <c r="F9869" s="6" t="n">
        <f aca="false">Sens!F9867-Sens!F9868</f>
        <v>-1.05324708730966</v>
      </c>
      <c r="G9869" s="6" t="n">
        <f aca="false">Sens!G9867-Sens!G9868</f>
        <v>-14.25573700046</v>
      </c>
      <c r="H9869" s="6" t="n">
        <f aca="false">Sens!H9867-Sens!H9868</f>
        <v>-12.25473700046</v>
      </c>
      <c r="I9869" s="6" t="n">
        <f aca="false">Sens!I9867-Sens!I9868</f>
        <v>28.1297869203306</v>
      </c>
      <c r="J9869" s="6" t="n">
        <f aca="false">Sens!J9867-Sens!J9868</f>
        <v>129.033487535549</v>
      </c>
      <c r="K9869" s="6" t="n">
        <f aca="false">Sens!K9867-Sens!K9868</f>
        <v>254.737235752064</v>
      </c>
    </row>
    <row r="9870" customFormat="false" ht="15" hidden="false" customHeight="false" outlineLevel="0" collapsed="false">
      <c r="A9870" s="1" t="s">
        <v>975</v>
      </c>
      <c r="B9870" s="0" t="s">
        <v>75</v>
      </c>
      <c r="F9870" s="29" t="n">
        <f aca="false">px*(1+bb_g)^(Sens!F9732-base_fy-mid_yr)</f>
        <v>553.494156066711</v>
      </c>
      <c r="G9870" s="29" t="n">
        <f aca="false">px*(1+bb_g)^(Sens!G9732-base_fy-mid_yr)</f>
        <v>597.773688552047</v>
      </c>
      <c r="H9870" s="29" t="n">
        <f aca="false">px*(1+bb_g)^(Sens!H9732-base_fy-mid_yr)</f>
        <v>645.595583636211</v>
      </c>
      <c r="I9870" s="29" t="n">
        <f aca="false">px*(1+bb_g)^(Sens!I9732-base_fy-mid_yr)</f>
        <v>697.243230327108</v>
      </c>
      <c r="J9870" s="29" t="n">
        <f aca="false">px*(1+bb_g)^(Sens!J9732-base_fy-mid_yr)</f>
        <v>753.022688753277</v>
      </c>
      <c r="K9870" s="29" t="n">
        <f aca="false">px*(1+bb_g)^(Sens!K9732-base_fy-mid_yr)</f>
        <v>813.264503853539</v>
      </c>
    </row>
    <row r="9871" customFormat="false" ht="15" hidden="false" customHeight="false" outlineLevel="0" collapsed="false">
      <c r="A9871" s="1" t="s">
        <v>976</v>
      </c>
      <c r="B9871" s="1" t="s">
        <v>81</v>
      </c>
      <c r="E9871" s="14" t="n">
        <f aca="false">sh_out26</f>
        <v>7.427</v>
      </c>
      <c r="F9871" s="14" t="n">
        <f aca="false">Sens!E9871+sh_iss-Sens!F9865/Sens!F9870</f>
        <v>7.472</v>
      </c>
      <c r="G9871" s="14" t="n">
        <f aca="false">Sens!F9871+sh_iss-Sens!G9865/Sens!G9870</f>
        <v>7.517</v>
      </c>
      <c r="H9871" s="14" t="n">
        <f aca="false">Sens!G9871+sh_iss-Sens!H9865/Sens!H9870</f>
        <v>7.55163685742565</v>
      </c>
      <c r="I9871" s="14" t="n">
        <f aca="false">Sens!H9871+sh_iss-Sens!I9865/Sens!I9870</f>
        <v>7.56469534974037</v>
      </c>
      <c r="J9871" s="14" t="n">
        <f aca="false">Sens!I9871+sh_iss-Sens!J9865/Sens!J9870</f>
        <v>7.58011987966141</v>
      </c>
      <c r="K9871" s="14" t="n">
        <f aca="false">Sens!J9871+sh_iss-Sens!K9865/Sens!K9870</f>
        <v>7.59773518514386</v>
      </c>
    </row>
    <row r="9872" customFormat="false" ht="15" hidden="false" customHeight="false" outlineLevel="0" collapsed="false">
      <c r="A9872" s="1" t="s">
        <v>977</v>
      </c>
      <c r="B9872" s="1" t="s">
        <v>81</v>
      </c>
      <c r="E9872" s="14" t="n">
        <f aca="false">sh_dil26</f>
        <v>7.453</v>
      </c>
      <c r="F9872" s="14" t="n">
        <f aca="false">(Sens!E9871+Sens!F9871)/2+dil_gap</f>
        <v>7.4735</v>
      </c>
      <c r="G9872" s="14" t="n">
        <f aca="false">(Sens!F9871+Sens!G9871)/2+dil_gap</f>
        <v>7.5185</v>
      </c>
      <c r="H9872" s="14" t="n">
        <f aca="false">(Sens!G9871+Sens!H9871)/2+dil_gap</f>
        <v>7.55831842871282</v>
      </c>
      <c r="I9872" s="14" t="n">
        <f aca="false">(Sens!H9871+Sens!I9871)/2+dil_gap</f>
        <v>7.58216610358301</v>
      </c>
      <c r="J9872" s="14" t="n">
        <f aca="false">(Sens!I9871+Sens!J9871)/2+dil_gap</f>
        <v>7.59640761470089</v>
      </c>
      <c r="K9872" s="14" t="n">
        <f aca="false">(Sens!J9871+Sens!K9871)/2+dil_gap</f>
        <v>7.61292753240263</v>
      </c>
    </row>
    <row r="9873" customFormat="false" ht="17.15" hidden="false" customHeight="false" outlineLevel="0" collapsed="false">
      <c r="A9873" s="1" t="s">
        <v>978</v>
      </c>
      <c r="B9873" s="0" t="s">
        <v>98</v>
      </c>
      <c r="C9873" s="6" t="n">
        <f aca="false">SUM(Sens!F9863:J9863)</f>
        <v>149.558886614143</v>
      </c>
    </row>
    <row r="9874" customFormat="false" ht="15" hidden="false" customHeight="false" outlineLevel="0" collapsed="false">
      <c r="A9874" s="23" t="s">
        <v>945</v>
      </c>
      <c r="B9874" s="30" t="s">
        <v>98</v>
      </c>
      <c r="C9874" s="24" t="n">
        <f aca="false">Sens!$C$9873-(Sens!F9863+Sens!G9863+Sens!H9863+Sens!I9863+Sens!J9863)</f>
        <v>0</v>
      </c>
      <c r="D9874" s="30"/>
      <c r="E9874" s="30"/>
      <c r="F9874" s="30"/>
      <c r="G9874" s="30"/>
      <c r="H9874" s="30"/>
      <c r="I9874" s="30"/>
      <c r="J9874" s="30"/>
      <c r="K9874" s="30"/>
    </row>
    <row r="9875" customFormat="false" ht="17.15" hidden="false" customHeight="false" outlineLevel="0" collapsed="false">
      <c r="A9875" s="1" t="s">
        <v>939</v>
      </c>
      <c r="B9875" s="1" t="s">
        <v>979</v>
      </c>
      <c r="C9875" s="32" t="str">
        <f aca="false">IF(SUM(Sens!F9866:J9866)&gt;0.05,"需要舉債 "&amp;TEXT(SUM(Sens!F9866:J9866),"0.0")&amp;" 十億美元","不需舉債")&amp;"；"&amp;IF(SUM(Sens!F9865:J9865)&lt;COUNT(Sens!F9865:J9865)*bb_target-0.05,"回購較每年 "&amp;TEXT(bb_target,"0.0")&amp;" 的目標少 "&amp;TEXT(COUNT(Sens!F9865:J9865)*bb_target-SUM(Sens!F9865:J9865),"0.0")&amp;" 十億美元（"&amp;TEXT(COUNTIF(Sens!F9865:J9865,"&lt;"&amp;(bb_target-0.05)),"0")&amp;" 年減少）","回購不減")</f>
        <v>需要舉債 27.4 十億美元；回購較每年 22.3 的目標少 60.1 十億美元（3 年減少）</v>
      </c>
    </row>
    <row r="9876" customFormat="false" ht="17.15" hidden="false" customHeight="false" outlineLevel="0" collapsed="false">
      <c r="A9876" s="3" t="s">
        <v>1516</v>
      </c>
    </row>
    <row r="9877" customFormat="false" ht="15" hidden="false" customHeight="false" outlineLevel="0" collapsed="false">
      <c r="A9877" s="4" t="s">
        <v>43</v>
      </c>
      <c r="B9877" s="4" t="s">
        <v>65</v>
      </c>
      <c r="C9877" s="20" t="s">
        <v>799</v>
      </c>
      <c r="D9877" s="20" t="s">
        <v>800</v>
      </c>
      <c r="E9877" s="20" t="s">
        <v>801</v>
      </c>
      <c r="F9877" s="20" t="s">
        <v>802</v>
      </c>
      <c r="G9877" s="20" t="s">
        <v>803</v>
      </c>
      <c r="H9877" s="20" t="s">
        <v>804</v>
      </c>
      <c r="I9877" s="20" t="s">
        <v>805</v>
      </c>
      <c r="J9877" s="20" t="s">
        <v>806</v>
      </c>
      <c r="K9877" s="20" t="s">
        <v>807</v>
      </c>
      <c r="L9877" s="4" t="s">
        <v>47</v>
      </c>
    </row>
    <row r="9878" customFormat="false" ht="15" hidden="false" customHeight="false" outlineLevel="0" collapsed="false">
      <c r="A9878" s="1" t="s">
        <v>1057</v>
      </c>
      <c r="B9878" s="1" t="s">
        <v>235</v>
      </c>
      <c r="F9878" s="36" t="n">
        <f aca="false">Sens!F9732-base_fy-mid_yr</f>
        <v>0.5</v>
      </c>
      <c r="G9878" s="36" t="n">
        <f aca="false">Sens!G9732-base_fy-mid_yr</f>
        <v>1.5</v>
      </c>
      <c r="H9878" s="36" t="n">
        <f aca="false">Sens!H9732-base_fy-mid_yr</f>
        <v>2.5</v>
      </c>
      <c r="I9878" s="36" t="n">
        <f aca="false">Sens!I9732-base_fy-mid_yr</f>
        <v>3.5</v>
      </c>
      <c r="J9878" s="36" t="n">
        <f aca="false">Sens!J9732-base_fy-mid_yr</f>
        <v>4.5</v>
      </c>
      <c r="K9878" s="36" t="n">
        <f aca="false">Sens!K9732-base_fy-mid_yr</f>
        <v>5.5</v>
      </c>
    </row>
    <row r="9879" customFormat="false" ht="15" hidden="false" customHeight="false" outlineLevel="0" collapsed="false">
      <c r="A9879" s="1" t="s">
        <v>1058</v>
      </c>
      <c r="B9879" s="0" t="s">
        <v>185</v>
      </c>
      <c r="F9879" s="14" t="n">
        <f aca="false">1/(1+wacc)^Sens!F9878</f>
        <v>0.952193373608246</v>
      </c>
      <c r="G9879" s="14" t="n">
        <f aca="false">1/(1+wacc)^Sens!G9878</f>
        <v>0.863327280626589</v>
      </c>
      <c r="H9879" s="14" t="n">
        <f aca="false">1/(1+wacc)^Sens!H9878</f>
        <v>0.782754862754115</v>
      </c>
      <c r="I9879" s="14" t="n">
        <f aca="false">1/(1+wacc)^Sens!I9878</f>
        <v>0.709702089711011</v>
      </c>
      <c r="J9879" s="14" t="n">
        <f aca="false">1/(1+wacc)^Sens!J9878</f>
        <v>0.643467169744551</v>
      </c>
      <c r="K9879" s="14" t="n">
        <f aca="false">1/(1+wacc)^Sens!K9878</f>
        <v>0.583413807767797</v>
      </c>
    </row>
    <row r="9880" customFormat="false" ht="17.15" hidden="false" customHeight="false" outlineLevel="0" collapsed="false">
      <c r="A9880" s="1" t="s">
        <v>1059</v>
      </c>
      <c r="B9880" s="0" t="s">
        <v>98</v>
      </c>
      <c r="F9880" s="6" t="n">
        <f aca="false">Sens!F9853-Sens!F9851-Sens!F9857+Sens!F9836*(1-tax_f)</f>
        <v>-5.63261878216742</v>
      </c>
      <c r="G9880" s="6" t="n">
        <f aca="false">Sens!G9853-Sens!G9851-Sens!G9857+Sens!G9836*(1-tax_f)</f>
        <v>26.4753746647427</v>
      </c>
      <c r="H9880" s="6" t="n">
        <f aca="false">Sens!H9853-Sens!H9851-Sens!H9857+Sens!H9836*(1-tax_f)</f>
        <v>62.7165654425811</v>
      </c>
      <c r="I9880" s="6" t="n">
        <f aca="false">Sens!I9853-Sens!I9851-Sens!I9857+Sens!I9836*(1-tax_f)</f>
        <v>130.188359361505</v>
      </c>
      <c r="J9880" s="6" t="n">
        <f aca="false">Sens!J9853-Sens!J9851-Sens!J9857+Sens!J9836*(1-tax_f)</f>
        <v>200.974508746547</v>
      </c>
      <c r="K9880" s="6" t="n">
        <f aca="false">Sens!K9853-Sens!K9851-Sens!K9857+Sens!K9836*(1-tax_f)</f>
        <v>233.077962353634</v>
      </c>
      <c r="L9880" s="1" t="s">
        <v>1060</v>
      </c>
    </row>
    <row r="9881" customFormat="false" ht="15" hidden="false" customHeight="false" outlineLevel="0" collapsed="false">
      <c r="A9881" s="1" t="s">
        <v>1061</v>
      </c>
      <c r="B9881" s="0" t="s">
        <v>98</v>
      </c>
      <c r="F9881" s="6" t="n">
        <f aca="false">Sens!F9880*Sens!F9879</f>
        <v>-5.36334228044117</v>
      </c>
      <c r="G9881" s="6" t="n">
        <f aca="false">Sens!G9880*Sens!G9879</f>
        <v>22.8569132128824</v>
      </c>
      <c r="H9881" s="6" t="n">
        <f aca="false">Sens!H9880*Sens!H9879</f>
        <v>49.0916965754171</v>
      </c>
      <c r="I9881" s="6" t="n">
        <f aca="false">Sens!I9880*Sens!I9879</f>
        <v>92.394950694908</v>
      </c>
      <c r="J9881" s="6" t="n">
        <f aca="false">Sens!J9880*Sens!J9879</f>
        <v>129.320498333942</v>
      </c>
      <c r="K9881" s="6" t="n">
        <f aca="false">Sens!K9880*Sens!K9879</f>
        <v>135.980901523493</v>
      </c>
    </row>
    <row r="9882" customFormat="false" ht="17.15" hidden="false" customHeight="false" outlineLevel="0" collapsed="false">
      <c r="A9882" s="1" t="s">
        <v>1062</v>
      </c>
      <c r="B9882" s="0" t="s">
        <v>98</v>
      </c>
      <c r="C9882" s="6" t="n">
        <f aca="false">SUM(Sens!F9881:K9881)</f>
        <v>424.281618060201</v>
      </c>
    </row>
    <row r="9883" customFormat="false" ht="17.15" hidden="false" customHeight="false" outlineLevel="0" collapsed="false">
      <c r="A9883" s="1" t="s">
        <v>1063</v>
      </c>
      <c r="B9883" s="0" t="s">
        <v>98</v>
      </c>
      <c r="C9883" s="6" t="n">
        <f aca="false">Sens!K9822*(1+g_tv)*(1-tax_f)</f>
        <v>247.618333118074</v>
      </c>
    </row>
    <row r="9884" customFormat="false" ht="17.15" hidden="false" customHeight="false" outlineLevel="0" collapsed="false">
      <c r="A9884" s="1" t="s">
        <v>1064</v>
      </c>
      <c r="B9884" s="0" t="s">
        <v>98</v>
      </c>
      <c r="C9884" s="6" t="n">
        <f aca="false">Sens!$C$9883*(1-g_tv/(wacc+ronic_prem))</f>
        <v>175.45053942147</v>
      </c>
    </row>
    <row r="9885" customFormat="false" ht="17.15" hidden="false" customHeight="false" outlineLevel="0" collapsed="false">
      <c r="A9885" s="1" t="s">
        <v>1065</v>
      </c>
      <c r="B9885" s="0" t="s">
        <v>98</v>
      </c>
      <c r="C9885" s="6" t="n">
        <f aca="false">Sens!$C$9884/(wacc-g_tv)</f>
        <v>2405.59312322013</v>
      </c>
    </row>
    <row r="9886" customFormat="false" ht="15" hidden="false" customHeight="false" outlineLevel="0" collapsed="false">
      <c r="A9886" s="1" t="s">
        <v>1066</v>
      </c>
      <c r="B9886" s="0" t="s">
        <v>98</v>
      </c>
      <c r="C9886" s="6" t="n">
        <f aca="false">Sens!$C$9885/(1+wacc)^(Sens!K9878+mid_yr)</f>
        <v>1336.36173564581</v>
      </c>
    </row>
    <row r="9887" customFormat="false" ht="17.15" hidden="false" customHeight="false" outlineLevel="0" collapsed="false">
      <c r="A9887" s="0" t="s">
        <v>986</v>
      </c>
      <c r="B9887" s="0" t="s">
        <v>98</v>
      </c>
      <c r="C9887" s="6" t="n">
        <f aca="false">Sens!$C$9882+Sens!$C$9886</f>
        <v>1760.64335370602</v>
      </c>
    </row>
    <row r="9888" customFormat="false" ht="15" hidden="false" customHeight="false" outlineLevel="0" collapsed="false">
      <c r="A9888" s="1" t="s">
        <v>987</v>
      </c>
      <c r="B9888" s="0" t="s">
        <v>129</v>
      </c>
      <c r="C9888" s="7" t="n">
        <f aca="false">Sens!$C$9886/Sens!$C$9887</f>
        <v>0.75901898748141</v>
      </c>
    </row>
    <row r="9889" customFormat="false" ht="17.15" hidden="false" customHeight="false" outlineLevel="0" collapsed="false">
      <c r="A9889" s="1" t="s">
        <v>1067</v>
      </c>
      <c r="B9889" s="0" t="s">
        <v>98</v>
      </c>
      <c r="C9889" s="6" t="n">
        <f aca="false">Sens!$C$9887+Sens!E9869-Sens!E9858+oai_v</f>
        <v>1895.15635370602</v>
      </c>
    </row>
    <row r="9890" customFormat="false" ht="17.15" hidden="false" customHeight="false" outlineLevel="0" collapsed="false">
      <c r="A9890" s="0" t="s">
        <v>994</v>
      </c>
      <c r="B9890" s="0" t="s">
        <v>75</v>
      </c>
      <c r="C9890" s="5" t="n">
        <f aca="false">Sens!$C$9889/sh_dil26</f>
        <v>254.281008145178</v>
      </c>
    </row>
    <row r="9891" customFormat="false" ht="15" hidden="false" customHeight="false" outlineLevel="0" collapsed="false">
      <c r="A9891" s="1" t="s">
        <v>1068</v>
      </c>
      <c r="B9891" s="0" t="s">
        <v>75</v>
      </c>
      <c r="C9891" s="8" t="n">
        <f aca="false">dps_27+Sens!G9861*roll_div_q/q_per_yr</f>
        <v>4.8895</v>
      </c>
    </row>
    <row r="9892" customFormat="false" ht="17.15" hidden="false" customHeight="false" outlineLevel="0" collapsed="false">
      <c r="A9892" s="0" t="s">
        <v>1069</v>
      </c>
      <c r="B9892" s="0" t="s">
        <v>75</v>
      </c>
      <c r="C9892" s="5" t="n">
        <f aca="false">Sens!$C$9890*(1+wacc)^t_roll-Sens!$C$9891</f>
        <v>284.668774297182</v>
      </c>
    </row>
    <row r="9893" customFormat="false" ht="17.15" hidden="false" customHeight="false" outlineLevel="0" collapsed="false">
      <c r="A9893" s="1" t="s">
        <v>1070</v>
      </c>
      <c r="B9893" s="0" t="s">
        <v>129</v>
      </c>
      <c r="F9893" s="7" t="n">
        <f aca="false">Sens!F9848/(Sens!F9793-Sens!F9749)</f>
        <v>0.0711217919151981</v>
      </c>
      <c r="G9893" s="7" t="n">
        <f aca="false">Sens!G9848/(Sens!G9793-Sens!G9749)</f>
        <v>0.0681934621302589</v>
      </c>
      <c r="H9893" s="7" t="n">
        <f aca="false">Sens!H9848/(Sens!H9793-Sens!H9749)</f>
        <v>0.0665416298295452</v>
      </c>
      <c r="I9893" s="7" t="n">
        <f aca="false">Sens!I9848/(Sens!I9793-Sens!I9749)</f>
        <v>0.0660065516676377</v>
      </c>
      <c r="J9893" s="7" t="n">
        <f aca="false">Sens!J9848/(Sens!J9793-Sens!J9749)</f>
        <v>0.0663550659509564</v>
      </c>
      <c r="K9893" s="7" t="n">
        <f aca="false">Sens!K9848/(Sens!K9793-Sens!K9749)</f>
        <v>0.0673329169578373</v>
      </c>
    </row>
    <row r="9894" customFormat="false" ht="17.15" hidden="false" customHeight="false" outlineLevel="0" collapsed="false">
      <c r="A9894" s="0" t="s">
        <v>1071</v>
      </c>
      <c r="B9894" s="0" t="s">
        <v>98</v>
      </c>
      <c r="F9894" s="6" t="n">
        <f aca="false">Sens!F9778*(al_m365+Sens!F9893+sbc_r)</f>
        <v>83.1730206824267</v>
      </c>
      <c r="G9894" s="6" t="n">
        <f aca="false">Sens!G9778*(al_m365+Sens!G9893+sbc_r)</f>
        <v>93.5199905944466</v>
      </c>
      <c r="H9894" s="6" t="n">
        <f aca="false">Sens!H9778*(al_m365+Sens!H9893+sbc_r)</f>
        <v>104.024061844857</v>
      </c>
      <c r="I9894" s="6" t="n">
        <f aca="false">Sens!I9778*(al_m365+Sens!I9893+sbc_r)</f>
        <v>114.008144756891</v>
      </c>
      <c r="J9894" s="6" t="n">
        <f aca="false">Sens!J9778*(al_m365+Sens!J9893+sbc_r)</f>
        <v>123.282663944076</v>
      </c>
      <c r="K9894" s="6" t="n">
        <f aca="false">Sens!K9778*(al_m365+Sens!K9893+sbc_r)</f>
        <v>132.153883212235</v>
      </c>
      <c r="L9894" s="11" t="s">
        <v>1072</v>
      </c>
    </row>
    <row r="9895" customFormat="false" ht="17.15" hidden="false" customHeight="false" outlineLevel="0" collapsed="false">
      <c r="A9895" s="0" t="s">
        <v>1073</v>
      </c>
      <c r="B9895" s="0" t="s">
        <v>98</v>
      </c>
      <c r="F9895" s="6" t="n">
        <f aca="false">Sens!F9779*(al_lic+Sens!F9893+sbc_r)</f>
        <v>33.5435546868661</v>
      </c>
      <c r="G9895" s="6" t="n">
        <f aca="false">Sens!G9779*(al_lic+Sens!G9893+sbc_r)</f>
        <v>34.8446717913565</v>
      </c>
      <c r="H9895" s="6" t="n">
        <f aca="false">Sens!H9779*(al_lic+Sens!H9893+sbc_r)</f>
        <v>36.055753437175</v>
      </c>
      <c r="I9895" s="6" t="n">
        <f aca="false">Sens!I9779*(al_lic+Sens!I9893+sbc_r)</f>
        <v>37.1563913645794</v>
      </c>
      <c r="J9895" s="6" t="n">
        <f aca="false">Sens!J9779*(al_lic+Sens!J9893+sbc_r)</f>
        <v>38.1226399524518</v>
      </c>
      <c r="K9895" s="6" t="n">
        <f aca="false">Sens!K9779*(al_lic+Sens!K9893+sbc_r)</f>
        <v>38.9296308212543</v>
      </c>
    </row>
    <row r="9896" customFormat="false" ht="17.15" hidden="false" customHeight="false" outlineLevel="0" collapsed="false">
      <c r="A9896" s="0" t="s">
        <v>1074</v>
      </c>
      <c r="B9896" s="0" t="s">
        <v>98</v>
      </c>
      <c r="F9896" s="6" t="n">
        <f aca="false">Sens!F9781*(al_ind+Sens!F9893+sbc_r)</f>
        <v>9.13302238449262</v>
      </c>
      <c r="G9896" s="6" t="n">
        <f aca="false">Sens!G9781*(al_ind+Sens!G9893+sbc_r)</f>
        <v>9.9119592056071</v>
      </c>
      <c r="H9896" s="6" t="n">
        <f aca="false">Sens!H9781*(al_ind+Sens!H9893+sbc_r)</f>
        <v>10.7338034338266</v>
      </c>
      <c r="I9896" s="6" t="n">
        <f aca="false">Sens!I9781*(al_ind+Sens!I9893+sbc_r)</f>
        <v>11.5938947113857</v>
      </c>
      <c r="J9896" s="6" t="n">
        <f aca="false">Sens!J9781*(al_ind+Sens!J9893+sbc_r)</f>
        <v>12.4832672320003</v>
      </c>
      <c r="K9896" s="6" t="n">
        <f aca="false">Sens!K9781*(al_ind+Sens!K9893+sbc_r)</f>
        <v>13.3894467721167</v>
      </c>
    </row>
    <row r="9897" customFormat="false" ht="17.15" hidden="false" customHeight="false" outlineLevel="0" collapsed="false">
      <c r="A9897" s="0" t="s">
        <v>1075</v>
      </c>
      <c r="B9897" s="0" t="s">
        <v>98</v>
      </c>
      <c r="F9897" s="6" t="n">
        <f aca="false">Sens!F9783*(al_fro+Sens!F9893+sbc_r)</f>
        <v>3.5947896747598</v>
      </c>
      <c r="G9897" s="6" t="n">
        <f aca="false">Sens!G9783*(al_fro+Sens!G9893+sbc_r)</f>
        <v>3.80560632333805</v>
      </c>
      <c r="H9897" s="6" t="n">
        <f aca="false">Sens!H9783*(al_fro+Sens!H9893+sbc_r)</f>
        <v>4.04486452570065</v>
      </c>
      <c r="I9897" s="6" t="n">
        <f aca="false">Sens!I9783*(al_fro+Sens!I9893+sbc_r)</f>
        <v>4.31477574580126</v>
      </c>
      <c r="J9897" s="6" t="n">
        <f aca="false">Sens!J9783*(al_fro+Sens!J9893+sbc_r)</f>
        <v>4.6167919534633</v>
      </c>
      <c r="K9897" s="6" t="n">
        <f aca="false">Sens!K9783*(al_fro+Sens!K9893+sbc_r)</f>
        <v>4.95193197181344</v>
      </c>
    </row>
    <row r="9898" customFormat="false" ht="17.15" hidden="false" customHeight="false" outlineLevel="0" collapsed="false">
      <c r="A9898" s="0" t="s">
        <v>1076</v>
      </c>
      <c r="B9898" s="0" t="s">
        <v>98</v>
      </c>
      <c r="F9898" s="6" t="n">
        <f aca="false">Sens!F9786*(al_srch+Sens!F9893+sbc_r)</f>
        <v>11.3301406303745</v>
      </c>
      <c r="G9898" s="6" t="n">
        <f aca="false">Sens!G9786*(al_srch+Sens!G9893+sbc_r)</f>
        <v>12.5249763217339</v>
      </c>
      <c r="H9898" s="6" t="n">
        <f aca="false">Sens!H9786*(al_srch+Sens!H9893+sbc_r)</f>
        <v>13.847079597482</v>
      </c>
      <c r="I9898" s="6" t="n">
        <f aca="false">Sens!I9786*(al_srch+Sens!I9893+sbc_r)</f>
        <v>15.3045251212012</v>
      </c>
      <c r="J9898" s="6" t="n">
        <f aca="false">Sens!J9786*(al_srch+Sens!J9893+sbc_r)</f>
        <v>16.9009823484466</v>
      </c>
      <c r="K9898" s="6" t="n">
        <f aca="false">Sens!K9786*(al_srch+Sens!K9893+sbc_r)</f>
        <v>18.6361081074112</v>
      </c>
    </row>
    <row r="9899" customFormat="false" ht="17.15" hidden="false" customHeight="false" outlineLevel="0" collapsed="false">
      <c r="A9899" s="0" t="s">
        <v>1077</v>
      </c>
      <c r="B9899" s="0" t="s">
        <v>98</v>
      </c>
      <c r="F9899" s="6" t="n">
        <f aca="false">Sens!F9755-Sens!F9756+Sens!F9836</f>
        <v>38.6797715123049</v>
      </c>
      <c r="G9899" s="6" t="n">
        <f aca="false">Sens!G9755-Sens!G9756+Sens!G9836</f>
        <v>67.9698044367775</v>
      </c>
      <c r="H9899" s="6" t="n">
        <f aca="false">Sens!H9755-Sens!H9756+Sens!H9836</f>
        <v>94.4027386785771</v>
      </c>
      <c r="I9899" s="6" t="n">
        <f aca="false">Sens!I9755-Sens!I9756+Sens!I9836</f>
        <v>124.629799296032</v>
      </c>
      <c r="J9899" s="6" t="n">
        <f aca="false">Sens!J9755-Sens!J9756+Sens!J9836</f>
        <v>146.1886418102</v>
      </c>
      <c r="K9899" s="6" t="n">
        <f aca="false">Sens!K9755-Sens!K9756+Sens!K9836</f>
        <v>160.310017660072</v>
      </c>
    </row>
    <row r="9900" customFormat="false" ht="17.15" hidden="false" customHeight="false" outlineLevel="0" collapsed="false">
      <c r="A9900" s="0" t="s">
        <v>1078</v>
      </c>
      <c r="B9900" s="0" t="s">
        <v>98</v>
      </c>
      <c r="F9900" s="6" t="n">
        <f aca="false">Sens!F9815+Sens!F9836+Sens!F9766+Sens!F9893*(Sens!F9785-Sens!F9749)+sbc_r*Sens!F9785</f>
        <v>228.418416532619</v>
      </c>
      <c r="G9900" s="6" t="n">
        <f aca="false">Sens!G9815+Sens!G9836+Sens!G9766+Sens!G9893*(Sens!G9785-Sens!G9749)+sbc_r*Sens!G9785</f>
        <v>282.534277211757</v>
      </c>
      <c r="H9900" s="6" t="n">
        <f aca="false">Sens!H9815+Sens!H9836+Sens!H9766+Sens!H9893*(Sens!H9785-Sens!H9749)+sbc_r*Sens!H9785</f>
        <v>334.056923941625</v>
      </c>
      <c r="I9900" s="6" t="n">
        <f aca="false">Sens!I9815+Sens!I9836+Sens!I9766+Sens!I9893*(Sens!I9785-Sens!I9749)+sbc_r*Sens!I9785</f>
        <v>388.747364710892</v>
      </c>
      <c r="J9900" s="6" t="n">
        <f aca="false">Sens!J9815+Sens!J9836+Sens!J9766+Sens!J9893*(Sens!J9785-Sens!J9749)+sbc_r*Sens!J9785</f>
        <v>432.865310397825</v>
      </c>
      <c r="K9900" s="6" t="n">
        <f aca="false">Sens!K9815+Sens!K9836+Sens!K9766+Sens!K9893*(Sens!K9785-Sens!K9749)+sbc_r*Sens!K9785</f>
        <v>467.243695603061</v>
      </c>
    </row>
    <row r="9901" customFormat="false" ht="17.15" hidden="false" customHeight="false" outlineLevel="0" collapsed="false">
      <c r="A9901" s="0" t="s">
        <v>1079</v>
      </c>
      <c r="B9901" s="0" t="s">
        <v>98</v>
      </c>
      <c r="F9901" s="6" t="n">
        <f aca="false">Sens!F9900-Sens!F9894-Sens!F9895-Sens!F9896-Sens!F9897-Sens!F9899</f>
        <v>60.294257591769</v>
      </c>
      <c r="G9901" s="6" t="n">
        <f aca="false">Sens!G9900-Sens!G9894-Sens!G9895-Sens!G9896-Sens!G9897-Sens!G9899</f>
        <v>72.4822448602316</v>
      </c>
      <c r="H9901" s="6" t="n">
        <f aca="false">Sens!H9900-Sens!H9894-Sens!H9895-Sens!H9896-Sens!H9897-Sens!H9899</f>
        <v>84.7957020214883</v>
      </c>
      <c r="I9901" s="6" t="n">
        <f aca="false">Sens!I9900-Sens!I9894-Sens!I9895-Sens!I9896-Sens!I9897-Sens!I9899</f>
        <v>97.044358836203</v>
      </c>
      <c r="J9901" s="6" t="n">
        <f aca="false">Sens!J9900-Sens!J9894-Sens!J9895-Sens!J9896-Sens!J9897-Sens!J9899</f>
        <v>108.171305505633</v>
      </c>
      <c r="K9901" s="6" t="n">
        <f aca="false">Sens!K9900-Sens!K9894-Sens!K9895-Sens!K9896-Sens!K9897-Sens!K9899</f>
        <v>117.50878516557</v>
      </c>
    </row>
    <row r="9902" customFormat="false" ht="17.15" hidden="false" customHeight="false" outlineLevel="0" collapsed="false">
      <c r="A9902" s="0" t="s">
        <v>1080</v>
      </c>
      <c r="B9902" s="0" t="s">
        <v>98</v>
      </c>
      <c r="F9902" s="6" t="n">
        <f aca="false">Sens!F9817+Sens!F9893*Sens!F9792+sbc_r*Sens!F9792</f>
        <v>26.413853281139</v>
      </c>
      <c r="G9902" s="6" t="n">
        <f aca="false">Sens!G9817+Sens!G9893*Sens!G9792+sbc_r*Sens!G9792</f>
        <v>27.1363846646161</v>
      </c>
      <c r="H9902" s="6" t="n">
        <f aca="false">Sens!H9817+Sens!H9893*Sens!H9792+sbc_r*Sens!H9792</f>
        <v>28.2068392607807</v>
      </c>
      <c r="I9902" s="6" t="n">
        <f aca="false">Sens!I9817+Sens!I9893*Sens!I9792+sbc_r*Sens!I9792</f>
        <v>29.6123295315769</v>
      </c>
      <c r="J9902" s="6" t="n">
        <f aca="false">Sens!J9817+Sens!J9893*Sens!J9792+sbc_r*Sens!J9792</f>
        <v>31.3424844138513</v>
      </c>
      <c r="K9902" s="6" t="n">
        <f aca="false">Sens!K9817+Sens!K9893*Sens!K9792+sbc_r*Sens!K9792</f>
        <v>33.3901519067424</v>
      </c>
    </row>
    <row r="9903" customFormat="false" ht="17.15" hidden="false" customHeight="false" outlineLevel="0" collapsed="false">
      <c r="A9903" s="0" t="s">
        <v>1081</v>
      </c>
      <c r="B9903" s="0" t="s">
        <v>98</v>
      </c>
      <c r="F9903" s="6" t="n">
        <f aca="false">(Sens!F9902-Sens!F9898)*Sens!F9788/(Sens!F9788+Sens!F9790)</f>
        <v>8.26874436191667</v>
      </c>
      <c r="G9903" s="6" t="n">
        <f aca="false">(Sens!G9902-Sens!G9898)*Sens!G9788/(Sens!G9788+Sens!G9790)</f>
        <v>7.86701694398409</v>
      </c>
      <c r="H9903" s="6" t="n">
        <f aca="false">(Sens!H9902-Sens!H9898)*Sens!H9788/(Sens!H9788+Sens!H9790)</f>
        <v>7.62708526752713</v>
      </c>
      <c r="I9903" s="6" t="n">
        <f aca="false">(Sens!I9902-Sens!I9898)*Sens!I9788/(Sens!I9788+Sens!I9790)</f>
        <v>7.53072932197703</v>
      </c>
      <c r="J9903" s="6" t="n">
        <f aca="false">(Sens!J9902-Sens!J9898)*Sens!J9788/(Sens!J9788+Sens!J9790)</f>
        <v>7.56672747684714</v>
      </c>
      <c r="K9903" s="6" t="n">
        <f aca="false">(Sens!K9902-Sens!K9898)*Sens!K9788/(Sens!K9788+Sens!K9790)</f>
        <v>7.73048593597777</v>
      </c>
    </row>
    <row r="9904" customFormat="false" ht="17.15" hidden="false" customHeight="false" outlineLevel="0" collapsed="false">
      <c r="A9904" s="0" t="s">
        <v>1082</v>
      </c>
      <c r="B9904" s="0" t="s">
        <v>98</v>
      </c>
      <c r="F9904" s="6" t="n">
        <f aca="false">Sens!F9902-Sens!F9898-Sens!F9903</f>
        <v>6.81496828884786</v>
      </c>
      <c r="G9904" s="6" t="n">
        <f aca="false">Sens!G9902-Sens!G9898-Sens!G9903</f>
        <v>6.74439139889815</v>
      </c>
      <c r="H9904" s="6" t="n">
        <f aca="false">Sens!H9902-Sens!H9898-Sens!H9903</f>
        <v>6.73267439577159</v>
      </c>
      <c r="I9904" s="6" t="n">
        <f aca="false">Sens!I9902-Sens!I9898-Sens!I9903</f>
        <v>6.77707508839867</v>
      </c>
      <c r="J9904" s="6" t="n">
        <f aca="false">Sens!J9902-Sens!J9898-Sens!J9903</f>
        <v>6.87477458855761</v>
      </c>
      <c r="K9904" s="6" t="n">
        <f aca="false">Sens!K9902-Sens!K9898-Sens!K9903</f>
        <v>7.0235578633534</v>
      </c>
    </row>
    <row r="9905" customFormat="false" ht="17.15" hidden="false" customHeight="false" outlineLevel="0" collapsed="false">
      <c r="A9905" s="0" t="s">
        <v>1083</v>
      </c>
      <c r="B9905" s="0" t="s">
        <v>98</v>
      </c>
      <c r="F9905" s="6" t="n">
        <f aca="false">Sens!F9899-tax_f*(Sens!F9899-Sens!F9766)-Sens!F9763</f>
        <v>-122.579081185432</v>
      </c>
      <c r="G9905" s="6" t="n">
        <f aca="false">Sens!G9899-tax_f*(Sens!G9899-Sens!G9766)-Sens!G9763</f>
        <v>-117.373249511676</v>
      </c>
      <c r="H9905" s="6" t="n">
        <f aca="false">Sens!H9899-tax_f*(Sens!H9899-Sens!H9766)-Sens!H9763</f>
        <v>-95.285890998876</v>
      </c>
      <c r="I9905" s="6" t="n">
        <f aca="false">Sens!I9899-tax_f*(Sens!I9899-Sens!I9766)-Sens!I9763</f>
        <v>-41.8816809509416</v>
      </c>
      <c r="J9905" s="6" t="n">
        <f aca="false">Sens!J9899-tax_f*(Sens!J9899-Sens!J9766)-Sens!J9763</f>
        <v>15.3691414244864</v>
      </c>
      <c r="K9905" s="6" t="n">
        <f aca="false">Sens!K9899-tax_f*(Sens!K9899-Sens!K9766)-Sens!K9763</f>
        <v>34.6668916333283</v>
      </c>
    </row>
    <row r="9906" customFormat="false" ht="17.15" hidden="false" customHeight="false" outlineLevel="0" collapsed="false">
      <c r="A9906" s="0" t="s">
        <v>1084</v>
      </c>
      <c r="B9906" s="0" t="s">
        <v>98</v>
      </c>
      <c r="G9906" s="6" t="n">
        <f aca="false">Sens!G9905/(1+wacc)^(Sens!G9878-(Sens!F9878+mid_yr))</f>
        <v>-111.762030423885</v>
      </c>
      <c r="H9906" s="6" t="n">
        <f aca="false">Sens!H9905/(1+wacc)^(Sens!H9878-(Sens!F9878+mid_yr))</f>
        <v>-82.2629091581412</v>
      </c>
      <c r="I9906" s="6" t="n">
        <f aca="false">Sens!I9905/(1+wacc)^(Sens!I9878-(Sens!F9878+mid_yr))</f>
        <v>-32.7830894246659</v>
      </c>
      <c r="J9906" s="6" t="n">
        <f aca="false">Sens!J9905/(1+wacc)^(Sens!J9878-(Sens!F9878+mid_yr))</f>
        <v>10.907511786022</v>
      </c>
      <c r="K9906" s="6" t="n">
        <f aca="false">Sens!K9905/(1+wacc)^(Sens!K9878-(Sens!F9878+mid_yr))</f>
        <v>22.3070066431388</v>
      </c>
      <c r="L9906" s="1" t="s">
        <v>1085</v>
      </c>
    </row>
    <row r="9907" customFormat="false" ht="17.15" hidden="false" customHeight="false" outlineLevel="0" collapsed="false">
      <c r="A9907" s="0" t="s">
        <v>1086</v>
      </c>
      <c r="B9907" s="0" t="s">
        <v>98</v>
      </c>
      <c r="C9907" s="6" t="n">
        <f aca="false">(Sens!K9899-Sens!K9766)*(1-tax_f)*(1+g_tv)*(1-g_tv/(wacc+ronic_prem))/(wacc-g_tv)/(1+wacc)^(Sens!K9878+mid_yr-(Sens!F9878+mid_yr))</f>
        <v>103.875812758606</v>
      </c>
    </row>
    <row r="9908" customFormat="false" ht="17.15" hidden="false" customHeight="false" outlineLevel="0" collapsed="false">
      <c r="A9908" s="1" t="s">
        <v>1087</v>
      </c>
      <c r="B9908" s="0" t="s">
        <v>98</v>
      </c>
      <c r="C9908" s="6" t="n">
        <f aca="false">(SUM(Sens!G9906:K9906)+Sens!$C$9907)*(1+wacc)^(t_roll-(Sens!F9878+mid_yr))</f>
        <v>-92.6297486746201</v>
      </c>
      <c r="L9908" s="11" t="s">
        <v>1088</v>
      </c>
    </row>
    <row r="9909" customFormat="false" ht="17.15" hidden="false" customHeight="false" outlineLevel="0" collapsed="false">
      <c r="A9909" s="1" t="s">
        <v>1089</v>
      </c>
      <c r="B9909" s="0" t="s">
        <v>98</v>
      </c>
      <c r="C9909" s="6" t="n">
        <f aca="false">(w_ntm28*Sens!G9755+(1-w_ntm28)*Sens!H9755)*m_ai</f>
        <v>338.776008390068</v>
      </c>
    </row>
    <row r="9910" customFormat="false" ht="17.15" hidden="false" customHeight="false" outlineLevel="0" collapsed="false">
      <c r="A9910" s="1" t="s">
        <v>1090</v>
      </c>
      <c r="B9910" s="0" t="s">
        <v>98</v>
      </c>
      <c r="C9910" s="6" t="n">
        <f aca="false">(w_ntm28*Sens!G9901+(1-w_ntm28)*Sens!H9901)*m_cloud</f>
        <v>1056.71912643495</v>
      </c>
    </row>
    <row r="9911" customFormat="false" ht="17.15" hidden="false" customHeight="false" outlineLevel="0" collapsed="false">
      <c r="A9911" s="1" t="s">
        <v>1091</v>
      </c>
      <c r="B9911" s="0" t="s">
        <v>98</v>
      </c>
      <c r="C9911" s="6" t="n">
        <f aca="false">(w_ntm28*Sens!G9894+(1-w_ntm28)*Sens!H9894)*m_sw</f>
        <v>1046.69093513653</v>
      </c>
    </row>
    <row r="9912" customFormat="false" ht="17.15" hidden="false" customHeight="false" outlineLevel="0" collapsed="false">
      <c r="A9912" s="1" t="s">
        <v>1092</v>
      </c>
      <c r="B9912" s="0" t="s">
        <v>98</v>
      </c>
      <c r="C9912" s="6" t="n">
        <f aca="false">(w_ntm28*Sens!G9895+(1-w_ntm28)*Sens!H9895)*m_sw</f>
        <v>380.550955208105</v>
      </c>
    </row>
    <row r="9913" customFormat="false" ht="17.15" hidden="false" customHeight="false" outlineLevel="0" collapsed="false">
      <c r="A9913" s="1" t="s">
        <v>1093</v>
      </c>
      <c r="B9913" s="0" t="s">
        <v>98</v>
      </c>
      <c r="C9913" s="6" t="n">
        <f aca="false">(w_ntm28*Sens!G9896+(1-w_ntm28)*Sens!H9896)*m_sw</f>
        <v>109.918634172455</v>
      </c>
    </row>
    <row r="9914" customFormat="false" ht="17.15" hidden="false" customHeight="false" outlineLevel="0" collapsed="false">
      <c r="A9914" s="1" t="s">
        <v>1094</v>
      </c>
      <c r="B9914" s="0" t="s">
        <v>98</v>
      </c>
      <c r="C9914" s="6" t="n">
        <f aca="false">(w_ntm28*Sens!G9897+(1-w_ntm28)*Sens!H9897)*m_sw</f>
        <v>41.9359199443548</v>
      </c>
    </row>
    <row r="9915" customFormat="false" ht="17.15" hidden="false" customHeight="false" outlineLevel="0" collapsed="false">
      <c r="A9915" s="1" t="s">
        <v>1095</v>
      </c>
      <c r="B9915" s="0" t="s">
        <v>98</v>
      </c>
      <c r="C9915" s="6" t="n">
        <f aca="false">(w_ntm28*Sens!G9898+(1-w_ntm28)*Sens!H9898)*m_ads</f>
        <v>117.996327659116</v>
      </c>
    </row>
    <row r="9916" customFormat="false" ht="17.15" hidden="false" customHeight="false" outlineLevel="0" collapsed="false">
      <c r="A9916" s="1" t="s">
        <v>1096</v>
      </c>
      <c r="B9916" s="0" t="s">
        <v>98</v>
      </c>
      <c r="C9916" s="6" t="n">
        <f aca="false">(w_ntm28*Sens!G9903+(1-w_ntm28)*Sens!H9903)*m_game</f>
        <v>98.3807533869277</v>
      </c>
    </row>
    <row r="9917" customFormat="false" ht="17.15" hidden="false" customHeight="false" outlineLevel="0" collapsed="false">
      <c r="A9917" s="1" t="s">
        <v>1097</v>
      </c>
      <c r="B9917" s="0" t="s">
        <v>98</v>
      </c>
      <c r="C9917" s="6" t="n">
        <f aca="false">(w_ntm28*Sens!G9904+(1-w_ntm28)*Sens!H9904)*m_pc</f>
        <v>97.5365317224439</v>
      </c>
    </row>
    <row r="9918" customFormat="false" ht="17.15" hidden="false" customHeight="false" outlineLevel="0" collapsed="false">
      <c r="A9918" s="1" t="s">
        <v>1098</v>
      </c>
      <c r="B9918" s="0" t="s">
        <v>98</v>
      </c>
      <c r="C9918" s="6" t="n">
        <f aca="false">Sens!$C$9908+Sens!$C$9910+Sens!$C$9911+Sens!$C$9912+Sens!$C$9913+Sens!$C$9914+Sens!$C$9915+Sens!$C$9916+Sens!$C$9917</f>
        <v>2857.09943499026</v>
      </c>
    </row>
    <row r="9919" customFormat="false" ht="17.15" hidden="false" customHeight="false" outlineLevel="0" collapsed="false">
      <c r="A9919" s="1" t="s">
        <v>1099</v>
      </c>
      <c r="B9919" s="0" t="s">
        <v>98</v>
      </c>
      <c r="C9919" s="6" t="n">
        <f aca="false">(Sens!G9880-Sens!G9905)*t_stub</f>
        <v>46.898592539709</v>
      </c>
      <c r="L9919" s="1" t="s">
        <v>1100</v>
      </c>
    </row>
    <row r="9920" customFormat="false" ht="17.15" hidden="false" customHeight="false" outlineLevel="0" collapsed="false">
      <c r="A9920" s="1" t="s">
        <v>1014</v>
      </c>
      <c r="B9920" s="0" t="s">
        <v>98</v>
      </c>
      <c r="C9920" s="6" t="n">
        <f aca="false">Sens!F9869+oai_v-Sens!F9858+Sens!$C$9919</f>
        <v>153.775615452399</v>
      </c>
      <c r="L9920" s="1" t="s">
        <v>1101</v>
      </c>
    </row>
    <row r="9921" customFormat="false" ht="17.15" hidden="false" customHeight="false" outlineLevel="0" collapsed="false">
      <c r="A9921" s="1" t="s">
        <v>1102</v>
      </c>
      <c r="B9921" s="0" t="s">
        <v>75</v>
      </c>
      <c r="C9921" s="5" t="n">
        <f aca="false">(Sens!$C$9918+Sens!$C$9920)/(Sens!F9871+dil_gap)-Sens!G9861*roll_div_q/q_per_yr</f>
        <v>400.6247276471</v>
      </c>
      <c r="L9921" s="1" t="s">
        <v>1103</v>
      </c>
    </row>
    <row r="9922" customFormat="false" ht="17.15" hidden="false" customHeight="false" outlineLevel="0" collapsed="false">
      <c r="A9922" s="1" t="s">
        <v>1104</v>
      </c>
      <c r="B9922" s="0" t="s">
        <v>75</v>
      </c>
      <c r="C9922" s="5" t="n">
        <f aca="false">w_dcf*Sens!$C$9892+(1-w_dcf)*Sens!$C$9921</f>
        <v>342.646750972141</v>
      </c>
    </row>
    <row r="9923" customFormat="false" ht="17.15" hidden="false" customHeight="false" outlineLevel="0" collapsed="false">
      <c r="A9923" s="3" t="s">
        <v>1517</v>
      </c>
    </row>
    <row r="9924" customFormat="false" ht="15" hidden="false" customHeight="false" outlineLevel="0" collapsed="false">
      <c r="A9924" s="4" t="s">
        <v>43</v>
      </c>
      <c r="B9924" s="4" t="s">
        <v>65</v>
      </c>
      <c r="C9924" s="20" t="s">
        <v>799</v>
      </c>
      <c r="D9924" s="20" t="s">
        <v>800</v>
      </c>
      <c r="E9924" s="20" t="s">
        <v>801</v>
      </c>
      <c r="F9924" s="20" t="s">
        <v>802</v>
      </c>
      <c r="G9924" s="20" t="s">
        <v>803</v>
      </c>
      <c r="H9924" s="20" t="s">
        <v>804</v>
      </c>
      <c r="I9924" s="20" t="s">
        <v>805</v>
      </c>
      <c r="J9924" s="20" t="s">
        <v>806</v>
      </c>
      <c r="K9924" s="20" t="s">
        <v>807</v>
      </c>
      <c r="L9924" s="4" t="s">
        <v>47</v>
      </c>
    </row>
    <row r="9925" customFormat="false" ht="17.15" hidden="false" customHeight="false" outlineLevel="0" collapsed="false">
      <c r="A9925" s="1" t="s">
        <v>808</v>
      </c>
      <c r="B9925" s="1" t="s">
        <v>235</v>
      </c>
      <c r="C9925" s="28" t="n">
        <v>2024</v>
      </c>
      <c r="D9925" s="28" t="n">
        <v>2025</v>
      </c>
      <c r="E9925" s="28" t="n">
        <v>2026</v>
      </c>
      <c r="F9925" s="28" t="n">
        <v>2027</v>
      </c>
      <c r="G9925" s="28" t="n">
        <v>2028</v>
      </c>
      <c r="H9925" s="28" t="n">
        <v>2029</v>
      </c>
      <c r="I9925" s="28" t="n">
        <v>2030</v>
      </c>
      <c r="J9925" s="28" t="n">
        <v>2031</v>
      </c>
      <c r="K9925" s="28" t="n">
        <v>2032</v>
      </c>
    </row>
    <row r="9926" customFormat="false" ht="17.15" hidden="false" customHeight="false" outlineLevel="0" collapsed="false">
      <c r="A9926" s="1" t="s">
        <v>809</v>
      </c>
      <c r="B9926" s="0" t="s">
        <v>399</v>
      </c>
      <c r="F9926" s="29" t="n">
        <f aca="false">pace</f>
        <v>2527.2</v>
      </c>
      <c r="G9926" s="29" t="n">
        <f aca="false">pace</f>
        <v>2527.2</v>
      </c>
      <c r="H9926" s="29" t="n">
        <f aca="false">pace</f>
        <v>2527.2</v>
      </c>
      <c r="I9926" s="29" t="n">
        <f aca="false">pace+(g_tv*Sens!H9927-pace)*MIN(1,(Sens!I9925-pace_y0)/(pace_y1-pace_y0))</f>
        <v>1793.116</v>
      </c>
      <c r="J9926" s="29" t="n">
        <f aca="false">pace+(g_tv*Sens!I9927-pace)*MIN(1,(Sens!J9925-pace_y0)/(pace_y1-pace_y0))</f>
        <v>1094.89432</v>
      </c>
      <c r="K9926" s="29" t="n">
        <f aca="false">pace+(g_tv*Sens!J9927-pace)*MIN(1,(Sens!K9925-pace_y0)/(pace_y1-pace_y0))</f>
        <v>411.5883096</v>
      </c>
      <c r="L9926" s="11" t="s">
        <v>810</v>
      </c>
    </row>
    <row r="9927" customFormat="false" ht="17.15" hidden="false" customHeight="false" outlineLevel="0" collapsed="false">
      <c r="A9927" s="1" t="s">
        <v>811</v>
      </c>
      <c r="B9927" s="0" t="s">
        <v>399</v>
      </c>
      <c r="C9927" s="29" t="n">
        <f aca="false">mw_ext_24</f>
        <v>640</v>
      </c>
      <c r="D9927" s="29" t="n">
        <f aca="false">mw_ext_25</f>
        <v>1630</v>
      </c>
      <c r="E9927" s="29" t="n">
        <f aca="false">mw_ext_26</f>
        <v>3250</v>
      </c>
      <c r="F9927" s="29" t="n">
        <f aca="false">Sens!E9927+Sens!F9926</f>
        <v>5777.2</v>
      </c>
      <c r="G9927" s="29" t="n">
        <f aca="false">Sens!F9927+Sens!G9926</f>
        <v>8304.4</v>
      </c>
      <c r="H9927" s="29" t="n">
        <f aca="false">Sens!G9927+Sens!H9926</f>
        <v>10831.6</v>
      </c>
      <c r="I9927" s="29" t="n">
        <f aca="false">Sens!H9927+Sens!I9926</f>
        <v>12624.716</v>
      </c>
      <c r="J9927" s="29" t="n">
        <f aca="false">Sens!I9927+Sens!J9926</f>
        <v>13719.61032</v>
      </c>
      <c r="K9927" s="29" t="n">
        <f aca="false">Sens!J9927+Sens!K9926</f>
        <v>14131.1986296</v>
      </c>
      <c r="L9927" s="1" t="s">
        <v>812</v>
      </c>
    </row>
    <row r="9928" customFormat="false" ht="17.15" hidden="false" customHeight="false" outlineLevel="0" collapsed="false">
      <c r="A9928" s="1" t="s">
        <v>813</v>
      </c>
      <c r="B9928" s="0" t="s">
        <v>399</v>
      </c>
      <c r="C9928" s="29" t="n">
        <f aca="false">rent_ext_24</f>
        <v>150</v>
      </c>
      <c r="D9928" s="29" t="n">
        <f aca="false">rent_ext_25</f>
        <v>400</v>
      </c>
      <c r="E9928" s="29" t="n">
        <f aca="false">rent_ext_26</f>
        <v>550</v>
      </c>
      <c r="F9928" s="29" t="n">
        <f aca="false">rent_ext_f</f>
        <v>756</v>
      </c>
      <c r="G9928" s="29" t="n">
        <f aca="false">rent_ext_f</f>
        <v>756</v>
      </c>
      <c r="H9928" s="29" t="n">
        <f aca="false">rent_ext_f</f>
        <v>756</v>
      </c>
      <c r="I9928" s="29" t="n">
        <f aca="false">rent_ext_f</f>
        <v>756</v>
      </c>
      <c r="J9928" s="29" t="n">
        <f aca="false">rent_ext_f</f>
        <v>756</v>
      </c>
      <c r="K9928" s="29" t="n">
        <f aca="false">rent_ext_f</f>
        <v>756</v>
      </c>
      <c r="L9928" s="1" t="s">
        <v>814</v>
      </c>
    </row>
    <row r="9929" customFormat="false" ht="17.15" hidden="false" customHeight="false" outlineLevel="0" collapsed="false">
      <c r="A9929" s="1" t="s">
        <v>815</v>
      </c>
      <c r="B9929" s="0" t="s">
        <v>399</v>
      </c>
      <c r="C9929" s="29" t="n">
        <f aca="false">Sens!C9927-Sens!C9928</f>
        <v>490</v>
      </c>
      <c r="D9929" s="29" t="n">
        <f aca="false">Sens!D9927-Sens!D9928</f>
        <v>1230</v>
      </c>
      <c r="E9929" s="29" t="n">
        <f aca="false">Sens!E9927-Sens!E9928</f>
        <v>2700</v>
      </c>
      <c r="F9929" s="29" t="n">
        <f aca="false">Sens!F9927-Sens!F9928</f>
        <v>5021.2</v>
      </c>
      <c r="G9929" s="29" t="n">
        <f aca="false">Sens!G9927-Sens!G9928</f>
        <v>7548.4</v>
      </c>
      <c r="H9929" s="29" t="n">
        <f aca="false">Sens!H9927-Sens!H9928</f>
        <v>10075.6</v>
      </c>
      <c r="I9929" s="29" t="n">
        <f aca="false">Sens!I9927-Sens!I9928</f>
        <v>11868.716</v>
      </c>
      <c r="J9929" s="29" t="n">
        <f aca="false">Sens!J9927-Sens!J9928</f>
        <v>12963.61032</v>
      </c>
      <c r="K9929" s="29" t="n">
        <f aca="false">Sens!K9927-Sens!K9928</f>
        <v>13375.1986296</v>
      </c>
    </row>
    <row r="9930" customFormat="false" ht="17.15" hidden="false" customHeight="false" outlineLevel="0" collapsed="false">
      <c r="A9930" s="1" t="s">
        <v>816</v>
      </c>
      <c r="B9930" s="0" t="s">
        <v>399</v>
      </c>
      <c r="C9930" s="29" t="n">
        <f aca="false">Sens!C9929/ext_sh</f>
        <v>816.666666666667</v>
      </c>
      <c r="D9930" s="29" t="n">
        <f aca="false">Sens!D9929/ext_sh</f>
        <v>2050</v>
      </c>
      <c r="E9930" s="29" t="n">
        <f aca="false">Sens!E9929/ext_sh</f>
        <v>4500</v>
      </c>
      <c r="F9930" s="29" t="n">
        <f aca="false">Sens!F9929/ext_sh</f>
        <v>8368.66666666667</v>
      </c>
      <c r="G9930" s="29" t="n">
        <f aca="false">Sens!G9929/ext_sh</f>
        <v>12580.6666666667</v>
      </c>
      <c r="H9930" s="29" t="n">
        <f aca="false">Sens!H9929/ext_sh</f>
        <v>16792.6666666667</v>
      </c>
      <c r="I9930" s="29" t="n">
        <f aca="false">Sens!I9929/ext_sh</f>
        <v>19781.1933333333</v>
      </c>
      <c r="J9930" s="29" t="n">
        <f aca="false">Sens!J9929/ext_sh</f>
        <v>21606.0172</v>
      </c>
      <c r="K9930" s="29" t="n">
        <f aca="false">Sens!K9929/ext_sh</f>
        <v>22291.997716</v>
      </c>
      <c r="L9930" s="1" t="s">
        <v>817</v>
      </c>
    </row>
    <row r="9931" customFormat="false" ht="17.15" hidden="false" customHeight="false" outlineLevel="0" collapsed="false">
      <c r="A9931" s="1" t="s">
        <v>818</v>
      </c>
      <c r="B9931" s="0" t="s">
        <v>399</v>
      </c>
      <c r="C9931" s="29" t="n">
        <f aca="false">Sens!C9930-Sens!C9929</f>
        <v>326.666666666667</v>
      </c>
      <c r="D9931" s="29" t="n">
        <f aca="false">Sens!D9930-Sens!D9929</f>
        <v>820</v>
      </c>
      <c r="E9931" s="29" t="n">
        <f aca="false">Sens!E9930-Sens!E9929</f>
        <v>1800</v>
      </c>
      <c r="F9931" s="29" t="n">
        <f aca="false">Sens!F9930-Sens!F9929</f>
        <v>3347.46666666667</v>
      </c>
      <c r="G9931" s="29" t="n">
        <f aca="false">Sens!G9930-Sens!G9929</f>
        <v>5032.26666666667</v>
      </c>
      <c r="H9931" s="29" t="n">
        <f aca="false">Sens!H9930-Sens!H9929</f>
        <v>6717.06666666667</v>
      </c>
      <c r="I9931" s="29" t="n">
        <f aca="false">Sens!I9930-Sens!I9929</f>
        <v>7912.47733333333</v>
      </c>
      <c r="J9931" s="29" t="n">
        <f aca="false">Sens!J9930-Sens!J9929</f>
        <v>8642.40688</v>
      </c>
      <c r="K9931" s="29" t="n">
        <f aca="false">Sens!K9930-Sens!K9929</f>
        <v>8916.7990864</v>
      </c>
    </row>
    <row r="9932" customFormat="false" ht="17.15" hidden="false" customHeight="false" outlineLevel="0" collapsed="false">
      <c r="A9932" s="1" t="s">
        <v>819</v>
      </c>
      <c r="B9932" s="0" t="s">
        <v>399</v>
      </c>
      <c r="C9932" s="29" t="n">
        <f aca="false">Sens!C9930</f>
        <v>816.666666666667</v>
      </c>
      <c r="D9932" s="29" t="n">
        <f aca="false">Sens!D9930-Sens!C9930</f>
        <v>1233.33333333333</v>
      </c>
      <c r="E9932" s="29" t="n">
        <f aca="false">Sens!E9930-Sens!D9930</f>
        <v>2450</v>
      </c>
      <c r="F9932" s="29" t="n">
        <f aca="false">Sens!F9930-Sens!E9930</f>
        <v>3868.66666666667</v>
      </c>
      <c r="G9932" s="29" t="n">
        <f aca="false">Sens!G9930-Sens!F9930</f>
        <v>4212</v>
      </c>
      <c r="H9932" s="29" t="n">
        <f aca="false">Sens!H9930-Sens!G9930</f>
        <v>4212</v>
      </c>
      <c r="I9932" s="29" t="n">
        <f aca="false">Sens!I9930-Sens!H9930</f>
        <v>2988.52666666667</v>
      </c>
      <c r="J9932" s="29" t="n">
        <f aca="false">Sens!J9930-Sens!I9930</f>
        <v>1824.82386666667</v>
      </c>
      <c r="K9932" s="29" t="n">
        <f aca="false">Sens!K9930-Sens!J9930</f>
        <v>685.980516</v>
      </c>
    </row>
    <row r="9933" customFormat="false" ht="17.15" hidden="false" customHeight="false" outlineLevel="0" collapsed="false">
      <c r="A9933" s="1" t="s">
        <v>820</v>
      </c>
      <c r="B9933" s="0" t="s">
        <v>399</v>
      </c>
      <c r="D9933" s="29" t="n">
        <f aca="false">Sens!D9927-Sens!C9927</f>
        <v>990</v>
      </c>
      <c r="E9933" s="29" t="n">
        <f aca="false">Sens!E9927-Sens!D9927</f>
        <v>1620</v>
      </c>
      <c r="F9933" s="29" t="n">
        <f aca="false">Sens!F9927-Sens!E9927</f>
        <v>2527.2</v>
      </c>
      <c r="G9933" s="29" t="n">
        <f aca="false">Sens!G9927-Sens!F9927</f>
        <v>2527.2</v>
      </c>
      <c r="H9933" s="29" t="n">
        <f aca="false">Sens!H9927-Sens!G9927</f>
        <v>2527.2</v>
      </c>
      <c r="I9933" s="29" t="n">
        <f aca="false">Sens!I9927-Sens!H9927</f>
        <v>1793.116</v>
      </c>
      <c r="J9933" s="29" t="n">
        <f aca="false">Sens!J9927-Sens!I9927</f>
        <v>1094.89432</v>
      </c>
      <c r="K9933" s="29" t="n">
        <f aca="false">Sens!K9927-Sens!J9927</f>
        <v>411.5883096</v>
      </c>
    </row>
    <row r="9934" customFormat="false" ht="17.15" hidden="false" customHeight="false" outlineLevel="0" collapsed="false">
      <c r="A9934" s="1" t="s">
        <v>821</v>
      </c>
      <c r="B9934" s="0" t="s">
        <v>399</v>
      </c>
      <c r="F9934" s="29" t="n">
        <f aca="false">Sens!F9951*ext_sh</f>
        <v>0</v>
      </c>
      <c r="G9934" s="29" t="n">
        <f aca="false">Sens!G9951*ext_sh</f>
        <v>0</v>
      </c>
      <c r="H9934" s="29" t="n">
        <f aca="false">Sens!H9951*ext_sh</f>
        <v>0</v>
      </c>
      <c r="I9934" s="29" t="n">
        <f aca="false">Sens!I9951*ext_sh</f>
        <v>490</v>
      </c>
      <c r="J9934" s="29" t="n">
        <f aca="false">Sens!J9951*ext_sh</f>
        <v>740</v>
      </c>
      <c r="K9934" s="29" t="n">
        <f aca="false">Sens!K9951*ext_sh</f>
        <v>1470</v>
      </c>
      <c r="L9934" s="1" t="s">
        <v>822</v>
      </c>
    </row>
    <row r="9935" customFormat="false" ht="17.15" hidden="false" customHeight="false" outlineLevel="0" collapsed="false">
      <c r="A9935" s="1" t="s">
        <v>823</v>
      </c>
      <c r="B9935" s="0" t="s">
        <v>399</v>
      </c>
      <c r="C9935" s="29" t="n">
        <f aca="false">mix_h*Sens!C9927</f>
        <v>128</v>
      </c>
      <c r="D9935" s="29" t="n">
        <f aca="false">mix_h*Sens!D9927</f>
        <v>326</v>
      </c>
      <c r="E9935" s="29" t="n">
        <f aca="false">mix_h*Sens!E9927</f>
        <v>650</v>
      </c>
      <c r="F9935" s="29" t="n">
        <f aca="false">Sens!E9935-Sens!F9934*mix_h</f>
        <v>650</v>
      </c>
      <c r="G9935" s="29" t="n">
        <f aca="false">Sens!F9935-Sens!G9934*mix_h</f>
        <v>650</v>
      </c>
      <c r="H9935" s="29" t="n">
        <f aca="false">Sens!G9935-Sens!H9934*mix_h</f>
        <v>650</v>
      </c>
      <c r="I9935" s="29" t="n">
        <f aca="false">Sens!H9935-Sens!I9934*mix_h</f>
        <v>552</v>
      </c>
      <c r="J9935" s="29" t="n">
        <f aca="false">Sens!I9935-Sens!J9934*mix_h</f>
        <v>404</v>
      </c>
      <c r="K9935" s="29" t="n">
        <f aca="false">Sens!J9935-Sens!K9934*mix_h</f>
        <v>110</v>
      </c>
    </row>
    <row r="9936" customFormat="false" ht="17.15" hidden="false" customHeight="false" outlineLevel="0" collapsed="false">
      <c r="A9936" s="1" t="s">
        <v>824</v>
      </c>
      <c r="B9936" s="0" t="s">
        <v>399</v>
      </c>
      <c r="C9936" s="29" t="n">
        <f aca="false">mix_g2*Sens!C9927</f>
        <v>288</v>
      </c>
      <c r="D9936" s="29" t="n">
        <f aca="false">mix_g2*Sens!D9927</f>
        <v>733.5</v>
      </c>
      <c r="E9936" s="29" t="n">
        <f aca="false">mix_g2*Sens!E9927</f>
        <v>1462.5</v>
      </c>
      <c r="F9936" s="29" t="n">
        <f aca="false">Sens!E9936-Sens!F9934*mix_g2</f>
        <v>1462.5</v>
      </c>
      <c r="G9936" s="29" t="n">
        <f aca="false">Sens!F9936-Sens!G9934*mix_g2</f>
        <v>1462.5</v>
      </c>
      <c r="H9936" s="29" t="n">
        <f aca="false">Sens!G9936-Sens!H9934*mix_g2</f>
        <v>1462.5</v>
      </c>
      <c r="I9936" s="29" t="n">
        <f aca="false">Sens!H9936-Sens!I9934*mix_g2</f>
        <v>1242</v>
      </c>
      <c r="J9936" s="29" t="n">
        <f aca="false">Sens!I9936-Sens!J9934*mix_g2</f>
        <v>909</v>
      </c>
      <c r="K9936" s="29" t="n">
        <f aca="false">Sens!J9936-Sens!K9934*mix_g2</f>
        <v>247.5</v>
      </c>
    </row>
    <row r="9937" customFormat="false" ht="17.15" hidden="false" customHeight="false" outlineLevel="0" collapsed="false">
      <c r="A9937" s="1" t="s">
        <v>825</v>
      </c>
      <c r="B9937" s="0" t="s">
        <v>399</v>
      </c>
      <c r="C9937" s="29" t="n">
        <f aca="false">mix_g3*Sens!C9927</f>
        <v>224</v>
      </c>
      <c r="D9937" s="29" t="n">
        <f aca="false">mix_g3*Sens!D9927</f>
        <v>570.5</v>
      </c>
      <c r="E9937" s="29" t="n">
        <f aca="false">mix_g3*Sens!E9927</f>
        <v>1137.5</v>
      </c>
      <c r="F9937" s="29" t="n">
        <f aca="false">Sens!E9937+(Sens!F9933+Sens!F9934)*a_g3_27-Sens!F9934*mix_g3</f>
        <v>2906.54</v>
      </c>
      <c r="G9937" s="29" t="n">
        <f aca="false">Sens!F9937+(Sens!G9933+Sens!G9934)*a_g3_28-Sens!G9934*mix_g3</f>
        <v>3664.7</v>
      </c>
      <c r="H9937" s="29" t="n">
        <f aca="false">Sens!G9937+(Sens!H9933+Sens!H9934)*a_g3_29-Sens!H9934*mix_g3</f>
        <v>3917.42</v>
      </c>
      <c r="I9937" s="29" t="n">
        <f aca="false">Sens!H9937+(Sens!I9933+Sens!I9934)*a_g3_29-Sens!I9934*mix_g3</f>
        <v>3974.2316</v>
      </c>
      <c r="J9937" s="29" t="n">
        <f aca="false">Sens!I9937+(Sens!J9933+Sens!J9934)*a_g3_29-Sens!J9934*mix_g3</f>
        <v>3898.721032</v>
      </c>
      <c r="K9937" s="29" t="n">
        <f aca="false">Sens!J9937+(Sens!K9933+Sens!K9934)*a_g3_29-Sens!K9934*mix_g3</f>
        <v>3572.37986296</v>
      </c>
    </row>
    <row r="9938" customFormat="false" ht="17.15" hidden="false" customHeight="false" outlineLevel="0" collapsed="false">
      <c r="A9938" s="1" t="s">
        <v>826</v>
      </c>
      <c r="B9938" s="0" t="s">
        <v>399</v>
      </c>
      <c r="C9938" s="29" t="n">
        <v>0</v>
      </c>
      <c r="D9938" s="29" t="n">
        <v>0</v>
      </c>
      <c r="E9938" s="29" t="n">
        <v>0</v>
      </c>
      <c r="F9938" s="29" t="n">
        <f aca="false">Sens!E9938+(Sens!F9933+Sens!F9934)*(1-a_g3_27)</f>
        <v>758.16</v>
      </c>
      <c r="G9938" s="29" t="n">
        <f aca="false">Sens!F9938+(Sens!G9933+Sens!G9934)*(1-a_g3_28)</f>
        <v>2527.2</v>
      </c>
      <c r="H9938" s="29" t="n">
        <f aca="false">Sens!G9938+(Sens!H9933+Sens!H9934)*(1-a_g3_29)</f>
        <v>4801.68</v>
      </c>
      <c r="I9938" s="29" t="n">
        <f aca="false">Sens!H9938+(Sens!I9933+Sens!I9934)*(1-a_g3_29)</f>
        <v>6856.4844</v>
      </c>
      <c r="J9938" s="29" t="n">
        <f aca="false">Sens!I9938+(Sens!J9933+Sens!J9934)*(1-a_g3_29)</f>
        <v>8507.889288</v>
      </c>
      <c r="K9938" s="29" t="n">
        <f aca="false">Sens!J9938+(Sens!K9933+Sens!K9934)*(1-a_g3_29)</f>
        <v>10201.31876664</v>
      </c>
    </row>
    <row r="9939" customFormat="false" ht="17.15" hidden="false" customHeight="false" outlineLevel="0" collapsed="false">
      <c r="A9939" s="1" t="s">
        <v>827</v>
      </c>
      <c r="B9939" s="0" t="s">
        <v>346</v>
      </c>
      <c r="C9939" s="14" t="n">
        <f aca="false">(Sens!C9935*tk_hold_h100+Sens!C9936*tk_hold_gb200+Sens!C9937*tk_hold_gb300+Sens!C9938*tk_hold_vr200)/Sens!C9927</f>
        <v>9.7235358126469</v>
      </c>
      <c r="D9939" s="14" t="n">
        <f aca="false">(Sens!D9935*tk_hold_h100+Sens!D9936*tk_hold_gb200+Sens!D9937*tk_hold_gb300+Sens!D9938*tk_hold_vr200)/Sens!D9927</f>
        <v>9.7235358126469</v>
      </c>
      <c r="E9939" s="14" t="n">
        <f aca="false">(Sens!E9935*tk_hold_h100+Sens!E9936*tk_hold_gb200+Sens!E9937*tk_hold_gb300+Sens!E9938*tk_hold_vr200)/Sens!E9927</f>
        <v>9.7235358126469</v>
      </c>
      <c r="F9939" s="14" t="n">
        <f aca="false">(Sens!F9935*tk_hold_h100+Sens!F9936*tk_hold_gb200+Sens!F9937*tk_hold_gb300+Sens!F9938*tk_hold_vr200)/Sens!F9927</f>
        <v>10.4079573161931</v>
      </c>
      <c r="G9939" s="14" t="n">
        <f aca="false">(Sens!G9935*tk_hold_h100+Sens!G9936*tk_hold_gb200+Sens!G9937*tk_hold_gb300+Sens!G9938*tk_hold_vr200)/Sens!G9927</f>
        <v>10.8388131109316</v>
      </c>
      <c r="H9939" s="14" t="n">
        <f aca="false">(Sens!H9935*tk_hold_h100+Sens!H9936*tk_hold_gb200+Sens!H9937*tk_hold_gb300+Sens!H9938*tk_hold_vr200)/Sens!H9927</f>
        <v>11.1311018388216</v>
      </c>
      <c r="I9939" s="14" t="n">
        <f aca="false">(Sens!I9935*tk_hold_h100+Sens!I9936*tk_hold_gb200+Sens!I9937*tk_hold_gb300+Sens!I9938*tk_hold_vr200)/Sens!I9927</f>
        <v>11.3594282560989</v>
      </c>
      <c r="J9939" s="14" t="n">
        <f aca="false">(Sens!J9935*tk_hold_h100+Sens!J9936*tk_hold_gb200+Sens!J9937*tk_hold_gb300+Sens!J9938*tk_hold_vr200)/Sens!J9927</f>
        <v>11.5455817917599</v>
      </c>
      <c r="K9939" s="14" t="n">
        <f aca="false">(Sens!K9935*tk_hold_h100+Sens!K9936*tk_hold_gb200+Sens!K9937*tk_hold_gb300+Sens!K9938*tk_hold_vr200)/Sens!K9927</f>
        <v>11.8078187977246</v>
      </c>
    </row>
    <row r="9940" customFormat="false" ht="17.15" hidden="false" customHeight="false" outlineLevel="0" collapsed="false">
      <c r="A9940" s="0" t="s">
        <v>828</v>
      </c>
      <c r="B9940" s="0" t="s">
        <v>185</v>
      </c>
      <c r="C9940" s="14" t="n">
        <f aca="false">k_B</f>
        <v>1.17213932619116</v>
      </c>
      <c r="D9940" s="14" t="n">
        <f aca="false">k_B</f>
        <v>1.17213932619116</v>
      </c>
      <c r="E9940" s="14" t="n">
        <f aca="false">k_B</f>
        <v>1.17213932619116</v>
      </c>
      <c r="F9940" s="14" t="n">
        <f aca="false">(k_B+((ls_A*k_long+(1-ls_A)*k_spot)-k_B)*MIN(1,(Sens!F9925-base_fy)/k_ramp))</f>
        <v>1.25022828131298</v>
      </c>
      <c r="G9940" s="14" t="n">
        <f aca="false">(k_B+((ls_A*k_long+(1-ls_A)*k_spot)-k_B)*MIN(1,(Sens!G9925-base_fy)/k_ramp))</f>
        <v>1.3283172364348</v>
      </c>
      <c r="H9940" s="14" t="n">
        <f aca="false">(k_B+((ls_A*k_long+(1-ls_A)*k_spot)-k_B)*MIN(1,(Sens!H9925-base_fy)/k_ramp))</f>
        <v>1.40640619155662</v>
      </c>
      <c r="I9940" s="14" t="n">
        <f aca="false">(k_B+((ls_A*k_long+(1-ls_A)*k_spot)-k_B)*MIN(1,(Sens!I9925-base_fy)/k_ramp))</f>
        <v>1.40640619155662</v>
      </c>
      <c r="J9940" s="14" t="n">
        <f aca="false">(k_B+((ls_A*k_long+(1-ls_A)*k_spot)-k_B)*MIN(1,(Sens!J9925-base_fy)/k_ramp))</f>
        <v>1.40640619155662</v>
      </c>
      <c r="K9940" s="14" t="n">
        <f aca="false">(k_B+((ls_A*k_long+(1-ls_A)*k_spot)-k_B)*MIN(1,(Sens!K9925-base_fy)/k_ramp))</f>
        <v>1.40640619155662</v>
      </c>
      <c r="L9940" s="1" t="s">
        <v>829</v>
      </c>
    </row>
    <row r="9941" customFormat="false" ht="17.15" hidden="false" customHeight="false" outlineLevel="0" collapsed="false">
      <c r="A9941" s="1" t="s">
        <v>830</v>
      </c>
      <c r="B9941" s="0" t="s">
        <v>346</v>
      </c>
      <c r="C9941" s="14" t="n">
        <f aca="false">Sens!C9939*Sens!C9940*chip_f</f>
        <v>11.3973387156315</v>
      </c>
      <c r="D9941" s="14" t="n">
        <f aca="false">Sens!D9939*Sens!D9940*chip_f</f>
        <v>11.3973387156315</v>
      </c>
      <c r="E9941" s="14" t="n">
        <f aca="false">Sens!E9939*Sens!E9940*chip_f</f>
        <v>11.3973387156315</v>
      </c>
      <c r="F9941" s="14" t="n">
        <f aca="false">Sens!F9939*Sens!F9940*chip_f</f>
        <v>13.0123225874029</v>
      </c>
      <c r="G9941" s="14" t="n">
        <f aca="false">Sens!G9939*Sens!G9940*chip_f</f>
        <v>14.3973822777458</v>
      </c>
      <c r="H9941" s="14" t="n">
        <f aca="false">Sens!H9939*Sens!H9940*chip_f</f>
        <v>15.6548505449659</v>
      </c>
      <c r="I9941" s="14" t="n">
        <f aca="false">Sens!I9939*Sens!I9940*chip_f</f>
        <v>15.9759702319207</v>
      </c>
      <c r="J9941" s="14" t="n">
        <f aca="false">Sens!J9939*Sens!J9940*chip_f</f>
        <v>16.2377777170545</v>
      </c>
      <c r="K9941" s="14" t="n">
        <f aca="false">Sens!K9939*Sens!K9940*chip_f</f>
        <v>16.6065894658985</v>
      </c>
      <c r="L9941" s="1" t="s">
        <v>831</v>
      </c>
    </row>
    <row r="9942" customFormat="false" ht="17.15" hidden="false" customHeight="false" outlineLevel="0" collapsed="false">
      <c r="A9942" s="0" t="s">
        <v>832</v>
      </c>
      <c r="B9942" s="0" t="s">
        <v>98</v>
      </c>
      <c r="D9942" s="6" t="n">
        <f aca="false">(Sens!C9927+Sens!D9927)/2*Sens!D9941/1000</f>
        <v>12.9359794422418</v>
      </c>
      <c r="E9942" s="6" t="n">
        <f aca="false">(Sens!D9927+Sens!E9927)/2*Sens!E9941/1000</f>
        <v>27.8095064661409</v>
      </c>
      <c r="F9942" s="6" t="n">
        <f aca="false">(Sens!E9927+Sens!F9927)/2*Sens!F9941/1000</f>
        <v>58.7324192305018</v>
      </c>
      <c r="G9942" s="6" t="n">
        <f aca="false">(Sens!F9927+Sens!G9927)/2*Sens!G9941/1000</f>
        <v>101.369089141153</v>
      </c>
      <c r="H9942" s="6" t="n">
        <f aca="false">(Sens!G9927+Sens!H9927)/2*Sens!H9941/1000</f>
        <v>149.785610014234</v>
      </c>
      <c r="I9942" s="6" t="n">
        <f aca="false">(Sens!H9927+Sens!I9927)/2*Sens!I9941/1000</f>
        <v>187.368703083263</v>
      </c>
      <c r="J9942" s="6" t="n">
        <f aca="false">(Sens!I9927+Sens!J9927)/2*Sens!J9941/1000</f>
        <v>213.886657444854</v>
      </c>
      <c r="K9942" s="6" t="n">
        <f aca="false">(Sens!J9927+Sens!K9927)/2*Sens!K9941/1000</f>
        <v>231.253475259589</v>
      </c>
      <c r="L9942" s="11" t="s">
        <v>833</v>
      </c>
    </row>
    <row r="9943" customFormat="false" ht="17.15" hidden="false" customHeight="false" outlineLevel="0" collapsed="false">
      <c r="A9943" s="1" t="s">
        <v>834</v>
      </c>
      <c r="B9943" s="0" t="s">
        <v>346</v>
      </c>
      <c r="C9943" s="14" t="n">
        <f aca="false">(Sens!C9935*tk_opex_h100+Sens!C9936*tk_opex_gb200+Sens!C9937*tk_opex_gb300+Sens!C9938*tk_opex_vr200)/Sens!C9927</f>
        <v>1.88636041306092</v>
      </c>
      <c r="D9943" s="14" t="n">
        <f aca="false">(Sens!D9935*tk_opex_h100+Sens!D9936*tk_opex_gb200+Sens!D9937*tk_opex_gb300+Sens!D9938*tk_opex_vr200)/Sens!D9927</f>
        <v>1.88636041306092</v>
      </c>
      <c r="E9943" s="14" t="n">
        <f aca="false">(Sens!E9935*tk_opex_h100+Sens!E9936*tk_opex_gb200+Sens!E9937*tk_opex_gb300+Sens!E9938*tk_opex_vr200)/Sens!E9927</f>
        <v>1.88636041306092</v>
      </c>
      <c r="F9943" s="14" t="n">
        <f aca="false">(Sens!F9935*tk_opex_h100+Sens!F9936*tk_opex_gb200+Sens!F9937*tk_opex_gb300+Sens!F9938*tk_opex_vr200)/Sens!F9927</f>
        <v>1.9430236476499</v>
      </c>
      <c r="G9943" s="14" t="n">
        <f aca="false">(Sens!G9935*tk_opex_h100+Sens!G9936*tk_opex_gb200+Sens!G9937*tk_opex_gb300+Sens!G9938*tk_opex_vr200)/Sens!G9927</f>
        <v>1.9786941852423</v>
      </c>
      <c r="H9943" s="14" t="n">
        <f aca="false">(Sens!H9935*tk_opex_h100+Sens!H9936*tk_opex_gb200+Sens!H9937*tk_opex_gb300+Sens!H9938*tk_opex_vr200)/Sens!H9927</f>
        <v>2.00289275976156</v>
      </c>
      <c r="I9943" s="14" t="n">
        <f aca="false">(Sens!I9935*tk_opex_h100+Sens!I9936*tk_opex_gb200+Sens!I9937*tk_opex_gb300+Sens!I9938*tk_opex_vr200)/Sens!I9927</f>
        <v>2.02179589661219</v>
      </c>
      <c r="J9943" s="14" t="n">
        <f aca="false">(Sens!J9935*tk_opex_h100+Sens!J9936*tk_opex_gb200+Sens!J9937*tk_opex_gb300+Sens!J9938*tk_opex_vr200)/Sens!J9927</f>
        <v>2.03720754193029</v>
      </c>
      <c r="K9943" s="14" t="n">
        <f aca="false">(Sens!K9935*tk_opex_h100+Sens!K9936*tk_opex_gb200+Sens!K9937*tk_opex_gb300+Sens!K9938*tk_opex_vr200)/Sens!K9927</f>
        <v>2.0589181353437</v>
      </c>
    </row>
    <row r="9944" customFormat="false" ht="17.15" hidden="false" customHeight="false" outlineLevel="0" collapsed="false">
      <c r="A9944" s="0" t="s">
        <v>835</v>
      </c>
      <c r="B9944" s="0" t="s">
        <v>98</v>
      </c>
      <c r="D9944" s="6" t="n">
        <f aca="false">(Sens!C9930+Sens!D9930)/2*Sens!D9943/1000</f>
        <v>2.70378325872065</v>
      </c>
      <c r="E9944" s="6" t="n">
        <f aca="false">(Sens!D9930+Sens!E9930)/2*Sens!E9943/1000</f>
        <v>6.17783035277451</v>
      </c>
      <c r="F9944" s="6" t="n">
        <f aca="false">(Sens!E9930+Sens!F9930)/2*Sens!F9943/1000</f>
        <v>12.5020618235287</v>
      </c>
      <c r="G9944" s="6" t="n">
        <f aca="false">(Sens!F9930+Sens!G9930)/2*Sens!G9943/1000</f>
        <v>20.7261620256847</v>
      </c>
      <c r="H9944" s="6" t="n">
        <f aca="false">(Sens!G9930+Sens!H9930)/2*Sens!H9943/1000</f>
        <v>29.4158183316982</v>
      </c>
      <c r="I9944" s="6" t="n">
        <f aca="false">(Sens!H9930+Sens!I9930)/2*Sens!I9943/1000</f>
        <v>36.9724400356344</v>
      </c>
      <c r="J9944" s="6" t="n">
        <f aca="false">(Sens!I9930+Sens!J9930)/2*Sens!J9943/1000</f>
        <v>42.1571687189816</v>
      </c>
      <c r="K9944" s="6" t="n">
        <f aca="false">(Sens!J9930+Sens!K9930)/2*Sens!K9943/1000</f>
        <v>45.1912095080704</v>
      </c>
    </row>
    <row r="9945" customFormat="false" ht="17.15" hidden="false" customHeight="false" outlineLevel="0" collapsed="false">
      <c r="A9945" s="0" t="s">
        <v>836</v>
      </c>
      <c r="B9945" s="0" t="s">
        <v>98</v>
      </c>
      <c r="D9945" s="6" t="n">
        <f aca="false">(Sens!C9928+Sens!D9928)/2*rent_mw/1000</f>
        <v>2.44475</v>
      </c>
      <c r="E9945" s="6" t="n">
        <f aca="false">(Sens!D9928+Sens!E9928)/2*rent_mw/1000</f>
        <v>4.22275</v>
      </c>
      <c r="F9945" s="6" t="n">
        <f aca="false">(Sens!E9928+Sens!F9928)/2*rent_mw/1000</f>
        <v>5.80517</v>
      </c>
      <c r="G9945" s="6" t="n">
        <f aca="false">(Sens!F9928+Sens!G9928)/2*rent_mw/1000</f>
        <v>6.72084</v>
      </c>
      <c r="H9945" s="6" t="n">
        <f aca="false">(Sens!G9928+Sens!H9928)/2*rent_mw/1000</f>
        <v>6.72084</v>
      </c>
      <c r="I9945" s="6" t="n">
        <f aca="false">(Sens!H9928+Sens!I9928)/2*rent_mw/1000</f>
        <v>6.72084</v>
      </c>
      <c r="J9945" s="6" t="n">
        <f aca="false">(Sens!I9928+Sens!J9928)/2*rent_mw/1000</f>
        <v>6.72084</v>
      </c>
      <c r="K9945" s="6" t="n">
        <f aca="false">(Sens!J9928+Sens!K9928)/2*rent_mw/1000</f>
        <v>6.72084</v>
      </c>
    </row>
    <row r="9946" customFormat="false" ht="17.15" hidden="false" customHeight="false" outlineLevel="0" collapsed="false">
      <c r="A9946" s="0" t="s">
        <v>837</v>
      </c>
      <c r="B9946" s="0" t="s">
        <v>98</v>
      </c>
      <c r="D9946" s="6" t="n">
        <f aca="false">(Sens!C9930+Sens!D9930)/2*(1-self_build)*fac_rent/1000</f>
        <v>0.853242375631075</v>
      </c>
      <c r="E9946" s="6" t="n">
        <f aca="false">(Sens!D9930+Sens!E9930)/2*(1-self_build)*fac_rent/1000</f>
        <v>1.94955961408728</v>
      </c>
      <c r="F9946" s="6" t="n">
        <f aca="false">(Sens!E9930+Sens!F9930)/2*(1-self_build)*fac_rent/1000</f>
        <v>3.83026455274573</v>
      </c>
      <c r="G9946" s="6" t="n">
        <f aca="false">(Sens!F9930+Sens!G9930)/2*(1-self_build)*fac_rent/1000</f>
        <v>6.23541590972812</v>
      </c>
      <c r="H9946" s="6" t="n">
        <f aca="false">(Sens!G9930+Sens!H9930)/2*(1-self_build)*fac_rent/1000</f>
        <v>8.74275792332679</v>
      </c>
      <c r="I9946" s="6" t="n">
        <f aca="false">(Sens!H9930+Sens!I9930)/2*(1-self_build)*fac_rent/1000</f>
        <v>10.8859420438599</v>
      </c>
      <c r="J9946" s="6" t="n">
        <f aca="false">(Sens!I9930+Sens!J9930)/2*(1-self_build)*fac_rent/1000</f>
        <v>12.3186006405366</v>
      </c>
      <c r="K9946" s="6" t="n">
        <f aca="false">(Sens!J9930+Sens!K9930)/2*(1-self_build)*fac_rent/1000</f>
        <v>13.0659232089824</v>
      </c>
      <c r="L9946" s="11" t="s">
        <v>838</v>
      </c>
    </row>
    <row r="9947" customFormat="false" ht="17.15" hidden="false" customHeight="false" outlineLevel="0" collapsed="false">
      <c r="A9947" s="1" t="s">
        <v>839</v>
      </c>
      <c r="B9947" s="0" t="s">
        <v>129</v>
      </c>
      <c r="D9947" s="7" t="n">
        <f aca="false">(Sens!C9929+Sens!D9929)/(Sens!C9930+Sens!D9930)</f>
        <v>0.6</v>
      </c>
      <c r="E9947" s="7" t="n">
        <f aca="false">(Sens!D9929+Sens!E9929)/(Sens!D9930+Sens!E9930)</f>
        <v>0.6</v>
      </c>
      <c r="F9947" s="7" t="n">
        <f aca="false">(Sens!E9929+Sens!F9929)/(Sens!E9930+Sens!F9930)</f>
        <v>0.6</v>
      </c>
      <c r="G9947" s="7" t="n">
        <f aca="false">(Sens!F9929+Sens!G9929)/(Sens!F9930+Sens!G9930)</f>
        <v>0.6</v>
      </c>
      <c r="H9947" s="7" t="n">
        <f aca="false">(Sens!G9929+Sens!H9929)/(Sens!G9930+Sens!H9930)</f>
        <v>0.6</v>
      </c>
      <c r="I9947" s="7" t="n">
        <f aca="false">(Sens!H9929+Sens!I9929)/(Sens!H9930+Sens!I9930)</f>
        <v>0.6</v>
      </c>
      <c r="J9947" s="7" t="n">
        <f aca="false">(Sens!I9929+Sens!J9929)/(Sens!I9930+Sens!J9930)</f>
        <v>0.6</v>
      </c>
      <c r="K9947" s="7" t="n">
        <f aca="false">(Sens!J9929+Sens!K9929)/(Sens!J9930+Sens!K9930)</f>
        <v>0.6</v>
      </c>
    </row>
    <row r="9948" customFormat="false" ht="17.15" hidden="false" customHeight="false" outlineLevel="0" collapsed="false">
      <c r="A9948" s="0" t="s">
        <v>840</v>
      </c>
      <c r="B9948" s="0" t="s">
        <v>98</v>
      </c>
      <c r="D9948" s="6" t="n">
        <f aca="false">Sens!D9942-Sens!D9947*(Sens!D9944+Sens!D9946)-Sens!D9945</f>
        <v>8.35701406163072</v>
      </c>
      <c r="E9948" s="6" t="n">
        <f aca="false">Sens!E9942-Sens!E9947*(Sens!E9944+Sens!E9946)-Sens!E9945</f>
        <v>18.7103224860238</v>
      </c>
      <c r="F9948" s="6" t="n">
        <f aca="false">Sens!F9942-Sens!F9947*(Sens!F9944+Sens!F9946)-Sens!F9945</f>
        <v>43.1278534047371</v>
      </c>
      <c r="G9948" s="6" t="n">
        <f aca="false">Sens!G9942-Sens!G9947*(Sens!G9944+Sens!G9946)-Sens!G9945</f>
        <v>78.4713023799053</v>
      </c>
      <c r="H9948" s="6" t="n">
        <f aca="false">Sens!H9942-Sens!H9947*(Sens!H9944+Sens!H9946)-Sens!H9945</f>
        <v>120.169624261219</v>
      </c>
      <c r="I9948" s="6" t="n">
        <f aca="false">Sens!I9942-Sens!I9947*(Sens!I9944+Sens!I9946)-Sens!I9945</f>
        <v>151.932833835566</v>
      </c>
      <c r="J9948" s="6" t="n">
        <f aca="false">Sens!J9942-Sens!J9947*(Sens!J9944+Sens!J9946)-Sens!J9945</f>
        <v>174.480355829143</v>
      </c>
      <c r="K9948" s="6" t="n">
        <f aca="false">Sens!K9942-Sens!K9947*(Sens!K9944+Sens!K9946)-Sens!K9945</f>
        <v>189.578355629358</v>
      </c>
    </row>
    <row r="9949" customFormat="false" ht="17.15" hidden="false" customHeight="false" outlineLevel="0" collapsed="false">
      <c r="A9949" s="1" t="s">
        <v>841</v>
      </c>
      <c r="B9949" s="0" t="s">
        <v>98</v>
      </c>
      <c r="D9949" s="6" t="n">
        <f aca="false">(1-Sens!D9947)*(Sens!D9944+Sens!D9946)</f>
        <v>1.42281025374069</v>
      </c>
      <c r="E9949" s="6" t="n">
        <f aca="false">(1-Sens!E9947)*(Sens!E9944+Sens!E9946)</f>
        <v>3.25095598674472</v>
      </c>
      <c r="F9949" s="6" t="n">
        <f aca="false">(1-Sens!F9947)*(Sens!F9944+Sens!F9946)</f>
        <v>6.53293055050977</v>
      </c>
      <c r="G9949" s="6" t="n">
        <f aca="false">(1-Sens!G9947)*(Sens!G9944+Sens!G9946)</f>
        <v>10.7846311741651</v>
      </c>
      <c r="H9949" s="6" t="n">
        <f aca="false">(1-Sens!H9947)*(Sens!H9944+Sens!H9946)</f>
        <v>15.26343050201</v>
      </c>
      <c r="I9949" s="6" t="n">
        <f aca="false">(1-Sens!I9947)*(Sens!I9944+Sens!I9946)</f>
        <v>19.1433528317977</v>
      </c>
      <c r="J9949" s="6" t="n">
        <f aca="false">(1-Sens!J9947)*(Sens!J9944+Sens!J9946)</f>
        <v>21.7903077438073</v>
      </c>
      <c r="K9949" s="6" t="n">
        <f aca="false">(1-Sens!K9947)*(Sens!K9944+Sens!K9946)</f>
        <v>23.3028530868211</v>
      </c>
    </row>
    <row r="9950" customFormat="false" ht="17.15" hidden="false" customHeight="false" outlineLevel="0" collapsed="false">
      <c r="A9950" s="1" t="s">
        <v>842</v>
      </c>
      <c r="B9950" s="0" t="s">
        <v>357</v>
      </c>
      <c r="C9950" s="8" t="n">
        <f aca="false">cxit_open</f>
        <v>27.5918995</v>
      </c>
      <c r="D9950" s="8" t="n">
        <f aca="false">cxit_open</f>
        <v>27.5918995</v>
      </c>
      <c r="E9950" s="8" t="n">
        <f aca="false">cxit_open</f>
        <v>27.5918995</v>
      </c>
      <c r="F9950" s="8" t="n">
        <f aca="false">(a_g3_27*tk_cxit_gb300+(1-a_g3_27)*tk_cxit_vr200)</f>
        <v>33.8419624</v>
      </c>
      <c r="G9950" s="8" t="n">
        <f aca="false">(a_g3_28*tk_cxit_gb300+(1-a_g3_28)*tk_cxit_vr200)</f>
        <v>35.9816136</v>
      </c>
      <c r="H9950" s="8" t="n">
        <f aca="false">(a_g3_29*tk_cxit_gb300+(1-a_g3_29)*tk_cxit_vr200)</f>
        <v>37.0514392</v>
      </c>
      <c r="I9950" s="8" t="n">
        <f aca="false">(a_g3_29*tk_cxit_gb300+(1-a_g3_29)*tk_cxit_vr200)</f>
        <v>37.0514392</v>
      </c>
      <c r="J9950" s="8" t="n">
        <f aca="false">(a_g3_29*tk_cxit_gb300+(1-a_g3_29)*tk_cxit_vr200)</f>
        <v>37.0514392</v>
      </c>
      <c r="K9950" s="8" t="n">
        <f aca="false">(a_g3_29*tk_cxit_gb300+(1-a_g3_29)*tk_cxit_vr200)</f>
        <v>37.0514392</v>
      </c>
      <c r="L9950" s="11" t="s">
        <v>843</v>
      </c>
    </row>
    <row r="9951" customFormat="false" ht="17.15" hidden="false" customHeight="false" outlineLevel="0" collapsed="false">
      <c r="A9951" s="0" t="s">
        <v>844</v>
      </c>
      <c r="B9951" s="0" t="s">
        <v>399</v>
      </c>
      <c r="F9951" s="29" t="n">
        <f aca="false">Sens!C9932*IF(Sens!F9925-Sens!C9925=life_it,1,0)+Sens!D9932*IF(Sens!F9925-Sens!D9925=life_it,1,0)+Sens!E9932*IF(Sens!F9925-Sens!E9925=life_it,1,0)</f>
        <v>0</v>
      </c>
      <c r="G9951" s="29" t="n">
        <f aca="false">Sens!C9932*IF(Sens!G9925-Sens!C9925=life_it,1,0)+Sens!D9932*IF(Sens!G9925-Sens!D9925=life_it,1,0)+Sens!E9932*IF(Sens!G9925-Sens!E9925=life_it,1,0)+Sens!F9932*IF(Sens!G9925-Sens!F9925=life_it,1,0)</f>
        <v>0</v>
      </c>
      <c r="H9951" s="29" t="n">
        <f aca="false">Sens!C9932*IF(Sens!H9925-Sens!C9925=life_it,1,0)+Sens!D9932*IF(Sens!H9925-Sens!D9925=life_it,1,0)+Sens!E9932*IF(Sens!H9925-Sens!E9925=life_it,1,0)+Sens!F9932*IF(Sens!H9925-Sens!F9925=life_it,1,0)+Sens!G9932*IF(Sens!H9925-Sens!G9925=life_it,1,0)</f>
        <v>0</v>
      </c>
      <c r="I9951" s="29" t="n">
        <f aca="false">Sens!C9932*IF(Sens!I9925-Sens!C9925=life_it,1,0)+Sens!D9932*IF(Sens!I9925-Sens!D9925=life_it,1,0)+Sens!E9932*IF(Sens!I9925-Sens!E9925=life_it,1,0)+Sens!F9932*IF(Sens!I9925-Sens!F9925=life_it,1,0)+Sens!G9932*IF(Sens!I9925-Sens!G9925=life_it,1,0)+Sens!H9932*IF(Sens!I9925-Sens!H9925=life_it,1,0)</f>
        <v>816.666666666667</v>
      </c>
      <c r="J9951" s="29" t="n">
        <f aca="false">Sens!C9932*IF(Sens!J9925-Sens!C9925=life_it,1,0)+Sens!D9932*IF(Sens!J9925-Sens!D9925=life_it,1,0)+Sens!E9932*IF(Sens!J9925-Sens!E9925=life_it,1,0)+Sens!F9932*IF(Sens!J9925-Sens!F9925=life_it,1,0)+Sens!G9932*IF(Sens!J9925-Sens!G9925=life_it,1,0)+Sens!H9932*IF(Sens!J9925-Sens!H9925=life_it,1,0)+Sens!I9932*IF(Sens!J9925-Sens!I9925=life_it,1,0)</f>
        <v>1233.33333333333</v>
      </c>
      <c r="K9951" s="29" t="n">
        <f aca="false">Sens!C9932*IF(Sens!K9925-Sens!C9925=life_it,1,0)+Sens!D9932*IF(Sens!K9925-Sens!D9925=life_it,1,0)+Sens!E9932*IF(Sens!K9925-Sens!E9925=life_it,1,0)+Sens!F9932*IF(Sens!K9925-Sens!F9925=life_it,1,0)+Sens!G9932*IF(Sens!K9925-Sens!G9925=life_it,1,0)+Sens!H9932*IF(Sens!K9925-Sens!H9925=life_it,1,0)+Sens!I9932*IF(Sens!K9925-Sens!I9925=life_it,1,0)+Sens!J9932*IF(Sens!K9925-Sens!J9925=life_it,1,0)</f>
        <v>2450</v>
      </c>
      <c r="L9951" s="1" t="s">
        <v>845</v>
      </c>
    </row>
    <row r="9952" customFormat="false" ht="17.15" hidden="false" customHeight="false" outlineLevel="0" collapsed="false">
      <c r="A9952" s="0" t="s">
        <v>846</v>
      </c>
      <c r="B9952" s="0" t="s">
        <v>98</v>
      </c>
      <c r="C9952" s="6" t="n">
        <f aca="false">Sens!C9932*Sens!C9950/1000</f>
        <v>22.5333845916667</v>
      </c>
      <c r="D9952" s="6" t="n">
        <f aca="false">Sens!D9932*Sens!D9950/1000</f>
        <v>34.0300093833333</v>
      </c>
      <c r="E9952" s="6" t="n">
        <f aca="false">Sens!E9932*Sens!E9950/1000</f>
        <v>67.600153775</v>
      </c>
      <c r="F9952" s="6" t="n">
        <f aca="false">(Sens!F9932+Sens!F9951)*Sens!F9950/1000</f>
        <v>130.923271871467</v>
      </c>
      <c r="G9952" s="6" t="n">
        <f aca="false">(Sens!G9932+Sens!G9951)*Sens!G9950/1000</f>
        <v>151.5545564832</v>
      </c>
      <c r="H9952" s="6" t="n">
        <f aca="false">(Sens!H9932+Sens!H9951)*Sens!H9950/1000</f>
        <v>156.0606619104</v>
      </c>
      <c r="I9952" s="6" t="n">
        <f aca="false">(Sens!I9932+Sens!I9951)*Sens!I9950/1000</f>
        <v>140.987889434245</v>
      </c>
      <c r="J9952" s="6" t="n">
        <f aca="false">(Sens!J9932+Sens!J9951)*Sens!J9950/1000</f>
        <v>113.309125559842</v>
      </c>
      <c r="K9952" s="6" t="n">
        <f aca="false">(Sens!K9932+Sens!K9951)*Sens!K9950/1000</f>
        <v>116.192591420959</v>
      </c>
    </row>
    <row r="9953" customFormat="false" ht="17.15" hidden="false" customHeight="false" outlineLevel="0" collapsed="false">
      <c r="A9953" s="0" t="s">
        <v>847</v>
      </c>
      <c r="B9953" s="0" t="s">
        <v>98</v>
      </c>
      <c r="C9953" s="6" t="n">
        <f aca="false">Sens!C9932*self_build*tk_cxfac/1000</f>
        <v>6.2083</v>
      </c>
      <c r="D9953" s="6" t="n">
        <f aca="false">Sens!D9932*self_build*tk_cxfac/1000</f>
        <v>9.3758</v>
      </c>
      <c r="E9953" s="6" t="n">
        <f aca="false">Sens!E9932*self_build*tk_cxfac/1000</f>
        <v>18.6249</v>
      </c>
      <c r="F9953" s="6" t="n">
        <f aca="false">Sens!F9932*self_build*tk_cxfac/1000</f>
        <v>29.409604</v>
      </c>
      <c r="G9953" s="6" t="n">
        <f aca="false">Sens!G9932*self_build*tk_cxfac/1000</f>
        <v>32.019624</v>
      </c>
      <c r="H9953" s="6" t="n">
        <f aca="false">Sens!H9932*self_build*tk_cxfac/1000</f>
        <v>32.019624</v>
      </c>
      <c r="I9953" s="6" t="n">
        <f aca="false">Sens!I9932*self_build*tk_cxfac/1000</f>
        <v>22.71877972</v>
      </c>
      <c r="J9953" s="6" t="n">
        <f aca="false">Sens!J9932*self_build*tk_cxfac/1000</f>
        <v>13.8723110344</v>
      </c>
      <c r="K9953" s="6" t="n">
        <f aca="false">Sens!K9932*self_build*tk_cxfac/1000</f>
        <v>5.214823882632</v>
      </c>
    </row>
    <row r="9954" customFormat="false" ht="17.15" hidden="false" customHeight="false" outlineLevel="0" collapsed="false">
      <c r="A9954" s="0" t="s">
        <v>848</v>
      </c>
      <c r="B9954" s="0" t="s">
        <v>98</v>
      </c>
      <c r="F9954" s="6" t="n">
        <f aca="false">MAX(0,capex_floor27-Sens!F9952-Sens!F9953-Sens!F10048)</f>
        <v>8.14213489897089</v>
      </c>
    </row>
    <row r="9955" customFormat="false" ht="17.15" hidden="false" customHeight="false" outlineLevel="0" collapsed="false">
      <c r="A9955" s="0" t="s">
        <v>849</v>
      </c>
      <c r="B9955" s="0" t="s">
        <v>98</v>
      </c>
      <c r="C9955" s="6" t="n">
        <f aca="false">Sens!C9952</f>
        <v>22.5333845916667</v>
      </c>
      <c r="D9955" s="6" t="n">
        <f aca="false">Sens!D9952</f>
        <v>34.0300093833333</v>
      </c>
      <c r="E9955" s="6" t="n">
        <f aca="false">Sens!E9952</f>
        <v>67.600153775</v>
      </c>
      <c r="F9955" s="6" t="n">
        <f aca="false">Sens!F9952</f>
        <v>130.923271871467</v>
      </c>
      <c r="G9955" s="6" t="n">
        <f aca="false">Sens!G9952</f>
        <v>151.5545564832</v>
      </c>
      <c r="H9955" s="6" t="n">
        <f aca="false">Sens!H9952</f>
        <v>156.0606619104</v>
      </c>
      <c r="I9955" s="6" t="n">
        <f aca="false">Sens!I9952</f>
        <v>140.987889434245</v>
      </c>
      <c r="J9955" s="6" t="n">
        <f aca="false">Sens!J9952</f>
        <v>113.309125559842</v>
      </c>
      <c r="K9955" s="6" t="n">
        <f aca="false">Sens!K9952</f>
        <v>116.192591420959</v>
      </c>
    </row>
    <row r="9956" customFormat="false" ht="17.15" hidden="false" customHeight="false" outlineLevel="0" collapsed="false">
      <c r="A9956" s="0" t="s">
        <v>850</v>
      </c>
      <c r="B9956" s="0" t="s">
        <v>98</v>
      </c>
      <c r="C9956" s="6" t="n">
        <f aca="false">Sens!C9955+Sens!C9953</f>
        <v>28.7416845916667</v>
      </c>
      <c r="D9956" s="6" t="n">
        <f aca="false">Sens!D9955+Sens!D9953</f>
        <v>43.4058093833333</v>
      </c>
      <c r="E9956" s="6" t="n">
        <f aca="false">Sens!E9955+Sens!E9953</f>
        <v>86.225053775</v>
      </c>
      <c r="F9956" s="6" t="n">
        <f aca="false">Sens!F9955+Sens!F9953</f>
        <v>160.332875871467</v>
      </c>
      <c r="G9956" s="6" t="n">
        <f aca="false">Sens!G9955+Sens!G9953</f>
        <v>183.5741804832</v>
      </c>
      <c r="H9956" s="6" t="n">
        <f aca="false">Sens!H9955+Sens!H9953</f>
        <v>188.0802859104</v>
      </c>
      <c r="I9956" s="6" t="n">
        <f aca="false">Sens!I9955+Sens!I9953</f>
        <v>163.706669154245</v>
      </c>
      <c r="J9956" s="6" t="n">
        <f aca="false">Sens!J9955+Sens!J9953</f>
        <v>127.181436594242</v>
      </c>
      <c r="K9956" s="6" t="n">
        <f aca="false">Sens!K9955+Sens!K9953</f>
        <v>121.407415303591</v>
      </c>
      <c r="L9956" s="11" t="s">
        <v>851</v>
      </c>
    </row>
    <row r="9957" customFormat="false" ht="17.15" hidden="false" customHeight="false" outlineLevel="0" collapsed="false">
      <c r="A9957" s="0" t="s">
        <v>852</v>
      </c>
      <c r="B9957" s="0" t="s">
        <v>98</v>
      </c>
      <c r="E9957" s="6" t="n">
        <f aca="false">(Sens!C9955*IF(2&lt;life_it,1,IF(2=life_it,0.5,0))+Sens!D9955*IF(1&lt;life_it,1,IF(1=life_it,0.5,0))+Sens!E9955*0.5)/life_it</f>
        <v>15.0605784770833</v>
      </c>
      <c r="F9957" s="6" t="n">
        <f aca="false">(Sens!C9955*IF(3&lt;life_it,1,IF(3=life_it,0.5,0))+Sens!D9955*IF(2&lt;life_it,1,IF(2=life_it,0.5,0))+Sens!E9955*IF(1&lt;life_it,1,IF(1=life_it,0.5,0))+Sens!F9955*0.5)/life_it</f>
        <v>31.6041972809556</v>
      </c>
      <c r="G9957" s="6" t="n">
        <f aca="false">(Sens!C9955*IF(4&lt;life_it,1,IF(4=life_it,0.5,0))+Sens!D9955*IF(3&lt;life_it,1,IF(3=life_it,0.5,0))+Sens!E9955*IF(2&lt;life_it,1,IF(2=life_it,0.5,0))+Sens!F9955*IF(1&lt;life_it,1,IF(1=life_it,0.5,0))+Sens!G9955*0.5)/life_it</f>
        <v>55.1440163105111</v>
      </c>
      <c r="H9957" s="6" t="n">
        <f aca="false">(Sens!C9955*IF(5&lt;life_it,1,IF(5=life_it,0.5,0))+Sens!D9955*IF(4&lt;life_it,1,IF(4=life_it,0.5,0))+Sens!E9955*IF(3&lt;life_it,1,IF(3=life_it,0.5,0))+Sens!F9955*IF(2&lt;life_it,1,IF(2=life_it,0.5,0))+Sens!G9955*IF(1&lt;life_it,1,IF(1=life_it,0.5,0))+Sens!H9955*0.5)/life_it</f>
        <v>80.7786178433111</v>
      </c>
      <c r="I9957" s="6" t="n">
        <f aca="false">(Sens!C9955*IF(6&lt;life_it,1,IF(6=life_it,0.5,0))+Sens!D9955*IF(5&lt;life_it,1,IF(5=life_it,0.5,0))+Sens!E9955*IF(4&lt;life_it,1,IF(4=life_it,0.5,0))+Sens!F9955*IF(3&lt;life_it,1,IF(3=life_it,0.5,0))+Sens!G9955*IF(2&lt;life_it,1,IF(2=life_it,0.5,0))+Sens!H9955*IF(1&lt;life_it,1,IF(1=life_it,0.5,0))+Sens!I9955*0.5)/life_it</f>
        <v>103.654881739393</v>
      </c>
      <c r="J9957" s="6" t="n">
        <f aca="false">(Sens!C9955*IF(7&lt;life_it,1,IF(7=life_it,0.5,0))+Sens!D9955*IF(6&lt;life_it,1,IF(6=life_it,0.5,0))+Sens!E9955*IF(5&lt;life_it,1,IF(5=life_it,0.5,0))+Sens!F9955*IF(4&lt;life_it,1,IF(4=life_it,0.5,0))+Sens!G9955*IF(3&lt;life_it,1,IF(3=life_it,0.5,0))+Sens!H9955*IF(2&lt;life_it,1,IF(2=life_it,0.5,0))+Sens!I9955*IF(1&lt;life_it,1,IF(1=life_it,0.5,0))+Sens!J9955*0.5)/life_it</f>
        <v>120.132683490983</v>
      </c>
      <c r="K9957" s="6" t="n">
        <f aca="false">(Sens!C9955*IF(8&lt;life_it,1,IF(8=life_it,0.5,0))+Sens!D9955*IF(7&lt;life_it,1,IF(7=life_it,0.5,0))+Sens!E9955*IF(6&lt;life_it,1,IF(6=life_it,0.5,0))+Sens!F9955*IF(5&lt;life_it,1,IF(5=life_it,0.5,0))+Sens!G9955*IF(4&lt;life_it,1,IF(4=life_it,0.5,0))+Sens!H9955*IF(3&lt;life_it,1,IF(3=life_it,0.5,0))+Sens!I9955*IF(2&lt;life_it,1,IF(2=life_it,0.5,0))+Sens!J9955*IF(1&lt;life_it,1,IF(1=life_it,0.5,0))+Sens!K9955*0.5)/life_it</f>
        <v>130.788646309522</v>
      </c>
    </row>
    <row r="9958" customFormat="false" ht="17.15" hidden="false" customHeight="false" outlineLevel="0" collapsed="false">
      <c r="A9958" s="0" t="s">
        <v>853</v>
      </c>
      <c r="B9958" s="0" t="s">
        <v>98</v>
      </c>
      <c r="E9958" s="6" t="n">
        <f aca="false">(Sens!C9953*IF(2&lt;life_fac,1,IF(2=life_fac,0.5,0))+Sens!D9953*IF(1&lt;life_fac,1,IF(1=life_fac,0.5,0))+Sens!E9953*0.5)/life_fac</f>
        <v>1.2448275</v>
      </c>
      <c r="F9958" s="6" t="n">
        <f aca="false">(Sens!C9953*IF(3&lt;life_fac,1,IF(3=life_fac,0.5,0))+Sens!D9953*IF(2&lt;life_fac,1,IF(2=life_fac,0.5,0))+Sens!E9953*IF(1&lt;life_fac,1,IF(1=life_fac,0.5,0))+Sens!F9953*0.5)/life_fac</f>
        <v>2.4456901</v>
      </c>
      <c r="G9958" s="6" t="n">
        <f aca="false">(Sens!C9953*IF(4&lt;life_fac,1,IF(4=life_fac,0.5,0))+Sens!D9953*IF(3&lt;life_fac,1,IF(3=life_fac,0.5,0))+Sens!E9953*IF(2&lt;life_fac,1,IF(2=life_fac,0.5,0))+Sens!F9953*IF(1&lt;life_fac,1,IF(1=life_fac,0.5,0))+Sens!G9953*0.5)/life_fac</f>
        <v>3.9814208</v>
      </c>
      <c r="H9958" s="6" t="n">
        <f aca="false">(Sens!C9953*IF(5&lt;life_fac,1,IF(5=life_fac,0.5,0))+Sens!D9953*IF(4&lt;life_fac,1,IF(4=life_fac,0.5,0))+Sens!E9953*IF(3&lt;life_fac,1,IF(3=life_fac,0.5,0))+Sens!F9953*IF(2&lt;life_fac,1,IF(2=life_fac,0.5,0))+Sens!G9953*IF(1&lt;life_fac,1,IF(1=life_fac,0.5,0))+Sens!H9953*0.5)/life_fac</f>
        <v>5.582402</v>
      </c>
      <c r="I9958" s="6" t="n">
        <f aca="false">(Sens!C9953*IF(6&lt;life_fac,1,IF(6=life_fac,0.5,0))+Sens!D9953*IF(5&lt;life_fac,1,IF(5=life_fac,0.5,0))+Sens!E9953*IF(4&lt;life_fac,1,IF(4=life_fac,0.5,0))+Sens!F9953*IF(3&lt;life_fac,1,IF(3=life_fac,0.5,0))+Sens!G9953*IF(2&lt;life_fac,1,IF(2=life_fac,0.5,0))+Sens!H9953*IF(1&lt;life_fac,1,IF(1=life_fac,0.5,0))+Sens!I9953*0.5)/life_fac</f>
        <v>6.950862093</v>
      </c>
      <c r="J9958" s="6" t="n">
        <f aca="false">(Sens!C9953*IF(7&lt;life_fac,1,IF(7=life_fac,0.5,0))+Sens!D9953*IF(6&lt;life_fac,1,IF(6=life_fac,0.5,0))+Sens!E9953*IF(5&lt;life_fac,1,IF(5=life_fac,0.5,0))+Sens!F9953*IF(4&lt;life_fac,1,IF(4=life_fac,0.5,0))+Sens!G9953*IF(3&lt;life_fac,1,IF(3=life_fac,0.5,0))+Sens!H9953*IF(2&lt;life_fac,1,IF(2=life_fac,0.5,0))+Sens!I9953*IF(1&lt;life_fac,1,IF(1=life_fac,0.5,0))+Sens!J9953*0.5)/life_fac</f>
        <v>7.86563936186</v>
      </c>
      <c r="K9958" s="6" t="n">
        <f aca="false">(Sens!C9953*IF(8&lt;life_fac,1,IF(8=life_fac,0.5,0))+Sens!D9953*IF(7&lt;life_fac,1,IF(7=life_fac,0.5,0))+Sens!E9953*IF(6&lt;life_fac,1,IF(6=life_fac,0.5,0))+Sens!F9953*IF(5&lt;life_fac,1,IF(5=life_fac,0.5,0))+Sens!G9953*IF(4&lt;life_fac,1,IF(4=life_fac,0.5,0))+Sens!H9953*IF(3&lt;life_fac,1,IF(3=life_fac,0.5,0))+Sens!I9953*IF(2&lt;life_fac,1,IF(2=life_fac,0.5,0))+Sens!J9953*IF(1&lt;life_fac,1,IF(1=life_fac,0.5,0))+Sens!K9953*0.5)/life_fac</f>
        <v>8.3428177347858</v>
      </c>
    </row>
    <row r="9959" customFormat="false" ht="17.15" hidden="false" customHeight="false" outlineLevel="0" collapsed="false">
      <c r="A9959" s="0" t="s">
        <v>854</v>
      </c>
      <c r="B9959" s="0" t="s">
        <v>98</v>
      </c>
      <c r="E9959" s="6" t="n">
        <f aca="false">Sens!E9957+Sens!E9958</f>
        <v>16.3054059770833</v>
      </c>
      <c r="F9959" s="6" t="n">
        <f aca="false">Sens!F9957+Sens!F9958</f>
        <v>34.0498873809555</v>
      </c>
      <c r="G9959" s="6" t="n">
        <f aca="false">Sens!G9957+Sens!G9958</f>
        <v>59.1254371105111</v>
      </c>
      <c r="H9959" s="6" t="n">
        <f aca="false">Sens!H9957+Sens!H9958</f>
        <v>86.3610198433111</v>
      </c>
      <c r="I9959" s="6" t="n">
        <f aca="false">Sens!I9957+Sens!I9958</f>
        <v>110.605743832393</v>
      </c>
      <c r="J9959" s="6" t="n">
        <f aca="false">Sens!J9957+Sens!J9958</f>
        <v>127.998322852843</v>
      </c>
      <c r="K9959" s="6" t="n">
        <f aca="false">Sens!K9957+Sens!K9958</f>
        <v>139.131464044308</v>
      </c>
    </row>
    <row r="9960" customFormat="false" ht="17.15" hidden="false" customHeight="false" outlineLevel="0" collapsed="false">
      <c r="A9960" s="0" t="s">
        <v>855</v>
      </c>
      <c r="B9960" s="0" t="s">
        <v>98</v>
      </c>
      <c r="E9960" s="6" t="n">
        <f aca="false">Sens!E9948-Sens!E9947*Sens!E9959</f>
        <v>8.92707889977379</v>
      </c>
      <c r="F9960" s="6" t="n">
        <f aca="false">Sens!F9948-Sens!F9947*Sens!F9959</f>
        <v>22.6979209761638</v>
      </c>
      <c r="G9960" s="6" t="n">
        <f aca="false">Sens!G9948-Sens!G9947*Sens!G9959</f>
        <v>42.9960401135986</v>
      </c>
      <c r="H9960" s="6" t="n">
        <f aca="false">Sens!H9948-Sens!H9947*Sens!H9959</f>
        <v>68.3530123552322</v>
      </c>
      <c r="I9960" s="6" t="n">
        <f aca="false">Sens!I9948-Sens!I9947*Sens!I9959</f>
        <v>85.5693875361303</v>
      </c>
      <c r="J9960" s="6" t="n">
        <f aca="false">Sens!J9948-Sens!J9947*Sens!J9959</f>
        <v>97.6813621174372</v>
      </c>
      <c r="K9960" s="6" t="n">
        <f aca="false">Sens!K9948-Sens!K9947*Sens!K9959</f>
        <v>106.099477202773</v>
      </c>
    </row>
    <row r="9961" customFormat="false" ht="17.15" hidden="false" customHeight="false" outlineLevel="0" collapsed="false">
      <c r="A9961" s="3" t="s">
        <v>1518</v>
      </c>
    </row>
    <row r="9962" customFormat="false" ht="15" hidden="false" customHeight="false" outlineLevel="0" collapsed="false">
      <c r="A9962" s="4" t="s">
        <v>43</v>
      </c>
      <c r="B9962" s="4" t="s">
        <v>65</v>
      </c>
      <c r="C9962" s="20" t="s">
        <v>799</v>
      </c>
      <c r="D9962" s="20" t="s">
        <v>800</v>
      </c>
      <c r="E9962" s="20" t="s">
        <v>801</v>
      </c>
      <c r="F9962" s="20" t="s">
        <v>802</v>
      </c>
      <c r="G9962" s="20" t="s">
        <v>803</v>
      </c>
      <c r="H9962" s="20" t="s">
        <v>804</v>
      </c>
      <c r="I9962" s="20" t="s">
        <v>805</v>
      </c>
      <c r="J9962" s="20" t="s">
        <v>806</v>
      </c>
      <c r="K9962" s="20" t="s">
        <v>807</v>
      </c>
      <c r="L9962" s="4" t="s">
        <v>47</v>
      </c>
    </row>
    <row r="9963" customFormat="false" ht="17.15" hidden="false" customHeight="false" outlineLevel="0" collapsed="false">
      <c r="A9963" s="0" t="s">
        <v>874</v>
      </c>
      <c r="B9963" s="0" t="s">
        <v>98</v>
      </c>
      <c r="D9963" s="6" t="n">
        <f aca="false">Sens!D9942</f>
        <v>12.9359794422418</v>
      </c>
      <c r="E9963" s="6" t="n">
        <f aca="false">Sens!E9942</f>
        <v>27.8095064661409</v>
      </c>
      <c r="F9963" s="6" t="n">
        <f aca="false">Sens!F9942</f>
        <v>58.7324192305018</v>
      </c>
      <c r="G9963" s="6" t="n">
        <f aca="false">Sens!G9942</f>
        <v>101.369089141153</v>
      </c>
      <c r="H9963" s="6" t="n">
        <f aca="false">Sens!H9942</f>
        <v>149.785610014234</v>
      </c>
      <c r="I9963" s="6" t="n">
        <f aca="false">Sens!I9942</f>
        <v>187.368703083263</v>
      </c>
      <c r="J9963" s="6" t="n">
        <f aca="false">Sens!J9942</f>
        <v>213.886657444854</v>
      </c>
      <c r="K9963" s="6" t="n">
        <f aca="false">Sens!K9942</f>
        <v>231.253475259589</v>
      </c>
    </row>
    <row r="9964" customFormat="false" ht="17.15" hidden="false" customHeight="false" outlineLevel="0" collapsed="false">
      <c r="A9964" s="0" t="s">
        <v>875</v>
      </c>
      <c r="B9964" s="0" t="s">
        <v>98</v>
      </c>
      <c r="D9964" s="6" t="n">
        <f aca="false">Q!L6-Sens!D9963</f>
        <v>59.6740205577583</v>
      </c>
      <c r="E9964" s="6" t="n">
        <f aca="false">Q!M6-Sens!E9963</f>
        <v>74.1284935338591</v>
      </c>
      <c r="F9964" s="6" t="n">
        <f aca="false">Sens!E9964*(1+Sens!F9965)</f>
        <v>90.0799497373663</v>
      </c>
      <c r="G9964" s="6" t="n">
        <f aca="false">Sens!F9964*(1+Sens!G9965)</f>
        <v>107.02842520331</v>
      </c>
      <c r="H9964" s="6" t="n">
        <f aca="false">Sens!G9964*(1+Sens!H9965)</f>
        <v>124.271982585636</v>
      </c>
      <c r="I9964" s="6" t="n">
        <f aca="false">Sens!H9964*(1+Sens!I9965)</f>
        <v>140.933702381855</v>
      </c>
      <c r="J9964" s="6" t="n">
        <f aca="false">Sens!I9964*(1+Sens!J9965)</f>
        <v>156.018867314332</v>
      </c>
      <c r="K9964" s="6" t="n">
        <f aca="false">Sens!J9964*(1+Sens!K9965)</f>
        <v>168.500376699478</v>
      </c>
    </row>
    <row r="9965" customFormat="false" ht="15" hidden="false" customHeight="false" outlineLevel="0" collapsed="false">
      <c r="A9965" s="1" t="s">
        <v>876</v>
      </c>
      <c r="B9965" s="0" t="s">
        <v>129</v>
      </c>
      <c r="E9965" s="7" t="n">
        <f aca="false">Sens!E9964/Sens!D9964-1</f>
        <v>0.242223883039864</v>
      </c>
      <c r="F9965" s="7" t="n">
        <f aca="false">Sens!$E$9965+(glt_azo-Sens!$E$9965)*MIN(1,(Sens!F9925-base_fy)/n_conv)</f>
        <v>0.215186569199887</v>
      </c>
      <c r="G9965" s="7" t="n">
        <f aca="false">Sens!$E$9965+(glt_azo-Sens!$E$9965)*MIN(1,(Sens!G9925-base_fy)/n_conv)</f>
        <v>0.18814925535991</v>
      </c>
      <c r="H9965" s="7" t="n">
        <f aca="false">Sens!$E$9965+(glt_azo-Sens!$E$9965)*MIN(1,(Sens!H9925-base_fy)/n_conv)</f>
        <v>0.161111941519932</v>
      </c>
      <c r="I9965" s="7" t="n">
        <f aca="false">Sens!$E$9965+(glt_azo-Sens!$E$9965)*MIN(1,(Sens!I9925-base_fy)/n_conv)</f>
        <v>0.134074627679955</v>
      </c>
      <c r="J9965" s="7" t="n">
        <f aca="false">Sens!$E$9965+(glt_azo-Sens!$E$9965)*MIN(1,(Sens!J9925-base_fy)/n_conv)</f>
        <v>0.107037313839977</v>
      </c>
      <c r="K9965" s="7" t="n">
        <f aca="false">Sens!$E$9965+(glt_azo-Sens!$E$9965)*MIN(1,(Sens!K9925-base_fy)/n_conv)</f>
        <v>0.08</v>
      </c>
    </row>
    <row r="9966" customFormat="false" ht="15" hidden="false" customHeight="false" outlineLevel="0" collapsed="false">
      <c r="A9966" s="0" t="s">
        <v>877</v>
      </c>
      <c r="B9966" s="0" t="s">
        <v>98</v>
      </c>
      <c r="D9966" s="6" t="n">
        <f aca="false">Sens!D9963+Sens!D9964</f>
        <v>72.61</v>
      </c>
      <c r="E9966" s="6" t="n">
        <f aca="false">Sens!E9963+Sens!E9964</f>
        <v>101.938</v>
      </c>
      <c r="F9966" s="6" t="n">
        <f aca="false">Sens!F9963+Sens!F9964</f>
        <v>148.812368967868</v>
      </c>
      <c r="G9966" s="6" t="n">
        <f aca="false">Sens!G9963+Sens!G9964</f>
        <v>208.397514344463</v>
      </c>
      <c r="H9966" s="6" t="n">
        <f aca="false">Sens!H9963+Sens!H9964</f>
        <v>274.05759259987</v>
      </c>
      <c r="I9966" s="6" t="n">
        <f aca="false">Sens!I9963+Sens!I9964</f>
        <v>328.302405465117</v>
      </c>
      <c r="J9966" s="6" t="n">
        <f aca="false">Sens!J9963+Sens!J9964</f>
        <v>369.905524759186</v>
      </c>
      <c r="K9966" s="6" t="n">
        <f aca="false">Sens!K9963+Sens!K9964</f>
        <v>399.753851959067</v>
      </c>
    </row>
    <row r="9967" customFormat="false" ht="17.15" hidden="false" customHeight="false" outlineLevel="0" collapsed="false">
      <c r="A9967" s="0" t="s">
        <v>878</v>
      </c>
      <c r="B9967" s="1" t="s">
        <v>528</v>
      </c>
      <c r="C9967" s="29" t="n">
        <f aca="false">cop_s24</f>
        <v>1</v>
      </c>
      <c r="D9967" s="29" t="n">
        <f aca="false">cop_s25</f>
        <v>5</v>
      </c>
      <c r="E9967" s="29" t="n">
        <f aca="false">cop_s26</f>
        <v>30</v>
      </c>
      <c r="F9967" s="29" t="n">
        <f aca="false">Sens!E9967+cop_add_A</f>
        <v>60</v>
      </c>
      <c r="G9967" s="29" t="n">
        <f aca="false">Sens!F9967+cop_add_A</f>
        <v>90</v>
      </c>
      <c r="H9967" s="29" t="n">
        <f aca="false">Sens!G9967+cop_add_A</f>
        <v>120</v>
      </c>
      <c r="I9967" s="29" t="n">
        <f aca="false">Sens!H9967+cop_add_A*cop_tail</f>
        <v>135</v>
      </c>
      <c r="J9967" s="29" t="n">
        <f aca="false">Sens!I9967+cop_add_A*cop_tail</f>
        <v>150</v>
      </c>
      <c r="K9967" s="29" t="n">
        <f aca="false">Sens!J9967+cop_add_A*cop_tail</f>
        <v>165</v>
      </c>
      <c r="L9967" s="11" t="s">
        <v>879</v>
      </c>
    </row>
    <row r="9968" customFormat="false" ht="17.15" hidden="false" customHeight="false" outlineLevel="0" collapsed="false">
      <c r="A9968" s="0" t="s">
        <v>880</v>
      </c>
      <c r="B9968" s="0" t="s">
        <v>98</v>
      </c>
      <c r="D9968" s="6" t="n">
        <f aca="false">(Sens!C9967+Sens!D9967)/2*cop_px*12/1000</f>
        <v>0.9</v>
      </c>
      <c r="E9968" s="6" t="n">
        <f aca="false">(Sens!D9967+Sens!E9967)/2*cop_px*12/1000</f>
        <v>5.25</v>
      </c>
      <c r="F9968" s="6" t="n">
        <f aca="false">(Sens!E9967+Sens!F9967)/2*cop_px*12/1000</f>
        <v>13.5</v>
      </c>
      <c r="G9968" s="6" t="n">
        <f aca="false">(Sens!F9967+Sens!G9967)/2*cop_px*12/1000</f>
        <v>22.5</v>
      </c>
      <c r="H9968" s="6" t="n">
        <f aca="false">(Sens!G9967+Sens!H9967)/2*cop_px*12/1000</f>
        <v>31.5</v>
      </c>
      <c r="I9968" s="6" t="n">
        <f aca="false">(Sens!H9967+Sens!I9967)/2*cop_px*12/1000</f>
        <v>38.25</v>
      </c>
      <c r="J9968" s="6" t="n">
        <f aca="false">(Sens!I9967+Sens!J9967)/2*cop_px*12/1000</f>
        <v>42.75</v>
      </c>
      <c r="K9968" s="6" t="n">
        <f aca="false">(Sens!J9967+Sens!K9967)/2*cop_px*12/1000</f>
        <v>47.25</v>
      </c>
      <c r="L9968" s="1" t="s">
        <v>881</v>
      </c>
    </row>
    <row r="9969" customFormat="false" ht="17.15" hidden="false" customHeight="false" outlineLevel="0" collapsed="false">
      <c r="A9969" s="0" t="s">
        <v>882</v>
      </c>
      <c r="B9969" s="0" t="s">
        <v>98</v>
      </c>
      <c r="D9969" s="6" t="n">
        <f aca="false">Q!L7-Sens!D9968</f>
        <v>83.705</v>
      </c>
      <c r="E9969" s="6" t="n">
        <f aca="false">Q!M7-Sens!E9968</f>
        <v>95.049</v>
      </c>
      <c r="F9969" s="6" t="n">
        <f aca="false">Sens!E9969*(1+Sens!F9970)</f>
        <v>106.89238776686</v>
      </c>
      <c r="G9969" s="6" t="n">
        <f aca="false">Sens!F9969*(1+Sens!G9970)</f>
        <v>119.044168448684</v>
      </c>
      <c r="H9969" s="6" t="n">
        <f aca="false">Sens!G9969*(1+Sens!H9970)</f>
        <v>131.277359388781</v>
      </c>
      <c r="I9969" s="6" t="n">
        <f aca="false">Sens!H9969*(1+Sens!I9970)</f>
        <v>143.334028071957</v>
      </c>
      <c r="J9969" s="6" t="n">
        <f aca="false">Sens!I9969*(1+Sens!J9970)</f>
        <v>154.932702785465</v>
      </c>
      <c r="K9969" s="6" t="n">
        <f aca="false">Sens!J9969*(1+Sens!K9970)</f>
        <v>165.777991980448</v>
      </c>
    </row>
    <row r="9970" customFormat="false" ht="15" hidden="false" customHeight="false" outlineLevel="0" collapsed="false">
      <c r="A9970" s="1" t="s">
        <v>876</v>
      </c>
      <c r="B9970" s="0" t="s">
        <v>129</v>
      </c>
      <c r="E9970" s="7" t="n">
        <f aca="false">Sens!E9969/Sens!D9969-1</f>
        <v>0.135523564900544</v>
      </c>
      <c r="F9970" s="7" t="n">
        <f aca="false">Sens!$E$9970+(glt_m365b-Sens!$E$9970)*MIN(1,(Sens!F9925-base_fy)/n_conv)</f>
        <v>0.124602970750453</v>
      </c>
      <c r="G9970" s="7" t="n">
        <f aca="false">Sens!$E$9970+(glt_m365b-Sens!$E$9970)*MIN(1,(Sens!G9925-base_fy)/n_conv)</f>
        <v>0.113682376600363</v>
      </c>
      <c r="H9970" s="7" t="n">
        <f aca="false">Sens!$E$9970+(glt_m365b-Sens!$E$9970)*MIN(1,(Sens!H9925-base_fy)/n_conv)</f>
        <v>0.102761782450272</v>
      </c>
      <c r="I9970" s="7" t="n">
        <f aca="false">Sens!$E$9970+(glt_m365b-Sens!$E$9970)*MIN(1,(Sens!I9925-base_fy)/n_conv)</f>
        <v>0.0918411883001813</v>
      </c>
      <c r="J9970" s="7" t="n">
        <f aca="false">Sens!$E$9970+(glt_m365b-Sens!$E$9970)*MIN(1,(Sens!J9925-base_fy)/n_conv)</f>
        <v>0.0809205941500906</v>
      </c>
      <c r="K9970" s="7" t="n">
        <f aca="false">Sens!$E$9970+(glt_m365b-Sens!$E$9970)*MIN(1,(Sens!K9925-base_fy)/n_conv)</f>
        <v>0.07</v>
      </c>
    </row>
    <row r="9971" customFormat="false" ht="15" hidden="false" customHeight="false" outlineLevel="0" collapsed="false">
      <c r="A9971" s="0" t="s">
        <v>883</v>
      </c>
      <c r="B9971" s="0" t="s">
        <v>98</v>
      </c>
      <c r="D9971" s="6" t="n">
        <f aca="false">Sens!D9969+Sens!D9968</f>
        <v>84.605</v>
      </c>
      <c r="E9971" s="6" t="n">
        <f aca="false">Sens!E9969+Sens!E9968</f>
        <v>100.299</v>
      </c>
      <c r="F9971" s="6" t="n">
        <f aca="false">Sens!F9969+Sens!F9968</f>
        <v>120.39238776686</v>
      </c>
      <c r="G9971" s="6" t="n">
        <f aca="false">Sens!G9969+Sens!G9968</f>
        <v>141.544168448684</v>
      </c>
      <c r="H9971" s="6" t="n">
        <f aca="false">Sens!H9969+Sens!H9968</f>
        <v>162.777359388781</v>
      </c>
      <c r="I9971" s="6" t="n">
        <f aca="false">Sens!I9969+Sens!I9968</f>
        <v>181.584028071957</v>
      </c>
      <c r="J9971" s="6" t="n">
        <f aca="false">Sens!J9969+Sens!J9968</f>
        <v>197.682702785465</v>
      </c>
      <c r="K9971" s="6" t="n">
        <f aca="false">Sens!K9969+Sens!K9968</f>
        <v>213.027991980448</v>
      </c>
    </row>
    <row r="9972" customFormat="false" ht="15" hidden="false" customHeight="false" outlineLevel="0" collapsed="false">
      <c r="A9972" s="0" t="s">
        <v>884</v>
      </c>
      <c r="B9972" s="0" t="s">
        <v>98</v>
      </c>
      <c r="D9972" s="6" t="n">
        <f aca="false">Q!L8</f>
        <v>35.391</v>
      </c>
      <c r="E9972" s="6" t="n">
        <f aca="false">Q!M8</f>
        <v>37.285</v>
      </c>
      <c r="F9972" s="6" t="n">
        <f aca="false">Sens!E9972*(1+Sens!F9973)</f>
        <v>39.0720834331704</v>
      </c>
      <c r="G9972" s="6" t="n">
        <f aca="false">Sens!F9972*(1+Sens!G9973)</f>
        <v>40.726562953769</v>
      </c>
      <c r="H9972" s="6" t="n">
        <f aca="false">Sens!G9972*(1+Sens!H9973)</f>
        <v>42.2235987259198</v>
      </c>
      <c r="I9972" s="6" t="n">
        <f aca="false">Sens!H9972*(1+Sens!I9973)</f>
        <v>43.5397988077414</v>
      </c>
      <c r="J9972" s="6" t="n">
        <f aca="false">Sens!I9972*(1+Sens!J9973)</f>
        <v>44.653811225693</v>
      </c>
      <c r="K9972" s="6" t="n">
        <f aca="false">Sens!J9972*(1+Sens!K9973)</f>
        <v>45.5468874502068</v>
      </c>
    </row>
    <row r="9973" customFormat="false" ht="15" hidden="false" customHeight="false" outlineLevel="0" collapsed="false">
      <c r="A9973" s="1" t="s">
        <v>876</v>
      </c>
      <c r="B9973" s="0" t="s">
        <v>129</v>
      </c>
      <c r="E9973" s="7" t="n">
        <f aca="false">Sens!E9972/Sens!D9972-1</f>
        <v>0.0535164307309768</v>
      </c>
      <c r="F9973" s="7" t="n">
        <f aca="false">Sens!$E$9973+(glt_lic-Sens!$E$9973)*MIN(1,(Sens!F9925-base_fy)/n_conv)</f>
        <v>0.0479303589424807</v>
      </c>
      <c r="G9973" s="7" t="n">
        <f aca="false">Sens!$E$9973+(glt_lic-Sens!$E$9973)*MIN(1,(Sens!G9925-base_fy)/n_conv)</f>
        <v>0.0423442871539845</v>
      </c>
      <c r="H9973" s="7" t="n">
        <f aca="false">Sens!$E$9973+(glt_lic-Sens!$E$9973)*MIN(1,(Sens!H9925-base_fy)/n_conv)</f>
        <v>0.0367582153654884</v>
      </c>
      <c r="I9973" s="7" t="n">
        <f aca="false">Sens!$E$9973+(glt_lic-Sens!$E$9973)*MIN(1,(Sens!I9925-base_fy)/n_conv)</f>
        <v>0.0311721435769923</v>
      </c>
      <c r="J9973" s="7" t="n">
        <f aca="false">Sens!$E$9973+(glt_lic-Sens!$E$9973)*MIN(1,(Sens!J9925-base_fy)/n_conv)</f>
        <v>0.0255860717884961</v>
      </c>
      <c r="K9973" s="7" t="n">
        <f aca="false">Sens!$E$9973+(glt_lic-Sens!$E$9973)*MIN(1,(Sens!K9925-base_fy)/n_conv)</f>
        <v>0.02</v>
      </c>
    </row>
    <row r="9974" customFormat="false" ht="15" hidden="false" customHeight="false" outlineLevel="0" collapsed="false">
      <c r="A9974" s="0" t="s">
        <v>885</v>
      </c>
      <c r="B9974" s="0" t="s">
        <v>98</v>
      </c>
      <c r="D9974" s="6" t="n">
        <f aca="false">Q!L9</f>
        <v>18.417</v>
      </c>
      <c r="E9974" s="6" t="n">
        <f aca="false">Q!M9</f>
        <v>20.345</v>
      </c>
      <c r="F9974" s="6" t="n">
        <f aca="false">Sens!E9974*(1+Sens!F9975)</f>
        <v>22.3572203267814</v>
      </c>
      <c r="G9974" s="6" t="n">
        <f aca="false">Sens!F9974*(1+Sens!G9975)</f>
        <v>24.4392124437232</v>
      </c>
      <c r="H9974" s="6" t="n">
        <f aca="false">Sens!G9974*(1+Sens!H9975)</f>
        <v>26.5738052080665</v>
      </c>
      <c r="I9974" s="6" t="n">
        <f aca="false">Sens!H9974*(1+Sens!I9975)</f>
        <v>28.7412169166967</v>
      </c>
      <c r="J9974" s="6" t="n">
        <f aca="false">Sens!I9974*(1+Sens!J9975)</f>
        <v>30.9192545395413</v>
      </c>
      <c r="K9974" s="6" t="n">
        <f aca="false">Sens!J9974*(1+Sens!K9975)</f>
        <v>33.0836023573092</v>
      </c>
    </row>
    <row r="9975" customFormat="false" ht="15" hidden="false" customHeight="false" outlineLevel="0" collapsed="false">
      <c r="A9975" s="1" t="s">
        <v>876</v>
      </c>
      <c r="B9975" s="0" t="s">
        <v>129</v>
      </c>
      <c r="E9975" s="7" t="n">
        <f aca="false">Sens!E9974/Sens!D9974-1</f>
        <v>0.104685888038225</v>
      </c>
      <c r="F9975" s="7" t="n">
        <f aca="false">Sens!$E$9975+(glt_ind-Sens!$E$9975)*MIN(1,(Sens!F9925-base_fy)/n_conv)</f>
        <v>0.0989049066985211</v>
      </c>
      <c r="G9975" s="7" t="n">
        <f aca="false">Sens!$E$9975+(glt_ind-Sens!$E$9975)*MIN(1,(Sens!G9925-base_fy)/n_conv)</f>
        <v>0.0931239253588169</v>
      </c>
      <c r="H9975" s="7" t="n">
        <f aca="false">Sens!$E$9975+(glt_ind-Sens!$E$9975)*MIN(1,(Sens!H9925-base_fy)/n_conv)</f>
        <v>0.0873429440191127</v>
      </c>
      <c r="I9975" s="7" t="n">
        <f aca="false">Sens!$E$9975+(glt_ind-Sens!$E$9975)*MIN(1,(Sens!I9925-base_fy)/n_conv)</f>
        <v>0.0815619626794085</v>
      </c>
      <c r="J9975" s="7" t="n">
        <f aca="false">Sens!$E$9975+(glt_ind-Sens!$E$9975)*MIN(1,(Sens!J9925-base_fy)/n_conv)</f>
        <v>0.0757809813397042</v>
      </c>
      <c r="K9975" s="7" t="n">
        <f aca="false">Sens!$E$9975+(glt_ind-Sens!$E$9975)*MIN(1,(Sens!K9925-base_fy)/n_conv)</f>
        <v>0.07</v>
      </c>
    </row>
    <row r="9976" customFormat="false" ht="15" hidden="false" customHeight="false" outlineLevel="0" collapsed="false">
      <c r="A9976" s="0" t="s">
        <v>886</v>
      </c>
      <c r="B9976" s="0" t="s">
        <v>98</v>
      </c>
      <c r="D9976" s="6" t="n">
        <f aca="false">Q!L10</f>
        <v>7.76</v>
      </c>
      <c r="E9976" s="6" t="n">
        <f aca="false">Q!M10</f>
        <v>8.26</v>
      </c>
      <c r="F9976" s="6" t="n">
        <f aca="false">Sens!E9976*(1+Sens!F9977)</f>
        <v>8.79988041237113</v>
      </c>
      <c r="G9976" s="6" t="n">
        <f aca="false">Sens!F9976*(1+Sens!G9977)</f>
        <v>9.38321269125306</v>
      </c>
      <c r="H9976" s="6" t="n">
        <f aca="false">Sens!G9976*(1+Sens!H9977)</f>
        <v>10.0139193587476</v>
      </c>
      <c r="I9976" s="6" t="n">
        <f aca="false">Sens!H9976*(1+Sens!I9977)</f>
        <v>10.6963111830911</v>
      </c>
      <c r="J9976" s="6" t="n">
        <f aca="false">Sens!I9976*(1+Sens!J9977)</f>
        <v>11.4351285534696</v>
      </c>
      <c r="K9976" s="6" t="n">
        <f aca="false">Sens!J9976*(1+Sens!K9977)</f>
        <v>12.2355875522124</v>
      </c>
    </row>
    <row r="9977" customFormat="false" ht="15" hidden="false" customHeight="false" outlineLevel="0" collapsed="false">
      <c r="A9977" s="1" t="s">
        <v>876</v>
      </c>
      <c r="B9977" s="0" t="s">
        <v>129</v>
      </c>
      <c r="E9977" s="7" t="n">
        <f aca="false">Sens!E9976/Sens!D9976-1</f>
        <v>0.0644329896907216</v>
      </c>
      <c r="F9977" s="7" t="n">
        <f aca="false">Sens!$E$9977+(glt_fro-Sens!$E$9977)*MIN(1,(Sens!F9925-base_fy)/n_conv)</f>
        <v>0.065360824742268</v>
      </c>
      <c r="G9977" s="7" t="n">
        <f aca="false">Sens!$E$9977+(glt_fro-Sens!$E$9977)*MIN(1,(Sens!G9925-base_fy)/n_conv)</f>
        <v>0.0662886597938144</v>
      </c>
      <c r="H9977" s="7" t="n">
        <f aca="false">Sens!$E$9977+(glt_fro-Sens!$E$9977)*MIN(1,(Sens!H9925-base_fy)/n_conv)</f>
        <v>0.0672164948453608</v>
      </c>
      <c r="I9977" s="7" t="n">
        <f aca="false">Sens!$E$9977+(glt_fro-Sens!$E$9977)*MIN(1,(Sens!I9925-base_fy)/n_conv)</f>
        <v>0.0681443298969072</v>
      </c>
      <c r="J9977" s="7" t="n">
        <f aca="false">Sens!$E$9977+(glt_fro-Sens!$E$9977)*MIN(1,(Sens!J9925-base_fy)/n_conv)</f>
        <v>0.0690721649484536</v>
      </c>
      <c r="K9977" s="7" t="n">
        <f aca="false">Sens!$E$9977+(glt_fro-Sens!$E$9977)*MIN(1,(Sens!K9925-base_fy)/n_conv)</f>
        <v>0.07</v>
      </c>
    </row>
    <row r="9978" customFormat="false" ht="15" hidden="false" customHeight="false" outlineLevel="0" collapsed="false">
      <c r="A9978" s="0" t="s">
        <v>715</v>
      </c>
      <c r="B9978" s="0" t="s">
        <v>98</v>
      </c>
      <c r="D9978" s="6" t="n">
        <f aca="false">Sens!D9966+Sens!D9971+Sens!D9972+Sens!D9974+Sens!D9976</f>
        <v>218.783</v>
      </c>
      <c r="E9978" s="6" t="n">
        <f aca="false">Sens!E9966+Sens!E9971+Sens!E9972+Sens!E9974+Sens!E9976</f>
        <v>268.127</v>
      </c>
      <c r="F9978" s="6" t="n">
        <f aca="false">Sens!F9966+Sens!F9971+Sens!F9972+Sens!F9974+Sens!F9976</f>
        <v>339.433940907051</v>
      </c>
      <c r="G9978" s="6" t="n">
        <f aca="false">Sens!G9966+Sens!G9971+Sens!G9972+Sens!G9974+Sens!G9976</f>
        <v>424.490670881892</v>
      </c>
      <c r="H9978" s="6" t="n">
        <f aca="false">Sens!H9966+Sens!H9971+Sens!H9972+Sens!H9974+Sens!H9976</f>
        <v>515.646275281385</v>
      </c>
      <c r="I9978" s="6" t="n">
        <f aca="false">Sens!I9966+Sens!I9971+Sens!I9972+Sens!I9974+Sens!I9976</f>
        <v>592.863760444604</v>
      </c>
      <c r="J9978" s="6" t="n">
        <f aca="false">Sens!J9966+Sens!J9971+Sens!J9972+Sens!J9974+Sens!J9976</f>
        <v>654.596421863355</v>
      </c>
      <c r="K9978" s="6" t="n">
        <f aca="false">Sens!K9966+Sens!K9971+Sens!K9972+Sens!K9974+Sens!K9976</f>
        <v>703.647921299244</v>
      </c>
    </row>
    <row r="9979" customFormat="false" ht="15" hidden="false" customHeight="false" outlineLevel="0" collapsed="false">
      <c r="A9979" s="0" t="s">
        <v>887</v>
      </c>
      <c r="B9979" s="0" t="s">
        <v>98</v>
      </c>
      <c r="D9979" s="6" t="n">
        <f aca="false">Q!L13</f>
        <v>22.171</v>
      </c>
      <c r="E9979" s="6" t="n">
        <f aca="false">Q!M13</f>
        <v>24.835</v>
      </c>
      <c r="F9979" s="6" t="n">
        <f aca="false">Sens!E9979*(1+Sens!F9980)</f>
        <v>27.6114901218559</v>
      </c>
      <c r="G9979" s="6" t="n">
        <f aca="false">Sens!F9979*(1+Sens!G9980)</f>
        <v>30.4675667338515</v>
      </c>
      <c r="H9979" s="6" t="n">
        <f aca="false">Sens!G9979*(1+Sens!H9980)</f>
        <v>33.3643766955789</v>
      </c>
      <c r="I9979" s="6" t="n">
        <f aca="false">Sens!H9979*(1+Sens!I9980)</f>
        <v>36.2577016533691</v>
      </c>
      <c r="J9979" s="6" t="n">
        <f aca="false">Sens!I9979*(1+Sens!J9980)</f>
        <v>39.0988367952171</v>
      </c>
      <c r="K9979" s="6" t="n">
        <f aca="false">Sens!J9979*(1+Sens!K9980)</f>
        <v>41.8357553708823</v>
      </c>
    </row>
    <row r="9980" customFormat="false" ht="15" hidden="false" customHeight="false" outlineLevel="0" collapsed="false">
      <c r="A9980" s="1" t="s">
        <v>876</v>
      </c>
      <c r="B9980" s="0" t="s">
        <v>129</v>
      </c>
      <c r="E9980" s="7" t="n">
        <f aca="false">Sens!E9979/Sens!D9979-1</f>
        <v>0.120156961796942</v>
      </c>
      <c r="F9980" s="7" t="n">
        <f aca="false">Sens!$E$9980+(glt_srch-Sens!$E$9980)*MIN(1,(Sens!F9925-base_fy)/n_conv)</f>
        <v>0.111797468164118</v>
      </c>
      <c r="G9980" s="7" t="n">
        <f aca="false">Sens!$E$9980+(glt_srch-Sens!$E$9980)*MIN(1,(Sens!G9925-base_fy)/n_conv)</f>
        <v>0.103437974531295</v>
      </c>
      <c r="H9980" s="7" t="n">
        <f aca="false">Sens!$E$9980+(glt_srch-Sens!$E$9980)*MIN(1,(Sens!H9925-base_fy)/n_conv)</f>
        <v>0.095078480898471</v>
      </c>
      <c r="I9980" s="7" t="n">
        <f aca="false">Sens!$E$9980+(glt_srch-Sens!$E$9980)*MIN(1,(Sens!I9925-base_fy)/n_conv)</f>
        <v>0.0867189872656474</v>
      </c>
      <c r="J9980" s="7" t="n">
        <f aca="false">Sens!$E$9980+(glt_srch-Sens!$E$9980)*MIN(1,(Sens!J9925-base_fy)/n_conv)</f>
        <v>0.0783594936328237</v>
      </c>
      <c r="K9980" s="7" t="n">
        <f aca="false">Sens!$E$9980+(glt_srch-Sens!$E$9980)*MIN(1,(Sens!K9925-base_fy)/n_conv)</f>
        <v>0.07</v>
      </c>
    </row>
    <row r="9981" customFormat="false" ht="15" hidden="false" customHeight="false" outlineLevel="0" collapsed="false">
      <c r="A9981" s="0" t="s">
        <v>888</v>
      </c>
      <c r="B9981" s="0" t="s">
        <v>98</v>
      </c>
      <c r="D9981" s="6" t="n">
        <f aca="false">Q!L14</f>
        <v>23.455</v>
      </c>
      <c r="E9981" s="6" t="n">
        <f aca="false">Q!M14</f>
        <v>21.79</v>
      </c>
      <c r="F9981" s="6" t="n">
        <f aca="false">Sens!E9981*(1+Sens!F9982)</f>
        <v>20.4283611241384</v>
      </c>
      <c r="G9981" s="6" t="n">
        <f aca="false">Sens!F9981*(1+Sens!G9982)</f>
        <v>19.3254067185857</v>
      </c>
      <c r="H9981" s="6" t="n">
        <f aca="false">Sens!G9981*(1+Sens!H9982)</f>
        <v>18.446226363051</v>
      </c>
      <c r="I9981" s="6" t="n">
        <f aca="false">Sens!H9981*(1+Sens!I9982)</f>
        <v>17.7637959435485</v>
      </c>
      <c r="J9981" s="6" t="n">
        <f aca="false">Sens!I9981*(1+Sens!J9982)</f>
        <v>17.2575662581111</v>
      </c>
      <c r="K9981" s="6" t="n">
        <f aca="false">Sens!J9981*(1+Sens!K9982)</f>
        <v>16.9124149329489</v>
      </c>
    </row>
    <row r="9982" customFormat="false" ht="15" hidden="false" customHeight="false" outlineLevel="0" collapsed="false">
      <c r="A9982" s="1" t="s">
        <v>876</v>
      </c>
      <c r="B9982" s="0" t="s">
        <v>129</v>
      </c>
      <c r="E9982" s="7" t="n">
        <f aca="false">Sens!E9981/Sens!D9981-1</f>
        <v>-0.0709869963760392</v>
      </c>
      <c r="F9982" s="7" t="n">
        <f aca="false">Sens!$E$9982+(glt_xbox_lo-Sens!$E$9982)*MIN(1,(Sens!F9925-base_fy)/n_conv)</f>
        <v>-0.0624891636466994</v>
      </c>
      <c r="G9982" s="7" t="n">
        <f aca="false">Sens!$E$9982+(glt_xbox_lo-Sens!$E$9982)*MIN(1,(Sens!G9925-base_fy)/n_conv)</f>
        <v>-0.0539913309173595</v>
      </c>
      <c r="H9982" s="7" t="n">
        <f aca="false">Sens!$E$9982+(glt_xbox_lo-Sens!$E$9982)*MIN(1,(Sens!H9925-base_fy)/n_conv)</f>
        <v>-0.0454934981880196</v>
      </c>
      <c r="I9982" s="7" t="n">
        <f aca="false">Sens!$E$9982+(glt_xbox_lo-Sens!$E$9982)*MIN(1,(Sens!I9925-base_fy)/n_conv)</f>
        <v>-0.0369956654586797</v>
      </c>
      <c r="J9982" s="7" t="n">
        <f aca="false">Sens!$E$9982+(glt_xbox_lo-Sens!$E$9982)*MIN(1,(Sens!J9925-base_fy)/n_conv)</f>
        <v>-0.0284978327293399</v>
      </c>
      <c r="K9982" s="7" t="n">
        <f aca="false">Sens!$E$9982+(glt_xbox_lo-Sens!$E$9982)*MIN(1,(Sens!K9925-base_fy)/n_conv)</f>
        <v>-0.02</v>
      </c>
    </row>
    <row r="9983" customFormat="false" ht="15" hidden="false" customHeight="false" outlineLevel="0" collapsed="false">
      <c r="A9983" s="0" t="s">
        <v>889</v>
      </c>
      <c r="B9983" s="0" t="s">
        <v>98</v>
      </c>
      <c r="D9983" s="6" t="n">
        <f aca="false">Q!L15</f>
        <v>17.315</v>
      </c>
      <c r="E9983" s="6" t="n">
        <f aca="false">Q!M15</f>
        <v>17.087</v>
      </c>
      <c r="F9983" s="6" t="n">
        <f aca="false">Sens!E9983*(1+Sens!F9984)</f>
        <v>16.9564585436519</v>
      </c>
      <c r="G9983" s="6" t="n">
        <f aca="false">Sens!F9983*(1+Sens!G9984)</f>
        <v>16.9206490624268</v>
      </c>
      <c r="H9983" s="6" t="n">
        <f aca="false">Sens!G9983*(1+Sens!H9984)</f>
        <v>16.9784519149849</v>
      </c>
      <c r="I9983" s="6" t="n">
        <f aca="false">Sens!H9983*(1+Sens!I9984)</f>
        <v>17.1303084701817</v>
      </c>
      <c r="J9983" s="6" t="n">
        <f aca="false">Sens!I9983*(1+Sens!J9984)</f>
        <v>17.3782189407267</v>
      </c>
      <c r="K9983" s="6" t="n">
        <f aca="false">Sens!J9983*(1+Sens!K9984)</f>
        <v>17.7257833195413</v>
      </c>
    </row>
    <row r="9984" customFormat="false" ht="15" hidden="false" customHeight="false" outlineLevel="0" collapsed="false">
      <c r="A9984" s="1" t="s">
        <v>876</v>
      </c>
      <c r="B9984" s="0" t="s">
        <v>129</v>
      </c>
      <c r="E9984" s="7" t="n">
        <f aca="false">Sens!E9983/Sens!D9983-1</f>
        <v>-0.0131677736066995</v>
      </c>
      <c r="F9984" s="7" t="n">
        <f aca="false">Sens!$E$9984+(glt_win-Sens!$E$9984)*MIN(1,(Sens!F9925-base_fy)/n_conv)</f>
        <v>-0.00763981133891627</v>
      </c>
      <c r="G9984" s="7" t="n">
        <f aca="false">Sens!$E$9984+(glt_win-Sens!$E$9984)*MIN(1,(Sens!G9925-base_fy)/n_conv)</f>
        <v>-0.00211184907113301</v>
      </c>
      <c r="H9984" s="7" t="n">
        <f aca="false">Sens!$E$9984+(glt_win-Sens!$E$9984)*MIN(1,(Sens!H9925-base_fy)/n_conv)</f>
        <v>0.00341611319665024</v>
      </c>
      <c r="I9984" s="7" t="n">
        <f aca="false">Sens!$E$9984+(glt_win-Sens!$E$9984)*MIN(1,(Sens!I9925-base_fy)/n_conv)</f>
        <v>0.00894407546443349</v>
      </c>
      <c r="J9984" s="7" t="n">
        <f aca="false">Sens!$E$9984+(glt_win-Sens!$E$9984)*MIN(1,(Sens!J9925-base_fy)/n_conv)</f>
        <v>0.0144720377322168</v>
      </c>
      <c r="K9984" s="7" t="n">
        <f aca="false">Sens!$E$9984+(glt_win-Sens!$E$9984)*MIN(1,(Sens!K9925-base_fy)/n_conv)</f>
        <v>0.02</v>
      </c>
    </row>
    <row r="9985" customFormat="false" ht="15" hidden="false" customHeight="false" outlineLevel="0" collapsed="false">
      <c r="A9985" s="0" t="s">
        <v>729</v>
      </c>
      <c r="B9985" s="0" t="s">
        <v>98</v>
      </c>
      <c r="D9985" s="6" t="n">
        <f aca="false">Sens!D9979+Sens!D9981+Sens!D9983</f>
        <v>62.941</v>
      </c>
      <c r="E9985" s="6" t="n">
        <f aca="false">Sens!E9979+Sens!E9981+Sens!E9983</f>
        <v>63.712</v>
      </c>
      <c r="F9985" s="6" t="n">
        <f aca="false">Sens!F9979+Sens!F9981+Sens!F9983</f>
        <v>64.9963097896462</v>
      </c>
      <c r="G9985" s="6" t="n">
        <f aca="false">Sens!G9979+Sens!G9981+Sens!G9983</f>
        <v>66.7136225148641</v>
      </c>
      <c r="H9985" s="6" t="n">
        <f aca="false">Sens!H9979+Sens!H9981+Sens!H9983</f>
        <v>68.7890549736148</v>
      </c>
      <c r="I9985" s="6" t="n">
        <f aca="false">Sens!I9979+Sens!I9981+Sens!I9983</f>
        <v>71.1518060670993</v>
      </c>
      <c r="J9985" s="6" t="n">
        <f aca="false">Sens!J9979+Sens!J9981+Sens!J9983</f>
        <v>73.7346219940549</v>
      </c>
      <c r="K9985" s="6" t="n">
        <f aca="false">Sens!K9979+Sens!K9981+Sens!K9983</f>
        <v>76.4739536233724</v>
      </c>
    </row>
    <row r="9986" customFormat="false" ht="15" hidden="false" customHeight="false" outlineLevel="0" collapsed="false">
      <c r="A9986" s="1" t="s">
        <v>890</v>
      </c>
      <c r="B9986" s="0" t="s">
        <v>98</v>
      </c>
      <c r="D9986" s="6" t="n">
        <f aca="false">Sens!D9978+Sens!D9985</f>
        <v>281.724</v>
      </c>
      <c r="E9986" s="6" t="n">
        <f aca="false">Sens!E9978+Sens!E9985</f>
        <v>331.839</v>
      </c>
      <c r="F9986" s="6" t="n">
        <f aca="false">Sens!F9978+Sens!F9985</f>
        <v>404.430250696697</v>
      </c>
      <c r="G9986" s="6" t="n">
        <f aca="false">Sens!G9978+Sens!G9985</f>
        <v>491.204293396756</v>
      </c>
      <c r="H9986" s="6" t="n">
        <f aca="false">Sens!H9978+Sens!H9985</f>
        <v>584.435330255</v>
      </c>
      <c r="I9986" s="6" t="n">
        <f aca="false">Sens!I9978+Sens!I9985</f>
        <v>664.015566511703</v>
      </c>
      <c r="J9986" s="6" t="n">
        <f aca="false">Sens!J9978+Sens!J9985</f>
        <v>728.33104385741</v>
      </c>
      <c r="K9986" s="6" t="n">
        <f aca="false">Sens!K9978+Sens!K9985</f>
        <v>780.121874922616</v>
      </c>
    </row>
    <row r="9987" customFormat="false" ht="15" hidden="false" customHeight="false" outlineLevel="0" collapsed="false">
      <c r="A9987" s="23" t="s">
        <v>891</v>
      </c>
      <c r="B9987" s="30" t="s">
        <v>98</v>
      </c>
      <c r="C9987" s="30"/>
      <c r="D9987" s="24" t="n">
        <f aca="false">(Sens!D9966+Sens!D9971+Sens!D9972+Sens!D9974+Sens!D9976-Sens!D9978)+(Sens!D9979+Sens!D9981+Sens!D9983-Sens!D9985)+(Sens!D9978-Q!L5)+(Sens!D9985-Q!L12)+(Sens!D9966-Q!L6)+(Sens!D9971-Q!L7)</f>
        <v>0</v>
      </c>
      <c r="E9987" s="24" t="n">
        <f aca="false">(Sens!E9966+Sens!E9971+Sens!E9972+Sens!E9974+Sens!E9976-Sens!E9978)+(Sens!E9979+Sens!E9981+Sens!E9983-Sens!E9985)+(Sens!E9978-Q!M5)+(Sens!E9985-Q!M12)+(Sens!E9966-Q!M6)+(Sens!E9971-Q!M7)</f>
        <v>0</v>
      </c>
      <c r="F9987" s="24" t="n">
        <f aca="false">(Sens!F9966+Sens!F9971+Sens!F9972+Sens!F9974+Sens!F9976-Sens!F9978)+(Sens!F9979+Sens!F9981+Sens!F9983-Sens!F9985)</f>
        <v>0</v>
      </c>
      <c r="G9987" s="24" t="n">
        <f aca="false">(Sens!G9966+Sens!G9971+Sens!G9972+Sens!G9974+Sens!G9976-Sens!G9978)+(Sens!G9979+Sens!G9981+Sens!G9983-Sens!G9985)</f>
        <v>0</v>
      </c>
      <c r="H9987" s="24" t="n">
        <f aca="false">(Sens!H9966+Sens!H9971+Sens!H9972+Sens!H9974+Sens!H9976-Sens!H9978)+(Sens!H9979+Sens!H9981+Sens!H9983-Sens!H9985)</f>
        <v>0</v>
      </c>
      <c r="I9987" s="24" t="n">
        <f aca="false">(Sens!I9966+Sens!I9971+Sens!I9972+Sens!I9974+Sens!I9976-Sens!I9978)+(Sens!I9979+Sens!I9981+Sens!I9983-Sens!I9985)</f>
        <v>0</v>
      </c>
      <c r="J9987" s="24" t="n">
        <f aca="false">(Sens!J9966+Sens!J9971+Sens!J9972+Sens!J9974+Sens!J9976-Sens!J9978)+(Sens!J9979+Sens!J9981+Sens!J9983-Sens!J9985)</f>
        <v>0</v>
      </c>
      <c r="K9987" s="24" t="n">
        <f aca="false">(Sens!K9966+Sens!K9971+Sens!K9972+Sens!K9974+Sens!K9976-Sens!K9978)+(Sens!K9979+Sens!K9981+Sens!K9983-Sens!K9985)</f>
        <v>0</v>
      </c>
    </row>
    <row r="9988" customFormat="false" ht="17.15" hidden="false" customHeight="false" outlineLevel="0" collapsed="false">
      <c r="A9988" s="3" t="s">
        <v>1519</v>
      </c>
    </row>
    <row r="9989" customFormat="false" ht="15" hidden="false" customHeight="false" outlineLevel="0" collapsed="false">
      <c r="A9989" s="4" t="s">
        <v>43</v>
      </c>
      <c r="B9989" s="4" t="s">
        <v>65</v>
      </c>
      <c r="C9989" s="20" t="s">
        <v>799</v>
      </c>
      <c r="D9989" s="20" t="s">
        <v>800</v>
      </c>
      <c r="E9989" s="20" t="s">
        <v>801</v>
      </c>
      <c r="F9989" s="20" t="s">
        <v>802</v>
      </c>
      <c r="G9989" s="20" t="s">
        <v>803</v>
      </c>
      <c r="H9989" s="20" t="s">
        <v>804</v>
      </c>
      <c r="I9989" s="20" t="s">
        <v>805</v>
      </c>
      <c r="J9989" s="20" t="s">
        <v>806</v>
      </c>
      <c r="K9989" s="20" t="s">
        <v>807</v>
      </c>
      <c r="L9989" s="4" t="s">
        <v>47</v>
      </c>
    </row>
    <row r="9990" customFormat="false" ht="15" hidden="false" customHeight="false" outlineLevel="0" collapsed="false">
      <c r="A9990" s="0" t="s">
        <v>877</v>
      </c>
      <c r="B9990" s="0" t="s">
        <v>98</v>
      </c>
      <c r="D9990" s="6" t="n">
        <f aca="false">Sens!D9966</f>
        <v>72.61</v>
      </c>
      <c r="E9990" s="6" t="n">
        <f aca="false">Sens!E9966</f>
        <v>101.938</v>
      </c>
      <c r="F9990" s="6" t="n">
        <f aca="false">Sens!F9966</f>
        <v>148.812368967868</v>
      </c>
      <c r="G9990" s="6" t="n">
        <f aca="false">Sens!G9966</f>
        <v>208.397514344463</v>
      </c>
      <c r="H9990" s="6" t="n">
        <f aca="false">Sens!H9966</f>
        <v>274.05759259987</v>
      </c>
      <c r="I9990" s="6" t="n">
        <f aca="false">Sens!I9966</f>
        <v>328.302405465117</v>
      </c>
      <c r="J9990" s="6" t="n">
        <f aca="false">Sens!J9966</f>
        <v>369.905524759186</v>
      </c>
      <c r="K9990" s="6" t="n">
        <f aca="false">Sens!K9966</f>
        <v>399.753851959067</v>
      </c>
    </row>
    <row r="9991" customFormat="false" ht="17.15" hidden="false" customHeight="false" outlineLevel="0" collapsed="false">
      <c r="A9991" s="0" t="s">
        <v>874</v>
      </c>
      <c r="B9991" s="0" t="s">
        <v>98</v>
      </c>
      <c r="D9991" s="6" t="n">
        <f aca="false">Sens!D9963</f>
        <v>12.9359794422418</v>
      </c>
      <c r="E9991" s="6" t="n">
        <f aca="false">Sens!E9963</f>
        <v>27.8095064661409</v>
      </c>
      <c r="F9991" s="6" t="n">
        <f aca="false">Sens!F9963</f>
        <v>58.7324192305018</v>
      </c>
      <c r="G9991" s="6" t="n">
        <f aca="false">Sens!G9963</f>
        <v>101.369089141153</v>
      </c>
      <c r="H9991" s="6" t="n">
        <f aca="false">Sens!H9963</f>
        <v>149.785610014234</v>
      </c>
      <c r="I9991" s="6" t="n">
        <f aca="false">Sens!I9963</f>
        <v>187.368703083263</v>
      </c>
      <c r="J9991" s="6" t="n">
        <f aca="false">Sens!J9963</f>
        <v>213.886657444854</v>
      </c>
      <c r="K9991" s="6" t="n">
        <f aca="false">Sens!K9963</f>
        <v>231.253475259589</v>
      </c>
    </row>
    <row r="9992" customFormat="false" ht="17.15" hidden="false" customHeight="false" outlineLevel="0" collapsed="false">
      <c r="A9992" s="0" t="s">
        <v>902</v>
      </c>
      <c r="B9992" s="0" t="s">
        <v>98</v>
      </c>
      <c r="D9992" s="6" t="n">
        <f aca="false">Sens!D9964</f>
        <v>59.6740205577583</v>
      </c>
      <c r="E9992" s="6" t="n">
        <f aca="false">Sens!E9964</f>
        <v>74.1284935338591</v>
      </c>
      <c r="F9992" s="6" t="n">
        <f aca="false">Sens!F9964</f>
        <v>90.0799497373663</v>
      </c>
      <c r="G9992" s="6" t="n">
        <f aca="false">Sens!G9964</f>
        <v>107.02842520331</v>
      </c>
      <c r="H9992" s="6" t="n">
        <f aca="false">Sens!H9964</f>
        <v>124.271982585636</v>
      </c>
      <c r="I9992" s="6" t="n">
        <f aca="false">Sens!I9964</f>
        <v>140.933702381855</v>
      </c>
      <c r="J9992" s="6" t="n">
        <f aca="false">Sens!J9964</f>
        <v>156.018867314332</v>
      </c>
      <c r="K9992" s="6" t="n">
        <f aca="false">Sens!K9964</f>
        <v>168.500376699478</v>
      </c>
    </row>
    <row r="9993" customFormat="false" ht="15" hidden="false" customHeight="false" outlineLevel="0" collapsed="false">
      <c r="A9993" s="0" t="s">
        <v>883</v>
      </c>
      <c r="B9993" s="0" t="s">
        <v>98</v>
      </c>
      <c r="D9993" s="6" t="n">
        <f aca="false">Sens!D9971</f>
        <v>84.605</v>
      </c>
      <c r="E9993" s="6" t="n">
        <f aca="false">Sens!E9971</f>
        <v>100.299</v>
      </c>
      <c r="F9993" s="6" t="n">
        <f aca="false">Sens!F9971</f>
        <v>120.39238776686</v>
      </c>
      <c r="G9993" s="6" t="n">
        <f aca="false">Sens!G9971</f>
        <v>141.544168448684</v>
      </c>
      <c r="H9993" s="6" t="n">
        <f aca="false">Sens!H9971</f>
        <v>162.777359388781</v>
      </c>
      <c r="I9993" s="6" t="n">
        <f aca="false">Sens!I9971</f>
        <v>181.584028071957</v>
      </c>
      <c r="J9993" s="6" t="n">
        <f aca="false">Sens!J9971</f>
        <v>197.682702785465</v>
      </c>
      <c r="K9993" s="6" t="n">
        <f aca="false">Sens!K9971</f>
        <v>213.027991980448</v>
      </c>
    </row>
    <row r="9994" customFormat="false" ht="17.15" hidden="false" customHeight="false" outlineLevel="0" collapsed="false">
      <c r="A9994" s="0" t="s">
        <v>903</v>
      </c>
      <c r="B9994" s="0" t="s">
        <v>98</v>
      </c>
      <c r="D9994" s="6" t="n">
        <f aca="false">Sens!D9969</f>
        <v>83.705</v>
      </c>
      <c r="E9994" s="6" t="n">
        <f aca="false">Sens!E9969</f>
        <v>95.049</v>
      </c>
      <c r="F9994" s="6" t="n">
        <f aca="false">Sens!F9969</f>
        <v>106.89238776686</v>
      </c>
      <c r="G9994" s="6" t="n">
        <f aca="false">Sens!G9969</f>
        <v>119.044168448684</v>
      </c>
      <c r="H9994" s="6" t="n">
        <f aca="false">Sens!H9969</f>
        <v>131.277359388781</v>
      </c>
      <c r="I9994" s="6" t="n">
        <f aca="false">Sens!I9969</f>
        <v>143.334028071957</v>
      </c>
      <c r="J9994" s="6" t="n">
        <f aca="false">Sens!J9969</f>
        <v>154.932702785465</v>
      </c>
      <c r="K9994" s="6" t="n">
        <f aca="false">Sens!K9969</f>
        <v>165.777991980448</v>
      </c>
    </row>
    <row r="9995" customFormat="false" ht="17.15" hidden="false" customHeight="false" outlineLevel="0" collapsed="false">
      <c r="A9995" s="0" t="s">
        <v>904</v>
      </c>
      <c r="B9995" s="0" t="s">
        <v>98</v>
      </c>
      <c r="D9995" s="6" t="n">
        <f aca="false">Sens!D9968</f>
        <v>0.9</v>
      </c>
      <c r="E9995" s="6" t="n">
        <f aca="false">Sens!E9968</f>
        <v>5.25</v>
      </c>
      <c r="F9995" s="6" t="n">
        <f aca="false">Sens!F9968</f>
        <v>13.5</v>
      </c>
      <c r="G9995" s="6" t="n">
        <f aca="false">Sens!G9968</f>
        <v>22.5</v>
      </c>
      <c r="H9995" s="6" t="n">
        <f aca="false">Sens!H9968</f>
        <v>31.5</v>
      </c>
      <c r="I9995" s="6" t="n">
        <f aca="false">Sens!I9968</f>
        <v>38.25</v>
      </c>
      <c r="J9995" s="6" t="n">
        <f aca="false">Sens!J9968</f>
        <v>42.75</v>
      </c>
      <c r="K9995" s="6" t="n">
        <f aca="false">Sens!K9968</f>
        <v>47.25</v>
      </c>
    </row>
    <row r="9996" customFormat="false" ht="15" hidden="false" customHeight="false" outlineLevel="0" collapsed="false">
      <c r="A9996" s="0" t="s">
        <v>884</v>
      </c>
      <c r="B9996" s="0" t="s">
        <v>98</v>
      </c>
      <c r="D9996" s="6" t="n">
        <f aca="false">Sens!D9972</f>
        <v>35.391</v>
      </c>
      <c r="E9996" s="6" t="n">
        <f aca="false">Sens!E9972</f>
        <v>37.285</v>
      </c>
      <c r="F9996" s="6" t="n">
        <f aca="false">Sens!F9972</f>
        <v>39.0720834331704</v>
      </c>
      <c r="G9996" s="6" t="n">
        <f aca="false">Sens!G9972</f>
        <v>40.726562953769</v>
      </c>
      <c r="H9996" s="6" t="n">
        <f aca="false">Sens!H9972</f>
        <v>42.2235987259198</v>
      </c>
      <c r="I9996" s="6" t="n">
        <f aca="false">Sens!I9972</f>
        <v>43.5397988077414</v>
      </c>
      <c r="J9996" s="6" t="n">
        <f aca="false">Sens!J9972</f>
        <v>44.653811225693</v>
      </c>
      <c r="K9996" s="6" t="n">
        <f aca="false">Sens!K9972</f>
        <v>45.5468874502068</v>
      </c>
    </row>
    <row r="9997" customFormat="false" ht="15" hidden="false" customHeight="false" outlineLevel="0" collapsed="false">
      <c r="A9997" s="0" t="s">
        <v>885</v>
      </c>
      <c r="B9997" s="0" t="s">
        <v>98</v>
      </c>
      <c r="D9997" s="6" t="n">
        <f aca="false">Sens!D9974</f>
        <v>18.417</v>
      </c>
      <c r="E9997" s="6" t="n">
        <f aca="false">Sens!E9974</f>
        <v>20.345</v>
      </c>
      <c r="F9997" s="6" t="n">
        <f aca="false">Sens!F9974</f>
        <v>22.3572203267814</v>
      </c>
      <c r="G9997" s="6" t="n">
        <f aca="false">Sens!G9974</f>
        <v>24.4392124437232</v>
      </c>
      <c r="H9997" s="6" t="n">
        <f aca="false">Sens!H9974</f>
        <v>26.5738052080665</v>
      </c>
      <c r="I9997" s="6" t="n">
        <f aca="false">Sens!I9974</f>
        <v>28.7412169166967</v>
      </c>
      <c r="J9997" s="6" t="n">
        <f aca="false">Sens!J9974</f>
        <v>30.9192545395413</v>
      </c>
      <c r="K9997" s="6" t="n">
        <f aca="false">Sens!K9974</f>
        <v>33.0836023573092</v>
      </c>
    </row>
    <row r="9998" customFormat="false" ht="15" hidden="false" customHeight="false" outlineLevel="0" collapsed="false">
      <c r="A9998" s="0" t="s">
        <v>886</v>
      </c>
      <c r="B9998" s="0" t="s">
        <v>98</v>
      </c>
      <c r="D9998" s="6" t="n">
        <f aca="false">Sens!D9976</f>
        <v>7.76</v>
      </c>
      <c r="E9998" s="6" t="n">
        <f aca="false">Sens!E9976</f>
        <v>8.26</v>
      </c>
      <c r="F9998" s="6" t="n">
        <f aca="false">Sens!F9976</f>
        <v>8.79988041237113</v>
      </c>
      <c r="G9998" s="6" t="n">
        <f aca="false">Sens!G9976</f>
        <v>9.38321269125306</v>
      </c>
      <c r="H9998" s="6" t="n">
        <f aca="false">Sens!H9976</f>
        <v>10.0139193587476</v>
      </c>
      <c r="I9998" s="6" t="n">
        <f aca="false">Sens!I9976</f>
        <v>10.6963111830911</v>
      </c>
      <c r="J9998" s="6" t="n">
        <f aca="false">Sens!J9976</f>
        <v>11.4351285534696</v>
      </c>
      <c r="K9998" s="6" t="n">
        <f aca="false">Sens!K9976</f>
        <v>12.2355875522124</v>
      </c>
    </row>
    <row r="9999" customFormat="false" ht="15" hidden="false" customHeight="false" outlineLevel="0" collapsed="false">
      <c r="A9999" s="0" t="s">
        <v>715</v>
      </c>
      <c r="B9999" s="0" t="s">
        <v>98</v>
      </c>
      <c r="D9999" s="6" t="n">
        <f aca="false">Sens!D9978</f>
        <v>218.783</v>
      </c>
      <c r="E9999" s="6" t="n">
        <f aca="false">Sens!E9978</f>
        <v>268.127</v>
      </c>
      <c r="F9999" s="6" t="n">
        <f aca="false">Sens!F9978</f>
        <v>339.433940907051</v>
      </c>
      <c r="G9999" s="6" t="n">
        <f aca="false">Sens!G9978</f>
        <v>424.490670881892</v>
      </c>
      <c r="H9999" s="6" t="n">
        <f aca="false">Sens!H9978</f>
        <v>515.646275281385</v>
      </c>
      <c r="I9999" s="6" t="n">
        <f aca="false">Sens!I9978</f>
        <v>592.863760444604</v>
      </c>
      <c r="J9999" s="6" t="n">
        <f aca="false">Sens!J9978</f>
        <v>654.596421863355</v>
      </c>
      <c r="K9999" s="6" t="n">
        <f aca="false">Sens!K9978</f>
        <v>703.647921299244</v>
      </c>
    </row>
    <row r="10000" customFormat="false" ht="15" hidden="false" customHeight="false" outlineLevel="0" collapsed="false">
      <c r="A10000" s="0" t="s">
        <v>887</v>
      </c>
      <c r="B10000" s="0" t="s">
        <v>98</v>
      </c>
      <c r="D10000" s="6" t="n">
        <f aca="false">Sens!D9979</f>
        <v>22.171</v>
      </c>
      <c r="E10000" s="6" t="n">
        <f aca="false">Sens!E9979</f>
        <v>24.835</v>
      </c>
      <c r="F10000" s="6" t="n">
        <f aca="false">Sens!F9979</f>
        <v>27.6114901218559</v>
      </c>
      <c r="G10000" s="6" t="n">
        <f aca="false">Sens!G9979</f>
        <v>30.4675667338515</v>
      </c>
      <c r="H10000" s="6" t="n">
        <f aca="false">Sens!H9979</f>
        <v>33.3643766955789</v>
      </c>
      <c r="I10000" s="6" t="n">
        <f aca="false">Sens!I9979</f>
        <v>36.2577016533691</v>
      </c>
      <c r="J10000" s="6" t="n">
        <f aca="false">Sens!J9979</f>
        <v>39.0988367952171</v>
      </c>
      <c r="K10000" s="6" t="n">
        <f aca="false">Sens!K9979</f>
        <v>41.8357553708823</v>
      </c>
    </row>
    <row r="10001" customFormat="false" ht="15" hidden="false" customHeight="false" outlineLevel="0" collapsed="false">
      <c r="A10001" s="0" t="s">
        <v>888</v>
      </c>
      <c r="B10001" s="0" t="s">
        <v>98</v>
      </c>
      <c r="D10001" s="6" t="n">
        <f aca="false">Sens!D9981</f>
        <v>23.455</v>
      </c>
      <c r="E10001" s="6" t="n">
        <f aca="false">Sens!E9981</f>
        <v>21.79</v>
      </c>
      <c r="F10001" s="6" t="n">
        <f aca="false">Sens!F9981</f>
        <v>20.4283611241384</v>
      </c>
      <c r="G10001" s="6" t="n">
        <f aca="false">Sens!G9981</f>
        <v>19.3254067185857</v>
      </c>
      <c r="H10001" s="6" t="n">
        <f aca="false">Sens!H9981</f>
        <v>18.446226363051</v>
      </c>
      <c r="I10001" s="6" t="n">
        <f aca="false">Sens!I9981</f>
        <v>17.7637959435485</v>
      </c>
      <c r="J10001" s="6" t="n">
        <f aca="false">Sens!J9981</f>
        <v>17.2575662581111</v>
      </c>
      <c r="K10001" s="6" t="n">
        <f aca="false">Sens!K9981</f>
        <v>16.9124149329489</v>
      </c>
    </row>
    <row r="10002" customFormat="false" ht="15" hidden="false" customHeight="false" outlineLevel="0" collapsed="false">
      <c r="A10002" s="0" t="s">
        <v>889</v>
      </c>
      <c r="B10002" s="0" t="s">
        <v>98</v>
      </c>
      <c r="D10002" s="6" t="n">
        <f aca="false">Sens!D9983</f>
        <v>17.315</v>
      </c>
      <c r="E10002" s="6" t="n">
        <f aca="false">Sens!E9983</f>
        <v>17.087</v>
      </c>
      <c r="F10002" s="6" t="n">
        <f aca="false">Sens!F9983</f>
        <v>16.9564585436519</v>
      </c>
      <c r="G10002" s="6" t="n">
        <f aca="false">Sens!G9983</f>
        <v>16.9206490624268</v>
      </c>
      <c r="H10002" s="6" t="n">
        <f aca="false">Sens!H9983</f>
        <v>16.9784519149849</v>
      </c>
      <c r="I10002" s="6" t="n">
        <f aca="false">Sens!I9983</f>
        <v>17.1303084701817</v>
      </c>
      <c r="J10002" s="6" t="n">
        <f aca="false">Sens!J9983</f>
        <v>17.3782189407267</v>
      </c>
      <c r="K10002" s="6" t="n">
        <f aca="false">Sens!K9983</f>
        <v>17.7257833195413</v>
      </c>
    </row>
    <row r="10003" customFormat="false" ht="15" hidden="false" customHeight="false" outlineLevel="0" collapsed="false">
      <c r="A10003" s="0" t="s">
        <v>729</v>
      </c>
      <c r="B10003" s="0" t="s">
        <v>98</v>
      </c>
      <c r="D10003" s="6" t="n">
        <f aca="false">Sens!D9985</f>
        <v>62.941</v>
      </c>
      <c r="E10003" s="6" t="n">
        <f aca="false">Sens!E9985</f>
        <v>63.712</v>
      </c>
      <c r="F10003" s="6" t="n">
        <f aca="false">Sens!F9985</f>
        <v>64.9963097896462</v>
      </c>
      <c r="G10003" s="6" t="n">
        <f aca="false">Sens!G9985</f>
        <v>66.7136225148641</v>
      </c>
      <c r="H10003" s="6" t="n">
        <f aca="false">Sens!H9985</f>
        <v>68.7890549736148</v>
      </c>
      <c r="I10003" s="6" t="n">
        <f aca="false">Sens!I9985</f>
        <v>71.1518060670993</v>
      </c>
      <c r="J10003" s="6" t="n">
        <f aca="false">Sens!J9985</f>
        <v>73.7346219940549</v>
      </c>
      <c r="K10003" s="6" t="n">
        <f aca="false">Sens!K9985</f>
        <v>76.4739536233724</v>
      </c>
    </row>
    <row r="10004" customFormat="false" ht="15" hidden="false" customHeight="false" outlineLevel="0" collapsed="false">
      <c r="A10004" s="1" t="s">
        <v>905</v>
      </c>
      <c r="B10004" s="0" t="s">
        <v>98</v>
      </c>
      <c r="D10004" s="6" t="n">
        <f aca="false">Sens!D9986</f>
        <v>281.724</v>
      </c>
      <c r="E10004" s="6" t="n">
        <f aca="false">Sens!E9986</f>
        <v>331.839</v>
      </c>
      <c r="F10004" s="6" t="n">
        <f aca="false">Sens!F9986</f>
        <v>404.430250696697</v>
      </c>
      <c r="G10004" s="6" t="n">
        <f aca="false">Sens!G9986</f>
        <v>491.204293396756</v>
      </c>
      <c r="H10004" s="6" t="n">
        <f aca="false">Sens!H9986</f>
        <v>584.435330255</v>
      </c>
      <c r="I10004" s="6" t="n">
        <f aca="false">Sens!I9986</f>
        <v>664.015566511703</v>
      </c>
      <c r="J10004" s="6" t="n">
        <f aca="false">Sens!J9986</f>
        <v>728.33104385741</v>
      </c>
      <c r="K10004" s="6" t="n">
        <f aca="false">Sens!K9986</f>
        <v>780.121874922616</v>
      </c>
    </row>
    <row r="10005" customFormat="false" ht="15" hidden="false" customHeight="false" outlineLevel="0" collapsed="false">
      <c r="A10005" s="1" t="s">
        <v>906</v>
      </c>
      <c r="B10005" s="0" t="s">
        <v>129</v>
      </c>
      <c r="E10005" s="7" t="n">
        <f aca="false">Sens!E10004/Sens!D10004-1</f>
        <v>0.177886867998467</v>
      </c>
      <c r="F10005" s="7" t="n">
        <f aca="false">Sens!F10004/Sens!E10004-1</f>
        <v>0.218754428191674</v>
      </c>
      <c r="G10005" s="7" t="n">
        <f aca="false">Sens!G10004/Sens!F10004-1</f>
        <v>0.214558734294916</v>
      </c>
      <c r="H10005" s="7" t="n">
        <f aca="false">Sens!H10004/Sens!G10004-1</f>
        <v>0.189800940487584</v>
      </c>
      <c r="I10005" s="7" t="n">
        <f aca="false">Sens!I10004/Sens!H10004-1</f>
        <v>0.136166025797894</v>
      </c>
      <c r="J10005" s="7" t="n">
        <f aca="false">Sens!J10004/Sens!I10004-1</f>
        <v>0.096858387949514</v>
      </c>
      <c r="K10005" s="7" t="n">
        <f aca="false">Sens!K10004/Sens!J10004-1</f>
        <v>0.071108916065022</v>
      </c>
    </row>
    <row r="10006" customFormat="false" ht="17.15" hidden="false" customHeight="false" outlineLevel="0" collapsed="false">
      <c r="A10006" s="23" t="s">
        <v>907</v>
      </c>
      <c r="B10006" s="30" t="s">
        <v>98</v>
      </c>
      <c r="C10006" s="30"/>
      <c r="D10006" s="24" t="n">
        <f aca="false">(Sens!D9999+Sens!D10003-Sens!D10004)+(Sens!D9991+Sens!D9992-Sens!D9990)+(Sens!D9994+Sens!D9995-Sens!D9993)+(Sens!D10004-Q!L18)</f>
        <v>0</v>
      </c>
      <c r="E10006" s="24" t="n">
        <f aca="false">(Sens!E9999+Sens!E10003-Sens!E10004)+(Sens!E9991+Sens!E9992-Sens!E9990)+(Sens!E9994+Sens!E9995-Sens!E9993)+(Sens!E10004-Q!M18)</f>
        <v>0</v>
      </c>
      <c r="F10006" s="24" t="n">
        <f aca="false">(Sens!F9999+Sens!F10003-Sens!F10004)+(Sens!F9991+Sens!F9992-Sens!F9990)+(Sens!F9994+Sens!F9995-Sens!F9993)</f>
        <v>0</v>
      </c>
      <c r="G10006" s="24" t="n">
        <f aca="false">(Sens!G9999+Sens!G10003-Sens!G10004)+(Sens!G9991+Sens!G9992-Sens!G9990)+(Sens!G9994+Sens!G9995-Sens!G9993)</f>
        <v>0</v>
      </c>
      <c r="H10006" s="24" t="n">
        <f aca="false">(Sens!H9999+Sens!H10003-Sens!H10004)+(Sens!H9991+Sens!H9992-Sens!H9990)+(Sens!H9994+Sens!H9995-Sens!H9993)</f>
        <v>0</v>
      </c>
      <c r="I10006" s="24" t="n">
        <f aca="false">(Sens!I9999+Sens!I10003-Sens!I10004)+(Sens!I9991+Sens!I9992-Sens!I9990)+(Sens!I9994+Sens!I9995-Sens!I9993)</f>
        <v>0</v>
      </c>
      <c r="J10006" s="24" t="n">
        <f aca="false">(Sens!J9999+Sens!J10003-Sens!J10004)+(Sens!J9991+Sens!J9992-Sens!J9990)+(Sens!J9994+Sens!J9995-Sens!J9993)</f>
        <v>0</v>
      </c>
      <c r="K10006" s="24" t="n">
        <f aca="false">(Sens!K9999+Sens!K10003-Sens!K10004)+(Sens!K9991+Sens!K9992-Sens!K9990)+(Sens!K9994+Sens!K9995-Sens!K9993)</f>
        <v>0</v>
      </c>
    </row>
    <row r="10007" customFormat="false" ht="17.15" hidden="false" customHeight="false" outlineLevel="0" collapsed="false">
      <c r="A10007" s="0" t="s">
        <v>908</v>
      </c>
      <c r="B10007" s="0" t="s">
        <v>129</v>
      </c>
      <c r="E10007" s="7" t="n">
        <f aca="false">(Q!M21+Sens!E9944+Sens!E9945+Sens!E9946+Sens!E9959-Sens!E9942)/(Q!M5-Sens!E9942)</f>
        <v>0.570957350878296</v>
      </c>
      <c r="F10007" s="7" t="n">
        <f aca="false">Sens!$E$10007+dm_seg</f>
        <v>0.570957350878296</v>
      </c>
      <c r="G10007" s="7" t="n">
        <f aca="false">Sens!$E$10007+dm_seg</f>
        <v>0.570957350878296</v>
      </c>
      <c r="H10007" s="7" t="n">
        <f aca="false">Sens!$E$10007+dm_seg</f>
        <v>0.570957350878296</v>
      </c>
      <c r="I10007" s="7" t="n">
        <f aca="false">Sens!$E$10007+dm_seg</f>
        <v>0.570957350878296</v>
      </c>
      <c r="J10007" s="7" t="n">
        <f aca="false">Sens!$E$10007+dm_seg</f>
        <v>0.570957350878296</v>
      </c>
      <c r="K10007" s="7" t="n">
        <f aca="false">Sens!$E$10007+dm_seg</f>
        <v>0.570957350878296</v>
      </c>
      <c r="L10007" s="11" t="s">
        <v>909</v>
      </c>
    </row>
    <row r="10008" customFormat="false" ht="17.15" hidden="false" customHeight="false" outlineLevel="0" collapsed="false">
      <c r="A10008" s="0" t="s">
        <v>743</v>
      </c>
      <c r="B10008" s="0" t="s">
        <v>98</v>
      </c>
      <c r="D10008" s="6" t="n">
        <f aca="false">Q!L21</f>
        <v>110.814</v>
      </c>
      <c r="E10008" s="6" t="n">
        <f aca="false">Q!M21</f>
        <v>136.365</v>
      </c>
      <c r="F10008" s="6" t="n">
        <f aca="false">Sens!F10007*(Sens!F9978-Sens!F9942)+Sens!F9942-(Sens!F9944+Sens!F9945+Sens!F9946)-Sens!F9959-Sens!F10042</f>
        <v>161.999419187324</v>
      </c>
      <c r="G10008" s="6" t="n">
        <f aca="false">Sens!G10007*(Sens!G9978-Sens!G9942)+Sens!G9942-(Sens!G9944+Sens!G9945+Sens!G9946)-Sens!G9959-Sens!G10042</f>
        <v>192.317084276619</v>
      </c>
      <c r="H10008" s="6" t="n">
        <f aca="false">Sens!H10007*(Sens!H9978-Sens!H9942)+Sens!H9942-(Sens!H9944+Sens!H9945+Sens!H9946)-Sens!H9959-Sens!H10042</f>
        <v>226.776497220585</v>
      </c>
      <c r="I10008" s="6" t="n">
        <f aca="false">Sens!I10007*(Sens!I9978-Sens!I9942)+Sens!I9942-(Sens!I9944+Sens!I9945+Sens!I9946)-Sens!I9959-Sens!I10042</f>
        <v>253.110559282514</v>
      </c>
      <c r="J10008" s="6" t="n">
        <f aca="false">Sens!J10007*(Sens!J9978-Sens!J9942)+Sens!J9942-(Sens!J9944+Sens!J9945+Sens!J9946)-Sens!J9959-Sens!J10042</f>
        <v>275.783999360356</v>
      </c>
      <c r="K10008" s="6" t="n">
        <f aca="false">Sens!K10007*(Sens!K9978-Sens!K9942)+Sens!K9942-(Sens!K9944+Sens!K9945+Sens!K9946)-Sens!K9959-Sens!K10042</f>
        <v>296.380335055</v>
      </c>
      <c r="L10008" s="1" t="s">
        <v>910</v>
      </c>
    </row>
    <row r="10009" customFormat="false" ht="17.15" hidden="false" customHeight="false" outlineLevel="0" collapsed="false">
      <c r="A10009" s="0" t="s">
        <v>911</v>
      </c>
      <c r="B10009" s="0" t="s">
        <v>129</v>
      </c>
      <c r="E10009" s="7" t="n">
        <f aca="false">Q!M22/Q!M12</f>
        <v>0.296207935710698</v>
      </c>
      <c r="F10009" s="7" t="n">
        <f aca="false">Sens!$E$10009+dm_seg</f>
        <v>0.296207935710698</v>
      </c>
      <c r="G10009" s="7" t="n">
        <f aca="false">Sens!$E$10009+dm_seg</f>
        <v>0.296207935710698</v>
      </c>
      <c r="H10009" s="7" t="n">
        <f aca="false">Sens!$E$10009+dm_seg</f>
        <v>0.296207935710698</v>
      </c>
      <c r="I10009" s="7" t="n">
        <f aca="false">Sens!$E$10009+dm_seg</f>
        <v>0.296207935710698</v>
      </c>
      <c r="J10009" s="7" t="n">
        <f aca="false">Sens!$E$10009+dm_seg</f>
        <v>0.296207935710698</v>
      </c>
      <c r="K10009" s="7" t="n">
        <f aca="false">Sens!$E$10009+dm_seg</f>
        <v>0.296207935710698</v>
      </c>
      <c r="L10009" s="11" t="s">
        <v>912</v>
      </c>
    </row>
    <row r="10010" customFormat="false" ht="17.15" hidden="false" customHeight="false" outlineLevel="0" collapsed="false">
      <c r="A10010" s="0" t="s">
        <v>745</v>
      </c>
      <c r="B10010" s="0" t="s">
        <v>98</v>
      </c>
      <c r="D10010" s="6" t="n">
        <f aca="false">Q!L22</f>
        <v>17.714</v>
      </c>
      <c r="E10010" s="6" t="n">
        <f aca="false">Q!M22</f>
        <v>18.872</v>
      </c>
      <c r="F10010" s="6" t="n">
        <f aca="false">Sens!F9985*Sens!F10009</f>
        <v>19.2524227516042</v>
      </c>
      <c r="G10010" s="6" t="n">
        <f aca="false">Sens!G9985*Sens!G10009</f>
        <v>19.7611044089106</v>
      </c>
      <c r="H10010" s="6" t="n">
        <f aca="false">Sens!H9985*Sens!H10009</f>
        <v>20.3758639732242</v>
      </c>
      <c r="I10010" s="6" t="n">
        <f aca="false">Sens!I9985*Sens!I10009</f>
        <v>21.0757295972234</v>
      </c>
      <c r="J10010" s="6" t="n">
        <f aca="false">Sens!J9985*Sens!J10009</f>
        <v>21.8407801712676</v>
      </c>
      <c r="K10010" s="6" t="n">
        <f aca="false">Sens!K9985*Sens!K10009</f>
        <v>22.6521919384148</v>
      </c>
    </row>
    <row r="10011" customFormat="false" ht="15" hidden="false" customHeight="false" outlineLevel="0" collapsed="false">
      <c r="A10011" s="1" t="s">
        <v>913</v>
      </c>
      <c r="B10011" s="0" t="s">
        <v>98</v>
      </c>
      <c r="D10011" s="6" t="n">
        <f aca="false">Sens!D10008+Sens!D10010</f>
        <v>128.528</v>
      </c>
      <c r="E10011" s="6" t="n">
        <f aca="false">Sens!E10008+Sens!E10010</f>
        <v>155.237</v>
      </c>
      <c r="F10011" s="6" t="n">
        <f aca="false">Sens!F10008+Sens!F10010</f>
        <v>181.251841938928</v>
      </c>
      <c r="G10011" s="6" t="n">
        <f aca="false">Sens!G10008+Sens!G10010</f>
        <v>212.078188685529</v>
      </c>
      <c r="H10011" s="6" t="n">
        <f aca="false">Sens!H10008+Sens!H10010</f>
        <v>247.152361193809</v>
      </c>
      <c r="I10011" s="6" t="n">
        <f aca="false">Sens!I10008+Sens!I10010</f>
        <v>274.186288879738</v>
      </c>
      <c r="J10011" s="6" t="n">
        <f aca="false">Sens!J10008+Sens!J10010</f>
        <v>297.624779531624</v>
      </c>
      <c r="K10011" s="6" t="n">
        <f aca="false">Sens!K10008+Sens!K10010</f>
        <v>319.032526993415</v>
      </c>
    </row>
    <row r="10012" customFormat="false" ht="15" hidden="false" customHeight="false" outlineLevel="0" collapsed="false">
      <c r="A10012" s="23" t="s">
        <v>914</v>
      </c>
      <c r="B10012" s="30" t="s">
        <v>98</v>
      </c>
      <c r="C10012" s="30"/>
      <c r="D10012" s="24" t="n">
        <f aca="false">Sens!D10011-Q!L23</f>
        <v>0</v>
      </c>
      <c r="E10012" s="24" t="n">
        <f aca="false">Sens!E10011-Q!M23</f>
        <v>0</v>
      </c>
      <c r="F10012" s="30"/>
      <c r="G10012" s="30"/>
      <c r="H10012" s="30"/>
      <c r="I10012" s="30"/>
      <c r="J10012" s="30"/>
      <c r="K10012" s="30"/>
    </row>
    <row r="10013" customFormat="false" ht="15" hidden="false" customHeight="false" outlineLevel="0" collapsed="false">
      <c r="A10013" s="1" t="s">
        <v>915</v>
      </c>
      <c r="B10013" s="0" t="s">
        <v>129</v>
      </c>
      <c r="D10013" s="7" t="n">
        <f aca="false">Sens!D10011/Sens!D10004</f>
        <v>0.456219562408598</v>
      </c>
      <c r="E10013" s="7" t="n">
        <f aca="false">Sens!E10011/Sens!E10004</f>
        <v>0.467808184089272</v>
      </c>
      <c r="F10013" s="7" t="n">
        <f aca="false">Sens!F10011/Sens!F10004</f>
        <v>0.448165886767105</v>
      </c>
      <c r="G10013" s="7" t="n">
        <f aca="false">Sens!G10011/Sens!G10004</f>
        <v>0.431751496345797</v>
      </c>
      <c r="H10013" s="7" t="n">
        <f aca="false">Sens!H10011/Sens!H10004</f>
        <v>0.422890863024951</v>
      </c>
      <c r="I10013" s="7" t="n">
        <f aca="false">Sens!I10011/Sens!I10004</f>
        <v>0.412921477609525</v>
      </c>
      <c r="J10013" s="7" t="n">
        <f aca="false">Sens!J10011/Sens!J10004</f>
        <v>0.408639425768994</v>
      </c>
      <c r="K10013" s="7" t="n">
        <f aca="false">Sens!K10011/Sens!K10004</f>
        <v>0.408952161513304</v>
      </c>
    </row>
    <row r="10014" customFormat="false" ht="17.15" hidden="false" customHeight="false" outlineLevel="0" collapsed="false">
      <c r="A10014" s="1" t="s">
        <v>916</v>
      </c>
      <c r="B10014" s="0" t="s">
        <v>98</v>
      </c>
      <c r="F10014" s="6" t="n">
        <f aca="false">Sens!F10029</f>
        <v>8.44248444763781</v>
      </c>
      <c r="G10014" s="6" t="n">
        <f aca="false">Sens!G10029</f>
        <v>21.3653222817508</v>
      </c>
      <c r="H10014" s="6" t="n">
        <f aca="false">Sens!H10029</f>
        <v>35.8221390663856</v>
      </c>
      <c r="I10014" s="6" t="n">
        <f aca="false">Sens!I10029</f>
        <v>49.3691841492478</v>
      </c>
      <c r="J10014" s="6" t="n">
        <f aca="false">Sens!J10029</f>
        <v>59.0322720639359</v>
      </c>
      <c r="K10014" s="6" t="n">
        <f aca="false">Sens!K10029</f>
        <v>64.2195097796802</v>
      </c>
      <c r="L10014" s="1" t="s">
        <v>917</v>
      </c>
    </row>
    <row r="10015" customFormat="false" ht="17.15" hidden="false" customHeight="false" outlineLevel="0" collapsed="false">
      <c r="A10015" s="1" t="s">
        <v>918</v>
      </c>
      <c r="B10015" s="0" t="s">
        <v>98</v>
      </c>
      <c r="D10015" s="6" t="n">
        <f aca="false">Sens!D10011</f>
        <v>128.528</v>
      </c>
      <c r="E10015" s="6" t="n">
        <f aca="false">Sens!E10011</f>
        <v>155.237</v>
      </c>
      <c r="F10015" s="6" t="n">
        <f aca="false">Sens!F10011+Sens!F10014</f>
        <v>189.694326386566</v>
      </c>
      <c r="G10015" s="6" t="n">
        <f aca="false">Sens!G10011+Sens!G10014</f>
        <v>233.44351096728</v>
      </c>
      <c r="H10015" s="6" t="n">
        <f aca="false">Sens!H10011+Sens!H10014</f>
        <v>282.974500260194</v>
      </c>
      <c r="I10015" s="6" t="n">
        <f aca="false">Sens!I10011+Sens!I10014</f>
        <v>323.555473028986</v>
      </c>
      <c r="J10015" s="6" t="n">
        <f aca="false">Sens!J10011+Sens!J10014</f>
        <v>356.65705159556</v>
      </c>
      <c r="K10015" s="6" t="n">
        <f aca="false">Sens!K10011+Sens!K10014</f>
        <v>383.252036773095</v>
      </c>
    </row>
    <row r="10016" customFormat="false" ht="17.15" hidden="false" customHeight="false" outlineLevel="0" collapsed="false">
      <c r="A10016" s="1" t="s">
        <v>919</v>
      </c>
      <c r="B10016" s="0" t="s">
        <v>98</v>
      </c>
      <c r="E10016" s="6" t="n">
        <f aca="false">Sens!E9959</f>
        <v>16.3054059770833</v>
      </c>
      <c r="F10016" s="6" t="n">
        <f aca="false">Sens!F9959</f>
        <v>34.0498873809555</v>
      </c>
      <c r="G10016" s="6" t="n">
        <f aca="false">Sens!G9959</f>
        <v>59.1254371105111</v>
      </c>
      <c r="H10016" s="6" t="n">
        <f aca="false">Sens!H9959</f>
        <v>86.3610198433111</v>
      </c>
      <c r="I10016" s="6" t="n">
        <f aca="false">Sens!I9959</f>
        <v>110.605743832393</v>
      </c>
      <c r="J10016" s="6" t="n">
        <f aca="false">Sens!J9959</f>
        <v>127.998322852843</v>
      </c>
      <c r="K10016" s="6" t="n">
        <f aca="false">Sens!K9959</f>
        <v>139.131464044308</v>
      </c>
    </row>
    <row r="10017" customFormat="false" ht="17.15" hidden="false" customHeight="false" outlineLevel="0" collapsed="false">
      <c r="A10017" s="1" t="s">
        <v>920</v>
      </c>
      <c r="B10017" s="0" t="s">
        <v>98</v>
      </c>
      <c r="E10017" s="6" t="n">
        <f aca="false">Sens!E10041</f>
        <v>22.2285940229167</v>
      </c>
      <c r="F10017" s="6" t="n">
        <f aca="false">Sens!F10041</f>
        <v>24.3924470334783</v>
      </c>
      <c r="G10017" s="6" t="n">
        <f aca="false">Sens!G10041</f>
        <v>26.1122564714798</v>
      </c>
      <c r="H10017" s="6" t="n">
        <f aca="false">Sens!H10041</f>
        <v>28.254818938617</v>
      </c>
      <c r="I10017" s="6" t="n">
        <f aca="false">Sens!I10041</f>
        <v>30.7428625376945</v>
      </c>
      <c r="J10017" s="6" t="n">
        <f aca="false">Sens!J10041</f>
        <v>33.4835582459411</v>
      </c>
      <c r="K10017" s="6" t="n">
        <f aca="false">Sens!K10041</f>
        <v>36.3917802373136</v>
      </c>
    </row>
    <row r="10018" customFormat="false" ht="17.15" hidden="false" customHeight="false" outlineLevel="0" collapsed="false">
      <c r="A10018" s="1" t="s">
        <v>921</v>
      </c>
      <c r="B10018" s="0" t="s">
        <v>98</v>
      </c>
      <c r="D10018" s="6" t="n">
        <f aca="false">Q!L27</f>
        <v>-4.901</v>
      </c>
      <c r="E10018" s="6" t="n">
        <f aca="false">Q!M27</f>
        <v>10.697</v>
      </c>
      <c r="F10018" s="6" t="n">
        <f aca="false">oie_f</f>
        <v>-0.4</v>
      </c>
      <c r="G10018" s="6" t="n">
        <f aca="false">oie_f</f>
        <v>-0.4</v>
      </c>
      <c r="H10018" s="6" t="n">
        <f aca="false">oie_f</f>
        <v>-0.4</v>
      </c>
      <c r="I10018" s="6" t="n">
        <f aca="false">oie_f</f>
        <v>-0.4</v>
      </c>
      <c r="J10018" s="6" t="n">
        <f aca="false">oie_f</f>
        <v>-0.4</v>
      </c>
      <c r="K10018" s="6" t="n">
        <f aca="false">oie_f</f>
        <v>-0.4</v>
      </c>
      <c r="L10018" s="11" t="s">
        <v>922</v>
      </c>
    </row>
    <row r="10019" customFormat="false" ht="15" hidden="false" customHeight="false" outlineLevel="0" collapsed="false">
      <c r="A10019" s="1" t="s">
        <v>923</v>
      </c>
      <c r="B10019" s="0" t="s">
        <v>98</v>
      </c>
      <c r="D10019" s="6" t="n">
        <f aca="false">Sens!D10011+Sens!D10018</f>
        <v>123.627</v>
      </c>
      <c r="E10019" s="6" t="n">
        <f aca="false">Sens!E10011+Sens!E10018</f>
        <v>165.934</v>
      </c>
      <c r="F10019" s="6" t="n">
        <f aca="false">Sens!F10011+Sens!F10018</f>
        <v>180.851841938928</v>
      </c>
      <c r="G10019" s="6" t="n">
        <f aca="false">Sens!G10011+Sens!G10018</f>
        <v>211.678188685529</v>
      </c>
      <c r="H10019" s="6" t="n">
        <f aca="false">Sens!H10011+Sens!H10018</f>
        <v>246.752361193809</v>
      </c>
      <c r="I10019" s="6" t="n">
        <f aca="false">Sens!I10011+Sens!I10018</f>
        <v>273.786288879738</v>
      </c>
      <c r="J10019" s="6" t="n">
        <f aca="false">Sens!J10011+Sens!J10018</f>
        <v>297.224779531624</v>
      </c>
      <c r="K10019" s="6" t="n">
        <f aca="false">Sens!K10011+Sens!K10018</f>
        <v>318.632526993415</v>
      </c>
    </row>
    <row r="10020" customFormat="false" ht="15" hidden="false" customHeight="false" outlineLevel="0" collapsed="false">
      <c r="A10020" s="1" t="s">
        <v>924</v>
      </c>
      <c r="B10020" s="0" t="s">
        <v>98</v>
      </c>
      <c r="D10020" s="6" t="n">
        <f aca="false">Q!L29</f>
        <v>21.795</v>
      </c>
      <c r="E10020" s="6" t="n">
        <f aca="false">Q!M29</f>
        <v>32.185</v>
      </c>
      <c r="F10020" s="6" t="n">
        <f aca="false">Sens!F10019*tax_f</f>
        <v>36.1703683877856</v>
      </c>
      <c r="G10020" s="6" t="n">
        <f aca="false">Sens!G10019*tax_f</f>
        <v>42.3356377371059</v>
      </c>
      <c r="H10020" s="6" t="n">
        <f aca="false">Sens!H10019*tax_f</f>
        <v>49.3504722387618</v>
      </c>
      <c r="I10020" s="6" t="n">
        <f aca="false">Sens!I10019*tax_f</f>
        <v>54.7572577759476</v>
      </c>
      <c r="J10020" s="6" t="n">
        <f aca="false">Sens!J10019*tax_f</f>
        <v>59.4449559063247</v>
      </c>
      <c r="K10020" s="6" t="n">
        <f aca="false">Sens!K10019*tax_f</f>
        <v>63.726505398683</v>
      </c>
    </row>
    <row r="10021" customFormat="false" ht="15" hidden="false" customHeight="false" outlineLevel="0" collapsed="false">
      <c r="A10021" s="1" t="s">
        <v>925</v>
      </c>
      <c r="B10021" s="0" t="s">
        <v>98</v>
      </c>
      <c r="D10021" s="6" t="n">
        <f aca="false">Sens!D10019-Sens!D10020</f>
        <v>101.832</v>
      </c>
      <c r="E10021" s="6" t="n">
        <f aca="false">Sens!E10019-Sens!E10020</f>
        <v>133.749</v>
      </c>
      <c r="F10021" s="6" t="n">
        <f aca="false">Sens!F10019-Sens!F10020</f>
        <v>144.681473551142</v>
      </c>
      <c r="G10021" s="6" t="n">
        <f aca="false">Sens!G10019-Sens!G10020</f>
        <v>169.342550948424</v>
      </c>
      <c r="H10021" s="6" t="n">
        <f aca="false">Sens!H10019-Sens!H10020</f>
        <v>197.401888955047</v>
      </c>
      <c r="I10021" s="6" t="n">
        <f aca="false">Sens!I10019-Sens!I10020</f>
        <v>219.02903110379</v>
      </c>
      <c r="J10021" s="6" t="n">
        <f aca="false">Sens!J10019-Sens!J10020</f>
        <v>237.779823625299</v>
      </c>
      <c r="K10021" s="6" t="n">
        <f aca="false">Sens!K10019-Sens!K10020</f>
        <v>254.906021594732</v>
      </c>
    </row>
    <row r="10022" customFormat="false" ht="17.15" hidden="false" customHeight="false" outlineLevel="0" collapsed="false">
      <c r="A10022" s="1" t="s">
        <v>926</v>
      </c>
      <c r="B10022" s="1" t="s">
        <v>81</v>
      </c>
      <c r="D10022" s="14" t="n">
        <f aca="false">Q!L31</f>
        <v>7.465</v>
      </c>
      <c r="E10022" s="14" t="n">
        <f aca="false">Q!M31</f>
        <v>7.453</v>
      </c>
      <c r="F10022" s="14" t="n">
        <f aca="false">Sens!F10065</f>
        <v>7.4735</v>
      </c>
      <c r="G10022" s="14" t="n">
        <f aca="false">Sens!G10065</f>
        <v>7.50827324401777</v>
      </c>
      <c r="H10022" s="14" t="n">
        <f aca="false">Sens!H10065</f>
        <v>7.52579807388549</v>
      </c>
      <c r="I10022" s="14" t="n">
        <f aca="false">Sens!I10065</f>
        <v>7.53757890589281</v>
      </c>
      <c r="J10022" s="14" t="n">
        <f aca="false">Sens!J10065</f>
        <v>7.55182041701069</v>
      </c>
      <c r="K10022" s="14" t="n">
        <f aca="false">Sens!K10065</f>
        <v>7.56834033471243</v>
      </c>
    </row>
    <row r="10023" customFormat="false" ht="17.15" hidden="false" customHeight="false" outlineLevel="0" collapsed="false">
      <c r="A10023" s="0" t="s">
        <v>927</v>
      </c>
      <c r="B10023" s="0" t="s">
        <v>75</v>
      </c>
      <c r="D10023" s="8" t="n">
        <f aca="false">Sens!D10021/Sens!D10022</f>
        <v>13.641259209645</v>
      </c>
      <c r="E10023" s="8" t="n">
        <f aca="false">Sens!E10021/Sens!E10022</f>
        <v>17.9456594659869</v>
      </c>
      <c r="F10023" s="8" t="n">
        <f aca="false">Sens!F10021/Sens!F10022</f>
        <v>19.3592658795935</v>
      </c>
      <c r="G10023" s="8" t="n">
        <f aca="false">Sens!G10021/Sens!G10022</f>
        <v>22.5541273532297</v>
      </c>
      <c r="H10023" s="8" t="n">
        <f aca="false">Sens!H10021/Sens!H10022</f>
        <v>26.230027303022</v>
      </c>
      <c r="I10023" s="8" t="n">
        <f aca="false">Sens!I10021/Sens!I10022</f>
        <v>29.0582737293212</v>
      </c>
      <c r="J10023" s="8" t="n">
        <f aca="false">Sens!J10021/Sens!J10022</f>
        <v>31.4864245301296</v>
      </c>
      <c r="K10023" s="8" t="n">
        <f aca="false">Sens!K10021/Sens!K10022</f>
        <v>33.6805706827952</v>
      </c>
      <c r="L10023" s="1" t="s">
        <v>928</v>
      </c>
    </row>
    <row r="10024" customFormat="false" ht="17.15" hidden="false" customHeight="false" outlineLevel="0" collapsed="false">
      <c r="A10024" s="1" t="s">
        <v>929</v>
      </c>
      <c r="B10024" s="0" t="s">
        <v>98</v>
      </c>
      <c r="D10024" s="6" t="n">
        <f aca="false">Sens!D10021</f>
        <v>101.832</v>
      </c>
      <c r="E10024" s="6" t="n">
        <f aca="false">Sens!E10021</f>
        <v>133.749</v>
      </c>
      <c r="F10024" s="6" t="n">
        <f aca="false">Sens!F10021+Sens!F10014*(1-tax_f)</f>
        <v>151.435461109253</v>
      </c>
      <c r="G10024" s="6" t="n">
        <f aca="false">Sens!G10021+Sens!G10014*(1-tax_f)</f>
        <v>186.434808773824</v>
      </c>
      <c r="H10024" s="6" t="n">
        <f aca="false">Sens!H10021+Sens!H10014*(1-tax_f)</f>
        <v>226.059600208156</v>
      </c>
      <c r="I10024" s="6" t="n">
        <f aca="false">Sens!I10021+Sens!I10014*(1-tax_f)</f>
        <v>258.524378423189</v>
      </c>
      <c r="J10024" s="6" t="n">
        <f aca="false">Sens!J10021+Sens!J10014*(1-tax_f)</f>
        <v>285.005641276448</v>
      </c>
      <c r="K10024" s="6" t="n">
        <f aca="false">Sens!K10021+Sens!K10014*(1-tax_f)</f>
        <v>306.281629418476</v>
      </c>
    </row>
    <row r="10025" customFormat="false" ht="17.15" hidden="false" customHeight="false" outlineLevel="0" collapsed="false">
      <c r="A10025" s="0" t="s">
        <v>930</v>
      </c>
      <c r="B10025" s="0" t="s">
        <v>75</v>
      </c>
      <c r="D10025" s="8" t="n">
        <f aca="false">Sens!D10024/Sens!D10022</f>
        <v>13.641259209645</v>
      </c>
      <c r="E10025" s="8" t="n">
        <f aca="false">Sens!E10024/Sens!E10022</f>
        <v>17.9456594659869</v>
      </c>
      <c r="F10025" s="8" t="n">
        <f aca="false">Sens!F10024/Sens!F10022</f>
        <v>20.2629907150937</v>
      </c>
      <c r="G10025" s="8" t="n">
        <f aca="false">Sens!G10024/Sens!G10022</f>
        <v>24.8305839058756</v>
      </c>
      <c r="H10025" s="8" t="n">
        <f aca="false">Sens!H10024/Sens!H10022</f>
        <v>30.0379571692977</v>
      </c>
      <c r="I10025" s="8" t="n">
        <f aca="false">Sens!I10024/Sens!I10022</f>
        <v>34.2980659507361</v>
      </c>
      <c r="J10025" s="8" t="n">
        <f aca="false">Sens!J10024/Sens!J10022</f>
        <v>37.7399918878453</v>
      </c>
      <c r="K10025" s="8" t="n">
        <f aca="false">Sens!K10024/Sens!K10022</f>
        <v>40.4687971038652</v>
      </c>
      <c r="L10025" s="1" t="s">
        <v>931</v>
      </c>
    </row>
    <row r="10026" customFormat="false" ht="17.15" hidden="false" customHeight="false" outlineLevel="0" collapsed="false">
      <c r="A10026" s="0" t="s">
        <v>932</v>
      </c>
      <c r="B10026" s="0" t="s">
        <v>129</v>
      </c>
      <c r="E10026" s="7" t="n">
        <f aca="false">Sens!E10025/Sens!D10025-1</f>
        <v>0.315542736208578</v>
      </c>
      <c r="F10026" s="7" t="n">
        <f aca="false">Sens!F10025/Sens!E10025-1</f>
        <v>0.129130459290112</v>
      </c>
      <c r="G10026" s="7" t="n">
        <f aca="false">Sens!G10025/Sens!F10025-1</f>
        <v>0.225415549708543</v>
      </c>
      <c r="H10026" s="7" t="n">
        <f aca="false">Sens!H10025/Sens!G10025-1</f>
        <v>0.209716101850906</v>
      </c>
      <c r="I10026" s="7" t="n">
        <f aca="false">Sens!I10025/Sens!H10025-1</f>
        <v>0.141824184561815</v>
      </c>
      <c r="J10026" s="7" t="n">
        <f aca="false">Sens!J10025/Sens!I10025-1</f>
        <v>0.100353353511332</v>
      </c>
      <c r="K10026" s="7" t="n">
        <f aca="false">Sens!K10025/Sens!J10025-1</f>
        <v>0.0723054001741514</v>
      </c>
    </row>
    <row r="10027" customFormat="false" ht="17.15" hidden="false" customHeight="false" outlineLevel="0" collapsed="false">
      <c r="A10027" s="0" t="s">
        <v>856</v>
      </c>
      <c r="B10027" s="0" t="s">
        <v>98</v>
      </c>
      <c r="E10027" s="6" t="n">
        <f aca="false">Sens!E9968</f>
        <v>5.25</v>
      </c>
      <c r="F10027" s="6" t="n">
        <f aca="false">Sens!F9968</f>
        <v>13.5</v>
      </c>
      <c r="G10027" s="6" t="n">
        <f aca="false">Sens!G9968</f>
        <v>22.5</v>
      </c>
      <c r="H10027" s="6" t="n">
        <f aca="false">Sens!H9968</f>
        <v>31.5</v>
      </c>
      <c r="I10027" s="6" t="n">
        <f aca="false">Sens!I9968</f>
        <v>38.25</v>
      </c>
      <c r="J10027" s="6" t="n">
        <f aca="false">Sens!J9968</f>
        <v>42.75</v>
      </c>
      <c r="K10027" s="6" t="n">
        <f aca="false">Sens!K9968</f>
        <v>47.25</v>
      </c>
    </row>
    <row r="10028" customFormat="false" ht="17.15" hidden="false" customHeight="false" outlineLevel="0" collapsed="false">
      <c r="A10028" s="1" t="s">
        <v>857</v>
      </c>
      <c r="B10028" s="0" t="s">
        <v>98</v>
      </c>
      <c r="F10028" s="6" t="n">
        <f aca="false">MAX(0,((Sens!E9931+Sens!F9931)/2-(shadow_base*(Sens!$D$9931+Sens!$E$9931)/2+(1-shadow_base)*Sens!$E$9931))*Sens!F9939/1000-(Sens!F10027-Sens!$E$10027)*Sens!F10007)</f>
        <v>8.44248444763781</v>
      </c>
      <c r="G10028" s="6" t="n">
        <f aca="false">MAX(0,((Sens!F9931+Sens!G9931)/2-(shadow_base*(Sens!$D$9931+Sens!$E$9931)/2+(1-shadow_base)*Sens!$E$9931))*Sens!G9939/1000-(Sens!G10027-Sens!$E$10027)*Sens!G10007)</f>
        <v>21.3653222817508</v>
      </c>
      <c r="H10028" s="6" t="n">
        <f aca="false">MAX(0,((Sens!G9931+Sens!H9931)/2-(shadow_base*(Sens!$D$9931+Sens!$E$9931)/2+(1-shadow_base)*Sens!$E$9931))*Sens!H9939/1000-(Sens!H10027-Sens!$E$10027)*Sens!H10007)</f>
        <v>35.8221390663856</v>
      </c>
      <c r="I10028" s="6" t="n">
        <f aca="false">MAX(0,((Sens!H9931+Sens!I9931)/2-(shadow_base*(Sens!$D$9931+Sens!$E$9931)/2+(1-shadow_base)*Sens!$E$9931))*Sens!I9939/1000-(Sens!I10027-Sens!$E$10027)*Sens!I10007)</f>
        <v>49.3691841492478</v>
      </c>
      <c r="J10028" s="6" t="n">
        <f aca="false">MAX(0,((Sens!I9931+Sens!J9931)/2-(shadow_base*(Sens!$D$9931+Sens!$E$9931)/2+(1-shadow_base)*Sens!$E$9931))*Sens!J9939/1000-(Sens!J10027-Sens!$E$10027)*Sens!J10007)</f>
        <v>59.0322720639359</v>
      </c>
      <c r="K10028" s="6" t="n">
        <f aca="false">MAX(0,((Sens!J9931+Sens!K9931)/2-(shadow_base*(Sens!$D$9931+Sens!$E$9931)/2+(1-shadow_base)*Sens!$E$9931))*Sens!K9939/1000-(Sens!K10027-Sens!$E$10027)*Sens!K10007)</f>
        <v>64.2195097796802</v>
      </c>
      <c r="L10028" s="1" t="s">
        <v>858</v>
      </c>
    </row>
    <row r="10029" customFormat="false" ht="17.15" hidden="false" customHeight="false" outlineLevel="0" collapsed="false">
      <c r="A10029" s="1" t="s">
        <v>859</v>
      </c>
      <c r="B10029" s="0" t="s">
        <v>98</v>
      </c>
      <c r="F10029" s="6" t="n">
        <f aca="false">IF(internal_ai_reading=2,1,0)*Sens!F10028</f>
        <v>8.44248444763781</v>
      </c>
      <c r="G10029" s="6" t="n">
        <f aca="false">IF(internal_ai_reading=2,1,0)*Sens!G10028</f>
        <v>21.3653222817508</v>
      </c>
      <c r="H10029" s="6" t="n">
        <f aca="false">IF(internal_ai_reading=2,1,0)*Sens!H10028</f>
        <v>35.8221390663856</v>
      </c>
      <c r="I10029" s="6" t="n">
        <f aca="false">IF(internal_ai_reading=2,1,0)*Sens!I10028</f>
        <v>49.3691841492478</v>
      </c>
      <c r="J10029" s="6" t="n">
        <f aca="false">IF(internal_ai_reading=2,1,0)*Sens!J10028</f>
        <v>59.0322720639359</v>
      </c>
      <c r="K10029" s="6" t="n">
        <f aca="false">IF(internal_ai_reading=2,1,0)*Sens!K10028</f>
        <v>64.2195097796802</v>
      </c>
    </row>
    <row r="10030" customFormat="false" ht="17.15" hidden="false" customHeight="false" outlineLevel="0" collapsed="false">
      <c r="A10030" s="0" t="s">
        <v>860</v>
      </c>
      <c r="B10030" s="0" t="s">
        <v>98</v>
      </c>
      <c r="F10030" s="6" t="n">
        <f aca="false">Sens!F9948+Sens!F10027*Sens!F10007+Sens!F10029-Sens!F9949-Sens!F9959</f>
        <v>18.6954441577666</v>
      </c>
      <c r="G10030" s="6" t="n">
        <f aca="false">Sens!G9948+Sens!G10027*Sens!G10007+Sens!G10029-Sens!G9949-Sens!G9959</f>
        <v>42.7730967717415</v>
      </c>
      <c r="H10030" s="6" t="n">
        <f aca="false">Sens!H9948+Sens!H10027*Sens!H10007+Sens!H10029-Sens!H9949-Sens!H9959</f>
        <v>72.3524695349497</v>
      </c>
      <c r="I10030" s="6" t="n">
        <f aca="false">Sens!I9948+Sens!I10027*Sens!I10007+Sens!I10029-Sens!I9949-Sens!I9959</f>
        <v>93.3920399917181</v>
      </c>
      <c r="J10030" s="6" t="n">
        <f aca="false">Sens!J9948+Sens!J10027*Sens!J10007+Sens!J10029-Sens!J9949-Sens!J9959</f>
        <v>108.132424046476</v>
      </c>
      <c r="K10030" s="6" t="n">
        <f aca="false">Sens!K9948+Sens!K10027*Sens!K10007+Sens!K10029-Sens!K9949-Sens!K9959</f>
        <v>118.341283106908</v>
      </c>
    </row>
    <row r="10031" customFormat="false" ht="17.15" hidden="false" customHeight="false" outlineLevel="0" collapsed="false">
      <c r="A10031" s="0" t="s">
        <v>861</v>
      </c>
      <c r="B10031" s="0" t="s">
        <v>98</v>
      </c>
      <c r="E10031" s="6" t="n">
        <f aca="false">Sens!E9930*(cxit_open+self_build*tk_cxfac)/1000*ai_net_open</f>
        <v>126.6980382</v>
      </c>
      <c r="F10031" s="6" t="n">
        <f aca="false">Sens!E10031+Sens!F9956-Sens!F9959</f>
        <v>252.981026690511</v>
      </c>
      <c r="G10031" s="6" t="n">
        <f aca="false">Sens!F10031+Sens!G9956-Sens!G9959</f>
        <v>377.4297700632</v>
      </c>
      <c r="H10031" s="6" t="n">
        <f aca="false">Sens!G10031+Sens!H9956-Sens!H9959</f>
        <v>479.149036130289</v>
      </c>
      <c r="I10031" s="6" t="n">
        <f aca="false">Sens!H10031+Sens!I9956-Sens!I9959</f>
        <v>532.249961452141</v>
      </c>
      <c r="J10031" s="6" t="n">
        <f aca="false">Sens!I10031+Sens!J9956-Sens!J9959</f>
        <v>531.43307519354</v>
      </c>
      <c r="K10031" s="6" t="n">
        <f aca="false">Sens!J10031+Sens!K9956-Sens!K9959</f>
        <v>513.709026452823</v>
      </c>
      <c r="L10031" s="1" t="s">
        <v>862</v>
      </c>
    </row>
    <row r="10032" customFormat="false" ht="17.15" hidden="false" customHeight="false" outlineLevel="0" collapsed="false">
      <c r="A10032" s="0" t="s">
        <v>863</v>
      </c>
      <c r="B10032" s="0" t="s">
        <v>129</v>
      </c>
      <c r="F10032" s="7" t="n">
        <f aca="false">Sens!F10030*(1-tax_f)/((Sens!E10031+Sens!F10031)/2)</f>
        <v>0.0787841980727922</v>
      </c>
      <c r="G10032" s="7" t="n">
        <f aca="false">Sens!G10030*(1-tax_f)/((Sens!F10031+Sens!G10031)/2)</f>
        <v>0.108559300042451</v>
      </c>
      <c r="H10032" s="7" t="n">
        <f aca="false">Sens!H10030*(1-tax_f)/((Sens!G10031+Sens!H10031)/2)</f>
        <v>0.135146877810762</v>
      </c>
      <c r="I10032" s="7" t="n">
        <f aca="false">Sens!I10030*(1-tax_f)/((Sens!H10031+Sens!I10031)/2)</f>
        <v>0.147743140287788</v>
      </c>
      <c r="J10032" s="7" t="n">
        <f aca="false">Sens!J10030*(1-tax_f)/((Sens!I10031+Sens!J10031)/2)</f>
        <v>0.162653603107137</v>
      </c>
      <c r="K10032" s="7" t="n">
        <f aca="false">Sens!K10030*(1-tax_f)/((Sens!J10031+Sens!K10031)/2)</f>
        <v>0.181167759554213</v>
      </c>
    </row>
    <row r="10033" customFormat="false" ht="17.15" hidden="false" customHeight="false" outlineLevel="0" collapsed="false">
      <c r="A10033" s="1" t="s">
        <v>864</v>
      </c>
      <c r="B10033" s="0" t="s">
        <v>129</v>
      </c>
      <c r="F10033" s="7" t="n">
        <f aca="false">(Sens!F10030-Sens!F10029)*(1-tax_f)/((Sens!E10031+Sens!F10031)/2)</f>
        <v>0.0432068477121243</v>
      </c>
      <c r="G10033" s="7" t="n">
        <f aca="false">(Sens!G10030-Sens!G10029)*(1-tax_f)/((Sens!F10031+Sens!G10031)/2)</f>
        <v>0.0543335224592717</v>
      </c>
      <c r="H10033" s="7" t="n">
        <f aca="false">(Sens!H10030-Sens!H10029)*(1-tax_f)/((Sens!G10031+Sens!H10031)/2)</f>
        <v>0.0682348527970699</v>
      </c>
      <c r="I10033" s="7" t="n">
        <f aca="false">(Sens!I10030-Sens!I10029)*(1-tax_f)/((Sens!H10031+Sens!I10031)/2)</f>
        <v>0.0696427122395006</v>
      </c>
      <c r="J10033" s="7" t="n">
        <f aca="false">(Sens!J10030-Sens!J10029)*(1-tax_f)/((Sens!I10031+Sens!J10031)/2)</f>
        <v>0.0738568168011806</v>
      </c>
      <c r="K10033" s="7" t="n">
        <f aca="false">(Sens!K10030-Sens!K10029)*(1-tax_f)/((Sens!J10031+Sens!K10031)/2)</f>
        <v>0.0828546062656513</v>
      </c>
    </row>
    <row r="10034" customFormat="false" ht="17.15" hidden="false" customHeight="false" outlineLevel="0" collapsed="false">
      <c r="A10034" s="1" t="s">
        <v>865</v>
      </c>
      <c r="B10034" s="0" t="s">
        <v>129</v>
      </c>
      <c r="F10034" s="7" t="n">
        <f aca="false">(Sens!F10030-Sens!F10029+Sens!F10028)*(1-tax_f)/((Sens!E10031+Sens!F10031)/2)</f>
        <v>0.0787841980727922</v>
      </c>
      <c r="G10034" s="7" t="n">
        <f aca="false">(Sens!G10030-Sens!G10029+Sens!G10028)*(1-tax_f)/((Sens!F10031+Sens!G10031)/2)</f>
        <v>0.108559300042451</v>
      </c>
      <c r="H10034" s="7" t="n">
        <f aca="false">(Sens!H10030-Sens!H10029+Sens!H10028)*(1-tax_f)/((Sens!G10031+Sens!H10031)/2)</f>
        <v>0.135146877810762</v>
      </c>
      <c r="I10034" s="7" t="n">
        <f aca="false">(Sens!I10030-Sens!I10029+Sens!I10028)*(1-tax_f)/((Sens!H10031+Sens!I10031)/2)</f>
        <v>0.147743140287788</v>
      </c>
      <c r="J10034" s="7" t="n">
        <f aca="false">(Sens!J10030-Sens!J10029+Sens!J10028)*(1-tax_f)/((Sens!I10031+Sens!J10031)/2)</f>
        <v>0.162653603107137</v>
      </c>
      <c r="K10034" s="7" t="n">
        <f aca="false">(Sens!K10030-Sens!K10029+Sens!K10028)*(1-tax_f)/((Sens!J10031+Sens!K10031)/2)</f>
        <v>0.181167759554213</v>
      </c>
    </row>
    <row r="10035" customFormat="false" ht="17.15" hidden="false" customHeight="false" outlineLevel="0" collapsed="false">
      <c r="A10035" s="1" t="s">
        <v>866</v>
      </c>
      <c r="B10035" s="0" t="s">
        <v>129</v>
      </c>
      <c r="F10035" s="7" t="n">
        <f aca="false">Sens!F9960*(1-tax_f)/(Sens!F9947*(Sens!E10031+Sens!F10031)/2)</f>
        <v>0.159418295257403</v>
      </c>
      <c r="G10035" s="7" t="n">
        <f aca="false">Sens!G9960*(1-tax_f)/(Sens!G9947*(Sens!F10031+Sens!G10031)/2)</f>
        <v>0.181875227327983</v>
      </c>
      <c r="H10035" s="7" t="n">
        <f aca="false">Sens!H9960*(1-tax_f)/(Sens!H9947*(Sens!G10031+Sens!H10031)/2)</f>
        <v>0.212793847216411</v>
      </c>
      <c r="I10035" s="7" t="n">
        <f aca="false">Sens!I9960*(1-tax_f)/(Sens!I9947*(Sens!H10031+Sens!I10031)/2)</f>
        <v>0.225613268329429</v>
      </c>
      <c r="J10035" s="7" t="n">
        <f aca="false">Sens!J9960*(1-tax_f)/(Sens!J9947*(Sens!I10031+Sens!J10031)/2)</f>
        <v>0.24488839563955</v>
      </c>
      <c r="K10035" s="7" t="n">
        <f aca="false">Sens!K9960*(1-tax_f)/(Sens!K9947*(Sens!J10031+Sens!K10031)/2)</f>
        <v>0.270711455180788</v>
      </c>
    </row>
    <row r="10036" customFormat="false" ht="17.15" hidden="false" customHeight="false" outlineLevel="0" collapsed="false">
      <c r="A10036" s="0" t="s">
        <v>867</v>
      </c>
      <c r="B10036" s="0" t="s">
        <v>209</v>
      </c>
      <c r="F10036" s="7" t="n">
        <f aca="false">Sens!F10032-wacc</f>
        <v>-0.0241502220200835</v>
      </c>
      <c r="G10036" s="7" t="n">
        <f aca="false">Sens!G10032-wacc</f>
        <v>0.00562487994957479</v>
      </c>
      <c r="H10036" s="7" t="n">
        <f aca="false">Sens!H10032-wacc</f>
        <v>0.0322124577178859</v>
      </c>
      <c r="I10036" s="7" t="n">
        <f aca="false">Sens!I10032-wacc</f>
        <v>0.0448087201949121</v>
      </c>
      <c r="J10036" s="7" t="n">
        <f aca="false">Sens!J10032-wacc</f>
        <v>0.0597191830142614</v>
      </c>
      <c r="K10036" s="7" t="n">
        <f aca="false">Sens!K10032-wacc</f>
        <v>0.0782333394613372</v>
      </c>
    </row>
    <row r="10037" customFormat="false" ht="17.15" hidden="false" customHeight="false" outlineLevel="0" collapsed="false">
      <c r="A10037" s="0" t="s">
        <v>868</v>
      </c>
      <c r="B10037" s="0" t="s">
        <v>98</v>
      </c>
      <c r="F10037" s="6" t="n">
        <f aca="false">Sens!F10030*(1-tax_f)-wacc*(Sens!E10031+Sens!F10031)/2</f>
        <v>-4.58466685674177</v>
      </c>
      <c r="G10037" s="6" t="n">
        <f aca="false">Sens!G10030*(1-tax_f)-wacc*(Sens!F10031+Sens!G10031)/2</f>
        <v>1.77299252532771</v>
      </c>
      <c r="H10037" s="6" t="n">
        <f aca="false">Sens!H10030*(1-tax_f)-wacc*(Sens!G10031+Sens!H10031)/2</f>
        <v>13.7962542882725</v>
      </c>
      <c r="I10037" s="6" t="n">
        <f aca="false">Sens!I10030*(1-tax_f)-wacc*(Sens!H10031+Sens!I10031)/2</f>
        <v>22.6597473440428</v>
      </c>
      <c r="J10037" s="6" t="n">
        <f aca="false">Sens!J10030*(1-tax_f)-wacc*(Sens!I10031+Sens!J10031)/2</f>
        <v>31.7611409673044</v>
      </c>
      <c r="K10037" s="6" t="n">
        <f aca="false">Sens!K10030*(1-tax_f)-wacc*(Sens!J10031+Sens!K10031)/2</f>
        <v>40.8824784117176</v>
      </c>
    </row>
    <row r="10038" customFormat="false" ht="17.15" hidden="false" customHeight="false" outlineLevel="0" collapsed="false">
      <c r="A10038" s="3" t="s">
        <v>1520</v>
      </c>
    </row>
    <row r="10039" customFormat="false" ht="15" hidden="false" customHeight="false" outlineLevel="0" collapsed="false">
      <c r="A10039" s="4" t="s">
        <v>43</v>
      </c>
      <c r="B10039" s="4" t="s">
        <v>65</v>
      </c>
      <c r="C10039" s="20" t="s">
        <v>799</v>
      </c>
      <c r="D10039" s="20" t="s">
        <v>800</v>
      </c>
      <c r="E10039" s="20" t="s">
        <v>801</v>
      </c>
      <c r="F10039" s="20" t="s">
        <v>802</v>
      </c>
      <c r="G10039" s="20" t="s">
        <v>803</v>
      </c>
      <c r="H10039" s="20" t="s">
        <v>804</v>
      </c>
      <c r="I10039" s="20" t="s">
        <v>805</v>
      </c>
      <c r="J10039" s="20" t="s">
        <v>806</v>
      </c>
      <c r="K10039" s="20" t="s">
        <v>807</v>
      </c>
      <c r="L10039" s="4" t="s">
        <v>47</v>
      </c>
    </row>
    <row r="10040" customFormat="false" ht="15" hidden="false" customHeight="false" outlineLevel="0" collapsed="false">
      <c r="A10040" s="1" t="s">
        <v>925</v>
      </c>
      <c r="B10040" s="0" t="s">
        <v>98</v>
      </c>
      <c r="F10040" s="6" t="n">
        <f aca="false">Sens!F10021</f>
        <v>144.681473551142</v>
      </c>
      <c r="G10040" s="6" t="n">
        <f aca="false">Sens!G10021</f>
        <v>169.342550948424</v>
      </c>
      <c r="H10040" s="6" t="n">
        <f aca="false">Sens!H10021</f>
        <v>197.401888955047</v>
      </c>
      <c r="I10040" s="6" t="n">
        <f aca="false">Sens!I10021</f>
        <v>219.02903110379</v>
      </c>
      <c r="J10040" s="6" t="n">
        <f aca="false">Sens!J10021</f>
        <v>237.779823625299</v>
      </c>
      <c r="K10040" s="6" t="n">
        <f aca="false">Sens!K10021</f>
        <v>254.906021594732</v>
      </c>
    </row>
    <row r="10041" customFormat="false" ht="17.15" hidden="false" customHeight="false" outlineLevel="0" collapsed="false">
      <c r="A10041" s="1" t="s">
        <v>947</v>
      </c>
      <c r="B10041" s="0" t="s">
        <v>98</v>
      </c>
      <c r="E10041" s="6" t="n">
        <f aca="false">Q!M38-Sens!E9959</f>
        <v>22.2285940229167</v>
      </c>
      <c r="F10041" s="6" t="n">
        <f aca="false">Sens!E10041*(1-1/life_nonai)+(Sens!F10048+Sens!F10049)/life_nonai</f>
        <v>24.3924470334783</v>
      </c>
      <c r="G10041" s="6" t="n">
        <f aca="false">Sens!F10041*(1-1/life_nonai)+(Sens!G10048)/life_nonai</f>
        <v>26.1122564714798</v>
      </c>
      <c r="H10041" s="6" t="n">
        <f aca="false">Sens!G10041*(1-1/life_nonai)+(Sens!H10048)/life_nonai</f>
        <v>28.254818938617</v>
      </c>
      <c r="I10041" s="6" t="n">
        <f aca="false">Sens!H10041*(1-1/life_nonai)+(Sens!I10048)/life_nonai</f>
        <v>30.7428625376945</v>
      </c>
      <c r="J10041" s="6" t="n">
        <f aca="false">Sens!I10041*(1-1/life_nonai)+(Sens!J10048)/life_nonai</f>
        <v>33.4835582459411</v>
      </c>
      <c r="K10041" s="6" t="n">
        <f aca="false">Sens!J10041*(1-1/life_nonai)+(Sens!K10048)/life_nonai</f>
        <v>36.3917802373136</v>
      </c>
      <c r="L10041" s="11" t="s">
        <v>948</v>
      </c>
    </row>
    <row r="10042" customFormat="false" ht="17.15" hidden="false" customHeight="false" outlineLevel="0" collapsed="false">
      <c r="A10042" s="1" t="s">
        <v>949</v>
      </c>
      <c r="B10042" s="0" t="s">
        <v>98</v>
      </c>
      <c r="F10042" s="6" t="n">
        <f aca="false">Sens!$F$10049/life_nonai*(1-1/life_nonai)^(Sens!F9925-2027)</f>
        <v>0.814213489897089</v>
      </c>
      <c r="G10042" s="6" t="n">
        <f aca="false">Sens!$F$10049/life_nonai*(1-1/life_nonai)^(Sens!G9925-2027)</f>
        <v>0.73279214090738</v>
      </c>
      <c r="H10042" s="6" t="n">
        <f aca="false">Sens!$F$10049/life_nonai*(1-1/life_nonai)^(Sens!H9925-2027)</f>
        <v>0.659512926816642</v>
      </c>
      <c r="I10042" s="6" t="n">
        <f aca="false">Sens!$F$10049/life_nonai*(1-1/life_nonai)^(Sens!I9925-2027)</f>
        <v>0.593561634134978</v>
      </c>
      <c r="J10042" s="6" t="n">
        <f aca="false">Sens!$F$10049/life_nonai*(1-1/life_nonai)^(Sens!J9925-2027)</f>
        <v>0.53420547072148</v>
      </c>
      <c r="K10042" s="6" t="n">
        <f aca="false">Sens!$F$10049/life_nonai*(1-1/life_nonai)^(Sens!K9925-2027)</f>
        <v>0.480784923649332</v>
      </c>
      <c r="L10042" s="1" t="s">
        <v>950</v>
      </c>
    </row>
    <row r="10043" customFormat="false" ht="17.15" hidden="false" customHeight="false" outlineLevel="0" collapsed="false">
      <c r="A10043" s="1" t="s">
        <v>951</v>
      </c>
      <c r="B10043" s="0" t="s">
        <v>98</v>
      </c>
      <c r="E10043" s="6" t="n">
        <f aca="false">Sens!E9959+Sens!E10041</f>
        <v>38.534</v>
      </c>
      <c r="F10043" s="6" t="n">
        <f aca="false">Sens!F9959+Sens!F10041</f>
        <v>58.4423344144339</v>
      </c>
      <c r="G10043" s="6" t="n">
        <f aca="false">Sens!G9959+Sens!G10041</f>
        <v>85.2376935819909</v>
      </c>
      <c r="H10043" s="6" t="n">
        <f aca="false">Sens!H9959+Sens!H10041</f>
        <v>114.615838781928</v>
      </c>
      <c r="I10043" s="6" t="n">
        <f aca="false">Sens!I9959+Sens!I10041</f>
        <v>141.348606370087</v>
      </c>
      <c r="J10043" s="6" t="n">
        <f aca="false">Sens!J9959+Sens!J10041</f>
        <v>161.481881098784</v>
      </c>
      <c r="K10043" s="6" t="n">
        <f aca="false">Sens!K9959+Sens!K10041</f>
        <v>175.523244281622</v>
      </c>
    </row>
    <row r="10044" customFormat="false" ht="17.15" hidden="false" customHeight="false" outlineLevel="0" collapsed="false">
      <c r="A10044" s="1" t="s">
        <v>952</v>
      </c>
      <c r="B10044" s="0" t="s">
        <v>98</v>
      </c>
      <c r="F10044" s="6" t="n">
        <f aca="false">Sens!F9986*sbc_r</f>
        <v>15.1186486817177</v>
      </c>
      <c r="G10044" s="6" t="n">
        <f aca="false">Sens!G9986*sbc_r</f>
        <v>18.3624868071166</v>
      </c>
      <c r="H10044" s="6" t="n">
        <f aca="false">Sens!H9986*sbc_r</f>
        <v>21.8477040727982</v>
      </c>
      <c r="I10044" s="6" t="n">
        <f aca="false">Sens!I9986*sbc_r</f>
        <v>24.8226191091996</v>
      </c>
      <c r="J10044" s="6" t="n">
        <f aca="false">Sens!J9986*sbc_r</f>
        <v>27.2268979808014</v>
      </c>
      <c r="K10044" s="6" t="n">
        <f aca="false">Sens!K9986*sbc_r</f>
        <v>29.1629731840292</v>
      </c>
    </row>
    <row r="10045" customFormat="false" ht="17.15" hidden="false" customHeight="false" outlineLevel="0" collapsed="false">
      <c r="A10045" s="1" t="s">
        <v>953</v>
      </c>
      <c r="B10045" s="0" t="s">
        <v>98</v>
      </c>
      <c r="F10045" s="6" t="n">
        <f aca="false">wc27</f>
        <v>-4.895</v>
      </c>
      <c r="G10045" s="6" t="n">
        <f aca="false">wc_f</f>
        <v>0</v>
      </c>
      <c r="H10045" s="6" t="n">
        <f aca="false">wc_f</f>
        <v>0</v>
      </c>
      <c r="I10045" s="6" t="n">
        <f aca="false">wc_f</f>
        <v>0</v>
      </c>
      <c r="J10045" s="6" t="n">
        <f aca="false">wc_f</f>
        <v>0</v>
      </c>
      <c r="K10045" s="6" t="n">
        <f aca="false">wc_f</f>
        <v>0</v>
      </c>
      <c r="L10045" s="11" t="s">
        <v>954</v>
      </c>
    </row>
    <row r="10046" customFormat="false" ht="15" hidden="false" customHeight="false" outlineLevel="0" collapsed="false">
      <c r="A10046" s="1" t="s">
        <v>767</v>
      </c>
      <c r="B10046" s="0" t="s">
        <v>98</v>
      </c>
      <c r="E10046" s="6" t="n">
        <f aca="false">Q!M35</f>
        <v>182.935</v>
      </c>
      <c r="F10046" s="6" t="n">
        <f aca="false">Sens!F10040+Sens!F10043+Sens!F10044+Sens!F10045</f>
        <v>213.347456647294</v>
      </c>
      <c r="G10046" s="6" t="n">
        <f aca="false">Sens!G10040+Sens!G10043+Sens!G10044+Sens!G10045</f>
        <v>272.942731337531</v>
      </c>
      <c r="H10046" s="6" t="n">
        <f aca="false">Sens!H10040+Sens!H10043+Sens!H10044+Sens!H10045</f>
        <v>333.865431809773</v>
      </c>
      <c r="I10046" s="6" t="n">
        <f aca="false">Sens!I10040+Sens!I10043+Sens!I10044+Sens!I10045</f>
        <v>385.200256583077</v>
      </c>
      <c r="J10046" s="6" t="n">
        <f aca="false">Sens!J10040+Sens!J10043+Sens!J10044+Sens!J10045</f>
        <v>426.488602704885</v>
      </c>
      <c r="K10046" s="6" t="n">
        <f aca="false">Sens!K10040+Sens!K10043+Sens!K10044+Sens!K10045</f>
        <v>459.592239060383</v>
      </c>
    </row>
    <row r="10047" customFormat="false" ht="17.15" hidden="false" customHeight="false" outlineLevel="0" collapsed="false">
      <c r="A10047" s="0" t="s">
        <v>955</v>
      </c>
      <c r="B10047" s="0" t="s">
        <v>98</v>
      </c>
      <c r="F10047" s="6" t="n">
        <f aca="false">Sens!F9956</f>
        <v>160.332875871467</v>
      </c>
      <c r="G10047" s="6" t="n">
        <f aca="false">Sens!G9956</f>
        <v>183.5741804832</v>
      </c>
      <c r="H10047" s="6" t="n">
        <f aca="false">Sens!H9956</f>
        <v>188.0802859104</v>
      </c>
      <c r="I10047" s="6" t="n">
        <f aca="false">Sens!I9956</f>
        <v>163.706669154245</v>
      </c>
      <c r="J10047" s="6" t="n">
        <f aca="false">Sens!J9956</f>
        <v>127.181436594242</v>
      </c>
      <c r="K10047" s="6" t="n">
        <f aca="false">Sens!K9956</f>
        <v>121.407415303591</v>
      </c>
    </row>
    <row r="10048" customFormat="false" ht="17.15" hidden="false" customHeight="false" outlineLevel="0" collapsed="false">
      <c r="A10048" s="1" t="s">
        <v>956</v>
      </c>
      <c r="B10048" s="0" t="s">
        <v>98</v>
      </c>
      <c r="E10048" s="6" t="n">
        <f aca="false">Sens!E9964*cx_azo+Sens!E9971*cx_m365+Sens!E9972*cx_lic+(Sens!E9974+Sens!E9976)*cx_ind+Sens!E9979*cx_srch+(Sens!E9981+Sens!E9983)*cx_dev</f>
        <v>30.1846587067718</v>
      </c>
      <c r="F10048" s="6" t="n">
        <f aca="false">Sens!F9964*cx_azo+Sens!F9971*cx_m365+Sens!F9972*cx_lic+(Sens!F9974+Sens!F9976)*cx_ind+Sens!F9979*cx_srch+(Sens!F9981+Sens!F9983)*cx_dev</f>
        <v>35.7249892295625</v>
      </c>
      <c r="G10048" s="6" t="n">
        <f aca="false">Sens!G9964*cx_azo+Sens!G9971*cx_m365+Sens!G9972*cx_lic+(Sens!G9974+Sens!G9976)*cx_ind+Sens!G9979*cx_srch+(Sens!G9981+Sens!G9983)*cx_dev</f>
        <v>41.5905414134931</v>
      </c>
      <c r="H10048" s="6" t="n">
        <f aca="false">Sens!H9964*cx_azo+Sens!H9971*cx_m365+Sens!H9972*cx_lic+(Sens!H9974+Sens!H9976)*cx_ind+Sens!H9979*cx_srch+(Sens!H9981+Sens!H9983)*cx_dev</f>
        <v>47.5378811428518</v>
      </c>
      <c r="I10048" s="6" t="n">
        <f aca="false">Sens!I9964*cx_azo+Sens!I9971*cx_m365+Sens!I9972*cx_lic+(Sens!I9974+Sens!I9976)*cx_ind+Sens!I9979*cx_srch+(Sens!I9981+Sens!I9983)*cx_dev</f>
        <v>53.1352549293923</v>
      </c>
      <c r="J10048" s="6" t="n">
        <f aca="false">Sens!J9964*cx_azo+Sens!J9971*cx_m365+Sens!J9972*cx_lic+(Sens!J9974+Sens!J9976)*cx_ind+Sens!J9979*cx_srch+(Sens!J9981+Sens!J9983)*cx_dev</f>
        <v>58.1498196201597</v>
      </c>
      <c r="K10048" s="6" t="n">
        <f aca="false">Sens!K9964*cx_azo+Sens!K9971*cx_m365+Sens!K9972*cx_lic+(Sens!K9974+Sens!K9976)*cx_ind+Sens!K9979*cx_srch+(Sens!K9981+Sens!K9983)*cx_dev</f>
        <v>62.5657781596659</v>
      </c>
    </row>
    <row r="10049" customFormat="false" ht="17.15" hidden="false" customHeight="false" outlineLevel="0" collapsed="false">
      <c r="A10049" s="0" t="s">
        <v>957</v>
      </c>
      <c r="B10049" s="0" t="s">
        <v>98</v>
      </c>
      <c r="F10049" s="6" t="n">
        <f aca="false">Sens!F9954</f>
        <v>8.14213489897089</v>
      </c>
      <c r="L10049" s="1" t="s">
        <v>958</v>
      </c>
    </row>
    <row r="10050" customFormat="false" ht="17.15" hidden="false" customHeight="false" outlineLevel="0" collapsed="false">
      <c r="A10050" s="1" t="s">
        <v>959</v>
      </c>
      <c r="B10050" s="0" t="s">
        <v>98</v>
      </c>
      <c r="E10050" s="6" t="n">
        <f aca="false">Q!M42</f>
        <v>145.3</v>
      </c>
      <c r="F10050" s="6" t="n">
        <f aca="false">Sens!F10047+Sens!F10048+Sens!F10049</f>
        <v>204.2</v>
      </c>
      <c r="G10050" s="6" t="n">
        <f aca="false">Sens!G10047+Sens!G10048</f>
        <v>225.164721896693</v>
      </c>
      <c r="H10050" s="6" t="n">
        <f aca="false">Sens!H10047+Sens!H10048</f>
        <v>235.618167053252</v>
      </c>
      <c r="I10050" s="6" t="n">
        <f aca="false">Sens!I10047+Sens!I10048</f>
        <v>216.841924083638</v>
      </c>
      <c r="J10050" s="6" t="n">
        <f aca="false">Sens!J10047+Sens!J10048</f>
        <v>185.331256214402</v>
      </c>
      <c r="K10050" s="6" t="n">
        <f aca="false">Sens!K10047+Sens!K10048</f>
        <v>183.973193463257</v>
      </c>
      <c r="L10050" s="1" t="s">
        <v>960</v>
      </c>
    </row>
    <row r="10051" customFormat="false" ht="15" hidden="false" customHeight="false" outlineLevel="0" collapsed="false">
      <c r="A10051" s="1" t="s">
        <v>961</v>
      </c>
      <c r="B10051" s="0" t="s">
        <v>98</v>
      </c>
      <c r="E10051" s="6" t="n">
        <f aca="false">fl_liab</f>
        <v>66.594</v>
      </c>
      <c r="F10051" s="6" t="n">
        <f aca="false">Sens!E10051-Sens!F10052</f>
        <v>62.46973</v>
      </c>
      <c r="G10051" s="6" t="n">
        <f aca="false">Sens!F10051-Sens!G10052</f>
        <v>57.98686785</v>
      </c>
      <c r="H10051" s="6" t="n">
        <f aca="false">Sens!G10051-Sens!H10052</f>
        <v>53.92827690325</v>
      </c>
      <c r="I10051" s="6" t="n">
        <f aca="false">Sens!H10051-Sens!I10052</f>
        <v>49.7850493638962</v>
      </c>
      <c r="J10051" s="6" t="n">
        <f aca="false">Sens!I10051-Sens!J10052</f>
        <v>45.4823765852716</v>
      </c>
      <c r="K10051" s="6" t="n">
        <f aca="false">Sens!J10051-Sens!K10052</f>
        <v>40.9860835316088</v>
      </c>
    </row>
    <row r="10052" customFormat="false" ht="15" hidden="false" customHeight="false" outlineLevel="0" collapsed="false">
      <c r="A10052" s="1" t="s">
        <v>962</v>
      </c>
      <c r="B10052" s="0" t="s">
        <v>98</v>
      </c>
      <c r="F10052" s="6" t="n">
        <f aca="false">fl_pay_27-Sens!E10051*fl_rate</f>
        <v>4.12427</v>
      </c>
      <c r="G10052" s="6" t="n">
        <f aca="false">fl_pay_28-Sens!F10051*fl_rate</f>
        <v>4.48286215</v>
      </c>
      <c r="H10052" s="6" t="n">
        <f aca="false">fl_pay_29-Sens!G10051*fl_rate</f>
        <v>4.05859094675</v>
      </c>
      <c r="I10052" s="6" t="n">
        <f aca="false">fl_pay_30-Sens!H10051*fl_rate</f>
        <v>4.14322753935375</v>
      </c>
      <c r="J10052" s="6" t="n">
        <f aca="false">fl_pay_31-Sens!I10051*fl_rate</f>
        <v>4.30267277862467</v>
      </c>
      <c r="K10052" s="6" t="n">
        <f aca="false">fl_pay_32-Sens!J10051*fl_rate</f>
        <v>4.49629305366278</v>
      </c>
    </row>
    <row r="10053" customFormat="false" ht="17.15" hidden="false" customHeight="false" outlineLevel="0" collapsed="false">
      <c r="A10053" s="1" t="s">
        <v>963</v>
      </c>
      <c r="B10053" s="0" t="s">
        <v>98</v>
      </c>
      <c r="E10053" s="6" t="n">
        <f aca="false">Q!M35-Q!M36-Q!M43</f>
        <v>63.886</v>
      </c>
      <c r="F10053" s="6" t="n">
        <f aca="false">Sens!F10046-Sens!F10050-Sens!F10052</f>
        <v>5.02318664729392</v>
      </c>
      <c r="G10053" s="6" t="n">
        <f aca="false">Sens!G10046-Sens!G10050-Sens!G10052</f>
        <v>43.295147290838</v>
      </c>
      <c r="H10053" s="6" t="n">
        <f aca="false">Sens!H10046-Sens!H10050-Sens!H10052</f>
        <v>94.1886738097716</v>
      </c>
      <c r="I10053" s="6" t="n">
        <f aca="false">Sens!I10046-Sens!I10050-Sens!I10052</f>
        <v>164.215104960086</v>
      </c>
      <c r="J10053" s="6" t="n">
        <f aca="false">Sens!J10046-Sens!J10050-Sens!J10052</f>
        <v>236.854673711858</v>
      </c>
      <c r="K10053" s="6" t="n">
        <f aca="false">Sens!K10046-Sens!K10050-Sens!K10052</f>
        <v>271.122752543464</v>
      </c>
      <c r="L10053" s="11" t="s">
        <v>964</v>
      </c>
    </row>
    <row r="10054" customFormat="false" ht="15" hidden="false" customHeight="false" outlineLevel="0" collapsed="false">
      <c r="A10054" s="1" t="s">
        <v>965</v>
      </c>
      <c r="B10054" s="0" t="s">
        <v>75</v>
      </c>
      <c r="F10054" s="8" t="n">
        <f aca="false">dps_27</f>
        <v>3.85</v>
      </c>
      <c r="G10054" s="8" t="n">
        <f aca="false">Sens!F10054*(1+dps_g)</f>
        <v>4.158</v>
      </c>
      <c r="H10054" s="8" t="n">
        <f aca="false">Sens!G10054*(1+dps_g)</f>
        <v>4.49064</v>
      </c>
      <c r="I10054" s="8" t="n">
        <f aca="false">Sens!H10054*(1+dps_g)</f>
        <v>4.8498912</v>
      </c>
      <c r="J10054" s="8" t="n">
        <f aca="false">Sens!I10054*(1+dps_g)</f>
        <v>5.237882496</v>
      </c>
      <c r="K10054" s="8" t="n">
        <f aca="false">Sens!J10054*(1+dps_g)</f>
        <v>5.65691309568</v>
      </c>
    </row>
    <row r="10055" customFormat="false" ht="17.15" hidden="false" customHeight="false" outlineLevel="0" collapsed="false">
      <c r="A10055" s="1" t="s">
        <v>966</v>
      </c>
      <c r="B10055" s="0" t="s">
        <v>98</v>
      </c>
      <c r="E10055" s="6" t="n">
        <f aca="false">Q!M41</f>
        <v>26.445</v>
      </c>
      <c r="F10055" s="6" t="n">
        <f aca="false">Sens!F10054*Sens!E10064</f>
        <v>28.59395</v>
      </c>
      <c r="G10055" s="6" t="n">
        <f aca="false">Sens!G10054*Sens!F10064</f>
        <v>31.068576</v>
      </c>
      <c r="H10055" s="6" t="n">
        <f aca="false">Sens!H10054*Sens!G10064</f>
        <v>33.6642915210319</v>
      </c>
      <c r="I10055" s="6" t="n">
        <f aca="false">Sens!I10054*Sens!H10064</f>
        <v>36.4083740827139</v>
      </c>
      <c r="J10055" s="6" t="n">
        <f aca="false">Sens!J10054*Sens!I10064</f>
        <v>39.3894428576505</v>
      </c>
      <c r="K10055" s="6" t="n">
        <f aca="false">Sens!K10054*Sens!J10064</f>
        <v>42.6278535115676</v>
      </c>
      <c r="L10055" s="1" t="s">
        <v>967</v>
      </c>
    </row>
    <row r="10056" customFormat="false" ht="15" hidden="false" customHeight="false" outlineLevel="0" collapsed="false">
      <c r="A10056" s="1" t="s">
        <v>968</v>
      </c>
      <c r="B10056" s="0" t="s">
        <v>98</v>
      </c>
      <c r="E10056" s="6" t="n">
        <f aca="false">Sens!E10053-Sens!E10055</f>
        <v>37.441</v>
      </c>
      <c r="F10056" s="6" t="n">
        <f aca="false">Sens!F10053-Sens!F10055</f>
        <v>-23.5707633527061</v>
      </c>
      <c r="G10056" s="6" t="n">
        <f aca="false">Sens!G10053-Sens!G10055</f>
        <v>12.226571290838</v>
      </c>
      <c r="H10056" s="6" t="n">
        <f aca="false">Sens!H10053-Sens!H10055</f>
        <v>60.5243822887397</v>
      </c>
      <c r="I10056" s="6" t="n">
        <f aca="false">Sens!I10053-Sens!I10055</f>
        <v>127.806730877372</v>
      </c>
      <c r="J10056" s="6" t="n">
        <f aca="false">Sens!J10053-Sens!J10055</f>
        <v>197.465230854208</v>
      </c>
      <c r="K10056" s="6" t="n">
        <f aca="false">Sens!K10053-Sens!K10055</f>
        <v>228.494899031896</v>
      </c>
    </row>
    <row r="10057" customFormat="false" ht="15" hidden="false" customHeight="false" outlineLevel="0" collapsed="false">
      <c r="A10057" s="1" t="s">
        <v>969</v>
      </c>
      <c r="B10057" s="0" t="s">
        <v>98</v>
      </c>
      <c r="F10057" s="6" t="n">
        <f aca="false">debt_mat_27</f>
        <v>9.25</v>
      </c>
      <c r="G10057" s="6" t="n">
        <f aca="false">debt_mat_28</f>
        <v>0</v>
      </c>
      <c r="H10057" s="6" t="n">
        <f aca="false">debt_mat_29</f>
        <v>2.001</v>
      </c>
      <c r="I10057" s="6" t="n">
        <f aca="false">debt_mat_30</f>
        <v>0</v>
      </c>
      <c r="J10057" s="6" t="n">
        <f aca="false">debt_mat_31</f>
        <v>0.5</v>
      </c>
      <c r="K10057" s="6" t="n">
        <f aca="false">debt_mat_32</f>
        <v>0</v>
      </c>
    </row>
    <row r="10058" customFormat="false" ht="15" hidden="false" customHeight="false" outlineLevel="0" collapsed="false">
      <c r="A10058" s="1" t="s">
        <v>970</v>
      </c>
      <c r="B10058" s="0" t="s">
        <v>98</v>
      </c>
      <c r="E10058" s="6" t="n">
        <f aca="false">Q!M40</f>
        <v>22.271</v>
      </c>
      <c r="F10058" s="6" t="n">
        <f aca="false">MAX(0,MIN(bb_target,Sens!E10060+Sens!F10056-Sens!F10057-min_cash))</f>
        <v>0</v>
      </c>
      <c r="G10058" s="6" t="n">
        <f aca="false">MAX(0,MIN(bb_target,Sens!F10060+Sens!G10056-Sens!G10057-min_cash))</f>
        <v>12.226571290838</v>
      </c>
      <c r="H10058" s="6" t="n">
        <f aca="false">MAX(0,MIN(bb_target,Sens!G10060+Sens!H10056-Sens!H10057-min_cash))</f>
        <v>22.271</v>
      </c>
      <c r="I10058" s="6" t="n">
        <f aca="false">MAX(0,MIN(bb_target,Sens!H10060+Sens!I10056-Sens!I10057-min_cash))</f>
        <v>22.271</v>
      </c>
      <c r="J10058" s="6" t="n">
        <f aca="false">MAX(0,MIN(bb_target,Sens!I10060+Sens!J10056-Sens!J10057-min_cash))</f>
        <v>22.271</v>
      </c>
      <c r="K10058" s="6" t="n">
        <f aca="false">MAX(0,MIN(bb_target,Sens!J10060+Sens!K10056-Sens!K10057-min_cash))</f>
        <v>22.271</v>
      </c>
    </row>
    <row r="10059" customFormat="false" ht="15" hidden="false" customHeight="false" outlineLevel="0" collapsed="false">
      <c r="A10059" s="1" t="s">
        <v>971</v>
      </c>
      <c r="B10059" s="0" t="s">
        <v>98</v>
      </c>
      <c r="F10059" s="6" t="n">
        <f aca="false">MAX(0,min_cash-(Sens!E10060+Sens!F10056-Sens!F10057-Sens!F10058))</f>
        <v>5.97776335270608</v>
      </c>
      <c r="G10059" s="6" t="n">
        <f aca="false">MAX(0,min_cash-(Sens!F10060+Sens!G10056-Sens!G10057-Sens!G10058))</f>
        <v>0</v>
      </c>
      <c r="H10059" s="6" t="n">
        <f aca="false">MAX(0,min_cash-(Sens!G10060+Sens!H10056-Sens!H10057-Sens!H10058))</f>
        <v>0</v>
      </c>
      <c r="I10059" s="6" t="n">
        <f aca="false">MAX(0,min_cash-(Sens!H10060+Sens!I10056-Sens!I10057-Sens!I10058))</f>
        <v>0</v>
      </c>
      <c r="J10059" s="6" t="n">
        <f aca="false">MAX(0,min_cash-(Sens!I10060+Sens!J10056-Sens!J10057-Sens!J10058))</f>
        <v>0</v>
      </c>
      <c r="K10059" s="6" t="n">
        <f aca="false">MAX(0,min_cash-(Sens!J10060+Sens!K10056-Sens!K10057-Sens!K10058))</f>
        <v>0</v>
      </c>
    </row>
    <row r="10060" customFormat="false" ht="15" hidden="false" customHeight="false" outlineLevel="0" collapsed="false">
      <c r="A10060" s="1" t="s">
        <v>972</v>
      </c>
      <c r="B10060" s="0" t="s">
        <v>98</v>
      </c>
      <c r="E10060" s="6" t="n">
        <f aca="false">cash_open</f>
        <v>76.843</v>
      </c>
      <c r="F10060" s="6" t="n">
        <f aca="false">Sens!E10060+Sens!F10056-Sens!F10057-Sens!F10058+Sens!F10059</f>
        <v>50</v>
      </c>
      <c r="G10060" s="6" t="n">
        <f aca="false">Sens!F10060+Sens!G10056-Sens!G10057-Sens!G10058+Sens!G10059</f>
        <v>50</v>
      </c>
      <c r="H10060" s="6" t="n">
        <f aca="false">Sens!G10060+Sens!H10056-Sens!H10057-Sens!H10058+Sens!H10059</f>
        <v>86.2523822887397</v>
      </c>
      <c r="I10060" s="6" t="n">
        <f aca="false">Sens!H10060+Sens!I10056-Sens!I10057-Sens!I10058+Sens!I10059</f>
        <v>191.788113166111</v>
      </c>
      <c r="J10060" s="6" t="n">
        <f aca="false">Sens!I10060+Sens!J10056-Sens!J10057-Sens!J10058+Sens!J10059</f>
        <v>366.482344020319</v>
      </c>
      <c r="K10060" s="6" t="n">
        <f aca="false">Sens!J10060+Sens!K10056-Sens!K10057-Sens!K10058+Sens!K10059</f>
        <v>572.706243052215</v>
      </c>
    </row>
    <row r="10061" customFormat="false" ht="15" hidden="false" customHeight="false" outlineLevel="0" collapsed="false">
      <c r="A10061" s="1" t="s">
        <v>973</v>
      </c>
      <c r="B10061" s="0" t="s">
        <v>98</v>
      </c>
      <c r="E10061" s="6" t="n">
        <f aca="false">debt_face</f>
        <v>46.136</v>
      </c>
      <c r="F10061" s="6" t="n">
        <f aca="false">Sens!E10061-Sens!F10057+Sens!F10059</f>
        <v>42.8637633527061</v>
      </c>
      <c r="G10061" s="6" t="n">
        <f aca="false">Sens!F10061-Sens!G10057+Sens!G10059</f>
        <v>42.8637633527061</v>
      </c>
      <c r="H10061" s="6" t="n">
        <f aca="false">Sens!G10061-Sens!H10057+Sens!H10059</f>
        <v>40.8627633527061</v>
      </c>
      <c r="I10061" s="6" t="n">
        <f aca="false">Sens!H10061-Sens!I10057+Sens!I10059</f>
        <v>40.8627633527061</v>
      </c>
      <c r="J10061" s="6" t="n">
        <f aca="false">Sens!I10061-Sens!J10057+Sens!J10059</f>
        <v>40.3627633527061</v>
      </c>
      <c r="K10061" s="6" t="n">
        <f aca="false">Sens!J10061-Sens!K10057+Sens!K10059</f>
        <v>40.3627633527061</v>
      </c>
    </row>
    <row r="10062" customFormat="false" ht="15" hidden="false" customHeight="false" outlineLevel="0" collapsed="false">
      <c r="A10062" s="1" t="s">
        <v>974</v>
      </c>
      <c r="B10062" s="0" t="s">
        <v>98</v>
      </c>
      <c r="E10062" s="6" t="n">
        <f aca="false">Sens!E10060-Sens!E10061</f>
        <v>30.707</v>
      </c>
      <c r="F10062" s="6" t="n">
        <f aca="false">Sens!F10060-Sens!F10061</f>
        <v>7.13623664729392</v>
      </c>
      <c r="G10062" s="6" t="n">
        <f aca="false">Sens!G10060-Sens!G10061</f>
        <v>7.13623664729392</v>
      </c>
      <c r="H10062" s="6" t="n">
        <f aca="false">Sens!H10060-Sens!H10061</f>
        <v>45.3896189360336</v>
      </c>
      <c r="I10062" s="6" t="n">
        <f aca="false">Sens!I10060-Sens!I10061</f>
        <v>150.925349813405</v>
      </c>
      <c r="J10062" s="6" t="n">
        <f aca="false">Sens!J10060-Sens!J10061</f>
        <v>326.119580667613</v>
      </c>
      <c r="K10062" s="6" t="n">
        <f aca="false">Sens!K10060-Sens!K10061</f>
        <v>532.343479699509</v>
      </c>
    </row>
    <row r="10063" customFormat="false" ht="15" hidden="false" customHeight="false" outlineLevel="0" collapsed="false">
      <c r="A10063" s="1" t="s">
        <v>975</v>
      </c>
      <c r="B10063" s="0" t="s">
        <v>75</v>
      </c>
      <c r="F10063" s="29" t="n">
        <f aca="false">px*(1+bb_g)^(Sens!F9925-base_fy-mid_yr)</f>
        <v>553.494156066711</v>
      </c>
      <c r="G10063" s="29" t="n">
        <f aca="false">px*(1+bb_g)^(Sens!G9925-base_fy-mid_yr)</f>
        <v>597.773688552047</v>
      </c>
      <c r="H10063" s="29" t="n">
        <f aca="false">px*(1+bb_g)^(Sens!H9925-base_fy-mid_yr)</f>
        <v>645.595583636211</v>
      </c>
      <c r="I10063" s="29" t="n">
        <f aca="false">px*(1+bb_g)^(Sens!I9925-base_fy-mid_yr)</f>
        <v>697.243230327108</v>
      </c>
      <c r="J10063" s="29" t="n">
        <f aca="false">px*(1+bb_g)^(Sens!J9925-base_fy-mid_yr)</f>
        <v>753.022688753277</v>
      </c>
      <c r="K10063" s="29" t="n">
        <f aca="false">px*(1+bb_g)^(Sens!K9925-base_fy-mid_yr)</f>
        <v>813.264503853539</v>
      </c>
    </row>
    <row r="10064" customFormat="false" ht="15" hidden="false" customHeight="false" outlineLevel="0" collapsed="false">
      <c r="A10064" s="1" t="s">
        <v>976</v>
      </c>
      <c r="B10064" s="1" t="s">
        <v>81</v>
      </c>
      <c r="E10064" s="14" t="n">
        <f aca="false">sh_out26</f>
        <v>7.427</v>
      </c>
      <c r="F10064" s="14" t="n">
        <f aca="false">Sens!E10064+sh_iss-Sens!F10058/Sens!F10063</f>
        <v>7.472</v>
      </c>
      <c r="G10064" s="14" t="n">
        <f aca="false">Sens!F10064+sh_iss-Sens!G10058/Sens!G10063</f>
        <v>7.49654648803554</v>
      </c>
      <c r="H10064" s="14" t="n">
        <f aca="false">Sens!G10064+sh_iss-Sens!H10058/Sens!H10063</f>
        <v>7.50704965973544</v>
      </c>
      <c r="I10064" s="14" t="n">
        <f aca="false">Sens!H10064+sh_iss-Sens!I10058/Sens!I10063</f>
        <v>7.52010815205017</v>
      </c>
      <c r="J10064" s="14" t="n">
        <f aca="false">Sens!I10064+sh_iss-Sens!J10058/Sens!J10063</f>
        <v>7.53553268197121</v>
      </c>
      <c r="K10064" s="14" t="n">
        <f aca="false">Sens!J10064+sh_iss-Sens!K10058/Sens!K10063</f>
        <v>7.55314798745365</v>
      </c>
    </row>
    <row r="10065" customFormat="false" ht="15" hidden="false" customHeight="false" outlineLevel="0" collapsed="false">
      <c r="A10065" s="1" t="s">
        <v>977</v>
      </c>
      <c r="B10065" s="1" t="s">
        <v>81</v>
      </c>
      <c r="E10065" s="14" t="n">
        <f aca="false">sh_dil26</f>
        <v>7.453</v>
      </c>
      <c r="F10065" s="14" t="n">
        <f aca="false">(Sens!E10064+Sens!F10064)/2+dil_gap</f>
        <v>7.4735</v>
      </c>
      <c r="G10065" s="14" t="n">
        <f aca="false">(Sens!F10064+Sens!G10064)/2+dil_gap</f>
        <v>7.50827324401777</v>
      </c>
      <c r="H10065" s="14" t="n">
        <f aca="false">(Sens!G10064+Sens!H10064)/2+dil_gap</f>
        <v>7.52579807388549</v>
      </c>
      <c r="I10065" s="14" t="n">
        <f aca="false">(Sens!H10064+Sens!I10064)/2+dil_gap</f>
        <v>7.53757890589281</v>
      </c>
      <c r="J10065" s="14" t="n">
        <f aca="false">(Sens!I10064+Sens!J10064)/2+dil_gap</f>
        <v>7.55182041701069</v>
      </c>
      <c r="K10065" s="14" t="n">
        <f aca="false">(Sens!J10064+Sens!K10064)/2+dil_gap</f>
        <v>7.56834033471243</v>
      </c>
    </row>
    <row r="10066" customFormat="false" ht="17.15" hidden="false" customHeight="false" outlineLevel="0" collapsed="false">
      <c r="A10066" s="1" t="s">
        <v>978</v>
      </c>
      <c r="B10066" s="0" t="s">
        <v>98</v>
      </c>
      <c r="C10066" s="6" t="n">
        <f aca="false">SUM(Sens!F10056:J10056)</f>
        <v>374.452151958451</v>
      </c>
    </row>
    <row r="10067" customFormat="false" ht="15" hidden="false" customHeight="false" outlineLevel="0" collapsed="false">
      <c r="A10067" s="23" t="s">
        <v>945</v>
      </c>
      <c r="B10067" s="30" t="s">
        <v>98</v>
      </c>
      <c r="C10067" s="24" t="n">
        <f aca="false">Sens!$C$10066-(Sens!F10056+Sens!G10056+Sens!H10056+Sens!I10056+Sens!J10056)</f>
        <v>0</v>
      </c>
      <c r="D10067" s="30"/>
      <c r="E10067" s="30"/>
      <c r="F10067" s="30"/>
      <c r="G10067" s="30"/>
      <c r="H10067" s="30"/>
      <c r="I10067" s="30"/>
      <c r="J10067" s="30"/>
      <c r="K10067" s="30"/>
    </row>
    <row r="10068" customFormat="false" ht="17.15" hidden="false" customHeight="false" outlineLevel="0" collapsed="false">
      <c r="A10068" s="1" t="s">
        <v>939</v>
      </c>
      <c r="B10068" s="1" t="s">
        <v>979</v>
      </c>
      <c r="C10068" s="32" t="str">
        <f aca="false">IF(SUM(Sens!F10059:J10059)&gt;0.05,"需要舉債 "&amp;TEXT(SUM(Sens!F10059:J10059),"0.0")&amp;" 十億美元","不需舉債")&amp;"；"&amp;IF(SUM(Sens!F10058:J10058)&lt;COUNT(Sens!F10058:J10058)*bb_target-0.05,"回購較每年 "&amp;TEXT(bb_target,"0.0")&amp;" 的目標少 "&amp;TEXT(COUNT(Sens!F10058:J10058)*bb_target-SUM(Sens!F10058:J10058),"0.0")&amp;" 十億美元（"&amp;TEXT(COUNTIF(Sens!F10058:J10058,"&lt;"&amp;(bb_target-0.05)),"0")&amp;" 年減少）","回購不減")</f>
        <v>需要舉債 6.0 十億美元；回購較每年 22.3 的目標少 32.3 十億美元（2 年減少）</v>
      </c>
    </row>
    <row r="10069" customFormat="false" ht="17.15" hidden="false" customHeight="false" outlineLevel="0" collapsed="false">
      <c r="A10069" s="3" t="s">
        <v>1521</v>
      </c>
    </row>
    <row r="10070" customFormat="false" ht="15" hidden="false" customHeight="false" outlineLevel="0" collapsed="false">
      <c r="A10070" s="4" t="s">
        <v>43</v>
      </c>
      <c r="B10070" s="4" t="s">
        <v>65</v>
      </c>
      <c r="C10070" s="20" t="s">
        <v>799</v>
      </c>
      <c r="D10070" s="20" t="s">
        <v>800</v>
      </c>
      <c r="E10070" s="20" t="s">
        <v>801</v>
      </c>
      <c r="F10070" s="20" t="s">
        <v>802</v>
      </c>
      <c r="G10070" s="20" t="s">
        <v>803</v>
      </c>
      <c r="H10070" s="20" t="s">
        <v>804</v>
      </c>
      <c r="I10070" s="20" t="s">
        <v>805</v>
      </c>
      <c r="J10070" s="20" t="s">
        <v>806</v>
      </c>
      <c r="K10070" s="20" t="s">
        <v>807</v>
      </c>
      <c r="L10070" s="4" t="s">
        <v>47</v>
      </c>
    </row>
    <row r="10071" customFormat="false" ht="15" hidden="false" customHeight="false" outlineLevel="0" collapsed="false">
      <c r="A10071" s="1" t="s">
        <v>1057</v>
      </c>
      <c r="B10071" s="1" t="s">
        <v>235</v>
      </c>
      <c r="F10071" s="36" t="n">
        <f aca="false">Sens!F9925-base_fy-mid_yr</f>
        <v>0.5</v>
      </c>
      <c r="G10071" s="36" t="n">
        <f aca="false">Sens!G9925-base_fy-mid_yr</f>
        <v>1.5</v>
      </c>
      <c r="H10071" s="36" t="n">
        <f aca="false">Sens!H9925-base_fy-mid_yr</f>
        <v>2.5</v>
      </c>
      <c r="I10071" s="36" t="n">
        <f aca="false">Sens!I9925-base_fy-mid_yr</f>
        <v>3.5</v>
      </c>
      <c r="J10071" s="36" t="n">
        <f aca="false">Sens!J9925-base_fy-mid_yr</f>
        <v>4.5</v>
      </c>
      <c r="K10071" s="36" t="n">
        <f aca="false">Sens!K9925-base_fy-mid_yr</f>
        <v>5.5</v>
      </c>
    </row>
    <row r="10072" customFormat="false" ht="15" hidden="false" customHeight="false" outlineLevel="0" collapsed="false">
      <c r="A10072" s="1" t="s">
        <v>1058</v>
      </c>
      <c r="B10072" s="0" t="s">
        <v>185</v>
      </c>
      <c r="F10072" s="14" t="n">
        <f aca="false">1/(1+wacc)^Sens!F10071</f>
        <v>0.952193373608246</v>
      </c>
      <c r="G10072" s="14" t="n">
        <f aca="false">1/(1+wacc)^Sens!G10071</f>
        <v>0.863327280626589</v>
      </c>
      <c r="H10072" s="14" t="n">
        <f aca="false">1/(1+wacc)^Sens!H10071</f>
        <v>0.782754862754115</v>
      </c>
      <c r="I10072" s="14" t="n">
        <f aca="false">1/(1+wacc)^Sens!I10071</f>
        <v>0.709702089711011</v>
      </c>
      <c r="J10072" s="14" t="n">
        <f aca="false">1/(1+wacc)^Sens!J10071</f>
        <v>0.643467169744551</v>
      </c>
      <c r="K10072" s="14" t="n">
        <f aca="false">1/(1+wacc)^Sens!K10071</f>
        <v>0.583413807767797</v>
      </c>
    </row>
    <row r="10073" customFormat="false" ht="17.15" hidden="false" customHeight="false" outlineLevel="0" collapsed="false">
      <c r="A10073" s="1" t="s">
        <v>1059</v>
      </c>
      <c r="B10073" s="0" t="s">
        <v>98</v>
      </c>
      <c r="F10073" s="6" t="n">
        <f aca="false">Sens!F10046-Sens!F10044-Sens!F10050+Sens!F10029*(1-tax_f)</f>
        <v>0.782795523686443</v>
      </c>
      <c r="G10073" s="6" t="n">
        <f aca="false">Sens!G10046-Sens!G10044-Sens!G10050+Sens!G10029*(1-tax_f)</f>
        <v>46.5077804591221</v>
      </c>
      <c r="H10073" s="6" t="n">
        <f aca="false">Sens!H10046-Sens!H10044-Sens!H10050+Sens!H10029*(1-tax_f)</f>
        <v>105.057271936832</v>
      </c>
      <c r="I10073" s="6" t="n">
        <f aca="false">Sens!I10046-Sens!I10044-Sens!I10050+Sens!I10029*(1-tax_f)</f>
        <v>183.031060709638</v>
      </c>
      <c r="J10073" s="6" t="n">
        <f aca="false">Sens!J10046-Sens!J10044-Sens!J10050+Sens!J10029*(1-tax_f)</f>
        <v>261.15626616083</v>
      </c>
      <c r="K10073" s="6" t="n">
        <f aca="false">Sens!K10046-Sens!K10044-Sens!K10050+Sens!K10029*(1-tax_f)</f>
        <v>297.831680236841</v>
      </c>
      <c r="L10073" s="1" t="s">
        <v>1060</v>
      </c>
    </row>
    <row r="10074" customFormat="false" ht="15" hidden="false" customHeight="false" outlineLevel="0" collapsed="false">
      <c r="A10074" s="1" t="s">
        <v>1061</v>
      </c>
      <c r="B10074" s="0" t="s">
        <v>98</v>
      </c>
      <c r="F10074" s="6" t="n">
        <f aca="false">Sens!F10073*Sens!F10072</f>
        <v>0.745372710544428</v>
      </c>
      <c r="G10074" s="6" t="n">
        <f aca="false">Sens!G10073*Sens!G10072</f>
        <v>40.1514356317523</v>
      </c>
      <c r="H10074" s="6" t="n">
        <f aca="false">Sens!H10073*Sens!H10072</f>
        <v>82.2340904762367</v>
      </c>
      <c r="I10074" s="6" t="n">
        <f aca="false">Sens!I10073*Sens!I10072</f>
        <v>129.897526267653</v>
      </c>
      <c r="J10074" s="6" t="n">
        <f aca="false">Sens!J10073*Sens!J10072</f>
        <v>168.045483447564</v>
      </c>
      <c r="K10074" s="6" t="n">
        <f aca="false">Sens!K10073*Sens!K10072</f>
        <v>173.759114640856</v>
      </c>
    </row>
    <row r="10075" customFormat="false" ht="17.15" hidden="false" customHeight="false" outlineLevel="0" collapsed="false">
      <c r="A10075" s="1" t="s">
        <v>1062</v>
      </c>
      <c r="B10075" s="0" t="s">
        <v>98</v>
      </c>
      <c r="C10075" s="6" t="n">
        <f aca="false">SUM(Sens!F10074:K10074)</f>
        <v>594.833023174607</v>
      </c>
    </row>
    <row r="10076" customFormat="false" ht="17.15" hidden="false" customHeight="false" outlineLevel="0" collapsed="false">
      <c r="A10076" s="1" t="s">
        <v>1063</v>
      </c>
      <c r="B10076" s="0" t="s">
        <v>98</v>
      </c>
      <c r="C10076" s="6" t="n">
        <f aca="false">Sens!K10015*(1+g_tv)*(1-tax_f)</f>
        <v>315.799678301031</v>
      </c>
    </row>
    <row r="10077" customFormat="false" ht="17.15" hidden="false" customHeight="false" outlineLevel="0" collapsed="false">
      <c r="A10077" s="1" t="s">
        <v>1064</v>
      </c>
      <c r="B10077" s="0" t="s">
        <v>98</v>
      </c>
      <c r="C10077" s="6" t="n">
        <f aca="false">Sens!$C$10076*(1-g_tv/(wacc+ronic_prem))</f>
        <v>223.760588359272</v>
      </c>
    </row>
    <row r="10078" customFormat="false" ht="17.15" hidden="false" customHeight="false" outlineLevel="0" collapsed="false">
      <c r="A10078" s="1" t="s">
        <v>1065</v>
      </c>
      <c r="B10078" s="0" t="s">
        <v>98</v>
      </c>
      <c r="C10078" s="6" t="n">
        <f aca="false">Sens!$C$10077/(wacc-g_tv)</f>
        <v>3067.96966472528</v>
      </c>
    </row>
    <row r="10079" customFormat="false" ht="15" hidden="false" customHeight="false" outlineLevel="0" collapsed="false">
      <c r="A10079" s="1" t="s">
        <v>1066</v>
      </c>
      <c r="B10079" s="0" t="s">
        <v>98</v>
      </c>
      <c r="C10079" s="6" t="n">
        <f aca="false">Sens!$C$10078/(1+wacc)^(Sens!K10071+mid_yr)</f>
        <v>1704.32698135286</v>
      </c>
    </row>
    <row r="10080" customFormat="false" ht="17.15" hidden="false" customHeight="false" outlineLevel="0" collapsed="false">
      <c r="A10080" s="0" t="s">
        <v>986</v>
      </c>
      <c r="B10080" s="0" t="s">
        <v>98</v>
      </c>
      <c r="C10080" s="6" t="n">
        <f aca="false">Sens!$C$10075+Sens!$C$10079</f>
        <v>2299.16000452747</v>
      </c>
    </row>
    <row r="10081" customFormat="false" ht="15" hidden="false" customHeight="false" outlineLevel="0" collapsed="false">
      <c r="A10081" s="1" t="s">
        <v>987</v>
      </c>
      <c r="B10081" s="0" t="s">
        <v>129</v>
      </c>
      <c r="C10081" s="7" t="n">
        <f aca="false">Sens!$C$10079/Sens!$C$10080</f>
        <v>0.741282458809622</v>
      </c>
    </row>
    <row r="10082" customFormat="false" ht="17.15" hidden="false" customHeight="false" outlineLevel="0" collapsed="false">
      <c r="A10082" s="1" t="s">
        <v>1067</v>
      </c>
      <c r="B10082" s="0" t="s">
        <v>98</v>
      </c>
      <c r="C10082" s="6" t="n">
        <f aca="false">Sens!$C$10080+Sens!E10062-Sens!E10051+oai_v</f>
        <v>2433.67300452747</v>
      </c>
    </row>
    <row r="10083" customFormat="false" ht="17.15" hidden="false" customHeight="false" outlineLevel="0" collapsed="false">
      <c r="A10083" s="0" t="s">
        <v>994</v>
      </c>
      <c r="B10083" s="0" t="s">
        <v>75</v>
      </c>
      <c r="C10083" s="5" t="n">
        <f aca="false">Sens!$C$10082/sh_dil26</f>
        <v>326.536026368908</v>
      </c>
    </row>
    <row r="10084" customFormat="false" ht="15" hidden="false" customHeight="false" outlineLevel="0" collapsed="false">
      <c r="A10084" s="1" t="s">
        <v>1068</v>
      </c>
      <c r="B10084" s="0" t="s">
        <v>75</v>
      </c>
      <c r="C10084" s="8" t="n">
        <f aca="false">dps_27+Sens!G10054*roll_div_q/q_per_yr</f>
        <v>4.8895</v>
      </c>
    </row>
    <row r="10085" customFormat="false" ht="17.15" hidden="false" customHeight="false" outlineLevel="0" collapsed="false">
      <c r="A10085" s="0" t="s">
        <v>1069</v>
      </c>
      <c r="B10085" s="0" t="s">
        <v>75</v>
      </c>
      <c r="C10085" s="5" t="n">
        <f aca="false">Sens!$C$10083*(1+wacc)^t_roll-Sens!$C$10084</f>
        <v>366.947976109334</v>
      </c>
    </row>
    <row r="10086" customFormat="false" ht="17.15" hidden="false" customHeight="false" outlineLevel="0" collapsed="false">
      <c r="A10086" s="1" t="s">
        <v>1070</v>
      </c>
      <c r="B10086" s="0" t="s">
        <v>129</v>
      </c>
      <c r="F10086" s="7" t="n">
        <f aca="false">Sens!F10041/(Sens!F9986-Sens!F9942)</f>
        <v>0.0705600232724156</v>
      </c>
      <c r="G10086" s="7" t="n">
        <f aca="false">Sens!G10041/(Sens!G9986-Sens!G9942)</f>
        <v>0.0669828075720909</v>
      </c>
      <c r="H10086" s="7" t="n">
        <f aca="false">Sens!H10041/(Sens!H9986-Sens!H9942)</f>
        <v>0.0650059522020762</v>
      </c>
      <c r="I10086" s="7" t="n">
        <f aca="false">Sens!I10041/(Sens!I9986-Sens!I9942)</f>
        <v>0.0644981954073217</v>
      </c>
      <c r="J10086" s="7" t="n">
        <f aca="false">Sens!J10041/(Sens!J9986-Sens!J9942)</f>
        <v>0.0650868376258054</v>
      </c>
      <c r="K10086" s="7" t="n">
        <f aca="false">Sens!K10041/(Sens!K9986-Sens!K9942)</f>
        <v>0.0663032892031241</v>
      </c>
    </row>
    <row r="10087" customFormat="false" ht="17.15" hidden="false" customHeight="false" outlineLevel="0" collapsed="false">
      <c r="A10087" s="0" t="s">
        <v>1071</v>
      </c>
      <c r="B10087" s="0" t="s">
        <v>98</v>
      </c>
      <c r="F10087" s="6" t="n">
        <f aca="false">Sens!F9971*(al_m365+Sens!F10086+sbc_r)</f>
        <v>85.2309011482961</v>
      </c>
      <c r="G10087" s="6" t="n">
        <f aca="false">Sens!G9971*(al_m365+Sens!G10086+sbc_r)</f>
        <v>99.6988139361071</v>
      </c>
      <c r="H10087" s="6" t="n">
        <f aca="false">Sens!H9971*(al_m365+Sens!H10086+sbc_r)</f>
        <v>114.332951535233</v>
      </c>
      <c r="I10087" s="6" t="n">
        <f aca="false">Sens!I9971*(al_m365+Sens!I10086+sbc_r)</f>
        <v>127.4503395385</v>
      </c>
      <c r="J10087" s="6" t="n">
        <f aca="false">Sens!J9971*(al_m365+Sens!J10086+sbc_r)</f>
        <v>138.866054312915</v>
      </c>
      <c r="K10087" s="6" t="n">
        <f aca="false">Sens!K9971*(al_m365+Sens!K10086+sbc_r)</f>
        <v>149.904789007994</v>
      </c>
      <c r="L10087" s="11" t="s">
        <v>1072</v>
      </c>
    </row>
    <row r="10088" customFormat="false" ht="17.15" hidden="false" customHeight="false" outlineLevel="0" collapsed="false">
      <c r="A10088" s="0" t="s">
        <v>1073</v>
      </c>
      <c r="B10088" s="0" t="s">
        <v>98</v>
      </c>
      <c r="F10088" s="6" t="n">
        <f aca="false">Sens!F9972*(al_lic+Sens!F10086+sbc_r)</f>
        <v>33.5216052155852</v>
      </c>
      <c r="G10088" s="6" t="n">
        <f aca="false">Sens!G9972*(al_lic+Sens!G10086+sbc_r)</f>
        <v>34.795365992278</v>
      </c>
      <c r="H10088" s="6" t="n">
        <f aca="false">Sens!H9972*(al_lic+Sens!H10086+sbc_r)</f>
        <v>35.9909116012604</v>
      </c>
      <c r="I10088" s="6" t="n">
        <f aca="false">Sens!I9972*(al_lic+Sens!I10086+sbc_r)</f>
        <v>37.0907178364749</v>
      </c>
      <c r="J10088" s="6" t="n">
        <f aca="false">Sens!J9972*(al_lic+Sens!J10086+sbc_r)</f>
        <v>38.0660087242294</v>
      </c>
      <c r="K10088" s="6" t="n">
        <f aca="false">Sens!K9972*(al_lic+Sens!K10086+sbc_r)</f>
        <v>38.8827344817948</v>
      </c>
    </row>
    <row r="10089" customFormat="false" ht="17.15" hidden="false" customHeight="false" outlineLevel="0" collapsed="false">
      <c r="A10089" s="0" t="s">
        <v>1074</v>
      </c>
      <c r="B10089" s="0" t="s">
        <v>98</v>
      </c>
      <c r="F10089" s="6" t="n">
        <f aca="false">Sens!F9974*(al_ind+Sens!F10086+sbc_r)</f>
        <v>9.12046279917325</v>
      </c>
      <c r="G10089" s="6" t="n">
        <f aca="false">Sens!G9974*(al_ind+Sens!G10086+sbc_r)</f>
        <v>9.88237176166407</v>
      </c>
      <c r="H10089" s="6" t="n">
        <f aca="false">Sens!H9974*(al_ind+Sens!H10086+sbc_r)</f>
        <v>10.6929946356919</v>
      </c>
      <c r="I10089" s="6" t="n">
        <f aca="false">Sens!I9974*(al_ind+Sens!I10086+sbc_r)</f>
        <v>11.5505427169203</v>
      </c>
      <c r="J10089" s="6" t="n">
        <f aca="false">Sens!J9974*(al_ind+Sens!J10086+sbc_r)</f>
        <v>12.4440545576007</v>
      </c>
      <c r="K10089" s="6" t="n">
        <f aca="false">Sens!K9974*(al_ind+Sens!K10086+sbc_r)</f>
        <v>13.3553829769037</v>
      </c>
    </row>
    <row r="10090" customFormat="false" ht="17.15" hidden="false" customHeight="false" outlineLevel="0" collapsed="false">
      <c r="A10090" s="0" t="s">
        <v>1075</v>
      </c>
      <c r="B10090" s="0" t="s">
        <v>98</v>
      </c>
      <c r="F10090" s="6" t="n">
        <f aca="false">Sens!F9976*(al_fro+Sens!F10086+sbc_r)</f>
        <v>3.58984617788389</v>
      </c>
      <c r="G10090" s="6" t="n">
        <f aca="false">Sens!G9976*(al_fro+Sens!G10086+sbc_r)</f>
        <v>3.79424649412313</v>
      </c>
      <c r="H10090" s="6" t="n">
        <f aca="false">Sens!H9976*(al_fro+Sens!H10086+sbc_r)</f>
        <v>4.02948637377815</v>
      </c>
      <c r="I10090" s="6" t="n">
        <f aca="false">Sens!I9976*(al_fro+Sens!I10086+sbc_r)</f>
        <v>4.29864189786596</v>
      </c>
      <c r="J10090" s="6" t="n">
        <f aca="false">Sens!J9976*(al_fro+Sens!J10086+sbc_r)</f>
        <v>4.60228959953005</v>
      </c>
      <c r="K10090" s="6" t="n">
        <f aca="false">Sens!K9976*(al_fro+Sens!K10086+sbc_r)</f>
        <v>4.93933387127446</v>
      </c>
    </row>
    <row r="10091" customFormat="false" ht="17.15" hidden="false" customHeight="false" outlineLevel="0" collapsed="false">
      <c r="A10091" s="0" t="s">
        <v>1076</v>
      </c>
      <c r="B10091" s="0" t="s">
        <v>98</v>
      </c>
      <c r="F10091" s="6" t="n">
        <f aca="false">Sens!F9979*(al_srch+Sens!F10086+sbc_r)</f>
        <v>11.2639033298993</v>
      </c>
      <c r="G10091" s="6" t="n">
        <f aca="false">Sens!G9979*(al_srch+Sens!G10086+sbc_r)</f>
        <v>12.3200296175894</v>
      </c>
      <c r="H10091" s="6" t="n">
        <f aca="false">Sens!H9979*(al_srch+Sens!H10086+sbc_r)</f>
        <v>13.4254427710161</v>
      </c>
      <c r="I10091" s="6" t="n">
        <f aca="false">Sens!I9979*(al_srch+Sens!I10086+sbc_r)</f>
        <v>14.5712734773349</v>
      </c>
      <c r="J10091" s="6" t="n">
        <f aca="false">Sens!J9979*(al_srch+Sens!J10086+sbc_r)</f>
        <v>15.7360863146355</v>
      </c>
      <c r="K10091" s="6" t="n">
        <f aca="false">Sens!K9979*(al_srch+Sens!K10086+sbc_r)</f>
        <v>16.8885035272692</v>
      </c>
    </row>
    <row r="10092" customFormat="false" ht="17.15" hidden="false" customHeight="false" outlineLevel="0" collapsed="false">
      <c r="A10092" s="0" t="s">
        <v>1077</v>
      </c>
      <c r="B10092" s="0" t="s">
        <v>98</v>
      </c>
      <c r="F10092" s="6" t="n">
        <f aca="false">Sens!F9948-Sens!F9949+Sens!F10029</f>
        <v>45.0374073018652</v>
      </c>
      <c r="G10092" s="6" t="n">
        <f aca="false">Sens!G9948-Sens!G9949+Sens!G10029</f>
        <v>89.051993487491</v>
      </c>
      <c r="H10092" s="6" t="n">
        <f aca="false">Sens!H9948-Sens!H9949+Sens!H10029</f>
        <v>140.728332825594</v>
      </c>
      <c r="I10092" s="6" t="n">
        <f aca="false">Sens!I9948-Sens!I9949+Sens!I10029</f>
        <v>182.158665153016</v>
      </c>
      <c r="J10092" s="6" t="n">
        <f aca="false">Sens!J9948-Sens!J9949+Sens!J10029</f>
        <v>211.722320149272</v>
      </c>
      <c r="K10092" s="6" t="n">
        <f aca="false">Sens!K9948-Sens!K9949+Sens!K10029</f>
        <v>230.495012322217</v>
      </c>
    </row>
    <row r="10093" customFormat="false" ht="17.15" hidden="false" customHeight="false" outlineLevel="0" collapsed="false">
      <c r="A10093" s="0" t="s">
        <v>1078</v>
      </c>
      <c r="B10093" s="0" t="s">
        <v>98</v>
      </c>
      <c r="F10093" s="6" t="n">
        <f aca="false">Sens!F10008+Sens!F10029+Sens!F9959+Sens!F10086*(Sens!F9978-Sens!F9942)+sbc_r*Sens!F9978</f>
        <v>236.987015450655</v>
      </c>
      <c r="G10093" s="6" t="n">
        <f aca="false">Sens!G10008+Sens!G10029+Sens!G9959+Sens!G10086*(Sens!G9978-Sens!G9942)+sbc_r*Sens!G9978</f>
        <v>310.319993468178</v>
      </c>
      <c r="H10093" s="6" t="n">
        <f aca="false">Sens!H10008+Sens!H10029+Sens!H9959+Sens!H10086*(Sens!H9978-Sens!H9942)+sbc_r*Sens!H9978</f>
        <v>392.018968349453</v>
      </c>
      <c r="I10093" s="6" t="n">
        <f aca="false">Sens!I10008+Sens!I10029+Sens!I9959+Sens!I10086*(Sens!I9978-Sens!I9942)+sbc_r*Sens!I9978</f>
        <v>461.401967300882</v>
      </c>
      <c r="J10093" s="6" t="n">
        <f aca="false">Sens!J10008+Sens!J10029+Sens!J9959+Sens!J10086*(Sens!J9978-Sens!J9942)+sbc_r*Sens!J9978</f>
        <v>515.969506277027</v>
      </c>
      <c r="K10093" s="6" t="n">
        <f aca="false">Sens!K10008+Sens!K10029+Sens!K9959+Sens!K10086*(Sens!K9978-Sens!K9942)+sbc_r*Sens!K9978</f>
        <v>557.356793478429</v>
      </c>
    </row>
    <row r="10094" customFormat="false" ht="17.15" hidden="false" customHeight="false" outlineLevel="0" collapsed="false">
      <c r="A10094" s="0" t="s">
        <v>1079</v>
      </c>
      <c r="B10094" s="0" t="s">
        <v>98</v>
      </c>
      <c r="F10094" s="6" t="n">
        <f aca="false">Sens!F10093-Sens!F10087-Sens!F10088-Sens!F10089-Sens!F10090-Sens!F10092</f>
        <v>60.486792807851</v>
      </c>
      <c r="G10094" s="6" t="n">
        <f aca="false">Sens!G10093-Sens!G10087-Sens!G10088-Sens!G10089-Sens!G10090-Sens!G10092</f>
        <v>73.0972017965148</v>
      </c>
      <c r="H10094" s="6" t="n">
        <f aca="false">Sens!H10093-Sens!H10087-Sens!H10088-Sens!H10089-Sens!H10090-Sens!H10092</f>
        <v>86.2442913778951</v>
      </c>
      <c r="I10094" s="6" t="n">
        <f aca="false">Sens!I10093-Sens!I10087-Sens!I10088-Sens!I10089-Sens!I10090-Sens!I10092</f>
        <v>98.8530601581048</v>
      </c>
      <c r="J10094" s="6" t="n">
        <f aca="false">Sens!J10093-Sens!J10087-Sens!J10088-Sens!J10089-Sens!J10090-Sens!J10092</f>
        <v>110.26877893348</v>
      </c>
      <c r="K10094" s="6" t="n">
        <f aca="false">Sens!K10093-Sens!K10087-Sens!K10088-Sens!K10089-Sens!K10090-Sens!K10092</f>
        <v>119.779540818245</v>
      </c>
    </row>
    <row r="10095" customFormat="false" ht="17.15" hidden="false" customHeight="false" outlineLevel="0" collapsed="false">
      <c r="A10095" s="0" t="s">
        <v>1080</v>
      </c>
      <c r="B10095" s="0" t="s">
        <v>98</v>
      </c>
      <c r="F10095" s="6" t="n">
        <f aca="false">Sens!F10010+Sens!F10086*Sens!F9985+sbc_r*Sens!F9985</f>
        <v>26.2682940320627</v>
      </c>
      <c r="G10095" s="6" t="n">
        <f aca="false">Sens!G10010+Sens!G10086*Sens!G9985+sbc_r*Sens!G9985</f>
        <v>26.7236978882097</v>
      </c>
      <c r="H10095" s="6" t="n">
        <f aca="false">Sens!H10010+Sens!H10086*Sens!H9985+sbc_r*Sens!H9985</f>
        <v>27.4190747654676</v>
      </c>
      <c r="I10095" s="6" t="n">
        <f aca="false">Sens!I10010+Sens!I10086*Sens!I9985+sbc_r*Sens!I9985</f>
        <v>28.3247312073902</v>
      </c>
      <c r="J10095" s="6" t="n">
        <f aca="false">Sens!J10010+Sens!J10086*Sens!J9985+sbc_r*Sens!J9985</f>
        <v>29.3963243981188</v>
      </c>
      <c r="K10095" s="6" t="n">
        <f aca="false">Sens!K10010+Sens!K10086*Sens!K9985+sbc_r*Sens!K9985</f>
        <v>30.5814607603171</v>
      </c>
    </row>
    <row r="10096" customFormat="false" ht="17.15" hidden="false" customHeight="false" outlineLevel="0" collapsed="false">
      <c r="A10096" s="0" t="s">
        <v>1081</v>
      </c>
      <c r="B10096" s="0" t="s">
        <v>98</v>
      </c>
      <c r="F10096" s="6" t="n">
        <f aca="false">(Sens!F10095-Sens!F10091)*Sens!F9981/(Sens!F9981+Sens!F9983)</f>
        <v>8.19891909163181</v>
      </c>
      <c r="G10096" s="6" t="n">
        <f aca="false">(Sens!G10095-Sens!G10091)*Sens!G9981/(Sens!G9981+Sens!G9983)</f>
        <v>7.67964242098704</v>
      </c>
      <c r="H10096" s="6" t="n">
        <f aca="false">(Sens!H10095-Sens!H10091)*Sens!H9981/(Sens!H9981+Sens!H9983)</f>
        <v>7.28671976594722</v>
      </c>
      <c r="I10096" s="6" t="n">
        <f aca="false">(Sens!I10095-Sens!I10091)*Sens!I9981/(Sens!I9981+Sens!I9983)</f>
        <v>7.00157292298322</v>
      </c>
      <c r="J10096" s="6" t="n">
        <f aca="false">(Sens!J10095-Sens!J10091)*Sens!J9981/(Sens!J9981+Sens!J9983)</f>
        <v>6.8063265340725</v>
      </c>
      <c r="K10096" s="6" t="n">
        <f aca="false">(Sens!K10095-Sens!K10091)*Sens!K9981/(Sens!K9981+Sens!K9983)</f>
        <v>6.68571074905089</v>
      </c>
    </row>
    <row r="10097" customFormat="false" ht="17.15" hidden="false" customHeight="false" outlineLevel="0" collapsed="false">
      <c r="A10097" s="0" t="s">
        <v>1082</v>
      </c>
      <c r="B10097" s="0" t="s">
        <v>98</v>
      </c>
      <c r="F10097" s="6" t="n">
        <f aca="false">Sens!F10095-Sens!F10091-Sens!F10096</f>
        <v>6.80547161053159</v>
      </c>
      <c r="G10097" s="6" t="n">
        <f aca="false">Sens!G10095-Sens!G10091-Sens!G10096</f>
        <v>6.7240258496333</v>
      </c>
      <c r="H10097" s="6" t="n">
        <f aca="false">Sens!H10095-Sens!H10091-Sens!H10096</f>
        <v>6.70691222850426</v>
      </c>
      <c r="I10097" s="6" t="n">
        <f aca="false">Sens!I10095-Sens!I10091-Sens!I10096</f>
        <v>6.75188480707213</v>
      </c>
      <c r="J10097" s="6" t="n">
        <f aca="false">Sens!J10095-Sens!J10091-Sens!J10096</f>
        <v>6.85391154941077</v>
      </c>
      <c r="K10097" s="6" t="n">
        <f aca="false">Sens!K10095-Sens!K10091-Sens!K10096</f>
        <v>7.00724648399696</v>
      </c>
    </row>
    <row r="10098" customFormat="false" ht="17.15" hidden="false" customHeight="false" outlineLevel="0" collapsed="false">
      <c r="A10098" s="0" t="s">
        <v>1083</v>
      </c>
      <c r="B10098" s="0" t="s">
        <v>98</v>
      </c>
      <c r="F10098" s="6" t="n">
        <f aca="false">Sens!F10092-tax_f*(Sens!F10092-Sens!F9959)-Sens!F9956</f>
        <v>-117.492972553783</v>
      </c>
      <c r="G10098" s="6" t="n">
        <f aca="false">Sens!G10092-tax_f*(Sens!G10092-Sens!G9959)-Sens!G9956</f>
        <v>-100.507498271105</v>
      </c>
      <c r="H10098" s="6" t="n">
        <f aca="false">Sens!H10092-tax_f*(Sens!H10092-Sens!H9959)-Sens!H9956</f>
        <v>-58.2254156812621</v>
      </c>
      <c r="I10098" s="6" t="n">
        <f aca="false">Sens!I10092-tax_f*(Sens!I10092-Sens!I9959)-Sens!I9956</f>
        <v>4.14141173464586</v>
      </c>
      <c r="J10098" s="6" t="n">
        <f aca="false">Sens!J10092-tax_f*(Sens!J10092-Sens!J9959)-Sens!J9956</f>
        <v>67.7960840957439</v>
      </c>
      <c r="K10098" s="6" t="n">
        <f aca="false">Sens!K10092-tax_f*(Sens!K10092-Sens!K9959)-Sens!K9956</f>
        <v>90.8148873630444</v>
      </c>
    </row>
    <row r="10099" customFormat="false" ht="17.15" hidden="false" customHeight="false" outlineLevel="0" collapsed="false">
      <c r="A10099" s="0" t="s">
        <v>1084</v>
      </c>
      <c r="B10099" s="0" t="s">
        <v>98</v>
      </c>
      <c r="G10099" s="6" t="n">
        <f aca="false">Sens!G10098/(1+wacc)^(Sens!G10071-(Sens!F10071+mid_yr))</f>
        <v>-95.7025738516884</v>
      </c>
      <c r="H10099" s="6" t="n">
        <f aca="false">Sens!H10098/(1+wacc)^(Sens!H10071-(Sens!F10071+mid_yr))</f>
        <v>-50.2675897834568</v>
      </c>
      <c r="I10099" s="6" t="n">
        <f aca="false">Sens!I10098/(1+wacc)^(Sens!I10071-(Sens!F10071+mid_yr))</f>
        <v>3.241710173961</v>
      </c>
      <c r="J10099" s="6" t="n">
        <f aca="false">Sens!J10098/(1+wacc)^(Sens!J10071-(Sens!F10071+mid_yr))</f>
        <v>48.1150225569729</v>
      </c>
      <c r="K10099" s="6" t="n">
        <f aca="false">Sens!K10098/(1+wacc)^(Sens!K10071-(Sens!F10071+mid_yr))</f>
        <v>58.4363985421684</v>
      </c>
      <c r="L10099" s="1" t="s">
        <v>1085</v>
      </c>
    </row>
    <row r="10100" customFormat="false" ht="17.15" hidden="false" customHeight="false" outlineLevel="0" collapsed="false">
      <c r="A10100" s="0" t="s">
        <v>1086</v>
      </c>
      <c r="B10100" s="0" t="s">
        <v>98</v>
      </c>
      <c r="C10100" s="6" t="n">
        <f aca="false">(Sens!K10092-Sens!K9959)*(1-tax_f)*(1+g_tv)*(1-g_tv/(wacc+ronic_prem))/(wacc-g_tv)/(1+wacc)^(Sens!K10071+mid_yr-(Sens!F10071+mid_yr))</f>
        <v>448.116665852667</v>
      </c>
    </row>
    <row r="10101" customFormat="false" ht="17.15" hidden="false" customHeight="false" outlineLevel="0" collapsed="false">
      <c r="A10101" s="1" t="s">
        <v>1087</v>
      </c>
      <c r="B10101" s="0" t="s">
        <v>98</v>
      </c>
      <c r="C10101" s="6" t="n">
        <f aca="false">(SUM(Sens!G10099:K10099)+Sens!$C$10100)*(1+wacc)^(t_roll-(Sens!F10071+mid_yr))</f>
        <v>425.310341738423</v>
      </c>
      <c r="L10101" s="11" t="s">
        <v>1088</v>
      </c>
    </row>
    <row r="10102" customFormat="false" ht="17.15" hidden="false" customHeight="false" outlineLevel="0" collapsed="false">
      <c r="A10102" s="1" t="s">
        <v>1089</v>
      </c>
      <c r="B10102" s="0" t="s">
        <v>98</v>
      </c>
      <c r="C10102" s="6" t="n">
        <f aca="false">(w_ntm28*Sens!G9948+(1-w_ntm28)*Sens!H9948)*m_ai</f>
        <v>551.711134531404</v>
      </c>
    </row>
    <row r="10103" customFormat="false" ht="17.15" hidden="false" customHeight="false" outlineLevel="0" collapsed="false">
      <c r="A10103" s="1" t="s">
        <v>1090</v>
      </c>
      <c r="B10103" s="0" t="s">
        <v>98</v>
      </c>
      <c r="C10103" s="6" t="n">
        <f aca="false">(w_ntm28*Sens!G10094+(1-w_ntm28)*Sens!H10094)*m_cloud</f>
        <v>1068.94236391203</v>
      </c>
    </row>
    <row r="10104" customFormat="false" ht="17.15" hidden="false" customHeight="false" outlineLevel="0" collapsed="false">
      <c r="A10104" s="1" t="s">
        <v>1091</v>
      </c>
      <c r="B10104" s="0" t="s">
        <v>98</v>
      </c>
      <c r="C10104" s="6" t="n">
        <f aca="false">(w_ntm28*Sens!G10087+(1-w_ntm28)*Sens!H10087)*m_sw</f>
        <v>1127.84238217112</v>
      </c>
    </row>
    <row r="10105" customFormat="false" ht="17.15" hidden="false" customHeight="false" outlineLevel="0" collapsed="false">
      <c r="A10105" s="1" t="s">
        <v>1092</v>
      </c>
      <c r="B10105" s="0" t="s">
        <v>98</v>
      </c>
      <c r="C10105" s="6" t="n">
        <f aca="false">(w_ntm28*Sens!G10088+(1-w_ntm28)*Sens!H10088)*m_sw</f>
        <v>379.964208399033</v>
      </c>
    </row>
    <row r="10106" customFormat="false" ht="17.15" hidden="false" customHeight="false" outlineLevel="0" collapsed="false">
      <c r="A10106" s="1" t="s">
        <v>1093</v>
      </c>
      <c r="B10106" s="0" t="s">
        <v>98</v>
      </c>
      <c r="C10106" s="6" t="n">
        <f aca="false">(w_ntm28*Sens!G10089+(1-w_ntm28)*Sens!H10089)*m_sw</f>
        <v>109.559910342851</v>
      </c>
    </row>
    <row r="10107" customFormat="false" ht="17.15" hidden="false" customHeight="false" outlineLevel="0" collapsed="false">
      <c r="A10107" s="1" t="s">
        <v>1094</v>
      </c>
      <c r="B10107" s="0" t="s">
        <v>98</v>
      </c>
      <c r="C10107" s="6" t="n">
        <f aca="false">(w_ntm28*Sens!G10090+(1-w_ntm28)*Sens!H10090)*m_sw</f>
        <v>41.7992037875773</v>
      </c>
    </row>
    <row r="10108" customFormat="false" ht="17.15" hidden="false" customHeight="false" outlineLevel="0" collapsed="false">
      <c r="A10108" s="1" t="s">
        <v>1095</v>
      </c>
      <c r="B10108" s="0" t="s">
        <v>98</v>
      </c>
      <c r="C10108" s="6" t="n">
        <f aca="false">(w_ntm28*Sens!G10091+(1-w_ntm28)*Sens!H10091)*m_ads</f>
        <v>115.491078122187</v>
      </c>
    </row>
    <row r="10109" customFormat="false" ht="17.15" hidden="false" customHeight="false" outlineLevel="0" collapsed="false">
      <c r="A10109" s="1" t="s">
        <v>1096</v>
      </c>
      <c r="B10109" s="0" t="s">
        <v>98</v>
      </c>
      <c r="C10109" s="6" t="n">
        <f aca="false">(w_ntm28*Sens!G10096+(1-w_ntm28)*Sens!H10096)*m_game</f>
        <v>95.3895321340196</v>
      </c>
    </row>
    <row r="10110" customFormat="false" ht="17.15" hidden="false" customHeight="false" outlineLevel="0" collapsed="false">
      <c r="A10110" s="1" t="s">
        <v>1097</v>
      </c>
      <c r="B10110" s="0" t="s">
        <v>98</v>
      </c>
      <c r="C10110" s="6" t="n">
        <f aca="false">(w_ntm28*Sens!G10097+(1-w_ntm28)*Sens!H10097)*m_pc</f>
        <v>97.2165969934186</v>
      </c>
    </row>
    <row r="10111" customFormat="false" ht="17.15" hidden="false" customHeight="false" outlineLevel="0" collapsed="false">
      <c r="A10111" s="1" t="s">
        <v>1098</v>
      </c>
      <c r="B10111" s="0" t="s">
        <v>98</v>
      </c>
      <c r="C10111" s="6" t="n">
        <f aca="false">Sens!$C$10101+Sens!$C$10103+Sens!$C$10104+Sens!$C$10105+Sens!$C$10106+Sens!$C$10107+Sens!$C$10108+Sens!$C$10109+Sens!$C$10110</f>
        <v>3461.51561760066</v>
      </c>
    </row>
    <row r="10112" customFormat="false" ht="17.15" hidden="false" customHeight="false" outlineLevel="0" collapsed="false">
      <c r="A10112" s="1" t="s">
        <v>1099</v>
      </c>
      <c r="B10112" s="0" t="s">
        <v>98</v>
      </c>
      <c r="C10112" s="6" t="n">
        <f aca="false">(Sens!G10073-Sens!G10098)*t_stub</f>
        <v>47.9310086819096</v>
      </c>
      <c r="L10112" s="1" t="s">
        <v>1100</v>
      </c>
    </row>
    <row r="10113" customFormat="false" ht="17.15" hidden="false" customHeight="false" outlineLevel="0" collapsed="false">
      <c r="A10113" s="1" t="s">
        <v>1014</v>
      </c>
      <c r="B10113" s="0" t="s">
        <v>98</v>
      </c>
      <c r="C10113" s="6" t="n">
        <f aca="false">Sens!F10062+oai_v-Sens!F10051+Sens!$C$10112</f>
        <v>162.997515329204</v>
      </c>
      <c r="L10113" s="1" t="s">
        <v>1101</v>
      </c>
    </row>
    <row r="10114" customFormat="false" ht="17.15" hidden="false" customHeight="false" outlineLevel="0" collapsed="false">
      <c r="A10114" s="1" t="s">
        <v>1102</v>
      </c>
      <c r="B10114" s="0" t="s">
        <v>75</v>
      </c>
      <c r="C10114" s="5" t="n">
        <f aca="false">(Sens!$C$10111+Sens!$C$10113)/(Sens!F10064+dil_gap)-Sens!G10054*roll_div_q/q_per_yr</f>
        <v>482.486798416471</v>
      </c>
      <c r="L10114" s="1" t="s">
        <v>1103</v>
      </c>
    </row>
    <row r="10115" customFormat="false" ht="17.15" hidden="false" customHeight="false" outlineLevel="0" collapsed="false">
      <c r="A10115" s="1" t="s">
        <v>1104</v>
      </c>
      <c r="B10115" s="0" t="s">
        <v>75</v>
      </c>
      <c r="C10115" s="5" t="n">
        <f aca="false">w_dcf*Sens!$C$10085+(1-w_dcf)*Sens!$C$10114</f>
        <v>424.717387262903</v>
      </c>
    </row>
    <row r="10116" customFormat="false" ht="17.15" hidden="false" customHeight="false" outlineLevel="0" collapsed="false">
      <c r="A10116" s="3" t="s">
        <v>1522</v>
      </c>
    </row>
    <row r="10117" customFormat="false" ht="15" hidden="false" customHeight="false" outlineLevel="0" collapsed="false">
      <c r="A10117" s="4" t="s">
        <v>43</v>
      </c>
      <c r="B10117" s="4" t="s">
        <v>65</v>
      </c>
      <c r="C10117" s="20" t="s">
        <v>799</v>
      </c>
      <c r="D10117" s="20" t="s">
        <v>800</v>
      </c>
      <c r="E10117" s="20" t="s">
        <v>801</v>
      </c>
      <c r="F10117" s="20" t="s">
        <v>802</v>
      </c>
      <c r="G10117" s="20" t="s">
        <v>803</v>
      </c>
      <c r="H10117" s="20" t="s">
        <v>804</v>
      </c>
      <c r="I10117" s="20" t="s">
        <v>805</v>
      </c>
      <c r="J10117" s="20" t="s">
        <v>806</v>
      </c>
      <c r="K10117" s="20" t="s">
        <v>807</v>
      </c>
      <c r="L10117" s="4" t="s">
        <v>47</v>
      </c>
    </row>
    <row r="10118" customFormat="false" ht="17.15" hidden="false" customHeight="false" outlineLevel="0" collapsed="false">
      <c r="A10118" s="1" t="s">
        <v>808</v>
      </c>
      <c r="B10118" s="1" t="s">
        <v>235</v>
      </c>
      <c r="C10118" s="28" t="n">
        <v>2024</v>
      </c>
      <c r="D10118" s="28" t="n">
        <v>2025</v>
      </c>
      <c r="E10118" s="28" t="n">
        <v>2026</v>
      </c>
      <c r="F10118" s="28" t="n">
        <v>2027</v>
      </c>
      <c r="G10118" s="28" t="n">
        <v>2028</v>
      </c>
      <c r="H10118" s="28" t="n">
        <v>2029</v>
      </c>
      <c r="I10118" s="28" t="n">
        <v>2030</v>
      </c>
      <c r="J10118" s="28" t="n">
        <v>2031</v>
      </c>
      <c r="K10118" s="28" t="n">
        <v>2032</v>
      </c>
    </row>
    <row r="10119" customFormat="false" ht="17.15" hidden="false" customHeight="false" outlineLevel="0" collapsed="false">
      <c r="A10119" s="1" t="s">
        <v>809</v>
      </c>
      <c r="B10119" s="0" t="s">
        <v>399</v>
      </c>
      <c r="F10119" s="29" t="n">
        <f aca="false">pace</f>
        <v>2527.2</v>
      </c>
      <c r="G10119" s="29" t="n">
        <f aca="false">pace</f>
        <v>2527.2</v>
      </c>
      <c r="H10119" s="29" t="n">
        <f aca="false">pace</f>
        <v>2527.2</v>
      </c>
      <c r="I10119" s="29" t="n">
        <f aca="false">pace+(g_tv*Sens!H10120-pace)*MIN(1,(Sens!I10118-pace_y0)/(pace_y1-pace_y0))</f>
        <v>1793.116</v>
      </c>
      <c r="J10119" s="29" t="n">
        <f aca="false">pace+(g_tv*Sens!I10120-pace)*MIN(1,(Sens!J10118-pace_y0)/(pace_y1-pace_y0))</f>
        <v>1094.89432</v>
      </c>
      <c r="K10119" s="29" t="n">
        <f aca="false">pace+(g_tv*Sens!J10120-pace)*MIN(1,(Sens!K10118-pace_y0)/(pace_y1-pace_y0))</f>
        <v>411.5883096</v>
      </c>
      <c r="L10119" s="11" t="s">
        <v>810</v>
      </c>
    </row>
    <row r="10120" customFormat="false" ht="17.15" hidden="false" customHeight="false" outlineLevel="0" collapsed="false">
      <c r="A10120" s="1" t="s">
        <v>811</v>
      </c>
      <c r="B10120" s="0" t="s">
        <v>399</v>
      </c>
      <c r="C10120" s="29" t="n">
        <f aca="false">mw_ext_24</f>
        <v>640</v>
      </c>
      <c r="D10120" s="29" t="n">
        <f aca="false">mw_ext_25</f>
        <v>1630</v>
      </c>
      <c r="E10120" s="29" t="n">
        <f aca="false">mw_ext_26</f>
        <v>3250</v>
      </c>
      <c r="F10120" s="29" t="n">
        <f aca="false">Sens!E10120+Sens!F10119</f>
        <v>5777.2</v>
      </c>
      <c r="G10120" s="29" t="n">
        <f aca="false">Sens!F10120+Sens!G10119</f>
        <v>8304.4</v>
      </c>
      <c r="H10120" s="29" t="n">
        <f aca="false">Sens!G10120+Sens!H10119</f>
        <v>10831.6</v>
      </c>
      <c r="I10120" s="29" t="n">
        <f aca="false">Sens!H10120+Sens!I10119</f>
        <v>12624.716</v>
      </c>
      <c r="J10120" s="29" t="n">
        <f aca="false">Sens!I10120+Sens!J10119</f>
        <v>13719.61032</v>
      </c>
      <c r="K10120" s="29" t="n">
        <f aca="false">Sens!J10120+Sens!K10119</f>
        <v>14131.1986296</v>
      </c>
      <c r="L10120" s="1" t="s">
        <v>812</v>
      </c>
    </row>
    <row r="10121" customFormat="false" ht="17.15" hidden="false" customHeight="false" outlineLevel="0" collapsed="false">
      <c r="A10121" s="1" t="s">
        <v>813</v>
      </c>
      <c r="B10121" s="0" t="s">
        <v>399</v>
      </c>
      <c r="C10121" s="29" t="n">
        <f aca="false">rent_ext_24</f>
        <v>150</v>
      </c>
      <c r="D10121" s="29" t="n">
        <f aca="false">rent_ext_25</f>
        <v>400</v>
      </c>
      <c r="E10121" s="29" t="n">
        <f aca="false">rent_ext_26</f>
        <v>550</v>
      </c>
      <c r="F10121" s="29" t="n">
        <f aca="false">rent_ext_f</f>
        <v>756</v>
      </c>
      <c r="G10121" s="29" t="n">
        <f aca="false">rent_ext_f</f>
        <v>756</v>
      </c>
      <c r="H10121" s="29" t="n">
        <f aca="false">rent_ext_f</f>
        <v>756</v>
      </c>
      <c r="I10121" s="29" t="n">
        <f aca="false">rent_ext_f</f>
        <v>756</v>
      </c>
      <c r="J10121" s="29" t="n">
        <f aca="false">rent_ext_f</f>
        <v>756</v>
      </c>
      <c r="K10121" s="29" t="n">
        <f aca="false">rent_ext_f</f>
        <v>756</v>
      </c>
      <c r="L10121" s="1" t="s">
        <v>814</v>
      </c>
    </row>
    <row r="10122" customFormat="false" ht="17.15" hidden="false" customHeight="false" outlineLevel="0" collapsed="false">
      <c r="A10122" s="1" t="s">
        <v>815</v>
      </c>
      <c r="B10122" s="0" t="s">
        <v>399</v>
      </c>
      <c r="C10122" s="29" t="n">
        <f aca="false">Sens!C10120-Sens!C10121</f>
        <v>490</v>
      </c>
      <c r="D10122" s="29" t="n">
        <f aca="false">Sens!D10120-Sens!D10121</f>
        <v>1230</v>
      </c>
      <c r="E10122" s="29" t="n">
        <f aca="false">Sens!E10120-Sens!E10121</f>
        <v>2700</v>
      </c>
      <c r="F10122" s="29" t="n">
        <f aca="false">Sens!F10120-Sens!F10121</f>
        <v>5021.2</v>
      </c>
      <c r="G10122" s="29" t="n">
        <f aca="false">Sens!G10120-Sens!G10121</f>
        <v>7548.4</v>
      </c>
      <c r="H10122" s="29" t="n">
        <f aca="false">Sens!H10120-Sens!H10121</f>
        <v>10075.6</v>
      </c>
      <c r="I10122" s="29" t="n">
        <f aca="false">Sens!I10120-Sens!I10121</f>
        <v>11868.716</v>
      </c>
      <c r="J10122" s="29" t="n">
        <f aca="false">Sens!J10120-Sens!J10121</f>
        <v>12963.61032</v>
      </c>
      <c r="K10122" s="29" t="n">
        <f aca="false">Sens!K10120-Sens!K10121</f>
        <v>13375.1986296</v>
      </c>
    </row>
    <row r="10123" customFormat="false" ht="17.15" hidden="false" customHeight="false" outlineLevel="0" collapsed="false">
      <c r="A10123" s="1" t="s">
        <v>816</v>
      </c>
      <c r="B10123" s="0" t="s">
        <v>399</v>
      </c>
      <c r="C10123" s="29" t="n">
        <f aca="false">Sens!C10122/ext_sh</f>
        <v>816.666666666667</v>
      </c>
      <c r="D10123" s="29" t="n">
        <f aca="false">Sens!D10122/ext_sh</f>
        <v>2050</v>
      </c>
      <c r="E10123" s="29" t="n">
        <f aca="false">Sens!E10122/ext_sh</f>
        <v>4500</v>
      </c>
      <c r="F10123" s="29" t="n">
        <f aca="false">Sens!F10122/ext_sh</f>
        <v>8368.66666666667</v>
      </c>
      <c r="G10123" s="29" t="n">
        <f aca="false">Sens!G10122/ext_sh</f>
        <v>12580.6666666667</v>
      </c>
      <c r="H10123" s="29" t="n">
        <f aca="false">Sens!H10122/ext_sh</f>
        <v>16792.6666666667</v>
      </c>
      <c r="I10123" s="29" t="n">
        <f aca="false">Sens!I10122/ext_sh</f>
        <v>19781.1933333333</v>
      </c>
      <c r="J10123" s="29" t="n">
        <f aca="false">Sens!J10122/ext_sh</f>
        <v>21606.0172</v>
      </c>
      <c r="K10123" s="29" t="n">
        <f aca="false">Sens!K10122/ext_sh</f>
        <v>22291.997716</v>
      </c>
      <c r="L10123" s="1" t="s">
        <v>817</v>
      </c>
    </row>
    <row r="10124" customFormat="false" ht="17.15" hidden="false" customHeight="false" outlineLevel="0" collapsed="false">
      <c r="A10124" s="1" t="s">
        <v>818</v>
      </c>
      <c r="B10124" s="0" t="s">
        <v>399</v>
      </c>
      <c r="C10124" s="29" t="n">
        <f aca="false">Sens!C10123-Sens!C10122</f>
        <v>326.666666666667</v>
      </c>
      <c r="D10124" s="29" t="n">
        <f aca="false">Sens!D10123-Sens!D10122</f>
        <v>820</v>
      </c>
      <c r="E10124" s="29" t="n">
        <f aca="false">Sens!E10123-Sens!E10122</f>
        <v>1800</v>
      </c>
      <c r="F10124" s="29" t="n">
        <f aca="false">Sens!F10123-Sens!F10122</f>
        <v>3347.46666666667</v>
      </c>
      <c r="G10124" s="29" t="n">
        <f aca="false">Sens!G10123-Sens!G10122</f>
        <v>5032.26666666667</v>
      </c>
      <c r="H10124" s="29" t="n">
        <f aca="false">Sens!H10123-Sens!H10122</f>
        <v>6717.06666666667</v>
      </c>
      <c r="I10124" s="29" t="n">
        <f aca="false">Sens!I10123-Sens!I10122</f>
        <v>7912.47733333333</v>
      </c>
      <c r="J10124" s="29" t="n">
        <f aca="false">Sens!J10123-Sens!J10122</f>
        <v>8642.40688</v>
      </c>
      <c r="K10124" s="29" t="n">
        <f aca="false">Sens!K10123-Sens!K10122</f>
        <v>8916.7990864</v>
      </c>
    </row>
    <row r="10125" customFormat="false" ht="17.15" hidden="false" customHeight="false" outlineLevel="0" collapsed="false">
      <c r="A10125" s="1" t="s">
        <v>819</v>
      </c>
      <c r="B10125" s="0" t="s">
        <v>399</v>
      </c>
      <c r="C10125" s="29" t="n">
        <f aca="false">Sens!C10123</f>
        <v>816.666666666667</v>
      </c>
      <c r="D10125" s="29" t="n">
        <f aca="false">Sens!D10123-Sens!C10123</f>
        <v>1233.33333333333</v>
      </c>
      <c r="E10125" s="29" t="n">
        <f aca="false">Sens!E10123-Sens!D10123</f>
        <v>2450</v>
      </c>
      <c r="F10125" s="29" t="n">
        <f aca="false">Sens!F10123-Sens!E10123</f>
        <v>3868.66666666667</v>
      </c>
      <c r="G10125" s="29" t="n">
        <f aca="false">Sens!G10123-Sens!F10123</f>
        <v>4212</v>
      </c>
      <c r="H10125" s="29" t="n">
        <f aca="false">Sens!H10123-Sens!G10123</f>
        <v>4212</v>
      </c>
      <c r="I10125" s="29" t="n">
        <f aca="false">Sens!I10123-Sens!H10123</f>
        <v>2988.52666666667</v>
      </c>
      <c r="J10125" s="29" t="n">
        <f aca="false">Sens!J10123-Sens!I10123</f>
        <v>1824.82386666667</v>
      </c>
      <c r="K10125" s="29" t="n">
        <f aca="false">Sens!K10123-Sens!J10123</f>
        <v>685.980516</v>
      </c>
    </row>
    <row r="10126" customFormat="false" ht="17.15" hidden="false" customHeight="false" outlineLevel="0" collapsed="false">
      <c r="A10126" s="1" t="s">
        <v>820</v>
      </c>
      <c r="B10126" s="0" t="s">
        <v>399</v>
      </c>
      <c r="D10126" s="29" t="n">
        <f aca="false">Sens!D10120-Sens!C10120</f>
        <v>990</v>
      </c>
      <c r="E10126" s="29" t="n">
        <f aca="false">Sens!E10120-Sens!D10120</f>
        <v>1620</v>
      </c>
      <c r="F10126" s="29" t="n">
        <f aca="false">Sens!F10120-Sens!E10120</f>
        <v>2527.2</v>
      </c>
      <c r="G10126" s="29" t="n">
        <f aca="false">Sens!G10120-Sens!F10120</f>
        <v>2527.2</v>
      </c>
      <c r="H10126" s="29" t="n">
        <f aca="false">Sens!H10120-Sens!G10120</f>
        <v>2527.2</v>
      </c>
      <c r="I10126" s="29" t="n">
        <f aca="false">Sens!I10120-Sens!H10120</f>
        <v>1793.116</v>
      </c>
      <c r="J10126" s="29" t="n">
        <f aca="false">Sens!J10120-Sens!I10120</f>
        <v>1094.89432</v>
      </c>
      <c r="K10126" s="29" t="n">
        <f aca="false">Sens!K10120-Sens!J10120</f>
        <v>411.5883096</v>
      </c>
    </row>
    <row r="10127" customFormat="false" ht="17.15" hidden="false" customHeight="false" outlineLevel="0" collapsed="false">
      <c r="A10127" s="1" t="s">
        <v>821</v>
      </c>
      <c r="B10127" s="0" t="s">
        <v>399</v>
      </c>
      <c r="F10127" s="29" t="n">
        <f aca="false">Sens!F10144*ext_sh</f>
        <v>0</v>
      </c>
      <c r="G10127" s="29" t="n">
        <f aca="false">Sens!G10144*ext_sh</f>
        <v>0</v>
      </c>
      <c r="H10127" s="29" t="n">
        <f aca="false">Sens!H10144*ext_sh</f>
        <v>0</v>
      </c>
      <c r="I10127" s="29" t="n">
        <f aca="false">Sens!I10144*ext_sh</f>
        <v>490</v>
      </c>
      <c r="J10127" s="29" t="n">
        <f aca="false">Sens!J10144*ext_sh</f>
        <v>740</v>
      </c>
      <c r="K10127" s="29" t="n">
        <f aca="false">Sens!K10144*ext_sh</f>
        <v>1470</v>
      </c>
      <c r="L10127" s="1" t="s">
        <v>822</v>
      </c>
    </row>
    <row r="10128" customFormat="false" ht="17.15" hidden="false" customHeight="false" outlineLevel="0" collapsed="false">
      <c r="A10128" s="1" t="s">
        <v>823</v>
      </c>
      <c r="B10128" s="0" t="s">
        <v>399</v>
      </c>
      <c r="C10128" s="29" t="n">
        <f aca="false">mix_h*Sens!C10120</f>
        <v>128</v>
      </c>
      <c r="D10128" s="29" t="n">
        <f aca="false">mix_h*Sens!D10120</f>
        <v>326</v>
      </c>
      <c r="E10128" s="29" t="n">
        <f aca="false">mix_h*Sens!E10120</f>
        <v>650</v>
      </c>
      <c r="F10128" s="29" t="n">
        <f aca="false">Sens!E10128-Sens!F10127*mix_h</f>
        <v>650</v>
      </c>
      <c r="G10128" s="29" t="n">
        <f aca="false">Sens!F10128-Sens!G10127*mix_h</f>
        <v>650</v>
      </c>
      <c r="H10128" s="29" t="n">
        <f aca="false">Sens!G10128-Sens!H10127*mix_h</f>
        <v>650</v>
      </c>
      <c r="I10128" s="29" t="n">
        <f aca="false">Sens!H10128-Sens!I10127*mix_h</f>
        <v>552</v>
      </c>
      <c r="J10128" s="29" t="n">
        <f aca="false">Sens!I10128-Sens!J10127*mix_h</f>
        <v>404</v>
      </c>
      <c r="K10128" s="29" t="n">
        <f aca="false">Sens!J10128-Sens!K10127*mix_h</f>
        <v>110</v>
      </c>
    </row>
    <row r="10129" customFormat="false" ht="17.15" hidden="false" customHeight="false" outlineLevel="0" collapsed="false">
      <c r="A10129" s="1" t="s">
        <v>824</v>
      </c>
      <c r="B10129" s="0" t="s">
        <v>399</v>
      </c>
      <c r="C10129" s="29" t="n">
        <f aca="false">mix_g2*Sens!C10120</f>
        <v>288</v>
      </c>
      <c r="D10129" s="29" t="n">
        <f aca="false">mix_g2*Sens!D10120</f>
        <v>733.5</v>
      </c>
      <c r="E10129" s="29" t="n">
        <f aca="false">mix_g2*Sens!E10120</f>
        <v>1462.5</v>
      </c>
      <c r="F10129" s="29" t="n">
        <f aca="false">Sens!E10129-Sens!F10127*mix_g2</f>
        <v>1462.5</v>
      </c>
      <c r="G10129" s="29" t="n">
        <f aca="false">Sens!F10129-Sens!G10127*mix_g2</f>
        <v>1462.5</v>
      </c>
      <c r="H10129" s="29" t="n">
        <f aca="false">Sens!G10129-Sens!H10127*mix_g2</f>
        <v>1462.5</v>
      </c>
      <c r="I10129" s="29" t="n">
        <f aca="false">Sens!H10129-Sens!I10127*mix_g2</f>
        <v>1242</v>
      </c>
      <c r="J10129" s="29" t="n">
        <f aca="false">Sens!I10129-Sens!J10127*mix_g2</f>
        <v>909</v>
      </c>
      <c r="K10129" s="29" t="n">
        <f aca="false">Sens!J10129-Sens!K10127*mix_g2</f>
        <v>247.5</v>
      </c>
    </row>
    <row r="10130" customFormat="false" ht="17.15" hidden="false" customHeight="false" outlineLevel="0" collapsed="false">
      <c r="A10130" s="1" t="s">
        <v>825</v>
      </c>
      <c r="B10130" s="0" t="s">
        <v>399</v>
      </c>
      <c r="C10130" s="29" t="n">
        <f aca="false">mix_g3*Sens!C10120</f>
        <v>224</v>
      </c>
      <c r="D10130" s="29" t="n">
        <f aca="false">mix_g3*Sens!D10120</f>
        <v>570.5</v>
      </c>
      <c r="E10130" s="29" t="n">
        <f aca="false">mix_g3*Sens!E10120</f>
        <v>1137.5</v>
      </c>
      <c r="F10130" s="29" t="n">
        <f aca="false">Sens!E10130+(Sens!F10126+Sens!F10127)*a_g3_27-Sens!F10127*mix_g3</f>
        <v>2906.54</v>
      </c>
      <c r="G10130" s="29" t="n">
        <f aca="false">Sens!F10130+(Sens!G10126+Sens!G10127)*a_g3_28-Sens!G10127*mix_g3</f>
        <v>3664.7</v>
      </c>
      <c r="H10130" s="29" t="n">
        <f aca="false">Sens!G10130+(Sens!H10126+Sens!H10127)*a_g3_29-Sens!H10127*mix_g3</f>
        <v>3917.42</v>
      </c>
      <c r="I10130" s="29" t="n">
        <f aca="false">Sens!H10130+(Sens!I10126+Sens!I10127)*a_g3_29-Sens!I10127*mix_g3</f>
        <v>3974.2316</v>
      </c>
      <c r="J10130" s="29" t="n">
        <f aca="false">Sens!I10130+(Sens!J10126+Sens!J10127)*a_g3_29-Sens!J10127*mix_g3</f>
        <v>3898.721032</v>
      </c>
      <c r="K10130" s="29" t="n">
        <f aca="false">Sens!J10130+(Sens!K10126+Sens!K10127)*a_g3_29-Sens!K10127*mix_g3</f>
        <v>3572.37986296</v>
      </c>
    </row>
    <row r="10131" customFormat="false" ht="17.15" hidden="false" customHeight="false" outlineLevel="0" collapsed="false">
      <c r="A10131" s="1" t="s">
        <v>826</v>
      </c>
      <c r="B10131" s="0" t="s">
        <v>399</v>
      </c>
      <c r="C10131" s="29" t="n">
        <v>0</v>
      </c>
      <c r="D10131" s="29" t="n">
        <v>0</v>
      </c>
      <c r="E10131" s="29" t="n">
        <v>0</v>
      </c>
      <c r="F10131" s="29" t="n">
        <f aca="false">Sens!E10131+(Sens!F10126+Sens!F10127)*(1-a_g3_27)</f>
        <v>758.16</v>
      </c>
      <c r="G10131" s="29" t="n">
        <f aca="false">Sens!F10131+(Sens!G10126+Sens!G10127)*(1-a_g3_28)</f>
        <v>2527.2</v>
      </c>
      <c r="H10131" s="29" t="n">
        <f aca="false">Sens!G10131+(Sens!H10126+Sens!H10127)*(1-a_g3_29)</f>
        <v>4801.68</v>
      </c>
      <c r="I10131" s="29" t="n">
        <f aca="false">Sens!H10131+(Sens!I10126+Sens!I10127)*(1-a_g3_29)</f>
        <v>6856.4844</v>
      </c>
      <c r="J10131" s="29" t="n">
        <f aca="false">Sens!I10131+(Sens!J10126+Sens!J10127)*(1-a_g3_29)</f>
        <v>8507.889288</v>
      </c>
      <c r="K10131" s="29" t="n">
        <f aca="false">Sens!J10131+(Sens!K10126+Sens!K10127)*(1-a_g3_29)</f>
        <v>10201.31876664</v>
      </c>
    </row>
    <row r="10132" customFormat="false" ht="17.15" hidden="false" customHeight="false" outlineLevel="0" collapsed="false">
      <c r="A10132" s="1" t="s">
        <v>827</v>
      </c>
      <c r="B10132" s="0" t="s">
        <v>346</v>
      </c>
      <c r="C10132" s="14" t="n">
        <f aca="false">(Sens!C10128*tk_hold_h100+Sens!C10129*tk_hold_gb200+Sens!C10130*tk_hold_gb300+Sens!C10131*tk_hold_vr200)/Sens!C10120</f>
        <v>9.7235358126469</v>
      </c>
      <c r="D10132" s="14" t="n">
        <f aca="false">(Sens!D10128*tk_hold_h100+Sens!D10129*tk_hold_gb200+Sens!D10130*tk_hold_gb300+Sens!D10131*tk_hold_vr200)/Sens!D10120</f>
        <v>9.7235358126469</v>
      </c>
      <c r="E10132" s="14" t="n">
        <f aca="false">(Sens!E10128*tk_hold_h100+Sens!E10129*tk_hold_gb200+Sens!E10130*tk_hold_gb300+Sens!E10131*tk_hold_vr200)/Sens!E10120</f>
        <v>9.7235358126469</v>
      </c>
      <c r="F10132" s="14" t="n">
        <f aca="false">(Sens!F10128*tk_hold_h100+Sens!F10129*tk_hold_gb200+Sens!F10130*tk_hold_gb300+Sens!F10131*tk_hold_vr200)/Sens!F10120</f>
        <v>10.4079573161931</v>
      </c>
      <c r="G10132" s="14" t="n">
        <f aca="false">(Sens!G10128*tk_hold_h100+Sens!G10129*tk_hold_gb200+Sens!G10130*tk_hold_gb300+Sens!G10131*tk_hold_vr200)/Sens!G10120</f>
        <v>10.8388131109316</v>
      </c>
      <c r="H10132" s="14" t="n">
        <f aca="false">(Sens!H10128*tk_hold_h100+Sens!H10129*tk_hold_gb200+Sens!H10130*tk_hold_gb300+Sens!H10131*tk_hold_vr200)/Sens!H10120</f>
        <v>11.1311018388216</v>
      </c>
      <c r="I10132" s="14" t="n">
        <f aca="false">(Sens!I10128*tk_hold_h100+Sens!I10129*tk_hold_gb200+Sens!I10130*tk_hold_gb300+Sens!I10131*tk_hold_vr200)/Sens!I10120</f>
        <v>11.3594282560989</v>
      </c>
      <c r="J10132" s="14" t="n">
        <f aca="false">(Sens!J10128*tk_hold_h100+Sens!J10129*tk_hold_gb200+Sens!J10130*tk_hold_gb300+Sens!J10131*tk_hold_vr200)/Sens!J10120</f>
        <v>11.5455817917599</v>
      </c>
      <c r="K10132" s="14" t="n">
        <f aca="false">(Sens!K10128*tk_hold_h100+Sens!K10129*tk_hold_gb200+Sens!K10130*tk_hold_gb300+Sens!K10131*tk_hold_vr200)/Sens!K10120</f>
        <v>11.8078187977246</v>
      </c>
    </row>
    <row r="10133" customFormat="false" ht="17.15" hidden="false" customHeight="false" outlineLevel="0" collapsed="false">
      <c r="A10133" s="0" t="s">
        <v>828</v>
      </c>
      <c r="B10133" s="0" t="s">
        <v>185</v>
      </c>
      <c r="C10133" s="14" t="n">
        <f aca="false">k_B</f>
        <v>1.17213932619116</v>
      </c>
      <c r="D10133" s="14" t="n">
        <f aca="false">k_B</f>
        <v>1.17213932619116</v>
      </c>
      <c r="E10133" s="14" t="n">
        <f aca="false">k_B</f>
        <v>1.17213932619116</v>
      </c>
      <c r="F10133" s="14" t="n">
        <f aca="false">(k_B+((ls_B*k_long+(1-ls_B)*k_spot)-k_B)*MIN(1,(Sens!F10118-base_fy)/k_ramp))</f>
        <v>1.17213932619116</v>
      </c>
      <c r="G10133" s="14" t="n">
        <f aca="false">(k_B+((ls_B*k_long+(1-ls_B)*k_spot)-k_B)*MIN(1,(Sens!G10118-base_fy)/k_ramp))</f>
        <v>1.17213932619116</v>
      </c>
      <c r="H10133" s="14" t="n">
        <f aca="false">(k_B+((ls_B*k_long+(1-ls_B)*k_spot)-k_B)*MIN(1,(Sens!H10118-base_fy)/k_ramp))</f>
        <v>1.17213932619116</v>
      </c>
      <c r="I10133" s="14" t="n">
        <f aca="false">(k_B+((ls_B*k_long+(1-ls_B)*k_spot)-k_B)*MIN(1,(Sens!I10118-base_fy)/k_ramp))</f>
        <v>1.17213932619116</v>
      </c>
      <c r="J10133" s="14" t="n">
        <f aca="false">(k_B+((ls_B*k_long+(1-ls_B)*k_spot)-k_B)*MIN(1,(Sens!J10118-base_fy)/k_ramp))</f>
        <v>1.17213932619116</v>
      </c>
      <c r="K10133" s="14" t="n">
        <f aca="false">(k_B+((ls_B*k_long+(1-ls_B)*k_spot)-k_B)*MIN(1,(Sens!K10118-base_fy)/k_ramp))</f>
        <v>1.17213932619116</v>
      </c>
      <c r="L10133" s="1" t="s">
        <v>829</v>
      </c>
    </row>
    <row r="10134" customFormat="false" ht="17.15" hidden="false" customHeight="false" outlineLevel="0" collapsed="false">
      <c r="A10134" s="1" t="s">
        <v>830</v>
      </c>
      <c r="B10134" s="0" t="s">
        <v>346</v>
      </c>
      <c r="C10134" s="14" t="n">
        <f aca="false">Sens!C10132*Sens!C10133*chip_f</f>
        <v>11.3973387156315</v>
      </c>
      <c r="D10134" s="14" t="n">
        <f aca="false">Sens!D10132*Sens!D10133*chip_f</f>
        <v>11.3973387156315</v>
      </c>
      <c r="E10134" s="14" t="n">
        <f aca="false">Sens!E10132*Sens!E10133*chip_f</f>
        <v>11.3973387156315</v>
      </c>
      <c r="F10134" s="14" t="n">
        <f aca="false">Sens!F10132*Sens!F10133*chip_f</f>
        <v>12.1995760756289</v>
      </c>
      <c r="G10134" s="14" t="n">
        <f aca="false">Sens!G10132*Sens!G10133*chip_f</f>
        <v>12.7045990965592</v>
      </c>
      <c r="H10134" s="14" t="n">
        <f aca="false">Sens!H10132*Sens!H10133*chip_f</f>
        <v>13.0472022091214</v>
      </c>
      <c r="I10134" s="14" t="n">
        <f aca="false">Sens!I10132*Sens!I10133*chip_f</f>
        <v>13.3148325820205</v>
      </c>
      <c r="J10134" s="14" t="n">
        <f aca="false">Sens!J10132*Sens!J10133*chip_f</f>
        <v>13.5330304618783</v>
      </c>
      <c r="K10134" s="14" t="n">
        <f aca="false">Sens!K10132*Sens!K10133*chip_f</f>
        <v>13.8404087693522</v>
      </c>
      <c r="L10134" s="1" t="s">
        <v>831</v>
      </c>
    </row>
    <row r="10135" customFormat="false" ht="17.15" hidden="false" customHeight="false" outlineLevel="0" collapsed="false">
      <c r="A10135" s="0" t="s">
        <v>832</v>
      </c>
      <c r="B10135" s="0" t="s">
        <v>98</v>
      </c>
      <c r="D10135" s="6" t="n">
        <f aca="false">(Sens!C10120+Sens!D10120)/2*Sens!D10134/1000</f>
        <v>12.9359794422418</v>
      </c>
      <c r="E10135" s="6" t="n">
        <f aca="false">(Sens!D10120+Sens!E10120)/2*Sens!E10134/1000</f>
        <v>27.8095064661409</v>
      </c>
      <c r="F10135" s="6" t="n">
        <f aca="false">(Sens!E10120+Sens!F10120)/2*Sens!F10134/1000</f>
        <v>55.0640065749585</v>
      </c>
      <c r="G10135" s="6" t="n">
        <f aca="false">(Sens!F10120+Sens!G10120)/2*Sens!G10134/1000</f>
        <v>89.4505413190538</v>
      </c>
      <c r="H10135" s="6" t="n">
        <f aca="false">(Sens!G10120+Sens!H10120)/2*Sens!H10134/1000</f>
        <v>124.835630736874</v>
      </c>
      <c r="I10135" s="6" t="n">
        <f aca="false">(Sens!H10120+Sens!I10120)/2*Sens!I10134/1000</f>
        <v>156.158460265485</v>
      </c>
      <c r="J10135" s="6" t="n">
        <f aca="false">(Sens!I10120+Sens!J10120)/2*Sens!J10134/1000</f>
        <v>178.259285293112</v>
      </c>
      <c r="K10135" s="6" t="n">
        <f aca="false">(Sens!J10120+Sens!K10120)/2*Sens!K10134/1000</f>
        <v>192.733290209798</v>
      </c>
      <c r="L10135" s="11" t="s">
        <v>833</v>
      </c>
    </row>
    <row r="10136" customFormat="false" ht="17.15" hidden="false" customHeight="false" outlineLevel="0" collapsed="false">
      <c r="A10136" s="1" t="s">
        <v>834</v>
      </c>
      <c r="B10136" s="0" t="s">
        <v>346</v>
      </c>
      <c r="C10136" s="14" t="n">
        <f aca="false">(Sens!C10128*tk_opex_h100+Sens!C10129*tk_opex_gb200+Sens!C10130*tk_opex_gb300+Sens!C10131*tk_opex_vr200)/Sens!C10120</f>
        <v>1.88636041306092</v>
      </c>
      <c r="D10136" s="14" t="n">
        <f aca="false">(Sens!D10128*tk_opex_h100+Sens!D10129*tk_opex_gb200+Sens!D10130*tk_opex_gb300+Sens!D10131*tk_opex_vr200)/Sens!D10120</f>
        <v>1.88636041306092</v>
      </c>
      <c r="E10136" s="14" t="n">
        <f aca="false">(Sens!E10128*tk_opex_h100+Sens!E10129*tk_opex_gb200+Sens!E10130*tk_opex_gb300+Sens!E10131*tk_opex_vr200)/Sens!E10120</f>
        <v>1.88636041306092</v>
      </c>
      <c r="F10136" s="14" t="n">
        <f aca="false">(Sens!F10128*tk_opex_h100+Sens!F10129*tk_opex_gb200+Sens!F10130*tk_opex_gb300+Sens!F10131*tk_opex_vr200)/Sens!F10120</f>
        <v>1.9430236476499</v>
      </c>
      <c r="G10136" s="14" t="n">
        <f aca="false">(Sens!G10128*tk_opex_h100+Sens!G10129*tk_opex_gb200+Sens!G10130*tk_opex_gb300+Sens!G10131*tk_opex_vr200)/Sens!G10120</f>
        <v>1.9786941852423</v>
      </c>
      <c r="H10136" s="14" t="n">
        <f aca="false">(Sens!H10128*tk_opex_h100+Sens!H10129*tk_opex_gb200+Sens!H10130*tk_opex_gb300+Sens!H10131*tk_opex_vr200)/Sens!H10120</f>
        <v>2.00289275976156</v>
      </c>
      <c r="I10136" s="14" t="n">
        <f aca="false">(Sens!I10128*tk_opex_h100+Sens!I10129*tk_opex_gb200+Sens!I10130*tk_opex_gb300+Sens!I10131*tk_opex_vr200)/Sens!I10120</f>
        <v>2.02179589661219</v>
      </c>
      <c r="J10136" s="14" t="n">
        <f aca="false">(Sens!J10128*tk_opex_h100+Sens!J10129*tk_opex_gb200+Sens!J10130*tk_opex_gb300+Sens!J10131*tk_opex_vr200)/Sens!J10120</f>
        <v>2.03720754193029</v>
      </c>
      <c r="K10136" s="14" t="n">
        <f aca="false">(Sens!K10128*tk_opex_h100+Sens!K10129*tk_opex_gb200+Sens!K10130*tk_opex_gb300+Sens!K10131*tk_opex_vr200)/Sens!K10120</f>
        <v>2.0589181353437</v>
      </c>
    </row>
    <row r="10137" customFormat="false" ht="17.15" hidden="false" customHeight="false" outlineLevel="0" collapsed="false">
      <c r="A10137" s="0" t="s">
        <v>835</v>
      </c>
      <c r="B10137" s="0" t="s">
        <v>98</v>
      </c>
      <c r="D10137" s="6" t="n">
        <f aca="false">(Sens!C10123+Sens!D10123)/2*Sens!D10136/1000</f>
        <v>2.70378325872065</v>
      </c>
      <c r="E10137" s="6" t="n">
        <f aca="false">(Sens!D10123+Sens!E10123)/2*Sens!E10136/1000</f>
        <v>6.17783035277451</v>
      </c>
      <c r="F10137" s="6" t="n">
        <f aca="false">(Sens!E10123+Sens!F10123)/2*Sens!F10136/1000</f>
        <v>12.5020618235287</v>
      </c>
      <c r="G10137" s="6" t="n">
        <f aca="false">(Sens!F10123+Sens!G10123)/2*Sens!G10136/1000</f>
        <v>20.7261620256847</v>
      </c>
      <c r="H10137" s="6" t="n">
        <f aca="false">(Sens!G10123+Sens!H10123)/2*Sens!H10136/1000</f>
        <v>29.4158183316982</v>
      </c>
      <c r="I10137" s="6" t="n">
        <f aca="false">(Sens!H10123+Sens!I10123)/2*Sens!I10136/1000</f>
        <v>36.9724400356344</v>
      </c>
      <c r="J10137" s="6" t="n">
        <f aca="false">(Sens!I10123+Sens!J10123)/2*Sens!J10136/1000</f>
        <v>42.1571687189816</v>
      </c>
      <c r="K10137" s="6" t="n">
        <f aca="false">(Sens!J10123+Sens!K10123)/2*Sens!K10136/1000</f>
        <v>45.1912095080704</v>
      </c>
    </row>
    <row r="10138" customFormat="false" ht="17.15" hidden="false" customHeight="false" outlineLevel="0" collapsed="false">
      <c r="A10138" s="0" t="s">
        <v>836</v>
      </c>
      <c r="B10138" s="0" t="s">
        <v>98</v>
      </c>
      <c r="D10138" s="6" t="n">
        <f aca="false">(Sens!C10121+Sens!D10121)/2*rent_mw/1000</f>
        <v>2.44475</v>
      </c>
      <c r="E10138" s="6" t="n">
        <f aca="false">(Sens!D10121+Sens!E10121)/2*rent_mw/1000</f>
        <v>4.22275</v>
      </c>
      <c r="F10138" s="6" t="n">
        <f aca="false">(Sens!E10121+Sens!F10121)/2*rent_mw/1000</f>
        <v>5.80517</v>
      </c>
      <c r="G10138" s="6" t="n">
        <f aca="false">(Sens!F10121+Sens!G10121)/2*rent_mw/1000</f>
        <v>6.72084</v>
      </c>
      <c r="H10138" s="6" t="n">
        <f aca="false">(Sens!G10121+Sens!H10121)/2*rent_mw/1000</f>
        <v>6.72084</v>
      </c>
      <c r="I10138" s="6" t="n">
        <f aca="false">(Sens!H10121+Sens!I10121)/2*rent_mw/1000</f>
        <v>6.72084</v>
      </c>
      <c r="J10138" s="6" t="n">
        <f aca="false">(Sens!I10121+Sens!J10121)/2*rent_mw/1000</f>
        <v>6.72084</v>
      </c>
      <c r="K10138" s="6" t="n">
        <f aca="false">(Sens!J10121+Sens!K10121)/2*rent_mw/1000</f>
        <v>6.72084</v>
      </c>
    </row>
    <row r="10139" customFormat="false" ht="17.15" hidden="false" customHeight="false" outlineLevel="0" collapsed="false">
      <c r="A10139" s="0" t="s">
        <v>837</v>
      </c>
      <c r="B10139" s="0" t="s">
        <v>98</v>
      </c>
      <c r="D10139" s="6" t="n">
        <f aca="false">(Sens!C10123+Sens!D10123)/2*(1-self_build)*fac_rent/1000</f>
        <v>0.853242375631075</v>
      </c>
      <c r="E10139" s="6" t="n">
        <f aca="false">(Sens!D10123+Sens!E10123)/2*(1-self_build)*fac_rent/1000</f>
        <v>1.94955961408728</v>
      </c>
      <c r="F10139" s="6" t="n">
        <f aca="false">(Sens!E10123+Sens!F10123)/2*(1-self_build)*fac_rent/1000</f>
        <v>3.83026455274573</v>
      </c>
      <c r="G10139" s="6" t="n">
        <f aca="false">(Sens!F10123+Sens!G10123)/2*(1-self_build)*fac_rent/1000</f>
        <v>6.23541590972812</v>
      </c>
      <c r="H10139" s="6" t="n">
        <f aca="false">(Sens!G10123+Sens!H10123)/2*(1-self_build)*fac_rent/1000</f>
        <v>8.74275792332679</v>
      </c>
      <c r="I10139" s="6" t="n">
        <f aca="false">(Sens!H10123+Sens!I10123)/2*(1-self_build)*fac_rent/1000</f>
        <v>10.8859420438599</v>
      </c>
      <c r="J10139" s="6" t="n">
        <f aca="false">(Sens!I10123+Sens!J10123)/2*(1-self_build)*fac_rent/1000</f>
        <v>12.3186006405366</v>
      </c>
      <c r="K10139" s="6" t="n">
        <f aca="false">(Sens!J10123+Sens!K10123)/2*(1-self_build)*fac_rent/1000</f>
        <v>13.0659232089824</v>
      </c>
      <c r="L10139" s="11" t="s">
        <v>838</v>
      </c>
    </row>
    <row r="10140" customFormat="false" ht="17.15" hidden="false" customHeight="false" outlineLevel="0" collapsed="false">
      <c r="A10140" s="1" t="s">
        <v>839</v>
      </c>
      <c r="B10140" s="0" t="s">
        <v>129</v>
      </c>
      <c r="D10140" s="7" t="n">
        <f aca="false">(Sens!C10122+Sens!D10122)/(Sens!C10123+Sens!D10123)</f>
        <v>0.6</v>
      </c>
      <c r="E10140" s="7" t="n">
        <f aca="false">(Sens!D10122+Sens!E10122)/(Sens!D10123+Sens!E10123)</f>
        <v>0.6</v>
      </c>
      <c r="F10140" s="7" t="n">
        <f aca="false">(Sens!E10122+Sens!F10122)/(Sens!E10123+Sens!F10123)</f>
        <v>0.6</v>
      </c>
      <c r="G10140" s="7" t="n">
        <f aca="false">(Sens!F10122+Sens!G10122)/(Sens!F10123+Sens!G10123)</f>
        <v>0.6</v>
      </c>
      <c r="H10140" s="7" t="n">
        <f aca="false">(Sens!G10122+Sens!H10122)/(Sens!G10123+Sens!H10123)</f>
        <v>0.6</v>
      </c>
      <c r="I10140" s="7" t="n">
        <f aca="false">(Sens!H10122+Sens!I10122)/(Sens!H10123+Sens!I10123)</f>
        <v>0.6</v>
      </c>
      <c r="J10140" s="7" t="n">
        <f aca="false">(Sens!I10122+Sens!J10122)/(Sens!I10123+Sens!J10123)</f>
        <v>0.6</v>
      </c>
      <c r="K10140" s="7" t="n">
        <f aca="false">(Sens!J10122+Sens!K10122)/(Sens!J10123+Sens!K10123)</f>
        <v>0.6</v>
      </c>
    </row>
    <row r="10141" customFormat="false" ht="17.15" hidden="false" customHeight="false" outlineLevel="0" collapsed="false">
      <c r="A10141" s="0" t="s">
        <v>840</v>
      </c>
      <c r="B10141" s="0" t="s">
        <v>98</v>
      </c>
      <c r="D10141" s="6" t="n">
        <f aca="false">Sens!D10135-Sens!D10140*(Sens!D10137+Sens!D10139)-Sens!D10138</f>
        <v>8.35701406163072</v>
      </c>
      <c r="E10141" s="6" t="n">
        <f aca="false">Sens!E10135-Sens!E10140*(Sens!E10137+Sens!E10139)-Sens!E10138</f>
        <v>18.7103224860238</v>
      </c>
      <c r="F10141" s="6" t="n">
        <f aca="false">Sens!F10135-Sens!F10140*(Sens!F10137+Sens!F10139)-Sens!F10138</f>
        <v>39.4594407491938</v>
      </c>
      <c r="G10141" s="6" t="n">
        <f aca="false">Sens!G10135-Sens!G10140*(Sens!G10137+Sens!G10139)-Sens!G10138</f>
        <v>66.5527545578061</v>
      </c>
      <c r="H10141" s="6" t="n">
        <f aca="false">Sens!H10135-Sens!H10140*(Sens!H10137+Sens!H10139)-Sens!H10138</f>
        <v>95.219644983859</v>
      </c>
      <c r="I10141" s="6" t="n">
        <f aca="false">Sens!I10135-Sens!I10140*(Sens!I10137+Sens!I10139)-Sens!I10138</f>
        <v>120.722591017788</v>
      </c>
      <c r="J10141" s="6" t="n">
        <f aca="false">Sens!J10135-Sens!J10140*(Sens!J10137+Sens!J10139)-Sens!J10138</f>
        <v>138.852983677401</v>
      </c>
      <c r="K10141" s="6" t="n">
        <f aca="false">Sens!K10135-Sens!K10140*(Sens!K10137+Sens!K10139)-Sens!K10138</f>
        <v>151.058170579566</v>
      </c>
    </row>
    <row r="10142" customFormat="false" ht="17.15" hidden="false" customHeight="false" outlineLevel="0" collapsed="false">
      <c r="A10142" s="1" t="s">
        <v>841</v>
      </c>
      <c r="B10142" s="0" t="s">
        <v>98</v>
      </c>
      <c r="D10142" s="6" t="n">
        <f aca="false">(1-Sens!D10140)*(Sens!D10137+Sens!D10139)</f>
        <v>1.42281025374069</v>
      </c>
      <c r="E10142" s="6" t="n">
        <f aca="false">(1-Sens!E10140)*(Sens!E10137+Sens!E10139)</f>
        <v>3.25095598674472</v>
      </c>
      <c r="F10142" s="6" t="n">
        <f aca="false">(1-Sens!F10140)*(Sens!F10137+Sens!F10139)</f>
        <v>6.53293055050977</v>
      </c>
      <c r="G10142" s="6" t="n">
        <f aca="false">(1-Sens!G10140)*(Sens!G10137+Sens!G10139)</f>
        <v>10.7846311741651</v>
      </c>
      <c r="H10142" s="6" t="n">
        <f aca="false">(1-Sens!H10140)*(Sens!H10137+Sens!H10139)</f>
        <v>15.26343050201</v>
      </c>
      <c r="I10142" s="6" t="n">
        <f aca="false">(1-Sens!I10140)*(Sens!I10137+Sens!I10139)</f>
        <v>19.1433528317977</v>
      </c>
      <c r="J10142" s="6" t="n">
        <f aca="false">(1-Sens!J10140)*(Sens!J10137+Sens!J10139)</f>
        <v>21.7903077438073</v>
      </c>
      <c r="K10142" s="6" t="n">
        <f aca="false">(1-Sens!K10140)*(Sens!K10137+Sens!K10139)</f>
        <v>23.3028530868211</v>
      </c>
    </row>
    <row r="10143" customFormat="false" ht="17.15" hidden="false" customHeight="false" outlineLevel="0" collapsed="false">
      <c r="A10143" s="1" t="s">
        <v>842</v>
      </c>
      <c r="B10143" s="0" t="s">
        <v>357</v>
      </c>
      <c r="C10143" s="8" t="n">
        <f aca="false">cxit_open</f>
        <v>27.5918995</v>
      </c>
      <c r="D10143" s="8" t="n">
        <f aca="false">cxit_open</f>
        <v>27.5918995</v>
      </c>
      <c r="E10143" s="8" t="n">
        <f aca="false">cxit_open</f>
        <v>27.5918995</v>
      </c>
      <c r="F10143" s="8" t="n">
        <f aca="false">(a_g3_27*tk_cxit_gb300+(1-a_g3_27)*tk_cxit_vr200)</f>
        <v>33.8419624</v>
      </c>
      <c r="G10143" s="8" t="n">
        <f aca="false">(a_g3_28*tk_cxit_gb300+(1-a_g3_28)*tk_cxit_vr200)</f>
        <v>35.9816136</v>
      </c>
      <c r="H10143" s="8" t="n">
        <f aca="false">(a_g3_29*tk_cxit_gb300+(1-a_g3_29)*tk_cxit_vr200)</f>
        <v>37.0514392</v>
      </c>
      <c r="I10143" s="8" t="n">
        <f aca="false">(a_g3_29*tk_cxit_gb300+(1-a_g3_29)*tk_cxit_vr200)</f>
        <v>37.0514392</v>
      </c>
      <c r="J10143" s="8" t="n">
        <f aca="false">(a_g3_29*tk_cxit_gb300+(1-a_g3_29)*tk_cxit_vr200)</f>
        <v>37.0514392</v>
      </c>
      <c r="K10143" s="8" t="n">
        <f aca="false">(a_g3_29*tk_cxit_gb300+(1-a_g3_29)*tk_cxit_vr200)</f>
        <v>37.0514392</v>
      </c>
      <c r="L10143" s="11" t="s">
        <v>843</v>
      </c>
    </row>
    <row r="10144" customFormat="false" ht="17.15" hidden="false" customHeight="false" outlineLevel="0" collapsed="false">
      <c r="A10144" s="0" t="s">
        <v>844</v>
      </c>
      <c r="B10144" s="0" t="s">
        <v>399</v>
      </c>
      <c r="F10144" s="29" t="n">
        <f aca="false">Sens!C10125*IF(Sens!F10118-Sens!C10118=life_it,1,0)+Sens!D10125*IF(Sens!F10118-Sens!D10118=life_it,1,0)+Sens!E10125*IF(Sens!F10118-Sens!E10118=life_it,1,0)</f>
        <v>0</v>
      </c>
      <c r="G10144" s="29" t="n">
        <f aca="false">Sens!C10125*IF(Sens!G10118-Sens!C10118=life_it,1,0)+Sens!D10125*IF(Sens!G10118-Sens!D10118=life_it,1,0)+Sens!E10125*IF(Sens!G10118-Sens!E10118=life_it,1,0)+Sens!F10125*IF(Sens!G10118-Sens!F10118=life_it,1,0)</f>
        <v>0</v>
      </c>
      <c r="H10144" s="29" t="n">
        <f aca="false">Sens!C10125*IF(Sens!H10118-Sens!C10118=life_it,1,0)+Sens!D10125*IF(Sens!H10118-Sens!D10118=life_it,1,0)+Sens!E10125*IF(Sens!H10118-Sens!E10118=life_it,1,0)+Sens!F10125*IF(Sens!H10118-Sens!F10118=life_it,1,0)+Sens!G10125*IF(Sens!H10118-Sens!G10118=life_it,1,0)</f>
        <v>0</v>
      </c>
      <c r="I10144" s="29" t="n">
        <f aca="false">Sens!C10125*IF(Sens!I10118-Sens!C10118=life_it,1,0)+Sens!D10125*IF(Sens!I10118-Sens!D10118=life_it,1,0)+Sens!E10125*IF(Sens!I10118-Sens!E10118=life_it,1,0)+Sens!F10125*IF(Sens!I10118-Sens!F10118=life_it,1,0)+Sens!G10125*IF(Sens!I10118-Sens!G10118=life_it,1,0)+Sens!H10125*IF(Sens!I10118-Sens!H10118=life_it,1,0)</f>
        <v>816.666666666667</v>
      </c>
      <c r="J10144" s="29" t="n">
        <f aca="false">Sens!C10125*IF(Sens!J10118-Sens!C10118=life_it,1,0)+Sens!D10125*IF(Sens!J10118-Sens!D10118=life_it,1,0)+Sens!E10125*IF(Sens!J10118-Sens!E10118=life_it,1,0)+Sens!F10125*IF(Sens!J10118-Sens!F10118=life_it,1,0)+Sens!G10125*IF(Sens!J10118-Sens!G10118=life_it,1,0)+Sens!H10125*IF(Sens!J10118-Sens!H10118=life_it,1,0)+Sens!I10125*IF(Sens!J10118-Sens!I10118=life_it,1,0)</f>
        <v>1233.33333333333</v>
      </c>
      <c r="K10144" s="29" t="n">
        <f aca="false">Sens!C10125*IF(Sens!K10118-Sens!C10118=life_it,1,0)+Sens!D10125*IF(Sens!K10118-Sens!D10118=life_it,1,0)+Sens!E10125*IF(Sens!K10118-Sens!E10118=life_it,1,0)+Sens!F10125*IF(Sens!K10118-Sens!F10118=life_it,1,0)+Sens!G10125*IF(Sens!K10118-Sens!G10118=life_it,1,0)+Sens!H10125*IF(Sens!K10118-Sens!H10118=life_it,1,0)+Sens!I10125*IF(Sens!K10118-Sens!I10118=life_it,1,0)+Sens!J10125*IF(Sens!K10118-Sens!J10118=life_it,1,0)</f>
        <v>2450</v>
      </c>
      <c r="L10144" s="1" t="s">
        <v>845</v>
      </c>
    </row>
    <row r="10145" customFormat="false" ht="17.15" hidden="false" customHeight="false" outlineLevel="0" collapsed="false">
      <c r="A10145" s="0" t="s">
        <v>846</v>
      </c>
      <c r="B10145" s="0" t="s">
        <v>98</v>
      </c>
      <c r="C10145" s="6" t="n">
        <f aca="false">Sens!C10125*Sens!C10143/1000</f>
        <v>22.5333845916667</v>
      </c>
      <c r="D10145" s="6" t="n">
        <f aca="false">Sens!D10125*Sens!D10143/1000</f>
        <v>34.0300093833333</v>
      </c>
      <c r="E10145" s="6" t="n">
        <f aca="false">Sens!E10125*Sens!E10143/1000</f>
        <v>67.600153775</v>
      </c>
      <c r="F10145" s="6" t="n">
        <f aca="false">(Sens!F10125+Sens!F10144)*Sens!F10143/1000</f>
        <v>130.923271871467</v>
      </c>
      <c r="G10145" s="6" t="n">
        <f aca="false">(Sens!G10125+Sens!G10144)*Sens!G10143/1000</f>
        <v>151.5545564832</v>
      </c>
      <c r="H10145" s="6" t="n">
        <f aca="false">(Sens!H10125+Sens!H10144)*Sens!H10143/1000</f>
        <v>156.0606619104</v>
      </c>
      <c r="I10145" s="6" t="n">
        <f aca="false">(Sens!I10125+Sens!I10144)*Sens!I10143/1000</f>
        <v>140.987889434245</v>
      </c>
      <c r="J10145" s="6" t="n">
        <f aca="false">(Sens!J10125+Sens!J10144)*Sens!J10143/1000</f>
        <v>113.309125559842</v>
      </c>
      <c r="K10145" s="6" t="n">
        <f aca="false">(Sens!K10125+Sens!K10144)*Sens!K10143/1000</f>
        <v>116.192591420959</v>
      </c>
    </row>
    <row r="10146" customFormat="false" ht="17.15" hidden="false" customHeight="false" outlineLevel="0" collapsed="false">
      <c r="A10146" s="0" t="s">
        <v>847</v>
      </c>
      <c r="B10146" s="0" t="s">
        <v>98</v>
      </c>
      <c r="C10146" s="6" t="n">
        <f aca="false">Sens!C10125*self_build*tk_cxfac/1000</f>
        <v>6.2083</v>
      </c>
      <c r="D10146" s="6" t="n">
        <f aca="false">Sens!D10125*self_build*tk_cxfac/1000</f>
        <v>9.3758</v>
      </c>
      <c r="E10146" s="6" t="n">
        <f aca="false">Sens!E10125*self_build*tk_cxfac/1000</f>
        <v>18.6249</v>
      </c>
      <c r="F10146" s="6" t="n">
        <f aca="false">Sens!F10125*self_build*tk_cxfac/1000</f>
        <v>29.409604</v>
      </c>
      <c r="G10146" s="6" t="n">
        <f aca="false">Sens!G10125*self_build*tk_cxfac/1000</f>
        <v>32.019624</v>
      </c>
      <c r="H10146" s="6" t="n">
        <f aca="false">Sens!H10125*self_build*tk_cxfac/1000</f>
        <v>32.019624</v>
      </c>
      <c r="I10146" s="6" t="n">
        <f aca="false">Sens!I10125*self_build*tk_cxfac/1000</f>
        <v>22.71877972</v>
      </c>
      <c r="J10146" s="6" t="n">
        <f aca="false">Sens!J10125*self_build*tk_cxfac/1000</f>
        <v>13.8723110344</v>
      </c>
      <c r="K10146" s="6" t="n">
        <f aca="false">Sens!K10125*self_build*tk_cxfac/1000</f>
        <v>5.214823882632</v>
      </c>
    </row>
    <row r="10147" customFormat="false" ht="17.15" hidden="false" customHeight="false" outlineLevel="0" collapsed="false">
      <c r="A10147" s="0" t="s">
        <v>848</v>
      </c>
      <c r="B10147" s="0" t="s">
        <v>98</v>
      </c>
      <c r="F10147" s="6" t="n">
        <f aca="false">MAX(0,capex_floor27-Sens!F10145-Sens!F10146-Sens!F10241)</f>
        <v>8.29213489897089</v>
      </c>
    </row>
    <row r="10148" customFormat="false" ht="17.15" hidden="false" customHeight="false" outlineLevel="0" collapsed="false">
      <c r="A10148" s="0" t="s">
        <v>849</v>
      </c>
      <c r="B10148" s="0" t="s">
        <v>98</v>
      </c>
      <c r="C10148" s="6" t="n">
        <f aca="false">Sens!C10145</f>
        <v>22.5333845916667</v>
      </c>
      <c r="D10148" s="6" t="n">
        <f aca="false">Sens!D10145</f>
        <v>34.0300093833333</v>
      </c>
      <c r="E10148" s="6" t="n">
        <f aca="false">Sens!E10145</f>
        <v>67.600153775</v>
      </c>
      <c r="F10148" s="6" t="n">
        <f aca="false">Sens!F10145</f>
        <v>130.923271871467</v>
      </c>
      <c r="G10148" s="6" t="n">
        <f aca="false">Sens!G10145</f>
        <v>151.5545564832</v>
      </c>
      <c r="H10148" s="6" t="n">
        <f aca="false">Sens!H10145</f>
        <v>156.0606619104</v>
      </c>
      <c r="I10148" s="6" t="n">
        <f aca="false">Sens!I10145</f>
        <v>140.987889434245</v>
      </c>
      <c r="J10148" s="6" t="n">
        <f aca="false">Sens!J10145</f>
        <v>113.309125559842</v>
      </c>
      <c r="K10148" s="6" t="n">
        <f aca="false">Sens!K10145</f>
        <v>116.192591420959</v>
      </c>
    </row>
    <row r="10149" customFormat="false" ht="17.15" hidden="false" customHeight="false" outlineLevel="0" collapsed="false">
      <c r="A10149" s="0" t="s">
        <v>850</v>
      </c>
      <c r="B10149" s="0" t="s">
        <v>98</v>
      </c>
      <c r="C10149" s="6" t="n">
        <f aca="false">Sens!C10148+Sens!C10146</f>
        <v>28.7416845916667</v>
      </c>
      <c r="D10149" s="6" t="n">
        <f aca="false">Sens!D10148+Sens!D10146</f>
        <v>43.4058093833333</v>
      </c>
      <c r="E10149" s="6" t="n">
        <f aca="false">Sens!E10148+Sens!E10146</f>
        <v>86.225053775</v>
      </c>
      <c r="F10149" s="6" t="n">
        <f aca="false">Sens!F10148+Sens!F10146</f>
        <v>160.332875871467</v>
      </c>
      <c r="G10149" s="6" t="n">
        <f aca="false">Sens!G10148+Sens!G10146</f>
        <v>183.5741804832</v>
      </c>
      <c r="H10149" s="6" t="n">
        <f aca="false">Sens!H10148+Sens!H10146</f>
        <v>188.0802859104</v>
      </c>
      <c r="I10149" s="6" t="n">
        <f aca="false">Sens!I10148+Sens!I10146</f>
        <v>163.706669154245</v>
      </c>
      <c r="J10149" s="6" t="n">
        <f aca="false">Sens!J10148+Sens!J10146</f>
        <v>127.181436594242</v>
      </c>
      <c r="K10149" s="6" t="n">
        <f aca="false">Sens!K10148+Sens!K10146</f>
        <v>121.407415303591</v>
      </c>
      <c r="L10149" s="11" t="s">
        <v>851</v>
      </c>
    </row>
    <row r="10150" customFormat="false" ht="17.15" hidden="false" customHeight="false" outlineLevel="0" collapsed="false">
      <c r="A10150" s="0" t="s">
        <v>852</v>
      </c>
      <c r="B10150" s="0" t="s">
        <v>98</v>
      </c>
      <c r="E10150" s="6" t="n">
        <f aca="false">(Sens!C10148*IF(2&lt;life_it,1,IF(2=life_it,0.5,0))+Sens!D10148*IF(1&lt;life_it,1,IF(1=life_it,0.5,0))+Sens!E10148*0.5)/life_it</f>
        <v>15.0605784770833</v>
      </c>
      <c r="F10150" s="6" t="n">
        <f aca="false">(Sens!C10148*IF(3&lt;life_it,1,IF(3=life_it,0.5,0))+Sens!D10148*IF(2&lt;life_it,1,IF(2=life_it,0.5,0))+Sens!E10148*IF(1&lt;life_it,1,IF(1=life_it,0.5,0))+Sens!F10148*0.5)/life_it</f>
        <v>31.6041972809556</v>
      </c>
      <c r="G10150" s="6" t="n">
        <f aca="false">(Sens!C10148*IF(4&lt;life_it,1,IF(4=life_it,0.5,0))+Sens!D10148*IF(3&lt;life_it,1,IF(3=life_it,0.5,0))+Sens!E10148*IF(2&lt;life_it,1,IF(2=life_it,0.5,0))+Sens!F10148*IF(1&lt;life_it,1,IF(1=life_it,0.5,0))+Sens!G10148*0.5)/life_it</f>
        <v>55.1440163105111</v>
      </c>
      <c r="H10150" s="6" t="n">
        <f aca="false">(Sens!C10148*IF(5&lt;life_it,1,IF(5=life_it,0.5,0))+Sens!D10148*IF(4&lt;life_it,1,IF(4=life_it,0.5,0))+Sens!E10148*IF(3&lt;life_it,1,IF(3=life_it,0.5,0))+Sens!F10148*IF(2&lt;life_it,1,IF(2=life_it,0.5,0))+Sens!G10148*IF(1&lt;life_it,1,IF(1=life_it,0.5,0))+Sens!H10148*0.5)/life_it</f>
        <v>80.7786178433111</v>
      </c>
      <c r="I10150" s="6" t="n">
        <f aca="false">(Sens!C10148*IF(6&lt;life_it,1,IF(6=life_it,0.5,0))+Sens!D10148*IF(5&lt;life_it,1,IF(5=life_it,0.5,0))+Sens!E10148*IF(4&lt;life_it,1,IF(4=life_it,0.5,0))+Sens!F10148*IF(3&lt;life_it,1,IF(3=life_it,0.5,0))+Sens!G10148*IF(2&lt;life_it,1,IF(2=life_it,0.5,0))+Sens!H10148*IF(1&lt;life_it,1,IF(1=life_it,0.5,0))+Sens!I10148*0.5)/life_it</f>
        <v>103.654881739393</v>
      </c>
      <c r="J10150" s="6" t="n">
        <f aca="false">(Sens!C10148*IF(7&lt;life_it,1,IF(7=life_it,0.5,0))+Sens!D10148*IF(6&lt;life_it,1,IF(6=life_it,0.5,0))+Sens!E10148*IF(5&lt;life_it,1,IF(5=life_it,0.5,0))+Sens!F10148*IF(4&lt;life_it,1,IF(4=life_it,0.5,0))+Sens!G10148*IF(3&lt;life_it,1,IF(3=life_it,0.5,0))+Sens!H10148*IF(2&lt;life_it,1,IF(2=life_it,0.5,0))+Sens!I10148*IF(1&lt;life_it,1,IF(1=life_it,0.5,0))+Sens!J10148*0.5)/life_it</f>
        <v>120.132683490983</v>
      </c>
      <c r="K10150" s="6" t="n">
        <f aca="false">(Sens!C10148*IF(8&lt;life_it,1,IF(8=life_it,0.5,0))+Sens!D10148*IF(7&lt;life_it,1,IF(7=life_it,0.5,0))+Sens!E10148*IF(6&lt;life_it,1,IF(6=life_it,0.5,0))+Sens!F10148*IF(5&lt;life_it,1,IF(5=life_it,0.5,0))+Sens!G10148*IF(4&lt;life_it,1,IF(4=life_it,0.5,0))+Sens!H10148*IF(3&lt;life_it,1,IF(3=life_it,0.5,0))+Sens!I10148*IF(2&lt;life_it,1,IF(2=life_it,0.5,0))+Sens!J10148*IF(1&lt;life_it,1,IF(1=life_it,0.5,0))+Sens!K10148*0.5)/life_it</f>
        <v>130.788646309522</v>
      </c>
    </row>
    <row r="10151" customFormat="false" ht="17.15" hidden="false" customHeight="false" outlineLevel="0" collapsed="false">
      <c r="A10151" s="0" t="s">
        <v>853</v>
      </c>
      <c r="B10151" s="0" t="s">
        <v>98</v>
      </c>
      <c r="E10151" s="6" t="n">
        <f aca="false">(Sens!C10146*IF(2&lt;life_fac,1,IF(2=life_fac,0.5,0))+Sens!D10146*IF(1&lt;life_fac,1,IF(1=life_fac,0.5,0))+Sens!E10146*0.5)/life_fac</f>
        <v>1.2448275</v>
      </c>
      <c r="F10151" s="6" t="n">
        <f aca="false">(Sens!C10146*IF(3&lt;life_fac,1,IF(3=life_fac,0.5,0))+Sens!D10146*IF(2&lt;life_fac,1,IF(2=life_fac,0.5,0))+Sens!E10146*IF(1&lt;life_fac,1,IF(1=life_fac,0.5,0))+Sens!F10146*0.5)/life_fac</f>
        <v>2.4456901</v>
      </c>
      <c r="G10151" s="6" t="n">
        <f aca="false">(Sens!C10146*IF(4&lt;life_fac,1,IF(4=life_fac,0.5,0))+Sens!D10146*IF(3&lt;life_fac,1,IF(3=life_fac,0.5,0))+Sens!E10146*IF(2&lt;life_fac,1,IF(2=life_fac,0.5,0))+Sens!F10146*IF(1&lt;life_fac,1,IF(1=life_fac,0.5,0))+Sens!G10146*0.5)/life_fac</f>
        <v>3.9814208</v>
      </c>
      <c r="H10151" s="6" t="n">
        <f aca="false">(Sens!C10146*IF(5&lt;life_fac,1,IF(5=life_fac,0.5,0))+Sens!D10146*IF(4&lt;life_fac,1,IF(4=life_fac,0.5,0))+Sens!E10146*IF(3&lt;life_fac,1,IF(3=life_fac,0.5,0))+Sens!F10146*IF(2&lt;life_fac,1,IF(2=life_fac,0.5,0))+Sens!G10146*IF(1&lt;life_fac,1,IF(1=life_fac,0.5,0))+Sens!H10146*0.5)/life_fac</f>
        <v>5.582402</v>
      </c>
      <c r="I10151" s="6" t="n">
        <f aca="false">(Sens!C10146*IF(6&lt;life_fac,1,IF(6=life_fac,0.5,0))+Sens!D10146*IF(5&lt;life_fac,1,IF(5=life_fac,0.5,0))+Sens!E10146*IF(4&lt;life_fac,1,IF(4=life_fac,0.5,0))+Sens!F10146*IF(3&lt;life_fac,1,IF(3=life_fac,0.5,0))+Sens!G10146*IF(2&lt;life_fac,1,IF(2=life_fac,0.5,0))+Sens!H10146*IF(1&lt;life_fac,1,IF(1=life_fac,0.5,0))+Sens!I10146*0.5)/life_fac</f>
        <v>6.950862093</v>
      </c>
      <c r="J10151" s="6" t="n">
        <f aca="false">(Sens!C10146*IF(7&lt;life_fac,1,IF(7=life_fac,0.5,0))+Sens!D10146*IF(6&lt;life_fac,1,IF(6=life_fac,0.5,0))+Sens!E10146*IF(5&lt;life_fac,1,IF(5=life_fac,0.5,0))+Sens!F10146*IF(4&lt;life_fac,1,IF(4=life_fac,0.5,0))+Sens!G10146*IF(3&lt;life_fac,1,IF(3=life_fac,0.5,0))+Sens!H10146*IF(2&lt;life_fac,1,IF(2=life_fac,0.5,0))+Sens!I10146*IF(1&lt;life_fac,1,IF(1=life_fac,0.5,0))+Sens!J10146*0.5)/life_fac</f>
        <v>7.86563936186</v>
      </c>
      <c r="K10151" s="6" t="n">
        <f aca="false">(Sens!C10146*IF(8&lt;life_fac,1,IF(8=life_fac,0.5,0))+Sens!D10146*IF(7&lt;life_fac,1,IF(7=life_fac,0.5,0))+Sens!E10146*IF(6&lt;life_fac,1,IF(6=life_fac,0.5,0))+Sens!F10146*IF(5&lt;life_fac,1,IF(5=life_fac,0.5,0))+Sens!G10146*IF(4&lt;life_fac,1,IF(4=life_fac,0.5,0))+Sens!H10146*IF(3&lt;life_fac,1,IF(3=life_fac,0.5,0))+Sens!I10146*IF(2&lt;life_fac,1,IF(2=life_fac,0.5,0))+Sens!J10146*IF(1&lt;life_fac,1,IF(1=life_fac,0.5,0))+Sens!K10146*0.5)/life_fac</f>
        <v>8.3428177347858</v>
      </c>
    </row>
    <row r="10152" customFormat="false" ht="17.15" hidden="false" customHeight="false" outlineLevel="0" collapsed="false">
      <c r="A10152" s="0" t="s">
        <v>854</v>
      </c>
      <c r="B10152" s="0" t="s">
        <v>98</v>
      </c>
      <c r="E10152" s="6" t="n">
        <f aca="false">Sens!E10150+Sens!E10151</f>
        <v>16.3054059770833</v>
      </c>
      <c r="F10152" s="6" t="n">
        <f aca="false">Sens!F10150+Sens!F10151</f>
        <v>34.0498873809555</v>
      </c>
      <c r="G10152" s="6" t="n">
        <f aca="false">Sens!G10150+Sens!G10151</f>
        <v>59.1254371105111</v>
      </c>
      <c r="H10152" s="6" t="n">
        <f aca="false">Sens!H10150+Sens!H10151</f>
        <v>86.3610198433111</v>
      </c>
      <c r="I10152" s="6" t="n">
        <f aca="false">Sens!I10150+Sens!I10151</f>
        <v>110.605743832393</v>
      </c>
      <c r="J10152" s="6" t="n">
        <f aca="false">Sens!J10150+Sens!J10151</f>
        <v>127.998322852843</v>
      </c>
      <c r="K10152" s="6" t="n">
        <f aca="false">Sens!K10150+Sens!K10151</f>
        <v>139.131464044308</v>
      </c>
    </row>
    <row r="10153" customFormat="false" ht="17.15" hidden="false" customHeight="false" outlineLevel="0" collapsed="false">
      <c r="A10153" s="0" t="s">
        <v>855</v>
      </c>
      <c r="B10153" s="0" t="s">
        <v>98</v>
      </c>
      <c r="E10153" s="6" t="n">
        <f aca="false">Sens!E10141-Sens!E10140*Sens!E10152</f>
        <v>8.92707889977379</v>
      </c>
      <c r="F10153" s="6" t="n">
        <f aca="false">Sens!F10141-Sens!F10140*Sens!F10152</f>
        <v>19.0295083206205</v>
      </c>
      <c r="G10153" s="6" t="n">
        <f aca="false">Sens!G10141-Sens!G10140*Sens!G10152</f>
        <v>31.0774922914994</v>
      </c>
      <c r="H10153" s="6" t="n">
        <f aca="false">Sens!H10141-Sens!H10140*Sens!H10152</f>
        <v>43.4030330778723</v>
      </c>
      <c r="I10153" s="6" t="n">
        <f aca="false">Sens!I10141-Sens!I10140*Sens!I10152</f>
        <v>54.3591447183526</v>
      </c>
      <c r="J10153" s="6" t="n">
        <f aca="false">Sens!J10141-Sens!J10140*Sens!J10152</f>
        <v>62.0539899656947</v>
      </c>
      <c r="K10153" s="6" t="n">
        <f aca="false">Sens!K10141-Sens!K10140*Sens!K10152</f>
        <v>67.5792921529812</v>
      </c>
    </row>
    <row r="10154" customFormat="false" ht="17.15" hidden="false" customHeight="false" outlineLevel="0" collapsed="false">
      <c r="A10154" s="3" t="s">
        <v>1523</v>
      </c>
    </row>
    <row r="10155" customFormat="false" ht="15" hidden="false" customHeight="false" outlineLevel="0" collapsed="false">
      <c r="A10155" s="4" t="s">
        <v>43</v>
      </c>
      <c r="B10155" s="4" t="s">
        <v>65</v>
      </c>
      <c r="C10155" s="20" t="s">
        <v>799</v>
      </c>
      <c r="D10155" s="20" t="s">
        <v>800</v>
      </c>
      <c r="E10155" s="20" t="s">
        <v>801</v>
      </c>
      <c r="F10155" s="20" t="s">
        <v>802</v>
      </c>
      <c r="G10155" s="20" t="s">
        <v>803</v>
      </c>
      <c r="H10155" s="20" t="s">
        <v>804</v>
      </c>
      <c r="I10155" s="20" t="s">
        <v>805</v>
      </c>
      <c r="J10155" s="20" t="s">
        <v>806</v>
      </c>
      <c r="K10155" s="20" t="s">
        <v>807</v>
      </c>
      <c r="L10155" s="4" t="s">
        <v>47</v>
      </c>
    </row>
    <row r="10156" customFormat="false" ht="17.15" hidden="false" customHeight="false" outlineLevel="0" collapsed="false">
      <c r="A10156" s="0" t="s">
        <v>874</v>
      </c>
      <c r="B10156" s="0" t="s">
        <v>98</v>
      </c>
      <c r="D10156" s="6" t="n">
        <f aca="false">Sens!D10135</f>
        <v>12.9359794422418</v>
      </c>
      <c r="E10156" s="6" t="n">
        <f aca="false">Sens!E10135</f>
        <v>27.8095064661409</v>
      </c>
      <c r="F10156" s="6" t="n">
        <f aca="false">Sens!F10135</f>
        <v>55.0640065749585</v>
      </c>
      <c r="G10156" s="6" t="n">
        <f aca="false">Sens!G10135</f>
        <v>89.4505413190538</v>
      </c>
      <c r="H10156" s="6" t="n">
        <f aca="false">Sens!H10135</f>
        <v>124.835630736874</v>
      </c>
      <c r="I10156" s="6" t="n">
        <f aca="false">Sens!I10135</f>
        <v>156.158460265485</v>
      </c>
      <c r="J10156" s="6" t="n">
        <f aca="false">Sens!J10135</f>
        <v>178.259285293112</v>
      </c>
      <c r="K10156" s="6" t="n">
        <f aca="false">Sens!K10135</f>
        <v>192.733290209798</v>
      </c>
    </row>
    <row r="10157" customFormat="false" ht="17.15" hidden="false" customHeight="false" outlineLevel="0" collapsed="false">
      <c r="A10157" s="0" t="s">
        <v>875</v>
      </c>
      <c r="B10157" s="0" t="s">
        <v>98</v>
      </c>
      <c r="D10157" s="6" t="n">
        <f aca="false">Q!L6-Sens!D10156</f>
        <v>59.6740205577583</v>
      </c>
      <c r="E10157" s="6" t="n">
        <f aca="false">Q!M6-Sens!E10156</f>
        <v>74.1284935338591</v>
      </c>
      <c r="F10157" s="6" t="n">
        <f aca="false">Sens!E10157*(1+Sens!F10158)</f>
        <v>90.0799497373663</v>
      </c>
      <c r="G10157" s="6" t="n">
        <f aca="false">Sens!F10157*(1+Sens!G10158)</f>
        <v>107.02842520331</v>
      </c>
      <c r="H10157" s="6" t="n">
        <f aca="false">Sens!G10157*(1+Sens!H10158)</f>
        <v>124.271982585636</v>
      </c>
      <c r="I10157" s="6" t="n">
        <f aca="false">Sens!H10157*(1+Sens!I10158)</f>
        <v>140.933702381855</v>
      </c>
      <c r="J10157" s="6" t="n">
        <f aca="false">Sens!I10157*(1+Sens!J10158)</f>
        <v>156.018867314332</v>
      </c>
      <c r="K10157" s="6" t="n">
        <f aca="false">Sens!J10157*(1+Sens!K10158)</f>
        <v>168.500376699478</v>
      </c>
    </row>
    <row r="10158" customFormat="false" ht="15" hidden="false" customHeight="false" outlineLevel="0" collapsed="false">
      <c r="A10158" s="1" t="s">
        <v>876</v>
      </c>
      <c r="B10158" s="0" t="s">
        <v>129</v>
      </c>
      <c r="E10158" s="7" t="n">
        <f aca="false">Sens!E10157/Sens!D10157-1</f>
        <v>0.242223883039864</v>
      </c>
      <c r="F10158" s="7" t="n">
        <f aca="false">Sens!$E$10158+(glt_azo-Sens!$E$10158)*MIN(1,(Sens!F10118-base_fy)/n_conv)</f>
        <v>0.215186569199887</v>
      </c>
      <c r="G10158" s="7" t="n">
        <f aca="false">Sens!$E$10158+(glt_azo-Sens!$E$10158)*MIN(1,(Sens!G10118-base_fy)/n_conv)</f>
        <v>0.18814925535991</v>
      </c>
      <c r="H10158" s="7" t="n">
        <f aca="false">Sens!$E$10158+(glt_azo-Sens!$E$10158)*MIN(1,(Sens!H10118-base_fy)/n_conv)</f>
        <v>0.161111941519932</v>
      </c>
      <c r="I10158" s="7" t="n">
        <f aca="false">Sens!$E$10158+(glt_azo-Sens!$E$10158)*MIN(1,(Sens!I10118-base_fy)/n_conv)</f>
        <v>0.134074627679955</v>
      </c>
      <c r="J10158" s="7" t="n">
        <f aca="false">Sens!$E$10158+(glt_azo-Sens!$E$10158)*MIN(1,(Sens!J10118-base_fy)/n_conv)</f>
        <v>0.107037313839977</v>
      </c>
      <c r="K10158" s="7" t="n">
        <f aca="false">Sens!$E$10158+(glt_azo-Sens!$E$10158)*MIN(1,(Sens!K10118-base_fy)/n_conv)</f>
        <v>0.08</v>
      </c>
    </row>
    <row r="10159" customFormat="false" ht="15" hidden="false" customHeight="false" outlineLevel="0" collapsed="false">
      <c r="A10159" s="0" t="s">
        <v>877</v>
      </c>
      <c r="B10159" s="0" t="s">
        <v>98</v>
      </c>
      <c r="D10159" s="6" t="n">
        <f aca="false">Sens!D10156+Sens!D10157</f>
        <v>72.61</v>
      </c>
      <c r="E10159" s="6" t="n">
        <f aca="false">Sens!E10156+Sens!E10157</f>
        <v>101.938</v>
      </c>
      <c r="F10159" s="6" t="n">
        <f aca="false">Sens!F10156+Sens!F10157</f>
        <v>145.143956312325</v>
      </c>
      <c r="G10159" s="6" t="n">
        <f aca="false">Sens!G10156+Sens!G10157</f>
        <v>196.478966522364</v>
      </c>
      <c r="H10159" s="6" t="n">
        <f aca="false">Sens!H10156+Sens!H10157</f>
        <v>249.10761332251</v>
      </c>
      <c r="I10159" s="6" t="n">
        <f aca="false">Sens!I10156+Sens!I10157</f>
        <v>297.09216264734</v>
      </c>
      <c r="J10159" s="6" t="n">
        <f aca="false">Sens!J10156+Sens!J10157</f>
        <v>334.278152607443</v>
      </c>
      <c r="K10159" s="6" t="n">
        <f aca="false">Sens!K10156+Sens!K10157</f>
        <v>361.233666909276</v>
      </c>
    </row>
    <row r="10160" customFormat="false" ht="17.15" hidden="false" customHeight="false" outlineLevel="0" collapsed="false">
      <c r="A10160" s="0" t="s">
        <v>878</v>
      </c>
      <c r="B10160" s="1" t="s">
        <v>528</v>
      </c>
      <c r="C10160" s="29" t="n">
        <f aca="false">cop_s24</f>
        <v>1</v>
      </c>
      <c r="D10160" s="29" t="n">
        <f aca="false">cop_s25</f>
        <v>5</v>
      </c>
      <c r="E10160" s="29" t="n">
        <f aca="false">cop_s26</f>
        <v>30</v>
      </c>
      <c r="F10160" s="29" t="n">
        <f aca="false">Sens!E10160+cop_add_B</f>
        <v>50</v>
      </c>
      <c r="G10160" s="29" t="n">
        <f aca="false">Sens!F10160+cop_add_B</f>
        <v>70</v>
      </c>
      <c r="H10160" s="29" t="n">
        <f aca="false">Sens!G10160+cop_add_B</f>
        <v>90</v>
      </c>
      <c r="I10160" s="29" t="n">
        <f aca="false">Sens!H10160+cop_add_B*cop_tail</f>
        <v>100</v>
      </c>
      <c r="J10160" s="29" t="n">
        <f aca="false">Sens!I10160+cop_add_B*cop_tail</f>
        <v>110</v>
      </c>
      <c r="K10160" s="29" t="n">
        <f aca="false">Sens!J10160+cop_add_B*cop_tail</f>
        <v>120</v>
      </c>
      <c r="L10160" s="11" t="s">
        <v>879</v>
      </c>
    </row>
    <row r="10161" customFormat="false" ht="17.15" hidden="false" customHeight="false" outlineLevel="0" collapsed="false">
      <c r="A10161" s="0" t="s">
        <v>880</v>
      </c>
      <c r="B10161" s="0" t="s">
        <v>98</v>
      </c>
      <c r="D10161" s="6" t="n">
        <f aca="false">(Sens!C10160+Sens!D10160)/2*cop_px*12/1000</f>
        <v>0.9</v>
      </c>
      <c r="E10161" s="6" t="n">
        <f aca="false">(Sens!D10160+Sens!E10160)/2*cop_px*12/1000</f>
        <v>5.25</v>
      </c>
      <c r="F10161" s="6" t="n">
        <f aca="false">(Sens!E10160+Sens!F10160)/2*cop_px*12/1000</f>
        <v>12</v>
      </c>
      <c r="G10161" s="6" t="n">
        <f aca="false">(Sens!F10160+Sens!G10160)/2*cop_px*12/1000</f>
        <v>18</v>
      </c>
      <c r="H10161" s="6" t="n">
        <f aca="false">(Sens!G10160+Sens!H10160)/2*cop_px*12/1000</f>
        <v>24</v>
      </c>
      <c r="I10161" s="6" t="n">
        <f aca="false">(Sens!H10160+Sens!I10160)/2*cop_px*12/1000</f>
        <v>28.5</v>
      </c>
      <c r="J10161" s="6" t="n">
        <f aca="false">(Sens!I10160+Sens!J10160)/2*cop_px*12/1000</f>
        <v>31.5</v>
      </c>
      <c r="K10161" s="6" t="n">
        <f aca="false">(Sens!J10160+Sens!K10160)/2*cop_px*12/1000</f>
        <v>34.5</v>
      </c>
      <c r="L10161" s="1" t="s">
        <v>881</v>
      </c>
    </row>
    <row r="10162" customFormat="false" ht="17.15" hidden="false" customHeight="false" outlineLevel="0" collapsed="false">
      <c r="A10162" s="0" t="s">
        <v>882</v>
      </c>
      <c r="B10162" s="0" t="s">
        <v>98</v>
      </c>
      <c r="D10162" s="6" t="n">
        <f aca="false">Q!L7-Sens!D10161</f>
        <v>83.705</v>
      </c>
      <c r="E10162" s="6" t="n">
        <f aca="false">Q!M7-Sens!E10161</f>
        <v>95.049</v>
      </c>
      <c r="F10162" s="6" t="n">
        <f aca="false">Sens!E10162*(1+Sens!F10163)</f>
        <v>106.89238776686</v>
      </c>
      <c r="G10162" s="6" t="n">
        <f aca="false">Sens!F10162*(1+Sens!G10163)</f>
        <v>119.044168448684</v>
      </c>
      <c r="H10162" s="6" t="n">
        <f aca="false">Sens!G10162*(1+Sens!H10163)</f>
        <v>131.277359388781</v>
      </c>
      <c r="I10162" s="6" t="n">
        <f aca="false">Sens!H10162*(1+Sens!I10163)</f>
        <v>143.334028071957</v>
      </c>
      <c r="J10162" s="6" t="n">
        <f aca="false">Sens!I10162*(1+Sens!J10163)</f>
        <v>154.932702785465</v>
      </c>
      <c r="K10162" s="6" t="n">
        <f aca="false">Sens!J10162*(1+Sens!K10163)</f>
        <v>165.777991980448</v>
      </c>
    </row>
    <row r="10163" customFormat="false" ht="15" hidden="false" customHeight="false" outlineLevel="0" collapsed="false">
      <c r="A10163" s="1" t="s">
        <v>876</v>
      </c>
      <c r="B10163" s="0" t="s">
        <v>129</v>
      </c>
      <c r="E10163" s="7" t="n">
        <f aca="false">Sens!E10162/Sens!D10162-1</f>
        <v>0.135523564900544</v>
      </c>
      <c r="F10163" s="7" t="n">
        <f aca="false">Sens!$E$10163+(glt_m365b-Sens!$E$10163)*MIN(1,(Sens!F10118-base_fy)/n_conv)</f>
        <v>0.124602970750453</v>
      </c>
      <c r="G10163" s="7" t="n">
        <f aca="false">Sens!$E$10163+(glt_m365b-Sens!$E$10163)*MIN(1,(Sens!G10118-base_fy)/n_conv)</f>
        <v>0.113682376600363</v>
      </c>
      <c r="H10163" s="7" t="n">
        <f aca="false">Sens!$E$10163+(glt_m365b-Sens!$E$10163)*MIN(1,(Sens!H10118-base_fy)/n_conv)</f>
        <v>0.102761782450272</v>
      </c>
      <c r="I10163" s="7" t="n">
        <f aca="false">Sens!$E$10163+(glt_m365b-Sens!$E$10163)*MIN(1,(Sens!I10118-base_fy)/n_conv)</f>
        <v>0.0918411883001813</v>
      </c>
      <c r="J10163" s="7" t="n">
        <f aca="false">Sens!$E$10163+(glt_m365b-Sens!$E$10163)*MIN(1,(Sens!J10118-base_fy)/n_conv)</f>
        <v>0.0809205941500906</v>
      </c>
      <c r="K10163" s="7" t="n">
        <f aca="false">Sens!$E$10163+(glt_m365b-Sens!$E$10163)*MIN(1,(Sens!K10118-base_fy)/n_conv)</f>
        <v>0.07</v>
      </c>
    </row>
    <row r="10164" customFormat="false" ht="15" hidden="false" customHeight="false" outlineLevel="0" collapsed="false">
      <c r="A10164" s="0" t="s">
        <v>883</v>
      </c>
      <c r="B10164" s="0" t="s">
        <v>98</v>
      </c>
      <c r="D10164" s="6" t="n">
        <f aca="false">Sens!D10162+Sens!D10161</f>
        <v>84.605</v>
      </c>
      <c r="E10164" s="6" t="n">
        <f aca="false">Sens!E10162+Sens!E10161</f>
        <v>100.299</v>
      </c>
      <c r="F10164" s="6" t="n">
        <f aca="false">Sens!F10162+Sens!F10161</f>
        <v>118.89238776686</v>
      </c>
      <c r="G10164" s="6" t="n">
        <f aca="false">Sens!G10162+Sens!G10161</f>
        <v>137.044168448684</v>
      </c>
      <c r="H10164" s="6" t="n">
        <f aca="false">Sens!H10162+Sens!H10161</f>
        <v>155.277359388781</v>
      </c>
      <c r="I10164" s="6" t="n">
        <f aca="false">Sens!I10162+Sens!I10161</f>
        <v>171.834028071957</v>
      </c>
      <c r="J10164" s="6" t="n">
        <f aca="false">Sens!J10162+Sens!J10161</f>
        <v>186.432702785465</v>
      </c>
      <c r="K10164" s="6" t="n">
        <f aca="false">Sens!K10162+Sens!K10161</f>
        <v>200.277991980448</v>
      </c>
    </row>
    <row r="10165" customFormat="false" ht="15" hidden="false" customHeight="false" outlineLevel="0" collapsed="false">
      <c r="A10165" s="0" t="s">
        <v>884</v>
      </c>
      <c r="B10165" s="0" t="s">
        <v>98</v>
      </c>
      <c r="D10165" s="6" t="n">
        <f aca="false">Q!L8</f>
        <v>35.391</v>
      </c>
      <c r="E10165" s="6" t="n">
        <f aca="false">Q!M8</f>
        <v>37.285</v>
      </c>
      <c r="F10165" s="6" t="n">
        <f aca="false">Sens!E10165*(1+Sens!F10166)</f>
        <v>39.0720834331704</v>
      </c>
      <c r="G10165" s="6" t="n">
        <f aca="false">Sens!F10165*(1+Sens!G10166)</f>
        <v>40.726562953769</v>
      </c>
      <c r="H10165" s="6" t="n">
        <f aca="false">Sens!G10165*(1+Sens!H10166)</f>
        <v>42.2235987259198</v>
      </c>
      <c r="I10165" s="6" t="n">
        <f aca="false">Sens!H10165*(1+Sens!I10166)</f>
        <v>43.5397988077414</v>
      </c>
      <c r="J10165" s="6" t="n">
        <f aca="false">Sens!I10165*(1+Sens!J10166)</f>
        <v>44.653811225693</v>
      </c>
      <c r="K10165" s="6" t="n">
        <f aca="false">Sens!J10165*(1+Sens!K10166)</f>
        <v>45.5468874502068</v>
      </c>
    </row>
    <row r="10166" customFormat="false" ht="15" hidden="false" customHeight="false" outlineLevel="0" collapsed="false">
      <c r="A10166" s="1" t="s">
        <v>876</v>
      </c>
      <c r="B10166" s="0" t="s">
        <v>129</v>
      </c>
      <c r="E10166" s="7" t="n">
        <f aca="false">Sens!E10165/Sens!D10165-1</f>
        <v>0.0535164307309768</v>
      </c>
      <c r="F10166" s="7" t="n">
        <f aca="false">Sens!$E$10166+(glt_lic-Sens!$E$10166)*MIN(1,(Sens!F10118-base_fy)/n_conv)</f>
        <v>0.0479303589424807</v>
      </c>
      <c r="G10166" s="7" t="n">
        <f aca="false">Sens!$E$10166+(glt_lic-Sens!$E$10166)*MIN(1,(Sens!G10118-base_fy)/n_conv)</f>
        <v>0.0423442871539845</v>
      </c>
      <c r="H10166" s="7" t="n">
        <f aca="false">Sens!$E$10166+(glt_lic-Sens!$E$10166)*MIN(1,(Sens!H10118-base_fy)/n_conv)</f>
        <v>0.0367582153654884</v>
      </c>
      <c r="I10166" s="7" t="n">
        <f aca="false">Sens!$E$10166+(glt_lic-Sens!$E$10166)*MIN(1,(Sens!I10118-base_fy)/n_conv)</f>
        <v>0.0311721435769923</v>
      </c>
      <c r="J10166" s="7" t="n">
        <f aca="false">Sens!$E$10166+(glt_lic-Sens!$E$10166)*MIN(1,(Sens!J10118-base_fy)/n_conv)</f>
        <v>0.0255860717884961</v>
      </c>
      <c r="K10166" s="7" t="n">
        <f aca="false">Sens!$E$10166+(glt_lic-Sens!$E$10166)*MIN(1,(Sens!K10118-base_fy)/n_conv)</f>
        <v>0.02</v>
      </c>
    </row>
    <row r="10167" customFormat="false" ht="15" hidden="false" customHeight="false" outlineLevel="0" collapsed="false">
      <c r="A10167" s="0" t="s">
        <v>885</v>
      </c>
      <c r="B10167" s="0" t="s">
        <v>98</v>
      </c>
      <c r="D10167" s="6" t="n">
        <f aca="false">Q!L9</f>
        <v>18.417</v>
      </c>
      <c r="E10167" s="6" t="n">
        <f aca="false">Q!M9</f>
        <v>20.345</v>
      </c>
      <c r="F10167" s="6" t="n">
        <f aca="false">Sens!E10167*(1+Sens!F10168)</f>
        <v>22.3572203267814</v>
      </c>
      <c r="G10167" s="6" t="n">
        <f aca="false">Sens!F10167*(1+Sens!G10168)</f>
        <v>24.4392124437232</v>
      </c>
      <c r="H10167" s="6" t="n">
        <f aca="false">Sens!G10167*(1+Sens!H10168)</f>
        <v>26.5738052080665</v>
      </c>
      <c r="I10167" s="6" t="n">
        <f aca="false">Sens!H10167*(1+Sens!I10168)</f>
        <v>28.7412169166967</v>
      </c>
      <c r="J10167" s="6" t="n">
        <f aca="false">Sens!I10167*(1+Sens!J10168)</f>
        <v>30.9192545395413</v>
      </c>
      <c r="K10167" s="6" t="n">
        <f aca="false">Sens!J10167*(1+Sens!K10168)</f>
        <v>33.0836023573092</v>
      </c>
    </row>
    <row r="10168" customFormat="false" ht="15" hidden="false" customHeight="false" outlineLevel="0" collapsed="false">
      <c r="A10168" s="1" t="s">
        <v>876</v>
      </c>
      <c r="B10168" s="0" t="s">
        <v>129</v>
      </c>
      <c r="E10168" s="7" t="n">
        <f aca="false">Sens!E10167/Sens!D10167-1</f>
        <v>0.104685888038225</v>
      </c>
      <c r="F10168" s="7" t="n">
        <f aca="false">Sens!$E$10168+(glt_ind-Sens!$E$10168)*MIN(1,(Sens!F10118-base_fy)/n_conv)</f>
        <v>0.0989049066985211</v>
      </c>
      <c r="G10168" s="7" t="n">
        <f aca="false">Sens!$E$10168+(glt_ind-Sens!$E$10168)*MIN(1,(Sens!G10118-base_fy)/n_conv)</f>
        <v>0.0931239253588169</v>
      </c>
      <c r="H10168" s="7" t="n">
        <f aca="false">Sens!$E$10168+(glt_ind-Sens!$E$10168)*MIN(1,(Sens!H10118-base_fy)/n_conv)</f>
        <v>0.0873429440191127</v>
      </c>
      <c r="I10168" s="7" t="n">
        <f aca="false">Sens!$E$10168+(glt_ind-Sens!$E$10168)*MIN(1,(Sens!I10118-base_fy)/n_conv)</f>
        <v>0.0815619626794085</v>
      </c>
      <c r="J10168" s="7" t="n">
        <f aca="false">Sens!$E$10168+(glt_ind-Sens!$E$10168)*MIN(1,(Sens!J10118-base_fy)/n_conv)</f>
        <v>0.0757809813397042</v>
      </c>
      <c r="K10168" s="7" t="n">
        <f aca="false">Sens!$E$10168+(glt_ind-Sens!$E$10168)*MIN(1,(Sens!K10118-base_fy)/n_conv)</f>
        <v>0.07</v>
      </c>
    </row>
    <row r="10169" customFormat="false" ht="15" hidden="false" customHeight="false" outlineLevel="0" collapsed="false">
      <c r="A10169" s="0" t="s">
        <v>886</v>
      </c>
      <c r="B10169" s="0" t="s">
        <v>98</v>
      </c>
      <c r="D10169" s="6" t="n">
        <f aca="false">Q!L10</f>
        <v>7.76</v>
      </c>
      <c r="E10169" s="6" t="n">
        <f aca="false">Q!M10</f>
        <v>8.26</v>
      </c>
      <c r="F10169" s="6" t="n">
        <f aca="false">Sens!E10169*(1+Sens!F10170)</f>
        <v>8.79988041237113</v>
      </c>
      <c r="G10169" s="6" t="n">
        <f aca="false">Sens!F10169*(1+Sens!G10170)</f>
        <v>9.38321269125306</v>
      </c>
      <c r="H10169" s="6" t="n">
        <f aca="false">Sens!G10169*(1+Sens!H10170)</f>
        <v>10.0139193587476</v>
      </c>
      <c r="I10169" s="6" t="n">
        <f aca="false">Sens!H10169*(1+Sens!I10170)</f>
        <v>10.6963111830911</v>
      </c>
      <c r="J10169" s="6" t="n">
        <f aca="false">Sens!I10169*(1+Sens!J10170)</f>
        <v>11.4351285534696</v>
      </c>
      <c r="K10169" s="6" t="n">
        <f aca="false">Sens!J10169*(1+Sens!K10170)</f>
        <v>12.2355875522124</v>
      </c>
    </row>
    <row r="10170" customFormat="false" ht="15" hidden="false" customHeight="false" outlineLevel="0" collapsed="false">
      <c r="A10170" s="1" t="s">
        <v>876</v>
      </c>
      <c r="B10170" s="0" t="s">
        <v>129</v>
      </c>
      <c r="E10170" s="7" t="n">
        <f aca="false">Sens!E10169/Sens!D10169-1</f>
        <v>0.0644329896907216</v>
      </c>
      <c r="F10170" s="7" t="n">
        <f aca="false">Sens!$E$10170+(glt_fro-Sens!$E$10170)*MIN(1,(Sens!F10118-base_fy)/n_conv)</f>
        <v>0.065360824742268</v>
      </c>
      <c r="G10170" s="7" t="n">
        <f aca="false">Sens!$E$10170+(glt_fro-Sens!$E$10170)*MIN(1,(Sens!G10118-base_fy)/n_conv)</f>
        <v>0.0662886597938144</v>
      </c>
      <c r="H10170" s="7" t="n">
        <f aca="false">Sens!$E$10170+(glt_fro-Sens!$E$10170)*MIN(1,(Sens!H10118-base_fy)/n_conv)</f>
        <v>0.0672164948453608</v>
      </c>
      <c r="I10170" s="7" t="n">
        <f aca="false">Sens!$E$10170+(glt_fro-Sens!$E$10170)*MIN(1,(Sens!I10118-base_fy)/n_conv)</f>
        <v>0.0681443298969072</v>
      </c>
      <c r="J10170" s="7" t="n">
        <f aca="false">Sens!$E$10170+(glt_fro-Sens!$E$10170)*MIN(1,(Sens!J10118-base_fy)/n_conv)</f>
        <v>0.0690721649484536</v>
      </c>
      <c r="K10170" s="7" t="n">
        <f aca="false">Sens!$E$10170+(glt_fro-Sens!$E$10170)*MIN(1,(Sens!K10118-base_fy)/n_conv)</f>
        <v>0.07</v>
      </c>
    </row>
    <row r="10171" customFormat="false" ht="15" hidden="false" customHeight="false" outlineLevel="0" collapsed="false">
      <c r="A10171" s="0" t="s">
        <v>715</v>
      </c>
      <c r="B10171" s="0" t="s">
        <v>98</v>
      </c>
      <c r="D10171" s="6" t="n">
        <f aca="false">Sens!D10159+Sens!D10164+Sens!D10165+Sens!D10167+Sens!D10169</f>
        <v>218.783</v>
      </c>
      <c r="E10171" s="6" t="n">
        <f aca="false">Sens!E10159+Sens!E10164+Sens!E10165+Sens!E10167+Sens!E10169</f>
        <v>268.127</v>
      </c>
      <c r="F10171" s="6" t="n">
        <f aca="false">Sens!F10159+Sens!F10164+Sens!F10165+Sens!F10167+Sens!F10169</f>
        <v>334.265528251508</v>
      </c>
      <c r="G10171" s="6" t="n">
        <f aca="false">Sens!G10159+Sens!G10164+Sens!G10165+Sens!G10167+Sens!G10169</f>
        <v>408.072123059793</v>
      </c>
      <c r="H10171" s="6" t="n">
        <f aca="false">Sens!H10159+Sens!H10164+Sens!H10165+Sens!H10167+Sens!H10169</f>
        <v>483.196296004025</v>
      </c>
      <c r="I10171" s="6" t="n">
        <f aca="false">Sens!I10159+Sens!I10164+Sens!I10165+Sens!I10167+Sens!I10169</f>
        <v>551.903517626826</v>
      </c>
      <c r="J10171" s="6" t="n">
        <f aca="false">Sens!J10159+Sens!J10164+Sens!J10165+Sens!J10167+Sens!J10169</f>
        <v>607.719049711612</v>
      </c>
      <c r="K10171" s="6" t="n">
        <f aca="false">Sens!K10159+Sens!K10164+Sens!K10165+Sens!K10167+Sens!K10169</f>
        <v>652.377736249452</v>
      </c>
    </row>
    <row r="10172" customFormat="false" ht="15" hidden="false" customHeight="false" outlineLevel="0" collapsed="false">
      <c r="A10172" s="0" t="s">
        <v>887</v>
      </c>
      <c r="B10172" s="0" t="s">
        <v>98</v>
      </c>
      <c r="D10172" s="6" t="n">
        <f aca="false">Q!L13</f>
        <v>22.171</v>
      </c>
      <c r="E10172" s="6" t="n">
        <f aca="false">Q!M13</f>
        <v>24.835</v>
      </c>
      <c r="F10172" s="6" t="n">
        <f aca="false">Sens!E10172*(1+Sens!F10173)</f>
        <v>27.6114901218559</v>
      </c>
      <c r="G10172" s="6" t="n">
        <f aca="false">Sens!F10172*(1+Sens!G10173)</f>
        <v>30.4675667338515</v>
      </c>
      <c r="H10172" s="6" t="n">
        <f aca="false">Sens!G10172*(1+Sens!H10173)</f>
        <v>33.3643766955789</v>
      </c>
      <c r="I10172" s="6" t="n">
        <f aca="false">Sens!H10172*(1+Sens!I10173)</f>
        <v>36.2577016533691</v>
      </c>
      <c r="J10172" s="6" t="n">
        <f aca="false">Sens!I10172*(1+Sens!J10173)</f>
        <v>39.0988367952171</v>
      </c>
      <c r="K10172" s="6" t="n">
        <f aca="false">Sens!J10172*(1+Sens!K10173)</f>
        <v>41.8357553708823</v>
      </c>
    </row>
    <row r="10173" customFormat="false" ht="15" hidden="false" customHeight="false" outlineLevel="0" collapsed="false">
      <c r="A10173" s="1" t="s">
        <v>876</v>
      </c>
      <c r="B10173" s="0" t="s">
        <v>129</v>
      </c>
      <c r="E10173" s="7" t="n">
        <f aca="false">Sens!E10172/Sens!D10172-1</f>
        <v>0.120156961796942</v>
      </c>
      <c r="F10173" s="7" t="n">
        <f aca="false">Sens!$E$10173+(glt_srch-Sens!$E$10173)*MIN(1,(Sens!F10118-base_fy)/n_conv)</f>
        <v>0.111797468164118</v>
      </c>
      <c r="G10173" s="7" t="n">
        <f aca="false">Sens!$E$10173+(glt_srch-Sens!$E$10173)*MIN(1,(Sens!G10118-base_fy)/n_conv)</f>
        <v>0.103437974531295</v>
      </c>
      <c r="H10173" s="7" t="n">
        <f aca="false">Sens!$E$10173+(glt_srch-Sens!$E$10173)*MIN(1,(Sens!H10118-base_fy)/n_conv)</f>
        <v>0.095078480898471</v>
      </c>
      <c r="I10173" s="7" t="n">
        <f aca="false">Sens!$E$10173+(glt_srch-Sens!$E$10173)*MIN(1,(Sens!I10118-base_fy)/n_conv)</f>
        <v>0.0867189872656474</v>
      </c>
      <c r="J10173" s="7" t="n">
        <f aca="false">Sens!$E$10173+(glt_srch-Sens!$E$10173)*MIN(1,(Sens!J10118-base_fy)/n_conv)</f>
        <v>0.0783594936328237</v>
      </c>
      <c r="K10173" s="7" t="n">
        <f aca="false">Sens!$E$10173+(glt_srch-Sens!$E$10173)*MIN(1,(Sens!K10118-base_fy)/n_conv)</f>
        <v>0.07</v>
      </c>
    </row>
    <row r="10174" customFormat="false" ht="15" hidden="false" customHeight="false" outlineLevel="0" collapsed="false">
      <c r="A10174" s="0" t="s">
        <v>888</v>
      </c>
      <c r="B10174" s="0" t="s">
        <v>98</v>
      </c>
      <c r="D10174" s="6" t="n">
        <f aca="false">Q!L14</f>
        <v>23.455</v>
      </c>
      <c r="E10174" s="6" t="n">
        <f aca="false">Q!M14</f>
        <v>21.79</v>
      </c>
      <c r="F10174" s="6" t="n">
        <f aca="false">Sens!E10174*(1+Sens!F10175)</f>
        <v>20.4283611241384</v>
      </c>
      <c r="G10174" s="6" t="n">
        <f aca="false">Sens!F10174*(1+Sens!G10175)</f>
        <v>19.3254067185857</v>
      </c>
      <c r="H10174" s="6" t="n">
        <f aca="false">Sens!G10174*(1+Sens!H10175)</f>
        <v>18.446226363051</v>
      </c>
      <c r="I10174" s="6" t="n">
        <f aca="false">Sens!H10174*(1+Sens!I10175)</f>
        <v>17.7637959435485</v>
      </c>
      <c r="J10174" s="6" t="n">
        <f aca="false">Sens!I10174*(1+Sens!J10175)</f>
        <v>17.2575662581111</v>
      </c>
      <c r="K10174" s="6" t="n">
        <f aca="false">Sens!J10174*(1+Sens!K10175)</f>
        <v>16.9124149329489</v>
      </c>
    </row>
    <row r="10175" customFormat="false" ht="15" hidden="false" customHeight="false" outlineLevel="0" collapsed="false">
      <c r="A10175" s="1" t="s">
        <v>876</v>
      </c>
      <c r="B10175" s="0" t="s">
        <v>129</v>
      </c>
      <c r="E10175" s="7" t="n">
        <f aca="false">Sens!E10174/Sens!D10174-1</f>
        <v>-0.0709869963760392</v>
      </c>
      <c r="F10175" s="7" t="n">
        <f aca="false">Sens!$E$10175+(glt_xbox_lo-Sens!$E$10175)*MIN(1,(Sens!F10118-base_fy)/n_conv)</f>
        <v>-0.0624891636466994</v>
      </c>
      <c r="G10175" s="7" t="n">
        <f aca="false">Sens!$E$10175+(glt_xbox_lo-Sens!$E$10175)*MIN(1,(Sens!G10118-base_fy)/n_conv)</f>
        <v>-0.0539913309173595</v>
      </c>
      <c r="H10175" s="7" t="n">
        <f aca="false">Sens!$E$10175+(glt_xbox_lo-Sens!$E$10175)*MIN(1,(Sens!H10118-base_fy)/n_conv)</f>
        <v>-0.0454934981880196</v>
      </c>
      <c r="I10175" s="7" t="n">
        <f aca="false">Sens!$E$10175+(glt_xbox_lo-Sens!$E$10175)*MIN(1,(Sens!I10118-base_fy)/n_conv)</f>
        <v>-0.0369956654586797</v>
      </c>
      <c r="J10175" s="7" t="n">
        <f aca="false">Sens!$E$10175+(glt_xbox_lo-Sens!$E$10175)*MIN(1,(Sens!J10118-base_fy)/n_conv)</f>
        <v>-0.0284978327293399</v>
      </c>
      <c r="K10175" s="7" t="n">
        <f aca="false">Sens!$E$10175+(glt_xbox_lo-Sens!$E$10175)*MIN(1,(Sens!K10118-base_fy)/n_conv)</f>
        <v>-0.02</v>
      </c>
    </row>
    <row r="10176" customFormat="false" ht="15" hidden="false" customHeight="false" outlineLevel="0" collapsed="false">
      <c r="A10176" s="0" t="s">
        <v>889</v>
      </c>
      <c r="B10176" s="0" t="s">
        <v>98</v>
      </c>
      <c r="D10176" s="6" t="n">
        <f aca="false">Q!L15</f>
        <v>17.315</v>
      </c>
      <c r="E10176" s="6" t="n">
        <f aca="false">Q!M15</f>
        <v>17.087</v>
      </c>
      <c r="F10176" s="6" t="n">
        <f aca="false">Sens!E10176*(1+Sens!F10177)</f>
        <v>16.9564585436519</v>
      </c>
      <c r="G10176" s="6" t="n">
        <f aca="false">Sens!F10176*(1+Sens!G10177)</f>
        <v>16.9206490624268</v>
      </c>
      <c r="H10176" s="6" t="n">
        <f aca="false">Sens!G10176*(1+Sens!H10177)</f>
        <v>16.9784519149849</v>
      </c>
      <c r="I10176" s="6" t="n">
        <f aca="false">Sens!H10176*(1+Sens!I10177)</f>
        <v>17.1303084701817</v>
      </c>
      <c r="J10176" s="6" t="n">
        <f aca="false">Sens!I10176*(1+Sens!J10177)</f>
        <v>17.3782189407267</v>
      </c>
      <c r="K10176" s="6" t="n">
        <f aca="false">Sens!J10176*(1+Sens!K10177)</f>
        <v>17.7257833195413</v>
      </c>
    </row>
    <row r="10177" customFormat="false" ht="15" hidden="false" customHeight="false" outlineLevel="0" collapsed="false">
      <c r="A10177" s="1" t="s">
        <v>876</v>
      </c>
      <c r="B10177" s="0" t="s">
        <v>129</v>
      </c>
      <c r="E10177" s="7" t="n">
        <f aca="false">Sens!E10176/Sens!D10176-1</f>
        <v>-0.0131677736066995</v>
      </c>
      <c r="F10177" s="7" t="n">
        <f aca="false">Sens!$E$10177+(glt_win-Sens!$E$10177)*MIN(1,(Sens!F10118-base_fy)/n_conv)</f>
        <v>-0.00763981133891627</v>
      </c>
      <c r="G10177" s="7" t="n">
        <f aca="false">Sens!$E$10177+(glt_win-Sens!$E$10177)*MIN(1,(Sens!G10118-base_fy)/n_conv)</f>
        <v>-0.00211184907113301</v>
      </c>
      <c r="H10177" s="7" t="n">
        <f aca="false">Sens!$E$10177+(glt_win-Sens!$E$10177)*MIN(1,(Sens!H10118-base_fy)/n_conv)</f>
        <v>0.00341611319665024</v>
      </c>
      <c r="I10177" s="7" t="n">
        <f aca="false">Sens!$E$10177+(glt_win-Sens!$E$10177)*MIN(1,(Sens!I10118-base_fy)/n_conv)</f>
        <v>0.00894407546443349</v>
      </c>
      <c r="J10177" s="7" t="n">
        <f aca="false">Sens!$E$10177+(glt_win-Sens!$E$10177)*MIN(1,(Sens!J10118-base_fy)/n_conv)</f>
        <v>0.0144720377322168</v>
      </c>
      <c r="K10177" s="7" t="n">
        <f aca="false">Sens!$E$10177+(glt_win-Sens!$E$10177)*MIN(1,(Sens!K10118-base_fy)/n_conv)</f>
        <v>0.02</v>
      </c>
    </row>
    <row r="10178" customFormat="false" ht="15" hidden="false" customHeight="false" outlineLevel="0" collapsed="false">
      <c r="A10178" s="0" t="s">
        <v>729</v>
      </c>
      <c r="B10178" s="0" t="s">
        <v>98</v>
      </c>
      <c r="D10178" s="6" t="n">
        <f aca="false">Sens!D10172+Sens!D10174+Sens!D10176</f>
        <v>62.941</v>
      </c>
      <c r="E10178" s="6" t="n">
        <f aca="false">Sens!E10172+Sens!E10174+Sens!E10176</f>
        <v>63.712</v>
      </c>
      <c r="F10178" s="6" t="n">
        <f aca="false">Sens!F10172+Sens!F10174+Sens!F10176</f>
        <v>64.9963097896462</v>
      </c>
      <c r="G10178" s="6" t="n">
        <f aca="false">Sens!G10172+Sens!G10174+Sens!G10176</f>
        <v>66.7136225148641</v>
      </c>
      <c r="H10178" s="6" t="n">
        <f aca="false">Sens!H10172+Sens!H10174+Sens!H10176</f>
        <v>68.7890549736148</v>
      </c>
      <c r="I10178" s="6" t="n">
        <f aca="false">Sens!I10172+Sens!I10174+Sens!I10176</f>
        <v>71.1518060670993</v>
      </c>
      <c r="J10178" s="6" t="n">
        <f aca="false">Sens!J10172+Sens!J10174+Sens!J10176</f>
        <v>73.7346219940549</v>
      </c>
      <c r="K10178" s="6" t="n">
        <f aca="false">Sens!K10172+Sens!K10174+Sens!K10176</f>
        <v>76.4739536233724</v>
      </c>
    </row>
    <row r="10179" customFormat="false" ht="15" hidden="false" customHeight="false" outlineLevel="0" collapsed="false">
      <c r="A10179" s="1" t="s">
        <v>890</v>
      </c>
      <c r="B10179" s="0" t="s">
        <v>98</v>
      </c>
      <c r="D10179" s="6" t="n">
        <f aca="false">Sens!D10171+Sens!D10178</f>
        <v>281.724</v>
      </c>
      <c r="E10179" s="6" t="n">
        <f aca="false">Sens!E10171+Sens!E10178</f>
        <v>331.839</v>
      </c>
      <c r="F10179" s="6" t="n">
        <f aca="false">Sens!F10171+Sens!F10178</f>
        <v>399.261838041154</v>
      </c>
      <c r="G10179" s="6" t="n">
        <f aca="false">Sens!G10171+Sens!G10178</f>
        <v>474.785745574657</v>
      </c>
      <c r="H10179" s="6" t="n">
        <f aca="false">Sens!H10171+Sens!H10178</f>
        <v>551.98535097764</v>
      </c>
      <c r="I10179" s="6" t="n">
        <f aca="false">Sens!I10171+Sens!I10178</f>
        <v>623.055323693925</v>
      </c>
      <c r="J10179" s="6" t="n">
        <f aca="false">Sens!J10171+Sens!J10178</f>
        <v>681.453671705667</v>
      </c>
      <c r="K10179" s="6" t="n">
        <f aca="false">Sens!K10171+Sens!K10178</f>
        <v>728.851689872824</v>
      </c>
    </row>
    <row r="10180" customFormat="false" ht="15" hidden="false" customHeight="false" outlineLevel="0" collapsed="false">
      <c r="A10180" s="23" t="s">
        <v>891</v>
      </c>
      <c r="B10180" s="30" t="s">
        <v>98</v>
      </c>
      <c r="C10180" s="30"/>
      <c r="D10180" s="24" t="n">
        <f aca="false">(Sens!D10159+Sens!D10164+Sens!D10165+Sens!D10167+Sens!D10169-Sens!D10171)+(Sens!D10172+Sens!D10174+Sens!D10176-Sens!D10178)+(Sens!D10171-Q!L5)+(Sens!D10178-Q!L12)+(Sens!D10159-Q!L6)+(Sens!D10164-Q!L7)</f>
        <v>0</v>
      </c>
      <c r="E10180" s="24" t="n">
        <f aca="false">(Sens!E10159+Sens!E10164+Sens!E10165+Sens!E10167+Sens!E10169-Sens!E10171)+(Sens!E10172+Sens!E10174+Sens!E10176-Sens!E10178)+(Sens!E10171-Q!M5)+(Sens!E10178-Q!M12)+(Sens!E10159-Q!M6)+(Sens!E10164-Q!M7)</f>
        <v>0</v>
      </c>
      <c r="F10180" s="24" t="n">
        <f aca="false">(Sens!F10159+Sens!F10164+Sens!F10165+Sens!F10167+Sens!F10169-Sens!F10171)+(Sens!F10172+Sens!F10174+Sens!F10176-Sens!F10178)</f>
        <v>0</v>
      </c>
      <c r="G10180" s="24" t="n">
        <f aca="false">(Sens!G10159+Sens!G10164+Sens!G10165+Sens!G10167+Sens!G10169-Sens!G10171)+(Sens!G10172+Sens!G10174+Sens!G10176-Sens!G10178)</f>
        <v>0</v>
      </c>
      <c r="H10180" s="24" t="n">
        <f aca="false">(Sens!H10159+Sens!H10164+Sens!H10165+Sens!H10167+Sens!H10169-Sens!H10171)+(Sens!H10172+Sens!H10174+Sens!H10176-Sens!H10178)</f>
        <v>0</v>
      </c>
      <c r="I10180" s="24" t="n">
        <f aca="false">(Sens!I10159+Sens!I10164+Sens!I10165+Sens!I10167+Sens!I10169-Sens!I10171)+(Sens!I10172+Sens!I10174+Sens!I10176-Sens!I10178)</f>
        <v>0</v>
      </c>
      <c r="J10180" s="24" t="n">
        <f aca="false">(Sens!J10159+Sens!J10164+Sens!J10165+Sens!J10167+Sens!J10169-Sens!J10171)+(Sens!J10172+Sens!J10174+Sens!J10176-Sens!J10178)</f>
        <v>0</v>
      </c>
      <c r="K10180" s="24" t="n">
        <f aca="false">(Sens!K10159+Sens!K10164+Sens!K10165+Sens!K10167+Sens!K10169-Sens!K10171)+(Sens!K10172+Sens!K10174+Sens!K10176-Sens!K10178)</f>
        <v>0</v>
      </c>
    </row>
    <row r="10181" customFormat="false" ht="17.15" hidden="false" customHeight="false" outlineLevel="0" collapsed="false">
      <c r="A10181" s="3" t="s">
        <v>1524</v>
      </c>
    </row>
    <row r="10182" customFormat="false" ht="15" hidden="false" customHeight="false" outlineLevel="0" collapsed="false">
      <c r="A10182" s="4" t="s">
        <v>43</v>
      </c>
      <c r="B10182" s="4" t="s">
        <v>65</v>
      </c>
      <c r="C10182" s="20" t="s">
        <v>799</v>
      </c>
      <c r="D10182" s="20" t="s">
        <v>800</v>
      </c>
      <c r="E10182" s="20" t="s">
        <v>801</v>
      </c>
      <c r="F10182" s="20" t="s">
        <v>802</v>
      </c>
      <c r="G10182" s="20" t="s">
        <v>803</v>
      </c>
      <c r="H10182" s="20" t="s">
        <v>804</v>
      </c>
      <c r="I10182" s="20" t="s">
        <v>805</v>
      </c>
      <c r="J10182" s="20" t="s">
        <v>806</v>
      </c>
      <c r="K10182" s="20" t="s">
        <v>807</v>
      </c>
      <c r="L10182" s="4" t="s">
        <v>47</v>
      </c>
    </row>
    <row r="10183" customFormat="false" ht="15" hidden="false" customHeight="false" outlineLevel="0" collapsed="false">
      <c r="A10183" s="0" t="s">
        <v>877</v>
      </c>
      <c r="B10183" s="0" t="s">
        <v>98</v>
      </c>
      <c r="D10183" s="6" t="n">
        <f aca="false">Sens!D10159</f>
        <v>72.61</v>
      </c>
      <c r="E10183" s="6" t="n">
        <f aca="false">Sens!E10159</f>
        <v>101.938</v>
      </c>
      <c r="F10183" s="6" t="n">
        <f aca="false">Sens!F10159</f>
        <v>145.143956312325</v>
      </c>
      <c r="G10183" s="6" t="n">
        <f aca="false">Sens!G10159</f>
        <v>196.478966522364</v>
      </c>
      <c r="H10183" s="6" t="n">
        <f aca="false">Sens!H10159</f>
        <v>249.10761332251</v>
      </c>
      <c r="I10183" s="6" t="n">
        <f aca="false">Sens!I10159</f>
        <v>297.09216264734</v>
      </c>
      <c r="J10183" s="6" t="n">
        <f aca="false">Sens!J10159</f>
        <v>334.278152607443</v>
      </c>
      <c r="K10183" s="6" t="n">
        <f aca="false">Sens!K10159</f>
        <v>361.233666909276</v>
      </c>
    </row>
    <row r="10184" customFormat="false" ht="17.15" hidden="false" customHeight="false" outlineLevel="0" collapsed="false">
      <c r="A10184" s="0" t="s">
        <v>874</v>
      </c>
      <c r="B10184" s="0" t="s">
        <v>98</v>
      </c>
      <c r="D10184" s="6" t="n">
        <f aca="false">Sens!D10156</f>
        <v>12.9359794422418</v>
      </c>
      <c r="E10184" s="6" t="n">
        <f aca="false">Sens!E10156</f>
        <v>27.8095064661409</v>
      </c>
      <c r="F10184" s="6" t="n">
        <f aca="false">Sens!F10156</f>
        <v>55.0640065749585</v>
      </c>
      <c r="G10184" s="6" t="n">
        <f aca="false">Sens!G10156</f>
        <v>89.4505413190538</v>
      </c>
      <c r="H10184" s="6" t="n">
        <f aca="false">Sens!H10156</f>
        <v>124.835630736874</v>
      </c>
      <c r="I10184" s="6" t="n">
        <f aca="false">Sens!I10156</f>
        <v>156.158460265485</v>
      </c>
      <c r="J10184" s="6" t="n">
        <f aca="false">Sens!J10156</f>
        <v>178.259285293112</v>
      </c>
      <c r="K10184" s="6" t="n">
        <f aca="false">Sens!K10156</f>
        <v>192.733290209798</v>
      </c>
    </row>
    <row r="10185" customFormat="false" ht="17.15" hidden="false" customHeight="false" outlineLevel="0" collapsed="false">
      <c r="A10185" s="0" t="s">
        <v>902</v>
      </c>
      <c r="B10185" s="0" t="s">
        <v>98</v>
      </c>
      <c r="D10185" s="6" t="n">
        <f aca="false">Sens!D10157</f>
        <v>59.6740205577583</v>
      </c>
      <c r="E10185" s="6" t="n">
        <f aca="false">Sens!E10157</f>
        <v>74.1284935338591</v>
      </c>
      <c r="F10185" s="6" t="n">
        <f aca="false">Sens!F10157</f>
        <v>90.0799497373663</v>
      </c>
      <c r="G10185" s="6" t="n">
        <f aca="false">Sens!G10157</f>
        <v>107.02842520331</v>
      </c>
      <c r="H10185" s="6" t="n">
        <f aca="false">Sens!H10157</f>
        <v>124.271982585636</v>
      </c>
      <c r="I10185" s="6" t="n">
        <f aca="false">Sens!I10157</f>
        <v>140.933702381855</v>
      </c>
      <c r="J10185" s="6" t="n">
        <f aca="false">Sens!J10157</f>
        <v>156.018867314332</v>
      </c>
      <c r="K10185" s="6" t="n">
        <f aca="false">Sens!K10157</f>
        <v>168.500376699478</v>
      </c>
    </row>
    <row r="10186" customFormat="false" ht="15" hidden="false" customHeight="false" outlineLevel="0" collapsed="false">
      <c r="A10186" s="0" t="s">
        <v>883</v>
      </c>
      <c r="B10186" s="0" t="s">
        <v>98</v>
      </c>
      <c r="D10186" s="6" t="n">
        <f aca="false">Sens!D10164</f>
        <v>84.605</v>
      </c>
      <c r="E10186" s="6" t="n">
        <f aca="false">Sens!E10164</f>
        <v>100.299</v>
      </c>
      <c r="F10186" s="6" t="n">
        <f aca="false">Sens!F10164</f>
        <v>118.89238776686</v>
      </c>
      <c r="G10186" s="6" t="n">
        <f aca="false">Sens!G10164</f>
        <v>137.044168448684</v>
      </c>
      <c r="H10186" s="6" t="n">
        <f aca="false">Sens!H10164</f>
        <v>155.277359388781</v>
      </c>
      <c r="I10186" s="6" t="n">
        <f aca="false">Sens!I10164</f>
        <v>171.834028071957</v>
      </c>
      <c r="J10186" s="6" t="n">
        <f aca="false">Sens!J10164</f>
        <v>186.432702785465</v>
      </c>
      <c r="K10186" s="6" t="n">
        <f aca="false">Sens!K10164</f>
        <v>200.277991980448</v>
      </c>
    </row>
    <row r="10187" customFormat="false" ht="17.15" hidden="false" customHeight="false" outlineLevel="0" collapsed="false">
      <c r="A10187" s="0" t="s">
        <v>903</v>
      </c>
      <c r="B10187" s="0" t="s">
        <v>98</v>
      </c>
      <c r="D10187" s="6" t="n">
        <f aca="false">Sens!D10162</f>
        <v>83.705</v>
      </c>
      <c r="E10187" s="6" t="n">
        <f aca="false">Sens!E10162</f>
        <v>95.049</v>
      </c>
      <c r="F10187" s="6" t="n">
        <f aca="false">Sens!F10162</f>
        <v>106.89238776686</v>
      </c>
      <c r="G10187" s="6" t="n">
        <f aca="false">Sens!G10162</f>
        <v>119.044168448684</v>
      </c>
      <c r="H10187" s="6" t="n">
        <f aca="false">Sens!H10162</f>
        <v>131.277359388781</v>
      </c>
      <c r="I10187" s="6" t="n">
        <f aca="false">Sens!I10162</f>
        <v>143.334028071957</v>
      </c>
      <c r="J10187" s="6" t="n">
        <f aca="false">Sens!J10162</f>
        <v>154.932702785465</v>
      </c>
      <c r="K10187" s="6" t="n">
        <f aca="false">Sens!K10162</f>
        <v>165.777991980448</v>
      </c>
    </row>
    <row r="10188" customFormat="false" ht="17.15" hidden="false" customHeight="false" outlineLevel="0" collapsed="false">
      <c r="A10188" s="0" t="s">
        <v>904</v>
      </c>
      <c r="B10188" s="0" t="s">
        <v>98</v>
      </c>
      <c r="D10188" s="6" t="n">
        <f aca="false">Sens!D10161</f>
        <v>0.9</v>
      </c>
      <c r="E10188" s="6" t="n">
        <f aca="false">Sens!E10161</f>
        <v>5.25</v>
      </c>
      <c r="F10188" s="6" t="n">
        <f aca="false">Sens!F10161</f>
        <v>12</v>
      </c>
      <c r="G10188" s="6" t="n">
        <f aca="false">Sens!G10161</f>
        <v>18</v>
      </c>
      <c r="H10188" s="6" t="n">
        <f aca="false">Sens!H10161</f>
        <v>24</v>
      </c>
      <c r="I10188" s="6" t="n">
        <f aca="false">Sens!I10161</f>
        <v>28.5</v>
      </c>
      <c r="J10188" s="6" t="n">
        <f aca="false">Sens!J10161</f>
        <v>31.5</v>
      </c>
      <c r="K10188" s="6" t="n">
        <f aca="false">Sens!K10161</f>
        <v>34.5</v>
      </c>
    </row>
    <row r="10189" customFormat="false" ht="15" hidden="false" customHeight="false" outlineLevel="0" collapsed="false">
      <c r="A10189" s="0" t="s">
        <v>884</v>
      </c>
      <c r="B10189" s="0" t="s">
        <v>98</v>
      </c>
      <c r="D10189" s="6" t="n">
        <f aca="false">Sens!D10165</f>
        <v>35.391</v>
      </c>
      <c r="E10189" s="6" t="n">
        <f aca="false">Sens!E10165</f>
        <v>37.285</v>
      </c>
      <c r="F10189" s="6" t="n">
        <f aca="false">Sens!F10165</f>
        <v>39.0720834331704</v>
      </c>
      <c r="G10189" s="6" t="n">
        <f aca="false">Sens!G10165</f>
        <v>40.726562953769</v>
      </c>
      <c r="H10189" s="6" t="n">
        <f aca="false">Sens!H10165</f>
        <v>42.2235987259198</v>
      </c>
      <c r="I10189" s="6" t="n">
        <f aca="false">Sens!I10165</f>
        <v>43.5397988077414</v>
      </c>
      <c r="J10189" s="6" t="n">
        <f aca="false">Sens!J10165</f>
        <v>44.653811225693</v>
      </c>
      <c r="K10189" s="6" t="n">
        <f aca="false">Sens!K10165</f>
        <v>45.5468874502068</v>
      </c>
    </row>
    <row r="10190" customFormat="false" ht="15" hidden="false" customHeight="false" outlineLevel="0" collapsed="false">
      <c r="A10190" s="0" t="s">
        <v>885</v>
      </c>
      <c r="B10190" s="0" t="s">
        <v>98</v>
      </c>
      <c r="D10190" s="6" t="n">
        <f aca="false">Sens!D10167</f>
        <v>18.417</v>
      </c>
      <c r="E10190" s="6" t="n">
        <f aca="false">Sens!E10167</f>
        <v>20.345</v>
      </c>
      <c r="F10190" s="6" t="n">
        <f aca="false">Sens!F10167</f>
        <v>22.3572203267814</v>
      </c>
      <c r="G10190" s="6" t="n">
        <f aca="false">Sens!G10167</f>
        <v>24.4392124437232</v>
      </c>
      <c r="H10190" s="6" t="n">
        <f aca="false">Sens!H10167</f>
        <v>26.5738052080665</v>
      </c>
      <c r="I10190" s="6" t="n">
        <f aca="false">Sens!I10167</f>
        <v>28.7412169166967</v>
      </c>
      <c r="J10190" s="6" t="n">
        <f aca="false">Sens!J10167</f>
        <v>30.9192545395413</v>
      </c>
      <c r="K10190" s="6" t="n">
        <f aca="false">Sens!K10167</f>
        <v>33.0836023573092</v>
      </c>
    </row>
    <row r="10191" customFormat="false" ht="15" hidden="false" customHeight="false" outlineLevel="0" collapsed="false">
      <c r="A10191" s="0" t="s">
        <v>886</v>
      </c>
      <c r="B10191" s="0" t="s">
        <v>98</v>
      </c>
      <c r="D10191" s="6" t="n">
        <f aca="false">Sens!D10169</f>
        <v>7.76</v>
      </c>
      <c r="E10191" s="6" t="n">
        <f aca="false">Sens!E10169</f>
        <v>8.26</v>
      </c>
      <c r="F10191" s="6" t="n">
        <f aca="false">Sens!F10169</f>
        <v>8.79988041237113</v>
      </c>
      <c r="G10191" s="6" t="n">
        <f aca="false">Sens!G10169</f>
        <v>9.38321269125306</v>
      </c>
      <c r="H10191" s="6" t="n">
        <f aca="false">Sens!H10169</f>
        <v>10.0139193587476</v>
      </c>
      <c r="I10191" s="6" t="n">
        <f aca="false">Sens!I10169</f>
        <v>10.6963111830911</v>
      </c>
      <c r="J10191" s="6" t="n">
        <f aca="false">Sens!J10169</f>
        <v>11.4351285534696</v>
      </c>
      <c r="K10191" s="6" t="n">
        <f aca="false">Sens!K10169</f>
        <v>12.2355875522124</v>
      </c>
    </row>
    <row r="10192" customFormat="false" ht="15" hidden="false" customHeight="false" outlineLevel="0" collapsed="false">
      <c r="A10192" s="0" t="s">
        <v>715</v>
      </c>
      <c r="B10192" s="0" t="s">
        <v>98</v>
      </c>
      <c r="D10192" s="6" t="n">
        <f aca="false">Sens!D10171</f>
        <v>218.783</v>
      </c>
      <c r="E10192" s="6" t="n">
        <f aca="false">Sens!E10171</f>
        <v>268.127</v>
      </c>
      <c r="F10192" s="6" t="n">
        <f aca="false">Sens!F10171</f>
        <v>334.265528251508</v>
      </c>
      <c r="G10192" s="6" t="n">
        <f aca="false">Sens!G10171</f>
        <v>408.072123059793</v>
      </c>
      <c r="H10192" s="6" t="n">
        <f aca="false">Sens!H10171</f>
        <v>483.196296004025</v>
      </c>
      <c r="I10192" s="6" t="n">
        <f aca="false">Sens!I10171</f>
        <v>551.903517626826</v>
      </c>
      <c r="J10192" s="6" t="n">
        <f aca="false">Sens!J10171</f>
        <v>607.719049711612</v>
      </c>
      <c r="K10192" s="6" t="n">
        <f aca="false">Sens!K10171</f>
        <v>652.377736249452</v>
      </c>
    </row>
    <row r="10193" customFormat="false" ht="15" hidden="false" customHeight="false" outlineLevel="0" collapsed="false">
      <c r="A10193" s="0" t="s">
        <v>887</v>
      </c>
      <c r="B10193" s="0" t="s">
        <v>98</v>
      </c>
      <c r="D10193" s="6" t="n">
        <f aca="false">Sens!D10172</f>
        <v>22.171</v>
      </c>
      <c r="E10193" s="6" t="n">
        <f aca="false">Sens!E10172</f>
        <v>24.835</v>
      </c>
      <c r="F10193" s="6" t="n">
        <f aca="false">Sens!F10172</f>
        <v>27.6114901218559</v>
      </c>
      <c r="G10193" s="6" t="n">
        <f aca="false">Sens!G10172</f>
        <v>30.4675667338515</v>
      </c>
      <c r="H10193" s="6" t="n">
        <f aca="false">Sens!H10172</f>
        <v>33.3643766955789</v>
      </c>
      <c r="I10193" s="6" t="n">
        <f aca="false">Sens!I10172</f>
        <v>36.2577016533691</v>
      </c>
      <c r="J10193" s="6" t="n">
        <f aca="false">Sens!J10172</f>
        <v>39.0988367952171</v>
      </c>
      <c r="K10193" s="6" t="n">
        <f aca="false">Sens!K10172</f>
        <v>41.8357553708823</v>
      </c>
    </row>
    <row r="10194" customFormat="false" ht="15" hidden="false" customHeight="false" outlineLevel="0" collapsed="false">
      <c r="A10194" s="0" t="s">
        <v>888</v>
      </c>
      <c r="B10194" s="0" t="s">
        <v>98</v>
      </c>
      <c r="D10194" s="6" t="n">
        <f aca="false">Sens!D10174</f>
        <v>23.455</v>
      </c>
      <c r="E10194" s="6" t="n">
        <f aca="false">Sens!E10174</f>
        <v>21.79</v>
      </c>
      <c r="F10194" s="6" t="n">
        <f aca="false">Sens!F10174</f>
        <v>20.4283611241384</v>
      </c>
      <c r="G10194" s="6" t="n">
        <f aca="false">Sens!G10174</f>
        <v>19.3254067185857</v>
      </c>
      <c r="H10194" s="6" t="n">
        <f aca="false">Sens!H10174</f>
        <v>18.446226363051</v>
      </c>
      <c r="I10194" s="6" t="n">
        <f aca="false">Sens!I10174</f>
        <v>17.7637959435485</v>
      </c>
      <c r="J10194" s="6" t="n">
        <f aca="false">Sens!J10174</f>
        <v>17.2575662581111</v>
      </c>
      <c r="K10194" s="6" t="n">
        <f aca="false">Sens!K10174</f>
        <v>16.9124149329489</v>
      </c>
    </row>
    <row r="10195" customFormat="false" ht="15" hidden="false" customHeight="false" outlineLevel="0" collapsed="false">
      <c r="A10195" s="0" t="s">
        <v>889</v>
      </c>
      <c r="B10195" s="0" t="s">
        <v>98</v>
      </c>
      <c r="D10195" s="6" t="n">
        <f aca="false">Sens!D10176</f>
        <v>17.315</v>
      </c>
      <c r="E10195" s="6" t="n">
        <f aca="false">Sens!E10176</f>
        <v>17.087</v>
      </c>
      <c r="F10195" s="6" t="n">
        <f aca="false">Sens!F10176</f>
        <v>16.9564585436519</v>
      </c>
      <c r="G10195" s="6" t="n">
        <f aca="false">Sens!G10176</f>
        <v>16.9206490624268</v>
      </c>
      <c r="H10195" s="6" t="n">
        <f aca="false">Sens!H10176</f>
        <v>16.9784519149849</v>
      </c>
      <c r="I10195" s="6" t="n">
        <f aca="false">Sens!I10176</f>
        <v>17.1303084701817</v>
      </c>
      <c r="J10195" s="6" t="n">
        <f aca="false">Sens!J10176</f>
        <v>17.3782189407267</v>
      </c>
      <c r="K10195" s="6" t="n">
        <f aca="false">Sens!K10176</f>
        <v>17.7257833195413</v>
      </c>
    </row>
    <row r="10196" customFormat="false" ht="15" hidden="false" customHeight="false" outlineLevel="0" collapsed="false">
      <c r="A10196" s="0" t="s">
        <v>729</v>
      </c>
      <c r="B10196" s="0" t="s">
        <v>98</v>
      </c>
      <c r="D10196" s="6" t="n">
        <f aca="false">Sens!D10178</f>
        <v>62.941</v>
      </c>
      <c r="E10196" s="6" t="n">
        <f aca="false">Sens!E10178</f>
        <v>63.712</v>
      </c>
      <c r="F10196" s="6" t="n">
        <f aca="false">Sens!F10178</f>
        <v>64.9963097896462</v>
      </c>
      <c r="G10196" s="6" t="n">
        <f aca="false">Sens!G10178</f>
        <v>66.7136225148641</v>
      </c>
      <c r="H10196" s="6" t="n">
        <f aca="false">Sens!H10178</f>
        <v>68.7890549736148</v>
      </c>
      <c r="I10196" s="6" t="n">
        <f aca="false">Sens!I10178</f>
        <v>71.1518060670993</v>
      </c>
      <c r="J10196" s="6" t="n">
        <f aca="false">Sens!J10178</f>
        <v>73.7346219940549</v>
      </c>
      <c r="K10196" s="6" t="n">
        <f aca="false">Sens!K10178</f>
        <v>76.4739536233724</v>
      </c>
    </row>
    <row r="10197" customFormat="false" ht="15" hidden="false" customHeight="false" outlineLevel="0" collapsed="false">
      <c r="A10197" s="1" t="s">
        <v>905</v>
      </c>
      <c r="B10197" s="0" t="s">
        <v>98</v>
      </c>
      <c r="D10197" s="6" t="n">
        <f aca="false">Sens!D10179</f>
        <v>281.724</v>
      </c>
      <c r="E10197" s="6" t="n">
        <f aca="false">Sens!E10179</f>
        <v>331.839</v>
      </c>
      <c r="F10197" s="6" t="n">
        <f aca="false">Sens!F10179</f>
        <v>399.261838041154</v>
      </c>
      <c r="G10197" s="6" t="n">
        <f aca="false">Sens!G10179</f>
        <v>474.785745574657</v>
      </c>
      <c r="H10197" s="6" t="n">
        <f aca="false">Sens!H10179</f>
        <v>551.98535097764</v>
      </c>
      <c r="I10197" s="6" t="n">
        <f aca="false">Sens!I10179</f>
        <v>623.055323693925</v>
      </c>
      <c r="J10197" s="6" t="n">
        <f aca="false">Sens!J10179</f>
        <v>681.453671705667</v>
      </c>
      <c r="K10197" s="6" t="n">
        <f aca="false">Sens!K10179</f>
        <v>728.851689872824</v>
      </c>
    </row>
    <row r="10198" customFormat="false" ht="15" hidden="false" customHeight="false" outlineLevel="0" collapsed="false">
      <c r="A10198" s="1" t="s">
        <v>906</v>
      </c>
      <c r="B10198" s="0" t="s">
        <v>129</v>
      </c>
      <c r="E10198" s="7" t="n">
        <f aca="false">Sens!E10197/Sens!D10197-1</f>
        <v>0.177886867998467</v>
      </c>
      <c r="F10198" s="7" t="n">
        <f aca="false">Sens!F10197/Sens!E10197-1</f>
        <v>0.203179367226739</v>
      </c>
      <c r="G10198" s="7" t="n">
        <f aca="false">Sens!G10197/Sens!F10197-1</f>
        <v>0.189158843489867</v>
      </c>
      <c r="H10198" s="7" t="n">
        <f aca="false">Sens!H10197/Sens!G10197-1</f>
        <v>0.162598827202666</v>
      </c>
      <c r="I10198" s="7" t="n">
        <f aca="false">Sens!I10197/Sens!H10197-1</f>
        <v>0.128753367440659</v>
      </c>
      <c r="J10198" s="7" t="n">
        <f aca="false">Sens!J10197/Sens!I10197-1</f>
        <v>0.0937289929014877</v>
      </c>
      <c r="K10198" s="7" t="n">
        <f aca="false">Sens!K10197/Sens!J10197-1</f>
        <v>0.0695542780604892</v>
      </c>
    </row>
    <row r="10199" customFormat="false" ht="17.15" hidden="false" customHeight="false" outlineLevel="0" collapsed="false">
      <c r="A10199" s="23" t="s">
        <v>907</v>
      </c>
      <c r="B10199" s="30" t="s">
        <v>98</v>
      </c>
      <c r="C10199" s="30"/>
      <c r="D10199" s="24" t="n">
        <f aca="false">(Sens!D10192+Sens!D10196-Sens!D10197)+(Sens!D10184+Sens!D10185-Sens!D10183)+(Sens!D10187+Sens!D10188-Sens!D10186)+(Sens!D10197-Q!L18)</f>
        <v>0</v>
      </c>
      <c r="E10199" s="24" t="n">
        <f aca="false">(Sens!E10192+Sens!E10196-Sens!E10197)+(Sens!E10184+Sens!E10185-Sens!E10183)+(Sens!E10187+Sens!E10188-Sens!E10186)+(Sens!E10197-Q!M18)</f>
        <v>0</v>
      </c>
      <c r="F10199" s="24" t="n">
        <f aca="false">(Sens!F10192+Sens!F10196-Sens!F10197)+(Sens!F10184+Sens!F10185-Sens!F10183)+(Sens!F10187+Sens!F10188-Sens!F10186)</f>
        <v>0</v>
      </c>
      <c r="G10199" s="24" t="n">
        <f aca="false">(Sens!G10192+Sens!G10196-Sens!G10197)+(Sens!G10184+Sens!G10185-Sens!G10183)+(Sens!G10187+Sens!G10188-Sens!G10186)</f>
        <v>0</v>
      </c>
      <c r="H10199" s="24" t="n">
        <f aca="false">(Sens!H10192+Sens!H10196-Sens!H10197)+(Sens!H10184+Sens!H10185-Sens!H10183)+(Sens!H10187+Sens!H10188-Sens!H10186)</f>
        <v>0</v>
      </c>
      <c r="I10199" s="24" t="n">
        <f aca="false">(Sens!I10192+Sens!I10196-Sens!I10197)+(Sens!I10184+Sens!I10185-Sens!I10183)+(Sens!I10187+Sens!I10188-Sens!I10186)</f>
        <v>0</v>
      </c>
      <c r="J10199" s="24" t="n">
        <f aca="false">(Sens!J10192+Sens!J10196-Sens!J10197)+(Sens!J10184+Sens!J10185-Sens!J10183)+(Sens!J10187+Sens!J10188-Sens!J10186)</f>
        <v>0</v>
      </c>
      <c r="K10199" s="24" t="n">
        <f aca="false">(Sens!K10192+Sens!K10196-Sens!K10197)+(Sens!K10184+Sens!K10185-Sens!K10183)+(Sens!K10187+Sens!K10188-Sens!K10186)</f>
        <v>0</v>
      </c>
    </row>
    <row r="10200" customFormat="false" ht="17.15" hidden="false" customHeight="false" outlineLevel="0" collapsed="false">
      <c r="A10200" s="0" t="s">
        <v>908</v>
      </c>
      <c r="B10200" s="0" t="s">
        <v>129</v>
      </c>
      <c r="E10200" s="7" t="n">
        <f aca="false">(Q!M21+Sens!E10137+Sens!E10138+Sens!E10139+Sens!E10152-Sens!E10135)/(Q!M5-Sens!E10135)</f>
        <v>0.570957350878296</v>
      </c>
      <c r="F10200" s="7" t="n">
        <f aca="false">Sens!$E$10200+dm_seg</f>
        <v>0.570957350878296</v>
      </c>
      <c r="G10200" s="7" t="n">
        <f aca="false">Sens!$E$10200+dm_seg</f>
        <v>0.570957350878296</v>
      </c>
      <c r="H10200" s="7" t="n">
        <f aca="false">Sens!$E$10200+dm_seg</f>
        <v>0.570957350878296</v>
      </c>
      <c r="I10200" s="7" t="n">
        <f aca="false">Sens!$E$10200+dm_seg</f>
        <v>0.570957350878296</v>
      </c>
      <c r="J10200" s="7" t="n">
        <f aca="false">Sens!$E$10200+dm_seg</f>
        <v>0.570957350878296</v>
      </c>
      <c r="K10200" s="7" t="n">
        <f aca="false">Sens!$E$10200+dm_seg</f>
        <v>0.570957350878296</v>
      </c>
      <c r="L10200" s="11" t="s">
        <v>909</v>
      </c>
    </row>
    <row r="10201" customFormat="false" ht="17.15" hidden="false" customHeight="false" outlineLevel="0" collapsed="false">
      <c r="A10201" s="0" t="s">
        <v>743</v>
      </c>
      <c r="B10201" s="0" t="s">
        <v>98</v>
      </c>
      <c r="D10201" s="6" t="n">
        <f aca="false">Q!L21</f>
        <v>110.814</v>
      </c>
      <c r="E10201" s="6" t="n">
        <f aca="false">Q!M21</f>
        <v>136.365</v>
      </c>
      <c r="F10201" s="6" t="n">
        <f aca="false">Sens!F10200*(Sens!F10171-Sens!F10135)+Sens!F10135-(Sens!F10137+Sens!F10138+Sens!F10139)-Sens!F10152-Sens!F10235</f>
        <v>157.459570505463</v>
      </c>
      <c r="G10201" s="6" t="n">
        <f aca="false">Sens!G10200*(Sens!G10171-Sens!G10135)+Sens!G10135-(Sens!G10137+Sens!G10138+Sens!G10139)-Sens!G10152-Sens!G10235</f>
        <v>177.815728375567</v>
      </c>
      <c r="H10201" s="6" t="n">
        <f aca="false">Sens!H10200*(Sens!H10171-Sens!H10135)+Sens!H10135-(Sens!H10137+Sens!H10138+Sens!H10139)-Sens!H10152-Sens!H10235</f>
        <v>197.532187811638</v>
      </c>
      <c r="I10201" s="6" t="n">
        <f aca="false">Sens!I10200*(Sens!I10171-Sens!I10135)+Sens!I10135-(Sens!I10137+Sens!I10138+Sens!I10139)-Sens!I10152-Sens!I10235</f>
        <v>216.322547293673</v>
      </c>
      <c r="J10201" s="6" t="n">
        <f aca="false">Sens!J10200*(Sens!J10171-Sens!J10135)+Sens!J10135-(Sens!J10137+Sens!J10138+Sens!J10139)-Sens!J10152-Sens!J10235</f>
        <v>233.723515511233</v>
      </c>
      <c r="K10201" s="6" t="n">
        <f aca="false">Sens!K10200*(Sens!K10171-Sens!K10135)+Sens!K10135-(Sens!K10137+Sens!K10138+Sens!K10139)-Sens!K10152-Sens!K10235</f>
        <v>250.57158643151</v>
      </c>
      <c r="L10201" s="1" t="s">
        <v>910</v>
      </c>
    </row>
    <row r="10202" customFormat="false" ht="17.15" hidden="false" customHeight="false" outlineLevel="0" collapsed="false">
      <c r="A10202" s="0" t="s">
        <v>911</v>
      </c>
      <c r="B10202" s="0" t="s">
        <v>129</v>
      </c>
      <c r="E10202" s="7" t="n">
        <f aca="false">Q!M22/Q!M12</f>
        <v>0.296207935710698</v>
      </c>
      <c r="F10202" s="7" t="n">
        <f aca="false">Sens!$E$10202+dm_seg</f>
        <v>0.296207935710698</v>
      </c>
      <c r="G10202" s="7" t="n">
        <f aca="false">Sens!$E$10202+dm_seg</f>
        <v>0.296207935710698</v>
      </c>
      <c r="H10202" s="7" t="n">
        <f aca="false">Sens!$E$10202+dm_seg</f>
        <v>0.296207935710698</v>
      </c>
      <c r="I10202" s="7" t="n">
        <f aca="false">Sens!$E$10202+dm_seg</f>
        <v>0.296207935710698</v>
      </c>
      <c r="J10202" s="7" t="n">
        <f aca="false">Sens!$E$10202+dm_seg</f>
        <v>0.296207935710698</v>
      </c>
      <c r="K10202" s="7" t="n">
        <f aca="false">Sens!$E$10202+dm_seg</f>
        <v>0.296207935710698</v>
      </c>
      <c r="L10202" s="11" t="s">
        <v>912</v>
      </c>
    </row>
    <row r="10203" customFormat="false" ht="17.15" hidden="false" customHeight="false" outlineLevel="0" collapsed="false">
      <c r="A10203" s="0" t="s">
        <v>745</v>
      </c>
      <c r="B10203" s="0" t="s">
        <v>98</v>
      </c>
      <c r="D10203" s="6" t="n">
        <f aca="false">Q!L22</f>
        <v>17.714</v>
      </c>
      <c r="E10203" s="6" t="n">
        <f aca="false">Q!M22</f>
        <v>18.872</v>
      </c>
      <c r="F10203" s="6" t="n">
        <f aca="false">Sens!F10178*Sens!F10202</f>
        <v>19.2524227516042</v>
      </c>
      <c r="G10203" s="6" t="n">
        <f aca="false">Sens!G10178*Sens!G10202</f>
        <v>19.7611044089106</v>
      </c>
      <c r="H10203" s="6" t="n">
        <f aca="false">Sens!H10178*Sens!H10202</f>
        <v>20.3758639732242</v>
      </c>
      <c r="I10203" s="6" t="n">
        <f aca="false">Sens!I10178*Sens!I10202</f>
        <v>21.0757295972234</v>
      </c>
      <c r="J10203" s="6" t="n">
        <f aca="false">Sens!J10178*Sens!J10202</f>
        <v>21.8407801712676</v>
      </c>
      <c r="K10203" s="6" t="n">
        <f aca="false">Sens!K10178*Sens!K10202</f>
        <v>22.6521919384148</v>
      </c>
    </row>
    <row r="10204" customFormat="false" ht="15" hidden="false" customHeight="false" outlineLevel="0" collapsed="false">
      <c r="A10204" s="1" t="s">
        <v>913</v>
      </c>
      <c r="B10204" s="0" t="s">
        <v>98</v>
      </c>
      <c r="D10204" s="6" t="n">
        <f aca="false">Sens!D10201+Sens!D10203</f>
        <v>128.528</v>
      </c>
      <c r="E10204" s="6" t="n">
        <f aca="false">Sens!E10201+Sens!E10203</f>
        <v>155.237</v>
      </c>
      <c r="F10204" s="6" t="n">
        <f aca="false">Sens!F10201+Sens!F10203</f>
        <v>176.711993257067</v>
      </c>
      <c r="G10204" s="6" t="n">
        <f aca="false">Sens!G10201+Sens!G10203</f>
        <v>197.576832784478</v>
      </c>
      <c r="H10204" s="6" t="n">
        <f aca="false">Sens!H10201+Sens!H10203</f>
        <v>217.908051784862</v>
      </c>
      <c r="I10204" s="6" t="n">
        <f aca="false">Sens!I10201+Sens!I10203</f>
        <v>237.398276890897</v>
      </c>
      <c r="J10204" s="6" t="n">
        <f aca="false">Sens!J10201+Sens!J10203</f>
        <v>255.5642956825</v>
      </c>
      <c r="K10204" s="6" t="n">
        <f aca="false">Sens!K10201+Sens!K10203</f>
        <v>273.223778369925</v>
      </c>
    </row>
    <row r="10205" customFormat="false" ht="15" hidden="false" customHeight="false" outlineLevel="0" collapsed="false">
      <c r="A10205" s="23" t="s">
        <v>914</v>
      </c>
      <c r="B10205" s="30" t="s">
        <v>98</v>
      </c>
      <c r="C10205" s="30"/>
      <c r="D10205" s="24" t="n">
        <f aca="false">Sens!D10204-Q!L23</f>
        <v>0</v>
      </c>
      <c r="E10205" s="24" t="n">
        <f aca="false">Sens!E10204-Q!M23</f>
        <v>0</v>
      </c>
      <c r="F10205" s="30"/>
      <c r="G10205" s="30"/>
      <c r="H10205" s="30"/>
      <c r="I10205" s="30"/>
      <c r="J10205" s="30"/>
      <c r="K10205" s="30"/>
    </row>
    <row r="10206" customFormat="false" ht="15" hidden="false" customHeight="false" outlineLevel="0" collapsed="false">
      <c r="A10206" s="1" t="s">
        <v>915</v>
      </c>
      <c r="B10206" s="0" t="s">
        <v>129</v>
      </c>
      <c r="D10206" s="7" t="n">
        <f aca="false">Sens!D10204/Sens!D10197</f>
        <v>0.456219562408598</v>
      </c>
      <c r="E10206" s="7" t="n">
        <f aca="false">Sens!E10204/Sens!E10197</f>
        <v>0.467808184089272</v>
      </c>
      <c r="F10206" s="7" t="n">
        <f aca="false">Sens!F10204/Sens!F10197</f>
        <v>0.442596753358764</v>
      </c>
      <c r="G10206" s="7" t="n">
        <f aca="false">Sens!G10204/Sens!G10197</f>
        <v>0.416138931351742</v>
      </c>
      <c r="H10206" s="7" t="n">
        <f aca="false">Sens!H10204/Sens!H10197</f>
        <v>0.394771439855999</v>
      </c>
      <c r="I10206" s="7" t="n">
        <f aca="false">Sens!I10204/Sens!I10197</f>
        <v>0.381022788607964</v>
      </c>
      <c r="J10206" s="7" t="n">
        <f aca="false">Sens!J10204/Sens!J10197</f>
        <v>0.375028129267874</v>
      </c>
      <c r="K10206" s="7" t="n">
        <f aca="false">Sens!K10204/Sens!K10197</f>
        <v>0.374868827453222</v>
      </c>
    </row>
    <row r="10207" customFormat="false" ht="17.15" hidden="false" customHeight="false" outlineLevel="0" collapsed="false">
      <c r="A10207" s="1" t="s">
        <v>916</v>
      </c>
      <c r="B10207" s="0" t="s">
        <v>98</v>
      </c>
      <c r="F10207" s="6" t="n">
        <f aca="false">Sens!F10222</f>
        <v>9.29892047395526</v>
      </c>
      <c r="G10207" s="6" t="n">
        <f aca="false">Sens!G10222</f>
        <v>23.9346303607031</v>
      </c>
      <c r="H10207" s="6" t="n">
        <f aca="false">Sens!H10222</f>
        <v>40.1043191979728</v>
      </c>
      <c r="I10207" s="6" t="n">
        <f aca="false">Sens!I10222</f>
        <v>54.9360183203111</v>
      </c>
      <c r="J10207" s="6" t="n">
        <f aca="false">Sens!J10222</f>
        <v>65.4555422613168</v>
      </c>
      <c r="K10207" s="6" t="n">
        <f aca="false">Sens!K10222</f>
        <v>71.4992160033785</v>
      </c>
      <c r="L10207" s="1" t="s">
        <v>917</v>
      </c>
    </row>
    <row r="10208" customFormat="false" ht="17.15" hidden="false" customHeight="false" outlineLevel="0" collapsed="false">
      <c r="A10208" s="1" t="s">
        <v>918</v>
      </c>
      <c r="B10208" s="0" t="s">
        <v>98</v>
      </c>
      <c r="D10208" s="6" t="n">
        <f aca="false">Sens!D10204</f>
        <v>128.528</v>
      </c>
      <c r="E10208" s="6" t="n">
        <f aca="false">Sens!E10204</f>
        <v>155.237</v>
      </c>
      <c r="F10208" s="6" t="n">
        <f aca="false">Sens!F10204+Sens!F10207</f>
        <v>186.010913731023</v>
      </c>
      <c r="G10208" s="6" t="n">
        <f aca="false">Sens!G10204+Sens!G10207</f>
        <v>221.511463145181</v>
      </c>
      <c r="H10208" s="6" t="n">
        <f aca="false">Sens!H10204+Sens!H10207</f>
        <v>258.012370982834</v>
      </c>
      <c r="I10208" s="6" t="n">
        <f aca="false">Sens!I10204+Sens!I10207</f>
        <v>292.334295211208</v>
      </c>
      <c r="J10208" s="6" t="n">
        <f aca="false">Sens!J10204+Sens!J10207</f>
        <v>321.019837943817</v>
      </c>
      <c r="K10208" s="6" t="n">
        <f aca="false">Sens!K10204+Sens!K10207</f>
        <v>344.722994373304</v>
      </c>
    </row>
    <row r="10209" customFormat="false" ht="17.15" hidden="false" customHeight="false" outlineLevel="0" collapsed="false">
      <c r="A10209" s="1" t="s">
        <v>919</v>
      </c>
      <c r="B10209" s="0" t="s">
        <v>98</v>
      </c>
      <c r="E10209" s="6" t="n">
        <f aca="false">Sens!E10152</f>
        <v>16.3054059770833</v>
      </c>
      <c r="F10209" s="6" t="n">
        <f aca="false">Sens!F10152</f>
        <v>34.0498873809555</v>
      </c>
      <c r="G10209" s="6" t="n">
        <f aca="false">Sens!G10152</f>
        <v>59.1254371105111</v>
      </c>
      <c r="H10209" s="6" t="n">
        <f aca="false">Sens!H10152</f>
        <v>86.3610198433111</v>
      </c>
      <c r="I10209" s="6" t="n">
        <f aca="false">Sens!I10152</f>
        <v>110.605743832393</v>
      </c>
      <c r="J10209" s="6" t="n">
        <f aca="false">Sens!J10152</f>
        <v>127.998322852843</v>
      </c>
      <c r="K10209" s="6" t="n">
        <f aca="false">Sens!K10152</f>
        <v>139.131464044308</v>
      </c>
    </row>
    <row r="10210" customFormat="false" ht="17.15" hidden="false" customHeight="false" outlineLevel="0" collapsed="false">
      <c r="A10210" s="1" t="s">
        <v>920</v>
      </c>
      <c r="B10210" s="0" t="s">
        <v>98</v>
      </c>
      <c r="E10210" s="6" t="n">
        <f aca="false">Sens!E10234</f>
        <v>22.2285940229167</v>
      </c>
      <c r="F10210" s="6" t="n">
        <f aca="false">Sens!F10234</f>
        <v>24.3924470334783</v>
      </c>
      <c r="G10210" s="6" t="n">
        <f aca="false">Sens!G10234</f>
        <v>26.0672564714798</v>
      </c>
      <c r="H10210" s="6" t="n">
        <f aca="false">Sens!H10234</f>
        <v>28.139318938617</v>
      </c>
      <c r="I10210" s="6" t="n">
        <f aca="false">Sens!I10234</f>
        <v>30.5414125376945</v>
      </c>
      <c r="J10210" s="6" t="n">
        <f aca="false">Sens!J10234</f>
        <v>33.1897532459411</v>
      </c>
      <c r="K10210" s="6" t="n">
        <f aca="false">Sens!K10234</f>
        <v>35.9998557373135</v>
      </c>
    </row>
    <row r="10211" customFormat="false" ht="17.15" hidden="false" customHeight="false" outlineLevel="0" collapsed="false">
      <c r="A10211" s="1" t="s">
        <v>921</v>
      </c>
      <c r="B10211" s="0" t="s">
        <v>98</v>
      </c>
      <c r="D10211" s="6" t="n">
        <f aca="false">Q!L27</f>
        <v>-4.901</v>
      </c>
      <c r="E10211" s="6" t="n">
        <f aca="false">Q!M27</f>
        <v>10.697</v>
      </c>
      <c r="F10211" s="6" t="n">
        <f aca="false">oie_f</f>
        <v>-0.4</v>
      </c>
      <c r="G10211" s="6" t="n">
        <f aca="false">oie_f</f>
        <v>-0.4</v>
      </c>
      <c r="H10211" s="6" t="n">
        <f aca="false">oie_f</f>
        <v>-0.4</v>
      </c>
      <c r="I10211" s="6" t="n">
        <f aca="false">oie_f</f>
        <v>-0.4</v>
      </c>
      <c r="J10211" s="6" t="n">
        <f aca="false">oie_f</f>
        <v>-0.4</v>
      </c>
      <c r="K10211" s="6" t="n">
        <f aca="false">oie_f</f>
        <v>-0.4</v>
      </c>
      <c r="L10211" s="11" t="s">
        <v>922</v>
      </c>
    </row>
    <row r="10212" customFormat="false" ht="15" hidden="false" customHeight="false" outlineLevel="0" collapsed="false">
      <c r="A10212" s="1" t="s">
        <v>923</v>
      </c>
      <c r="B10212" s="0" t="s">
        <v>98</v>
      </c>
      <c r="D10212" s="6" t="n">
        <f aca="false">Sens!D10204+Sens!D10211</f>
        <v>123.627</v>
      </c>
      <c r="E10212" s="6" t="n">
        <f aca="false">Sens!E10204+Sens!E10211</f>
        <v>165.934</v>
      </c>
      <c r="F10212" s="6" t="n">
        <f aca="false">Sens!F10204+Sens!F10211</f>
        <v>176.311993257067</v>
      </c>
      <c r="G10212" s="6" t="n">
        <f aca="false">Sens!G10204+Sens!G10211</f>
        <v>197.176832784478</v>
      </c>
      <c r="H10212" s="6" t="n">
        <f aca="false">Sens!H10204+Sens!H10211</f>
        <v>217.508051784862</v>
      </c>
      <c r="I10212" s="6" t="n">
        <f aca="false">Sens!I10204+Sens!I10211</f>
        <v>236.998276890897</v>
      </c>
      <c r="J10212" s="6" t="n">
        <f aca="false">Sens!J10204+Sens!J10211</f>
        <v>255.1642956825</v>
      </c>
      <c r="K10212" s="6" t="n">
        <f aca="false">Sens!K10204+Sens!K10211</f>
        <v>272.823778369925</v>
      </c>
    </row>
    <row r="10213" customFormat="false" ht="15" hidden="false" customHeight="false" outlineLevel="0" collapsed="false">
      <c r="A10213" s="1" t="s">
        <v>924</v>
      </c>
      <c r="B10213" s="0" t="s">
        <v>98</v>
      </c>
      <c r="D10213" s="6" t="n">
        <f aca="false">Q!L29</f>
        <v>21.795</v>
      </c>
      <c r="E10213" s="6" t="n">
        <f aca="false">Q!M29</f>
        <v>32.185</v>
      </c>
      <c r="F10213" s="6" t="n">
        <f aca="false">Sens!F10212*tax_f</f>
        <v>35.2623986514135</v>
      </c>
      <c r="G10213" s="6" t="n">
        <f aca="false">Sens!G10212*tax_f</f>
        <v>39.4353665568956</v>
      </c>
      <c r="H10213" s="6" t="n">
        <f aca="false">Sens!H10212*tax_f</f>
        <v>43.5016103569723</v>
      </c>
      <c r="I10213" s="6" t="n">
        <f aca="false">Sens!I10212*tax_f</f>
        <v>47.3996553781794</v>
      </c>
      <c r="J10213" s="6" t="n">
        <f aca="false">Sens!J10212*tax_f</f>
        <v>51.0328591365001</v>
      </c>
      <c r="K10213" s="6" t="n">
        <f aca="false">Sens!K10212*tax_f</f>
        <v>54.564755673985</v>
      </c>
    </row>
    <row r="10214" customFormat="false" ht="15" hidden="false" customHeight="false" outlineLevel="0" collapsed="false">
      <c r="A10214" s="1" t="s">
        <v>925</v>
      </c>
      <c r="B10214" s="0" t="s">
        <v>98</v>
      </c>
      <c r="D10214" s="6" t="n">
        <f aca="false">Sens!D10212-Sens!D10213</f>
        <v>101.832</v>
      </c>
      <c r="E10214" s="6" t="n">
        <f aca="false">Sens!E10212-Sens!E10213</f>
        <v>133.749</v>
      </c>
      <c r="F10214" s="6" t="n">
        <f aca="false">Sens!F10212-Sens!F10213</f>
        <v>141.049594605654</v>
      </c>
      <c r="G10214" s="6" t="n">
        <f aca="false">Sens!G10212-Sens!G10213</f>
        <v>157.741466227582</v>
      </c>
      <c r="H10214" s="6" t="n">
        <f aca="false">Sens!H10212-Sens!H10213</f>
        <v>174.006441427889</v>
      </c>
      <c r="I10214" s="6" t="n">
        <f aca="false">Sens!I10212-Sens!I10213</f>
        <v>189.598621512717</v>
      </c>
      <c r="J10214" s="6" t="n">
        <f aca="false">Sens!J10212-Sens!J10213</f>
        <v>204.131436546</v>
      </c>
      <c r="K10214" s="6" t="n">
        <f aca="false">Sens!K10212-Sens!K10213</f>
        <v>218.25902269594</v>
      </c>
    </row>
    <row r="10215" customFormat="false" ht="17.15" hidden="false" customHeight="false" outlineLevel="0" collapsed="false">
      <c r="A10215" s="1" t="s">
        <v>926</v>
      </c>
      <c r="B10215" s="1" t="s">
        <v>81</v>
      </c>
      <c r="D10215" s="14" t="n">
        <f aca="false">Q!L31</f>
        <v>7.465</v>
      </c>
      <c r="E10215" s="14" t="n">
        <f aca="false">Q!M31</f>
        <v>7.453</v>
      </c>
      <c r="F10215" s="14" t="n">
        <f aca="false">Sens!F10258</f>
        <v>7.4735</v>
      </c>
      <c r="G10215" s="14" t="n">
        <f aca="false">Sens!G10258</f>
        <v>7.51815144100533</v>
      </c>
      <c r="H10215" s="14" t="n">
        <f aca="false">Sens!H10258</f>
        <v>7.5455544678606</v>
      </c>
      <c r="I10215" s="14" t="n">
        <f aca="false">Sens!I10258</f>
        <v>7.55733529986792</v>
      </c>
      <c r="J10215" s="14" t="n">
        <f aca="false">Sens!J10258</f>
        <v>7.5715768109858</v>
      </c>
      <c r="K10215" s="14" t="n">
        <f aca="false">Sens!K10258</f>
        <v>7.58809672868754</v>
      </c>
    </row>
    <row r="10216" customFormat="false" ht="17.15" hidden="false" customHeight="false" outlineLevel="0" collapsed="false">
      <c r="A10216" s="0" t="s">
        <v>927</v>
      </c>
      <c r="B10216" s="0" t="s">
        <v>75</v>
      </c>
      <c r="D10216" s="8" t="n">
        <f aca="false">Sens!D10214/Sens!D10215</f>
        <v>13.641259209645</v>
      </c>
      <c r="E10216" s="8" t="n">
        <f aca="false">Sens!E10214/Sens!E10215</f>
        <v>17.9456594659869</v>
      </c>
      <c r="F10216" s="8" t="n">
        <f aca="false">Sens!F10214/Sens!F10215</f>
        <v>18.8732982679673</v>
      </c>
      <c r="G10216" s="8" t="n">
        <f aca="false">Sens!G10214/Sens!G10215</f>
        <v>20.9814164379867</v>
      </c>
      <c r="H10216" s="8" t="n">
        <f aca="false">Sens!H10214/Sens!H10215</f>
        <v>23.0607892592982</v>
      </c>
      <c r="I10216" s="8" t="n">
        <f aca="false">Sens!I10214/Sens!I10215</f>
        <v>25.0880256055373</v>
      </c>
      <c r="J10216" s="8" t="n">
        <f aca="false">Sens!J10214/Sens!J10215</f>
        <v>26.9602279210614</v>
      </c>
      <c r="K10216" s="8" t="n">
        <f aca="false">Sens!K10214/Sens!K10215</f>
        <v>28.7633421791779</v>
      </c>
      <c r="L10216" s="1" t="s">
        <v>928</v>
      </c>
    </row>
    <row r="10217" customFormat="false" ht="17.15" hidden="false" customHeight="false" outlineLevel="0" collapsed="false">
      <c r="A10217" s="1" t="s">
        <v>929</v>
      </c>
      <c r="B10217" s="0" t="s">
        <v>98</v>
      </c>
      <c r="D10217" s="6" t="n">
        <f aca="false">Sens!D10214</f>
        <v>101.832</v>
      </c>
      <c r="E10217" s="6" t="n">
        <f aca="false">Sens!E10214</f>
        <v>133.749</v>
      </c>
      <c r="F10217" s="6" t="n">
        <f aca="false">Sens!F10214+Sens!F10207*(1-tax_f)</f>
        <v>148.488730984818</v>
      </c>
      <c r="G10217" s="6" t="n">
        <f aca="false">Sens!G10214+Sens!G10207*(1-tax_f)</f>
        <v>176.889170516145</v>
      </c>
      <c r="H10217" s="6" t="n">
        <f aca="false">Sens!H10214+Sens!H10207*(1-tax_f)</f>
        <v>206.089896786268</v>
      </c>
      <c r="I10217" s="6" t="n">
        <f aca="false">Sens!I10214+Sens!I10207*(1-tax_f)</f>
        <v>233.547436168966</v>
      </c>
      <c r="J10217" s="6" t="n">
        <f aca="false">Sens!J10214+Sens!J10207*(1-tax_f)</f>
        <v>256.495870355054</v>
      </c>
      <c r="K10217" s="6" t="n">
        <f aca="false">Sens!K10214+Sens!K10207*(1-tax_f)</f>
        <v>275.458395498643</v>
      </c>
    </row>
    <row r="10218" customFormat="false" ht="17.15" hidden="false" customHeight="false" outlineLevel="0" collapsed="false">
      <c r="A10218" s="0" t="s">
        <v>930</v>
      </c>
      <c r="B10218" s="0" t="s">
        <v>75</v>
      </c>
      <c r="D10218" s="8" t="n">
        <f aca="false">Sens!D10217/Sens!D10215</f>
        <v>13.641259209645</v>
      </c>
      <c r="E10218" s="8" t="n">
        <f aca="false">Sens!E10217/Sens!E10215</f>
        <v>17.9456594659869</v>
      </c>
      <c r="F10218" s="8" t="n">
        <f aca="false">Sens!F10217/Sens!F10215</f>
        <v>19.868700205368</v>
      </c>
      <c r="G10218" s="8" t="n">
        <f aca="false">Sens!G10217/Sens!G10215</f>
        <v>23.5282797778401</v>
      </c>
      <c r="H10218" s="8" t="n">
        <f aca="false">Sens!H10217/Sens!H10215</f>
        <v>27.3127571557641</v>
      </c>
      <c r="I10218" s="8" t="n">
        <f aca="false">Sens!I10217/Sens!I10215</f>
        <v>30.9034106470105</v>
      </c>
      <c r="J10218" s="8" t="n">
        <f aca="false">Sens!J10217/Sens!J10215</f>
        <v>33.8761498110799</v>
      </c>
      <c r="K10218" s="8" t="n">
        <f aca="false">Sens!K10217/Sens!K10215</f>
        <v>36.3013816702211</v>
      </c>
      <c r="L10218" s="1" t="s">
        <v>931</v>
      </c>
    </row>
    <row r="10219" customFormat="false" ht="17.15" hidden="false" customHeight="false" outlineLevel="0" collapsed="false">
      <c r="A10219" s="0" t="s">
        <v>932</v>
      </c>
      <c r="B10219" s="0" t="s">
        <v>129</v>
      </c>
      <c r="E10219" s="7" t="n">
        <f aca="false">Sens!E10218/Sens!D10218-1</f>
        <v>0.315542736208578</v>
      </c>
      <c r="F10219" s="7" t="n">
        <f aca="false">Sens!F10218/Sens!E10218-1</f>
        <v>0.107159101231471</v>
      </c>
      <c r="G10219" s="7" t="n">
        <f aca="false">Sens!G10218/Sens!F10218-1</f>
        <v>0.184188172082003</v>
      </c>
      <c r="H10219" s="7" t="n">
        <f aca="false">Sens!H10218/Sens!G10218-1</f>
        <v>0.160848026870558</v>
      </c>
      <c r="I10219" s="7" t="n">
        <f aca="false">Sens!I10218/Sens!H10218-1</f>
        <v>0.131464336272202</v>
      </c>
      <c r="J10219" s="7" t="n">
        <f aca="false">Sens!J10218/Sens!I10218-1</f>
        <v>0.0961945332838858</v>
      </c>
      <c r="K10219" s="7" t="n">
        <f aca="false">Sens!K10218/Sens!J10218-1</f>
        <v>0.0715911304167154</v>
      </c>
    </row>
    <row r="10220" customFormat="false" ht="17.15" hidden="false" customHeight="false" outlineLevel="0" collapsed="false">
      <c r="A10220" s="0" t="s">
        <v>856</v>
      </c>
      <c r="B10220" s="0" t="s">
        <v>98</v>
      </c>
      <c r="E10220" s="6" t="n">
        <f aca="false">Sens!E10161</f>
        <v>5.25</v>
      </c>
      <c r="F10220" s="6" t="n">
        <f aca="false">Sens!F10161</f>
        <v>12</v>
      </c>
      <c r="G10220" s="6" t="n">
        <f aca="false">Sens!G10161</f>
        <v>18</v>
      </c>
      <c r="H10220" s="6" t="n">
        <f aca="false">Sens!H10161</f>
        <v>24</v>
      </c>
      <c r="I10220" s="6" t="n">
        <f aca="false">Sens!I10161</f>
        <v>28.5</v>
      </c>
      <c r="J10220" s="6" t="n">
        <f aca="false">Sens!J10161</f>
        <v>31.5</v>
      </c>
      <c r="K10220" s="6" t="n">
        <f aca="false">Sens!K10161</f>
        <v>34.5</v>
      </c>
    </row>
    <row r="10221" customFormat="false" ht="17.15" hidden="false" customHeight="false" outlineLevel="0" collapsed="false">
      <c r="A10221" s="1" t="s">
        <v>857</v>
      </c>
      <c r="B10221" s="0" t="s">
        <v>98</v>
      </c>
      <c r="F10221" s="6" t="n">
        <f aca="false">MAX(0,((Sens!E10124+Sens!F10124)/2-(shadow_base*(Sens!$D$10124+Sens!$E$10124)/2+(1-shadow_base)*Sens!$E$10124))*Sens!F10132/1000-(Sens!F10220-Sens!$E$10220)*Sens!F10200)</f>
        <v>9.29892047395526</v>
      </c>
      <c r="G10221" s="6" t="n">
        <f aca="false">MAX(0,((Sens!F10124+Sens!G10124)/2-(shadow_base*(Sens!$D$10124+Sens!$E$10124)/2+(1-shadow_base)*Sens!$E$10124))*Sens!G10132/1000-(Sens!G10220-Sens!$E$10220)*Sens!G10200)</f>
        <v>23.9346303607031</v>
      </c>
      <c r="H10221" s="6" t="n">
        <f aca="false">MAX(0,((Sens!G10124+Sens!H10124)/2-(shadow_base*(Sens!$D$10124+Sens!$E$10124)/2+(1-shadow_base)*Sens!$E$10124))*Sens!H10132/1000-(Sens!H10220-Sens!$E$10220)*Sens!H10200)</f>
        <v>40.1043191979728</v>
      </c>
      <c r="I10221" s="6" t="n">
        <f aca="false">MAX(0,((Sens!H10124+Sens!I10124)/2-(shadow_base*(Sens!$D$10124+Sens!$E$10124)/2+(1-shadow_base)*Sens!$E$10124))*Sens!I10132/1000-(Sens!I10220-Sens!$E$10220)*Sens!I10200)</f>
        <v>54.9360183203111</v>
      </c>
      <c r="J10221" s="6" t="n">
        <f aca="false">MAX(0,((Sens!I10124+Sens!J10124)/2-(shadow_base*(Sens!$D$10124+Sens!$E$10124)/2+(1-shadow_base)*Sens!$E$10124))*Sens!J10132/1000-(Sens!J10220-Sens!$E$10220)*Sens!J10200)</f>
        <v>65.4555422613168</v>
      </c>
      <c r="K10221" s="6" t="n">
        <f aca="false">MAX(0,((Sens!J10124+Sens!K10124)/2-(shadow_base*(Sens!$D$10124+Sens!$E$10124)/2+(1-shadow_base)*Sens!$E$10124))*Sens!K10132/1000-(Sens!K10220-Sens!$E$10220)*Sens!K10200)</f>
        <v>71.4992160033785</v>
      </c>
      <c r="L10221" s="1" t="s">
        <v>858</v>
      </c>
    </row>
    <row r="10222" customFormat="false" ht="17.15" hidden="false" customHeight="false" outlineLevel="0" collapsed="false">
      <c r="A10222" s="1" t="s">
        <v>859</v>
      </c>
      <c r="B10222" s="0" t="s">
        <v>98</v>
      </c>
      <c r="F10222" s="6" t="n">
        <f aca="false">IF(internal_ai_reading=2,1,0)*Sens!F10221</f>
        <v>9.29892047395526</v>
      </c>
      <c r="G10222" s="6" t="n">
        <f aca="false">IF(internal_ai_reading=2,1,0)*Sens!G10221</f>
        <v>23.9346303607031</v>
      </c>
      <c r="H10222" s="6" t="n">
        <f aca="false">IF(internal_ai_reading=2,1,0)*Sens!H10221</f>
        <v>40.1043191979728</v>
      </c>
      <c r="I10222" s="6" t="n">
        <f aca="false">IF(internal_ai_reading=2,1,0)*Sens!I10221</f>
        <v>54.9360183203111</v>
      </c>
      <c r="J10222" s="6" t="n">
        <f aca="false">IF(internal_ai_reading=2,1,0)*Sens!J10221</f>
        <v>65.4555422613168</v>
      </c>
      <c r="K10222" s="6" t="n">
        <f aca="false">IF(internal_ai_reading=2,1,0)*Sens!K10221</f>
        <v>71.4992160033785</v>
      </c>
    </row>
    <row r="10223" customFormat="false" ht="17.15" hidden="false" customHeight="false" outlineLevel="0" collapsed="false">
      <c r="A10223" s="0" t="s">
        <v>860</v>
      </c>
      <c r="B10223" s="0" t="s">
        <v>98</v>
      </c>
      <c r="F10223" s="6" t="n">
        <f aca="false">Sens!F10141+Sens!F10220*Sens!F10200+Sens!F10222-Sens!F10142-Sens!F10152</f>
        <v>15.0270315022233</v>
      </c>
      <c r="G10223" s="6" t="n">
        <f aca="false">Sens!G10141+Sens!G10220*Sens!G10200+Sens!G10222-Sens!G10142-Sens!G10152</f>
        <v>30.8545489496424</v>
      </c>
      <c r="H10223" s="6" t="n">
        <f aca="false">Sens!H10141+Sens!H10220*Sens!H10200+Sens!H10222-Sens!H10142-Sens!H10152</f>
        <v>47.4024902575898</v>
      </c>
      <c r="I10223" s="6" t="n">
        <f aca="false">Sens!I10141+Sens!I10220*Sens!I10200+Sens!I10222-Sens!I10142-Sens!I10152</f>
        <v>62.1817971739404</v>
      </c>
      <c r="J10223" s="6" t="n">
        <f aca="false">Sens!J10141+Sens!J10220*Sens!J10200+Sens!J10222-Sens!J10142-Sens!J10152</f>
        <v>72.5050518947332</v>
      </c>
      <c r="K10223" s="6" t="n">
        <f aca="false">Sens!K10141+Sens!K10220*Sens!K10200+Sens!K10222-Sens!K10142-Sens!K10152</f>
        <v>79.8210980571165</v>
      </c>
    </row>
    <row r="10224" customFormat="false" ht="17.15" hidden="false" customHeight="false" outlineLevel="0" collapsed="false">
      <c r="A10224" s="0" t="s">
        <v>861</v>
      </c>
      <c r="B10224" s="0" t="s">
        <v>98</v>
      </c>
      <c r="E10224" s="6" t="n">
        <f aca="false">Sens!E10123*(cxit_open+self_build*tk_cxfac)/1000*ai_net_open</f>
        <v>126.6980382</v>
      </c>
      <c r="F10224" s="6" t="n">
        <f aca="false">Sens!E10224+Sens!F10149-Sens!F10152</f>
        <v>252.981026690511</v>
      </c>
      <c r="G10224" s="6" t="n">
        <f aca="false">Sens!F10224+Sens!G10149-Sens!G10152</f>
        <v>377.4297700632</v>
      </c>
      <c r="H10224" s="6" t="n">
        <f aca="false">Sens!G10224+Sens!H10149-Sens!H10152</f>
        <v>479.149036130289</v>
      </c>
      <c r="I10224" s="6" t="n">
        <f aca="false">Sens!H10224+Sens!I10149-Sens!I10152</f>
        <v>532.249961452141</v>
      </c>
      <c r="J10224" s="6" t="n">
        <f aca="false">Sens!I10224+Sens!J10149-Sens!J10152</f>
        <v>531.43307519354</v>
      </c>
      <c r="K10224" s="6" t="n">
        <f aca="false">Sens!J10224+Sens!K10149-Sens!K10152</f>
        <v>513.709026452823</v>
      </c>
      <c r="L10224" s="1" t="s">
        <v>862</v>
      </c>
    </row>
    <row r="10225" customFormat="false" ht="17.15" hidden="false" customHeight="false" outlineLevel="0" collapsed="false">
      <c r="A10225" s="0" t="s">
        <v>863</v>
      </c>
      <c r="B10225" s="0" t="s">
        <v>129</v>
      </c>
      <c r="F10225" s="7" t="n">
        <f aca="false">Sens!F10223*(1-tax_f)/((Sens!E10224+Sens!F10224)/2)</f>
        <v>0.0633251938989334</v>
      </c>
      <c r="G10225" s="7" t="n">
        <f aca="false">Sens!G10223*(1-tax_f)/((Sens!F10224+Sens!G10224)/2)</f>
        <v>0.0783096967463813</v>
      </c>
      <c r="H10225" s="7" t="n">
        <f aca="false">Sens!H10223*(1-tax_f)/((Sens!G10224+Sens!H10224)/2)</f>
        <v>0.0885429149819656</v>
      </c>
      <c r="I10225" s="7" t="n">
        <f aca="false">Sens!I10223*(1-tax_f)/((Sens!H10224+Sens!I10224)/2)</f>
        <v>0.0983695610892634</v>
      </c>
      <c r="J10225" s="7" t="n">
        <f aca="false">Sens!J10223*(1-tax_f)/((Sens!I10224+Sens!J10224)/2)</f>
        <v>0.109062642756252</v>
      </c>
      <c r="K10225" s="7" t="n">
        <f aca="false">Sens!K10223*(1-tax_f)/((Sens!J10224+Sens!K10224)/2)</f>
        <v>0.122197504712713</v>
      </c>
    </row>
    <row r="10226" customFormat="false" ht="17.15" hidden="false" customHeight="false" outlineLevel="0" collapsed="false">
      <c r="A10226" s="1" t="s">
        <v>864</v>
      </c>
      <c r="B10226" s="0" t="s">
        <v>129</v>
      </c>
      <c r="F10226" s="7" t="n">
        <f aca="false">(Sens!F10223-Sens!F10222)*(1-tax_f)/((Sens!E10224+Sens!F10224)/2)</f>
        <v>0.0241387489928418</v>
      </c>
      <c r="G10226" s="7" t="n">
        <f aca="false">(Sens!G10223-Sens!G10222)*(1-tax_f)/((Sens!F10224+Sens!G10224)/2)</f>
        <v>0.0175629443520275</v>
      </c>
      <c r="H10226" s="7" t="n">
        <f aca="false">(Sens!H10223-Sens!H10222)*(1-tax_f)/((Sens!G10224+Sens!H10224)/2)</f>
        <v>0.0136322234579658</v>
      </c>
      <c r="I10226" s="7" t="n">
        <f aca="false">(Sens!I10223-Sens!I10222)*(1-tax_f)/((Sens!H10224+Sens!I10224)/2)</f>
        <v>0.0114625841962651</v>
      </c>
      <c r="J10226" s="7" t="n">
        <f aca="false">(Sens!J10223-Sens!J10222)*(1-tax_f)/((Sens!I10224+Sens!J10224)/2)</f>
        <v>0.0106039252529919</v>
      </c>
      <c r="K10226" s="7" t="n">
        <f aca="false">(Sens!K10223-Sens!K10222)*(1-tax_f)/((Sens!J10224+Sens!K10224)/2)</f>
        <v>0.0127399051908886</v>
      </c>
    </row>
    <row r="10227" customFormat="false" ht="17.15" hidden="false" customHeight="false" outlineLevel="0" collapsed="false">
      <c r="A10227" s="1" t="s">
        <v>865</v>
      </c>
      <c r="B10227" s="0" t="s">
        <v>129</v>
      </c>
      <c r="F10227" s="7" t="n">
        <f aca="false">(Sens!F10223-Sens!F10222+Sens!F10221)*(1-tax_f)/((Sens!E10224+Sens!F10224)/2)</f>
        <v>0.0633251938989334</v>
      </c>
      <c r="G10227" s="7" t="n">
        <f aca="false">(Sens!G10223-Sens!G10222+Sens!G10221)*(1-tax_f)/((Sens!F10224+Sens!G10224)/2)</f>
        <v>0.0783096967463813</v>
      </c>
      <c r="H10227" s="7" t="n">
        <f aca="false">(Sens!H10223-Sens!H10222+Sens!H10221)*(1-tax_f)/((Sens!G10224+Sens!H10224)/2)</f>
        <v>0.0885429149819656</v>
      </c>
      <c r="I10227" s="7" t="n">
        <f aca="false">(Sens!I10223-Sens!I10222+Sens!I10221)*(1-tax_f)/((Sens!H10224+Sens!I10224)/2)</f>
        <v>0.0983695610892634</v>
      </c>
      <c r="J10227" s="7" t="n">
        <f aca="false">(Sens!J10223-Sens!J10222+Sens!J10221)*(1-tax_f)/((Sens!I10224+Sens!J10224)/2)</f>
        <v>0.109062642756252</v>
      </c>
      <c r="K10227" s="7" t="n">
        <f aca="false">(Sens!K10223-Sens!K10222+Sens!K10221)*(1-tax_f)/((Sens!J10224+Sens!K10224)/2)</f>
        <v>0.122197504712713</v>
      </c>
    </row>
    <row r="10228" customFormat="false" ht="17.15" hidden="false" customHeight="false" outlineLevel="0" collapsed="false">
      <c r="A10228" s="1" t="s">
        <v>866</v>
      </c>
      <c r="B10228" s="0" t="s">
        <v>129</v>
      </c>
      <c r="F10228" s="7" t="n">
        <f aca="false">Sens!F10153*(1-tax_f)/(Sens!F10140*(Sens!E10224+Sens!F10224)/2)</f>
        <v>0.133653288300971</v>
      </c>
      <c r="G10228" s="7" t="n">
        <f aca="false">Sens!G10153*(1-tax_f)/(Sens!G10140*(Sens!F10224+Sens!G10224)/2)</f>
        <v>0.131459221834535</v>
      </c>
      <c r="H10228" s="7" t="n">
        <f aca="false">Sens!H10153*(1-tax_f)/(Sens!H10140*(Sens!G10224+Sens!H10224)/2)</f>
        <v>0.135120575835084</v>
      </c>
      <c r="I10228" s="7" t="n">
        <f aca="false">Sens!I10153*(1-tax_f)/(Sens!I10140*(Sens!H10224+Sens!I10224)/2)</f>
        <v>0.143323969665222</v>
      </c>
      <c r="J10228" s="7" t="n">
        <f aca="false">Sens!J10153*(1-tax_f)/(Sens!J10140*(Sens!I10224+Sens!J10224)/2)</f>
        <v>0.155570128388075</v>
      </c>
      <c r="K10228" s="7" t="n">
        <f aca="false">Sens!K10153*(1-tax_f)/(Sens!K10140*(Sens!J10224+Sens!K10224)/2)</f>
        <v>0.172427697111622</v>
      </c>
    </row>
    <row r="10229" customFormat="false" ht="17.15" hidden="false" customHeight="false" outlineLevel="0" collapsed="false">
      <c r="A10229" s="0" t="s">
        <v>867</v>
      </c>
      <c r="B10229" s="0" t="s">
        <v>209</v>
      </c>
      <c r="F10229" s="7" t="n">
        <f aca="false">Sens!F10225-wacc</f>
        <v>-0.0396092261939423</v>
      </c>
      <c r="G10229" s="7" t="n">
        <f aca="false">Sens!G10225-wacc</f>
        <v>-0.0246247233464944</v>
      </c>
      <c r="H10229" s="7" t="n">
        <f aca="false">Sens!H10225-wacc</f>
        <v>-0.0143915051109101</v>
      </c>
      <c r="I10229" s="7" t="n">
        <f aca="false">Sens!I10225-wacc</f>
        <v>-0.00456485900361238</v>
      </c>
      <c r="J10229" s="7" t="n">
        <f aca="false">Sens!J10225-wacc</f>
        <v>0.00612822266337605</v>
      </c>
      <c r="K10229" s="7" t="n">
        <f aca="false">Sens!K10225-wacc</f>
        <v>0.0192630846198374</v>
      </c>
    </row>
    <row r="10230" customFormat="false" ht="17.15" hidden="false" customHeight="false" outlineLevel="0" collapsed="false">
      <c r="A10230" s="0" t="s">
        <v>868</v>
      </c>
      <c r="B10230" s="0" t="s">
        <v>98</v>
      </c>
      <c r="F10230" s="6" t="n">
        <f aca="false">Sens!F10223*(1-tax_f)-wacc*(Sens!E10224+Sens!F10224)/2</f>
        <v>-7.51939698117638</v>
      </c>
      <c r="G10230" s="6" t="n">
        <f aca="false">Sens!G10223*(1-tax_f)-wacc*(Sens!F10224+Sens!G10224)/2</f>
        <v>-7.76184573235162</v>
      </c>
      <c r="H10230" s="6" t="n">
        <f aca="false">Sens!H10223*(1-tax_f)-wacc*(Sens!G10224+Sens!H10224)/2</f>
        <v>-6.16372913361546</v>
      </c>
      <c r="I10230" s="6" t="n">
        <f aca="false">Sens!I10223*(1-tax_f)-wacc*(Sens!H10224+Sens!I10224)/2</f>
        <v>-2.30844691017934</v>
      </c>
      <c r="J10230" s="6" t="n">
        <f aca="false">Sens!J10223*(1-tax_f)-wacc*(Sens!I10224+Sens!J10224)/2</f>
        <v>3.25924324591036</v>
      </c>
      <c r="K10230" s="6" t="n">
        <f aca="false">Sens!K10223*(1-tax_f)-wacc*(Sens!J10224+Sens!K10224)/2</f>
        <v>10.0663303718843</v>
      </c>
    </row>
    <row r="10231" customFormat="false" ht="17.15" hidden="false" customHeight="false" outlineLevel="0" collapsed="false">
      <c r="A10231" s="3" t="s">
        <v>1525</v>
      </c>
    </row>
    <row r="10232" customFormat="false" ht="15" hidden="false" customHeight="false" outlineLevel="0" collapsed="false">
      <c r="A10232" s="4" t="s">
        <v>43</v>
      </c>
      <c r="B10232" s="4" t="s">
        <v>65</v>
      </c>
      <c r="C10232" s="20" t="s">
        <v>799</v>
      </c>
      <c r="D10232" s="20" t="s">
        <v>800</v>
      </c>
      <c r="E10232" s="20" t="s">
        <v>801</v>
      </c>
      <c r="F10232" s="20" t="s">
        <v>802</v>
      </c>
      <c r="G10232" s="20" t="s">
        <v>803</v>
      </c>
      <c r="H10232" s="20" t="s">
        <v>804</v>
      </c>
      <c r="I10232" s="20" t="s">
        <v>805</v>
      </c>
      <c r="J10232" s="20" t="s">
        <v>806</v>
      </c>
      <c r="K10232" s="20" t="s">
        <v>807</v>
      </c>
      <c r="L10232" s="4" t="s">
        <v>47</v>
      </c>
    </row>
    <row r="10233" customFormat="false" ht="15" hidden="false" customHeight="false" outlineLevel="0" collapsed="false">
      <c r="A10233" s="1" t="s">
        <v>925</v>
      </c>
      <c r="B10233" s="0" t="s">
        <v>98</v>
      </c>
      <c r="F10233" s="6" t="n">
        <f aca="false">Sens!F10214</f>
        <v>141.049594605654</v>
      </c>
      <c r="G10233" s="6" t="n">
        <f aca="false">Sens!G10214</f>
        <v>157.741466227582</v>
      </c>
      <c r="H10233" s="6" t="n">
        <f aca="false">Sens!H10214</f>
        <v>174.006441427889</v>
      </c>
      <c r="I10233" s="6" t="n">
        <f aca="false">Sens!I10214</f>
        <v>189.598621512717</v>
      </c>
      <c r="J10233" s="6" t="n">
        <f aca="false">Sens!J10214</f>
        <v>204.131436546</v>
      </c>
      <c r="K10233" s="6" t="n">
        <f aca="false">Sens!K10214</f>
        <v>218.25902269594</v>
      </c>
    </row>
    <row r="10234" customFormat="false" ht="17.15" hidden="false" customHeight="false" outlineLevel="0" collapsed="false">
      <c r="A10234" s="1" t="s">
        <v>947</v>
      </c>
      <c r="B10234" s="0" t="s">
        <v>98</v>
      </c>
      <c r="E10234" s="6" t="n">
        <f aca="false">Q!M38-Sens!E10152</f>
        <v>22.2285940229167</v>
      </c>
      <c r="F10234" s="6" t="n">
        <f aca="false">Sens!E10234*(1-1/life_nonai)+(Sens!F10241+Sens!F10242)/life_nonai</f>
        <v>24.3924470334783</v>
      </c>
      <c r="G10234" s="6" t="n">
        <f aca="false">Sens!F10234*(1-1/life_nonai)+(Sens!G10241)/life_nonai</f>
        <v>26.0672564714798</v>
      </c>
      <c r="H10234" s="6" t="n">
        <f aca="false">Sens!G10234*(1-1/life_nonai)+(Sens!H10241)/life_nonai</f>
        <v>28.139318938617</v>
      </c>
      <c r="I10234" s="6" t="n">
        <f aca="false">Sens!H10234*(1-1/life_nonai)+(Sens!I10241)/life_nonai</f>
        <v>30.5414125376945</v>
      </c>
      <c r="J10234" s="6" t="n">
        <f aca="false">Sens!I10234*(1-1/life_nonai)+(Sens!J10241)/life_nonai</f>
        <v>33.1897532459411</v>
      </c>
      <c r="K10234" s="6" t="n">
        <f aca="false">Sens!J10234*(1-1/life_nonai)+(Sens!K10241)/life_nonai</f>
        <v>35.9998557373135</v>
      </c>
      <c r="L10234" s="11" t="s">
        <v>948</v>
      </c>
    </row>
    <row r="10235" customFormat="false" ht="17.15" hidden="false" customHeight="false" outlineLevel="0" collapsed="false">
      <c r="A10235" s="1" t="s">
        <v>949</v>
      </c>
      <c r="B10235" s="0" t="s">
        <v>98</v>
      </c>
      <c r="F10235" s="6" t="n">
        <f aca="false">Sens!$F$10242/life_nonai*(1-1/life_nonai)^(Sens!F10118-2027)</f>
        <v>0.829213489897089</v>
      </c>
      <c r="G10235" s="6" t="n">
        <f aca="false">Sens!$F$10242/life_nonai*(1-1/life_nonai)^(Sens!G10118-2027)</f>
        <v>0.74629214090738</v>
      </c>
      <c r="H10235" s="6" t="n">
        <f aca="false">Sens!$F$10242/life_nonai*(1-1/life_nonai)^(Sens!H10118-2027)</f>
        <v>0.671662926816642</v>
      </c>
      <c r="I10235" s="6" t="n">
        <f aca="false">Sens!$F$10242/life_nonai*(1-1/life_nonai)^(Sens!I10118-2027)</f>
        <v>0.604496634134978</v>
      </c>
      <c r="J10235" s="6" t="n">
        <f aca="false">Sens!$F$10242/life_nonai*(1-1/life_nonai)^(Sens!J10118-2027)</f>
        <v>0.54404697072148</v>
      </c>
      <c r="K10235" s="6" t="n">
        <f aca="false">Sens!$F$10242/life_nonai*(1-1/life_nonai)^(Sens!K10118-2027)</f>
        <v>0.489642273649332</v>
      </c>
      <c r="L10235" s="1" t="s">
        <v>950</v>
      </c>
    </row>
    <row r="10236" customFormat="false" ht="17.15" hidden="false" customHeight="false" outlineLevel="0" collapsed="false">
      <c r="A10236" s="1" t="s">
        <v>951</v>
      </c>
      <c r="B10236" s="0" t="s">
        <v>98</v>
      </c>
      <c r="E10236" s="6" t="n">
        <f aca="false">Sens!E10152+Sens!E10234</f>
        <v>38.534</v>
      </c>
      <c r="F10236" s="6" t="n">
        <f aca="false">Sens!F10152+Sens!F10234</f>
        <v>58.4423344144339</v>
      </c>
      <c r="G10236" s="6" t="n">
        <f aca="false">Sens!G10152+Sens!G10234</f>
        <v>85.1926935819909</v>
      </c>
      <c r="H10236" s="6" t="n">
        <f aca="false">Sens!H10152+Sens!H10234</f>
        <v>114.500338781928</v>
      </c>
      <c r="I10236" s="6" t="n">
        <f aca="false">Sens!I10152+Sens!I10234</f>
        <v>141.147156370087</v>
      </c>
      <c r="J10236" s="6" t="n">
        <f aca="false">Sens!J10152+Sens!J10234</f>
        <v>161.188076098784</v>
      </c>
      <c r="K10236" s="6" t="n">
        <f aca="false">Sens!K10152+Sens!K10234</f>
        <v>175.131319781622</v>
      </c>
    </row>
    <row r="10237" customFormat="false" ht="17.15" hidden="false" customHeight="false" outlineLevel="0" collapsed="false">
      <c r="A10237" s="1" t="s">
        <v>952</v>
      </c>
      <c r="B10237" s="0" t="s">
        <v>98</v>
      </c>
      <c r="F10237" s="6" t="n">
        <f aca="false">Sens!F10179*sbc_r</f>
        <v>14.9254400504477</v>
      </c>
      <c r="G10237" s="6" t="n">
        <f aca="false">Sens!G10179*sbc_r</f>
        <v>17.7487190289677</v>
      </c>
      <c r="H10237" s="6" t="n">
        <f aca="false">Sens!H10179*sbc_r</f>
        <v>20.6346399274275</v>
      </c>
      <c r="I10237" s="6" t="n">
        <f aca="false">Sens!I10179*sbc_r</f>
        <v>23.2914193040093</v>
      </c>
      <c r="J10237" s="6" t="n">
        <f aca="false">Sens!J10179*sbc_r</f>
        <v>25.4745005786204</v>
      </c>
      <c r="K10237" s="6" t="n">
        <f aca="false">Sens!K10179*sbc_r</f>
        <v>27.2463610753178</v>
      </c>
    </row>
    <row r="10238" customFormat="false" ht="17.15" hidden="false" customHeight="false" outlineLevel="0" collapsed="false">
      <c r="A10238" s="1" t="s">
        <v>953</v>
      </c>
      <c r="B10238" s="0" t="s">
        <v>98</v>
      </c>
      <c r="F10238" s="6" t="n">
        <f aca="false">wc27</f>
        <v>-4.895</v>
      </c>
      <c r="G10238" s="6" t="n">
        <f aca="false">wc_f</f>
        <v>0</v>
      </c>
      <c r="H10238" s="6" t="n">
        <f aca="false">wc_f</f>
        <v>0</v>
      </c>
      <c r="I10238" s="6" t="n">
        <f aca="false">wc_f</f>
        <v>0</v>
      </c>
      <c r="J10238" s="6" t="n">
        <f aca="false">wc_f</f>
        <v>0</v>
      </c>
      <c r="K10238" s="6" t="n">
        <f aca="false">wc_f</f>
        <v>0</v>
      </c>
      <c r="L10238" s="11" t="s">
        <v>954</v>
      </c>
    </row>
    <row r="10239" customFormat="false" ht="15" hidden="false" customHeight="false" outlineLevel="0" collapsed="false">
      <c r="A10239" s="1" t="s">
        <v>767</v>
      </c>
      <c r="B10239" s="0" t="s">
        <v>98</v>
      </c>
      <c r="E10239" s="6" t="n">
        <f aca="false">Q!M35</f>
        <v>182.935</v>
      </c>
      <c r="F10239" s="6" t="n">
        <f aca="false">Sens!F10233+Sens!F10236+Sens!F10237+Sens!F10238</f>
        <v>209.522369070535</v>
      </c>
      <c r="G10239" s="6" t="n">
        <f aca="false">Sens!G10233+Sens!G10236+Sens!G10237+Sens!G10238</f>
        <v>260.682878838541</v>
      </c>
      <c r="H10239" s="6" t="n">
        <f aca="false">Sens!H10233+Sens!H10236+Sens!H10237+Sens!H10238</f>
        <v>309.141420137245</v>
      </c>
      <c r="I10239" s="6" t="n">
        <f aca="false">Sens!I10233+Sens!I10236+Sens!I10237+Sens!I10238</f>
        <v>354.037197186814</v>
      </c>
      <c r="J10239" s="6" t="n">
        <f aca="false">Sens!J10233+Sens!J10236+Sens!J10237+Sens!J10238</f>
        <v>390.794013223405</v>
      </c>
      <c r="K10239" s="6" t="n">
        <f aca="false">Sens!K10233+Sens!K10236+Sens!K10237+Sens!K10238</f>
        <v>420.63670355288</v>
      </c>
    </row>
    <row r="10240" customFormat="false" ht="17.15" hidden="false" customHeight="false" outlineLevel="0" collapsed="false">
      <c r="A10240" s="0" t="s">
        <v>955</v>
      </c>
      <c r="B10240" s="0" t="s">
        <v>98</v>
      </c>
      <c r="F10240" s="6" t="n">
        <f aca="false">Sens!F10149</f>
        <v>160.332875871467</v>
      </c>
      <c r="G10240" s="6" t="n">
        <f aca="false">Sens!G10149</f>
        <v>183.5741804832</v>
      </c>
      <c r="H10240" s="6" t="n">
        <f aca="false">Sens!H10149</f>
        <v>188.0802859104</v>
      </c>
      <c r="I10240" s="6" t="n">
        <f aca="false">Sens!I10149</f>
        <v>163.706669154245</v>
      </c>
      <c r="J10240" s="6" t="n">
        <f aca="false">Sens!J10149</f>
        <v>127.181436594242</v>
      </c>
      <c r="K10240" s="6" t="n">
        <f aca="false">Sens!K10149</f>
        <v>121.407415303591</v>
      </c>
    </row>
    <row r="10241" customFormat="false" ht="17.15" hidden="false" customHeight="false" outlineLevel="0" collapsed="false">
      <c r="A10241" s="1" t="s">
        <v>956</v>
      </c>
      <c r="B10241" s="0" t="s">
        <v>98</v>
      </c>
      <c r="E10241" s="6" t="n">
        <f aca="false">Sens!E10157*cx_azo+Sens!E10164*cx_m365+Sens!E10165*cx_lic+(Sens!E10167+Sens!E10169)*cx_ind+Sens!E10172*cx_srch+(Sens!E10174+Sens!E10176)*cx_dev</f>
        <v>30.1846587067718</v>
      </c>
      <c r="F10241" s="6" t="n">
        <f aca="false">Sens!F10157*cx_azo+Sens!F10164*cx_m365+Sens!F10165*cx_lic+(Sens!F10167+Sens!F10169)*cx_ind+Sens!F10172*cx_srch+(Sens!F10174+Sens!F10176)*cx_dev</f>
        <v>35.5749892295625</v>
      </c>
      <c r="G10241" s="6" t="n">
        <f aca="false">Sens!G10157*cx_azo+Sens!G10164*cx_m365+Sens!G10165*cx_lic+(Sens!G10167+Sens!G10169)*cx_ind+Sens!G10172*cx_srch+(Sens!G10174+Sens!G10176)*cx_dev</f>
        <v>41.1405414134931</v>
      </c>
      <c r="H10241" s="6" t="n">
        <f aca="false">Sens!H10157*cx_azo+Sens!H10164*cx_m365+Sens!H10165*cx_lic+(Sens!H10167+Sens!H10169)*cx_ind+Sens!H10172*cx_srch+(Sens!H10174+Sens!H10176)*cx_dev</f>
        <v>46.7878811428518</v>
      </c>
      <c r="I10241" s="6" t="n">
        <f aca="false">Sens!I10157*cx_azo+Sens!I10164*cx_m365+Sens!I10165*cx_lic+(Sens!I10167+Sens!I10169)*cx_ind+Sens!I10172*cx_srch+(Sens!I10174+Sens!I10176)*cx_dev</f>
        <v>52.1602549293923</v>
      </c>
      <c r="J10241" s="6" t="n">
        <f aca="false">Sens!J10157*cx_azo+Sens!J10164*cx_m365+Sens!J10165*cx_lic+(Sens!J10167+Sens!J10169)*cx_ind+Sens!J10172*cx_srch+(Sens!J10174+Sens!J10176)*cx_dev</f>
        <v>57.0248196201597</v>
      </c>
      <c r="K10241" s="6" t="n">
        <f aca="false">Sens!K10157*cx_azo+Sens!K10164*cx_m365+Sens!K10165*cx_lic+(Sens!K10167+Sens!K10169)*cx_ind+Sens!K10172*cx_srch+(Sens!K10174+Sens!K10176)*cx_dev</f>
        <v>61.2907781596659</v>
      </c>
    </row>
    <row r="10242" customFormat="false" ht="17.15" hidden="false" customHeight="false" outlineLevel="0" collapsed="false">
      <c r="A10242" s="0" t="s">
        <v>957</v>
      </c>
      <c r="B10242" s="0" t="s">
        <v>98</v>
      </c>
      <c r="F10242" s="6" t="n">
        <f aca="false">Sens!F10147</f>
        <v>8.29213489897089</v>
      </c>
      <c r="L10242" s="1" t="s">
        <v>958</v>
      </c>
    </row>
    <row r="10243" customFormat="false" ht="17.15" hidden="false" customHeight="false" outlineLevel="0" collapsed="false">
      <c r="A10243" s="1" t="s">
        <v>959</v>
      </c>
      <c r="B10243" s="0" t="s">
        <v>98</v>
      </c>
      <c r="E10243" s="6" t="n">
        <f aca="false">Q!M42</f>
        <v>145.3</v>
      </c>
      <c r="F10243" s="6" t="n">
        <f aca="false">Sens!F10240+Sens!F10241+Sens!F10242</f>
        <v>204.2</v>
      </c>
      <c r="G10243" s="6" t="n">
        <f aca="false">Sens!G10240+Sens!G10241</f>
        <v>224.714721896693</v>
      </c>
      <c r="H10243" s="6" t="n">
        <f aca="false">Sens!H10240+Sens!H10241</f>
        <v>234.868167053252</v>
      </c>
      <c r="I10243" s="6" t="n">
        <f aca="false">Sens!I10240+Sens!I10241</f>
        <v>215.866924083638</v>
      </c>
      <c r="J10243" s="6" t="n">
        <f aca="false">Sens!J10240+Sens!J10241</f>
        <v>184.206256214402</v>
      </c>
      <c r="K10243" s="6" t="n">
        <f aca="false">Sens!K10240+Sens!K10241</f>
        <v>182.698193463257</v>
      </c>
      <c r="L10243" s="1" t="s">
        <v>960</v>
      </c>
    </row>
    <row r="10244" customFormat="false" ht="15" hidden="false" customHeight="false" outlineLevel="0" collapsed="false">
      <c r="A10244" s="1" t="s">
        <v>961</v>
      </c>
      <c r="B10244" s="0" t="s">
        <v>98</v>
      </c>
      <c r="E10244" s="6" t="n">
        <f aca="false">fl_liab</f>
        <v>66.594</v>
      </c>
      <c r="F10244" s="6" t="n">
        <f aca="false">Sens!E10244-Sens!F10245</f>
        <v>62.46973</v>
      </c>
      <c r="G10244" s="6" t="n">
        <f aca="false">Sens!F10244-Sens!G10245</f>
        <v>57.98686785</v>
      </c>
      <c r="H10244" s="6" t="n">
        <f aca="false">Sens!G10244-Sens!H10245</f>
        <v>53.92827690325</v>
      </c>
      <c r="I10244" s="6" t="n">
        <f aca="false">Sens!H10244-Sens!I10245</f>
        <v>49.7850493638962</v>
      </c>
      <c r="J10244" s="6" t="n">
        <f aca="false">Sens!I10244-Sens!J10245</f>
        <v>45.4823765852716</v>
      </c>
      <c r="K10244" s="6" t="n">
        <f aca="false">Sens!J10244-Sens!K10245</f>
        <v>40.9860835316088</v>
      </c>
    </row>
    <row r="10245" customFormat="false" ht="15" hidden="false" customHeight="false" outlineLevel="0" collapsed="false">
      <c r="A10245" s="1" t="s">
        <v>962</v>
      </c>
      <c r="B10245" s="0" t="s">
        <v>98</v>
      </c>
      <c r="F10245" s="6" t="n">
        <f aca="false">fl_pay_27-Sens!E10244*fl_rate</f>
        <v>4.12427</v>
      </c>
      <c r="G10245" s="6" t="n">
        <f aca="false">fl_pay_28-Sens!F10244*fl_rate</f>
        <v>4.48286215</v>
      </c>
      <c r="H10245" s="6" t="n">
        <f aca="false">fl_pay_29-Sens!G10244*fl_rate</f>
        <v>4.05859094675</v>
      </c>
      <c r="I10245" s="6" t="n">
        <f aca="false">fl_pay_30-Sens!H10244*fl_rate</f>
        <v>4.14322753935375</v>
      </c>
      <c r="J10245" s="6" t="n">
        <f aca="false">fl_pay_31-Sens!I10244*fl_rate</f>
        <v>4.30267277862467</v>
      </c>
      <c r="K10245" s="6" t="n">
        <f aca="false">fl_pay_32-Sens!J10244*fl_rate</f>
        <v>4.49629305366278</v>
      </c>
    </row>
    <row r="10246" customFormat="false" ht="17.15" hidden="false" customHeight="false" outlineLevel="0" collapsed="false">
      <c r="A10246" s="1" t="s">
        <v>963</v>
      </c>
      <c r="B10246" s="0" t="s">
        <v>98</v>
      </c>
      <c r="E10246" s="6" t="n">
        <f aca="false">Q!M35-Q!M36-Q!M43</f>
        <v>63.886</v>
      </c>
      <c r="F10246" s="6" t="n">
        <f aca="false">Sens!F10239-Sens!F10243-Sens!F10245</f>
        <v>1.19809907053536</v>
      </c>
      <c r="G10246" s="6" t="n">
        <f aca="false">Sens!G10239-Sens!G10243-Sens!G10245</f>
        <v>31.485294791848</v>
      </c>
      <c r="H10246" s="6" t="n">
        <f aca="false">Sens!H10239-Sens!H10243-Sens!H10245</f>
        <v>70.2146621372432</v>
      </c>
      <c r="I10246" s="6" t="n">
        <f aca="false">Sens!I10239-Sens!I10243-Sens!I10245</f>
        <v>134.027045563822</v>
      </c>
      <c r="J10246" s="6" t="n">
        <f aca="false">Sens!J10239-Sens!J10243-Sens!J10245</f>
        <v>202.285084230379</v>
      </c>
      <c r="K10246" s="6" t="n">
        <f aca="false">Sens!K10239-Sens!K10243-Sens!K10245</f>
        <v>233.44221703596</v>
      </c>
      <c r="L10246" s="11" t="s">
        <v>964</v>
      </c>
    </row>
    <row r="10247" customFormat="false" ht="15" hidden="false" customHeight="false" outlineLevel="0" collapsed="false">
      <c r="A10247" s="1" t="s">
        <v>965</v>
      </c>
      <c r="B10247" s="0" t="s">
        <v>75</v>
      </c>
      <c r="F10247" s="8" t="n">
        <f aca="false">dps_27</f>
        <v>3.85</v>
      </c>
      <c r="G10247" s="8" t="n">
        <f aca="false">Sens!F10247*(1+dps_g)</f>
        <v>4.158</v>
      </c>
      <c r="H10247" s="8" t="n">
        <f aca="false">Sens!G10247*(1+dps_g)</f>
        <v>4.49064</v>
      </c>
      <c r="I10247" s="8" t="n">
        <f aca="false">Sens!H10247*(1+dps_g)</f>
        <v>4.8498912</v>
      </c>
      <c r="J10247" s="8" t="n">
        <f aca="false">Sens!I10247*(1+dps_g)</f>
        <v>5.237882496</v>
      </c>
      <c r="K10247" s="8" t="n">
        <f aca="false">Sens!J10247*(1+dps_g)</f>
        <v>5.65691309568</v>
      </c>
    </row>
    <row r="10248" customFormat="false" ht="17.15" hidden="false" customHeight="false" outlineLevel="0" collapsed="false">
      <c r="A10248" s="1" t="s">
        <v>966</v>
      </c>
      <c r="B10248" s="0" t="s">
        <v>98</v>
      </c>
      <c r="E10248" s="6" t="n">
        <f aca="false">Q!M41</f>
        <v>26.445</v>
      </c>
      <c r="F10248" s="6" t="n">
        <f aca="false">Sens!F10247*Sens!E10257</f>
        <v>28.59395</v>
      </c>
      <c r="G10248" s="6" t="n">
        <f aca="false">Sens!G10247*Sens!F10257</f>
        <v>31.068576</v>
      </c>
      <c r="H10248" s="6" t="n">
        <f aca="false">Sens!H10247*Sens!G10257</f>
        <v>33.7530103740723</v>
      </c>
      <c r="I10248" s="6" t="n">
        <f aca="false">Sens!I10247*Sens!H10257</f>
        <v>36.5041904439976</v>
      </c>
      <c r="J10248" s="6" t="n">
        <f aca="false">Sens!J10247*Sens!I10257</f>
        <v>39.4929245278368</v>
      </c>
      <c r="K10248" s="6" t="n">
        <f aca="false">Sens!K10247*Sens!J10257</f>
        <v>42.7396137153688</v>
      </c>
      <c r="L10248" s="1" t="s">
        <v>967</v>
      </c>
    </row>
    <row r="10249" customFormat="false" ht="15" hidden="false" customHeight="false" outlineLevel="0" collapsed="false">
      <c r="A10249" s="1" t="s">
        <v>968</v>
      </c>
      <c r="B10249" s="0" t="s">
        <v>98</v>
      </c>
      <c r="E10249" s="6" t="n">
        <f aca="false">Sens!E10246-Sens!E10248</f>
        <v>37.441</v>
      </c>
      <c r="F10249" s="6" t="n">
        <f aca="false">Sens!F10246-Sens!F10248</f>
        <v>-27.3958509294646</v>
      </c>
      <c r="G10249" s="6" t="n">
        <f aca="false">Sens!G10246-Sens!G10248</f>
        <v>0.416718791848009</v>
      </c>
      <c r="H10249" s="6" t="n">
        <f aca="false">Sens!H10246-Sens!H10248</f>
        <v>36.4616517631709</v>
      </c>
      <c r="I10249" s="6" t="n">
        <f aca="false">Sens!I10246-Sens!I10248</f>
        <v>97.5228551198249</v>
      </c>
      <c r="J10249" s="6" t="n">
        <f aca="false">Sens!J10246-Sens!J10248</f>
        <v>162.792159702542</v>
      </c>
      <c r="K10249" s="6" t="n">
        <f aca="false">Sens!K10246-Sens!K10248</f>
        <v>190.702603320591</v>
      </c>
    </row>
    <row r="10250" customFormat="false" ht="15" hidden="false" customHeight="false" outlineLevel="0" collapsed="false">
      <c r="A10250" s="1" t="s">
        <v>969</v>
      </c>
      <c r="B10250" s="0" t="s">
        <v>98</v>
      </c>
      <c r="F10250" s="6" t="n">
        <f aca="false">debt_mat_27</f>
        <v>9.25</v>
      </c>
      <c r="G10250" s="6" t="n">
        <f aca="false">debt_mat_28</f>
        <v>0</v>
      </c>
      <c r="H10250" s="6" t="n">
        <f aca="false">debt_mat_29</f>
        <v>2.001</v>
      </c>
      <c r="I10250" s="6" t="n">
        <f aca="false">debt_mat_30</f>
        <v>0</v>
      </c>
      <c r="J10250" s="6" t="n">
        <f aca="false">debt_mat_31</f>
        <v>0.5</v>
      </c>
      <c r="K10250" s="6" t="n">
        <f aca="false">debt_mat_32</f>
        <v>0</v>
      </c>
    </row>
    <row r="10251" customFormat="false" ht="15" hidden="false" customHeight="false" outlineLevel="0" collapsed="false">
      <c r="A10251" s="1" t="s">
        <v>970</v>
      </c>
      <c r="B10251" s="0" t="s">
        <v>98</v>
      </c>
      <c r="E10251" s="6" t="n">
        <f aca="false">Q!M40</f>
        <v>22.271</v>
      </c>
      <c r="F10251" s="6" t="n">
        <f aca="false">MAX(0,MIN(bb_target,Sens!E10253+Sens!F10249-Sens!F10250-min_cash))</f>
        <v>0</v>
      </c>
      <c r="G10251" s="6" t="n">
        <f aca="false">MAX(0,MIN(bb_target,Sens!F10253+Sens!G10249-Sens!G10250-min_cash))</f>
        <v>0.416718791848012</v>
      </c>
      <c r="H10251" s="6" t="n">
        <f aca="false">MAX(0,MIN(bb_target,Sens!G10253+Sens!H10249-Sens!H10250-min_cash))</f>
        <v>22.271</v>
      </c>
      <c r="I10251" s="6" t="n">
        <f aca="false">MAX(0,MIN(bb_target,Sens!H10253+Sens!I10249-Sens!I10250-min_cash))</f>
        <v>22.271</v>
      </c>
      <c r="J10251" s="6" t="n">
        <f aca="false">MAX(0,MIN(bb_target,Sens!I10253+Sens!J10249-Sens!J10250-min_cash))</f>
        <v>22.271</v>
      </c>
      <c r="K10251" s="6" t="n">
        <f aca="false">MAX(0,MIN(bb_target,Sens!J10253+Sens!K10249-Sens!K10250-min_cash))</f>
        <v>22.271</v>
      </c>
    </row>
    <row r="10252" customFormat="false" ht="15" hidden="false" customHeight="false" outlineLevel="0" collapsed="false">
      <c r="A10252" s="1" t="s">
        <v>971</v>
      </c>
      <c r="B10252" s="0" t="s">
        <v>98</v>
      </c>
      <c r="F10252" s="6" t="n">
        <f aca="false">MAX(0,min_cash-(Sens!E10253+Sens!F10249-Sens!F10250-Sens!F10251))</f>
        <v>9.80285092946464</v>
      </c>
      <c r="G10252" s="6" t="n">
        <f aca="false">MAX(0,min_cash-(Sens!F10253+Sens!G10249-Sens!G10250-Sens!G10251))</f>
        <v>0</v>
      </c>
      <c r="H10252" s="6" t="n">
        <f aca="false">MAX(0,min_cash-(Sens!G10253+Sens!H10249-Sens!H10250-Sens!H10251))</f>
        <v>0</v>
      </c>
      <c r="I10252" s="6" t="n">
        <f aca="false">MAX(0,min_cash-(Sens!H10253+Sens!I10249-Sens!I10250-Sens!I10251))</f>
        <v>0</v>
      </c>
      <c r="J10252" s="6" t="n">
        <f aca="false">MAX(0,min_cash-(Sens!I10253+Sens!J10249-Sens!J10250-Sens!J10251))</f>
        <v>0</v>
      </c>
      <c r="K10252" s="6" t="n">
        <f aca="false">MAX(0,min_cash-(Sens!J10253+Sens!K10249-Sens!K10250-Sens!K10251))</f>
        <v>0</v>
      </c>
    </row>
    <row r="10253" customFormat="false" ht="15" hidden="false" customHeight="false" outlineLevel="0" collapsed="false">
      <c r="A10253" s="1" t="s">
        <v>972</v>
      </c>
      <c r="B10253" s="0" t="s">
        <v>98</v>
      </c>
      <c r="E10253" s="6" t="n">
        <f aca="false">cash_open</f>
        <v>76.843</v>
      </c>
      <c r="F10253" s="6" t="n">
        <f aca="false">Sens!E10253+Sens!F10249-Sens!F10250-Sens!F10251+Sens!F10252</f>
        <v>50</v>
      </c>
      <c r="G10253" s="6" t="n">
        <f aca="false">Sens!F10253+Sens!G10249-Sens!G10250-Sens!G10251+Sens!G10252</f>
        <v>50</v>
      </c>
      <c r="H10253" s="6" t="n">
        <f aca="false">Sens!G10253+Sens!H10249-Sens!H10250-Sens!H10251+Sens!H10252</f>
        <v>62.1896517631709</v>
      </c>
      <c r="I10253" s="6" t="n">
        <f aca="false">Sens!H10253+Sens!I10249-Sens!I10250-Sens!I10251+Sens!I10252</f>
        <v>137.441506882996</v>
      </c>
      <c r="J10253" s="6" t="n">
        <f aca="false">Sens!I10253+Sens!J10249-Sens!J10250-Sens!J10251+Sens!J10252</f>
        <v>277.462666585538</v>
      </c>
      <c r="K10253" s="6" t="n">
        <f aca="false">Sens!J10253+Sens!K10249-Sens!K10250-Sens!K10251+Sens!K10252</f>
        <v>445.894269906129</v>
      </c>
    </row>
    <row r="10254" customFormat="false" ht="15" hidden="false" customHeight="false" outlineLevel="0" collapsed="false">
      <c r="A10254" s="1" t="s">
        <v>973</v>
      </c>
      <c r="B10254" s="0" t="s">
        <v>98</v>
      </c>
      <c r="E10254" s="6" t="n">
        <f aca="false">debt_face</f>
        <v>46.136</v>
      </c>
      <c r="F10254" s="6" t="n">
        <f aca="false">Sens!E10254-Sens!F10250+Sens!F10252</f>
        <v>46.6888509294646</v>
      </c>
      <c r="G10254" s="6" t="n">
        <f aca="false">Sens!F10254-Sens!G10250+Sens!G10252</f>
        <v>46.6888509294646</v>
      </c>
      <c r="H10254" s="6" t="n">
        <f aca="false">Sens!G10254-Sens!H10250+Sens!H10252</f>
        <v>44.6878509294646</v>
      </c>
      <c r="I10254" s="6" t="n">
        <f aca="false">Sens!H10254-Sens!I10250+Sens!I10252</f>
        <v>44.6878509294646</v>
      </c>
      <c r="J10254" s="6" t="n">
        <f aca="false">Sens!I10254-Sens!J10250+Sens!J10252</f>
        <v>44.1878509294646</v>
      </c>
      <c r="K10254" s="6" t="n">
        <f aca="false">Sens!J10254-Sens!K10250+Sens!K10252</f>
        <v>44.1878509294646</v>
      </c>
    </row>
    <row r="10255" customFormat="false" ht="15" hidden="false" customHeight="false" outlineLevel="0" collapsed="false">
      <c r="A10255" s="1" t="s">
        <v>974</v>
      </c>
      <c r="B10255" s="0" t="s">
        <v>98</v>
      </c>
      <c r="E10255" s="6" t="n">
        <f aca="false">Sens!E10253-Sens!E10254</f>
        <v>30.707</v>
      </c>
      <c r="F10255" s="6" t="n">
        <f aca="false">Sens!F10253-Sens!F10254</f>
        <v>3.31114907053536</v>
      </c>
      <c r="G10255" s="6" t="n">
        <f aca="false">Sens!G10253-Sens!G10254</f>
        <v>3.31114907053536</v>
      </c>
      <c r="H10255" s="6" t="n">
        <f aca="false">Sens!H10253-Sens!H10254</f>
        <v>17.5018008337063</v>
      </c>
      <c r="I10255" s="6" t="n">
        <f aca="false">Sens!I10253-Sens!I10254</f>
        <v>92.7536559535312</v>
      </c>
      <c r="J10255" s="6" t="n">
        <f aca="false">Sens!J10253-Sens!J10254</f>
        <v>233.274815656073</v>
      </c>
      <c r="K10255" s="6" t="n">
        <f aca="false">Sens!K10253-Sens!K10254</f>
        <v>401.706418976664</v>
      </c>
    </row>
    <row r="10256" customFormat="false" ht="15" hidden="false" customHeight="false" outlineLevel="0" collapsed="false">
      <c r="A10256" s="1" t="s">
        <v>975</v>
      </c>
      <c r="B10256" s="0" t="s">
        <v>75</v>
      </c>
      <c r="F10256" s="29" t="n">
        <f aca="false">px*(1+bb_g)^(Sens!F10118-base_fy-mid_yr)</f>
        <v>553.494156066711</v>
      </c>
      <c r="G10256" s="29" t="n">
        <f aca="false">px*(1+bb_g)^(Sens!G10118-base_fy-mid_yr)</f>
        <v>597.773688552047</v>
      </c>
      <c r="H10256" s="29" t="n">
        <f aca="false">px*(1+bb_g)^(Sens!H10118-base_fy-mid_yr)</f>
        <v>645.595583636211</v>
      </c>
      <c r="I10256" s="29" t="n">
        <f aca="false">px*(1+bb_g)^(Sens!I10118-base_fy-mid_yr)</f>
        <v>697.243230327108</v>
      </c>
      <c r="J10256" s="29" t="n">
        <f aca="false">px*(1+bb_g)^(Sens!J10118-base_fy-mid_yr)</f>
        <v>753.022688753277</v>
      </c>
      <c r="K10256" s="29" t="n">
        <f aca="false">px*(1+bb_g)^(Sens!K10118-base_fy-mid_yr)</f>
        <v>813.264503853539</v>
      </c>
    </row>
    <row r="10257" customFormat="false" ht="15" hidden="false" customHeight="false" outlineLevel="0" collapsed="false">
      <c r="A10257" s="1" t="s">
        <v>976</v>
      </c>
      <c r="B10257" s="1" t="s">
        <v>81</v>
      </c>
      <c r="E10257" s="14" t="n">
        <f aca="false">sh_out26</f>
        <v>7.427</v>
      </c>
      <c r="F10257" s="14" t="n">
        <f aca="false">Sens!E10257+sh_iss-Sens!F10251/Sens!F10256</f>
        <v>7.472</v>
      </c>
      <c r="G10257" s="14" t="n">
        <f aca="false">Sens!F10257+sh_iss-Sens!G10251/Sens!G10256</f>
        <v>7.51630288201065</v>
      </c>
      <c r="H10257" s="14" t="n">
        <f aca="false">Sens!G10257+sh_iss-Sens!H10251/Sens!H10256</f>
        <v>7.52680605371056</v>
      </c>
      <c r="I10257" s="14" t="n">
        <f aca="false">Sens!H10257+sh_iss-Sens!I10251/Sens!I10256</f>
        <v>7.53986454602528</v>
      </c>
      <c r="J10257" s="14" t="n">
        <f aca="false">Sens!I10257+sh_iss-Sens!J10251/Sens!J10256</f>
        <v>7.55528907594632</v>
      </c>
      <c r="K10257" s="14" t="n">
        <f aca="false">Sens!J10257+sh_iss-Sens!K10251/Sens!K10256</f>
        <v>7.57290438142876</v>
      </c>
    </row>
    <row r="10258" customFormat="false" ht="15" hidden="false" customHeight="false" outlineLevel="0" collapsed="false">
      <c r="A10258" s="1" t="s">
        <v>977</v>
      </c>
      <c r="B10258" s="1" t="s">
        <v>81</v>
      </c>
      <c r="E10258" s="14" t="n">
        <f aca="false">sh_dil26</f>
        <v>7.453</v>
      </c>
      <c r="F10258" s="14" t="n">
        <f aca="false">(Sens!E10257+Sens!F10257)/2+dil_gap</f>
        <v>7.4735</v>
      </c>
      <c r="G10258" s="14" t="n">
        <f aca="false">(Sens!F10257+Sens!G10257)/2+dil_gap</f>
        <v>7.51815144100533</v>
      </c>
      <c r="H10258" s="14" t="n">
        <f aca="false">(Sens!G10257+Sens!H10257)/2+dil_gap</f>
        <v>7.5455544678606</v>
      </c>
      <c r="I10258" s="14" t="n">
        <f aca="false">(Sens!H10257+Sens!I10257)/2+dil_gap</f>
        <v>7.55733529986792</v>
      </c>
      <c r="J10258" s="14" t="n">
        <f aca="false">(Sens!I10257+Sens!J10257)/2+dil_gap</f>
        <v>7.5715768109858</v>
      </c>
      <c r="K10258" s="14" t="n">
        <f aca="false">(Sens!J10257+Sens!K10257)/2+dil_gap</f>
        <v>7.58809672868754</v>
      </c>
    </row>
    <row r="10259" customFormat="false" ht="17.15" hidden="false" customHeight="false" outlineLevel="0" collapsed="false">
      <c r="A10259" s="1" t="s">
        <v>978</v>
      </c>
      <c r="B10259" s="0" t="s">
        <v>98</v>
      </c>
      <c r="C10259" s="6" t="n">
        <f aca="false">SUM(Sens!F10249:J10249)</f>
        <v>269.797534447921</v>
      </c>
    </row>
    <row r="10260" customFormat="false" ht="15" hidden="false" customHeight="false" outlineLevel="0" collapsed="false">
      <c r="A10260" s="23" t="s">
        <v>945</v>
      </c>
      <c r="B10260" s="30" t="s">
        <v>98</v>
      </c>
      <c r="C10260" s="24" t="n">
        <f aca="false">Sens!$C$10259-(Sens!F10249+Sens!G10249+Sens!H10249+Sens!I10249+Sens!J10249)</f>
        <v>0</v>
      </c>
      <c r="D10260" s="30"/>
      <c r="E10260" s="30"/>
      <c r="F10260" s="30"/>
      <c r="G10260" s="30"/>
      <c r="H10260" s="30"/>
      <c r="I10260" s="30"/>
      <c r="J10260" s="30"/>
      <c r="K10260" s="30"/>
    </row>
    <row r="10261" customFormat="false" ht="17.15" hidden="false" customHeight="false" outlineLevel="0" collapsed="false">
      <c r="A10261" s="1" t="s">
        <v>939</v>
      </c>
      <c r="B10261" s="1" t="s">
        <v>979</v>
      </c>
      <c r="C10261" s="32" t="str">
        <f aca="false">IF(SUM(Sens!F10252:J10252)&gt;0.05,"需要舉債 "&amp;TEXT(SUM(Sens!F10252:J10252),"0.0")&amp;" 十億美元","不需舉債")&amp;"；"&amp;IF(SUM(Sens!F10251:J10251)&lt;COUNT(Sens!F10251:J10251)*bb_target-0.05,"回購較每年 "&amp;TEXT(bb_target,"0.0")&amp;" 的目標少 "&amp;TEXT(COUNT(Sens!F10251:J10251)*bb_target-SUM(Sens!F10251:J10251),"0.0")&amp;" 十億美元（"&amp;TEXT(COUNTIF(Sens!F10251:J10251,"&lt;"&amp;(bb_target-0.05)),"0")&amp;" 年減少）","回購不減")</f>
        <v>需要舉債 9.8 十億美元；回購較每年 22.3 的目標少 44.1 十億美元（2 年減少）</v>
      </c>
    </row>
    <row r="10262" customFormat="false" ht="17.15" hidden="false" customHeight="false" outlineLevel="0" collapsed="false">
      <c r="A10262" s="3" t="s">
        <v>1526</v>
      </c>
    </row>
    <row r="10263" customFormat="false" ht="15" hidden="false" customHeight="false" outlineLevel="0" collapsed="false">
      <c r="A10263" s="4" t="s">
        <v>43</v>
      </c>
      <c r="B10263" s="4" t="s">
        <v>65</v>
      </c>
      <c r="C10263" s="20" t="s">
        <v>799</v>
      </c>
      <c r="D10263" s="20" t="s">
        <v>800</v>
      </c>
      <c r="E10263" s="20" t="s">
        <v>801</v>
      </c>
      <c r="F10263" s="20" t="s">
        <v>802</v>
      </c>
      <c r="G10263" s="20" t="s">
        <v>803</v>
      </c>
      <c r="H10263" s="20" t="s">
        <v>804</v>
      </c>
      <c r="I10263" s="20" t="s">
        <v>805</v>
      </c>
      <c r="J10263" s="20" t="s">
        <v>806</v>
      </c>
      <c r="K10263" s="20" t="s">
        <v>807</v>
      </c>
      <c r="L10263" s="4" t="s">
        <v>47</v>
      </c>
    </row>
    <row r="10264" customFormat="false" ht="15" hidden="false" customHeight="false" outlineLevel="0" collapsed="false">
      <c r="A10264" s="1" t="s">
        <v>1057</v>
      </c>
      <c r="B10264" s="1" t="s">
        <v>235</v>
      </c>
      <c r="F10264" s="36" t="n">
        <f aca="false">Sens!F10118-base_fy-mid_yr</f>
        <v>0.5</v>
      </c>
      <c r="G10264" s="36" t="n">
        <f aca="false">Sens!G10118-base_fy-mid_yr</f>
        <v>1.5</v>
      </c>
      <c r="H10264" s="36" t="n">
        <f aca="false">Sens!H10118-base_fy-mid_yr</f>
        <v>2.5</v>
      </c>
      <c r="I10264" s="36" t="n">
        <f aca="false">Sens!I10118-base_fy-mid_yr</f>
        <v>3.5</v>
      </c>
      <c r="J10264" s="36" t="n">
        <f aca="false">Sens!J10118-base_fy-mid_yr</f>
        <v>4.5</v>
      </c>
      <c r="K10264" s="36" t="n">
        <f aca="false">Sens!K10118-base_fy-mid_yr</f>
        <v>5.5</v>
      </c>
    </row>
    <row r="10265" customFormat="false" ht="15" hidden="false" customHeight="false" outlineLevel="0" collapsed="false">
      <c r="A10265" s="1" t="s">
        <v>1058</v>
      </c>
      <c r="B10265" s="0" t="s">
        <v>185</v>
      </c>
      <c r="F10265" s="14" t="n">
        <f aca="false">1/(1+wacc)^Sens!F10264</f>
        <v>0.952193373608246</v>
      </c>
      <c r="G10265" s="14" t="n">
        <f aca="false">1/(1+wacc)^Sens!G10264</f>
        <v>0.863327280626589</v>
      </c>
      <c r="H10265" s="14" t="n">
        <f aca="false">1/(1+wacc)^Sens!H10264</f>
        <v>0.782754862754115</v>
      </c>
      <c r="I10265" s="14" t="n">
        <f aca="false">1/(1+wacc)^Sens!I10264</f>
        <v>0.709702089711011</v>
      </c>
      <c r="J10265" s="14" t="n">
        <f aca="false">1/(1+wacc)^Sens!J10264</f>
        <v>0.643467169744551</v>
      </c>
      <c r="K10265" s="14" t="n">
        <f aca="false">1/(1+wacc)^Sens!K10264</f>
        <v>0.583413807767797</v>
      </c>
    </row>
    <row r="10266" customFormat="false" ht="17.15" hidden="false" customHeight="false" outlineLevel="0" collapsed="false">
      <c r="A10266" s="1" t="s">
        <v>1059</v>
      </c>
      <c r="B10266" s="0" t="s">
        <v>98</v>
      </c>
      <c r="F10266" s="6" t="n">
        <f aca="false">Sens!F10239-Sens!F10237-Sens!F10243+Sens!F10222*(1-tax_f)</f>
        <v>-2.16393460074813</v>
      </c>
      <c r="G10266" s="6" t="n">
        <f aca="false">Sens!G10239-Sens!G10237-Sens!G10243+Sens!G10222*(1-tax_f)</f>
        <v>37.3671422014428</v>
      </c>
      <c r="H10266" s="6" t="n">
        <f aca="false">Sens!H10239-Sens!H10237-Sens!H10243+Sens!H10222*(1-tax_f)</f>
        <v>85.7220685149439</v>
      </c>
      <c r="I10266" s="6" t="n">
        <f aca="false">Sens!I10239-Sens!I10237-Sens!I10243+Sens!I10222*(1-tax_f)</f>
        <v>158.827668455416</v>
      </c>
      <c r="J10266" s="6" t="n">
        <f aca="false">Sens!J10239-Sens!J10237-Sens!J10243+Sens!J10222*(1-tax_f)</f>
        <v>233.477690239436</v>
      </c>
      <c r="K10266" s="6" t="n">
        <f aca="false">Sens!K10239-Sens!K10237-Sens!K10243+Sens!K10222*(1-tax_f)</f>
        <v>267.891521817008</v>
      </c>
      <c r="L10266" s="1" t="s">
        <v>1060</v>
      </c>
    </row>
    <row r="10267" customFormat="false" ht="15" hidden="false" customHeight="false" outlineLevel="0" collapsed="false">
      <c r="A10267" s="1" t="s">
        <v>1061</v>
      </c>
      <c r="B10267" s="0" t="s">
        <v>98</v>
      </c>
      <c r="F10267" s="6" t="n">
        <f aca="false">Sens!F10266*Sens!F10265</f>
        <v>-2.06048418775397</v>
      </c>
      <c r="G10267" s="6" t="n">
        <f aca="false">Sens!G10266*Sens!G10265</f>
        <v>32.2600732615587</v>
      </c>
      <c r="H10267" s="6" t="n">
        <f aca="false">Sens!H10266*Sens!H10265</f>
        <v>67.0993659754138</v>
      </c>
      <c r="I10267" s="6" t="n">
        <f aca="false">Sens!I10266*Sens!I10265</f>
        <v>112.720328206736</v>
      </c>
      <c r="J10267" s="6" t="n">
        <f aca="false">Sens!J10266*Sens!J10265</f>
        <v>150.235228536865</v>
      </c>
      <c r="K10267" s="6" t="n">
        <f aca="false">Sens!K10266*Sens!K10265</f>
        <v>156.29161281197</v>
      </c>
    </row>
    <row r="10268" customFormat="false" ht="17.15" hidden="false" customHeight="false" outlineLevel="0" collapsed="false">
      <c r="A10268" s="1" t="s">
        <v>1062</v>
      </c>
      <c r="B10268" s="0" t="s">
        <v>98</v>
      </c>
      <c r="C10268" s="6" t="n">
        <f aca="false">SUM(Sens!F10267:K10267)</f>
        <v>516.54612460479</v>
      </c>
    </row>
    <row r="10269" customFormat="false" ht="17.15" hidden="false" customHeight="false" outlineLevel="0" collapsed="false">
      <c r="A10269" s="1" t="s">
        <v>1063</v>
      </c>
      <c r="B10269" s="0" t="s">
        <v>98</v>
      </c>
      <c r="C10269" s="6" t="n">
        <f aca="false">Sens!K10208*(1+g_tv)*(1-tax_f)</f>
        <v>284.051747363602</v>
      </c>
    </row>
    <row r="10270" customFormat="false" ht="17.15" hidden="false" customHeight="false" outlineLevel="0" collapsed="false">
      <c r="A10270" s="1" t="s">
        <v>1064</v>
      </c>
      <c r="B10270" s="0" t="s">
        <v>98</v>
      </c>
      <c r="C10270" s="6" t="n">
        <f aca="false">Sens!$C$10269*(1-g_tv/(wacc+ronic_prem))</f>
        <v>201.265518877356</v>
      </c>
    </row>
    <row r="10271" customFormat="false" ht="17.15" hidden="false" customHeight="false" outlineLevel="0" collapsed="false">
      <c r="A10271" s="1" t="s">
        <v>1065</v>
      </c>
      <c r="B10271" s="0" t="s">
        <v>98</v>
      </c>
      <c r="C10271" s="6" t="n">
        <f aca="false">Sens!$C$10270/(wacc-g_tv)</f>
        <v>2759.54094954154</v>
      </c>
    </row>
    <row r="10272" customFormat="false" ht="15" hidden="false" customHeight="false" outlineLevel="0" collapsed="false">
      <c r="A10272" s="1" t="s">
        <v>1066</v>
      </c>
      <c r="B10272" s="0" t="s">
        <v>98</v>
      </c>
      <c r="C10272" s="6" t="n">
        <f aca="false">Sens!$C$10271/(1+wacc)^(Sens!K10264+mid_yr)</f>
        <v>1532.98780966692</v>
      </c>
    </row>
    <row r="10273" customFormat="false" ht="17.15" hidden="false" customHeight="false" outlineLevel="0" collapsed="false">
      <c r="A10273" s="0" t="s">
        <v>986</v>
      </c>
      <c r="B10273" s="0" t="s">
        <v>98</v>
      </c>
      <c r="C10273" s="6" t="n">
        <f aca="false">Sens!$C$10268+Sens!$C$10272</f>
        <v>2049.53393427171</v>
      </c>
    </row>
    <row r="10274" customFormat="false" ht="15" hidden="false" customHeight="false" outlineLevel="0" collapsed="false">
      <c r="A10274" s="1" t="s">
        <v>987</v>
      </c>
      <c r="B10274" s="0" t="s">
        <v>129</v>
      </c>
      <c r="C10274" s="7" t="n">
        <f aca="false">Sens!$C$10272/Sens!$C$10273</f>
        <v>0.747968981646385</v>
      </c>
    </row>
    <row r="10275" customFormat="false" ht="17.15" hidden="false" customHeight="false" outlineLevel="0" collapsed="false">
      <c r="A10275" s="1" t="s">
        <v>1067</v>
      </c>
      <c r="B10275" s="0" t="s">
        <v>98</v>
      </c>
      <c r="C10275" s="6" t="n">
        <f aca="false">Sens!$C$10273+Sens!E10255-Sens!E10244+oai_v</f>
        <v>2184.04693427171</v>
      </c>
    </row>
    <row r="10276" customFormat="false" ht="17.15" hidden="false" customHeight="false" outlineLevel="0" collapsed="false">
      <c r="A10276" s="0" t="s">
        <v>994</v>
      </c>
      <c r="B10276" s="0" t="s">
        <v>75</v>
      </c>
      <c r="C10276" s="5" t="n">
        <f aca="false">Sens!$C$10275/sh_dil26</f>
        <v>293.042658563224</v>
      </c>
    </row>
    <row r="10277" customFormat="false" ht="15" hidden="false" customHeight="false" outlineLevel="0" collapsed="false">
      <c r="A10277" s="1" t="s">
        <v>1068</v>
      </c>
      <c r="B10277" s="0" t="s">
        <v>75</v>
      </c>
      <c r="C10277" s="8" t="n">
        <f aca="false">dps_27+Sens!G10247*roll_div_q/q_per_yr</f>
        <v>4.8895</v>
      </c>
    </row>
    <row r="10278" customFormat="false" ht="17.15" hidden="false" customHeight="false" outlineLevel="0" collapsed="false">
      <c r="A10278" s="0" t="s">
        <v>1069</v>
      </c>
      <c r="B10278" s="0" t="s">
        <v>75</v>
      </c>
      <c r="C10278" s="5" t="n">
        <f aca="false">Sens!$C$10276*(1+wacc)^t_roll-Sens!$C$10277</f>
        <v>328.807959861335</v>
      </c>
    </row>
    <row r="10279" customFormat="false" ht="17.15" hidden="false" customHeight="false" outlineLevel="0" collapsed="false">
      <c r="A10279" s="1" t="s">
        <v>1070</v>
      </c>
      <c r="B10279" s="0" t="s">
        <v>129</v>
      </c>
      <c r="F10279" s="7" t="n">
        <f aca="false">Sens!F10234/(Sens!F10179-Sens!F10135)</f>
        <v>0.0708675209532051</v>
      </c>
      <c r="G10279" s="7" t="n">
        <f aca="false">Sens!G10234/(Sens!G10179-Sens!G10135)</f>
        <v>0.0676482610039147</v>
      </c>
      <c r="H10279" s="7" t="n">
        <f aca="false">Sens!H10234/(Sens!H10179-Sens!H10135)</f>
        <v>0.0658769457293712</v>
      </c>
      <c r="I10279" s="7" t="n">
        <f aca="false">Sens!I10234/(Sens!I10179-Sens!I10135)</f>
        <v>0.0654136168605372</v>
      </c>
      <c r="J10279" s="7" t="n">
        <f aca="false">Sens!J10234/(Sens!J10179-Sens!J10135)</f>
        <v>0.065958115078672</v>
      </c>
      <c r="K10279" s="7" t="n">
        <f aca="false">Sens!K10234/(Sens!K10179-Sens!K10135)</f>
        <v>0.0671490770694328</v>
      </c>
    </row>
    <row r="10280" customFormat="false" ht="17.15" hidden="false" customHeight="false" outlineLevel="0" collapsed="false">
      <c r="A10280" s="0" t="s">
        <v>1071</v>
      </c>
      <c r="B10280" s="0" t="s">
        <v>98</v>
      </c>
      <c r="F10280" s="6" t="n">
        <f aca="false">Sens!F10164*(al_m365+Sens!F10279+sbc_r)</f>
        <v>84.2055463676888</v>
      </c>
      <c r="G10280" s="6" t="n">
        <f aca="false">Sens!G10164*(al_m365+Sens!G10279+sbc_r)</f>
        <v>96.620366176637</v>
      </c>
      <c r="H10280" s="6" t="n">
        <f aca="false">Sens!H10164*(al_m365+Sens!H10279+sbc_r)</f>
        <v>109.200283072678</v>
      </c>
      <c r="I10280" s="6" t="n">
        <f aca="false">Sens!I10164*(al_m365+Sens!I10279+sbc_r)</f>
        <v>120.764302474166</v>
      </c>
      <c r="J10280" s="6" t="n">
        <f aca="false">Sens!J10164*(al_m365+Sens!J10279+sbc_r)</f>
        <v>131.125707906035</v>
      </c>
      <c r="K10280" s="6" t="n">
        <f aca="false">Sens!K10164*(al_m365+Sens!K10279+sbc_r)</f>
        <v>141.102186792956</v>
      </c>
      <c r="L10280" s="11" t="s">
        <v>1072</v>
      </c>
    </row>
    <row r="10281" customFormat="false" ht="17.15" hidden="false" customHeight="false" outlineLevel="0" collapsed="false">
      <c r="A10281" s="0" t="s">
        <v>1073</v>
      </c>
      <c r="B10281" s="0" t="s">
        <v>98</v>
      </c>
      <c r="F10281" s="6" t="n">
        <f aca="false">Sens!F10165*(al_lic+Sens!F10279+sbc_r)</f>
        <v>33.5336197906245</v>
      </c>
      <c r="G10281" s="6" t="n">
        <f aca="false">Sens!G10165*(al_lic+Sens!G10279+sbc_r)</f>
        <v>34.8224676233619</v>
      </c>
      <c r="H10281" s="6" t="n">
        <f aca="false">Sens!H10165*(al_lic+Sens!H10279+sbc_r)</f>
        <v>36.0276880824498</v>
      </c>
      <c r="I10281" s="6" t="n">
        <f aca="false">Sens!I10165*(al_lic+Sens!I10279+sbc_r)</f>
        <v>37.1305751023722</v>
      </c>
      <c r="J10281" s="6" t="n">
        <f aca="false">Sens!J10165*(al_lic+Sens!J10279+sbc_r)</f>
        <v>38.1049145831349</v>
      </c>
      <c r="K10281" s="6" t="n">
        <f aca="false">Sens!K10165*(al_lic+Sens!K10279+sbc_r)</f>
        <v>38.9212574865483</v>
      </c>
    </row>
    <row r="10282" customFormat="false" ht="17.15" hidden="false" customHeight="false" outlineLevel="0" collapsed="false">
      <c r="A10282" s="0" t="s">
        <v>1074</v>
      </c>
      <c r="B10282" s="0" t="s">
        <v>98</v>
      </c>
      <c r="F10282" s="6" t="n">
        <f aca="false">Sens!F10167*(al_ind+Sens!F10279+sbc_r)</f>
        <v>9.12733759257263</v>
      </c>
      <c r="G10282" s="6" t="n">
        <f aca="false">Sens!G10167*(al_ind+Sens!G10279+sbc_r)</f>
        <v>9.89863491945581</v>
      </c>
      <c r="H10282" s="6" t="n">
        <f aca="false">Sens!H10167*(al_ind+Sens!H10279+sbc_r)</f>
        <v>10.7161402480237</v>
      </c>
      <c r="I10282" s="6" t="n">
        <f aca="false">Sens!I10167*(al_ind+Sens!I10279+sbc_r)</f>
        <v>11.5768530434774</v>
      </c>
      <c r="J10282" s="6" t="n">
        <f aca="false">Sens!J10167*(al_ind+Sens!J10279+sbc_r)</f>
        <v>12.4709938069405</v>
      </c>
      <c r="K10282" s="6" t="n">
        <f aca="false">Sens!K10167*(al_ind+Sens!K10279+sbc_r)</f>
        <v>13.3833646863513</v>
      </c>
    </row>
    <row r="10283" customFormat="false" ht="17.15" hidden="false" customHeight="false" outlineLevel="0" collapsed="false">
      <c r="A10283" s="0" t="s">
        <v>1075</v>
      </c>
      <c r="B10283" s="0" t="s">
        <v>98</v>
      </c>
      <c r="F10283" s="6" t="n">
        <f aca="false">Sens!F10169*(al_fro+Sens!F10279+sbc_r)</f>
        <v>3.59255212070192</v>
      </c>
      <c r="G10283" s="6" t="n">
        <f aca="false">Sens!G10169*(al_fro+Sens!G10279+sbc_r)</f>
        <v>3.80049058521005</v>
      </c>
      <c r="H10283" s="6" t="n">
        <f aca="false">Sens!H10169*(al_fro+Sens!H10279+sbc_r)</f>
        <v>4.03820843272247</v>
      </c>
      <c r="I10283" s="6" t="n">
        <f aca="false">Sens!I10169*(al_fro+Sens!I10279+sbc_r)</f>
        <v>4.30843353059322</v>
      </c>
      <c r="J10283" s="6" t="n">
        <f aca="false">Sens!J10169*(al_fro+Sens!J10279+sbc_r)</f>
        <v>4.61225276920931</v>
      </c>
      <c r="K10283" s="6" t="n">
        <f aca="false">Sens!K10169*(al_fro+Sens!K10279+sbc_r)</f>
        <v>4.94968258276328</v>
      </c>
    </row>
    <row r="10284" customFormat="false" ht="17.15" hidden="false" customHeight="false" outlineLevel="0" collapsed="false">
      <c r="A10284" s="0" t="s">
        <v>1076</v>
      </c>
      <c r="B10284" s="0" t="s">
        <v>98</v>
      </c>
      <c r="F10284" s="6" t="n">
        <f aca="false">Sens!F10172*(al_srch+Sens!F10279+sbc_r)</f>
        <v>11.2723937990749</v>
      </c>
      <c r="G10284" s="6" t="n">
        <f aca="false">Sens!G10172*(al_srch+Sens!G10279+sbc_r)</f>
        <v>12.3403043644318</v>
      </c>
      <c r="H10284" s="6" t="n">
        <f aca="false">Sens!H10172*(al_srch+Sens!H10279+sbc_r)</f>
        <v>13.4545029271602</v>
      </c>
      <c r="I10284" s="6" t="n">
        <f aca="false">Sens!I10172*(al_srch+Sens!I10279+sbc_r)</f>
        <v>14.6044645552727</v>
      </c>
      <c r="J10284" s="6" t="n">
        <f aca="false">Sens!J10172*(al_srch+Sens!J10279+sbc_r)</f>
        <v>15.7701522495685</v>
      </c>
      <c r="K10284" s="6" t="n">
        <f aca="false">Sens!K10172*(al_srch+Sens!K10279+sbc_r)</f>
        <v>16.9238877015398</v>
      </c>
    </row>
    <row r="10285" customFormat="false" ht="17.15" hidden="false" customHeight="false" outlineLevel="0" collapsed="false">
      <c r="A10285" s="0" t="s">
        <v>1077</v>
      </c>
      <c r="B10285" s="0" t="s">
        <v>98</v>
      </c>
      <c r="F10285" s="6" t="n">
        <f aca="false">Sens!F10141-Sens!F10142+Sens!F10222</f>
        <v>42.2254306726393</v>
      </c>
      <c r="G10285" s="6" t="n">
        <f aca="false">Sens!G10141-Sens!G10142+Sens!G10222</f>
        <v>79.7027537443441</v>
      </c>
      <c r="H10285" s="6" t="n">
        <f aca="false">Sens!H10141-Sens!H10142+Sens!H10222</f>
        <v>120.060533679822</v>
      </c>
      <c r="I10285" s="6" t="n">
        <f aca="false">Sens!I10141-Sens!I10142+Sens!I10222</f>
        <v>156.515256506302</v>
      </c>
      <c r="J10285" s="6" t="n">
        <f aca="false">Sens!J10141-Sens!J10142+Sens!J10222</f>
        <v>182.51821819491</v>
      </c>
      <c r="K10285" s="6" t="n">
        <f aca="false">Sens!K10141-Sens!K10142+Sens!K10222</f>
        <v>199.254533496123</v>
      </c>
    </row>
    <row r="10286" customFormat="false" ht="17.15" hidden="false" customHeight="false" outlineLevel="0" collapsed="false">
      <c r="A10286" s="0" t="s">
        <v>1078</v>
      </c>
      <c r="B10286" s="0" t="s">
        <v>98</v>
      </c>
      <c r="F10286" s="6" t="n">
        <f aca="false">Sens!F10201+Sens!F10222+Sens!F10152+Sens!F10279*(Sens!F10171-Sens!F10135)+sbc_r*Sens!F10171</f>
        <v>233.090407949321</v>
      </c>
      <c r="G10286" s="6" t="n">
        <f aca="false">Sens!G10201+Sens!G10222+Sens!G10152+Sens!G10279*(Sens!G10171-Sens!G10135)+sbc_r*Sens!G10171</f>
        <v>297.684783058878</v>
      </c>
      <c r="H10286" s="6" t="n">
        <f aca="false">Sens!H10201+Sens!H10222+Sens!H10152+Sens!H10279*(Sens!H10171-Sens!H10135)+sbc_r*Sens!H10171</f>
        <v>365.668360105092</v>
      </c>
      <c r="I10286" s="6" t="n">
        <f aca="false">Sens!I10201+Sens!I10222+Sens!I10152+Sens!I10279*(Sens!I10171-Sens!I10135)+sbc_r*Sens!I10171</f>
        <v>428.383005788205</v>
      </c>
      <c r="J10286" s="6" t="n">
        <f aca="false">Sens!J10201+Sens!J10222+Sens!J10152+Sens!J10279*(Sens!J10171-Sens!J10135)+sbc_r*Sens!J10171</f>
        <v>478.221846909464</v>
      </c>
      <c r="K10286" s="6" t="n">
        <f aca="false">Sens!K10201+Sens!K10222+Sens!K10152+Sens!K10279*(Sens!K10171-Sens!K10135)+sbc_r*Sens!K10171</f>
        <v>516.454533727863</v>
      </c>
    </row>
    <row r="10287" customFormat="false" ht="17.15" hidden="false" customHeight="false" outlineLevel="0" collapsed="false">
      <c r="A10287" s="0" t="s">
        <v>1079</v>
      </c>
      <c r="B10287" s="0" t="s">
        <v>98</v>
      </c>
      <c r="F10287" s="6" t="n">
        <f aca="false">Sens!F10286-Sens!F10280-Sens!F10281-Sens!F10282-Sens!F10283-Sens!F10285</f>
        <v>60.4059214050939</v>
      </c>
      <c r="G10287" s="6" t="n">
        <f aca="false">Sens!G10286-Sens!G10280-Sens!G10281-Sens!G10282-Sens!G10283-Sens!G10285</f>
        <v>72.8400700098693</v>
      </c>
      <c r="H10287" s="6" t="n">
        <f aca="false">Sens!H10286-Sens!H10280-Sens!H10281-Sens!H10282-Sens!H10283-Sens!H10285</f>
        <v>85.6255065893957</v>
      </c>
      <c r="I10287" s="6" t="n">
        <f aca="false">Sens!I10286-Sens!I10280-Sens!I10281-Sens!I10282-Sens!I10283-Sens!I10285</f>
        <v>98.0875851312955</v>
      </c>
      <c r="J10287" s="6" t="n">
        <f aca="false">Sens!J10286-Sens!J10280-Sens!J10281-Sens!J10282-Sens!J10283-Sens!J10285</f>
        <v>109.389759649234</v>
      </c>
      <c r="K10287" s="6" t="n">
        <f aca="false">Sens!K10286-Sens!K10280-Sens!K10281-Sens!K10282-Sens!K10283-Sens!K10285</f>
        <v>118.843508683121</v>
      </c>
    </row>
    <row r="10288" customFormat="false" ht="17.15" hidden="false" customHeight="false" outlineLevel="0" collapsed="false">
      <c r="A10288" s="0" t="s">
        <v>1080</v>
      </c>
      <c r="B10288" s="0" t="s">
        <v>98</v>
      </c>
      <c r="F10288" s="6" t="n">
        <f aca="false">Sens!F10203+Sens!F10279*Sens!F10178+sbc_r*Sens!F10178</f>
        <v>26.2882802465829</v>
      </c>
      <c r="G10288" s="6" t="n">
        <f aca="false">Sens!G10203+Sens!G10279*Sens!G10178+sbc_r*Sens!G10178</f>
        <v>26.7680926972617</v>
      </c>
      <c r="H10288" s="6" t="n">
        <f aca="false">Sens!H10203+Sens!H10279*Sens!H10178+sbc_r*Sens!H10178</f>
        <v>27.4789895870984</v>
      </c>
      <c r="I10288" s="6" t="n">
        <f aca="false">Sens!I10203+Sens!I10279*Sens!I10178+sbc_r*Sens!I10178</f>
        <v>28.3898650970991</v>
      </c>
      <c r="J10288" s="6" t="n">
        <f aca="false">Sens!J10203+Sens!J10279*Sens!J10178+sbc_r*Sens!J10178</f>
        <v>29.4605677117578</v>
      </c>
      <c r="K10288" s="6" t="n">
        <f aca="false">Sens!K10203+Sens!K10279*Sens!K10178+sbc_r*Sens!K10178</f>
        <v>30.6461415023804</v>
      </c>
    </row>
    <row r="10289" customFormat="false" ht="17.15" hidden="false" customHeight="false" outlineLevel="0" collapsed="false">
      <c r="A10289" s="0" t="s">
        <v>1081</v>
      </c>
      <c r="B10289" s="0" t="s">
        <v>98</v>
      </c>
      <c r="F10289" s="6" t="n">
        <f aca="false">(Sens!F10288-Sens!F10284)*Sens!F10174/(Sens!F10174+Sens!F10176)</f>
        <v>8.20520076529981</v>
      </c>
      <c r="G10289" s="6" t="n">
        <f aca="false">(Sens!G10288-Sens!G10284)*Sens!G10174/(Sens!G10174+Sens!G10176)</f>
        <v>7.69250257920931</v>
      </c>
      <c r="H10289" s="6" t="n">
        <f aca="false">(Sens!H10288-Sens!H10284)*Sens!H10174/(Sens!H10174+Sens!H10176)</f>
        <v>7.30278630971246</v>
      </c>
      <c r="I10289" s="6" t="n">
        <f aca="false">(Sens!I10288-Sens!I10284)*Sens!I10174/(Sens!I10174+Sens!I10176)</f>
        <v>7.01783428288049</v>
      </c>
      <c r="J10289" s="6" t="n">
        <f aca="false">(Sens!J10288-Sens!J10284)*Sens!J10174/(Sens!J10174+Sens!J10176)</f>
        <v>6.82136266244454</v>
      </c>
      <c r="K10289" s="6" t="n">
        <f aca="false">(Sens!K10288-Sens!K10284)*Sens!K10174/(Sens!K10174+Sens!K10176)</f>
        <v>6.70001506439115</v>
      </c>
    </row>
    <row r="10290" customFormat="false" ht="17.15" hidden="false" customHeight="false" outlineLevel="0" collapsed="false">
      <c r="A10290" s="0" t="s">
        <v>1082</v>
      </c>
      <c r="B10290" s="0" t="s">
        <v>98</v>
      </c>
      <c r="F10290" s="6" t="n">
        <f aca="false">Sens!F10288-Sens!F10284-Sens!F10289</f>
        <v>6.81068568220816</v>
      </c>
      <c r="G10290" s="6" t="n">
        <f aca="false">Sens!G10288-Sens!G10284-Sens!G10289</f>
        <v>6.73528575362058</v>
      </c>
      <c r="H10290" s="6" t="n">
        <f aca="false">Sens!H10288-Sens!H10284-Sens!H10289</f>
        <v>6.72170035022571</v>
      </c>
      <c r="I10290" s="6" t="n">
        <f aca="false">Sens!I10288-Sens!I10284-Sens!I10289</f>
        <v>6.76756625894593</v>
      </c>
      <c r="J10290" s="6" t="n">
        <f aca="false">Sens!J10288-Sens!J10284-Sens!J10289</f>
        <v>6.86905279974481</v>
      </c>
      <c r="K10290" s="6" t="n">
        <f aca="false">Sens!K10288-Sens!K10284-Sens!K10289</f>
        <v>7.02223873644944</v>
      </c>
    </row>
    <row r="10291" customFormat="false" ht="17.15" hidden="false" customHeight="false" outlineLevel="0" collapsed="false">
      <c r="A10291" s="0" t="s">
        <v>1083</v>
      </c>
      <c r="B10291" s="0" t="s">
        <v>98</v>
      </c>
      <c r="F10291" s="6" t="n">
        <f aca="false">Sens!F10285-tax_f*(Sens!F10285-Sens!F10152)-Sens!F10149</f>
        <v>-119.742553857164</v>
      </c>
      <c r="G10291" s="6" t="n">
        <f aca="false">Sens!G10285-tax_f*(Sens!G10285-Sens!G10152)-Sens!G10149</f>
        <v>-107.986890065622</v>
      </c>
      <c r="H10291" s="6" t="n">
        <f aca="false">Sens!H10285-tax_f*(Sens!H10285-Sens!H10152)-Sens!H10149</f>
        <v>-74.7596549978803</v>
      </c>
      <c r="I10291" s="6" t="n">
        <f aca="false">Sens!I10285-tax_f*(Sens!I10285-Sens!I10152)-Sens!I10149</f>
        <v>-16.3733151827256</v>
      </c>
      <c r="J10291" s="6" t="n">
        <f aca="false">Sens!J10285-tax_f*(Sens!J10285-Sens!J10152)-Sens!J10149</f>
        <v>44.4328025322546</v>
      </c>
      <c r="K10291" s="6" t="n">
        <f aca="false">Sens!K10285-tax_f*(Sens!K10285-Sens!K10152)-Sens!K10149</f>
        <v>65.8225043021697</v>
      </c>
    </row>
    <row r="10292" customFormat="false" ht="17.15" hidden="false" customHeight="false" outlineLevel="0" collapsed="false">
      <c r="A10292" s="0" t="s">
        <v>1084</v>
      </c>
      <c r="B10292" s="0" t="s">
        <v>98</v>
      </c>
      <c r="G10292" s="6" t="n">
        <f aca="false">Sens!G10291/(1+wacc)^(Sens!G10264-(Sens!F10264+mid_yr))</f>
        <v>-102.824401157048</v>
      </c>
      <c r="H10292" s="6" t="n">
        <f aca="false">Sens!H10291/(1+wacc)^(Sens!H10264-(Sens!F10264+mid_yr))</f>
        <v>-64.5420496499019</v>
      </c>
      <c r="I10292" s="6" t="n">
        <f aca="false">Sens!I10291/(1+wacc)^(Sens!I10264-(Sens!F10264+mid_yr))</f>
        <v>-12.8162920786843</v>
      </c>
      <c r="J10292" s="6" t="n">
        <f aca="false">Sens!J10291/(1+wacc)^(Sens!J10264-(Sens!F10264+mid_yr))</f>
        <v>31.5340528088578</v>
      </c>
      <c r="K10292" s="6" t="n">
        <f aca="false">Sens!K10291/(1+wacc)^(Sens!K10264-(Sens!F10264+mid_yr))</f>
        <v>42.3546205488157</v>
      </c>
      <c r="L10292" s="1" t="s">
        <v>1085</v>
      </c>
    </row>
    <row r="10293" customFormat="false" ht="17.15" hidden="false" customHeight="false" outlineLevel="0" collapsed="false">
      <c r="A10293" s="0" t="s">
        <v>1086</v>
      </c>
      <c r="B10293" s="0" t="s">
        <v>98</v>
      </c>
      <c r="C10293" s="6" t="n">
        <f aca="false">(Sens!K10285-Sens!K10152)*(1-tax_f)*(1+g_tv)*(1-g_tv/(wacc+ronic_prem))/(wacc-g_tv)/(1+wacc)^(Sens!K10264+mid_yr-(Sens!F10264+mid_yr))</f>
        <v>294.889481980532</v>
      </c>
    </row>
    <row r="10294" customFormat="false" ht="17.15" hidden="false" customHeight="false" outlineLevel="0" collapsed="false">
      <c r="A10294" s="1" t="s">
        <v>1087</v>
      </c>
      <c r="B10294" s="0" t="s">
        <v>98</v>
      </c>
      <c r="C10294" s="6" t="n">
        <f aca="false">(SUM(Sens!G10292:K10292)+Sens!$C$10293)*(1+wacc)^(t_roll-(Sens!F10264+mid_yr))</f>
        <v>194.716829358755</v>
      </c>
      <c r="L10294" s="11" t="s">
        <v>1088</v>
      </c>
    </row>
    <row r="10295" customFormat="false" ht="17.15" hidden="false" customHeight="false" outlineLevel="0" collapsed="false">
      <c r="A10295" s="1" t="s">
        <v>1089</v>
      </c>
      <c r="B10295" s="0" t="s">
        <v>98</v>
      </c>
      <c r="C10295" s="6" t="n">
        <f aca="false">(w_ntm28*Sens!G10141+(1-w_ntm28)*Sens!H10141)*m_ai</f>
        <v>454.922440830797</v>
      </c>
    </row>
    <row r="10296" customFormat="false" ht="17.15" hidden="false" customHeight="false" outlineLevel="0" collapsed="false">
      <c r="A10296" s="1" t="s">
        <v>1090</v>
      </c>
      <c r="B10296" s="0" t="s">
        <v>98</v>
      </c>
      <c r="C10296" s="6" t="n">
        <f aca="false">(w_ntm28*Sens!G10287+(1-w_ntm28)*Sens!H10287)*m_cloud</f>
        <v>1063.77299645812</v>
      </c>
    </row>
    <row r="10297" customFormat="false" ht="17.15" hidden="false" customHeight="false" outlineLevel="0" collapsed="false">
      <c r="A10297" s="1" t="s">
        <v>1091</v>
      </c>
      <c r="B10297" s="0" t="s">
        <v>98</v>
      </c>
      <c r="C10297" s="6" t="n">
        <f aca="false">(w_ntm28*Sens!G10280+(1-w_ntm28)*Sens!H10280)*m_sw</f>
        <v>1087.42282071402</v>
      </c>
    </row>
    <row r="10298" customFormat="false" ht="17.15" hidden="false" customHeight="false" outlineLevel="0" collapsed="false">
      <c r="A10298" s="1" t="s">
        <v>1092</v>
      </c>
      <c r="B10298" s="0" t="s">
        <v>98</v>
      </c>
      <c r="C10298" s="6" t="n">
        <f aca="false">(w_ntm28*Sens!G10281+(1-w_ntm28)*Sens!H10281)*m_sw</f>
        <v>380.290685820149</v>
      </c>
    </row>
    <row r="10299" customFormat="false" ht="17.15" hidden="false" customHeight="false" outlineLevel="0" collapsed="false">
      <c r="A10299" s="1" t="s">
        <v>1093</v>
      </c>
      <c r="B10299" s="0" t="s">
        <v>98</v>
      </c>
      <c r="C10299" s="6" t="n">
        <f aca="false">(w_ntm28*Sens!G10282+(1-w_ntm28)*Sens!H10282)*m_sw</f>
        <v>109.759582584169</v>
      </c>
    </row>
    <row r="10300" customFormat="false" ht="17.15" hidden="false" customHeight="false" outlineLevel="0" collapsed="false">
      <c r="A10300" s="1" t="s">
        <v>1094</v>
      </c>
      <c r="B10300" s="0" t="s">
        <v>98</v>
      </c>
      <c r="C10300" s="6" t="n">
        <f aca="false">(w_ntm28*Sens!G10283+(1-w_ntm28)*Sens!H10283)*m_sw</f>
        <v>41.8752918130626</v>
      </c>
    </row>
    <row r="10301" customFormat="false" ht="17.15" hidden="false" customHeight="false" outlineLevel="0" collapsed="false">
      <c r="A10301" s="1" t="s">
        <v>1095</v>
      </c>
      <c r="B10301" s="0" t="s">
        <v>98</v>
      </c>
      <c r="C10301" s="6" t="n">
        <f aca="false">(w_ntm28*Sens!G10284+(1-w_ntm28)*Sens!H10284)*m_ads</f>
        <v>115.701655420143</v>
      </c>
    </row>
    <row r="10302" customFormat="false" ht="17.15" hidden="false" customHeight="false" outlineLevel="0" collapsed="false">
      <c r="A10302" s="1" t="s">
        <v>1096</v>
      </c>
      <c r="B10302" s="0" t="s">
        <v>98</v>
      </c>
      <c r="C10302" s="6" t="n">
        <f aca="false">(w_ntm28*Sens!G10289+(1-w_ntm28)*Sens!H10289)*m_game</f>
        <v>95.5650479998466</v>
      </c>
    </row>
    <row r="10303" customFormat="false" ht="17.15" hidden="false" customHeight="false" outlineLevel="0" collapsed="false">
      <c r="A10303" s="1" t="s">
        <v>1097</v>
      </c>
      <c r="B10303" s="0" t="s">
        <v>98</v>
      </c>
      <c r="C10303" s="6" t="n">
        <f aca="false">(w_ntm28*Sens!G10290+(1-w_ntm28)*Sens!H10290)*m_pc</f>
        <v>97.3960327100114</v>
      </c>
    </row>
    <row r="10304" customFormat="false" ht="17.15" hidden="false" customHeight="false" outlineLevel="0" collapsed="false">
      <c r="A10304" s="1" t="s">
        <v>1098</v>
      </c>
      <c r="B10304" s="0" t="s">
        <v>98</v>
      </c>
      <c r="C10304" s="6" t="n">
        <f aca="false">Sens!$C$10294+Sens!$C$10296+Sens!$C$10297+Sens!$C$10298+Sens!$C$10299+Sens!$C$10300+Sens!$C$10301+Sens!$C$10302+Sens!$C$10303</f>
        <v>3186.50094287827</v>
      </c>
    </row>
    <row r="10305" customFormat="false" ht="17.15" hidden="false" customHeight="false" outlineLevel="0" collapsed="false">
      <c r="A10305" s="1" t="s">
        <v>1099</v>
      </c>
      <c r="B10305" s="0" t="s">
        <v>98</v>
      </c>
      <c r="C10305" s="6" t="n">
        <f aca="false">(Sens!G10266-Sens!G10291)*t_stub</f>
        <v>47.3893968213172</v>
      </c>
      <c r="L10305" s="1" t="s">
        <v>1100</v>
      </c>
    </row>
    <row r="10306" customFormat="false" ht="17.15" hidden="false" customHeight="false" outlineLevel="0" collapsed="false">
      <c r="A10306" s="1" t="s">
        <v>1014</v>
      </c>
      <c r="B10306" s="0" t="s">
        <v>98</v>
      </c>
      <c r="C10306" s="6" t="n">
        <f aca="false">Sens!F10255+oai_v-Sens!F10244+Sens!$C$10305</f>
        <v>158.630815891853</v>
      </c>
      <c r="L10306" s="1" t="s">
        <v>1101</v>
      </c>
    </row>
    <row r="10307" customFormat="false" ht="17.15" hidden="false" customHeight="false" outlineLevel="0" collapsed="false">
      <c r="A10307" s="1" t="s">
        <v>1102</v>
      </c>
      <c r="B10307" s="0" t="s">
        <v>75</v>
      </c>
      <c r="C10307" s="5" t="n">
        <f aca="false">(Sens!$C$10304+Sens!$C$10306)/(Sens!F10257+dil_gap)-Sens!G10247*roll_div_q/q_per_yr</f>
        <v>445.216070807114</v>
      </c>
      <c r="L10307" s="1" t="s">
        <v>1103</v>
      </c>
    </row>
    <row r="10308" customFormat="false" ht="17.15" hidden="false" customHeight="false" outlineLevel="0" collapsed="false">
      <c r="A10308" s="1" t="s">
        <v>1104</v>
      </c>
      <c r="B10308" s="0" t="s">
        <v>75</v>
      </c>
      <c r="C10308" s="5" t="n">
        <f aca="false">w_dcf*Sens!$C$10278+(1-w_dcf)*Sens!$C$10307</f>
        <v>387.012015334225</v>
      </c>
    </row>
    <row r="10309" customFormat="false" ht="17.15" hidden="false" customHeight="false" outlineLevel="0" collapsed="false">
      <c r="A10309" s="3" t="s">
        <v>1527</v>
      </c>
    </row>
    <row r="10310" customFormat="false" ht="15" hidden="false" customHeight="false" outlineLevel="0" collapsed="false">
      <c r="A10310" s="4" t="s">
        <v>43</v>
      </c>
      <c r="B10310" s="4" t="s">
        <v>65</v>
      </c>
      <c r="C10310" s="20" t="s">
        <v>799</v>
      </c>
      <c r="D10310" s="20" t="s">
        <v>800</v>
      </c>
      <c r="E10310" s="20" t="s">
        <v>801</v>
      </c>
      <c r="F10310" s="20" t="s">
        <v>802</v>
      </c>
      <c r="G10310" s="20" t="s">
        <v>803</v>
      </c>
      <c r="H10310" s="20" t="s">
        <v>804</v>
      </c>
      <c r="I10310" s="20" t="s">
        <v>805</v>
      </c>
      <c r="J10310" s="20" t="s">
        <v>806</v>
      </c>
      <c r="K10310" s="20" t="s">
        <v>807</v>
      </c>
      <c r="L10310" s="4" t="s">
        <v>47</v>
      </c>
    </row>
    <row r="10311" customFormat="false" ht="17.15" hidden="false" customHeight="false" outlineLevel="0" collapsed="false">
      <c r="A10311" s="1" t="s">
        <v>808</v>
      </c>
      <c r="B10311" s="1" t="s">
        <v>235</v>
      </c>
      <c r="C10311" s="28" t="n">
        <v>2024</v>
      </c>
      <c r="D10311" s="28" t="n">
        <v>2025</v>
      </c>
      <c r="E10311" s="28" t="n">
        <v>2026</v>
      </c>
      <c r="F10311" s="28" t="n">
        <v>2027</v>
      </c>
      <c r="G10311" s="28" t="n">
        <v>2028</v>
      </c>
      <c r="H10311" s="28" t="n">
        <v>2029</v>
      </c>
      <c r="I10311" s="28" t="n">
        <v>2030</v>
      </c>
      <c r="J10311" s="28" t="n">
        <v>2031</v>
      </c>
      <c r="K10311" s="28" t="n">
        <v>2032</v>
      </c>
    </row>
    <row r="10312" customFormat="false" ht="17.15" hidden="false" customHeight="false" outlineLevel="0" collapsed="false">
      <c r="A10312" s="1" t="s">
        <v>809</v>
      </c>
      <c r="B10312" s="0" t="s">
        <v>399</v>
      </c>
      <c r="F10312" s="29" t="n">
        <f aca="false">pace</f>
        <v>2527.2</v>
      </c>
      <c r="G10312" s="29" t="n">
        <f aca="false">pace</f>
        <v>2527.2</v>
      </c>
      <c r="H10312" s="29" t="n">
        <f aca="false">pace</f>
        <v>2527.2</v>
      </c>
      <c r="I10312" s="29" t="n">
        <f aca="false">pace+(g_tv*Sens!H10313-pace)*MIN(1,(Sens!I10311-pace_y0)/(pace_y1-pace_y0))</f>
        <v>1793.116</v>
      </c>
      <c r="J10312" s="29" t="n">
        <f aca="false">pace+(g_tv*Sens!I10313-pace)*MIN(1,(Sens!J10311-pace_y0)/(pace_y1-pace_y0))</f>
        <v>1094.89432</v>
      </c>
      <c r="K10312" s="29" t="n">
        <f aca="false">pace+(g_tv*Sens!J10313-pace)*MIN(1,(Sens!K10311-pace_y0)/(pace_y1-pace_y0))</f>
        <v>411.5883096</v>
      </c>
      <c r="L10312" s="11" t="s">
        <v>810</v>
      </c>
    </row>
    <row r="10313" customFormat="false" ht="17.15" hidden="false" customHeight="false" outlineLevel="0" collapsed="false">
      <c r="A10313" s="1" t="s">
        <v>811</v>
      </c>
      <c r="B10313" s="0" t="s">
        <v>399</v>
      </c>
      <c r="C10313" s="29" t="n">
        <f aca="false">mw_ext_24</f>
        <v>640</v>
      </c>
      <c r="D10313" s="29" t="n">
        <f aca="false">mw_ext_25</f>
        <v>1630</v>
      </c>
      <c r="E10313" s="29" t="n">
        <f aca="false">mw_ext_26</f>
        <v>3250</v>
      </c>
      <c r="F10313" s="29" t="n">
        <f aca="false">Sens!E10313+Sens!F10312</f>
        <v>5777.2</v>
      </c>
      <c r="G10313" s="29" t="n">
        <f aca="false">Sens!F10313+Sens!G10312</f>
        <v>8304.4</v>
      </c>
      <c r="H10313" s="29" t="n">
        <f aca="false">Sens!G10313+Sens!H10312</f>
        <v>10831.6</v>
      </c>
      <c r="I10313" s="29" t="n">
        <f aca="false">Sens!H10313+Sens!I10312</f>
        <v>12624.716</v>
      </c>
      <c r="J10313" s="29" t="n">
        <f aca="false">Sens!I10313+Sens!J10312</f>
        <v>13719.61032</v>
      </c>
      <c r="K10313" s="29" t="n">
        <f aca="false">Sens!J10313+Sens!K10312</f>
        <v>14131.1986296</v>
      </c>
      <c r="L10313" s="1" t="s">
        <v>812</v>
      </c>
    </row>
    <row r="10314" customFormat="false" ht="17.15" hidden="false" customHeight="false" outlineLevel="0" collapsed="false">
      <c r="A10314" s="1" t="s">
        <v>813</v>
      </c>
      <c r="B10314" s="0" t="s">
        <v>399</v>
      </c>
      <c r="C10314" s="29" t="n">
        <f aca="false">rent_ext_24</f>
        <v>150</v>
      </c>
      <c r="D10314" s="29" t="n">
        <f aca="false">rent_ext_25</f>
        <v>400</v>
      </c>
      <c r="E10314" s="29" t="n">
        <f aca="false">rent_ext_26</f>
        <v>550</v>
      </c>
      <c r="F10314" s="29" t="n">
        <f aca="false">rent_ext_f</f>
        <v>756</v>
      </c>
      <c r="G10314" s="29" t="n">
        <f aca="false">rent_ext_f</f>
        <v>756</v>
      </c>
      <c r="H10314" s="29" t="n">
        <f aca="false">rent_ext_f</f>
        <v>756</v>
      </c>
      <c r="I10314" s="29" t="n">
        <f aca="false">rent_ext_f</f>
        <v>756</v>
      </c>
      <c r="J10314" s="29" t="n">
        <f aca="false">rent_ext_f</f>
        <v>756</v>
      </c>
      <c r="K10314" s="29" t="n">
        <f aca="false">rent_ext_f</f>
        <v>756</v>
      </c>
      <c r="L10314" s="1" t="s">
        <v>814</v>
      </c>
    </row>
    <row r="10315" customFormat="false" ht="17.15" hidden="false" customHeight="false" outlineLevel="0" collapsed="false">
      <c r="A10315" s="1" t="s">
        <v>815</v>
      </c>
      <c r="B10315" s="0" t="s">
        <v>399</v>
      </c>
      <c r="C10315" s="29" t="n">
        <f aca="false">Sens!C10313-Sens!C10314</f>
        <v>490</v>
      </c>
      <c r="D10315" s="29" t="n">
        <f aca="false">Sens!D10313-Sens!D10314</f>
        <v>1230</v>
      </c>
      <c r="E10315" s="29" t="n">
        <f aca="false">Sens!E10313-Sens!E10314</f>
        <v>2700</v>
      </c>
      <c r="F10315" s="29" t="n">
        <f aca="false">Sens!F10313-Sens!F10314</f>
        <v>5021.2</v>
      </c>
      <c r="G10315" s="29" t="n">
        <f aca="false">Sens!G10313-Sens!G10314</f>
        <v>7548.4</v>
      </c>
      <c r="H10315" s="29" t="n">
        <f aca="false">Sens!H10313-Sens!H10314</f>
        <v>10075.6</v>
      </c>
      <c r="I10315" s="29" t="n">
        <f aca="false">Sens!I10313-Sens!I10314</f>
        <v>11868.716</v>
      </c>
      <c r="J10315" s="29" t="n">
        <f aca="false">Sens!J10313-Sens!J10314</f>
        <v>12963.61032</v>
      </c>
      <c r="K10315" s="29" t="n">
        <f aca="false">Sens!K10313-Sens!K10314</f>
        <v>13375.1986296</v>
      </c>
    </row>
    <row r="10316" customFormat="false" ht="17.15" hidden="false" customHeight="false" outlineLevel="0" collapsed="false">
      <c r="A10316" s="1" t="s">
        <v>816</v>
      </c>
      <c r="B10316" s="0" t="s">
        <v>399</v>
      </c>
      <c r="C10316" s="29" t="n">
        <f aca="false">Sens!C10315/ext_sh</f>
        <v>816.666666666667</v>
      </c>
      <c r="D10316" s="29" t="n">
        <f aca="false">Sens!D10315/ext_sh</f>
        <v>2050</v>
      </c>
      <c r="E10316" s="29" t="n">
        <f aca="false">Sens!E10315/ext_sh</f>
        <v>4500</v>
      </c>
      <c r="F10316" s="29" t="n">
        <f aca="false">Sens!F10315/ext_sh</f>
        <v>8368.66666666667</v>
      </c>
      <c r="G10316" s="29" t="n">
        <f aca="false">Sens!G10315/ext_sh</f>
        <v>12580.6666666667</v>
      </c>
      <c r="H10316" s="29" t="n">
        <f aca="false">Sens!H10315/ext_sh</f>
        <v>16792.6666666667</v>
      </c>
      <c r="I10316" s="29" t="n">
        <f aca="false">Sens!I10315/ext_sh</f>
        <v>19781.1933333333</v>
      </c>
      <c r="J10316" s="29" t="n">
        <f aca="false">Sens!J10315/ext_sh</f>
        <v>21606.0172</v>
      </c>
      <c r="K10316" s="29" t="n">
        <f aca="false">Sens!K10315/ext_sh</f>
        <v>22291.997716</v>
      </c>
      <c r="L10316" s="1" t="s">
        <v>817</v>
      </c>
    </row>
    <row r="10317" customFormat="false" ht="17.15" hidden="false" customHeight="false" outlineLevel="0" collapsed="false">
      <c r="A10317" s="1" t="s">
        <v>818</v>
      </c>
      <c r="B10317" s="0" t="s">
        <v>399</v>
      </c>
      <c r="C10317" s="29" t="n">
        <f aca="false">Sens!C10316-Sens!C10315</f>
        <v>326.666666666667</v>
      </c>
      <c r="D10317" s="29" t="n">
        <f aca="false">Sens!D10316-Sens!D10315</f>
        <v>820</v>
      </c>
      <c r="E10317" s="29" t="n">
        <f aca="false">Sens!E10316-Sens!E10315</f>
        <v>1800</v>
      </c>
      <c r="F10317" s="29" t="n">
        <f aca="false">Sens!F10316-Sens!F10315</f>
        <v>3347.46666666667</v>
      </c>
      <c r="G10317" s="29" t="n">
        <f aca="false">Sens!G10316-Sens!G10315</f>
        <v>5032.26666666667</v>
      </c>
      <c r="H10317" s="29" t="n">
        <f aca="false">Sens!H10316-Sens!H10315</f>
        <v>6717.06666666667</v>
      </c>
      <c r="I10317" s="29" t="n">
        <f aca="false">Sens!I10316-Sens!I10315</f>
        <v>7912.47733333333</v>
      </c>
      <c r="J10317" s="29" t="n">
        <f aca="false">Sens!J10316-Sens!J10315</f>
        <v>8642.40688</v>
      </c>
      <c r="K10317" s="29" t="n">
        <f aca="false">Sens!K10316-Sens!K10315</f>
        <v>8916.7990864</v>
      </c>
    </row>
    <row r="10318" customFormat="false" ht="17.15" hidden="false" customHeight="false" outlineLevel="0" collapsed="false">
      <c r="A10318" s="1" t="s">
        <v>819</v>
      </c>
      <c r="B10318" s="0" t="s">
        <v>399</v>
      </c>
      <c r="C10318" s="29" t="n">
        <f aca="false">Sens!C10316</f>
        <v>816.666666666667</v>
      </c>
      <c r="D10318" s="29" t="n">
        <f aca="false">Sens!D10316-Sens!C10316</f>
        <v>1233.33333333333</v>
      </c>
      <c r="E10318" s="29" t="n">
        <f aca="false">Sens!E10316-Sens!D10316</f>
        <v>2450</v>
      </c>
      <c r="F10318" s="29" t="n">
        <f aca="false">Sens!F10316-Sens!E10316</f>
        <v>3868.66666666667</v>
      </c>
      <c r="G10318" s="29" t="n">
        <f aca="false">Sens!G10316-Sens!F10316</f>
        <v>4212</v>
      </c>
      <c r="H10318" s="29" t="n">
        <f aca="false">Sens!H10316-Sens!G10316</f>
        <v>4212</v>
      </c>
      <c r="I10318" s="29" t="n">
        <f aca="false">Sens!I10316-Sens!H10316</f>
        <v>2988.52666666667</v>
      </c>
      <c r="J10318" s="29" t="n">
        <f aca="false">Sens!J10316-Sens!I10316</f>
        <v>1824.82386666667</v>
      </c>
      <c r="K10318" s="29" t="n">
        <f aca="false">Sens!K10316-Sens!J10316</f>
        <v>685.980516</v>
      </c>
    </row>
    <row r="10319" customFormat="false" ht="17.15" hidden="false" customHeight="false" outlineLevel="0" collapsed="false">
      <c r="A10319" s="1" t="s">
        <v>820</v>
      </c>
      <c r="B10319" s="0" t="s">
        <v>399</v>
      </c>
      <c r="D10319" s="29" t="n">
        <f aca="false">Sens!D10313-Sens!C10313</f>
        <v>990</v>
      </c>
      <c r="E10319" s="29" t="n">
        <f aca="false">Sens!E10313-Sens!D10313</f>
        <v>1620</v>
      </c>
      <c r="F10319" s="29" t="n">
        <f aca="false">Sens!F10313-Sens!E10313</f>
        <v>2527.2</v>
      </c>
      <c r="G10319" s="29" t="n">
        <f aca="false">Sens!G10313-Sens!F10313</f>
        <v>2527.2</v>
      </c>
      <c r="H10319" s="29" t="n">
        <f aca="false">Sens!H10313-Sens!G10313</f>
        <v>2527.2</v>
      </c>
      <c r="I10319" s="29" t="n">
        <f aca="false">Sens!I10313-Sens!H10313</f>
        <v>1793.116</v>
      </c>
      <c r="J10319" s="29" t="n">
        <f aca="false">Sens!J10313-Sens!I10313</f>
        <v>1094.89432</v>
      </c>
      <c r="K10319" s="29" t="n">
        <f aca="false">Sens!K10313-Sens!J10313</f>
        <v>411.5883096</v>
      </c>
    </row>
    <row r="10320" customFormat="false" ht="17.15" hidden="false" customHeight="false" outlineLevel="0" collapsed="false">
      <c r="A10320" s="1" t="s">
        <v>821</v>
      </c>
      <c r="B10320" s="0" t="s">
        <v>399</v>
      </c>
      <c r="F10320" s="29" t="n">
        <f aca="false">Sens!F10337*ext_sh</f>
        <v>0</v>
      </c>
      <c r="G10320" s="29" t="n">
        <f aca="false">Sens!G10337*ext_sh</f>
        <v>0</v>
      </c>
      <c r="H10320" s="29" t="n">
        <f aca="false">Sens!H10337*ext_sh</f>
        <v>0</v>
      </c>
      <c r="I10320" s="29" t="n">
        <f aca="false">Sens!I10337*ext_sh</f>
        <v>490</v>
      </c>
      <c r="J10320" s="29" t="n">
        <f aca="false">Sens!J10337*ext_sh</f>
        <v>740</v>
      </c>
      <c r="K10320" s="29" t="n">
        <f aca="false">Sens!K10337*ext_sh</f>
        <v>1470</v>
      </c>
      <c r="L10320" s="1" t="s">
        <v>822</v>
      </c>
    </row>
    <row r="10321" customFormat="false" ht="17.15" hidden="false" customHeight="false" outlineLevel="0" collapsed="false">
      <c r="A10321" s="1" t="s">
        <v>823</v>
      </c>
      <c r="B10321" s="0" t="s">
        <v>399</v>
      </c>
      <c r="C10321" s="29" t="n">
        <f aca="false">mix_h*Sens!C10313</f>
        <v>128</v>
      </c>
      <c r="D10321" s="29" t="n">
        <f aca="false">mix_h*Sens!D10313</f>
        <v>326</v>
      </c>
      <c r="E10321" s="29" t="n">
        <f aca="false">mix_h*Sens!E10313</f>
        <v>650</v>
      </c>
      <c r="F10321" s="29" t="n">
        <f aca="false">Sens!E10321-Sens!F10320*mix_h</f>
        <v>650</v>
      </c>
      <c r="G10321" s="29" t="n">
        <f aca="false">Sens!F10321-Sens!G10320*mix_h</f>
        <v>650</v>
      </c>
      <c r="H10321" s="29" t="n">
        <f aca="false">Sens!G10321-Sens!H10320*mix_h</f>
        <v>650</v>
      </c>
      <c r="I10321" s="29" t="n">
        <f aca="false">Sens!H10321-Sens!I10320*mix_h</f>
        <v>552</v>
      </c>
      <c r="J10321" s="29" t="n">
        <f aca="false">Sens!I10321-Sens!J10320*mix_h</f>
        <v>404</v>
      </c>
      <c r="K10321" s="29" t="n">
        <f aca="false">Sens!J10321-Sens!K10320*mix_h</f>
        <v>110</v>
      </c>
    </row>
    <row r="10322" customFormat="false" ht="17.15" hidden="false" customHeight="false" outlineLevel="0" collapsed="false">
      <c r="A10322" s="1" t="s">
        <v>824</v>
      </c>
      <c r="B10322" s="0" t="s">
        <v>399</v>
      </c>
      <c r="C10322" s="29" t="n">
        <f aca="false">mix_g2*Sens!C10313</f>
        <v>288</v>
      </c>
      <c r="D10322" s="29" t="n">
        <f aca="false">mix_g2*Sens!D10313</f>
        <v>733.5</v>
      </c>
      <c r="E10322" s="29" t="n">
        <f aca="false">mix_g2*Sens!E10313</f>
        <v>1462.5</v>
      </c>
      <c r="F10322" s="29" t="n">
        <f aca="false">Sens!E10322-Sens!F10320*mix_g2</f>
        <v>1462.5</v>
      </c>
      <c r="G10322" s="29" t="n">
        <f aca="false">Sens!F10322-Sens!G10320*mix_g2</f>
        <v>1462.5</v>
      </c>
      <c r="H10322" s="29" t="n">
        <f aca="false">Sens!G10322-Sens!H10320*mix_g2</f>
        <v>1462.5</v>
      </c>
      <c r="I10322" s="29" t="n">
        <f aca="false">Sens!H10322-Sens!I10320*mix_g2</f>
        <v>1242</v>
      </c>
      <c r="J10322" s="29" t="n">
        <f aca="false">Sens!I10322-Sens!J10320*mix_g2</f>
        <v>909</v>
      </c>
      <c r="K10322" s="29" t="n">
        <f aca="false">Sens!J10322-Sens!K10320*mix_g2</f>
        <v>247.5</v>
      </c>
    </row>
    <row r="10323" customFormat="false" ht="17.15" hidden="false" customHeight="false" outlineLevel="0" collapsed="false">
      <c r="A10323" s="1" t="s">
        <v>825</v>
      </c>
      <c r="B10323" s="0" t="s">
        <v>399</v>
      </c>
      <c r="C10323" s="29" t="n">
        <f aca="false">mix_g3*Sens!C10313</f>
        <v>224</v>
      </c>
      <c r="D10323" s="29" t="n">
        <f aca="false">mix_g3*Sens!D10313</f>
        <v>570.5</v>
      </c>
      <c r="E10323" s="29" t="n">
        <f aca="false">mix_g3*Sens!E10313</f>
        <v>1137.5</v>
      </c>
      <c r="F10323" s="29" t="n">
        <f aca="false">Sens!E10323+(Sens!F10319+Sens!F10320)*a_g3_27-Sens!F10320*mix_g3</f>
        <v>2906.54</v>
      </c>
      <c r="G10323" s="29" t="n">
        <f aca="false">Sens!F10323+(Sens!G10319+Sens!G10320)*a_g3_28-Sens!G10320*mix_g3</f>
        <v>3664.7</v>
      </c>
      <c r="H10323" s="29" t="n">
        <f aca="false">Sens!G10323+(Sens!H10319+Sens!H10320)*a_g3_29-Sens!H10320*mix_g3</f>
        <v>3917.42</v>
      </c>
      <c r="I10323" s="29" t="n">
        <f aca="false">Sens!H10323+(Sens!I10319+Sens!I10320)*a_g3_29-Sens!I10320*mix_g3</f>
        <v>3974.2316</v>
      </c>
      <c r="J10323" s="29" t="n">
        <f aca="false">Sens!I10323+(Sens!J10319+Sens!J10320)*a_g3_29-Sens!J10320*mix_g3</f>
        <v>3898.721032</v>
      </c>
      <c r="K10323" s="29" t="n">
        <f aca="false">Sens!J10323+(Sens!K10319+Sens!K10320)*a_g3_29-Sens!K10320*mix_g3</f>
        <v>3572.37986296</v>
      </c>
    </row>
    <row r="10324" customFormat="false" ht="17.15" hidden="false" customHeight="false" outlineLevel="0" collapsed="false">
      <c r="A10324" s="1" t="s">
        <v>826</v>
      </c>
      <c r="B10324" s="0" t="s">
        <v>399</v>
      </c>
      <c r="C10324" s="29" t="n">
        <v>0</v>
      </c>
      <c r="D10324" s="29" t="n">
        <v>0</v>
      </c>
      <c r="E10324" s="29" t="n">
        <v>0</v>
      </c>
      <c r="F10324" s="29" t="n">
        <f aca="false">Sens!E10324+(Sens!F10319+Sens!F10320)*(1-a_g3_27)</f>
        <v>758.16</v>
      </c>
      <c r="G10324" s="29" t="n">
        <f aca="false">Sens!F10324+(Sens!G10319+Sens!G10320)*(1-a_g3_28)</f>
        <v>2527.2</v>
      </c>
      <c r="H10324" s="29" t="n">
        <f aca="false">Sens!G10324+(Sens!H10319+Sens!H10320)*(1-a_g3_29)</f>
        <v>4801.68</v>
      </c>
      <c r="I10324" s="29" t="n">
        <f aca="false">Sens!H10324+(Sens!I10319+Sens!I10320)*(1-a_g3_29)</f>
        <v>6856.4844</v>
      </c>
      <c r="J10324" s="29" t="n">
        <f aca="false">Sens!I10324+(Sens!J10319+Sens!J10320)*(1-a_g3_29)</f>
        <v>8507.889288</v>
      </c>
      <c r="K10324" s="29" t="n">
        <f aca="false">Sens!J10324+(Sens!K10319+Sens!K10320)*(1-a_g3_29)</f>
        <v>10201.31876664</v>
      </c>
    </row>
    <row r="10325" customFormat="false" ht="17.15" hidden="false" customHeight="false" outlineLevel="0" collapsed="false">
      <c r="A10325" s="1" t="s">
        <v>827</v>
      </c>
      <c r="B10325" s="0" t="s">
        <v>346</v>
      </c>
      <c r="C10325" s="14" t="n">
        <f aca="false">(Sens!C10321*tk_hold_h100+Sens!C10322*tk_hold_gb200+Sens!C10323*tk_hold_gb300+Sens!C10324*tk_hold_vr200)/Sens!C10313</f>
        <v>9.7235358126469</v>
      </c>
      <c r="D10325" s="14" t="n">
        <f aca="false">(Sens!D10321*tk_hold_h100+Sens!D10322*tk_hold_gb200+Sens!D10323*tk_hold_gb300+Sens!D10324*tk_hold_vr200)/Sens!D10313</f>
        <v>9.7235358126469</v>
      </c>
      <c r="E10325" s="14" t="n">
        <f aca="false">(Sens!E10321*tk_hold_h100+Sens!E10322*tk_hold_gb200+Sens!E10323*tk_hold_gb300+Sens!E10324*tk_hold_vr200)/Sens!E10313</f>
        <v>9.7235358126469</v>
      </c>
      <c r="F10325" s="14" t="n">
        <f aca="false">(Sens!F10321*tk_hold_h100+Sens!F10322*tk_hold_gb200+Sens!F10323*tk_hold_gb300+Sens!F10324*tk_hold_vr200)/Sens!F10313</f>
        <v>10.4079573161931</v>
      </c>
      <c r="G10325" s="14" t="n">
        <f aca="false">(Sens!G10321*tk_hold_h100+Sens!G10322*tk_hold_gb200+Sens!G10323*tk_hold_gb300+Sens!G10324*tk_hold_vr200)/Sens!G10313</f>
        <v>10.8388131109316</v>
      </c>
      <c r="H10325" s="14" t="n">
        <f aca="false">(Sens!H10321*tk_hold_h100+Sens!H10322*tk_hold_gb200+Sens!H10323*tk_hold_gb300+Sens!H10324*tk_hold_vr200)/Sens!H10313</f>
        <v>11.1311018388216</v>
      </c>
      <c r="I10325" s="14" t="n">
        <f aca="false">(Sens!I10321*tk_hold_h100+Sens!I10322*tk_hold_gb200+Sens!I10323*tk_hold_gb300+Sens!I10324*tk_hold_vr200)/Sens!I10313</f>
        <v>11.3594282560989</v>
      </c>
      <c r="J10325" s="14" t="n">
        <f aca="false">(Sens!J10321*tk_hold_h100+Sens!J10322*tk_hold_gb200+Sens!J10323*tk_hold_gb300+Sens!J10324*tk_hold_vr200)/Sens!J10313</f>
        <v>11.5455817917599</v>
      </c>
      <c r="K10325" s="14" t="n">
        <f aca="false">(Sens!K10321*tk_hold_h100+Sens!K10322*tk_hold_gb200+Sens!K10323*tk_hold_gb300+Sens!K10324*tk_hold_vr200)/Sens!K10313</f>
        <v>11.8078187977246</v>
      </c>
    </row>
    <row r="10326" customFormat="false" ht="17.15" hidden="false" customHeight="false" outlineLevel="0" collapsed="false">
      <c r="A10326" s="0" t="s">
        <v>828</v>
      </c>
      <c r="B10326" s="0" t="s">
        <v>185</v>
      </c>
      <c r="C10326" s="14" t="n">
        <f aca="false">k_B</f>
        <v>1.17213932619116</v>
      </c>
      <c r="D10326" s="14" t="n">
        <f aca="false">k_B</f>
        <v>1.17213932619116</v>
      </c>
      <c r="E10326" s="14" t="n">
        <f aca="false">k_B</f>
        <v>1.17213932619116</v>
      </c>
      <c r="F10326" s="14" t="n">
        <f aca="false">(k_B+((ls_C*k_long+(1-ls_C)*k_spot)-k_B)*MIN(1,(Sens!F10311-base_fy)/k_ramp))</f>
        <v>1.07843258004497</v>
      </c>
      <c r="G10326" s="14" t="n">
        <f aca="false">(k_B+((ls_C*k_long+(1-ls_C)*k_spot)-k_B)*MIN(1,(Sens!G10311-base_fy)/k_ramp))</f>
        <v>0.984725833898784</v>
      </c>
      <c r="H10326" s="14" t="n">
        <f aca="false">(k_B+((ls_C*k_long+(1-ls_C)*k_spot)-k_B)*MIN(1,(Sens!H10311-base_fy)/k_ramp))</f>
        <v>0.891019087752599</v>
      </c>
      <c r="I10326" s="14" t="n">
        <f aca="false">(k_B+((ls_C*k_long+(1-ls_C)*k_spot)-k_B)*MIN(1,(Sens!I10311-base_fy)/k_ramp))</f>
        <v>0.891019087752599</v>
      </c>
      <c r="J10326" s="14" t="n">
        <f aca="false">(k_B+((ls_C*k_long+(1-ls_C)*k_spot)-k_B)*MIN(1,(Sens!J10311-base_fy)/k_ramp))</f>
        <v>0.891019087752599</v>
      </c>
      <c r="K10326" s="14" t="n">
        <f aca="false">(k_B+((ls_C*k_long+(1-ls_C)*k_spot)-k_B)*MIN(1,(Sens!K10311-base_fy)/k_ramp))</f>
        <v>0.891019087752599</v>
      </c>
      <c r="L10326" s="1" t="s">
        <v>829</v>
      </c>
    </row>
    <row r="10327" customFormat="false" ht="17.15" hidden="false" customHeight="false" outlineLevel="0" collapsed="false">
      <c r="A10327" s="1" t="s">
        <v>830</v>
      </c>
      <c r="B10327" s="0" t="s">
        <v>346</v>
      </c>
      <c r="C10327" s="14" t="n">
        <f aca="false">Sens!C10325*Sens!C10326*chip_f</f>
        <v>11.3973387156315</v>
      </c>
      <c r="D10327" s="14" t="n">
        <f aca="false">Sens!D10325*Sens!D10326*chip_f</f>
        <v>11.3973387156315</v>
      </c>
      <c r="E10327" s="14" t="n">
        <f aca="false">Sens!E10325*Sens!E10326*chip_f</f>
        <v>11.3973387156315</v>
      </c>
      <c r="F10327" s="14" t="n">
        <f aca="false">Sens!F10325*Sens!F10326*chip_f</f>
        <v>11.2242802615</v>
      </c>
      <c r="G10327" s="14" t="n">
        <f aca="false">Sens!G10325*Sens!G10326*chip_f</f>
        <v>10.6732592791352</v>
      </c>
      <c r="H10327" s="14" t="n">
        <f aca="false">Sens!H10325*Sens!H10326*chip_f</f>
        <v>9.91802420610807</v>
      </c>
      <c r="I10327" s="14" t="n">
        <f aca="false">Sens!I10325*Sens!I10326*chip_f</f>
        <v>10.1214674021403</v>
      </c>
      <c r="J10327" s="14" t="n">
        <f aca="false">Sens!J10325*Sens!J10326*chip_f</f>
        <v>10.2873337556669</v>
      </c>
      <c r="K10327" s="14" t="n">
        <f aca="false">Sens!K10325*Sens!K10326*chip_f</f>
        <v>10.5209919334966</v>
      </c>
      <c r="L10327" s="1" t="s">
        <v>831</v>
      </c>
    </row>
    <row r="10328" customFormat="false" ht="17.15" hidden="false" customHeight="false" outlineLevel="0" collapsed="false">
      <c r="A10328" s="0" t="s">
        <v>832</v>
      </c>
      <c r="B10328" s="0" t="s">
        <v>98</v>
      </c>
      <c r="D10328" s="6" t="n">
        <f aca="false">(Sens!C10313+Sens!D10313)/2*Sens!D10327/1000</f>
        <v>12.9359794422418</v>
      </c>
      <c r="E10328" s="6" t="n">
        <f aca="false">(Sens!D10313+Sens!E10313)/2*Sens!E10327/1000</f>
        <v>27.8095064661409</v>
      </c>
      <c r="F10328" s="6" t="n">
        <f aca="false">(Sens!E10313+Sens!F10313)/2*Sens!F10327/1000</f>
        <v>50.6619113883066</v>
      </c>
      <c r="G10328" s="6" t="n">
        <f aca="false">(Sens!F10313+Sens!G10313)/2*Sens!G10327/1000</f>
        <v>75.1482839325348</v>
      </c>
      <c r="H10328" s="6" t="n">
        <f aca="false">(Sens!G10313+Sens!H10313)/2*Sens!H10327/1000</f>
        <v>94.895655604042</v>
      </c>
      <c r="I10328" s="6" t="n">
        <f aca="false">(Sens!H10313+Sens!I10313)/2*Sens!I10327/1000</f>
        <v>118.706168884151</v>
      </c>
      <c r="J10328" s="6" t="n">
        <f aca="false">(Sens!I10313+Sens!J10313)/2*Sens!J10327/1000</f>
        <v>135.50643871102</v>
      </c>
      <c r="K10328" s="6" t="n">
        <f aca="false">(Sens!J10313+Sens!K10313)/2*Sens!K10327/1000</f>
        <v>146.509068150048</v>
      </c>
      <c r="L10328" s="11" t="s">
        <v>833</v>
      </c>
    </row>
    <row r="10329" customFormat="false" ht="17.15" hidden="false" customHeight="false" outlineLevel="0" collapsed="false">
      <c r="A10329" s="1" t="s">
        <v>834</v>
      </c>
      <c r="B10329" s="0" t="s">
        <v>346</v>
      </c>
      <c r="C10329" s="14" t="n">
        <f aca="false">(Sens!C10321*tk_opex_h100+Sens!C10322*tk_opex_gb200+Sens!C10323*tk_opex_gb300+Sens!C10324*tk_opex_vr200)/Sens!C10313</f>
        <v>1.88636041306092</v>
      </c>
      <c r="D10329" s="14" t="n">
        <f aca="false">(Sens!D10321*tk_opex_h100+Sens!D10322*tk_opex_gb200+Sens!D10323*tk_opex_gb300+Sens!D10324*tk_opex_vr200)/Sens!D10313</f>
        <v>1.88636041306092</v>
      </c>
      <c r="E10329" s="14" t="n">
        <f aca="false">(Sens!E10321*tk_opex_h100+Sens!E10322*tk_opex_gb200+Sens!E10323*tk_opex_gb300+Sens!E10324*tk_opex_vr200)/Sens!E10313</f>
        <v>1.88636041306092</v>
      </c>
      <c r="F10329" s="14" t="n">
        <f aca="false">(Sens!F10321*tk_opex_h100+Sens!F10322*tk_opex_gb200+Sens!F10323*tk_opex_gb300+Sens!F10324*tk_opex_vr200)/Sens!F10313</f>
        <v>1.9430236476499</v>
      </c>
      <c r="G10329" s="14" t="n">
        <f aca="false">(Sens!G10321*tk_opex_h100+Sens!G10322*tk_opex_gb200+Sens!G10323*tk_opex_gb300+Sens!G10324*tk_opex_vr200)/Sens!G10313</f>
        <v>1.9786941852423</v>
      </c>
      <c r="H10329" s="14" t="n">
        <f aca="false">(Sens!H10321*tk_opex_h100+Sens!H10322*tk_opex_gb200+Sens!H10323*tk_opex_gb300+Sens!H10324*tk_opex_vr200)/Sens!H10313</f>
        <v>2.00289275976156</v>
      </c>
      <c r="I10329" s="14" t="n">
        <f aca="false">(Sens!I10321*tk_opex_h100+Sens!I10322*tk_opex_gb200+Sens!I10323*tk_opex_gb300+Sens!I10324*tk_opex_vr200)/Sens!I10313</f>
        <v>2.02179589661219</v>
      </c>
      <c r="J10329" s="14" t="n">
        <f aca="false">(Sens!J10321*tk_opex_h100+Sens!J10322*tk_opex_gb200+Sens!J10323*tk_opex_gb300+Sens!J10324*tk_opex_vr200)/Sens!J10313</f>
        <v>2.03720754193029</v>
      </c>
      <c r="K10329" s="14" t="n">
        <f aca="false">(Sens!K10321*tk_opex_h100+Sens!K10322*tk_opex_gb200+Sens!K10323*tk_opex_gb300+Sens!K10324*tk_opex_vr200)/Sens!K10313</f>
        <v>2.0589181353437</v>
      </c>
    </row>
    <row r="10330" customFormat="false" ht="17.15" hidden="false" customHeight="false" outlineLevel="0" collapsed="false">
      <c r="A10330" s="0" t="s">
        <v>835</v>
      </c>
      <c r="B10330" s="0" t="s">
        <v>98</v>
      </c>
      <c r="D10330" s="6" t="n">
        <f aca="false">(Sens!C10316+Sens!D10316)/2*Sens!D10329/1000</f>
        <v>2.70378325872065</v>
      </c>
      <c r="E10330" s="6" t="n">
        <f aca="false">(Sens!D10316+Sens!E10316)/2*Sens!E10329/1000</f>
        <v>6.17783035277451</v>
      </c>
      <c r="F10330" s="6" t="n">
        <f aca="false">(Sens!E10316+Sens!F10316)/2*Sens!F10329/1000</f>
        <v>12.5020618235287</v>
      </c>
      <c r="G10330" s="6" t="n">
        <f aca="false">(Sens!F10316+Sens!G10316)/2*Sens!G10329/1000</f>
        <v>20.7261620256847</v>
      </c>
      <c r="H10330" s="6" t="n">
        <f aca="false">(Sens!G10316+Sens!H10316)/2*Sens!H10329/1000</f>
        <v>29.4158183316982</v>
      </c>
      <c r="I10330" s="6" t="n">
        <f aca="false">(Sens!H10316+Sens!I10316)/2*Sens!I10329/1000</f>
        <v>36.9724400356344</v>
      </c>
      <c r="J10330" s="6" t="n">
        <f aca="false">(Sens!I10316+Sens!J10316)/2*Sens!J10329/1000</f>
        <v>42.1571687189816</v>
      </c>
      <c r="K10330" s="6" t="n">
        <f aca="false">(Sens!J10316+Sens!K10316)/2*Sens!K10329/1000</f>
        <v>45.1912095080704</v>
      </c>
    </row>
    <row r="10331" customFormat="false" ht="17.15" hidden="false" customHeight="false" outlineLevel="0" collapsed="false">
      <c r="A10331" s="0" t="s">
        <v>836</v>
      </c>
      <c r="B10331" s="0" t="s">
        <v>98</v>
      </c>
      <c r="D10331" s="6" t="n">
        <f aca="false">(Sens!C10314+Sens!D10314)/2*rent_mw/1000</f>
        <v>2.44475</v>
      </c>
      <c r="E10331" s="6" t="n">
        <f aca="false">(Sens!D10314+Sens!E10314)/2*rent_mw/1000</f>
        <v>4.22275</v>
      </c>
      <c r="F10331" s="6" t="n">
        <f aca="false">(Sens!E10314+Sens!F10314)/2*rent_mw/1000</f>
        <v>5.80517</v>
      </c>
      <c r="G10331" s="6" t="n">
        <f aca="false">(Sens!F10314+Sens!G10314)/2*rent_mw/1000</f>
        <v>6.72084</v>
      </c>
      <c r="H10331" s="6" t="n">
        <f aca="false">(Sens!G10314+Sens!H10314)/2*rent_mw/1000</f>
        <v>6.72084</v>
      </c>
      <c r="I10331" s="6" t="n">
        <f aca="false">(Sens!H10314+Sens!I10314)/2*rent_mw/1000</f>
        <v>6.72084</v>
      </c>
      <c r="J10331" s="6" t="n">
        <f aca="false">(Sens!I10314+Sens!J10314)/2*rent_mw/1000</f>
        <v>6.72084</v>
      </c>
      <c r="K10331" s="6" t="n">
        <f aca="false">(Sens!J10314+Sens!K10314)/2*rent_mw/1000</f>
        <v>6.72084</v>
      </c>
    </row>
    <row r="10332" customFormat="false" ht="17.15" hidden="false" customHeight="false" outlineLevel="0" collapsed="false">
      <c r="A10332" s="0" t="s">
        <v>837</v>
      </c>
      <c r="B10332" s="0" t="s">
        <v>98</v>
      </c>
      <c r="D10332" s="6" t="n">
        <f aca="false">(Sens!C10316+Sens!D10316)/2*(1-self_build)*fac_rent/1000</f>
        <v>0.853242375631075</v>
      </c>
      <c r="E10332" s="6" t="n">
        <f aca="false">(Sens!D10316+Sens!E10316)/2*(1-self_build)*fac_rent/1000</f>
        <v>1.94955961408728</v>
      </c>
      <c r="F10332" s="6" t="n">
        <f aca="false">(Sens!E10316+Sens!F10316)/2*(1-self_build)*fac_rent/1000</f>
        <v>3.83026455274573</v>
      </c>
      <c r="G10332" s="6" t="n">
        <f aca="false">(Sens!F10316+Sens!G10316)/2*(1-self_build)*fac_rent/1000</f>
        <v>6.23541590972812</v>
      </c>
      <c r="H10332" s="6" t="n">
        <f aca="false">(Sens!G10316+Sens!H10316)/2*(1-self_build)*fac_rent/1000</f>
        <v>8.74275792332679</v>
      </c>
      <c r="I10332" s="6" t="n">
        <f aca="false">(Sens!H10316+Sens!I10316)/2*(1-self_build)*fac_rent/1000</f>
        <v>10.8859420438599</v>
      </c>
      <c r="J10332" s="6" t="n">
        <f aca="false">(Sens!I10316+Sens!J10316)/2*(1-self_build)*fac_rent/1000</f>
        <v>12.3186006405366</v>
      </c>
      <c r="K10332" s="6" t="n">
        <f aca="false">(Sens!J10316+Sens!K10316)/2*(1-self_build)*fac_rent/1000</f>
        <v>13.0659232089824</v>
      </c>
      <c r="L10332" s="11" t="s">
        <v>838</v>
      </c>
    </row>
    <row r="10333" customFormat="false" ht="17.15" hidden="false" customHeight="false" outlineLevel="0" collapsed="false">
      <c r="A10333" s="1" t="s">
        <v>839</v>
      </c>
      <c r="B10333" s="0" t="s">
        <v>129</v>
      </c>
      <c r="D10333" s="7" t="n">
        <f aca="false">(Sens!C10315+Sens!D10315)/(Sens!C10316+Sens!D10316)</f>
        <v>0.6</v>
      </c>
      <c r="E10333" s="7" t="n">
        <f aca="false">(Sens!D10315+Sens!E10315)/(Sens!D10316+Sens!E10316)</f>
        <v>0.6</v>
      </c>
      <c r="F10333" s="7" t="n">
        <f aca="false">(Sens!E10315+Sens!F10315)/(Sens!E10316+Sens!F10316)</f>
        <v>0.6</v>
      </c>
      <c r="G10333" s="7" t="n">
        <f aca="false">(Sens!F10315+Sens!G10315)/(Sens!F10316+Sens!G10316)</f>
        <v>0.6</v>
      </c>
      <c r="H10333" s="7" t="n">
        <f aca="false">(Sens!G10315+Sens!H10315)/(Sens!G10316+Sens!H10316)</f>
        <v>0.6</v>
      </c>
      <c r="I10333" s="7" t="n">
        <f aca="false">(Sens!H10315+Sens!I10315)/(Sens!H10316+Sens!I10316)</f>
        <v>0.6</v>
      </c>
      <c r="J10333" s="7" t="n">
        <f aca="false">(Sens!I10315+Sens!J10315)/(Sens!I10316+Sens!J10316)</f>
        <v>0.6</v>
      </c>
      <c r="K10333" s="7" t="n">
        <f aca="false">(Sens!J10315+Sens!K10315)/(Sens!J10316+Sens!K10316)</f>
        <v>0.6</v>
      </c>
    </row>
    <row r="10334" customFormat="false" ht="17.15" hidden="false" customHeight="false" outlineLevel="0" collapsed="false">
      <c r="A10334" s="0" t="s">
        <v>840</v>
      </c>
      <c r="B10334" s="0" t="s">
        <v>98</v>
      </c>
      <c r="D10334" s="6" t="n">
        <f aca="false">Sens!D10328-Sens!D10333*(Sens!D10330+Sens!D10332)-Sens!D10331</f>
        <v>8.35701406163072</v>
      </c>
      <c r="E10334" s="6" t="n">
        <f aca="false">Sens!E10328-Sens!E10333*(Sens!E10330+Sens!E10332)-Sens!E10331</f>
        <v>18.7103224860238</v>
      </c>
      <c r="F10334" s="6" t="n">
        <f aca="false">Sens!F10328-Sens!F10333*(Sens!F10330+Sens!F10332)-Sens!F10331</f>
        <v>35.0573455625419</v>
      </c>
      <c r="G10334" s="6" t="n">
        <f aca="false">Sens!G10328-Sens!G10333*(Sens!G10330+Sens!G10332)-Sens!G10331</f>
        <v>52.2504971712871</v>
      </c>
      <c r="H10334" s="6" t="n">
        <f aca="false">Sens!H10328-Sens!H10333*(Sens!H10330+Sens!H10332)-Sens!H10331</f>
        <v>65.2796698510271</v>
      </c>
      <c r="I10334" s="6" t="n">
        <f aca="false">Sens!I10328-Sens!I10333*(Sens!I10330+Sens!I10332)-Sens!I10331</f>
        <v>83.2702996364549</v>
      </c>
      <c r="J10334" s="6" t="n">
        <f aca="false">Sens!J10328-Sens!J10333*(Sens!J10330+Sens!J10332)-Sens!J10331</f>
        <v>96.1001370953095</v>
      </c>
      <c r="K10334" s="6" t="n">
        <f aca="false">Sens!K10328-Sens!K10333*(Sens!K10330+Sens!K10332)-Sens!K10331</f>
        <v>104.833948519816</v>
      </c>
    </row>
    <row r="10335" customFormat="false" ht="17.15" hidden="false" customHeight="false" outlineLevel="0" collapsed="false">
      <c r="A10335" s="1" t="s">
        <v>841</v>
      </c>
      <c r="B10335" s="0" t="s">
        <v>98</v>
      </c>
      <c r="D10335" s="6" t="n">
        <f aca="false">(1-Sens!D10333)*(Sens!D10330+Sens!D10332)</f>
        <v>1.42281025374069</v>
      </c>
      <c r="E10335" s="6" t="n">
        <f aca="false">(1-Sens!E10333)*(Sens!E10330+Sens!E10332)</f>
        <v>3.25095598674472</v>
      </c>
      <c r="F10335" s="6" t="n">
        <f aca="false">(1-Sens!F10333)*(Sens!F10330+Sens!F10332)</f>
        <v>6.53293055050977</v>
      </c>
      <c r="G10335" s="6" t="n">
        <f aca="false">(1-Sens!G10333)*(Sens!G10330+Sens!G10332)</f>
        <v>10.7846311741651</v>
      </c>
      <c r="H10335" s="6" t="n">
        <f aca="false">(1-Sens!H10333)*(Sens!H10330+Sens!H10332)</f>
        <v>15.26343050201</v>
      </c>
      <c r="I10335" s="6" t="n">
        <f aca="false">(1-Sens!I10333)*(Sens!I10330+Sens!I10332)</f>
        <v>19.1433528317977</v>
      </c>
      <c r="J10335" s="6" t="n">
        <f aca="false">(1-Sens!J10333)*(Sens!J10330+Sens!J10332)</f>
        <v>21.7903077438073</v>
      </c>
      <c r="K10335" s="6" t="n">
        <f aca="false">(1-Sens!K10333)*(Sens!K10330+Sens!K10332)</f>
        <v>23.3028530868211</v>
      </c>
    </row>
    <row r="10336" customFormat="false" ht="17.15" hidden="false" customHeight="false" outlineLevel="0" collapsed="false">
      <c r="A10336" s="1" t="s">
        <v>842</v>
      </c>
      <c r="B10336" s="0" t="s">
        <v>357</v>
      </c>
      <c r="C10336" s="8" t="n">
        <f aca="false">cxit_open</f>
        <v>27.5918995</v>
      </c>
      <c r="D10336" s="8" t="n">
        <f aca="false">cxit_open</f>
        <v>27.5918995</v>
      </c>
      <c r="E10336" s="8" t="n">
        <f aca="false">cxit_open</f>
        <v>27.5918995</v>
      </c>
      <c r="F10336" s="8" t="n">
        <f aca="false">(a_g3_27*tk_cxit_gb300+(1-a_g3_27)*tk_cxit_vr200)</f>
        <v>33.8419624</v>
      </c>
      <c r="G10336" s="8" t="n">
        <f aca="false">(a_g3_28*tk_cxit_gb300+(1-a_g3_28)*tk_cxit_vr200)</f>
        <v>35.9816136</v>
      </c>
      <c r="H10336" s="8" t="n">
        <f aca="false">(a_g3_29*tk_cxit_gb300+(1-a_g3_29)*tk_cxit_vr200)</f>
        <v>37.0514392</v>
      </c>
      <c r="I10336" s="8" t="n">
        <f aca="false">(a_g3_29*tk_cxit_gb300+(1-a_g3_29)*tk_cxit_vr200)</f>
        <v>37.0514392</v>
      </c>
      <c r="J10336" s="8" t="n">
        <f aca="false">(a_g3_29*tk_cxit_gb300+(1-a_g3_29)*tk_cxit_vr200)</f>
        <v>37.0514392</v>
      </c>
      <c r="K10336" s="8" t="n">
        <f aca="false">(a_g3_29*tk_cxit_gb300+(1-a_g3_29)*tk_cxit_vr200)</f>
        <v>37.0514392</v>
      </c>
      <c r="L10336" s="11" t="s">
        <v>843</v>
      </c>
    </row>
    <row r="10337" customFormat="false" ht="17.15" hidden="false" customHeight="false" outlineLevel="0" collapsed="false">
      <c r="A10337" s="0" t="s">
        <v>844</v>
      </c>
      <c r="B10337" s="0" t="s">
        <v>399</v>
      </c>
      <c r="F10337" s="29" t="n">
        <f aca="false">Sens!C10318*IF(Sens!F10311-Sens!C10311=life_it,1,0)+Sens!D10318*IF(Sens!F10311-Sens!D10311=life_it,1,0)+Sens!E10318*IF(Sens!F10311-Sens!E10311=life_it,1,0)</f>
        <v>0</v>
      </c>
      <c r="G10337" s="29" t="n">
        <f aca="false">Sens!C10318*IF(Sens!G10311-Sens!C10311=life_it,1,0)+Sens!D10318*IF(Sens!G10311-Sens!D10311=life_it,1,0)+Sens!E10318*IF(Sens!G10311-Sens!E10311=life_it,1,0)+Sens!F10318*IF(Sens!G10311-Sens!F10311=life_it,1,0)</f>
        <v>0</v>
      </c>
      <c r="H10337" s="29" t="n">
        <f aca="false">Sens!C10318*IF(Sens!H10311-Sens!C10311=life_it,1,0)+Sens!D10318*IF(Sens!H10311-Sens!D10311=life_it,1,0)+Sens!E10318*IF(Sens!H10311-Sens!E10311=life_it,1,0)+Sens!F10318*IF(Sens!H10311-Sens!F10311=life_it,1,0)+Sens!G10318*IF(Sens!H10311-Sens!G10311=life_it,1,0)</f>
        <v>0</v>
      </c>
      <c r="I10337" s="29" t="n">
        <f aca="false">Sens!C10318*IF(Sens!I10311-Sens!C10311=life_it,1,0)+Sens!D10318*IF(Sens!I10311-Sens!D10311=life_it,1,0)+Sens!E10318*IF(Sens!I10311-Sens!E10311=life_it,1,0)+Sens!F10318*IF(Sens!I10311-Sens!F10311=life_it,1,0)+Sens!G10318*IF(Sens!I10311-Sens!G10311=life_it,1,0)+Sens!H10318*IF(Sens!I10311-Sens!H10311=life_it,1,0)</f>
        <v>816.666666666667</v>
      </c>
      <c r="J10337" s="29" t="n">
        <f aca="false">Sens!C10318*IF(Sens!J10311-Sens!C10311=life_it,1,0)+Sens!D10318*IF(Sens!J10311-Sens!D10311=life_it,1,0)+Sens!E10318*IF(Sens!J10311-Sens!E10311=life_it,1,0)+Sens!F10318*IF(Sens!J10311-Sens!F10311=life_it,1,0)+Sens!G10318*IF(Sens!J10311-Sens!G10311=life_it,1,0)+Sens!H10318*IF(Sens!J10311-Sens!H10311=life_it,1,0)+Sens!I10318*IF(Sens!J10311-Sens!I10311=life_it,1,0)</f>
        <v>1233.33333333333</v>
      </c>
      <c r="K10337" s="29" t="n">
        <f aca="false">Sens!C10318*IF(Sens!K10311-Sens!C10311=life_it,1,0)+Sens!D10318*IF(Sens!K10311-Sens!D10311=life_it,1,0)+Sens!E10318*IF(Sens!K10311-Sens!E10311=life_it,1,0)+Sens!F10318*IF(Sens!K10311-Sens!F10311=life_it,1,0)+Sens!G10318*IF(Sens!K10311-Sens!G10311=life_it,1,0)+Sens!H10318*IF(Sens!K10311-Sens!H10311=life_it,1,0)+Sens!I10318*IF(Sens!K10311-Sens!I10311=life_it,1,0)+Sens!J10318*IF(Sens!K10311-Sens!J10311=life_it,1,0)</f>
        <v>2450</v>
      </c>
      <c r="L10337" s="1" t="s">
        <v>845</v>
      </c>
    </row>
    <row r="10338" customFormat="false" ht="17.15" hidden="false" customHeight="false" outlineLevel="0" collapsed="false">
      <c r="A10338" s="0" t="s">
        <v>846</v>
      </c>
      <c r="B10338" s="0" t="s">
        <v>98</v>
      </c>
      <c r="C10338" s="6" t="n">
        <f aca="false">Sens!C10318*Sens!C10336/1000</f>
        <v>22.5333845916667</v>
      </c>
      <c r="D10338" s="6" t="n">
        <f aca="false">Sens!D10318*Sens!D10336/1000</f>
        <v>34.0300093833333</v>
      </c>
      <c r="E10338" s="6" t="n">
        <f aca="false">Sens!E10318*Sens!E10336/1000</f>
        <v>67.600153775</v>
      </c>
      <c r="F10338" s="6" t="n">
        <f aca="false">(Sens!F10318+Sens!F10337)*Sens!F10336/1000</f>
        <v>130.923271871467</v>
      </c>
      <c r="G10338" s="6" t="n">
        <f aca="false">(Sens!G10318+Sens!G10337)*Sens!G10336/1000</f>
        <v>151.5545564832</v>
      </c>
      <c r="H10338" s="6" t="n">
        <f aca="false">(Sens!H10318+Sens!H10337)*Sens!H10336/1000</f>
        <v>156.0606619104</v>
      </c>
      <c r="I10338" s="6" t="n">
        <f aca="false">(Sens!I10318+Sens!I10337)*Sens!I10336/1000</f>
        <v>140.987889434245</v>
      </c>
      <c r="J10338" s="6" t="n">
        <f aca="false">(Sens!J10318+Sens!J10337)*Sens!J10336/1000</f>
        <v>113.309125559842</v>
      </c>
      <c r="K10338" s="6" t="n">
        <f aca="false">(Sens!K10318+Sens!K10337)*Sens!K10336/1000</f>
        <v>116.192591420959</v>
      </c>
    </row>
    <row r="10339" customFormat="false" ht="17.15" hidden="false" customHeight="false" outlineLevel="0" collapsed="false">
      <c r="A10339" s="0" t="s">
        <v>847</v>
      </c>
      <c r="B10339" s="0" t="s">
        <v>98</v>
      </c>
      <c r="C10339" s="6" t="n">
        <f aca="false">Sens!C10318*self_build*tk_cxfac/1000</f>
        <v>6.2083</v>
      </c>
      <c r="D10339" s="6" t="n">
        <f aca="false">Sens!D10318*self_build*tk_cxfac/1000</f>
        <v>9.3758</v>
      </c>
      <c r="E10339" s="6" t="n">
        <f aca="false">Sens!E10318*self_build*tk_cxfac/1000</f>
        <v>18.6249</v>
      </c>
      <c r="F10339" s="6" t="n">
        <f aca="false">Sens!F10318*self_build*tk_cxfac/1000</f>
        <v>29.409604</v>
      </c>
      <c r="G10339" s="6" t="n">
        <f aca="false">Sens!G10318*self_build*tk_cxfac/1000</f>
        <v>32.019624</v>
      </c>
      <c r="H10339" s="6" t="n">
        <f aca="false">Sens!H10318*self_build*tk_cxfac/1000</f>
        <v>32.019624</v>
      </c>
      <c r="I10339" s="6" t="n">
        <f aca="false">Sens!I10318*self_build*tk_cxfac/1000</f>
        <v>22.71877972</v>
      </c>
      <c r="J10339" s="6" t="n">
        <f aca="false">Sens!J10318*self_build*tk_cxfac/1000</f>
        <v>13.8723110344</v>
      </c>
      <c r="K10339" s="6" t="n">
        <f aca="false">Sens!K10318*self_build*tk_cxfac/1000</f>
        <v>5.214823882632</v>
      </c>
    </row>
    <row r="10340" customFormat="false" ht="17.15" hidden="false" customHeight="false" outlineLevel="0" collapsed="false">
      <c r="A10340" s="0" t="s">
        <v>848</v>
      </c>
      <c r="B10340" s="0" t="s">
        <v>98</v>
      </c>
      <c r="F10340" s="6" t="n">
        <f aca="false">MAX(0,capex_floor27-Sens!F10338-Sens!F10339-Sens!F10434)</f>
        <v>8.44213489897089</v>
      </c>
    </row>
    <row r="10341" customFormat="false" ht="17.15" hidden="false" customHeight="false" outlineLevel="0" collapsed="false">
      <c r="A10341" s="0" t="s">
        <v>849</v>
      </c>
      <c r="B10341" s="0" t="s">
        <v>98</v>
      </c>
      <c r="C10341" s="6" t="n">
        <f aca="false">Sens!C10338</f>
        <v>22.5333845916667</v>
      </c>
      <c r="D10341" s="6" t="n">
        <f aca="false">Sens!D10338</f>
        <v>34.0300093833333</v>
      </c>
      <c r="E10341" s="6" t="n">
        <f aca="false">Sens!E10338</f>
        <v>67.600153775</v>
      </c>
      <c r="F10341" s="6" t="n">
        <f aca="false">Sens!F10338</f>
        <v>130.923271871467</v>
      </c>
      <c r="G10341" s="6" t="n">
        <f aca="false">Sens!G10338</f>
        <v>151.5545564832</v>
      </c>
      <c r="H10341" s="6" t="n">
        <f aca="false">Sens!H10338</f>
        <v>156.0606619104</v>
      </c>
      <c r="I10341" s="6" t="n">
        <f aca="false">Sens!I10338</f>
        <v>140.987889434245</v>
      </c>
      <c r="J10341" s="6" t="n">
        <f aca="false">Sens!J10338</f>
        <v>113.309125559842</v>
      </c>
      <c r="K10341" s="6" t="n">
        <f aca="false">Sens!K10338</f>
        <v>116.192591420959</v>
      </c>
    </row>
    <row r="10342" customFormat="false" ht="17.15" hidden="false" customHeight="false" outlineLevel="0" collapsed="false">
      <c r="A10342" s="0" t="s">
        <v>850</v>
      </c>
      <c r="B10342" s="0" t="s">
        <v>98</v>
      </c>
      <c r="C10342" s="6" t="n">
        <f aca="false">Sens!C10341+Sens!C10339</f>
        <v>28.7416845916667</v>
      </c>
      <c r="D10342" s="6" t="n">
        <f aca="false">Sens!D10341+Sens!D10339</f>
        <v>43.4058093833333</v>
      </c>
      <c r="E10342" s="6" t="n">
        <f aca="false">Sens!E10341+Sens!E10339</f>
        <v>86.225053775</v>
      </c>
      <c r="F10342" s="6" t="n">
        <f aca="false">Sens!F10341+Sens!F10339</f>
        <v>160.332875871467</v>
      </c>
      <c r="G10342" s="6" t="n">
        <f aca="false">Sens!G10341+Sens!G10339</f>
        <v>183.5741804832</v>
      </c>
      <c r="H10342" s="6" t="n">
        <f aca="false">Sens!H10341+Sens!H10339</f>
        <v>188.0802859104</v>
      </c>
      <c r="I10342" s="6" t="n">
        <f aca="false">Sens!I10341+Sens!I10339</f>
        <v>163.706669154245</v>
      </c>
      <c r="J10342" s="6" t="n">
        <f aca="false">Sens!J10341+Sens!J10339</f>
        <v>127.181436594242</v>
      </c>
      <c r="K10342" s="6" t="n">
        <f aca="false">Sens!K10341+Sens!K10339</f>
        <v>121.407415303591</v>
      </c>
      <c r="L10342" s="11" t="s">
        <v>851</v>
      </c>
    </row>
    <row r="10343" customFormat="false" ht="17.15" hidden="false" customHeight="false" outlineLevel="0" collapsed="false">
      <c r="A10343" s="0" t="s">
        <v>852</v>
      </c>
      <c r="B10343" s="0" t="s">
        <v>98</v>
      </c>
      <c r="E10343" s="6" t="n">
        <f aca="false">(Sens!C10341*IF(2&lt;life_it,1,IF(2=life_it,0.5,0))+Sens!D10341*IF(1&lt;life_it,1,IF(1=life_it,0.5,0))+Sens!E10341*0.5)/life_it</f>
        <v>15.0605784770833</v>
      </c>
      <c r="F10343" s="6" t="n">
        <f aca="false">(Sens!C10341*IF(3&lt;life_it,1,IF(3=life_it,0.5,0))+Sens!D10341*IF(2&lt;life_it,1,IF(2=life_it,0.5,0))+Sens!E10341*IF(1&lt;life_it,1,IF(1=life_it,0.5,0))+Sens!F10341*0.5)/life_it</f>
        <v>31.6041972809556</v>
      </c>
      <c r="G10343" s="6" t="n">
        <f aca="false">(Sens!C10341*IF(4&lt;life_it,1,IF(4=life_it,0.5,0))+Sens!D10341*IF(3&lt;life_it,1,IF(3=life_it,0.5,0))+Sens!E10341*IF(2&lt;life_it,1,IF(2=life_it,0.5,0))+Sens!F10341*IF(1&lt;life_it,1,IF(1=life_it,0.5,0))+Sens!G10341*0.5)/life_it</f>
        <v>55.1440163105111</v>
      </c>
      <c r="H10343" s="6" t="n">
        <f aca="false">(Sens!C10341*IF(5&lt;life_it,1,IF(5=life_it,0.5,0))+Sens!D10341*IF(4&lt;life_it,1,IF(4=life_it,0.5,0))+Sens!E10341*IF(3&lt;life_it,1,IF(3=life_it,0.5,0))+Sens!F10341*IF(2&lt;life_it,1,IF(2=life_it,0.5,0))+Sens!G10341*IF(1&lt;life_it,1,IF(1=life_it,0.5,0))+Sens!H10341*0.5)/life_it</f>
        <v>80.7786178433111</v>
      </c>
      <c r="I10343" s="6" t="n">
        <f aca="false">(Sens!C10341*IF(6&lt;life_it,1,IF(6=life_it,0.5,0))+Sens!D10341*IF(5&lt;life_it,1,IF(5=life_it,0.5,0))+Sens!E10341*IF(4&lt;life_it,1,IF(4=life_it,0.5,0))+Sens!F10341*IF(3&lt;life_it,1,IF(3=life_it,0.5,0))+Sens!G10341*IF(2&lt;life_it,1,IF(2=life_it,0.5,0))+Sens!H10341*IF(1&lt;life_it,1,IF(1=life_it,0.5,0))+Sens!I10341*0.5)/life_it</f>
        <v>103.654881739393</v>
      </c>
      <c r="J10343" s="6" t="n">
        <f aca="false">(Sens!C10341*IF(7&lt;life_it,1,IF(7=life_it,0.5,0))+Sens!D10341*IF(6&lt;life_it,1,IF(6=life_it,0.5,0))+Sens!E10341*IF(5&lt;life_it,1,IF(5=life_it,0.5,0))+Sens!F10341*IF(4&lt;life_it,1,IF(4=life_it,0.5,0))+Sens!G10341*IF(3&lt;life_it,1,IF(3=life_it,0.5,0))+Sens!H10341*IF(2&lt;life_it,1,IF(2=life_it,0.5,0))+Sens!I10341*IF(1&lt;life_it,1,IF(1=life_it,0.5,0))+Sens!J10341*0.5)/life_it</f>
        <v>120.132683490983</v>
      </c>
      <c r="K10343" s="6" t="n">
        <f aca="false">(Sens!C10341*IF(8&lt;life_it,1,IF(8=life_it,0.5,0))+Sens!D10341*IF(7&lt;life_it,1,IF(7=life_it,0.5,0))+Sens!E10341*IF(6&lt;life_it,1,IF(6=life_it,0.5,0))+Sens!F10341*IF(5&lt;life_it,1,IF(5=life_it,0.5,0))+Sens!G10341*IF(4&lt;life_it,1,IF(4=life_it,0.5,0))+Sens!H10341*IF(3&lt;life_it,1,IF(3=life_it,0.5,0))+Sens!I10341*IF(2&lt;life_it,1,IF(2=life_it,0.5,0))+Sens!J10341*IF(1&lt;life_it,1,IF(1=life_it,0.5,0))+Sens!K10341*0.5)/life_it</f>
        <v>130.788646309522</v>
      </c>
    </row>
    <row r="10344" customFormat="false" ht="17.15" hidden="false" customHeight="false" outlineLevel="0" collapsed="false">
      <c r="A10344" s="0" t="s">
        <v>853</v>
      </c>
      <c r="B10344" s="0" t="s">
        <v>98</v>
      </c>
      <c r="E10344" s="6" t="n">
        <f aca="false">(Sens!C10339*IF(2&lt;life_fac,1,IF(2=life_fac,0.5,0))+Sens!D10339*IF(1&lt;life_fac,1,IF(1=life_fac,0.5,0))+Sens!E10339*0.5)/life_fac</f>
        <v>1.2448275</v>
      </c>
      <c r="F10344" s="6" t="n">
        <f aca="false">(Sens!C10339*IF(3&lt;life_fac,1,IF(3=life_fac,0.5,0))+Sens!D10339*IF(2&lt;life_fac,1,IF(2=life_fac,0.5,0))+Sens!E10339*IF(1&lt;life_fac,1,IF(1=life_fac,0.5,0))+Sens!F10339*0.5)/life_fac</f>
        <v>2.4456901</v>
      </c>
      <c r="G10344" s="6" t="n">
        <f aca="false">(Sens!C10339*IF(4&lt;life_fac,1,IF(4=life_fac,0.5,0))+Sens!D10339*IF(3&lt;life_fac,1,IF(3=life_fac,0.5,0))+Sens!E10339*IF(2&lt;life_fac,1,IF(2=life_fac,0.5,0))+Sens!F10339*IF(1&lt;life_fac,1,IF(1=life_fac,0.5,0))+Sens!G10339*0.5)/life_fac</f>
        <v>3.9814208</v>
      </c>
      <c r="H10344" s="6" t="n">
        <f aca="false">(Sens!C10339*IF(5&lt;life_fac,1,IF(5=life_fac,0.5,0))+Sens!D10339*IF(4&lt;life_fac,1,IF(4=life_fac,0.5,0))+Sens!E10339*IF(3&lt;life_fac,1,IF(3=life_fac,0.5,0))+Sens!F10339*IF(2&lt;life_fac,1,IF(2=life_fac,0.5,0))+Sens!G10339*IF(1&lt;life_fac,1,IF(1=life_fac,0.5,0))+Sens!H10339*0.5)/life_fac</f>
        <v>5.582402</v>
      </c>
      <c r="I10344" s="6" t="n">
        <f aca="false">(Sens!C10339*IF(6&lt;life_fac,1,IF(6=life_fac,0.5,0))+Sens!D10339*IF(5&lt;life_fac,1,IF(5=life_fac,0.5,0))+Sens!E10339*IF(4&lt;life_fac,1,IF(4=life_fac,0.5,0))+Sens!F10339*IF(3&lt;life_fac,1,IF(3=life_fac,0.5,0))+Sens!G10339*IF(2&lt;life_fac,1,IF(2=life_fac,0.5,0))+Sens!H10339*IF(1&lt;life_fac,1,IF(1=life_fac,0.5,0))+Sens!I10339*0.5)/life_fac</f>
        <v>6.950862093</v>
      </c>
      <c r="J10344" s="6" t="n">
        <f aca="false">(Sens!C10339*IF(7&lt;life_fac,1,IF(7=life_fac,0.5,0))+Sens!D10339*IF(6&lt;life_fac,1,IF(6=life_fac,0.5,0))+Sens!E10339*IF(5&lt;life_fac,1,IF(5=life_fac,0.5,0))+Sens!F10339*IF(4&lt;life_fac,1,IF(4=life_fac,0.5,0))+Sens!G10339*IF(3&lt;life_fac,1,IF(3=life_fac,0.5,0))+Sens!H10339*IF(2&lt;life_fac,1,IF(2=life_fac,0.5,0))+Sens!I10339*IF(1&lt;life_fac,1,IF(1=life_fac,0.5,0))+Sens!J10339*0.5)/life_fac</f>
        <v>7.86563936186</v>
      </c>
      <c r="K10344" s="6" t="n">
        <f aca="false">(Sens!C10339*IF(8&lt;life_fac,1,IF(8=life_fac,0.5,0))+Sens!D10339*IF(7&lt;life_fac,1,IF(7=life_fac,0.5,0))+Sens!E10339*IF(6&lt;life_fac,1,IF(6=life_fac,0.5,0))+Sens!F10339*IF(5&lt;life_fac,1,IF(5=life_fac,0.5,0))+Sens!G10339*IF(4&lt;life_fac,1,IF(4=life_fac,0.5,0))+Sens!H10339*IF(3&lt;life_fac,1,IF(3=life_fac,0.5,0))+Sens!I10339*IF(2&lt;life_fac,1,IF(2=life_fac,0.5,0))+Sens!J10339*IF(1&lt;life_fac,1,IF(1=life_fac,0.5,0))+Sens!K10339*0.5)/life_fac</f>
        <v>8.3428177347858</v>
      </c>
    </row>
    <row r="10345" customFormat="false" ht="17.15" hidden="false" customHeight="false" outlineLevel="0" collapsed="false">
      <c r="A10345" s="0" t="s">
        <v>854</v>
      </c>
      <c r="B10345" s="0" t="s">
        <v>98</v>
      </c>
      <c r="E10345" s="6" t="n">
        <f aca="false">Sens!E10343+Sens!E10344</f>
        <v>16.3054059770833</v>
      </c>
      <c r="F10345" s="6" t="n">
        <f aca="false">Sens!F10343+Sens!F10344</f>
        <v>34.0498873809555</v>
      </c>
      <c r="G10345" s="6" t="n">
        <f aca="false">Sens!G10343+Sens!G10344</f>
        <v>59.1254371105111</v>
      </c>
      <c r="H10345" s="6" t="n">
        <f aca="false">Sens!H10343+Sens!H10344</f>
        <v>86.3610198433111</v>
      </c>
      <c r="I10345" s="6" t="n">
        <f aca="false">Sens!I10343+Sens!I10344</f>
        <v>110.605743832393</v>
      </c>
      <c r="J10345" s="6" t="n">
        <f aca="false">Sens!J10343+Sens!J10344</f>
        <v>127.998322852843</v>
      </c>
      <c r="K10345" s="6" t="n">
        <f aca="false">Sens!K10343+Sens!K10344</f>
        <v>139.131464044308</v>
      </c>
    </row>
    <row r="10346" customFormat="false" ht="17.15" hidden="false" customHeight="false" outlineLevel="0" collapsed="false">
      <c r="A10346" s="0" t="s">
        <v>855</v>
      </c>
      <c r="B10346" s="0" t="s">
        <v>98</v>
      </c>
      <c r="E10346" s="6" t="n">
        <f aca="false">Sens!E10334-Sens!E10333*Sens!E10345</f>
        <v>8.92707889977379</v>
      </c>
      <c r="F10346" s="6" t="n">
        <f aca="false">Sens!F10334-Sens!F10333*Sens!F10345</f>
        <v>14.6274131339686</v>
      </c>
      <c r="G10346" s="6" t="n">
        <f aca="false">Sens!G10334-Sens!G10333*Sens!G10345</f>
        <v>16.7752349049804</v>
      </c>
      <c r="H10346" s="6" t="n">
        <f aca="false">Sens!H10334-Sens!H10333*Sens!H10345</f>
        <v>13.4630579450404</v>
      </c>
      <c r="I10346" s="6" t="n">
        <f aca="false">Sens!I10334-Sens!I10333*Sens!I10345</f>
        <v>16.9068533370192</v>
      </c>
      <c r="J10346" s="6" t="n">
        <f aca="false">Sens!J10334-Sens!J10333*Sens!J10345</f>
        <v>19.3011433836036</v>
      </c>
      <c r="K10346" s="6" t="n">
        <f aca="false">Sens!K10334-Sens!K10333*Sens!K10345</f>
        <v>21.3550700932312</v>
      </c>
    </row>
    <row r="10347" customFormat="false" ht="17.15" hidden="false" customHeight="false" outlineLevel="0" collapsed="false">
      <c r="A10347" s="3" t="s">
        <v>1528</v>
      </c>
    </row>
    <row r="10348" customFormat="false" ht="15" hidden="false" customHeight="false" outlineLevel="0" collapsed="false">
      <c r="A10348" s="4" t="s">
        <v>43</v>
      </c>
      <c r="B10348" s="4" t="s">
        <v>65</v>
      </c>
      <c r="C10348" s="20" t="s">
        <v>799</v>
      </c>
      <c r="D10348" s="20" t="s">
        <v>800</v>
      </c>
      <c r="E10348" s="20" t="s">
        <v>801</v>
      </c>
      <c r="F10348" s="20" t="s">
        <v>802</v>
      </c>
      <c r="G10348" s="20" t="s">
        <v>803</v>
      </c>
      <c r="H10348" s="20" t="s">
        <v>804</v>
      </c>
      <c r="I10348" s="20" t="s">
        <v>805</v>
      </c>
      <c r="J10348" s="20" t="s">
        <v>806</v>
      </c>
      <c r="K10348" s="20" t="s">
        <v>807</v>
      </c>
      <c r="L10348" s="4" t="s">
        <v>47</v>
      </c>
    </row>
    <row r="10349" customFormat="false" ht="17.15" hidden="false" customHeight="false" outlineLevel="0" collapsed="false">
      <c r="A10349" s="0" t="s">
        <v>874</v>
      </c>
      <c r="B10349" s="0" t="s">
        <v>98</v>
      </c>
      <c r="D10349" s="6" t="n">
        <f aca="false">Sens!D10328</f>
        <v>12.9359794422418</v>
      </c>
      <c r="E10349" s="6" t="n">
        <f aca="false">Sens!E10328</f>
        <v>27.8095064661409</v>
      </c>
      <c r="F10349" s="6" t="n">
        <f aca="false">Sens!F10328</f>
        <v>50.6619113883066</v>
      </c>
      <c r="G10349" s="6" t="n">
        <f aca="false">Sens!G10328</f>
        <v>75.1482839325348</v>
      </c>
      <c r="H10349" s="6" t="n">
        <f aca="false">Sens!H10328</f>
        <v>94.895655604042</v>
      </c>
      <c r="I10349" s="6" t="n">
        <f aca="false">Sens!I10328</f>
        <v>118.706168884151</v>
      </c>
      <c r="J10349" s="6" t="n">
        <f aca="false">Sens!J10328</f>
        <v>135.50643871102</v>
      </c>
      <c r="K10349" s="6" t="n">
        <f aca="false">Sens!K10328</f>
        <v>146.509068150048</v>
      </c>
    </row>
    <row r="10350" customFormat="false" ht="17.15" hidden="false" customHeight="false" outlineLevel="0" collapsed="false">
      <c r="A10350" s="0" t="s">
        <v>875</v>
      </c>
      <c r="B10350" s="0" t="s">
        <v>98</v>
      </c>
      <c r="D10350" s="6" t="n">
        <f aca="false">Q!L6-Sens!D10349</f>
        <v>59.6740205577583</v>
      </c>
      <c r="E10350" s="6" t="n">
        <f aca="false">Q!M6-Sens!E10349</f>
        <v>74.1284935338591</v>
      </c>
      <c r="F10350" s="6" t="n">
        <f aca="false">Sens!E10350*(1+Sens!F10351)</f>
        <v>90.0799497373663</v>
      </c>
      <c r="G10350" s="6" t="n">
        <f aca="false">Sens!F10350*(1+Sens!G10351)</f>
        <v>107.02842520331</v>
      </c>
      <c r="H10350" s="6" t="n">
        <f aca="false">Sens!G10350*(1+Sens!H10351)</f>
        <v>124.271982585636</v>
      </c>
      <c r="I10350" s="6" t="n">
        <f aca="false">Sens!H10350*(1+Sens!I10351)</f>
        <v>140.933702381855</v>
      </c>
      <c r="J10350" s="6" t="n">
        <f aca="false">Sens!I10350*(1+Sens!J10351)</f>
        <v>156.018867314332</v>
      </c>
      <c r="K10350" s="6" t="n">
        <f aca="false">Sens!J10350*(1+Sens!K10351)</f>
        <v>168.500376699478</v>
      </c>
    </row>
    <row r="10351" customFormat="false" ht="15" hidden="false" customHeight="false" outlineLevel="0" collapsed="false">
      <c r="A10351" s="1" t="s">
        <v>876</v>
      </c>
      <c r="B10351" s="0" t="s">
        <v>129</v>
      </c>
      <c r="E10351" s="7" t="n">
        <f aca="false">Sens!E10350/Sens!D10350-1</f>
        <v>0.242223883039864</v>
      </c>
      <c r="F10351" s="7" t="n">
        <f aca="false">Sens!$E$10351+(glt_azo-Sens!$E$10351)*MIN(1,(Sens!F10311-base_fy)/n_conv)</f>
        <v>0.215186569199887</v>
      </c>
      <c r="G10351" s="7" t="n">
        <f aca="false">Sens!$E$10351+(glt_azo-Sens!$E$10351)*MIN(1,(Sens!G10311-base_fy)/n_conv)</f>
        <v>0.18814925535991</v>
      </c>
      <c r="H10351" s="7" t="n">
        <f aca="false">Sens!$E$10351+(glt_azo-Sens!$E$10351)*MIN(1,(Sens!H10311-base_fy)/n_conv)</f>
        <v>0.161111941519932</v>
      </c>
      <c r="I10351" s="7" t="n">
        <f aca="false">Sens!$E$10351+(glt_azo-Sens!$E$10351)*MIN(1,(Sens!I10311-base_fy)/n_conv)</f>
        <v>0.134074627679955</v>
      </c>
      <c r="J10351" s="7" t="n">
        <f aca="false">Sens!$E$10351+(glt_azo-Sens!$E$10351)*MIN(1,(Sens!J10311-base_fy)/n_conv)</f>
        <v>0.107037313839977</v>
      </c>
      <c r="K10351" s="7" t="n">
        <f aca="false">Sens!$E$10351+(glt_azo-Sens!$E$10351)*MIN(1,(Sens!K10311-base_fy)/n_conv)</f>
        <v>0.08</v>
      </c>
    </row>
    <row r="10352" customFormat="false" ht="15" hidden="false" customHeight="false" outlineLevel="0" collapsed="false">
      <c r="A10352" s="0" t="s">
        <v>877</v>
      </c>
      <c r="B10352" s="0" t="s">
        <v>98</v>
      </c>
      <c r="D10352" s="6" t="n">
        <f aca="false">Sens!D10349+Sens!D10350</f>
        <v>72.61</v>
      </c>
      <c r="E10352" s="6" t="n">
        <f aca="false">Sens!E10349+Sens!E10350</f>
        <v>101.938</v>
      </c>
      <c r="F10352" s="6" t="n">
        <f aca="false">Sens!F10349+Sens!F10350</f>
        <v>140.741861125673</v>
      </c>
      <c r="G10352" s="6" t="n">
        <f aca="false">Sens!G10349+Sens!G10350</f>
        <v>182.176709135845</v>
      </c>
      <c r="H10352" s="6" t="n">
        <f aca="false">Sens!H10349+Sens!H10350</f>
        <v>219.167638189678</v>
      </c>
      <c r="I10352" s="6" t="n">
        <f aca="false">Sens!I10349+Sens!I10350</f>
        <v>259.639871266006</v>
      </c>
      <c r="J10352" s="6" t="n">
        <f aca="false">Sens!J10349+Sens!J10350</f>
        <v>291.525306025352</v>
      </c>
      <c r="K10352" s="6" t="n">
        <f aca="false">Sens!K10349+Sens!K10350</f>
        <v>315.009444849526</v>
      </c>
    </row>
    <row r="10353" customFormat="false" ht="17.15" hidden="false" customHeight="false" outlineLevel="0" collapsed="false">
      <c r="A10353" s="0" t="s">
        <v>878</v>
      </c>
      <c r="B10353" s="1" t="s">
        <v>528</v>
      </c>
      <c r="C10353" s="29" t="n">
        <f aca="false">cop_s24</f>
        <v>1</v>
      </c>
      <c r="D10353" s="29" t="n">
        <f aca="false">cop_s25</f>
        <v>5</v>
      </c>
      <c r="E10353" s="29" t="n">
        <f aca="false">cop_s26</f>
        <v>30</v>
      </c>
      <c r="F10353" s="29" t="n">
        <f aca="false">Sens!E10353+cop_add_C</f>
        <v>40</v>
      </c>
      <c r="G10353" s="29" t="n">
        <f aca="false">Sens!F10353+cop_add_C</f>
        <v>50</v>
      </c>
      <c r="H10353" s="29" t="n">
        <f aca="false">Sens!G10353+cop_add_C</f>
        <v>60</v>
      </c>
      <c r="I10353" s="29" t="n">
        <f aca="false">Sens!H10353+cop_add_C*cop_tail</f>
        <v>65</v>
      </c>
      <c r="J10353" s="29" t="n">
        <f aca="false">Sens!I10353+cop_add_C*cop_tail</f>
        <v>70</v>
      </c>
      <c r="K10353" s="29" t="n">
        <f aca="false">Sens!J10353+cop_add_C*cop_tail</f>
        <v>75</v>
      </c>
      <c r="L10353" s="11" t="s">
        <v>879</v>
      </c>
    </row>
    <row r="10354" customFormat="false" ht="17.15" hidden="false" customHeight="false" outlineLevel="0" collapsed="false">
      <c r="A10354" s="0" t="s">
        <v>880</v>
      </c>
      <c r="B10354" s="0" t="s">
        <v>98</v>
      </c>
      <c r="D10354" s="6" t="n">
        <f aca="false">(Sens!C10353+Sens!D10353)/2*cop_px*12/1000</f>
        <v>0.9</v>
      </c>
      <c r="E10354" s="6" t="n">
        <f aca="false">(Sens!D10353+Sens!E10353)/2*cop_px*12/1000</f>
        <v>5.25</v>
      </c>
      <c r="F10354" s="6" t="n">
        <f aca="false">(Sens!E10353+Sens!F10353)/2*cop_px*12/1000</f>
        <v>10.5</v>
      </c>
      <c r="G10354" s="6" t="n">
        <f aca="false">(Sens!F10353+Sens!G10353)/2*cop_px*12/1000</f>
        <v>13.5</v>
      </c>
      <c r="H10354" s="6" t="n">
        <f aca="false">(Sens!G10353+Sens!H10353)/2*cop_px*12/1000</f>
        <v>16.5</v>
      </c>
      <c r="I10354" s="6" t="n">
        <f aca="false">(Sens!H10353+Sens!I10353)/2*cop_px*12/1000</f>
        <v>18.75</v>
      </c>
      <c r="J10354" s="6" t="n">
        <f aca="false">(Sens!I10353+Sens!J10353)/2*cop_px*12/1000</f>
        <v>20.25</v>
      </c>
      <c r="K10354" s="6" t="n">
        <f aca="false">(Sens!J10353+Sens!K10353)/2*cop_px*12/1000</f>
        <v>21.75</v>
      </c>
      <c r="L10354" s="1" t="s">
        <v>881</v>
      </c>
    </row>
    <row r="10355" customFormat="false" ht="17.15" hidden="false" customHeight="false" outlineLevel="0" collapsed="false">
      <c r="A10355" s="0" t="s">
        <v>882</v>
      </c>
      <c r="B10355" s="0" t="s">
        <v>98</v>
      </c>
      <c r="D10355" s="6" t="n">
        <f aca="false">Q!L7-Sens!D10354</f>
        <v>83.705</v>
      </c>
      <c r="E10355" s="6" t="n">
        <f aca="false">Q!M7-Sens!E10354</f>
        <v>95.049</v>
      </c>
      <c r="F10355" s="6" t="n">
        <f aca="false">Sens!E10355*(1+Sens!F10356)</f>
        <v>106.89238776686</v>
      </c>
      <c r="G10355" s="6" t="n">
        <f aca="false">Sens!F10355*(1+Sens!G10356)</f>
        <v>119.044168448684</v>
      </c>
      <c r="H10355" s="6" t="n">
        <f aca="false">Sens!G10355*(1+Sens!H10356)</f>
        <v>131.277359388781</v>
      </c>
      <c r="I10355" s="6" t="n">
        <f aca="false">Sens!H10355*(1+Sens!I10356)</f>
        <v>143.334028071957</v>
      </c>
      <c r="J10355" s="6" t="n">
        <f aca="false">Sens!I10355*(1+Sens!J10356)</f>
        <v>154.932702785465</v>
      </c>
      <c r="K10355" s="6" t="n">
        <f aca="false">Sens!J10355*(1+Sens!K10356)</f>
        <v>165.777991980448</v>
      </c>
    </row>
    <row r="10356" customFormat="false" ht="15" hidden="false" customHeight="false" outlineLevel="0" collapsed="false">
      <c r="A10356" s="1" t="s">
        <v>876</v>
      </c>
      <c r="B10356" s="0" t="s">
        <v>129</v>
      </c>
      <c r="E10356" s="7" t="n">
        <f aca="false">Sens!E10355/Sens!D10355-1</f>
        <v>0.135523564900544</v>
      </c>
      <c r="F10356" s="7" t="n">
        <f aca="false">Sens!$E$10356+(glt_m365b-Sens!$E$10356)*MIN(1,(Sens!F10311-base_fy)/n_conv)</f>
        <v>0.124602970750453</v>
      </c>
      <c r="G10356" s="7" t="n">
        <f aca="false">Sens!$E$10356+(glt_m365b-Sens!$E$10356)*MIN(1,(Sens!G10311-base_fy)/n_conv)</f>
        <v>0.113682376600363</v>
      </c>
      <c r="H10356" s="7" t="n">
        <f aca="false">Sens!$E$10356+(glt_m365b-Sens!$E$10356)*MIN(1,(Sens!H10311-base_fy)/n_conv)</f>
        <v>0.102761782450272</v>
      </c>
      <c r="I10356" s="7" t="n">
        <f aca="false">Sens!$E$10356+(glt_m365b-Sens!$E$10356)*MIN(1,(Sens!I10311-base_fy)/n_conv)</f>
        <v>0.0918411883001813</v>
      </c>
      <c r="J10356" s="7" t="n">
        <f aca="false">Sens!$E$10356+(glt_m365b-Sens!$E$10356)*MIN(1,(Sens!J10311-base_fy)/n_conv)</f>
        <v>0.0809205941500906</v>
      </c>
      <c r="K10356" s="7" t="n">
        <f aca="false">Sens!$E$10356+(glt_m365b-Sens!$E$10356)*MIN(1,(Sens!K10311-base_fy)/n_conv)</f>
        <v>0.07</v>
      </c>
    </row>
    <row r="10357" customFormat="false" ht="15" hidden="false" customHeight="false" outlineLevel="0" collapsed="false">
      <c r="A10357" s="0" t="s">
        <v>883</v>
      </c>
      <c r="B10357" s="0" t="s">
        <v>98</v>
      </c>
      <c r="D10357" s="6" t="n">
        <f aca="false">Sens!D10355+Sens!D10354</f>
        <v>84.605</v>
      </c>
      <c r="E10357" s="6" t="n">
        <f aca="false">Sens!E10355+Sens!E10354</f>
        <v>100.299</v>
      </c>
      <c r="F10357" s="6" t="n">
        <f aca="false">Sens!F10355+Sens!F10354</f>
        <v>117.39238776686</v>
      </c>
      <c r="G10357" s="6" t="n">
        <f aca="false">Sens!G10355+Sens!G10354</f>
        <v>132.544168448684</v>
      </c>
      <c r="H10357" s="6" t="n">
        <f aca="false">Sens!H10355+Sens!H10354</f>
        <v>147.777359388781</v>
      </c>
      <c r="I10357" s="6" t="n">
        <f aca="false">Sens!I10355+Sens!I10354</f>
        <v>162.084028071957</v>
      </c>
      <c r="J10357" s="6" t="n">
        <f aca="false">Sens!J10355+Sens!J10354</f>
        <v>175.182702785465</v>
      </c>
      <c r="K10357" s="6" t="n">
        <f aca="false">Sens!K10355+Sens!K10354</f>
        <v>187.527991980448</v>
      </c>
    </row>
    <row r="10358" customFormat="false" ht="15" hidden="false" customHeight="false" outlineLevel="0" collapsed="false">
      <c r="A10358" s="0" t="s">
        <v>884</v>
      </c>
      <c r="B10358" s="0" t="s">
        <v>98</v>
      </c>
      <c r="D10358" s="6" t="n">
        <f aca="false">Q!L8</f>
        <v>35.391</v>
      </c>
      <c r="E10358" s="6" t="n">
        <f aca="false">Q!M8</f>
        <v>37.285</v>
      </c>
      <c r="F10358" s="6" t="n">
        <f aca="false">Sens!E10358*(1+Sens!F10359)</f>
        <v>39.0720834331704</v>
      </c>
      <c r="G10358" s="6" t="n">
        <f aca="false">Sens!F10358*(1+Sens!G10359)</f>
        <v>40.726562953769</v>
      </c>
      <c r="H10358" s="6" t="n">
        <f aca="false">Sens!G10358*(1+Sens!H10359)</f>
        <v>42.2235987259198</v>
      </c>
      <c r="I10358" s="6" t="n">
        <f aca="false">Sens!H10358*(1+Sens!I10359)</f>
        <v>43.5397988077414</v>
      </c>
      <c r="J10358" s="6" t="n">
        <f aca="false">Sens!I10358*(1+Sens!J10359)</f>
        <v>44.653811225693</v>
      </c>
      <c r="K10358" s="6" t="n">
        <f aca="false">Sens!J10358*(1+Sens!K10359)</f>
        <v>45.5468874502068</v>
      </c>
    </row>
    <row r="10359" customFormat="false" ht="15" hidden="false" customHeight="false" outlineLevel="0" collapsed="false">
      <c r="A10359" s="1" t="s">
        <v>876</v>
      </c>
      <c r="B10359" s="0" t="s">
        <v>129</v>
      </c>
      <c r="E10359" s="7" t="n">
        <f aca="false">Sens!E10358/Sens!D10358-1</f>
        <v>0.0535164307309768</v>
      </c>
      <c r="F10359" s="7" t="n">
        <f aca="false">Sens!$E$10359+(glt_lic-Sens!$E$10359)*MIN(1,(Sens!F10311-base_fy)/n_conv)</f>
        <v>0.0479303589424807</v>
      </c>
      <c r="G10359" s="7" t="n">
        <f aca="false">Sens!$E$10359+(glt_lic-Sens!$E$10359)*MIN(1,(Sens!G10311-base_fy)/n_conv)</f>
        <v>0.0423442871539845</v>
      </c>
      <c r="H10359" s="7" t="n">
        <f aca="false">Sens!$E$10359+(glt_lic-Sens!$E$10359)*MIN(1,(Sens!H10311-base_fy)/n_conv)</f>
        <v>0.0367582153654884</v>
      </c>
      <c r="I10359" s="7" t="n">
        <f aca="false">Sens!$E$10359+(glt_lic-Sens!$E$10359)*MIN(1,(Sens!I10311-base_fy)/n_conv)</f>
        <v>0.0311721435769923</v>
      </c>
      <c r="J10359" s="7" t="n">
        <f aca="false">Sens!$E$10359+(glt_lic-Sens!$E$10359)*MIN(1,(Sens!J10311-base_fy)/n_conv)</f>
        <v>0.0255860717884961</v>
      </c>
      <c r="K10359" s="7" t="n">
        <f aca="false">Sens!$E$10359+(glt_lic-Sens!$E$10359)*MIN(1,(Sens!K10311-base_fy)/n_conv)</f>
        <v>0.02</v>
      </c>
    </row>
    <row r="10360" customFormat="false" ht="15" hidden="false" customHeight="false" outlineLevel="0" collapsed="false">
      <c r="A10360" s="0" t="s">
        <v>885</v>
      </c>
      <c r="B10360" s="0" t="s">
        <v>98</v>
      </c>
      <c r="D10360" s="6" t="n">
        <f aca="false">Q!L9</f>
        <v>18.417</v>
      </c>
      <c r="E10360" s="6" t="n">
        <f aca="false">Q!M9</f>
        <v>20.345</v>
      </c>
      <c r="F10360" s="6" t="n">
        <f aca="false">Sens!E10360*(1+Sens!F10361)</f>
        <v>22.3572203267814</v>
      </c>
      <c r="G10360" s="6" t="n">
        <f aca="false">Sens!F10360*(1+Sens!G10361)</f>
        <v>24.4392124437232</v>
      </c>
      <c r="H10360" s="6" t="n">
        <f aca="false">Sens!G10360*(1+Sens!H10361)</f>
        <v>26.5738052080665</v>
      </c>
      <c r="I10360" s="6" t="n">
        <f aca="false">Sens!H10360*(1+Sens!I10361)</f>
        <v>28.7412169166967</v>
      </c>
      <c r="J10360" s="6" t="n">
        <f aca="false">Sens!I10360*(1+Sens!J10361)</f>
        <v>30.9192545395413</v>
      </c>
      <c r="K10360" s="6" t="n">
        <f aca="false">Sens!J10360*(1+Sens!K10361)</f>
        <v>33.0836023573092</v>
      </c>
    </row>
    <row r="10361" customFormat="false" ht="15" hidden="false" customHeight="false" outlineLevel="0" collapsed="false">
      <c r="A10361" s="1" t="s">
        <v>876</v>
      </c>
      <c r="B10361" s="0" t="s">
        <v>129</v>
      </c>
      <c r="E10361" s="7" t="n">
        <f aca="false">Sens!E10360/Sens!D10360-1</f>
        <v>0.104685888038225</v>
      </c>
      <c r="F10361" s="7" t="n">
        <f aca="false">Sens!$E$10361+(glt_ind-Sens!$E$10361)*MIN(1,(Sens!F10311-base_fy)/n_conv)</f>
        <v>0.0989049066985211</v>
      </c>
      <c r="G10361" s="7" t="n">
        <f aca="false">Sens!$E$10361+(glt_ind-Sens!$E$10361)*MIN(1,(Sens!G10311-base_fy)/n_conv)</f>
        <v>0.0931239253588169</v>
      </c>
      <c r="H10361" s="7" t="n">
        <f aca="false">Sens!$E$10361+(glt_ind-Sens!$E$10361)*MIN(1,(Sens!H10311-base_fy)/n_conv)</f>
        <v>0.0873429440191127</v>
      </c>
      <c r="I10361" s="7" t="n">
        <f aca="false">Sens!$E$10361+(glt_ind-Sens!$E$10361)*MIN(1,(Sens!I10311-base_fy)/n_conv)</f>
        <v>0.0815619626794085</v>
      </c>
      <c r="J10361" s="7" t="n">
        <f aca="false">Sens!$E$10361+(glt_ind-Sens!$E$10361)*MIN(1,(Sens!J10311-base_fy)/n_conv)</f>
        <v>0.0757809813397042</v>
      </c>
      <c r="K10361" s="7" t="n">
        <f aca="false">Sens!$E$10361+(glt_ind-Sens!$E$10361)*MIN(1,(Sens!K10311-base_fy)/n_conv)</f>
        <v>0.07</v>
      </c>
    </row>
    <row r="10362" customFormat="false" ht="15" hidden="false" customHeight="false" outlineLevel="0" collapsed="false">
      <c r="A10362" s="0" t="s">
        <v>886</v>
      </c>
      <c r="B10362" s="0" t="s">
        <v>98</v>
      </c>
      <c r="D10362" s="6" t="n">
        <f aca="false">Q!L10</f>
        <v>7.76</v>
      </c>
      <c r="E10362" s="6" t="n">
        <f aca="false">Q!M10</f>
        <v>8.26</v>
      </c>
      <c r="F10362" s="6" t="n">
        <f aca="false">Sens!E10362*(1+Sens!F10363)</f>
        <v>8.79988041237113</v>
      </c>
      <c r="G10362" s="6" t="n">
        <f aca="false">Sens!F10362*(1+Sens!G10363)</f>
        <v>9.38321269125306</v>
      </c>
      <c r="H10362" s="6" t="n">
        <f aca="false">Sens!G10362*(1+Sens!H10363)</f>
        <v>10.0139193587476</v>
      </c>
      <c r="I10362" s="6" t="n">
        <f aca="false">Sens!H10362*(1+Sens!I10363)</f>
        <v>10.6963111830911</v>
      </c>
      <c r="J10362" s="6" t="n">
        <f aca="false">Sens!I10362*(1+Sens!J10363)</f>
        <v>11.4351285534696</v>
      </c>
      <c r="K10362" s="6" t="n">
        <f aca="false">Sens!J10362*(1+Sens!K10363)</f>
        <v>12.2355875522124</v>
      </c>
    </row>
    <row r="10363" customFormat="false" ht="15" hidden="false" customHeight="false" outlineLevel="0" collapsed="false">
      <c r="A10363" s="1" t="s">
        <v>876</v>
      </c>
      <c r="B10363" s="0" t="s">
        <v>129</v>
      </c>
      <c r="E10363" s="7" t="n">
        <f aca="false">Sens!E10362/Sens!D10362-1</f>
        <v>0.0644329896907216</v>
      </c>
      <c r="F10363" s="7" t="n">
        <f aca="false">Sens!$E$10363+(glt_fro-Sens!$E$10363)*MIN(1,(Sens!F10311-base_fy)/n_conv)</f>
        <v>0.065360824742268</v>
      </c>
      <c r="G10363" s="7" t="n">
        <f aca="false">Sens!$E$10363+(glt_fro-Sens!$E$10363)*MIN(1,(Sens!G10311-base_fy)/n_conv)</f>
        <v>0.0662886597938144</v>
      </c>
      <c r="H10363" s="7" t="n">
        <f aca="false">Sens!$E$10363+(glt_fro-Sens!$E$10363)*MIN(1,(Sens!H10311-base_fy)/n_conv)</f>
        <v>0.0672164948453608</v>
      </c>
      <c r="I10363" s="7" t="n">
        <f aca="false">Sens!$E$10363+(glt_fro-Sens!$E$10363)*MIN(1,(Sens!I10311-base_fy)/n_conv)</f>
        <v>0.0681443298969072</v>
      </c>
      <c r="J10363" s="7" t="n">
        <f aca="false">Sens!$E$10363+(glt_fro-Sens!$E$10363)*MIN(1,(Sens!J10311-base_fy)/n_conv)</f>
        <v>0.0690721649484536</v>
      </c>
      <c r="K10363" s="7" t="n">
        <f aca="false">Sens!$E$10363+(glt_fro-Sens!$E$10363)*MIN(1,(Sens!K10311-base_fy)/n_conv)</f>
        <v>0.07</v>
      </c>
    </row>
    <row r="10364" customFormat="false" ht="15" hidden="false" customHeight="false" outlineLevel="0" collapsed="false">
      <c r="A10364" s="0" t="s">
        <v>715</v>
      </c>
      <c r="B10364" s="0" t="s">
        <v>98</v>
      </c>
      <c r="D10364" s="6" t="n">
        <f aca="false">Sens!D10352+Sens!D10357+Sens!D10358+Sens!D10360+Sens!D10362</f>
        <v>218.783</v>
      </c>
      <c r="E10364" s="6" t="n">
        <f aca="false">Sens!E10352+Sens!E10357+Sens!E10358+Sens!E10360+Sens!E10362</f>
        <v>268.127</v>
      </c>
      <c r="F10364" s="6" t="n">
        <f aca="false">Sens!F10352+Sens!F10357+Sens!F10358+Sens!F10360+Sens!F10362</f>
        <v>328.363433064856</v>
      </c>
      <c r="G10364" s="6" t="n">
        <f aca="false">Sens!G10352+Sens!G10357+Sens!G10358+Sens!G10360+Sens!G10362</f>
        <v>389.269865673274</v>
      </c>
      <c r="H10364" s="6" t="n">
        <f aca="false">Sens!H10352+Sens!H10357+Sens!H10358+Sens!H10360+Sens!H10362</f>
        <v>445.756320871193</v>
      </c>
      <c r="I10364" s="6" t="n">
        <f aca="false">Sens!I10352+Sens!I10357+Sens!I10358+Sens!I10360+Sens!I10362</f>
        <v>504.701226245492</v>
      </c>
      <c r="J10364" s="6" t="n">
        <f aca="false">Sens!J10352+Sens!J10357+Sens!J10358+Sens!J10360+Sens!J10362</f>
        <v>553.716203129521</v>
      </c>
      <c r="K10364" s="6" t="n">
        <f aca="false">Sens!K10352+Sens!K10357+Sens!K10358+Sens!K10360+Sens!K10362</f>
        <v>593.403514189702</v>
      </c>
    </row>
    <row r="10365" customFormat="false" ht="15" hidden="false" customHeight="false" outlineLevel="0" collapsed="false">
      <c r="A10365" s="0" t="s">
        <v>887</v>
      </c>
      <c r="B10365" s="0" t="s">
        <v>98</v>
      </c>
      <c r="D10365" s="6" t="n">
        <f aca="false">Q!L13</f>
        <v>22.171</v>
      </c>
      <c r="E10365" s="6" t="n">
        <f aca="false">Q!M13</f>
        <v>24.835</v>
      </c>
      <c r="F10365" s="6" t="n">
        <f aca="false">Sens!E10365*(1+Sens!F10366)</f>
        <v>27.6114901218559</v>
      </c>
      <c r="G10365" s="6" t="n">
        <f aca="false">Sens!F10365*(1+Sens!G10366)</f>
        <v>30.4675667338515</v>
      </c>
      <c r="H10365" s="6" t="n">
        <f aca="false">Sens!G10365*(1+Sens!H10366)</f>
        <v>33.3643766955789</v>
      </c>
      <c r="I10365" s="6" t="n">
        <f aca="false">Sens!H10365*(1+Sens!I10366)</f>
        <v>36.2577016533691</v>
      </c>
      <c r="J10365" s="6" t="n">
        <f aca="false">Sens!I10365*(1+Sens!J10366)</f>
        <v>39.0988367952171</v>
      </c>
      <c r="K10365" s="6" t="n">
        <f aca="false">Sens!J10365*(1+Sens!K10366)</f>
        <v>41.8357553708823</v>
      </c>
    </row>
    <row r="10366" customFormat="false" ht="15" hidden="false" customHeight="false" outlineLevel="0" collapsed="false">
      <c r="A10366" s="1" t="s">
        <v>876</v>
      </c>
      <c r="B10366" s="0" t="s">
        <v>129</v>
      </c>
      <c r="E10366" s="7" t="n">
        <f aca="false">Sens!E10365/Sens!D10365-1</f>
        <v>0.120156961796942</v>
      </c>
      <c r="F10366" s="7" t="n">
        <f aca="false">Sens!$E$10366+(glt_srch-Sens!$E$10366)*MIN(1,(Sens!F10311-base_fy)/n_conv)</f>
        <v>0.111797468164118</v>
      </c>
      <c r="G10366" s="7" t="n">
        <f aca="false">Sens!$E$10366+(glt_srch-Sens!$E$10366)*MIN(1,(Sens!G10311-base_fy)/n_conv)</f>
        <v>0.103437974531295</v>
      </c>
      <c r="H10366" s="7" t="n">
        <f aca="false">Sens!$E$10366+(glt_srch-Sens!$E$10366)*MIN(1,(Sens!H10311-base_fy)/n_conv)</f>
        <v>0.095078480898471</v>
      </c>
      <c r="I10366" s="7" t="n">
        <f aca="false">Sens!$E$10366+(glt_srch-Sens!$E$10366)*MIN(1,(Sens!I10311-base_fy)/n_conv)</f>
        <v>0.0867189872656474</v>
      </c>
      <c r="J10366" s="7" t="n">
        <f aca="false">Sens!$E$10366+(glt_srch-Sens!$E$10366)*MIN(1,(Sens!J10311-base_fy)/n_conv)</f>
        <v>0.0783594936328237</v>
      </c>
      <c r="K10366" s="7" t="n">
        <f aca="false">Sens!$E$10366+(glt_srch-Sens!$E$10366)*MIN(1,(Sens!K10311-base_fy)/n_conv)</f>
        <v>0.07</v>
      </c>
    </row>
    <row r="10367" customFormat="false" ht="15" hidden="false" customHeight="false" outlineLevel="0" collapsed="false">
      <c r="A10367" s="0" t="s">
        <v>888</v>
      </c>
      <c r="B10367" s="0" t="s">
        <v>98</v>
      </c>
      <c r="D10367" s="6" t="n">
        <f aca="false">Q!L14</f>
        <v>23.455</v>
      </c>
      <c r="E10367" s="6" t="n">
        <f aca="false">Q!M14</f>
        <v>21.79</v>
      </c>
      <c r="F10367" s="6" t="n">
        <f aca="false">Sens!E10367*(1+Sens!F10368)</f>
        <v>20.4283611241384</v>
      </c>
      <c r="G10367" s="6" t="n">
        <f aca="false">Sens!F10367*(1+Sens!G10368)</f>
        <v>19.3254067185857</v>
      </c>
      <c r="H10367" s="6" t="n">
        <f aca="false">Sens!G10367*(1+Sens!H10368)</f>
        <v>18.446226363051</v>
      </c>
      <c r="I10367" s="6" t="n">
        <f aca="false">Sens!H10367*(1+Sens!I10368)</f>
        <v>17.7637959435485</v>
      </c>
      <c r="J10367" s="6" t="n">
        <f aca="false">Sens!I10367*(1+Sens!J10368)</f>
        <v>17.2575662581111</v>
      </c>
      <c r="K10367" s="6" t="n">
        <f aca="false">Sens!J10367*(1+Sens!K10368)</f>
        <v>16.9124149329489</v>
      </c>
    </row>
    <row r="10368" customFormat="false" ht="15" hidden="false" customHeight="false" outlineLevel="0" collapsed="false">
      <c r="A10368" s="1" t="s">
        <v>876</v>
      </c>
      <c r="B10368" s="0" t="s">
        <v>129</v>
      </c>
      <c r="E10368" s="7" t="n">
        <f aca="false">Sens!E10367/Sens!D10367-1</f>
        <v>-0.0709869963760392</v>
      </c>
      <c r="F10368" s="7" t="n">
        <f aca="false">Sens!$E$10368+(glt_xbox_lo-Sens!$E$10368)*MIN(1,(Sens!F10311-base_fy)/n_conv)</f>
        <v>-0.0624891636466994</v>
      </c>
      <c r="G10368" s="7" t="n">
        <f aca="false">Sens!$E$10368+(glt_xbox_lo-Sens!$E$10368)*MIN(1,(Sens!G10311-base_fy)/n_conv)</f>
        <v>-0.0539913309173595</v>
      </c>
      <c r="H10368" s="7" t="n">
        <f aca="false">Sens!$E$10368+(glt_xbox_lo-Sens!$E$10368)*MIN(1,(Sens!H10311-base_fy)/n_conv)</f>
        <v>-0.0454934981880196</v>
      </c>
      <c r="I10368" s="7" t="n">
        <f aca="false">Sens!$E$10368+(glt_xbox_lo-Sens!$E$10368)*MIN(1,(Sens!I10311-base_fy)/n_conv)</f>
        <v>-0.0369956654586797</v>
      </c>
      <c r="J10368" s="7" t="n">
        <f aca="false">Sens!$E$10368+(glt_xbox_lo-Sens!$E$10368)*MIN(1,(Sens!J10311-base_fy)/n_conv)</f>
        <v>-0.0284978327293399</v>
      </c>
      <c r="K10368" s="7" t="n">
        <f aca="false">Sens!$E$10368+(glt_xbox_lo-Sens!$E$10368)*MIN(1,(Sens!K10311-base_fy)/n_conv)</f>
        <v>-0.02</v>
      </c>
    </row>
    <row r="10369" customFormat="false" ht="15" hidden="false" customHeight="false" outlineLevel="0" collapsed="false">
      <c r="A10369" s="0" t="s">
        <v>889</v>
      </c>
      <c r="B10369" s="0" t="s">
        <v>98</v>
      </c>
      <c r="D10369" s="6" t="n">
        <f aca="false">Q!L15</f>
        <v>17.315</v>
      </c>
      <c r="E10369" s="6" t="n">
        <f aca="false">Q!M15</f>
        <v>17.087</v>
      </c>
      <c r="F10369" s="6" t="n">
        <f aca="false">Sens!E10369*(1+Sens!F10370)</f>
        <v>16.9564585436519</v>
      </c>
      <c r="G10369" s="6" t="n">
        <f aca="false">Sens!F10369*(1+Sens!G10370)</f>
        <v>16.9206490624268</v>
      </c>
      <c r="H10369" s="6" t="n">
        <f aca="false">Sens!G10369*(1+Sens!H10370)</f>
        <v>16.9784519149849</v>
      </c>
      <c r="I10369" s="6" t="n">
        <f aca="false">Sens!H10369*(1+Sens!I10370)</f>
        <v>17.1303084701817</v>
      </c>
      <c r="J10369" s="6" t="n">
        <f aca="false">Sens!I10369*(1+Sens!J10370)</f>
        <v>17.3782189407267</v>
      </c>
      <c r="K10369" s="6" t="n">
        <f aca="false">Sens!J10369*(1+Sens!K10370)</f>
        <v>17.7257833195413</v>
      </c>
    </row>
    <row r="10370" customFormat="false" ht="15" hidden="false" customHeight="false" outlineLevel="0" collapsed="false">
      <c r="A10370" s="1" t="s">
        <v>876</v>
      </c>
      <c r="B10370" s="0" t="s">
        <v>129</v>
      </c>
      <c r="E10370" s="7" t="n">
        <f aca="false">Sens!E10369/Sens!D10369-1</f>
        <v>-0.0131677736066995</v>
      </c>
      <c r="F10370" s="7" t="n">
        <f aca="false">Sens!$E$10370+(glt_win-Sens!$E$10370)*MIN(1,(Sens!F10311-base_fy)/n_conv)</f>
        <v>-0.00763981133891627</v>
      </c>
      <c r="G10370" s="7" t="n">
        <f aca="false">Sens!$E$10370+(glt_win-Sens!$E$10370)*MIN(1,(Sens!G10311-base_fy)/n_conv)</f>
        <v>-0.00211184907113301</v>
      </c>
      <c r="H10370" s="7" t="n">
        <f aca="false">Sens!$E$10370+(glt_win-Sens!$E$10370)*MIN(1,(Sens!H10311-base_fy)/n_conv)</f>
        <v>0.00341611319665024</v>
      </c>
      <c r="I10370" s="7" t="n">
        <f aca="false">Sens!$E$10370+(glt_win-Sens!$E$10370)*MIN(1,(Sens!I10311-base_fy)/n_conv)</f>
        <v>0.00894407546443349</v>
      </c>
      <c r="J10370" s="7" t="n">
        <f aca="false">Sens!$E$10370+(glt_win-Sens!$E$10370)*MIN(1,(Sens!J10311-base_fy)/n_conv)</f>
        <v>0.0144720377322168</v>
      </c>
      <c r="K10370" s="7" t="n">
        <f aca="false">Sens!$E$10370+(glt_win-Sens!$E$10370)*MIN(1,(Sens!K10311-base_fy)/n_conv)</f>
        <v>0.02</v>
      </c>
    </row>
    <row r="10371" customFormat="false" ht="15" hidden="false" customHeight="false" outlineLevel="0" collapsed="false">
      <c r="A10371" s="0" t="s">
        <v>729</v>
      </c>
      <c r="B10371" s="0" t="s">
        <v>98</v>
      </c>
      <c r="D10371" s="6" t="n">
        <f aca="false">Sens!D10365+Sens!D10367+Sens!D10369</f>
        <v>62.941</v>
      </c>
      <c r="E10371" s="6" t="n">
        <f aca="false">Sens!E10365+Sens!E10367+Sens!E10369</f>
        <v>63.712</v>
      </c>
      <c r="F10371" s="6" t="n">
        <f aca="false">Sens!F10365+Sens!F10367+Sens!F10369</f>
        <v>64.9963097896462</v>
      </c>
      <c r="G10371" s="6" t="n">
        <f aca="false">Sens!G10365+Sens!G10367+Sens!G10369</f>
        <v>66.7136225148641</v>
      </c>
      <c r="H10371" s="6" t="n">
        <f aca="false">Sens!H10365+Sens!H10367+Sens!H10369</f>
        <v>68.7890549736148</v>
      </c>
      <c r="I10371" s="6" t="n">
        <f aca="false">Sens!I10365+Sens!I10367+Sens!I10369</f>
        <v>71.1518060670993</v>
      </c>
      <c r="J10371" s="6" t="n">
        <f aca="false">Sens!J10365+Sens!J10367+Sens!J10369</f>
        <v>73.7346219940549</v>
      </c>
      <c r="K10371" s="6" t="n">
        <f aca="false">Sens!K10365+Sens!K10367+Sens!K10369</f>
        <v>76.4739536233724</v>
      </c>
    </row>
    <row r="10372" customFormat="false" ht="15" hidden="false" customHeight="false" outlineLevel="0" collapsed="false">
      <c r="A10372" s="1" t="s">
        <v>890</v>
      </c>
      <c r="B10372" s="0" t="s">
        <v>98</v>
      </c>
      <c r="D10372" s="6" t="n">
        <f aca="false">Sens!D10364+Sens!D10371</f>
        <v>281.724</v>
      </c>
      <c r="E10372" s="6" t="n">
        <f aca="false">Sens!E10364+Sens!E10371</f>
        <v>331.839</v>
      </c>
      <c r="F10372" s="6" t="n">
        <f aca="false">Sens!F10364+Sens!F10371</f>
        <v>393.359742854502</v>
      </c>
      <c r="G10372" s="6" t="n">
        <f aca="false">Sens!G10364+Sens!G10371</f>
        <v>455.983488188138</v>
      </c>
      <c r="H10372" s="6" t="n">
        <f aca="false">Sens!H10364+Sens!H10371</f>
        <v>514.545375844808</v>
      </c>
      <c r="I10372" s="6" t="n">
        <f aca="false">Sens!I10364+Sens!I10371</f>
        <v>575.853032312592</v>
      </c>
      <c r="J10372" s="6" t="n">
        <f aca="false">Sens!J10364+Sens!J10371</f>
        <v>627.450825123576</v>
      </c>
      <c r="K10372" s="6" t="n">
        <f aca="false">Sens!K10364+Sens!K10371</f>
        <v>669.877467813074</v>
      </c>
    </row>
    <row r="10373" customFormat="false" ht="15" hidden="false" customHeight="false" outlineLevel="0" collapsed="false">
      <c r="A10373" s="23" t="s">
        <v>891</v>
      </c>
      <c r="B10373" s="30" t="s">
        <v>98</v>
      </c>
      <c r="C10373" s="30"/>
      <c r="D10373" s="24" t="n">
        <f aca="false">(Sens!D10352+Sens!D10357+Sens!D10358+Sens!D10360+Sens!D10362-Sens!D10364)+(Sens!D10365+Sens!D10367+Sens!D10369-Sens!D10371)+(Sens!D10364-Q!L5)+(Sens!D10371-Q!L12)+(Sens!D10352-Q!L6)+(Sens!D10357-Q!L7)</f>
        <v>0</v>
      </c>
      <c r="E10373" s="24" t="n">
        <f aca="false">(Sens!E10352+Sens!E10357+Sens!E10358+Sens!E10360+Sens!E10362-Sens!E10364)+(Sens!E10365+Sens!E10367+Sens!E10369-Sens!E10371)+(Sens!E10364-Q!M5)+(Sens!E10371-Q!M12)+(Sens!E10352-Q!M6)+(Sens!E10357-Q!M7)</f>
        <v>0</v>
      </c>
      <c r="F10373" s="24" t="n">
        <f aca="false">(Sens!F10352+Sens!F10357+Sens!F10358+Sens!F10360+Sens!F10362-Sens!F10364)+(Sens!F10365+Sens!F10367+Sens!F10369-Sens!F10371)</f>
        <v>0</v>
      </c>
      <c r="G10373" s="24" t="n">
        <f aca="false">(Sens!G10352+Sens!G10357+Sens!G10358+Sens!G10360+Sens!G10362-Sens!G10364)+(Sens!G10365+Sens!G10367+Sens!G10369-Sens!G10371)</f>
        <v>0</v>
      </c>
      <c r="H10373" s="24" t="n">
        <f aca="false">(Sens!H10352+Sens!H10357+Sens!H10358+Sens!H10360+Sens!H10362-Sens!H10364)+(Sens!H10365+Sens!H10367+Sens!H10369-Sens!H10371)</f>
        <v>0</v>
      </c>
      <c r="I10373" s="24" t="n">
        <f aca="false">(Sens!I10352+Sens!I10357+Sens!I10358+Sens!I10360+Sens!I10362-Sens!I10364)+(Sens!I10365+Sens!I10367+Sens!I10369-Sens!I10371)</f>
        <v>0</v>
      </c>
      <c r="J10373" s="24" t="n">
        <f aca="false">(Sens!J10352+Sens!J10357+Sens!J10358+Sens!J10360+Sens!J10362-Sens!J10364)+(Sens!J10365+Sens!J10367+Sens!J10369-Sens!J10371)</f>
        <v>0</v>
      </c>
      <c r="K10373" s="24" t="n">
        <f aca="false">(Sens!K10352+Sens!K10357+Sens!K10358+Sens!K10360+Sens!K10362-Sens!K10364)+(Sens!K10365+Sens!K10367+Sens!K10369-Sens!K10371)</f>
        <v>0</v>
      </c>
    </row>
    <row r="10374" customFormat="false" ht="17.15" hidden="false" customHeight="false" outlineLevel="0" collapsed="false">
      <c r="A10374" s="3" t="s">
        <v>1529</v>
      </c>
    </row>
    <row r="10375" customFormat="false" ht="15" hidden="false" customHeight="false" outlineLevel="0" collapsed="false">
      <c r="A10375" s="4" t="s">
        <v>43</v>
      </c>
      <c r="B10375" s="4" t="s">
        <v>65</v>
      </c>
      <c r="C10375" s="20" t="s">
        <v>799</v>
      </c>
      <c r="D10375" s="20" t="s">
        <v>800</v>
      </c>
      <c r="E10375" s="20" t="s">
        <v>801</v>
      </c>
      <c r="F10375" s="20" t="s">
        <v>802</v>
      </c>
      <c r="G10375" s="20" t="s">
        <v>803</v>
      </c>
      <c r="H10375" s="20" t="s">
        <v>804</v>
      </c>
      <c r="I10375" s="20" t="s">
        <v>805</v>
      </c>
      <c r="J10375" s="20" t="s">
        <v>806</v>
      </c>
      <c r="K10375" s="20" t="s">
        <v>807</v>
      </c>
      <c r="L10375" s="4" t="s">
        <v>47</v>
      </c>
    </row>
    <row r="10376" customFormat="false" ht="15" hidden="false" customHeight="false" outlineLevel="0" collapsed="false">
      <c r="A10376" s="0" t="s">
        <v>877</v>
      </c>
      <c r="B10376" s="0" t="s">
        <v>98</v>
      </c>
      <c r="D10376" s="6" t="n">
        <f aca="false">Sens!D10352</f>
        <v>72.61</v>
      </c>
      <c r="E10376" s="6" t="n">
        <f aca="false">Sens!E10352</f>
        <v>101.938</v>
      </c>
      <c r="F10376" s="6" t="n">
        <f aca="false">Sens!F10352</f>
        <v>140.741861125673</v>
      </c>
      <c r="G10376" s="6" t="n">
        <f aca="false">Sens!G10352</f>
        <v>182.176709135845</v>
      </c>
      <c r="H10376" s="6" t="n">
        <f aca="false">Sens!H10352</f>
        <v>219.167638189678</v>
      </c>
      <c r="I10376" s="6" t="n">
        <f aca="false">Sens!I10352</f>
        <v>259.639871266006</v>
      </c>
      <c r="J10376" s="6" t="n">
        <f aca="false">Sens!J10352</f>
        <v>291.525306025352</v>
      </c>
      <c r="K10376" s="6" t="n">
        <f aca="false">Sens!K10352</f>
        <v>315.009444849526</v>
      </c>
    </row>
    <row r="10377" customFormat="false" ht="17.15" hidden="false" customHeight="false" outlineLevel="0" collapsed="false">
      <c r="A10377" s="0" t="s">
        <v>874</v>
      </c>
      <c r="B10377" s="0" t="s">
        <v>98</v>
      </c>
      <c r="D10377" s="6" t="n">
        <f aca="false">Sens!D10349</f>
        <v>12.9359794422418</v>
      </c>
      <c r="E10377" s="6" t="n">
        <f aca="false">Sens!E10349</f>
        <v>27.8095064661409</v>
      </c>
      <c r="F10377" s="6" t="n">
        <f aca="false">Sens!F10349</f>
        <v>50.6619113883066</v>
      </c>
      <c r="G10377" s="6" t="n">
        <f aca="false">Sens!G10349</f>
        <v>75.1482839325348</v>
      </c>
      <c r="H10377" s="6" t="n">
        <f aca="false">Sens!H10349</f>
        <v>94.895655604042</v>
      </c>
      <c r="I10377" s="6" t="n">
        <f aca="false">Sens!I10349</f>
        <v>118.706168884151</v>
      </c>
      <c r="J10377" s="6" t="n">
        <f aca="false">Sens!J10349</f>
        <v>135.50643871102</v>
      </c>
      <c r="K10377" s="6" t="n">
        <f aca="false">Sens!K10349</f>
        <v>146.509068150048</v>
      </c>
    </row>
    <row r="10378" customFormat="false" ht="17.15" hidden="false" customHeight="false" outlineLevel="0" collapsed="false">
      <c r="A10378" s="0" t="s">
        <v>902</v>
      </c>
      <c r="B10378" s="0" t="s">
        <v>98</v>
      </c>
      <c r="D10378" s="6" t="n">
        <f aca="false">Sens!D10350</f>
        <v>59.6740205577583</v>
      </c>
      <c r="E10378" s="6" t="n">
        <f aca="false">Sens!E10350</f>
        <v>74.1284935338591</v>
      </c>
      <c r="F10378" s="6" t="n">
        <f aca="false">Sens!F10350</f>
        <v>90.0799497373663</v>
      </c>
      <c r="G10378" s="6" t="n">
        <f aca="false">Sens!G10350</f>
        <v>107.02842520331</v>
      </c>
      <c r="H10378" s="6" t="n">
        <f aca="false">Sens!H10350</f>
        <v>124.271982585636</v>
      </c>
      <c r="I10378" s="6" t="n">
        <f aca="false">Sens!I10350</f>
        <v>140.933702381855</v>
      </c>
      <c r="J10378" s="6" t="n">
        <f aca="false">Sens!J10350</f>
        <v>156.018867314332</v>
      </c>
      <c r="K10378" s="6" t="n">
        <f aca="false">Sens!K10350</f>
        <v>168.500376699478</v>
      </c>
    </row>
    <row r="10379" customFormat="false" ht="15" hidden="false" customHeight="false" outlineLevel="0" collapsed="false">
      <c r="A10379" s="0" t="s">
        <v>883</v>
      </c>
      <c r="B10379" s="0" t="s">
        <v>98</v>
      </c>
      <c r="D10379" s="6" t="n">
        <f aca="false">Sens!D10357</f>
        <v>84.605</v>
      </c>
      <c r="E10379" s="6" t="n">
        <f aca="false">Sens!E10357</f>
        <v>100.299</v>
      </c>
      <c r="F10379" s="6" t="n">
        <f aca="false">Sens!F10357</f>
        <v>117.39238776686</v>
      </c>
      <c r="G10379" s="6" t="n">
        <f aca="false">Sens!G10357</f>
        <v>132.544168448684</v>
      </c>
      <c r="H10379" s="6" t="n">
        <f aca="false">Sens!H10357</f>
        <v>147.777359388781</v>
      </c>
      <c r="I10379" s="6" t="n">
        <f aca="false">Sens!I10357</f>
        <v>162.084028071957</v>
      </c>
      <c r="J10379" s="6" t="n">
        <f aca="false">Sens!J10357</f>
        <v>175.182702785465</v>
      </c>
      <c r="K10379" s="6" t="n">
        <f aca="false">Sens!K10357</f>
        <v>187.527991980448</v>
      </c>
    </row>
    <row r="10380" customFormat="false" ht="17.15" hidden="false" customHeight="false" outlineLevel="0" collapsed="false">
      <c r="A10380" s="0" t="s">
        <v>903</v>
      </c>
      <c r="B10380" s="0" t="s">
        <v>98</v>
      </c>
      <c r="D10380" s="6" t="n">
        <f aca="false">Sens!D10355</f>
        <v>83.705</v>
      </c>
      <c r="E10380" s="6" t="n">
        <f aca="false">Sens!E10355</f>
        <v>95.049</v>
      </c>
      <c r="F10380" s="6" t="n">
        <f aca="false">Sens!F10355</f>
        <v>106.89238776686</v>
      </c>
      <c r="G10380" s="6" t="n">
        <f aca="false">Sens!G10355</f>
        <v>119.044168448684</v>
      </c>
      <c r="H10380" s="6" t="n">
        <f aca="false">Sens!H10355</f>
        <v>131.277359388781</v>
      </c>
      <c r="I10380" s="6" t="n">
        <f aca="false">Sens!I10355</f>
        <v>143.334028071957</v>
      </c>
      <c r="J10380" s="6" t="n">
        <f aca="false">Sens!J10355</f>
        <v>154.932702785465</v>
      </c>
      <c r="K10380" s="6" t="n">
        <f aca="false">Sens!K10355</f>
        <v>165.777991980448</v>
      </c>
    </row>
    <row r="10381" customFormat="false" ht="17.15" hidden="false" customHeight="false" outlineLevel="0" collapsed="false">
      <c r="A10381" s="0" t="s">
        <v>904</v>
      </c>
      <c r="B10381" s="0" t="s">
        <v>98</v>
      </c>
      <c r="D10381" s="6" t="n">
        <f aca="false">Sens!D10354</f>
        <v>0.9</v>
      </c>
      <c r="E10381" s="6" t="n">
        <f aca="false">Sens!E10354</f>
        <v>5.25</v>
      </c>
      <c r="F10381" s="6" t="n">
        <f aca="false">Sens!F10354</f>
        <v>10.5</v>
      </c>
      <c r="G10381" s="6" t="n">
        <f aca="false">Sens!G10354</f>
        <v>13.5</v>
      </c>
      <c r="H10381" s="6" t="n">
        <f aca="false">Sens!H10354</f>
        <v>16.5</v>
      </c>
      <c r="I10381" s="6" t="n">
        <f aca="false">Sens!I10354</f>
        <v>18.75</v>
      </c>
      <c r="J10381" s="6" t="n">
        <f aca="false">Sens!J10354</f>
        <v>20.25</v>
      </c>
      <c r="K10381" s="6" t="n">
        <f aca="false">Sens!K10354</f>
        <v>21.75</v>
      </c>
    </row>
    <row r="10382" customFormat="false" ht="15" hidden="false" customHeight="false" outlineLevel="0" collapsed="false">
      <c r="A10382" s="0" t="s">
        <v>884</v>
      </c>
      <c r="B10382" s="0" t="s">
        <v>98</v>
      </c>
      <c r="D10382" s="6" t="n">
        <f aca="false">Sens!D10358</f>
        <v>35.391</v>
      </c>
      <c r="E10382" s="6" t="n">
        <f aca="false">Sens!E10358</f>
        <v>37.285</v>
      </c>
      <c r="F10382" s="6" t="n">
        <f aca="false">Sens!F10358</f>
        <v>39.0720834331704</v>
      </c>
      <c r="G10382" s="6" t="n">
        <f aca="false">Sens!G10358</f>
        <v>40.726562953769</v>
      </c>
      <c r="H10382" s="6" t="n">
        <f aca="false">Sens!H10358</f>
        <v>42.2235987259198</v>
      </c>
      <c r="I10382" s="6" t="n">
        <f aca="false">Sens!I10358</f>
        <v>43.5397988077414</v>
      </c>
      <c r="J10382" s="6" t="n">
        <f aca="false">Sens!J10358</f>
        <v>44.653811225693</v>
      </c>
      <c r="K10382" s="6" t="n">
        <f aca="false">Sens!K10358</f>
        <v>45.5468874502068</v>
      </c>
    </row>
    <row r="10383" customFormat="false" ht="15" hidden="false" customHeight="false" outlineLevel="0" collapsed="false">
      <c r="A10383" s="0" t="s">
        <v>885</v>
      </c>
      <c r="B10383" s="0" t="s">
        <v>98</v>
      </c>
      <c r="D10383" s="6" t="n">
        <f aca="false">Sens!D10360</f>
        <v>18.417</v>
      </c>
      <c r="E10383" s="6" t="n">
        <f aca="false">Sens!E10360</f>
        <v>20.345</v>
      </c>
      <c r="F10383" s="6" t="n">
        <f aca="false">Sens!F10360</f>
        <v>22.3572203267814</v>
      </c>
      <c r="G10383" s="6" t="n">
        <f aca="false">Sens!G10360</f>
        <v>24.4392124437232</v>
      </c>
      <c r="H10383" s="6" t="n">
        <f aca="false">Sens!H10360</f>
        <v>26.5738052080665</v>
      </c>
      <c r="I10383" s="6" t="n">
        <f aca="false">Sens!I10360</f>
        <v>28.7412169166967</v>
      </c>
      <c r="J10383" s="6" t="n">
        <f aca="false">Sens!J10360</f>
        <v>30.9192545395413</v>
      </c>
      <c r="K10383" s="6" t="n">
        <f aca="false">Sens!K10360</f>
        <v>33.0836023573092</v>
      </c>
    </row>
    <row r="10384" customFormat="false" ht="15" hidden="false" customHeight="false" outlineLevel="0" collapsed="false">
      <c r="A10384" s="0" t="s">
        <v>886</v>
      </c>
      <c r="B10384" s="0" t="s">
        <v>98</v>
      </c>
      <c r="D10384" s="6" t="n">
        <f aca="false">Sens!D10362</f>
        <v>7.76</v>
      </c>
      <c r="E10384" s="6" t="n">
        <f aca="false">Sens!E10362</f>
        <v>8.26</v>
      </c>
      <c r="F10384" s="6" t="n">
        <f aca="false">Sens!F10362</f>
        <v>8.79988041237113</v>
      </c>
      <c r="G10384" s="6" t="n">
        <f aca="false">Sens!G10362</f>
        <v>9.38321269125306</v>
      </c>
      <c r="H10384" s="6" t="n">
        <f aca="false">Sens!H10362</f>
        <v>10.0139193587476</v>
      </c>
      <c r="I10384" s="6" t="n">
        <f aca="false">Sens!I10362</f>
        <v>10.6963111830911</v>
      </c>
      <c r="J10384" s="6" t="n">
        <f aca="false">Sens!J10362</f>
        <v>11.4351285534696</v>
      </c>
      <c r="K10384" s="6" t="n">
        <f aca="false">Sens!K10362</f>
        <v>12.2355875522124</v>
      </c>
    </row>
    <row r="10385" customFormat="false" ht="15" hidden="false" customHeight="false" outlineLevel="0" collapsed="false">
      <c r="A10385" s="0" t="s">
        <v>715</v>
      </c>
      <c r="B10385" s="0" t="s">
        <v>98</v>
      </c>
      <c r="D10385" s="6" t="n">
        <f aca="false">Sens!D10364</f>
        <v>218.783</v>
      </c>
      <c r="E10385" s="6" t="n">
        <f aca="false">Sens!E10364</f>
        <v>268.127</v>
      </c>
      <c r="F10385" s="6" t="n">
        <f aca="false">Sens!F10364</f>
        <v>328.363433064856</v>
      </c>
      <c r="G10385" s="6" t="n">
        <f aca="false">Sens!G10364</f>
        <v>389.269865673274</v>
      </c>
      <c r="H10385" s="6" t="n">
        <f aca="false">Sens!H10364</f>
        <v>445.756320871193</v>
      </c>
      <c r="I10385" s="6" t="n">
        <f aca="false">Sens!I10364</f>
        <v>504.701226245492</v>
      </c>
      <c r="J10385" s="6" t="n">
        <f aca="false">Sens!J10364</f>
        <v>553.716203129521</v>
      </c>
      <c r="K10385" s="6" t="n">
        <f aca="false">Sens!K10364</f>
        <v>593.403514189702</v>
      </c>
    </row>
    <row r="10386" customFormat="false" ht="15" hidden="false" customHeight="false" outlineLevel="0" collapsed="false">
      <c r="A10386" s="0" t="s">
        <v>887</v>
      </c>
      <c r="B10386" s="0" t="s">
        <v>98</v>
      </c>
      <c r="D10386" s="6" t="n">
        <f aca="false">Sens!D10365</f>
        <v>22.171</v>
      </c>
      <c r="E10386" s="6" t="n">
        <f aca="false">Sens!E10365</f>
        <v>24.835</v>
      </c>
      <c r="F10386" s="6" t="n">
        <f aca="false">Sens!F10365</f>
        <v>27.6114901218559</v>
      </c>
      <c r="G10386" s="6" t="n">
        <f aca="false">Sens!G10365</f>
        <v>30.4675667338515</v>
      </c>
      <c r="H10386" s="6" t="n">
        <f aca="false">Sens!H10365</f>
        <v>33.3643766955789</v>
      </c>
      <c r="I10386" s="6" t="n">
        <f aca="false">Sens!I10365</f>
        <v>36.2577016533691</v>
      </c>
      <c r="J10386" s="6" t="n">
        <f aca="false">Sens!J10365</f>
        <v>39.0988367952171</v>
      </c>
      <c r="K10386" s="6" t="n">
        <f aca="false">Sens!K10365</f>
        <v>41.8357553708823</v>
      </c>
    </row>
    <row r="10387" customFormat="false" ht="15" hidden="false" customHeight="false" outlineLevel="0" collapsed="false">
      <c r="A10387" s="0" t="s">
        <v>888</v>
      </c>
      <c r="B10387" s="0" t="s">
        <v>98</v>
      </c>
      <c r="D10387" s="6" t="n">
        <f aca="false">Sens!D10367</f>
        <v>23.455</v>
      </c>
      <c r="E10387" s="6" t="n">
        <f aca="false">Sens!E10367</f>
        <v>21.79</v>
      </c>
      <c r="F10387" s="6" t="n">
        <f aca="false">Sens!F10367</f>
        <v>20.4283611241384</v>
      </c>
      <c r="G10387" s="6" t="n">
        <f aca="false">Sens!G10367</f>
        <v>19.3254067185857</v>
      </c>
      <c r="H10387" s="6" t="n">
        <f aca="false">Sens!H10367</f>
        <v>18.446226363051</v>
      </c>
      <c r="I10387" s="6" t="n">
        <f aca="false">Sens!I10367</f>
        <v>17.7637959435485</v>
      </c>
      <c r="J10387" s="6" t="n">
        <f aca="false">Sens!J10367</f>
        <v>17.2575662581111</v>
      </c>
      <c r="K10387" s="6" t="n">
        <f aca="false">Sens!K10367</f>
        <v>16.9124149329489</v>
      </c>
    </row>
    <row r="10388" customFormat="false" ht="15" hidden="false" customHeight="false" outlineLevel="0" collapsed="false">
      <c r="A10388" s="0" t="s">
        <v>889</v>
      </c>
      <c r="B10388" s="0" t="s">
        <v>98</v>
      </c>
      <c r="D10388" s="6" t="n">
        <f aca="false">Sens!D10369</f>
        <v>17.315</v>
      </c>
      <c r="E10388" s="6" t="n">
        <f aca="false">Sens!E10369</f>
        <v>17.087</v>
      </c>
      <c r="F10388" s="6" t="n">
        <f aca="false">Sens!F10369</f>
        <v>16.9564585436519</v>
      </c>
      <c r="G10388" s="6" t="n">
        <f aca="false">Sens!G10369</f>
        <v>16.9206490624268</v>
      </c>
      <c r="H10388" s="6" t="n">
        <f aca="false">Sens!H10369</f>
        <v>16.9784519149849</v>
      </c>
      <c r="I10388" s="6" t="n">
        <f aca="false">Sens!I10369</f>
        <v>17.1303084701817</v>
      </c>
      <c r="J10388" s="6" t="n">
        <f aca="false">Sens!J10369</f>
        <v>17.3782189407267</v>
      </c>
      <c r="K10388" s="6" t="n">
        <f aca="false">Sens!K10369</f>
        <v>17.7257833195413</v>
      </c>
    </row>
    <row r="10389" customFormat="false" ht="15" hidden="false" customHeight="false" outlineLevel="0" collapsed="false">
      <c r="A10389" s="0" t="s">
        <v>729</v>
      </c>
      <c r="B10389" s="0" t="s">
        <v>98</v>
      </c>
      <c r="D10389" s="6" t="n">
        <f aca="false">Sens!D10371</f>
        <v>62.941</v>
      </c>
      <c r="E10389" s="6" t="n">
        <f aca="false">Sens!E10371</f>
        <v>63.712</v>
      </c>
      <c r="F10389" s="6" t="n">
        <f aca="false">Sens!F10371</f>
        <v>64.9963097896462</v>
      </c>
      <c r="G10389" s="6" t="n">
        <f aca="false">Sens!G10371</f>
        <v>66.7136225148641</v>
      </c>
      <c r="H10389" s="6" t="n">
        <f aca="false">Sens!H10371</f>
        <v>68.7890549736148</v>
      </c>
      <c r="I10389" s="6" t="n">
        <f aca="false">Sens!I10371</f>
        <v>71.1518060670993</v>
      </c>
      <c r="J10389" s="6" t="n">
        <f aca="false">Sens!J10371</f>
        <v>73.7346219940549</v>
      </c>
      <c r="K10389" s="6" t="n">
        <f aca="false">Sens!K10371</f>
        <v>76.4739536233724</v>
      </c>
    </row>
    <row r="10390" customFormat="false" ht="15" hidden="false" customHeight="false" outlineLevel="0" collapsed="false">
      <c r="A10390" s="1" t="s">
        <v>905</v>
      </c>
      <c r="B10390" s="0" t="s">
        <v>98</v>
      </c>
      <c r="D10390" s="6" t="n">
        <f aca="false">Sens!D10372</f>
        <v>281.724</v>
      </c>
      <c r="E10390" s="6" t="n">
        <f aca="false">Sens!E10372</f>
        <v>331.839</v>
      </c>
      <c r="F10390" s="6" t="n">
        <f aca="false">Sens!F10372</f>
        <v>393.359742854502</v>
      </c>
      <c r="G10390" s="6" t="n">
        <f aca="false">Sens!G10372</f>
        <v>455.983488188138</v>
      </c>
      <c r="H10390" s="6" t="n">
        <f aca="false">Sens!H10372</f>
        <v>514.545375844808</v>
      </c>
      <c r="I10390" s="6" t="n">
        <f aca="false">Sens!I10372</f>
        <v>575.853032312592</v>
      </c>
      <c r="J10390" s="6" t="n">
        <f aca="false">Sens!J10372</f>
        <v>627.450825123576</v>
      </c>
      <c r="K10390" s="6" t="n">
        <f aca="false">Sens!K10372</f>
        <v>669.877467813074</v>
      </c>
    </row>
    <row r="10391" customFormat="false" ht="15" hidden="false" customHeight="false" outlineLevel="0" collapsed="false">
      <c r="A10391" s="1" t="s">
        <v>906</v>
      </c>
      <c r="B10391" s="0" t="s">
        <v>129</v>
      </c>
      <c r="E10391" s="7" t="n">
        <f aca="false">Sens!E10390/Sens!D10390-1</f>
        <v>0.177886867998467</v>
      </c>
      <c r="F10391" s="7" t="n">
        <f aca="false">Sens!F10390/Sens!E10390-1</f>
        <v>0.185393346937828</v>
      </c>
      <c r="G10391" s="7" t="n">
        <f aca="false">Sens!G10390/Sens!F10390-1</f>
        <v>0.159202222574158</v>
      </c>
      <c r="H10391" s="7" t="n">
        <f aca="false">Sens!H10390/Sens!G10390-1</f>
        <v>0.12842984268875</v>
      </c>
      <c r="I10391" s="7" t="n">
        <f aca="false">Sens!I10390/Sens!H10390-1</f>
        <v>0.119149173903518</v>
      </c>
      <c r="J10391" s="7" t="n">
        <f aca="false">Sens!J10390/Sens!I10390-1</f>
        <v>0.0896023636513132</v>
      </c>
      <c r="K10391" s="7" t="n">
        <f aca="false">Sens!K10390/Sens!J10390-1</f>
        <v>0.0676174785189621</v>
      </c>
    </row>
    <row r="10392" customFormat="false" ht="17.15" hidden="false" customHeight="false" outlineLevel="0" collapsed="false">
      <c r="A10392" s="23" t="s">
        <v>907</v>
      </c>
      <c r="B10392" s="30" t="s">
        <v>98</v>
      </c>
      <c r="C10392" s="30"/>
      <c r="D10392" s="24" t="n">
        <f aca="false">(Sens!D10385+Sens!D10389-Sens!D10390)+(Sens!D10377+Sens!D10378-Sens!D10376)+(Sens!D10380+Sens!D10381-Sens!D10379)+(Sens!D10390-Q!L18)</f>
        <v>0</v>
      </c>
      <c r="E10392" s="24" t="n">
        <f aca="false">(Sens!E10385+Sens!E10389-Sens!E10390)+(Sens!E10377+Sens!E10378-Sens!E10376)+(Sens!E10380+Sens!E10381-Sens!E10379)+(Sens!E10390-Q!M18)</f>
        <v>0</v>
      </c>
      <c r="F10392" s="24" t="n">
        <f aca="false">(Sens!F10385+Sens!F10389-Sens!F10390)+(Sens!F10377+Sens!F10378-Sens!F10376)+(Sens!F10380+Sens!F10381-Sens!F10379)</f>
        <v>0</v>
      </c>
      <c r="G10392" s="24" t="n">
        <f aca="false">(Sens!G10385+Sens!G10389-Sens!G10390)+(Sens!G10377+Sens!G10378-Sens!G10376)+(Sens!G10380+Sens!G10381-Sens!G10379)</f>
        <v>0</v>
      </c>
      <c r="H10392" s="24" t="n">
        <f aca="false">(Sens!H10385+Sens!H10389-Sens!H10390)+(Sens!H10377+Sens!H10378-Sens!H10376)+(Sens!H10380+Sens!H10381-Sens!H10379)</f>
        <v>0</v>
      </c>
      <c r="I10392" s="24" t="n">
        <f aca="false">(Sens!I10385+Sens!I10389-Sens!I10390)+(Sens!I10377+Sens!I10378-Sens!I10376)+(Sens!I10380+Sens!I10381-Sens!I10379)</f>
        <v>0</v>
      </c>
      <c r="J10392" s="24" t="n">
        <f aca="false">(Sens!J10385+Sens!J10389-Sens!J10390)+(Sens!J10377+Sens!J10378-Sens!J10376)+(Sens!J10380+Sens!J10381-Sens!J10379)</f>
        <v>0</v>
      </c>
      <c r="K10392" s="24" t="n">
        <f aca="false">(Sens!K10385+Sens!K10389-Sens!K10390)+(Sens!K10377+Sens!K10378-Sens!K10376)+(Sens!K10380+Sens!K10381-Sens!K10379)</f>
        <v>0</v>
      </c>
    </row>
    <row r="10393" customFormat="false" ht="17.15" hidden="false" customHeight="false" outlineLevel="0" collapsed="false">
      <c r="A10393" s="0" t="s">
        <v>908</v>
      </c>
      <c r="B10393" s="0" t="s">
        <v>129</v>
      </c>
      <c r="E10393" s="7" t="n">
        <f aca="false">(Q!M21+Sens!E10330+Sens!E10331+Sens!E10332+Sens!E10345-Sens!E10328)/(Q!M5-Sens!E10328)</f>
        <v>0.570957350878296</v>
      </c>
      <c r="F10393" s="7" t="n">
        <f aca="false">Sens!$E$10393+dm_seg</f>
        <v>0.570957350878296</v>
      </c>
      <c r="G10393" s="7" t="n">
        <f aca="false">Sens!$E$10393+dm_seg</f>
        <v>0.570957350878296</v>
      </c>
      <c r="H10393" s="7" t="n">
        <f aca="false">Sens!$E$10393+dm_seg</f>
        <v>0.570957350878296</v>
      </c>
      <c r="I10393" s="7" t="n">
        <f aca="false">Sens!$E$10393+dm_seg</f>
        <v>0.570957350878296</v>
      </c>
      <c r="J10393" s="7" t="n">
        <f aca="false">Sens!$E$10393+dm_seg</f>
        <v>0.570957350878296</v>
      </c>
      <c r="K10393" s="7" t="n">
        <f aca="false">Sens!$E$10393+dm_seg</f>
        <v>0.570957350878296</v>
      </c>
      <c r="L10393" s="11" t="s">
        <v>909</v>
      </c>
    </row>
    <row r="10394" customFormat="false" ht="17.15" hidden="false" customHeight="false" outlineLevel="0" collapsed="false">
      <c r="A10394" s="0" t="s">
        <v>743</v>
      </c>
      <c r="B10394" s="0" t="s">
        <v>98</v>
      </c>
      <c r="D10394" s="6" t="n">
        <f aca="false">Q!L21</f>
        <v>110.814</v>
      </c>
      <c r="E10394" s="6" t="n">
        <f aca="false">Q!M21</f>
        <v>136.365</v>
      </c>
      <c r="F10394" s="6" t="n">
        <f aca="false">Sens!F10393*(Sens!F10364-Sens!F10328)+Sens!F10328-(Sens!F10330+Sens!F10331+Sens!F10332)-Sens!F10345-Sens!F10428</f>
        <v>152.186039292494</v>
      </c>
      <c r="G10394" s="6" t="n">
        <f aca="false">Sens!G10393*(Sens!G10364-Sens!G10328)+Sens!G10328-(Sens!G10330+Sens!G10331+Sens!G10332)-Sens!G10345-Sens!G10428</f>
        <v>160.930662910096</v>
      </c>
      <c r="H10394" s="6" t="n">
        <f aca="false">Sens!H10393*(Sens!H10364-Sens!H10328)+Sens!H10328-(Sens!H10330+Sens!H10331+Sens!H10332)-Sens!H10345-Sens!H10428</f>
        <v>163.297882547218</v>
      </c>
      <c r="I10394" s="6" t="n">
        <f aca="false">Sens!I10393*(Sens!I10364-Sens!I10328)+Sens!I10328-(Sens!I10330+Sens!I10331+Sens!I10332)-Sens!I10345-Sens!I10428</f>
        <v>173.292486741277</v>
      </c>
      <c r="J10394" s="6" t="n">
        <f aca="false">Sens!J10393*(Sens!J10364-Sens!J10328)+Sens!J10328-(Sens!J10330+Sens!J10331+Sens!J10332)-Sens!J10345-Sens!J10428</f>
        <v>184.537557231761</v>
      </c>
      <c r="K10394" s="6" t="n">
        <f aca="false">Sens!K10393*(Sens!K10364-Sens!K10328)+Sens!K10328-(Sens!K10330+Sens!K10331+Sens!K10332)-Sens!K10345-Sens!K10428</f>
        <v>197.058800798062</v>
      </c>
      <c r="L10394" s="1" t="s">
        <v>910</v>
      </c>
    </row>
    <row r="10395" customFormat="false" ht="17.15" hidden="false" customHeight="false" outlineLevel="0" collapsed="false">
      <c r="A10395" s="0" t="s">
        <v>911</v>
      </c>
      <c r="B10395" s="0" t="s">
        <v>129</v>
      </c>
      <c r="E10395" s="7" t="n">
        <f aca="false">Q!M22/Q!M12</f>
        <v>0.296207935710698</v>
      </c>
      <c r="F10395" s="7" t="n">
        <f aca="false">Sens!$E$10395+dm_seg</f>
        <v>0.296207935710698</v>
      </c>
      <c r="G10395" s="7" t="n">
        <f aca="false">Sens!$E$10395+dm_seg</f>
        <v>0.296207935710698</v>
      </c>
      <c r="H10395" s="7" t="n">
        <f aca="false">Sens!$E$10395+dm_seg</f>
        <v>0.296207935710698</v>
      </c>
      <c r="I10395" s="7" t="n">
        <f aca="false">Sens!$E$10395+dm_seg</f>
        <v>0.296207935710698</v>
      </c>
      <c r="J10395" s="7" t="n">
        <f aca="false">Sens!$E$10395+dm_seg</f>
        <v>0.296207935710698</v>
      </c>
      <c r="K10395" s="7" t="n">
        <f aca="false">Sens!$E$10395+dm_seg</f>
        <v>0.296207935710698</v>
      </c>
      <c r="L10395" s="11" t="s">
        <v>912</v>
      </c>
    </row>
    <row r="10396" customFormat="false" ht="17.15" hidden="false" customHeight="false" outlineLevel="0" collapsed="false">
      <c r="A10396" s="0" t="s">
        <v>745</v>
      </c>
      <c r="B10396" s="0" t="s">
        <v>98</v>
      </c>
      <c r="D10396" s="6" t="n">
        <f aca="false">Q!L22</f>
        <v>17.714</v>
      </c>
      <c r="E10396" s="6" t="n">
        <f aca="false">Q!M22</f>
        <v>18.872</v>
      </c>
      <c r="F10396" s="6" t="n">
        <f aca="false">Sens!F10371*Sens!F10395</f>
        <v>19.2524227516042</v>
      </c>
      <c r="G10396" s="6" t="n">
        <f aca="false">Sens!G10371*Sens!G10395</f>
        <v>19.7611044089106</v>
      </c>
      <c r="H10396" s="6" t="n">
        <f aca="false">Sens!H10371*Sens!H10395</f>
        <v>20.3758639732242</v>
      </c>
      <c r="I10396" s="6" t="n">
        <f aca="false">Sens!I10371*Sens!I10395</f>
        <v>21.0757295972234</v>
      </c>
      <c r="J10396" s="6" t="n">
        <f aca="false">Sens!J10371*Sens!J10395</f>
        <v>21.8407801712676</v>
      </c>
      <c r="K10396" s="6" t="n">
        <f aca="false">Sens!K10371*Sens!K10395</f>
        <v>22.6521919384148</v>
      </c>
    </row>
    <row r="10397" customFormat="false" ht="15" hidden="false" customHeight="false" outlineLevel="0" collapsed="false">
      <c r="A10397" s="1" t="s">
        <v>913</v>
      </c>
      <c r="B10397" s="0" t="s">
        <v>98</v>
      </c>
      <c r="D10397" s="6" t="n">
        <f aca="false">Sens!D10394+Sens!D10396</f>
        <v>128.528</v>
      </c>
      <c r="E10397" s="6" t="n">
        <f aca="false">Sens!E10394+Sens!E10396</f>
        <v>155.237</v>
      </c>
      <c r="F10397" s="6" t="n">
        <f aca="false">Sens!F10394+Sens!F10396</f>
        <v>171.438462044098</v>
      </c>
      <c r="G10397" s="6" t="n">
        <f aca="false">Sens!G10394+Sens!G10396</f>
        <v>180.691767319007</v>
      </c>
      <c r="H10397" s="6" t="n">
        <f aca="false">Sens!H10394+Sens!H10396</f>
        <v>183.673746520443</v>
      </c>
      <c r="I10397" s="6" t="n">
        <f aca="false">Sens!I10394+Sens!I10396</f>
        <v>194.3682163385</v>
      </c>
      <c r="J10397" s="6" t="n">
        <f aca="false">Sens!J10394+Sens!J10396</f>
        <v>206.378337403028</v>
      </c>
      <c r="K10397" s="6" t="n">
        <f aca="false">Sens!K10394+Sens!K10396</f>
        <v>219.710992736477</v>
      </c>
    </row>
    <row r="10398" customFormat="false" ht="15" hidden="false" customHeight="false" outlineLevel="0" collapsed="false">
      <c r="A10398" s="23" t="s">
        <v>914</v>
      </c>
      <c r="B10398" s="30" t="s">
        <v>98</v>
      </c>
      <c r="C10398" s="30"/>
      <c r="D10398" s="24" t="n">
        <f aca="false">Sens!D10397-Q!L23</f>
        <v>0</v>
      </c>
      <c r="E10398" s="24" t="n">
        <f aca="false">Sens!E10397-Q!M23</f>
        <v>0</v>
      </c>
      <c r="F10398" s="30"/>
      <c r="G10398" s="30"/>
      <c r="H10398" s="30"/>
      <c r="I10398" s="30"/>
      <c r="J10398" s="30"/>
      <c r="K10398" s="30"/>
    </row>
    <row r="10399" customFormat="false" ht="15" hidden="false" customHeight="false" outlineLevel="0" collapsed="false">
      <c r="A10399" s="1" t="s">
        <v>915</v>
      </c>
      <c r="B10399" s="0" t="s">
        <v>129</v>
      </c>
      <c r="D10399" s="7" t="n">
        <f aca="false">Sens!D10397/Sens!D10390</f>
        <v>0.456219562408598</v>
      </c>
      <c r="E10399" s="7" t="n">
        <f aca="false">Sens!E10397/Sens!E10390</f>
        <v>0.467808184089272</v>
      </c>
      <c r="F10399" s="7" t="n">
        <f aca="false">Sens!F10397/Sens!F10390</f>
        <v>0.435831233770942</v>
      </c>
      <c r="G10399" s="7" t="n">
        <f aca="false">Sens!G10397/Sens!G10390</f>
        <v>0.396268224617058</v>
      </c>
      <c r="H10399" s="7" t="n">
        <f aca="false">Sens!H10397/Sens!H10390</f>
        <v>0.356963166210322</v>
      </c>
      <c r="I10399" s="7" t="n">
        <f aca="false">Sens!I10397/Sens!I10390</f>
        <v>0.33753094180633</v>
      </c>
      <c r="J10399" s="7" t="n">
        <f aca="false">Sens!J10397/Sens!J10390</f>
        <v>0.32891555662929</v>
      </c>
      <c r="K10399" s="7" t="n">
        <f aca="false">Sens!K10397/Sens!K10390</f>
        <v>0.327986838329941</v>
      </c>
    </row>
    <row r="10400" customFormat="false" ht="17.15" hidden="false" customHeight="false" outlineLevel="0" collapsed="false">
      <c r="A10400" s="1" t="s">
        <v>916</v>
      </c>
      <c r="B10400" s="0" t="s">
        <v>98</v>
      </c>
      <c r="F10400" s="6" t="n">
        <f aca="false">Sens!F10415</f>
        <v>10.1553565002727</v>
      </c>
      <c r="G10400" s="6" t="n">
        <f aca="false">Sens!G10415</f>
        <v>26.5039384396555</v>
      </c>
      <c r="H10400" s="6" t="n">
        <f aca="false">Sens!H10415</f>
        <v>44.38649932956</v>
      </c>
      <c r="I10400" s="6" t="n">
        <f aca="false">Sens!I10415</f>
        <v>60.5028524913745</v>
      </c>
      <c r="J10400" s="6" t="n">
        <f aca="false">Sens!J10415</f>
        <v>71.8788124586976</v>
      </c>
      <c r="K10400" s="6" t="n">
        <f aca="false">Sens!K10415</f>
        <v>78.7789222270768</v>
      </c>
      <c r="L10400" s="1" t="s">
        <v>917</v>
      </c>
    </row>
    <row r="10401" customFormat="false" ht="17.15" hidden="false" customHeight="false" outlineLevel="0" collapsed="false">
      <c r="A10401" s="1" t="s">
        <v>918</v>
      </c>
      <c r="B10401" s="0" t="s">
        <v>98</v>
      </c>
      <c r="D10401" s="6" t="n">
        <f aca="false">Sens!D10397</f>
        <v>128.528</v>
      </c>
      <c r="E10401" s="6" t="n">
        <f aca="false">Sens!E10397</f>
        <v>155.237</v>
      </c>
      <c r="F10401" s="6" t="n">
        <f aca="false">Sens!F10397+Sens!F10400</f>
        <v>181.593818544371</v>
      </c>
      <c r="G10401" s="6" t="n">
        <f aca="false">Sens!G10397+Sens!G10400</f>
        <v>207.195705758662</v>
      </c>
      <c r="H10401" s="6" t="n">
        <f aca="false">Sens!H10397+Sens!H10400</f>
        <v>228.060245850003</v>
      </c>
      <c r="I10401" s="6" t="n">
        <f aca="false">Sens!I10397+Sens!I10400</f>
        <v>254.871068829875</v>
      </c>
      <c r="J10401" s="6" t="n">
        <f aca="false">Sens!J10397+Sens!J10400</f>
        <v>278.257149861726</v>
      </c>
      <c r="K10401" s="6" t="n">
        <f aca="false">Sens!K10397+Sens!K10400</f>
        <v>298.489914963554</v>
      </c>
    </row>
    <row r="10402" customFormat="false" ht="17.15" hidden="false" customHeight="false" outlineLevel="0" collapsed="false">
      <c r="A10402" s="1" t="s">
        <v>919</v>
      </c>
      <c r="B10402" s="0" t="s">
        <v>98</v>
      </c>
      <c r="E10402" s="6" t="n">
        <f aca="false">Sens!E10345</f>
        <v>16.3054059770833</v>
      </c>
      <c r="F10402" s="6" t="n">
        <f aca="false">Sens!F10345</f>
        <v>34.0498873809555</v>
      </c>
      <c r="G10402" s="6" t="n">
        <f aca="false">Sens!G10345</f>
        <v>59.1254371105111</v>
      </c>
      <c r="H10402" s="6" t="n">
        <f aca="false">Sens!H10345</f>
        <v>86.3610198433111</v>
      </c>
      <c r="I10402" s="6" t="n">
        <f aca="false">Sens!I10345</f>
        <v>110.605743832393</v>
      </c>
      <c r="J10402" s="6" t="n">
        <f aca="false">Sens!J10345</f>
        <v>127.998322852843</v>
      </c>
      <c r="K10402" s="6" t="n">
        <f aca="false">Sens!K10345</f>
        <v>139.131464044308</v>
      </c>
    </row>
    <row r="10403" customFormat="false" ht="17.15" hidden="false" customHeight="false" outlineLevel="0" collapsed="false">
      <c r="A10403" s="1" t="s">
        <v>920</v>
      </c>
      <c r="B10403" s="0" t="s">
        <v>98</v>
      </c>
      <c r="E10403" s="6" t="n">
        <f aca="false">Sens!E10427</f>
        <v>22.2285940229167</v>
      </c>
      <c r="F10403" s="6" t="n">
        <f aca="false">Sens!F10427</f>
        <v>24.3924470334783</v>
      </c>
      <c r="G10403" s="6" t="n">
        <f aca="false">Sens!G10427</f>
        <v>26.0222564714798</v>
      </c>
      <c r="H10403" s="6" t="n">
        <f aca="false">Sens!H10427</f>
        <v>28.023818938617</v>
      </c>
      <c r="I10403" s="6" t="n">
        <f aca="false">Sens!I10427</f>
        <v>30.3399625376945</v>
      </c>
      <c r="J10403" s="6" t="n">
        <f aca="false">Sens!J10427</f>
        <v>32.8959482459411</v>
      </c>
      <c r="K10403" s="6" t="n">
        <f aca="false">Sens!K10427</f>
        <v>35.6079312373135</v>
      </c>
    </row>
    <row r="10404" customFormat="false" ht="17.15" hidden="false" customHeight="false" outlineLevel="0" collapsed="false">
      <c r="A10404" s="1" t="s">
        <v>921</v>
      </c>
      <c r="B10404" s="0" t="s">
        <v>98</v>
      </c>
      <c r="D10404" s="6" t="n">
        <f aca="false">Q!L27</f>
        <v>-4.901</v>
      </c>
      <c r="E10404" s="6" t="n">
        <f aca="false">Q!M27</f>
        <v>10.697</v>
      </c>
      <c r="F10404" s="6" t="n">
        <f aca="false">oie_f</f>
        <v>-0.4</v>
      </c>
      <c r="G10404" s="6" t="n">
        <f aca="false">oie_f</f>
        <v>-0.4</v>
      </c>
      <c r="H10404" s="6" t="n">
        <f aca="false">oie_f</f>
        <v>-0.4</v>
      </c>
      <c r="I10404" s="6" t="n">
        <f aca="false">oie_f</f>
        <v>-0.4</v>
      </c>
      <c r="J10404" s="6" t="n">
        <f aca="false">oie_f</f>
        <v>-0.4</v>
      </c>
      <c r="K10404" s="6" t="n">
        <f aca="false">oie_f</f>
        <v>-0.4</v>
      </c>
      <c r="L10404" s="11" t="s">
        <v>922</v>
      </c>
    </row>
    <row r="10405" customFormat="false" ht="15" hidden="false" customHeight="false" outlineLevel="0" collapsed="false">
      <c r="A10405" s="1" t="s">
        <v>923</v>
      </c>
      <c r="B10405" s="0" t="s">
        <v>98</v>
      </c>
      <c r="D10405" s="6" t="n">
        <f aca="false">Sens!D10397+Sens!D10404</f>
        <v>123.627</v>
      </c>
      <c r="E10405" s="6" t="n">
        <f aca="false">Sens!E10397+Sens!E10404</f>
        <v>165.934</v>
      </c>
      <c r="F10405" s="6" t="n">
        <f aca="false">Sens!F10397+Sens!F10404</f>
        <v>171.038462044098</v>
      </c>
      <c r="G10405" s="6" t="n">
        <f aca="false">Sens!G10397+Sens!G10404</f>
        <v>180.291767319007</v>
      </c>
      <c r="H10405" s="6" t="n">
        <f aca="false">Sens!H10397+Sens!H10404</f>
        <v>183.273746520443</v>
      </c>
      <c r="I10405" s="6" t="n">
        <f aca="false">Sens!I10397+Sens!I10404</f>
        <v>193.9682163385</v>
      </c>
      <c r="J10405" s="6" t="n">
        <f aca="false">Sens!J10397+Sens!J10404</f>
        <v>205.978337403028</v>
      </c>
      <c r="K10405" s="6" t="n">
        <f aca="false">Sens!K10397+Sens!K10404</f>
        <v>219.310992736477</v>
      </c>
    </row>
    <row r="10406" customFormat="false" ht="15" hidden="false" customHeight="false" outlineLevel="0" collapsed="false">
      <c r="A10406" s="1" t="s">
        <v>924</v>
      </c>
      <c r="B10406" s="0" t="s">
        <v>98</v>
      </c>
      <c r="D10406" s="6" t="n">
        <f aca="false">Q!L29</f>
        <v>21.795</v>
      </c>
      <c r="E10406" s="6" t="n">
        <f aca="false">Q!M29</f>
        <v>32.185</v>
      </c>
      <c r="F10406" s="6" t="n">
        <f aca="false">Sens!F10405*tax_f</f>
        <v>34.2076924088196</v>
      </c>
      <c r="G10406" s="6" t="n">
        <f aca="false">Sens!G10405*tax_f</f>
        <v>36.0583534638013</v>
      </c>
      <c r="H10406" s="6" t="n">
        <f aca="false">Sens!H10405*tax_f</f>
        <v>36.6547493040885</v>
      </c>
      <c r="I10406" s="6" t="n">
        <f aca="false">Sens!I10405*tax_f</f>
        <v>38.7936432677</v>
      </c>
      <c r="J10406" s="6" t="n">
        <f aca="false">Sens!J10405*tax_f</f>
        <v>41.1956674806057</v>
      </c>
      <c r="K10406" s="6" t="n">
        <f aca="false">Sens!K10405*tax_f</f>
        <v>43.8621985472954</v>
      </c>
    </row>
    <row r="10407" customFormat="false" ht="15" hidden="false" customHeight="false" outlineLevel="0" collapsed="false">
      <c r="A10407" s="1" t="s">
        <v>925</v>
      </c>
      <c r="B10407" s="0" t="s">
        <v>98</v>
      </c>
      <c r="D10407" s="6" t="n">
        <f aca="false">Sens!D10405-Sens!D10406</f>
        <v>101.832</v>
      </c>
      <c r="E10407" s="6" t="n">
        <f aca="false">Sens!E10405-Sens!E10406</f>
        <v>133.749</v>
      </c>
      <c r="F10407" s="6" t="n">
        <f aca="false">Sens!F10405-Sens!F10406</f>
        <v>136.830769635278</v>
      </c>
      <c r="G10407" s="6" t="n">
        <f aca="false">Sens!G10405-Sens!G10406</f>
        <v>144.233413855205</v>
      </c>
      <c r="H10407" s="6" t="n">
        <f aca="false">Sens!H10405-Sens!H10406</f>
        <v>146.618997216354</v>
      </c>
      <c r="I10407" s="6" t="n">
        <f aca="false">Sens!I10405-Sens!I10406</f>
        <v>155.1745730708</v>
      </c>
      <c r="J10407" s="6" t="n">
        <f aca="false">Sens!J10405-Sens!J10406</f>
        <v>164.782669922423</v>
      </c>
      <c r="K10407" s="6" t="n">
        <f aca="false">Sens!K10405-Sens!K10406</f>
        <v>175.448794189182</v>
      </c>
    </row>
    <row r="10408" customFormat="false" ht="17.15" hidden="false" customHeight="false" outlineLevel="0" collapsed="false">
      <c r="A10408" s="1" t="s">
        <v>926</v>
      </c>
      <c r="B10408" s="1" t="s">
        <v>81</v>
      </c>
      <c r="D10408" s="14" t="n">
        <f aca="false">Q!L31</f>
        <v>7.465</v>
      </c>
      <c r="E10408" s="14" t="n">
        <f aca="false">Q!M31</f>
        <v>7.453</v>
      </c>
      <c r="F10408" s="14" t="n">
        <f aca="false">Sens!F10451</f>
        <v>7.4735</v>
      </c>
      <c r="G10408" s="14" t="n">
        <f aca="false">Sens!G10451</f>
        <v>7.5185</v>
      </c>
      <c r="H10408" s="14" t="n">
        <f aca="false">Sens!H10451</f>
        <v>7.55861693224809</v>
      </c>
      <c r="I10408" s="14" t="n">
        <f aca="false">Sens!I10451</f>
        <v>7.58276311065353</v>
      </c>
      <c r="J10408" s="14" t="n">
        <f aca="false">Sens!J10451</f>
        <v>7.59700462177142</v>
      </c>
      <c r="K10408" s="14" t="n">
        <f aca="false">Sens!K10451</f>
        <v>7.61352453947316</v>
      </c>
    </row>
    <row r="10409" customFormat="false" ht="17.15" hidden="false" customHeight="false" outlineLevel="0" collapsed="false">
      <c r="A10409" s="0" t="s">
        <v>927</v>
      </c>
      <c r="B10409" s="0" t="s">
        <v>75</v>
      </c>
      <c r="D10409" s="8" t="n">
        <f aca="false">Sens!D10407/Sens!D10408</f>
        <v>13.641259209645</v>
      </c>
      <c r="E10409" s="8" t="n">
        <f aca="false">Sens!E10407/Sens!E10408</f>
        <v>17.9456594659869</v>
      </c>
      <c r="F10409" s="8" t="n">
        <f aca="false">Sens!F10407/Sens!F10408</f>
        <v>18.3087936890718</v>
      </c>
      <c r="G10409" s="8" t="n">
        <f aca="false">Sens!G10407/Sens!G10408</f>
        <v>19.1838018029135</v>
      </c>
      <c r="H10409" s="8" t="n">
        <f aca="false">Sens!H10407/Sens!H10408</f>
        <v>19.3975959531457</v>
      </c>
      <c r="I10409" s="8" t="n">
        <f aca="false">Sens!I10407/Sens!I10408</f>
        <v>20.4641198473924</v>
      </c>
      <c r="J10409" s="8" t="n">
        <f aca="false">Sens!J10407/Sens!J10408</f>
        <v>21.6904790935878</v>
      </c>
      <c r="K10409" s="8" t="n">
        <f aca="false">Sens!K10407/Sens!K10408</f>
        <v>23.0443591899583</v>
      </c>
      <c r="L10409" s="1" t="s">
        <v>928</v>
      </c>
    </row>
    <row r="10410" customFormat="false" ht="17.15" hidden="false" customHeight="false" outlineLevel="0" collapsed="false">
      <c r="A10410" s="1" t="s">
        <v>929</v>
      </c>
      <c r="B10410" s="0" t="s">
        <v>98</v>
      </c>
      <c r="D10410" s="6" t="n">
        <f aca="false">Sens!D10407</f>
        <v>101.832</v>
      </c>
      <c r="E10410" s="6" t="n">
        <f aca="false">Sens!E10407</f>
        <v>133.749</v>
      </c>
      <c r="F10410" s="6" t="n">
        <f aca="false">Sens!F10407+Sens!F10400*(1-tax_f)</f>
        <v>144.955054835496</v>
      </c>
      <c r="G10410" s="6" t="n">
        <f aca="false">Sens!G10407+Sens!G10400*(1-tax_f)</f>
        <v>165.43656460693</v>
      </c>
      <c r="H10410" s="6" t="n">
        <f aca="false">Sens!H10407+Sens!H10400*(1-tax_f)</f>
        <v>182.128196680002</v>
      </c>
      <c r="I10410" s="6" t="n">
        <f aca="false">Sens!I10407+Sens!I10400*(1-tax_f)</f>
        <v>203.5768550639</v>
      </c>
      <c r="J10410" s="6" t="n">
        <f aca="false">Sens!J10407+Sens!J10400*(1-tax_f)</f>
        <v>222.285719889381</v>
      </c>
      <c r="K10410" s="6" t="n">
        <f aca="false">Sens!K10407+Sens!K10400*(1-tax_f)</f>
        <v>238.471931970843</v>
      </c>
    </row>
    <row r="10411" customFormat="false" ht="17.15" hidden="false" customHeight="false" outlineLevel="0" collapsed="false">
      <c r="A10411" s="0" t="s">
        <v>930</v>
      </c>
      <c r="B10411" s="0" t="s">
        <v>75</v>
      </c>
      <c r="D10411" s="8" t="n">
        <f aca="false">Sens!D10410/Sens!D10408</f>
        <v>13.641259209645</v>
      </c>
      <c r="E10411" s="8" t="n">
        <f aca="false">Sens!E10410/Sens!E10408</f>
        <v>17.9456594659869</v>
      </c>
      <c r="F10411" s="8" t="n">
        <f aca="false">Sens!F10410/Sens!F10408</f>
        <v>19.3958727283731</v>
      </c>
      <c r="G10411" s="8" t="n">
        <f aca="false">Sens!G10410/Sens!G10408</f>
        <v>22.0039322480454</v>
      </c>
      <c r="H10411" s="8" t="n">
        <f aca="false">Sens!H10410/Sens!H10408</f>
        <v>24.0954394583711</v>
      </c>
      <c r="I10411" s="8" t="n">
        <f aca="false">Sens!I10410/Sens!I10408</f>
        <v>26.8473183314775</v>
      </c>
      <c r="J10411" s="8" t="n">
        <f aca="false">Sens!J10410/Sens!J10408</f>
        <v>29.2596531075362</v>
      </c>
      <c r="K10411" s="8" t="n">
        <f aca="false">Sens!K10410/Sens!K10408</f>
        <v>31.3221466266325</v>
      </c>
      <c r="L10411" s="1" t="s">
        <v>931</v>
      </c>
    </row>
    <row r="10412" customFormat="false" ht="17.15" hidden="false" customHeight="false" outlineLevel="0" collapsed="false">
      <c r="A10412" s="0" t="s">
        <v>932</v>
      </c>
      <c r="B10412" s="0" t="s">
        <v>129</v>
      </c>
      <c r="E10412" s="7" t="n">
        <f aca="false">Sens!E10411/Sens!D10411-1</f>
        <v>0.315542736208578</v>
      </c>
      <c r="F10412" s="7" t="n">
        <f aca="false">Sens!F10411/Sens!E10411-1</f>
        <v>0.0808113663994854</v>
      </c>
      <c r="G10412" s="7" t="n">
        <f aca="false">Sens!G10411/Sens!F10411-1</f>
        <v>0.13446466452923</v>
      </c>
      <c r="H10412" s="7" t="n">
        <f aca="false">Sens!H10411/Sens!G10411-1</f>
        <v>0.0950515201895967</v>
      </c>
      <c r="I10412" s="7" t="n">
        <f aca="false">Sens!I10411/Sens!H10411-1</f>
        <v>0.114207457301649</v>
      </c>
      <c r="J10412" s="7" t="n">
        <f aca="false">Sens!J10411/Sens!I10411-1</f>
        <v>0.0898538448523691</v>
      </c>
      <c r="K10412" s="7" t="n">
        <f aca="false">Sens!K10411/Sens!J10411-1</f>
        <v>0.0704893359984877</v>
      </c>
    </row>
    <row r="10413" customFormat="false" ht="17.15" hidden="false" customHeight="false" outlineLevel="0" collapsed="false">
      <c r="A10413" s="0" t="s">
        <v>856</v>
      </c>
      <c r="B10413" s="0" t="s">
        <v>98</v>
      </c>
      <c r="E10413" s="6" t="n">
        <f aca="false">Sens!E10354</f>
        <v>5.25</v>
      </c>
      <c r="F10413" s="6" t="n">
        <f aca="false">Sens!F10354</f>
        <v>10.5</v>
      </c>
      <c r="G10413" s="6" t="n">
        <f aca="false">Sens!G10354</f>
        <v>13.5</v>
      </c>
      <c r="H10413" s="6" t="n">
        <f aca="false">Sens!H10354</f>
        <v>16.5</v>
      </c>
      <c r="I10413" s="6" t="n">
        <f aca="false">Sens!I10354</f>
        <v>18.75</v>
      </c>
      <c r="J10413" s="6" t="n">
        <f aca="false">Sens!J10354</f>
        <v>20.25</v>
      </c>
      <c r="K10413" s="6" t="n">
        <f aca="false">Sens!K10354</f>
        <v>21.75</v>
      </c>
    </row>
    <row r="10414" customFormat="false" ht="17.15" hidden="false" customHeight="false" outlineLevel="0" collapsed="false">
      <c r="A10414" s="1" t="s">
        <v>857</v>
      </c>
      <c r="B10414" s="0" t="s">
        <v>98</v>
      </c>
      <c r="F10414" s="6" t="n">
        <f aca="false">MAX(0,((Sens!E10317+Sens!F10317)/2-(shadow_base*(Sens!$D$10317+Sens!$E$10317)/2+(1-shadow_base)*Sens!$E$10317))*Sens!F10325/1000-(Sens!F10413-Sens!$E$10413)*Sens!F10393)</f>
        <v>10.1553565002727</v>
      </c>
      <c r="G10414" s="6" t="n">
        <f aca="false">MAX(0,((Sens!F10317+Sens!G10317)/2-(shadow_base*(Sens!$D$10317+Sens!$E$10317)/2+(1-shadow_base)*Sens!$E$10317))*Sens!G10325/1000-(Sens!G10413-Sens!$E$10413)*Sens!G10393)</f>
        <v>26.5039384396555</v>
      </c>
      <c r="H10414" s="6" t="n">
        <f aca="false">MAX(0,((Sens!G10317+Sens!H10317)/2-(shadow_base*(Sens!$D$10317+Sens!$E$10317)/2+(1-shadow_base)*Sens!$E$10317))*Sens!H10325/1000-(Sens!H10413-Sens!$E$10413)*Sens!H10393)</f>
        <v>44.38649932956</v>
      </c>
      <c r="I10414" s="6" t="n">
        <f aca="false">MAX(0,((Sens!H10317+Sens!I10317)/2-(shadow_base*(Sens!$D$10317+Sens!$E$10317)/2+(1-shadow_base)*Sens!$E$10317))*Sens!I10325/1000-(Sens!I10413-Sens!$E$10413)*Sens!I10393)</f>
        <v>60.5028524913745</v>
      </c>
      <c r="J10414" s="6" t="n">
        <f aca="false">MAX(0,((Sens!I10317+Sens!J10317)/2-(shadow_base*(Sens!$D$10317+Sens!$E$10317)/2+(1-shadow_base)*Sens!$E$10317))*Sens!J10325/1000-(Sens!J10413-Sens!$E$10413)*Sens!J10393)</f>
        <v>71.8788124586976</v>
      </c>
      <c r="K10414" s="6" t="n">
        <f aca="false">MAX(0,((Sens!J10317+Sens!K10317)/2-(shadow_base*(Sens!$D$10317+Sens!$E$10317)/2+(1-shadow_base)*Sens!$E$10317))*Sens!K10325/1000-(Sens!K10413-Sens!$E$10413)*Sens!K10393)</f>
        <v>78.7789222270768</v>
      </c>
      <c r="L10414" s="1" t="s">
        <v>858</v>
      </c>
    </row>
    <row r="10415" customFormat="false" ht="17.15" hidden="false" customHeight="false" outlineLevel="0" collapsed="false">
      <c r="A10415" s="1" t="s">
        <v>859</v>
      </c>
      <c r="B10415" s="0" t="s">
        <v>98</v>
      </c>
      <c r="F10415" s="6" t="n">
        <f aca="false">IF(internal_ai_reading=2,1,0)*Sens!F10414</f>
        <v>10.1553565002727</v>
      </c>
      <c r="G10415" s="6" t="n">
        <f aca="false">IF(internal_ai_reading=2,1,0)*Sens!G10414</f>
        <v>26.5039384396555</v>
      </c>
      <c r="H10415" s="6" t="n">
        <f aca="false">IF(internal_ai_reading=2,1,0)*Sens!H10414</f>
        <v>44.38649932956</v>
      </c>
      <c r="I10415" s="6" t="n">
        <f aca="false">IF(internal_ai_reading=2,1,0)*Sens!I10414</f>
        <v>60.5028524913745</v>
      </c>
      <c r="J10415" s="6" t="n">
        <f aca="false">IF(internal_ai_reading=2,1,0)*Sens!J10414</f>
        <v>71.8788124586976</v>
      </c>
      <c r="K10415" s="6" t="n">
        <f aca="false">IF(internal_ai_reading=2,1,0)*Sens!K10414</f>
        <v>78.7789222270768</v>
      </c>
    </row>
    <row r="10416" customFormat="false" ht="17.15" hidden="false" customHeight="false" outlineLevel="0" collapsed="false">
      <c r="A10416" s="0" t="s">
        <v>860</v>
      </c>
      <c r="B10416" s="0" t="s">
        <v>98</v>
      </c>
      <c r="F10416" s="6" t="n">
        <f aca="false">Sens!F10334+Sens!F10413*Sens!F10393+Sens!F10415-Sens!F10335-Sens!F10345</f>
        <v>10.6249363155714</v>
      </c>
      <c r="G10416" s="6" t="n">
        <f aca="false">Sens!G10334+Sens!G10413*Sens!G10393+Sens!G10415-Sens!G10335-Sens!G10345</f>
        <v>16.5522915631233</v>
      </c>
      <c r="H10416" s="6" t="n">
        <f aca="false">Sens!H10334+Sens!H10413*Sens!H10393+Sens!H10415-Sens!H10335-Sens!H10345</f>
        <v>17.4625151247579</v>
      </c>
      <c r="I10416" s="6" t="n">
        <f aca="false">Sens!I10334+Sens!I10413*Sens!I10393+Sens!I10415-Sens!I10335-Sens!I10345</f>
        <v>24.729505792607</v>
      </c>
      <c r="J10416" s="6" t="n">
        <f aca="false">Sens!J10334+Sens!J10413*Sens!J10393+Sens!J10415-Sens!J10335-Sens!J10345</f>
        <v>29.752205312642</v>
      </c>
      <c r="K10416" s="6" t="n">
        <f aca="false">Sens!K10334+Sens!K10413*Sens!K10393+Sens!K10415-Sens!K10335-Sens!K10345</f>
        <v>33.5968759973665</v>
      </c>
    </row>
    <row r="10417" customFormat="false" ht="17.15" hidden="false" customHeight="false" outlineLevel="0" collapsed="false">
      <c r="A10417" s="0" t="s">
        <v>861</v>
      </c>
      <c r="B10417" s="0" t="s">
        <v>98</v>
      </c>
      <c r="E10417" s="6" t="n">
        <f aca="false">Sens!E10316*(cxit_open+self_build*tk_cxfac)/1000*ai_net_open</f>
        <v>126.6980382</v>
      </c>
      <c r="F10417" s="6" t="n">
        <f aca="false">Sens!E10417+Sens!F10342-Sens!F10345</f>
        <v>252.981026690511</v>
      </c>
      <c r="G10417" s="6" t="n">
        <f aca="false">Sens!F10417+Sens!G10342-Sens!G10345</f>
        <v>377.4297700632</v>
      </c>
      <c r="H10417" s="6" t="n">
        <f aca="false">Sens!G10417+Sens!H10342-Sens!H10345</f>
        <v>479.149036130289</v>
      </c>
      <c r="I10417" s="6" t="n">
        <f aca="false">Sens!H10417+Sens!I10342-Sens!I10345</f>
        <v>532.249961452141</v>
      </c>
      <c r="J10417" s="6" t="n">
        <f aca="false">Sens!I10417+Sens!J10342-Sens!J10345</f>
        <v>531.43307519354</v>
      </c>
      <c r="K10417" s="6" t="n">
        <f aca="false">Sens!J10417+Sens!K10342-Sens!K10345</f>
        <v>513.709026452823</v>
      </c>
      <c r="L10417" s="1" t="s">
        <v>862</v>
      </c>
    </row>
    <row r="10418" customFormat="false" ht="17.15" hidden="false" customHeight="false" outlineLevel="0" collapsed="false">
      <c r="A10418" s="0" t="s">
        <v>863</v>
      </c>
      <c r="B10418" s="0" t="s">
        <v>129</v>
      </c>
      <c r="F10418" s="7" t="n">
        <f aca="false">Sens!F10416*(1-tax_f)/((Sens!E10417+Sens!F10417)/2)</f>
        <v>0.0447743888903029</v>
      </c>
      <c r="G10418" s="7" t="n">
        <f aca="false">Sens!G10416*(1-tax_f)/((Sens!F10417+Sens!G10417)/2)</f>
        <v>0.0420101727910983</v>
      </c>
      <c r="H10418" s="7" t="n">
        <f aca="false">Sens!H10416*(1-tax_f)/((Sens!G10417+Sens!H10417)/2)</f>
        <v>0.0326181595874103</v>
      </c>
      <c r="I10418" s="7" t="n">
        <f aca="false">Sens!I10416*(1-tax_f)/((Sens!H10417+Sens!I10417)/2)</f>
        <v>0.0391212660510339</v>
      </c>
      <c r="J10418" s="7" t="n">
        <f aca="false">Sens!J10416*(1-tax_f)/((Sens!I10417+Sens!J10417)/2)</f>
        <v>0.0447534903351892</v>
      </c>
      <c r="K10418" s="7" t="n">
        <f aca="false">Sens!K10416*(1-tax_f)/((Sens!J10417+Sens!K10417)/2)</f>
        <v>0.0514331989029135</v>
      </c>
    </row>
    <row r="10419" customFormat="false" ht="17.15" hidden="false" customHeight="false" outlineLevel="0" collapsed="false">
      <c r="A10419" s="1" t="s">
        <v>864</v>
      </c>
      <c r="B10419" s="0" t="s">
        <v>129</v>
      </c>
      <c r="F10419" s="7" t="n">
        <f aca="false">(Sens!F10416-Sens!F10415)*(1-tax_f)/((Sens!E10417+Sens!F10417)/2)</f>
        <v>0.00197884943878752</v>
      </c>
      <c r="G10419" s="7" t="n">
        <f aca="false">(Sens!G10416-Sens!G10415)*(1-tax_f)/((Sens!F10417+Sens!G10417)/2)</f>
        <v>-0.0252575544144306</v>
      </c>
      <c r="H10419" s="7" t="n">
        <f aca="false">(Sens!H10416-Sens!H10415)*(1-tax_f)/((Sens!G10417+Sens!H10417)/2)</f>
        <v>-0.0502911984468976</v>
      </c>
      <c r="I10419" s="7" t="n">
        <f aca="false">(Sens!I10416-Sens!I10415)*(1-tax_f)/((Sens!H10417+Sens!I10417)/2)</f>
        <v>-0.0565922596866753</v>
      </c>
      <c r="J10419" s="7" t="n">
        <f aca="false">(Sens!J10416-Sens!J10415)*(1-tax_f)/((Sens!I10417+Sens!J10417)/2)</f>
        <v>-0.0633671583653741</v>
      </c>
      <c r="K10419" s="7" t="n">
        <f aca="false">(Sens!K10416-Sens!K10415)*(1-tax_f)/((Sens!J10417+Sens!K10417)/2)</f>
        <v>-0.0691688468521739</v>
      </c>
    </row>
    <row r="10420" customFormat="false" ht="17.15" hidden="false" customHeight="false" outlineLevel="0" collapsed="false">
      <c r="A10420" s="1" t="s">
        <v>865</v>
      </c>
      <c r="B10420" s="0" t="s">
        <v>129</v>
      </c>
      <c r="F10420" s="7" t="n">
        <f aca="false">(Sens!F10416-Sens!F10415+Sens!F10414)*(1-tax_f)/((Sens!E10417+Sens!F10417)/2)</f>
        <v>0.0447743888903029</v>
      </c>
      <c r="G10420" s="7" t="n">
        <f aca="false">(Sens!G10416-Sens!G10415+Sens!G10414)*(1-tax_f)/((Sens!F10417+Sens!G10417)/2)</f>
        <v>0.0420101727910983</v>
      </c>
      <c r="H10420" s="7" t="n">
        <f aca="false">(Sens!H10416-Sens!H10415+Sens!H10414)*(1-tax_f)/((Sens!G10417+Sens!H10417)/2)</f>
        <v>0.0326181595874103</v>
      </c>
      <c r="I10420" s="7" t="n">
        <f aca="false">(Sens!I10416-Sens!I10415+Sens!I10414)*(1-tax_f)/((Sens!H10417+Sens!I10417)/2)</f>
        <v>0.0391212660510339</v>
      </c>
      <c r="J10420" s="7" t="n">
        <f aca="false">(Sens!J10416-Sens!J10415+Sens!J10414)*(1-tax_f)/((Sens!I10417+Sens!J10417)/2)</f>
        <v>0.0447534903351892</v>
      </c>
      <c r="K10420" s="7" t="n">
        <f aca="false">(Sens!K10416-Sens!K10415+Sens!K10414)*(1-tax_f)/((Sens!J10417+Sens!K10417)/2)</f>
        <v>0.0514331989029135</v>
      </c>
    </row>
    <row r="10421" customFormat="false" ht="17.15" hidden="false" customHeight="false" outlineLevel="0" collapsed="false">
      <c r="A10421" s="1" t="s">
        <v>866</v>
      </c>
      <c r="B10421" s="0" t="s">
        <v>129</v>
      </c>
      <c r="F10421" s="7" t="n">
        <f aca="false">Sens!F10346*(1-tax_f)/(Sens!F10333*(Sens!E10417+Sens!F10417)/2)</f>
        <v>0.102735279953254</v>
      </c>
      <c r="G10421" s="7" t="n">
        <f aca="false">Sens!G10346*(1-tax_f)/(Sens!G10333*(Sens!F10417+Sens!G10417)/2)</f>
        <v>0.0709600152423962</v>
      </c>
      <c r="H10421" s="7" t="n">
        <f aca="false">Sens!H10346*(1-tax_f)/(Sens!H10333*(Sens!G10417+Sens!H10417)/2)</f>
        <v>0.0419126501774916</v>
      </c>
      <c r="I10421" s="7" t="n">
        <f aca="false">Sens!I10346*(1-tax_f)/(Sens!I10333*(Sens!H10417+Sens!I10417)/2)</f>
        <v>0.044576811268173</v>
      </c>
      <c r="J10421" s="7" t="n">
        <f aca="false">Sens!J10346*(1-tax_f)/(Sens!J10333*(Sens!I10417+Sens!J10417)/2)</f>
        <v>0.0483882076863038</v>
      </c>
      <c r="K10421" s="7" t="n">
        <f aca="false">Sens!K10346*(1-tax_f)/(Sens!K10333*(Sens!J10417+Sens!K10417)/2)</f>
        <v>0.0544871874286225</v>
      </c>
    </row>
    <row r="10422" customFormat="false" ht="17.15" hidden="false" customHeight="false" outlineLevel="0" collapsed="false">
      <c r="A10422" s="0" t="s">
        <v>867</v>
      </c>
      <c r="B10422" s="0" t="s">
        <v>209</v>
      </c>
      <c r="F10422" s="7" t="n">
        <f aca="false">Sens!F10418-wacc</f>
        <v>-0.0581600312025729</v>
      </c>
      <c r="G10422" s="7" t="n">
        <f aca="false">Sens!G10418-wacc</f>
        <v>-0.0609242473017775</v>
      </c>
      <c r="H10422" s="7" t="n">
        <f aca="false">Sens!H10418-wacc</f>
        <v>-0.0703162605054654</v>
      </c>
      <c r="I10422" s="7" t="n">
        <f aca="false">Sens!I10418-wacc</f>
        <v>-0.0638131540418418</v>
      </c>
      <c r="J10422" s="7" t="n">
        <f aca="false">Sens!J10418-wacc</f>
        <v>-0.0581809297576865</v>
      </c>
      <c r="K10422" s="7" t="n">
        <f aca="false">Sens!K10418-wacc</f>
        <v>-0.0515012211899623</v>
      </c>
    </row>
    <row r="10423" customFormat="false" ht="17.15" hidden="false" customHeight="false" outlineLevel="0" collapsed="false">
      <c r="A10423" s="0" t="s">
        <v>868</v>
      </c>
      <c r="B10423" s="0" t="s">
        <v>98</v>
      </c>
      <c r="F10423" s="6" t="n">
        <f aca="false">Sens!F10416*(1-tax_f)-wacc*(Sens!E10417+Sens!F10417)/2</f>
        <v>-11.0410731304979</v>
      </c>
      <c r="G10423" s="6" t="n">
        <f aca="false">Sens!G10416*(1-tax_f)-wacc*(Sens!F10417+Sens!G10417)/2</f>
        <v>-19.2036516415668</v>
      </c>
      <c r="H10423" s="6" t="n">
        <f aca="false">Sens!H10416*(1-tax_f)-wacc*(Sens!G10417+Sens!H10417)/2</f>
        <v>-30.115709239881</v>
      </c>
      <c r="I10423" s="6" t="n">
        <f aca="false">Sens!I10416*(1-tax_f)-wacc*(Sens!H10417+Sens!I10417)/2</f>
        <v>-32.270280015246</v>
      </c>
      <c r="J10423" s="6" t="n">
        <f aca="false">Sens!J10416*(1-tax_f)-wacc*(Sens!I10417+Sens!J10417)/2</f>
        <v>-30.9430340197625</v>
      </c>
      <c r="K10423" s="6" t="n">
        <f aca="false">Sens!K10416*(1-tax_f)-wacc*(Sens!J10417+Sens!K10417)/2</f>
        <v>-26.9130472759157</v>
      </c>
    </row>
    <row r="10424" customFormat="false" ht="17.15" hidden="false" customHeight="false" outlineLevel="0" collapsed="false">
      <c r="A10424" s="3" t="s">
        <v>1530</v>
      </c>
    </row>
    <row r="10425" customFormat="false" ht="15" hidden="false" customHeight="false" outlineLevel="0" collapsed="false">
      <c r="A10425" s="4" t="s">
        <v>43</v>
      </c>
      <c r="B10425" s="4" t="s">
        <v>65</v>
      </c>
      <c r="C10425" s="20" t="s">
        <v>799</v>
      </c>
      <c r="D10425" s="20" t="s">
        <v>800</v>
      </c>
      <c r="E10425" s="20" t="s">
        <v>801</v>
      </c>
      <c r="F10425" s="20" t="s">
        <v>802</v>
      </c>
      <c r="G10425" s="20" t="s">
        <v>803</v>
      </c>
      <c r="H10425" s="20" t="s">
        <v>804</v>
      </c>
      <c r="I10425" s="20" t="s">
        <v>805</v>
      </c>
      <c r="J10425" s="20" t="s">
        <v>806</v>
      </c>
      <c r="K10425" s="20" t="s">
        <v>807</v>
      </c>
      <c r="L10425" s="4" t="s">
        <v>47</v>
      </c>
    </row>
    <row r="10426" customFormat="false" ht="15" hidden="false" customHeight="false" outlineLevel="0" collapsed="false">
      <c r="A10426" s="1" t="s">
        <v>925</v>
      </c>
      <c r="B10426" s="0" t="s">
        <v>98</v>
      </c>
      <c r="F10426" s="6" t="n">
        <f aca="false">Sens!F10407</f>
        <v>136.830769635278</v>
      </c>
      <c r="G10426" s="6" t="n">
        <f aca="false">Sens!G10407</f>
        <v>144.233413855205</v>
      </c>
      <c r="H10426" s="6" t="n">
        <f aca="false">Sens!H10407</f>
        <v>146.618997216354</v>
      </c>
      <c r="I10426" s="6" t="n">
        <f aca="false">Sens!I10407</f>
        <v>155.1745730708</v>
      </c>
      <c r="J10426" s="6" t="n">
        <f aca="false">Sens!J10407</f>
        <v>164.782669922423</v>
      </c>
      <c r="K10426" s="6" t="n">
        <f aca="false">Sens!K10407</f>
        <v>175.448794189182</v>
      </c>
    </row>
    <row r="10427" customFormat="false" ht="17.15" hidden="false" customHeight="false" outlineLevel="0" collapsed="false">
      <c r="A10427" s="1" t="s">
        <v>947</v>
      </c>
      <c r="B10427" s="0" t="s">
        <v>98</v>
      </c>
      <c r="E10427" s="6" t="n">
        <f aca="false">Q!M38-Sens!E10345</f>
        <v>22.2285940229167</v>
      </c>
      <c r="F10427" s="6" t="n">
        <f aca="false">Sens!E10427*(1-1/life_nonai)+(Sens!F10434+Sens!F10435)/life_nonai</f>
        <v>24.3924470334783</v>
      </c>
      <c r="G10427" s="6" t="n">
        <f aca="false">Sens!F10427*(1-1/life_nonai)+(Sens!G10434)/life_nonai</f>
        <v>26.0222564714798</v>
      </c>
      <c r="H10427" s="6" t="n">
        <f aca="false">Sens!G10427*(1-1/life_nonai)+(Sens!H10434)/life_nonai</f>
        <v>28.023818938617</v>
      </c>
      <c r="I10427" s="6" t="n">
        <f aca="false">Sens!H10427*(1-1/life_nonai)+(Sens!I10434)/life_nonai</f>
        <v>30.3399625376945</v>
      </c>
      <c r="J10427" s="6" t="n">
        <f aca="false">Sens!I10427*(1-1/life_nonai)+(Sens!J10434)/life_nonai</f>
        <v>32.8959482459411</v>
      </c>
      <c r="K10427" s="6" t="n">
        <f aca="false">Sens!J10427*(1-1/life_nonai)+(Sens!K10434)/life_nonai</f>
        <v>35.6079312373135</v>
      </c>
      <c r="L10427" s="11" t="s">
        <v>948</v>
      </c>
    </row>
    <row r="10428" customFormat="false" ht="17.15" hidden="false" customHeight="false" outlineLevel="0" collapsed="false">
      <c r="A10428" s="1" t="s">
        <v>949</v>
      </c>
      <c r="B10428" s="0" t="s">
        <v>98</v>
      </c>
      <c r="F10428" s="6" t="n">
        <f aca="false">Sens!$F$10435/life_nonai*(1-1/life_nonai)^(Sens!F10311-2027)</f>
        <v>0.844213489897088</v>
      </c>
      <c r="G10428" s="6" t="n">
        <f aca="false">Sens!$F$10435/life_nonai*(1-1/life_nonai)^(Sens!G10311-2027)</f>
        <v>0.75979214090738</v>
      </c>
      <c r="H10428" s="6" t="n">
        <f aca="false">Sens!$F$10435/life_nonai*(1-1/life_nonai)^(Sens!H10311-2027)</f>
        <v>0.683812926816642</v>
      </c>
      <c r="I10428" s="6" t="n">
        <f aca="false">Sens!$F$10435/life_nonai*(1-1/life_nonai)^(Sens!I10311-2027)</f>
        <v>0.615431634134978</v>
      </c>
      <c r="J10428" s="6" t="n">
        <f aca="false">Sens!$F$10435/life_nonai*(1-1/life_nonai)^(Sens!J10311-2027)</f>
        <v>0.55388847072148</v>
      </c>
      <c r="K10428" s="6" t="n">
        <f aca="false">Sens!$F$10435/life_nonai*(1-1/life_nonai)^(Sens!K10311-2027)</f>
        <v>0.498499623649332</v>
      </c>
      <c r="L10428" s="1" t="s">
        <v>950</v>
      </c>
    </row>
    <row r="10429" customFormat="false" ht="17.15" hidden="false" customHeight="false" outlineLevel="0" collapsed="false">
      <c r="A10429" s="1" t="s">
        <v>951</v>
      </c>
      <c r="B10429" s="0" t="s">
        <v>98</v>
      </c>
      <c r="E10429" s="6" t="n">
        <f aca="false">Sens!E10345+Sens!E10427</f>
        <v>38.534</v>
      </c>
      <c r="F10429" s="6" t="n">
        <f aca="false">Sens!F10345+Sens!F10427</f>
        <v>58.4423344144339</v>
      </c>
      <c r="G10429" s="6" t="n">
        <f aca="false">Sens!G10345+Sens!G10427</f>
        <v>85.1476935819909</v>
      </c>
      <c r="H10429" s="6" t="n">
        <f aca="false">Sens!H10345+Sens!H10427</f>
        <v>114.384838781928</v>
      </c>
      <c r="I10429" s="6" t="n">
        <f aca="false">Sens!I10345+Sens!I10427</f>
        <v>140.945706370087</v>
      </c>
      <c r="J10429" s="6" t="n">
        <f aca="false">Sens!J10345+Sens!J10427</f>
        <v>160.894271098784</v>
      </c>
      <c r="K10429" s="6" t="n">
        <f aca="false">Sens!K10345+Sens!K10427</f>
        <v>174.739395281622</v>
      </c>
    </row>
    <row r="10430" customFormat="false" ht="17.15" hidden="false" customHeight="false" outlineLevel="0" collapsed="false">
      <c r="A10430" s="1" t="s">
        <v>952</v>
      </c>
      <c r="B10430" s="0" t="s">
        <v>98</v>
      </c>
      <c r="F10430" s="6" t="n">
        <f aca="false">Sens!F10372*sbc_r</f>
        <v>14.7048044687638</v>
      </c>
      <c r="G10430" s="6" t="n">
        <f aca="false">Sens!G10372*sbc_r</f>
        <v>17.0458420227094</v>
      </c>
      <c r="H10430" s="6" t="n">
        <f aca="false">Sens!H10372*sbc_r</f>
        <v>19.2350368321832</v>
      </c>
      <c r="I10430" s="6" t="n">
        <f aca="false">Sens!I10372*sbc_r</f>
        <v>21.5268755807416</v>
      </c>
      <c r="J10430" s="6" t="n">
        <f aca="false">Sens!J10372*sbc_r</f>
        <v>23.4557345148037</v>
      </c>
      <c r="K10430" s="6" t="n">
        <f aca="false">Sens!K10372*sbc_r</f>
        <v>25.041752139505</v>
      </c>
    </row>
    <row r="10431" customFormat="false" ht="17.15" hidden="false" customHeight="false" outlineLevel="0" collapsed="false">
      <c r="A10431" s="1" t="s">
        <v>953</v>
      </c>
      <c r="B10431" s="0" t="s">
        <v>98</v>
      </c>
      <c r="F10431" s="6" t="n">
        <f aca="false">wc27</f>
        <v>-4.895</v>
      </c>
      <c r="G10431" s="6" t="n">
        <f aca="false">wc_f</f>
        <v>0</v>
      </c>
      <c r="H10431" s="6" t="n">
        <f aca="false">wc_f</f>
        <v>0</v>
      </c>
      <c r="I10431" s="6" t="n">
        <f aca="false">wc_f</f>
        <v>0</v>
      </c>
      <c r="J10431" s="6" t="n">
        <f aca="false">wc_f</f>
        <v>0</v>
      </c>
      <c r="K10431" s="6" t="n">
        <f aca="false">wc_f</f>
        <v>0</v>
      </c>
      <c r="L10431" s="11" t="s">
        <v>954</v>
      </c>
    </row>
    <row r="10432" customFormat="false" ht="15" hidden="false" customHeight="false" outlineLevel="0" collapsed="false">
      <c r="A10432" s="1" t="s">
        <v>767</v>
      </c>
      <c r="B10432" s="0" t="s">
        <v>98</v>
      </c>
      <c r="E10432" s="6" t="n">
        <f aca="false">Q!M35</f>
        <v>182.935</v>
      </c>
      <c r="F10432" s="6" t="n">
        <f aca="false">Sens!F10426+Sens!F10429+Sens!F10430+Sens!F10431</f>
        <v>205.082908518476</v>
      </c>
      <c r="G10432" s="6" t="n">
        <f aca="false">Sens!G10426+Sens!G10429+Sens!G10430+Sens!G10431</f>
        <v>246.426949459906</v>
      </c>
      <c r="H10432" s="6" t="n">
        <f aca="false">Sens!H10426+Sens!H10429+Sens!H10430+Sens!H10431</f>
        <v>280.238872830465</v>
      </c>
      <c r="I10432" s="6" t="n">
        <f aca="false">Sens!I10426+Sens!I10429+Sens!I10430+Sens!I10431</f>
        <v>317.647155021629</v>
      </c>
      <c r="J10432" s="6" t="n">
        <f aca="false">Sens!J10426+Sens!J10429+Sens!J10430+Sens!J10431</f>
        <v>349.132675536011</v>
      </c>
      <c r="K10432" s="6" t="n">
        <f aca="false">Sens!K10426+Sens!K10429+Sens!K10430+Sens!K10431</f>
        <v>375.229941610308</v>
      </c>
    </row>
    <row r="10433" customFormat="false" ht="17.15" hidden="false" customHeight="false" outlineLevel="0" collapsed="false">
      <c r="A10433" s="0" t="s">
        <v>955</v>
      </c>
      <c r="B10433" s="0" t="s">
        <v>98</v>
      </c>
      <c r="F10433" s="6" t="n">
        <f aca="false">Sens!F10342</f>
        <v>160.332875871467</v>
      </c>
      <c r="G10433" s="6" t="n">
        <f aca="false">Sens!G10342</f>
        <v>183.5741804832</v>
      </c>
      <c r="H10433" s="6" t="n">
        <f aca="false">Sens!H10342</f>
        <v>188.0802859104</v>
      </c>
      <c r="I10433" s="6" t="n">
        <f aca="false">Sens!I10342</f>
        <v>163.706669154245</v>
      </c>
      <c r="J10433" s="6" t="n">
        <f aca="false">Sens!J10342</f>
        <v>127.181436594242</v>
      </c>
      <c r="K10433" s="6" t="n">
        <f aca="false">Sens!K10342</f>
        <v>121.407415303591</v>
      </c>
    </row>
    <row r="10434" customFormat="false" ht="17.15" hidden="false" customHeight="false" outlineLevel="0" collapsed="false">
      <c r="A10434" s="1" t="s">
        <v>956</v>
      </c>
      <c r="B10434" s="0" t="s">
        <v>98</v>
      </c>
      <c r="E10434" s="6" t="n">
        <f aca="false">Sens!E10350*cx_azo+Sens!E10357*cx_m365+Sens!E10358*cx_lic+(Sens!E10360+Sens!E10362)*cx_ind+Sens!E10365*cx_srch+(Sens!E10367+Sens!E10369)*cx_dev</f>
        <v>30.1846587067718</v>
      </c>
      <c r="F10434" s="6" t="n">
        <f aca="false">Sens!F10350*cx_azo+Sens!F10357*cx_m365+Sens!F10358*cx_lic+(Sens!F10360+Sens!F10362)*cx_ind+Sens!F10365*cx_srch+(Sens!F10367+Sens!F10369)*cx_dev</f>
        <v>35.4249892295625</v>
      </c>
      <c r="G10434" s="6" t="n">
        <f aca="false">Sens!G10350*cx_azo+Sens!G10357*cx_m365+Sens!G10358*cx_lic+(Sens!G10360+Sens!G10362)*cx_ind+Sens!G10365*cx_srch+(Sens!G10367+Sens!G10369)*cx_dev</f>
        <v>40.6905414134931</v>
      </c>
      <c r="H10434" s="6" t="n">
        <f aca="false">Sens!H10350*cx_azo+Sens!H10357*cx_m365+Sens!H10358*cx_lic+(Sens!H10360+Sens!H10362)*cx_ind+Sens!H10365*cx_srch+(Sens!H10367+Sens!H10369)*cx_dev</f>
        <v>46.0378811428518</v>
      </c>
      <c r="I10434" s="6" t="n">
        <f aca="false">Sens!I10350*cx_azo+Sens!I10357*cx_m365+Sens!I10358*cx_lic+(Sens!I10360+Sens!I10362)*cx_ind+Sens!I10365*cx_srch+(Sens!I10367+Sens!I10369)*cx_dev</f>
        <v>51.1852549293923</v>
      </c>
      <c r="J10434" s="6" t="n">
        <f aca="false">Sens!J10350*cx_azo+Sens!J10357*cx_m365+Sens!J10358*cx_lic+(Sens!J10360+Sens!J10362)*cx_ind+Sens!J10365*cx_srch+(Sens!J10367+Sens!J10369)*cx_dev</f>
        <v>55.8998196201597</v>
      </c>
      <c r="K10434" s="6" t="n">
        <f aca="false">Sens!K10350*cx_azo+Sens!K10357*cx_m365+Sens!K10358*cx_lic+(Sens!K10360+Sens!K10362)*cx_ind+Sens!K10365*cx_srch+(Sens!K10367+Sens!K10369)*cx_dev</f>
        <v>60.0157781596659</v>
      </c>
    </row>
    <row r="10435" customFormat="false" ht="17.15" hidden="false" customHeight="false" outlineLevel="0" collapsed="false">
      <c r="A10435" s="0" t="s">
        <v>957</v>
      </c>
      <c r="B10435" s="0" t="s">
        <v>98</v>
      </c>
      <c r="F10435" s="6" t="n">
        <f aca="false">Sens!F10340</f>
        <v>8.44213489897089</v>
      </c>
      <c r="L10435" s="1" t="s">
        <v>958</v>
      </c>
    </row>
    <row r="10436" customFormat="false" ht="17.15" hidden="false" customHeight="false" outlineLevel="0" collapsed="false">
      <c r="A10436" s="1" t="s">
        <v>959</v>
      </c>
      <c r="B10436" s="0" t="s">
        <v>98</v>
      </c>
      <c r="E10436" s="6" t="n">
        <f aca="false">Q!M42</f>
        <v>145.3</v>
      </c>
      <c r="F10436" s="6" t="n">
        <f aca="false">Sens!F10433+Sens!F10434+Sens!F10435</f>
        <v>204.2</v>
      </c>
      <c r="G10436" s="6" t="n">
        <f aca="false">Sens!G10433+Sens!G10434</f>
        <v>224.264721896693</v>
      </c>
      <c r="H10436" s="6" t="n">
        <f aca="false">Sens!H10433+Sens!H10434</f>
        <v>234.118167053252</v>
      </c>
      <c r="I10436" s="6" t="n">
        <f aca="false">Sens!I10433+Sens!I10434</f>
        <v>214.891924083638</v>
      </c>
      <c r="J10436" s="6" t="n">
        <f aca="false">Sens!J10433+Sens!J10434</f>
        <v>183.081256214402</v>
      </c>
      <c r="K10436" s="6" t="n">
        <f aca="false">Sens!K10433+Sens!K10434</f>
        <v>181.423193463257</v>
      </c>
      <c r="L10436" s="1" t="s">
        <v>960</v>
      </c>
    </row>
    <row r="10437" customFormat="false" ht="15" hidden="false" customHeight="false" outlineLevel="0" collapsed="false">
      <c r="A10437" s="1" t="s">
        <v>961</v>
      </c>
      <c r="B10437" s="0" t="s">
        <v>98</v>
      </c>
      <c r="E10437" s="6" t="n">
        <f aca="false">fl_liab</f>
        <v>66.594</v>
      </c>
      <c r="F10437" s="6" t="n">
        <f aca="false">Sens!E10437-Sens!F10438</f>
        <v>62.46973</v>
      </c>
      <c r="G10437" s="6" t="n">
        <f aca="false">Sens!F10437-Sens!G10438</f>
        <v>57.98686785</v>
      </c>
      <c r="H10437" s="6" t="n">
        <f aca="false">Sens!G10437-Sens!H10438</f>
        <v>53.92827690325</v>
      </c>
      <c r="I10437" s="6" t="n">
        <f aca="false">Sens!H10437-Sens!I10438</f>
        <v>49.7850493638962</v>
      </c>
      <c r="J10437" s="6" t="n">
        <f aca="false">Sens!I10437-Sens!J10438</f>
        <v>45.4823765852716</v>
      </c>
      <c r="K10437" s="6" t="n">
        <f aca="false">Sens!J10437-Sens!K10438</f>
        <v>40.9860835316088</v>
      </c>
    </row>
    <row r="10438" customFormat="false" ht="15" hidden="false" customHeight="false" outlineLevel="0" collapsed="false">
      <c r="A10438" s="1" t="s">
        <v>962</v>
      </c>
      <c r="B10438" s="0" t="s">
        <v>98</v>
      </c>
      <c r="F10438" s="6" t="n">
        <f aca="false">fl_pay_27-Sens!E10437*fl_rate</f>
        <v>4.12427</v>
      </c>
      <c r="G10438" s="6" t="n">
        <f aca="false">fl_pay_28-Sens!F10437*fl_rate</f>
        <v>4.48286215</v>
      </c>
      <c r="H10438" s="6" t="n">
        <f aca="false">fl_pay_29-Sens!G10437*fl_rate</f>
        <v>4.05859094675</v>
      </c>
      <c r="I10438" s="6" t="n">
        <f aca="false">fl_pay_30-Sens!H10437*fl_rate</f>
        <v>4.14322753935375</v>
      </c>
      <c r="J10438" s="6" t="n">
        <f aca="false">fl_pay_31-Sens!I10437*fl_rate</f>
        <v>4.30267277862467</v>
      </c>
      <c r="K10438" s="6" t="n">
        <f aca="false">fl_pay_32-Sens!J10437*fl_rate</f>
        <v>4.49629305366278</v>
      </c>
    </row>
    <row r="10439" customFormat="false" ht="17.15" hidden="false" customHeight="false" outlineLevel="0" collapsed="false">
      <c r="A10439" s="1" t="s">
        <v>963</v>
      </c>
      <c r="B10439" s="0" t="s">
        <v>98</v>
      </c>
      <c r="E10439" s="6" t="n">
        <f aca="false">Q!M35-Q!M36-Q!M43</f>
        <v>63.886</v>
      </c>
      <c r="F10439" s="6" t="n">
        <f aca="false">Sens!F10432-Sens!F10436-Sens!F10438</f>
        <v>-3.24136148152411</v>
      </c>
      <c r="G10439" s="6" t="n">
        <f aca="false">Sens!G10432-Sens!G10436-Sens!G10438</f>
        <v>17.6793654132125</v>
      </c>
      <c r="H10439" s="6" t="n">
        <f aca="false">Sens!H10432-Sens!H10436-Sens!H10438</f>
        <v>42.0621148304637</v>
      </c>
      <c r="I10439" s="6" t="n">
        <f aca="false">Sens!I10432-Sens!I10436-Sens!I10438</f>
        <v>98.6120033986373</v>
      </c>
      <c r="J10439" s="6" t="n">
        <f aca="false">Sens!J10432-Sens!J10436-Sens!J10438</f>
        <v>161.748746542984</v>
      </c>
      <c r="K10439" s="6" t="n">
        <f aca="false">Sens!K10432-Sens!K10436-Sens!K10438</f>
        <v>189.310455093389</v>
      </c>
      <c r="L10439" s="11" t="s">
        <v>964</v>
      </c>
    </row>
    <row r="10440" customFormat="false" ht="15" hidden="false" customHeight="false" outlineLevel="0" collapsed="false">
      <c r="A10440" s="1" t="s">
        <v>965</v>
      </c>
      <c r="B10440" s="0" t="s">
        <v>75</v>
      </c>
      <c r="F10440" s="8" t="n">
        <f aca="false">dps_27</f>
        <v>3.85</v>
      </c>
      <c r="G10440" s="8" t="n">
        <f aca="false">Sens!F10440*(1+dps_g)</f>
        <v>4.158</v>
      </c>
      <c r="H10440" s="8" t="n">
        <f aca="false">Sens!G10440*(1+dps_g)</f>
        <v>4.49064</v>
      </c>
      <c r="I10440" s="8" t="n">
        <f aca="false">Sens!H10440*(1+dps_g)</f>
        <v>4.8498912</v>
      </c>
      <c r="J10440" s="8" t="n">
        <f aca="false">Sens!I10440*(1+dps_g)</f>
        <v>5.237882496</v>
      </c>
      <c r="K10440" s="8" t="n">
        <f aca="false">Sens!J10440*(1+dps_g)</f>
        <v>5.65691309568</v>
      </c>
    </row>
    <row r="10441" customFormat="false" ht="17.15" hidden="false" customHeight="false" outlineLevel="0" collapsed="false">
      <c r="A10441" s="1" t="s">
        <v>966</v>
      </c>
      <c r="B10441" s="0" t="s">
        <v>98</v>
      </c>
      <c r="E10441" s="6" t="n">
        <f aca="false">Q!M41</f>
        <v>26.445</v>
      </c>
      <c r="F10441" s="6" t="n">
        <f aca="false">Sens!F10440*Sens!E10450</f>
        <v>28.59395</v>
      </c>
      <c r="G10441" s="6" t="n">
        <f aca="false">Sens!G10440*Sens!F10450</f>
        <v>31.068576</v>
      </c>
      <c r="H10441" s="6" t="n">
        <f aca="false">Sens!H10440*Sens!G10450</f>
        <v>33.75614088</v>
      </c>
      <c r="I10441" s="6" t="n">
        <f aca="false">Sens!I10440*Sens!H10450</f>
        <v>36.627512559762</v>
      </c>
      <c r="J10441" s="6" t="n">
        <f aca="false">Sens!J10440*Sens!I10450</f>
        <v>39.6261124128624</v>
      </c>
      <c r="K10441" s="6" t="n">
        <f aca="false">Sens!K10440*Sens!J10450</f>
        <v>42.8834566311964</v>
      </c>
      <c r="L10441" s="1" t="s">
        <v>967</v>
      </c>
    </row>
    <row r="10442" customFormat="false" ht="15" hidden="false" customHeight="false" outlineLevel="0" collapsed="false">
      <c r="A10442" s="1" t="s">
        <v>968</v>
      </c>
      <c r="B10442" s="0" t="s">
        <v>98</v>
      </c>
      <c r="E10442" s="6" t="n">
        <f aca="false">Sens!E10439-Sens!E10441</f>
        <v>37.441</v>
      </c>
      <c r="F10442" s="6" t="n">
        <f aca="false">Sens!F10439-Sens!F10441</f>
        <v>-31.8353114815241</v>
      </c>
      <c r="G10442" s="6" t="n">
        <f aca="false">Sens!G10439-Sens!G10441</f>
        <v>-13.3892105867875</v>
      </c>
      <c r="H10442" s="6" t="n">
        <f aca="false">Sens!H10439-Sens!H10441</f>
        <v>8.30597395046371</v>
      </c>
      <c r="I10442" s="6" t="n">
        <f aca="false">Sens!I10439-Sens!I10441</f>
        <v>61.9844908388753</v>
      </c>
      <c r="J10442" s="6" t="n">
        <f aca="false">Sens!J10439-Sens!J10441</f>
        <v>122.122634130122</v>
      </c>
      <c r="K10442" s="6" t="n">
        <f aca="false">Sens!K10439-Sens!K10441</f>
        <v>146.426998462192</v>
      </c>
    </row>
    <row r="10443" customFormat="false" ht="15" hidden="false" customHeight="false" outlineLevel="0" collapsed="false">
      <c r="A10443" s="1" t="s">
        <v>969</v>
      </c>
      <c r="B10443" s="0" t="s">
        <v>98</v>
      </c>
      <c r="F10443" s="6" t="n">
        <f aca="false">debt_mat_27</f>
        <v>9.25</v>
      </c>
      <c r="G10443" s="6" t="n">
        <f aca="false">debt_mat_28</f>
        <v>0</v>
      </c>
      <c r="H10443" s="6" t="n">
        <f aca="false">debt_mat_29</f>
        <v>2.001</v>
      </c>
      <c r="I10443" s="6" t="n">
        <f aca="false">debt_mat_30</f>
        <v>0</v>
      </c>
      <c r="J10443" s="6" t="n">
        <f aca="false">debt_mat_31</f>
        <v>0.5</v>
      </c>
      <c r="K10443" s="6" t="n">
        <f aca="false">debt_mat_32</f>
        <v>0</v>
      </c>
    </row>
    <row r="10444" customFormat="false" ht="15" hidden="false" customHeight="false" outlineLevel="0" collapsed="false">
      <c r="A10444" s="1" t="s">
        <v>970</v>
      </c>
      <c r="B10444" s="0" t="s">
        <v>98</v>
      </c>
      <c r="E10444" s="6" t="n">
        <f aca="false">Q!M40</f>
        <v>22.271</v>
      </c>
      <c r="F10444" s="6" t="n">
        <f aca="false">MAX(0,MIN(bb_target,Sens!E10446+Sens!F10442-Sens!F10443-min_cash))</f>
        <v>0</v>
      </c>
      <c r="G10444" s="6" t="n">
        <f aca="false">MAX(0,MIN(bb_target,Sens!F10446+Sens!G10442-Sens!G10443-min_cash))</f>
        <v>0</v>
      </c>
      <c r="H10444" s="6" t="n">
        <f aca="false">MAX(0,MIN(bb_target,Sens!G10446+Sens!H10442-Sens!H10443-min_cash))</f>
        <v>6.30497395046371</v>
      </c>
      <c r="I10444" s="6" t="n">
        <f aca="false">MAX(0,MIN(bb_target,Sens!H10446+Sens!I10442-Sens!I10443-min_cash))</f>
        <v>22.271</v>
      </c>
      <c r="J10444" s="6" t="n">
        <f aca="false">MAX(0,MIN(bb_target,Sens!I10446+Sens!J10442-Sens!J10443-min_cash))</f>
        <v>22.271</v>
      </c>
      <c r="K10444" s="6" t="n">
        <f aca="false">MAX(0,MIN(bb_target,Sens!J10446+Sens!K10442-Sens!K10443-min_cash))</f>
        <v>22.271</v>
      </c>
    </row>
    <row r="10445" customFormat="false" ht="15" hidden="false" customHeight="false" outlineLevel="0" collapsed="false">
      <c r="A10445" s="1" t="s">
        <v>971</v>
      </c>
      <c r="B10445" s="0" t="s">
        <v>98</v>
      </c>
      <c r="F10445" s="6" t="n">
        <f aca="false">MAX(0,min_cash-(Sens!E10446+Sens!F10442-Sens!F10443-Sens!F10444))</f>
        <v>14.2423114815241</v>
      </c>
      <c r="G10445" s="6" t="n">
        <f aca="false">MAX(0,min_cash-(Sens!F10446+Sens!G10442-Sens!G10443-Sens!G10444))</f>
        <v>13.3892105867875</v>
      </c>
      <c r="H10445" s="6" t="n">
        <f aca="false">MAX(0,min_cash-(Sens!G10446+Sens!H10442-Sens!H10443-Sens!H10444))</f>
        <v>0</v>
      </c>
      <c r="I10445" s="6" t="n">
        <f aca="false">MAX(0,min_cash-(Sens!H10446+Sens!I10442-Sens!I10443-Sens!I10444))</f>
        <v>0</v>
      </c>
      <c r="J10445" s="6" t="n">
        <f aca="false">MAX(0,min_cash-(Sens!I10446+Sens!J10442-Sens!J10443-Sens!J10444))</f>
        <v>0</v>
      </c>
      <c r="K10445" s="6" t="n">
        <f aca="false">MAX(0,min_cash-(Sens!J10446+Sens!K10442-Sens!K10443-Sens!K10444))</f>
        <v>0</v>
      </c>
    </row>
    <row r="10446" customFormat="false" ht="15" hidden="false" customHeight="false" outlineLevel="0" collapsed="false">
      <c r="A10446" s="1" t="s">
        <v>972</v>
      </c>
      <c r="B10446" s="0" t="s">
        <v>98</v>
      </c>
      <c r="E10446" s="6" t="n">
        <f aca="false">cash_open</f>
        <v>76.843</v>
      </c>
      <c r="F10446" s="6" t="n">
        <f aca="false">Sens!E10446+Sens!F10442-Sens!F10443-Sens!F10444+Sens!F10445</f>
        <v>50</v>
      </c>
      <c r="G10446" s="6" t="n">
        <f aca="false">Sens!F10446+Sens!G10442-Sens!G10443-Sens!G10444+Sens!G10445</f>
        <v>50</v>
      </c>
      <c r="H10446" s="6" t="n">
        <f aca="false">Sens!G10446+Sens!H10442-Sens!H10443-Sens!H10444+Sens!H10445</f>
        <v>50</v>
      </c>
      <c r="I10446" s="6" t="n">
        <f aca="false">Sens!H10446+Sens!I10442-Sens!I10443-Sens!I10444+Sens!I10445</f>
        <v>89.7134908388753</v>
      </c>
      <c r="J10446" s="6" t="n">
        <f aca="false">Sens!I10446+Sens!J10442-Sens!J10443-Sens!J10444+Sens!J10445</f>
        <v>189.065124968997</v>
      </c>
      <c r="K10446" s="6" t="n">
        <f aca="false">Sens!J10446+Sens!K10442-Sens!K10443-Sens!K10444+Sens!K10445</f>
        <v>313.22112343119</v>
      </c>
    </row>
    <row r="10447" customFormat="false" ht="15" hidden="false" customHeight="false" outlineLevel="0" collapsed="false">
      <c r="A10447" s="1" t="s">
        <v>973</v>
      </c>
      <c r="B10447" s="0" t="s">
        <v>98</v>
      </c>
      <c r="E10447" s="6" t="n">
        <f aca="false">debt_face</f>
        <v>46.136</v>
      </c>
      <c r="F10447" s="6" t="n">
        <f aca="false">Sens!E10447-Sens!F10443+Sens!F10445</f>
        <v>51.1283114815241</v>
      </c>
      <c r="G10447" s="6" t="n">
        <f aca="false">Sens!F10447-Sens!G10443+Sens!G10445</f>
        <v>64.5175220683116</v>
      </c>
      <c r="H10447" s="6" t="n">
        <f aca="false">Sens!G10447-Sens!H10443+Sens!H10445</f>
        <v>62.5165220683116</v>
      </c>
      <c r="I10447" s="6" t="n">
        <f aca="false">Sens!H10447-Sens!I10443+Sens!I10445</f>
        <v>62.5165220683116</v>
      </c>
      <c r="J10447" s="6" t="n">
        <f aca="false">Sens!I10447-Sens!J10443+Sens!J10445</f>
        <v>62.0165220683116</v>
      </c>
      <c r="K10447" s="6" t="n">
        <f aca="false">Sens!J10447-Sens!K10443+Sens!K10445</f>
        <v>62.0165220683116</v>
      </c>
    </row>
    <row r="10448" customFormat="false" ht="15" hidden="false" customHeight="false" outlineLevel="0" collapsed="false">
      <c r="A10448" s="1" t="s">
        <v>974</v>
      </c>
      <c r="B10448" s="0" t="s">
        <v>98</v>
      </c>
      <c r="E10448" s="6" t="n">
        <f aca="false">Sens!E10446-Sens!E10447</f>
        <v>30.707</v>
      </c>
      <c r="F10448" s="6" t="n">
        <f aca="false">Sens!F10446-Sens!F10447</f>
        <v>-1.12831148152411</v>
      </c>
      <c r="G10448" s="6" t="n">
        <f aca="false">Sens!G10446-Sens!G10447</f>
        <v>-14.5175220683116</v>
      </c>
      <c r="H10448" s="6" t="n">
        <f aca="false">Sens!H10446-Sens!H10447</f>
        <v>-12.5165220683116</v>
      </c>
      <c r="I10448" s="6" t="n">
        <f aca="false">Sens!I10446-Sens!I10447</f>
        <v>27.1969687705637</v>
      </c>
      <c r="J10448" s="6" t="n">
        <f aca="false">Sens!J10446-Sens!J10447</f>
        <v>127.048602900686</v>
      </c>
      <c r="K10448" s="6" t="n">
        <f aca="false">Sens!K10446-Sens!K10447</f>
        <v>251.204601362878</v>
      </c>
    </row>
    <row r="10449" customFormat="false" ht="15" hidden="false" customHeight="false" outlineLevel="0" collapsed="false">
      <c r="A10449" s="1" t="s">
        <v>975</v>
      </c>
      <c r="B10449" s="0" t="s">
        <v>75</v>
      </c>
      <c r="F10449" s="29" t="n">
        <f aca="false">px*(1+bb_g)^(Sens!F10311-base_fy-mid_yr)</f>
        <v>553.494156066711</v>
      </c>
      <c r="G10449" s="29" t="n">
        <f aca="false">px*(1+bb_g)^(Sens!G10311-base_fy-mid_yr)</f>
        <v>597.773688552047</v>
      </c>
      <c r="H10449" s="29" t="n">
        <f aca="false">px*(1+bb_g)^(Sens!H10311-base_fy-mid_yr)</f>
        <v>645.595583636211</v>
      </c>
      <c r="I10449" s="29" t="n">
        <f aca="false">px*(1+bb_g)^(Sens!I10311-base_fy-mid_yr)</f>
        <v>697.243230327108</v>
      </c>
      <c r="J10449" s="29" t="n">
        <f aca="false">px*(1+bb_g)^(Sens!J10311-base_fy-mid_yr)</f>
        <v>753.022688753277</v>
      </c>
      <c r="K10449" s="29" t="n">
        <f aca="false">px*(1+bb_g)^(Sens!K10311-base_fy-mid_yr)</f>
        <v>813.264503853539</v>
      </c>
    </row>
    <row r="10450" customFormat="false" ht="15" hidden="false" customHeight="false" outlineLevel="0" collapsed="false">
      <c r="A10450" s="1" t="s">
        <v>976</v>
      </c>
      <c r="B10450" s="1" t="s">
        <v>81</v>
      </c>
      <c r="E10450" s="14" t="n">
        <f aca="false">sh_out26</f>
        <v>7.427</v>
      </c>
      <c r="F10450" s="14" t="n">
        <f aca="false">Sens!E10450+sh_iss-Sens!F10444/Sens!F10449</f>
        <v>7.472</v>
      </c>
      <c r="G10450" s="14" t="n">
        <f aca="false">Sens!F10450+sh_iss-Sens!G10444/Sens!G10449</f>
        <v>7.517</v>
      </c>
      <c r="H10450" s="14" t="n">
        <f aca="false">Sens!G10450+sh_iss-Sens!H10444/Sens!H10449</f>
        <v>7.55223386449617</v>
      </c>
      <c r="I10450" s="14" t="n">
        <f aca="false">Sens!H10450+sh_iss-Sens!I10444/Sens!I10449</f>
        <v>7.5652923568109</v>
      </c>
      <c r="J10450" s="14" t="n">
        <f aca="false">Sens!I10450+sh_iss-Sens!J10444/Sens!J10449</f>
        <v>7.58071688673194</v>
      </c>
      <c r="K10450" s="14" t="n">
        <f aca="false">Sens!J10450+sh_iss-Sens!K10444/Sens!K10449</f>
        <v>7.59833219221438</v>
      </c>
    </row>
    <row r="10451" customFormat="false" ht="15" hidden="false" customHeight="false" outlineLevel="0" collapsed="false">
      <c r="A10451" s="1" t="s">
        <v>977</v>
      </c>
      <c r="B10451" s="1" t="s">
        <v>81</v>
      </c>
      <c r="E10451" s="14" t="n">
        <f aca="false">sh_dil26</f>
        <v>7.453</v>
      </c>
      <c r="F10451" s="14" t="n">
        <f aca="false">(Sens!E10450+Sens!F10450)/2+dil_gap</f>
        <v>7.4735</v>
      </c>
      <c r="G10451" s="14" t="n">
        <f aca="false">(Sens!F10450+Sens!G10450)/2+dil_gap</f>
        <v>7.5185</v>
      </c>
      <c r="H10451" s="14" t="n">
        <f aca="false">(Sens!G10450+Sens!H10450)/2+dil_gap</f>
        <v>7.55861693224809</v>
      </c>
      <c r="I10451" s="14" t="n">
        <f aca="false">(Sens!H10450+Sens!I10450)/2+dil_gap</f>
        <v>7.58276311065353</v>
      </c>
      <c r="J10451" s="14" t="n">
        <f aca="false">(Sens!I10450+Sens!J10450)/2+dil_gap</f>
        <v>7.59700462177142</v>
      </c>
      <c r="K10451" s="14" t="n">
        <f aca="false">(Sens!J10450+Sens!K10450)/2+dil_gap</f>
        <v>7.61352453947316</v>
      </c>
    </row>
    <row r="10452" customFormat="false" ht="17.15" hidden="false" customHeight="false" outlineLevel="0" collapsed="false">
      <c r="A10452" s="1" t="s">
        <v>978</v>
      </c>
      <c r="B10452" s="0" t="s">
        <v>98</v>
      </c>
      <c r="C10452" s="6" t="n">
        <f aca="false">SUM(Sens!F10442:J10442)</f>
        <v>147.188576851149</v>
      </c>
    </row>
    <row r="10453" customFormat="false" ht="15" hidden="false" customHeight="false" outlineLevel="0" collapsed="false">
      <c r="A10453" s="23" t="s">
        <v>945</v>
      </c>
      <c r="B10453" s="30" t="s">
        <v>98</v>
      </c>
      <c r="C10453" s="24" t="n">
        <f aca="false">Sens!$C$10452-(Sens!F10442+Sens!G10442+Sens!H10442+Sens!I10442+Sens!J10442)</f>
        <v>0</v>
      </c>
      <c r="D10453" s="30"/>
      <c r="E10453" s="30"/>
      <c r="F10453" s="30"/>
      <c r="G10453" s="30"/>
      <c r="H10453" s="30"/>
      <c r="I10453" s="30"/>
      <c r="J10453" s="30"/>
      <c r="K10453" s="30"/>
    </row>
    <row r="10454" customFormat="false" ht="17.15" hidden="false" customHeight="false" outlineLevel="0" collapsed="false">
      <c r="A10454" s="1" t="s">
        <v>939</v>
      </c>
      <c r="B10454" s="1" t="s">
        <v>979</v>
      </c>
      <c r="C10454" s="32" t="str">
        <f aca="false">IF(SUM(Sens!F10445:J10445)&gt;0.05,"需要舉債 "&amp;TEXT(SUM(Sens!F10445:J10445),"0.0")&amp;" 十億美元","不需舉債")&amp;"；"&amp;IF(SUM(Sens!F10444:J10444)&lt;COUNT(Sens!F10444:J10444)*bb_target-0.05,"回購較每年 "&amp;TEXT(bb_target,"0.0")&amp;" 的目標少 "&amp;TEXT(COUNT(Sens!F10444:J10444)*bb_target-SUM(Sens!F10444:J10444),"0.0")&amp;" 十億美元（"&amp;TEXT(COUNTIF(Sens!F10444:J10444,"&lt;"&amp;(bb_target-0.05)),"0")&amp;" 年減少）","回購不減")</f>
        <v>需要舉債 27.6 十億美元；回購較每年 22.3 的目標少 60.5 十億美元（3 年減少）</v>
      </c>
    </row>
    <row r="10455" customFormat="false" ht="17.15" hidden="false" customHeight="false" outlineLevel="0" collapsed="false">
      <c r="A10455" s="3" t="s">
        <v>1531</v>
      </c>
    </row>
    <row r="10456" customFormat="false" ht="15" hidden="false" customHeight="false" outlineLevel="0" collapsed="false">
      <c r="A10456" s="4" t="s">
        <v>43</v>
      </c>
      <c r="B10456" s="4" t="s">
        <v>65</v>
      </c>
      <c r="C10456" s="20" t="s">
        <v>799</v>
      </c>
      <c r="D10456" s="20" t="s">
        <v>800</v>
      </c>
      <c r="E10456" s="20" t="s">
        <v>801</v>
      </c>
      <c r="F10456" s="20" t="s">
        <v>802</v>
      </c>
      <c r="G10456" s="20" t="s">
        <v>803</v>
      </c>
      <c r="H10456" s="20" t="s">
        <v>804</v>
      </c>
      <c r="I10456" s="20" t="s">
        <v>805</v>
      </c>
      <c r="J10456" s="20" t="s">
        <v>806</v>
      </c>
      <c r="K10456" s="20" t="s">
        <v>807</v>
      </c>
      <c r="L10456" s="4" t="s">
        <v>47</v>
      </c>
    </row>
    <row r="10457" customFormat="false" ht="15" hidden="false" customHeight="false" outlineLevel="0" collapsed="false">
      <c r="A10457" s="1" t="s">
        <v>1057</v>
      </c>
      <c r="B10457" s="1" t="s">
        <v>235</v>
      </c>
      <c r="F10457" s="36" t="n">
        <f aca="false">Sens!F10311-base_fy-mid_yr</f>
        <v>0.5</v>
      </c>
      <c r="G10457" s="36" t="n">
        <f aca="false">Sens!G10311-base_fy-mid_yr</f>
        <v>1.5</v>
      </c>
      <c r="H10457" s="36" t="n">
        <f aca="false">Sens!H10311-base_fy-mid_yr</f>
        <v>2.5</v>
      </c>
      <c r="I10457" s="36" t="n">
        <f aca="false">Sens!I10311-base_fy-mid_yr</f>
        <v>3.5</v>
      </c>
      <c r="J10457" s="36" t="n">
        <f aca="false">Sens!J10311-base_fy-mid_yr</f>
        <v>4.5</v>
      </c>
      <c r="K10457" s="36" t="n">
        <f aca="false">Sens!K10311-base_fy-mid_yr</f>
        <v>5.5</v>
      </c>
    </row>
    <row r="10458" customFormat="false" ht="15" hidden="false" customHeight="false" outlineLevel="0" collapsed="false">
      <c r="A10458" s="1" t="s">
        <v>1058</v>
      </c>
      <c r="B10458" s="0" t="s">
        <v>185</v>
      </c>
      <c r="F10458" s="14" t="n">
        <f aca="false">1/(1+wacc)^Sens!F10457</f>
        <v>0.952193373608246</v>
      </c>
      <c r="G10458" s="14" t="n">
        <f aca="false">1/(1+wacc)^Sens!G10457</f>
        <v>0.863327280626589</v>
      </c>
      <c r="H10458" s="14" t="n">
        <f aca="false">1/(1+wacc)^Sens!H10457</f>
        <v>0.782754862754115</v>
      </c>
      <c r="I10458" s="14" t="n">
        <f aca="false">1/(1+wacc)^Sens!I10457</f>
        <v>0.709702089711011</v>
      </c>
      <c r="J10458" s="14" t="n">
        <f aca="false">1/(1+wacc)^Sens!J10457</f>
        <v>0.643467169744551</v>
      </c>
      <c r="K10458" s="14" t="n">
        <f aca="false">1/(1+wacc)^Sens!K10457</f>
        <v>0.583413807767797</v>
      </c>
    </row>
    <row r="10459" customFormat="false" ht="17.15" hidden="false" customHeight="false" outlineLevel="0" collapsed="false">
      <c r="A10459" s="1" t="s">
        <v>1059</v>
      </c>
      <c r="B10459" s="0" t="s">
        <v>98</v>
      </c>
      <c r="F10459" s="6" t="n">
        <f aca="false">Sens!F10432-Sens!F10430-Sens!F10436+Sens!F10415*(1-tax_f)</f>
        <v>-5.69761075006969</v>
      </c>
      <c r="G10459" s="6" t="n">
        <f aca="false">Sens!G10432-Sens!G10430-Sens!G10436+Sens!G10415*(1-tax_f)</f>
        <v>26.3195362922275</v>
      </c>
      <c r="H10459" s="6" t="n">
        <f aca="false">Sens!H10432-Sens!H10430-Sens!H10436+Sens!H10415*(1-tax_f)</f>
        <v>62.3948684086785</v>
      </c>
      <c r="I10459" s="6" t="n">
        <f aca="false">Sens!I10432-Sens!I10430-Sens!I10436+Sens!I10415*(1-tax_f)</f>
        <v>129.630637350349</v>
      </c>
      <c r="J10459" s="6" t="n">
        <f aca="false">Sens!J10432-Sens!J10430-Sens!J10436+Sens!J10415*(1-tax_f)</f>
        <v>200.098734773763</v>
      </c>
      <c r="K10459" s="6" t="n">
        <f aca="false">Sens!K10432-Sens!K10430-Sens!K10436+Sens!K10415*(1-tax_f)</f>
        <v>231.788133789208</v>
      </c>
      <c r="L10459" s="1" t="s">
        <v>1060</v>
      </c>
    </row>
    <row r="10460" customFormat="false" ht="15" hidden="false" customHeight="false" outlineLevel="0" collapsed="false">
      <c r="A10460" s="1" t="s">
        <v>1061</v>
      </c>
      <c r="B10460" s="0" t="s">
        <v>98</v>
      </c>
      <c r="F10460" s="6" t="n">
        <f aca="false">Sens!F10459*Sens!F10458</f>
        <v>-5.42522720161547</v>
      </c>
      <c r="G10460" s="6" t="n">
        <f aca="false">Sens!G10459*Sens!G10458</f>
        <v>22.7223736945216</v>
      </c>
      <c r="H10460" s="6" t="n">
        <f aca="false">Sens!H10459*Sens!H10458</f>
        <v>48.8398866577963</v>
      </c>
      <c r="I10460" s="6" t="n">
        <f aca="false">Sens!I10459*Sens!I10458</f>
        <v>91.9991342181129</v>
      </c>
      <c r="J10460" s="6" t="n">
        <f aca="false">Sens!J10459*Sens!J10458</f>
        <v>128.756966534339</v>
      </c>
      <c r="K10460" s="6" t="n">
        <f aca="false">Sens!K10459*Sens!K10458</f>
        <v>135.228397729353</v>
      </c>
    </row>
    <row r="10461" customFormat="false" ht="17.15" hidden="false" customHeight="false" outlineLevel="0" collapsed="false">
      <c r="A10461" s="1" t="s">
        <v>1062</v>
      </c>
      <c r="B10461" s="0" t="s">
        <v>98</v>
      </c>
      <c r="C10461" s="6" t="n">
        <f aca="false">SUM(Sens!F10460:K10460)</f>
        <v>422.121531632508</v>
      </c>
    </row>
    <row r="10462" customFormat="false" ht="17.15" hidden="false" customHeight="false" outlineLevel="0" collapsed="false">
      <c r="A10462" s="1" t="s">
        <v>1063</v>
      </c>
      <c r="B10462" s="0" t="s">
        <v>98</v>
      </c>
      <c r="C10462" s="6" t="n">
        <f aca="false">Sens!K10401*(1+g_tv)*(1-tax_f)</f>
        <v>245.955689929968</v>
      </c>
    </row>
    <row r="10463" customFormat="false" ht="17.15" hidden="false" customHeight="false" outlineLevel="0" collapsed="false">
      <c r="A10463" s="1" t="s">
        <v>1064</v>
      </c>
      <c r="B10463" s="0" t="s">
        <v>98</v>
      </c>
      <c r="C10463" s="6" t="n">
        <f aca="false">Sens!$C$10462*(1-g_tv/(wacc+ronic_prem))</f>
        <v>174.27246976667</v>
      </c>
    </row>
    <row r="10464" customFormat="false" ht="17.15" hidden="false" customHeight="false" outlineLevel="0" collapsed="false">
      <c r="A10464" s="1" t="s">
        <v>1065</v>
      </c>
      <c r="B10464" s="0" t="s">
        <v>98</v>
      </c>
      <c r="C10464" s="6" t="n">
        <f aca="false">Sens!$C$10463/(wacc-g_tv)</f>
        <v>2389.44067210994</v>
      </c>
    </row>
    <row r="10465" customFormat="false" ht="15" hidden="false" customHeight="false" outlineLevel="0" collapsed="false">
      <c r="A10465" s="1" t="s">
        <v>1066</v>
      </c>
      <c r="B10465" s="0" t="s">
        <v>98</v>
      </c>
      <c r="C10465" s="6" t="n">
        <f aca="false">Sens!$C$10464/(1+wacc)^(Sens!K10457+mid_yr)</f>
        <v>1327.38868139479</v>
      </c>
    </row>
    <row r="10466" customFormat="false" ht="17.15" hidden="false" customHeight="false" outlineLevel="0" collapsed="false">
      <c r="A10466" s="0" t="s">
        <v>986</v>
      </c>
      <c r="B10466" s="0" t="s">
        <v>98</v>
      </c>
      <c r="C10466" s="6" t="n">
        <f aca="false">Sens!$C$10461+Sens!$C$10465</f>
        <v>1749.5102130273</v>
      </c>
    </row>
    <row r="10467" customFormat="false" ht="15" hidden="false" customHeight="false" outlineLevel="0" collapsed="false">
      <c r="A10467" s="1" t="s">
        <v>987</v>
      </c>
      <c r="B10467" s="0" t="s">
        <v>129</v>
      </c>
      <c r="C10467" s="7" t="n">
        <f aca="false">Sens!$C$10465/Sens!$C$10466</f>
        <v>0.758720167227786</v>
      </c>
    </row>
    <row r="10468" customFormat="false" ht="17.15" hidden="false" customHeight="false" outlineLevel="0" collapsed="false">
      <c r="A10468" s="1" t="s">
        <v>1067</v>
      </c>
      <c r="B10468" s="0" t="s">
        <v>98</v>
      </c>
      <c r="C10468" s="6" t="n">
        <f aca="false">Sens!$C$10466+Sens!E10448-Sens!E10437+oai_v</f>
        <v>1884.0232130273</v>
      </c>
    </row>
    <row r="10469" customFormat="false" ht="17.15" hidden="false" customHeight="false" outlineLevel="0" collapsed="false">
      <c r="A10469" s="0" t="s">
        <v>994</v>
      </c>
      <c r="B10469" s="0" t="s">
        <v>75</v>
      </c>
      <c r="C10469" s="5" t="n">
        <f aca="false">Sens!$C$10468/sh_dil26</f>
        <v>252.78722836808</v>
      </c>
    </row>
    <row r="10470" customFormat="false" ht="15" hidden="false" customHeight="false" outlineLevel="0" collapsed="false">
      <c r="A10470" s="1" t="s">
        <v>1068</v>
      </c>
      <c r="B10470" s="0" t="s">
        <v>75</v>
      </c>
      <c r="C10470" s="8" t="n">
        <f aca="false">dps_27+Sens!G10440*roll_div_q/q_per_yr</f>
        <v>4.8895</v>
      </c>
    </row>
    <row r="10471" customFormat="false" ht="17.15" hidden="false" customHeight="false" outlineLevel="0" collapsed="false">
      <c r="A10471" s="0" t="s">
        <v>1069</v>
      </c>
      <c r="B10471" s="0" t="s">
        <v>75</v>
      </c>
      <c r="C10471" s="5" t="n">
        <f aca="false">Sens!$C$10469*(1+wacc)^t_roll-Sens!$C$10470</f>
        <v>282.967757388402</v>
      </c>
    </row>
    <row r="10472" customFormat="false" ht="17.15" hidden="false" customHeight="false" outlineLevel="0" collapsed="false">
      <c r="A10472" s="1" t="s">
        <v>1070</v>
      </c>
      <c r="B10472" s="0" t="s">
        <v>129</v>
      </c>
      <c r="F10472" s="7" t="n">
        <f aca="false">Sens!F10427/(Sens!F10372-Sens!F10328)</f>
        <v>0.0711777104894942</v>
      </c>
      <c r="G10472" s="7" t="n">
        <f aca="false">Sens!G10427/(Sens!G10372-Sens!G10328)</f>
        <v>0.0683294406102609</v>
      </c>
      <c r="H10472" s="7" t="n">
        <f aca="false">Sens!H10427/(Sens!H10372-Sens!H10328)</f>
        <v>0.0667790721331564</v>
      </c>
      <c r="I10472" s="7" t="n">
        <f aca="false">Sens!I10427/(Sens!I10372-Sens!I10328)</f>
        <v>0.0663680864179085</v>
      </c>
      <c r="J10472" s="7" t="n">
        <f aca="false">Sens!J10427/(Sens!J10372-Sens!J10328)</f>
        <v>0.0668692420414241</v>
      </c>
      <c r="K10472" s="7" t="n">
        <f aca="false">Sens!K10427/(Sens!K10372-Sens!K10328)</f>
        <v>0.0680360741310326</v>
      </c>
    </row>
    <row r="10473" customFormat="false" ht="17.15" hidden="false" customHeight="false" outlineLevel="0" collapsed="false">
      <c r="A10473" s="0" t="s">
        <v>1071</v>
      </c>
      <c r="B10473" s="0" t="s">
        <v>98</v>
      </c>
      <c r="F10473" s="6" t="n">
        <f aca="false">Sens!F10357*(al_m365+Sens!F10472+sbc_r)</f>
        <v>83.1795850973839</v>
      </c>
      <c r="G10473" s="6" t="n">
        <f aca="false">Sens!G10357*(al_m365+Sens!G10472+sbc_r)</f>
        <v>93.5380137490054</v>
      </c>
      <c r="H10473" s="6" t="n">
        <f aca="false">Sens!H10357*(al_m365+Sens!H10472+sbc_r)</f>
        <v>104.059150441492</v>
      </c>
      <c r="I10473" s="6" t="n">
        <f aca="false">Sens!I10357*(al_m365+Sens!I10472+sbc_r)</f>
        <v>114.066743765503</v>
      </c>
      <c r="J10473" s="6" t="n">
        <f aca="false">Sens!J10357*(al_m365+Sens!J10472+sbc_r)</f>
        <v>123.372738701312</v>
      </c>
      <c r="K10473" s="6" t="n">
        <f aca="false">Sens!K10357*(al_m365+Sens!K10472+sbc_r)</f>
        <v>132.285744864971</v>
      </c>
      <c r="L10473" s="11" t="s">
        <v>1072</v>
      </c>
    </row>
    <row r="10474" customFormat="false" ht="17.15" hidden="false" customHeight="false" outlineLevel="0" collapsed="false">
      <c r="A10474" s="0" t="s">
        <v>1073</v>
      </c>
      <c r="B10474" s="0" t="s">
        <v>98</v>
      </c>
      <c r="F10474" s="6" t="n">
        <f aca="false">Sens!F10358*(al_lic+Sens!F10472+sbc_r)</f>
        <v>33.5457395420665</v>
      </c>
      <c r="G10474" s="6" t="n">
        <f aca="false">Sens!G10358*(al_lic+Sens!G10472+sbc_r)</f>
        <v>34.8502097274826</v>
      </c>
      <c r="H10474" s="6" t="n">
        <f aca="false">Sens!H10358*(al_lic+Sens!H10472+sbc_r)</f>
        <v>36.0657791057233</v>
      </c>
      <c r="I10474" s="6" t="n">
        <f aca="false">Sens!I10358*(al_lic+Sens!I10472+sbc_r)</f>
        <v>37.1721325148682</v>
      </c>
      <c r="J10474" s="6" t="n">
        <f aca="false">Sens!J10358*(al_lic+Sens!J10472+sbc_r)</f>
        <v>38.1455998745323</v>
      </c>
      <c r="K10474" s="6" t="n">
        <f aca="false">Sens!K10358*(al_lic+Sens!K10472+sbc_r)</f>
        <v>38.9616574418816</v>
      </c>
    </row>
    <row r="10475" customFormat="false" ht="17.15" hidden="false" customHeight="false" outlineLevel="0" collapsed="false">
      <c r="A10475" s="0" t="s">
        <v>1074</v>
      </c>
      <c r="B10475" s="0" t="s">
        <v>98</v>
      </c>
      <c r="F10475" s="6" t="n">
        <f aca="false">Sens!F10360*(al_ind+Sens!F10472+sbc_r)</f>
        <v>9.13427256837851</v>
      </c>
      <c r="G10475" s="6" t="n">
        <f aca="false">Sens!G10360*(al_ind+Sens!G10472+sbc_r)</f>
        <v>9.91528241256764</v>
      </c>
      <c r="H10475" s="6" t="n">
        <f aca="false">Sens!H10360*(al_ind+Sens!H10472+sbc_r)</f>
        <v>10.7401131793509</v>
      </c>
      <c r="I10475" s="6" t="n">
        <f aca="false">Sens!I10360*(al_ind+Sens!I10472+sbc_r)</f>
        <v>11.6042856600662</v>
      </c>
      <c r="J10475" s="6" t="n">
        <f aca="false">Sens!J10360*(al_ind+Sens!J10472+sbc_r)</f>
        <v>12.4991651734196</v>
      </c>
      <c r="K10475" s="6" t="n">
        <f aca="false">Sens!K10360*(al_ind+Sens!K10472+sbc_r)</f>
        <v>13.4127097444294</v>
      </c>
    </row>
    <row r="10476" customFormat="false" ht="17.15" hidden="false" customHeight="false" outlineLevel="0" collapsed="false">
      <c r="A10476" s="0" t="s">
        <v>1075</v>
      </c>
      <c r="B10476" s="0" t="s">
        <v>98</v>
      </c>
      <c r="F10476" s="6" t="n">
        <f aca="false">Sens!F10362*(al_fro+Sens!F10472+sbc_r)</f>
        <v>3.59528175152643</v>
      </c>
      <c r="G10476" s="6" t="n">
        <f aca="false">Sens!G10362*(al_fro+Sens!G10472+sbc_r)</f>
        <v>3.80688223833734</v>
      </c>
      <c r="H10476" s="6" t="n">
        <f aca="false">Sens!H10362*(al_fro+Sens!H10472+sbc_r)</f>
        <v>4.04724225378137</v>
      </c>
      <c r="I10476" s="6" t="n">
        <f aca="false">Sens!I10362*(al_fro+Sens!I10472+sbc_r)</f>
        <v>4.31864283399366</v>
      </c>
      <c r="J10476" s="6" t="n">
        <f aca="false">Sens!J10362*(al_fro+Sens!J10472+sbc_r)</f>
        <v>4.62267162315692</v>
      </c>
      <c r="K10476" s="6" t="n">
        <f aca="false">Sens!K10362*(al_fro+Sens!K10472+sbc_r)</f>
        <v>4.96053551296904</v>
      </c>
    </row>
    <row r="10477" customFormat="false" ht="17.15" hidden="false" customHeight="false" outlineLevel="0" collapsed="false">
      <c r="A10477" s="0" t="s">
        <v>1076</v>
      </c>
      <c r="B10477" s="0" t="s">
        <v>98</v>
      </c>
      <c r="F10477" s="6" t="n">
        <f aca="false">Sens!F10365*(al_srch+Sens!F10472+sbc_r)</f>
        <v>11.2809585943921</v>
      </c>
      <c r="G10477" s="6" t="n">
        <f aca="false">Sens!G10365*(al_srch+Sens!G10472+sbc_r)</f>
        <v>12.3610582495459</v>
      </c>
      <c r="H10477" s="6" t="n">
        <f aca="false">Sens!H10365*(al_srch+Sens!H10472+sbc_r)</f>
        <v>13.4846018123231</v>
      </c>
      <c r="I10477" s="6" t="n">
        <f aca="false">Sens!I10365*(al_srch+Sens!I10472+sbc_r)</f>
        <v>14.639071427721</v>
      </c>
      <c r="J10477" s="6" t="n">
        <f aca="false">Sens!J10365*(al_srch+Sens!J10472+sbc_r)</f>
        <v>15.8057762539848</v>
      </c>
      <c r="K10477" s="6" t="n">
        <f aca="false">Sens!K10365*(al_srch+Sens!K10472+sbc_r)</f>
        <v>16.9609958936235</v>
      </c>
    </row>
    <row r="10478" customFormat="false" ht="17.15" hidden="false" customHeight="false" outlineLevel="0" collapsed="false">
      <c r="A10478" s="0" t="s">
        <v>1077</v>
      </c>
      <c r="B10478" s="0" t="s">
        <v>98</v>
      </c>
      <c r="F10478" s="6" t="n">
        <f aca="false">Sens!F10334-Sens!F10335+Sens!F10415</f>
        <v>38.6797715123049</v>
      </c>
      <c r="G10478" s="6" t="n">
        <f aca="false">Sens!G10334-Sens!G10335+Sens!G10415</f>
        <v>67.9698044367775</v>
      </c>
      <c r="H10478" s="6" t="n">
        <f aca="false">Sens!H10334-Sens!H10335+Sens!H10415</f>
        <v>94.4027386785771</v>
      </c>
      <c r="I10478" s="6" t="n">
        <f aca="false">Sens!I10334-Sens!I10335+Sens!I10415</f>
        <v>124.629799296032</v>
      </c>
      <c r="J10478" s="6" t="n">
        <f aca="false">Sens!J10334-Sens!J10335+Sens!J10415</f>
        <v>146.1886418102</v>
      </c>
      <c r="K10478" s="6" t="n">
        <f aca="false">Sens!K10334-Sens!K10335+Sens!K10415</f>
        <v>160.310017660072</v>
      </c>
    </row>
    <row r="10479" customFormat="false" ht="17.15" hidden="false" customHeight="false" outlineLevel="0" collapsed="false">
      <c r="A10479" s="0" t="s">
        <v>1078</v>
      </c>
      <c r="B10479" s="0" t="s">
        <v>98</v>
      </c>
      <c r="F10479" s="6" t="n">
        <f aca="false">Sens!F10394+Sens!F10415+Sens!F10345+Sens!F10472*(Sens!F10364-Sens!F10328)+sbc_r*Sens!F10364</f>
        <v>228.432516005791</v>
      </c>
      <c r="G10479" s="6" t="n">
        <f aca="false">Sens!G10394+Sens!G10415+Sens!G10345+Sens!G10472*(Sens!G10364-Sens!G10328)+sbc_r*Sens!G10364</f>
        <v>282.575704706978</v>
      </c>
      <c r="H10479" s="6" t="n">
        <f aca="false">Sens!H10394+Sens!H10415+Sens!H10345+Sens!H10472*(Sens!H10364-Sens!H10328)+sbc_r*Sens!H10364</f>
        <v>334.139075454232</v>
      </c>
      <c r="I10479" s="6" t="n">
        <f aca="false">Sens!I10394+Sens!I10415+Sens!I10345+Sens!I10472*(Sens!I10364-Sens!I10328)+sbc_r*Sens!I10364</f>
        <v>388.885873450761</v>
      </c>
      <c r="J10479" s="6" t="n">
        <f aca="false">Sens!J10394+Sens!J10415+Sens!J10345+Sens!J10472*(Sens!J10364-Sens!J10328)+sbc_r*Sens!J10364</f>
        <v>433.079406161369</v>
      </c>
      <c r="K10479" s="6" t="n">
        <f aca="false">Sens!K10394+Sens!K10415+Sens!K10345+Sens!K10472*(Sens!K10364-Sens!K10328)+sbc_r*Sens!K10364</f>
        <v>467.557088710147</v>
      </c>
    </row>
    <row r="10480" customFormat="false" ht="17.15" hidden="false" customHeight="false" outlineLevel="0" collapsed="false">
      <c r="A10480" s="0" t="s">
        <v>1079</v>
      </c>
      <c r="B10480" s="0" t="s">
        <v>98</v>
      </c>
      <c r="F10480" s="6" t="n">
        <f aca="false">Sens!F10479-Sens!F10473-Sens!F10474-Sens!F10475-Sens!F10476-Sens!F10478</f>
        <v>60.2978655341309</v>
      </c>
      <c r="G10480" s="6" t="n">
        <f aca="false">Sens!G10479-Sens!G10473-Sens!G10474-Sens!G10475-Sens!G10476-Sens!G10478</f>
        <v>72.4955121428077</v>
      </c>
      <c r="H10480" s="6" t="n">
        <f aca="false">Sens!H10479-Sens!H10473-Sens!H10474-Sens!H10475-Sens!H10476-Sens!H10478</f>
        <v>84.8240517953078</v>
      </c>
      <c r="I10480" s="6" t="n">
        <f aca="false">Sens!I10479-Sens!I10473-Sens!I10474-Sens!I10475-Sens!I10476-Sens!I10478</f>
        <v>97.0942693802983</v>
      </c>
      <c r="J10480" s="6" t="n">
        <f aca="false">Sens!J10479-Sens!J10473-Sens!J10474-Sens!J10475-Sens!J10476-Sens!J10478</f>
        <v>108.250588978748</v>
      </c>
      <c r="K10480" s="6" t="n">
        <f aca="false">Sens!K10479-Sens!K10473-Sens!K10474-Sens!K10475-Sens!K10476-Sens!K10478</f>
        <v>117.626423485824</v>
      </c>
    </row>
    <row r="10481" customFormat="false" ht="17.15" hidden="false" customHeight="false" outlineLevel="0" collapsed="false">
      <c r="A10481" s="0" t="s">
        <v>1080</v>
      </c>
      <c r="B10481" s="0" t="s">
        <v>98</v>
      </c>
      <c r="F10481" s="6" t="n">
        <f aca="false">Sens!F10396+Sens!F10472*Sens!F10371+sbc_r*Sens!F10371</f>
        <v>26.3084414217771</v>
      </c>
      <c r="G10481" s="6" t="n">
        <f aca="false">Sens!G10396+Sens!G10472*Sens!G10371+sbc_r*Sens!G10371</f>
        <v>26.8135366563843</v>
      </c>
      <c r="H10481" s="6" t="n">
        <f aca="false">Sens!H10396+Sens!H10472*Sens!H10371+sbc_r*Sens!H10371</f>
        <v>27.5410460098815</v>
      </c>
      <c r="I10481" s="6" t="n">
        <f aca="false">Sens!I10396+Sens!I10472*Sens!I10371+sbc_r*Sens!I10371</f>
        <v>28.4577773299421</v>
      </c>
      <c r="J10481" s="6" t="n">
        <f aca="false">Sens!J10396+Sens!J10472*Sens!J10371+sbc_r*Sens!J10371</f>
        <v>29.527749313945</v>
      </c>
      <c r="K10481" s="6" t="n">
        <f aca="false">Sens!K10396+Sens!K10472*Sens!K10371+sbc_r*Sens!K10371</f>
        <v>30.7139736745332</v>
      </c>
    </row>
    <row r="10482" customFormat="false" ht="17.15" hidden="false" customHeight="false" outlineLevel="0" collapsed="false">
      <c r="A10482" s="0" t="s">
        <v>1081</v>
      </c>
      <c r="B10482" s="0" t="s">
        <v>98</v>
      </c>
      <c r="F10482" s="6" t="n">
        <f aca="false">(Sens!F10481-Sens!F10477)*Sens!F10367/(Sens!F10367+Sens!F10369)</f>
        <v>8.21153742916406</v>
      </c>
      <c r="G10482" s="6" t="n">
        <f aca="false">(Sens!G10481-Sens!G10477)*Sens!G10367/(Sens!G10367+Sens!G10369)</f>
        <v>7.70566665215036</v>
      </c>
      <c r="H10482" s="6" t="n">
        <f aca="false">(Sens!H10481-Sens!H10477)*Sens!H10367/(Sens!H10367+Sens!H10369)</f>
        <v>7.31942713756476</v>
      </c>
      <c r="I10482" s="6" t="n">
        <f aca="false">(Sens!I10481-Sens!I10477)*Sens!I10367/(Sens!I10367+Sens!I10369)</f>
        <v>7.03478928533196</v>
      </c>
      <c r="J10482" s="6" t="n">
        <f aca="false">(Sens!J10481-Sens!J10477)*Sens!J10367/(Sens!J10367+Sens!J10369)</f>
        <v>6.83708649637379</v>
      </c>
      <c r="K10482" s="6" t="n">
        <f aca="false">(Sens!K10481-Sens!K10477)*Sens!K10367/(Sens!K10367+Sens!K10369)</f>
        <v>6.71501632674123</v>
      </c>
    </row>
    <row r="10483" customFormat="false" ht="17.15" hidden="false" customHeight="false" outlineLevel="0" collapsed="false">
      <c r="A10483" s="0" t="s">
        <v>1082</v>
      </c>
      <c r="B10483" s="0" t="s">
        <v>98</v>
      </c>
      <c r="F10483" s="6" t="n">
        <f aca="false">Sens!F10481-Sens!F10477-Sens!F10482</f>
        <v>6.81594539822093</v>
      </c>
      <c r="G10483" s="6" t="n">
        <f aca="false">Sens!G10481-Sens!G10477-Sens!G10482</f>
        <v>6.74681175468804</v>
      </c>
      <c r="H10483" s="6" t="n">
        <f aca="false">Sens!H10481-Sens!H10477-Sens!H10482</f>
        <v>6.73701705999361</v>
      </c>
      <c r="I10483" s="6" t="n">
        <f aca="false">Sens!I10481-Sens!I10477-Sens!I10482</f>
        <v>6.7839166168891</v>
      </c>
      <c r="J10483" s="6" t="n">
        <f aca="false">Sens!J10481-Sens!J10477-Sens!J10482</f>
        <v>6.88488656358631</v>
      </c>
      <c r="K10483" s="6" t="n">
        <f aca="false">Sens!K10481-Sens!K10477-Sens!K10482</f>
        <v>7.03796145416843</v>
      </c>
    </row>
    <row r="10484" customFormat="false" ht="17.15" hidden="false" customHeight="false" outlineLevel="0" collapsed="false">
      <c r="A10484" s="0" t="s">
        <v>1083</v>
      </c>
      <c r="B10484" s="0" t="s">
        <v>98</v>
      </c>
      <c r="F10484" s="6" t="n">
        <f aca="false">Sens!F10478-tax_f*(Sens!F10478-Sens!F10345)-Sens!F10342</f>
        <v>-122.579081185432</v>
      </c>
      <c r="G10484" s="6" t="n">
        <f aca="false">Sens!G10478-tax_f*(Sens!G10478-Sens!G10345)-Sens!G10342</f>
        <v>-117.373249511676</v>
      </c>
      <c r="H10484" s="6" t="n">
        <f aca="false">Sens!H10478-tax_f*(Sens!H10478-Sens!H10345)-Sens!H10342</f>
        <v>-95.285890998876</v>
      </c>
      <c r="I10484" s="6" t="n">
        <f aca="false">Sens!I10478-tax_f*(Sens!I10478-Sens!I10345)-Sens!I10342</f>
        <v>-41.8816809509416</v>
      </c>
      <c r="J10484" s="6" t="n">
        <f aca="false">Sens!J10478-tax_f*(Sens!J10478-Sens!J10345)-Sens!J10342</f>
        <v>15.3691414244864</v>
      </c>
      <c r="K10484" s="6" t="n">
        <f aca="false">Sens!K10478-tax_f*(Sens!K10478-Sens!K10345)-Sens!K10342</f>
        <v>34.6668916333283</v>
      </c>
    </row>
    <row r="10485" customFormat="false" ht="17.15" hidden="false" customHeight="false" outlineLevel="0" collapsed="false">
      <c r="A10485" s="0" t="s">
        <v>1084</v>
      </c>
      <c r="B10485" s="0" t="s">
        <v>98</v>
      </c>
      <c r="G10485" s="6" t="n">
        <f aca="false">Sens!G10484/(1+wacc)^(Sens!G10457-(Sens!F10457+mid_yr))</f>
        <v>-111.762030423885</v>
      </c>
      <c r="H10485" s="6" t="n">
        <f aca="false">Sens!H10484/(1+wacc)^(Sens!H10457-(Sens!F10457+mid_yr))</f>
        <v>-82.2629091581412</v>
      </c>
      <c r="I10485" s="6" t="n">
        <f aca="false">Sens!I10484/(1+wacc)^(Sens!I10457-(Sens!F10457+mid_yr))</f>
        <v>-32.7830894246659</v>
      </c>
      <c r="J10485" s="6" t="n">
        <f aca="false">Sens!J10484/(1+wacc)^(Sens!J10457-(Sens!F10457+mid_yr))</f>
        <v>10.907511786022</v>
      </c>
      <c r="K10485" s="6" t="n">
        <f aca="false">Sens!K10484/(1+wacc)^(Sens!K10457-(Sens!F10457+mid_yr))</f>
        <v>22.3070066431388</v>
      </c>
      <c r="L10485" s="1" t="s">
        <v>1085</v>
      </c>
    </row>
    <row r="10486" customFormat="false" ht="17.15" hidden="false" customHeight="false" outlineLevel="0" collapsed="false">
      <c r="A10486" s="0" t="s">
        <v>1086</v>
      </c>
      <c r="B10486" s="0" t="s">
        <v>98</v>
      </c>
      <c r="C10486" s="6" t="n">
        <f aca="false">(Sens!K10478-Sens!K10345)*(1-tax_f)*(1+g_tv)*(1-g_tv/(wacc+ronic_prem))/(wacc-g_tv)/(1+wacc)^(Sens!K10457+mid_yr-(Sens!F10457+mid_yr))</f>
        <v>103.875812758606</v>
      </c>
    </row>
    <row r="10487" customFormat="false" ht="17.15" hidden="false" customHeight="false" outlineLevel="0" collapsed="false">
      <c r="A10487" s="1" t="s">
        <v>1087</v>
      </c>
      <c r="B10487" s="0" t="s">
        <v>98</v>
      </c>
      <c r="C10487" s="6" t="n">
        <f aca="false">(SUM(Sens!G10485:K10485)+Sens!$C$10486)*(1+wacc)^(t_roll-(Sens!F10457+mid_yr))</f>
        <v>-92.6297486746201</v>
      </c>
      <c r="L10487" s="11" t="s">
        <v>1088</v>
      </c>
    </row>
    <row r="10488" customFormat="false" ht="17.15" hidden="false" customHeight="false" outlineLevel="0" collapsed="false">
      <c r="A10488" s="1" t="s">
        <v>1089</v>
      </c>
      <c r="B10488" s="0" t="s">
        <v>98</v>
      </c>
      <c r="C10488" s="6" t="n">
        <f aca="false">(w_ntm28*Sens!G10334+(1-w_ntm28)*Sens!H10334)*m_ai</f>
        <v>338.776008390068</v>
      </c>
    </row>
    <row r="10489" customFormat="false" ht="17.15" hidden="false" customHeight="false" outlineLevel="0" collapsed="false">
      <c r="A10489" s="1" t="s">
        <v>1090</v>
      </c>
      <c r="B10489" s="0" t="s">
        <v>98</v>
      </c>
      <c r="C10489" s="6" t="n">
        <f aca="false">(w_ntm28*Sens!G10480+(1-w_ntm28)*Sens!H10480)*m_cloud</f>
        <v>1056.96986637171</v>
      </c>
    </row>
    <row r="10490" customFormat="false" ht="17.15" hidden="false" customHeight="false" outlineLevel="0" collapsed="false">
      <c r="A10490" s="1" t="s">
        <v>1091</v>
      </c>
      <c r="B10490" s="0" t="s">
        <v>98</v>
      </c>
      <c r="C10490" s="6" t="n">
        <f aca="false">(w_ntm28*Sens!G10473+(1-w_ntm28)*Sens!H10473)*m_sw</f>
        <v>1046.94516931366</v>
      </c>
    </row>
    <row r="10491" customFormat="false" ht="17.15" hidden="false" customHeight="false" outlineLevel="0" collapsed="false">
      <c r="A10491" s="1" t="s">
        <v>1092</v>
      </c>
      <c r="B10491" s="0" t="s">
        <v>98</v>
      </c>
      <c r="C10491" s="6" t="n">
        <f aca="false">(w_ntm28*Sens!G10474+(1-w_ntm28)*Sens!H10474)*m_sw</f>
        <v>380.626433866757</v>
      </c>
    </row>
    <row r="10492" customFormat="false" ht="17.15" hidden="false" customHeight="false" outlineLevel="0" collapsed="false">
      <c r="A10492" s="1" t="s">
        <v>1093</v>
      </c>
      <c r="B10492" s="0" t="s">
        <v>98</v>
      </c>
      <c r="C10492" s="6" t="n">
        <f aca="false">(w_ntm28*Sens!G10475+(1-w_ntm28)*Sens!H10475)*m_sw</f>
        <v>109.96495232748</v>
      </c>
    </row>
    <row r="10493" customFormat="false" ht="17.15" hidden="false" customHeight="false" outlineLevel="0" collapsed="false">
      <c r="A10493" s="1" t="s">
        <v>1094</v>
      </c>
      <c r="B10493" s="0" t="s">
        <v>98</v>
      </c>
      <c r="C10493" s="6" t="n">
        <f aca="false">(w_ntm28*Sens!G10476+(1-w_ntm28)*Sens!H10476)*m_sw</f>
        <v>41.9535468142676</v>
      </c>
    </row>
    <row r="10494" customFormat="false" ht="17.15" hidden="false" customHeight="false" outlineLevel="0" collapsed="false">
      <c r="A10494" s="1" t="s">
        <v>1095</v>
      </c>
      <c r="B10494" s="0" t="s">
        <v>98</v>
      </c>
      <c r="C10494" s="6" t="n">
        <f aca="false">(w_ntm28*Sens!G10477+(1-w_ntm28)*Sens!H10477)*m_ads</f>
        <v>115.918245746827</v>
      </c>
    </row>
    <row r="10495" customFormat="false" ht="17.15" hidden="false" customHeight="false" outlineLevel="0" collapsed="false">
      <c r="A10495" s="1" t="s">
        <v>1096</v>
      </c>
      <c r="B10495" s="0" t="s">
        <v>98</v>
      </c>
      <c r="C10495" s="6" t="n">
        <f aca="false">(w_ntm28*Sens!G10482+(1-w_ntm28)*Sens!H10482)*m_game</f>
        <v>95.7455062600358</v>
      </c>
    </row>
    <row r="10496" customFormat="false" ht="17.15" hidden="false" customHeight="false" outlineLevel="0" collapsed="false">
      <c r="A10496" s="1" t="s">
        <v>1097</v>
      </c>
      <c r="B10496" s="0" t="s">
        <v>98</v>
      </c>
      <c r="C10496" s="6" t="n">
        <f aca="false">(w_ntm28*Sens!G10483+(1-w_ntm28)*Sens!H10483)*m_pc</f>
        <v>97.5805467769032</v>
      </c>
    </row>
    <row r="10497" customFormat="false" ht="17.15" hidden="false" customHeight="false" outlineLevel="0" collapsed="false">
      <c r="A10497" s="1" t="s">
        <v>1098</v>
      </c>
      <c r="B10497" s="0" t="s">
        <v>98</v>
      </c>
      <c r="C10497" s="6" t="n">
        <f aca="false">Sens!$C$10487+Sens!$C$10489+Sens!$C$10490+Sens!$C$10491+Sens!$C$10492+Sens!$C$10493+Sens!$C$10494+Sens!$C$10495+Sens!$C$10496</f>
        <v>2853.07451880302</v>
      </c>
    </row>
    <row r="10498" customFormat="false" ht="17.15" hidden="false" customHeight="false" outlineLevel="0" collapsed="false">
      <c r="A10498" s="1" t="s">
        <v>1099</v>
      </c>
      <c r="B10498" s="0" t="s">
        <v>98</v>
      </c>
      <c r="C10498" s="6" t="n">
        <f aca="false">(Sens!G10459-Sens!G10484)*t_stub</f>
        <v>46.8477849607247</v>
      </c>
      <c r="L10498" s="1" t="s">
        <v>1100</v>
      </c>
    </row>
    <row r="10499" customFormat="false" ht="17.15" hidden="false" customHeight="false" outlineLevel="0" collapsed="false">
      <c r="A10499" s="1" t="s">
        <v>1014</v>
      </c>
      <c r="B10499" s="0" t="s">
        <v>98</v>
      </c>
      <c r="C10499" s="6" t="n">
        <f aca="false">Sens!F10448+oai_v-Sens!F10437+Sens!$C$10498</f>
        <v>153.649743479201</v>
      </c>
      <c r="L10499" s="1" t="s">
        <v>1101</v>
      </c>
    </row>
    <row r="10500" customFormat="false" ht="17.15" hidden="false" customHeight="false" outlineLevel="0" collapsed="false">
      <c r="A10500" s="1" t="s">
        <v>1102</v>
      </c>
      <c r="B10500" s="0" t="s">
        <v>75</v>
      </c>
      <c r="C10500" s="5" t="n">
        <f aca="false">(Sens!$C$10497+Sens!$C$10499)/(Sens!F10450+dil_gap)-Sens!G10440*roll_div_q/q_per_yr</f>
        <v>400.070993901043</v>
      </c>
      <c r="L10500" s="1" t="s">
        <v>1103</v>
      </c>
    </row>
    <row r="10501" customFormat="false" ht="17.15" hidden="false" customHeight="false" outlineLevel="0" collapsed="false">
      <c r="A10501" s="1" t="s">
        <v>1104</v>
      </c>
      <c r="B10501" s="0" t="s">
        <v>75</v>
      </c>
      <c r="C10501" s="5" t="n">
        <f aca="false">w_dcf*Sens!$C$10471+(1-w_dcf)*Sens!$C$10500</f>
        <v>341.519375644722</v>
      </c>
    </row>
    <row r="10502" customFormat="false" ht="17.15" hidden="false" customHeight="false" outlineLevel="0" collapsed="false">
      <c r="A10502" s="3" t="s">
        <v>1532</v>
      </c>
    </row>
    <row r="10503" customFormat="false" ht="15" hidden="false" customHeight="false" outlineLevel="0" collapsed="false">
      <c r="A10503" s="4" t="s">
        <v>43</v>
      </c>
      <c r="B10503" s="4" t="s">
        <v>65</v>
      </c>
      <c r="C10503" s="20" t="s">
        <v>799</v>
      </c>
      <c r="D10503" s="20" t="s">
        <v>800</v>
      </c>
      <c r="E10503" s="20" t="s">
        <v>801</v>
      </c>
      <c r="F10503" s="20" t="s">
        <v>802</v>
      </c>
      <c r="G10503" s="20" t="s">
        <v>803</v>
      </c>
      <c r="H10503" s="20" t="s">
        <v>804</v>
      </c>
      <c r="I10503" s="20" t="s">
        <v>805</v>
      </c>
      <c r="J10503" s="20" t="s">
        <v>806</v>
      </c>
      <c r="K10503" s="20" t="s">
        <v>807</v>
      </c>
      <c r="L10503" s="4" t="s">
        <v>47</v>
      </c>
    </row>
    <row r="10504" customFormat="false" ht="17.15" hidden="false" customHeight="false" outlineLevel="0" collapsed="false">
      <c r="A10504" s="1" t="s">
        <v>808</v>
      </c>
      <c r="B10504" s="1" t="s">
        <v>235</v>
      </c>
      <c r="C10504" s="28" t="n">
        <v>2024</v>
      </c>
      <c r="D10504" s="28" t="n">
        <v>2025</v>
      </c>
      <c r="E10504" s="28" t="n">
        <v>2026</v>
      </c>
      <c r="F10504" s="28" t="n">
        <v>2027</v>
      </c>
      <c r="G10504" s="28" t="n">
        <v>2028</v>
      </c>
      <c r="H10504" s="28" t="n">
        <v>2029</v>
      </c>
      <c r="I10504" s="28" t="n">
        <v>2030</v>
      </c>
      <c r="J10504" s="28" t="n">
        <v>2031</v>
      </c>
      <c r="K10504" s="28" t="n">
        <v>2032</v>
      </c>
    </row>
    <row r="10505" customFormat="false" ht="17.15" hidden="false" customHeight="false" outlineLevel="0" collapsed="false">
      <c r="A10505" s="1" t="s">
        <v>809</v>
      </c>
      <c r="B10505" s="0" t="s">
        <v>399</v>
      </c>
      <c r="F10505" s="29" t="n">
        <f aca="false">pace</f>
        <v>2527.2</v>
      </c>
      <c r="G10505" s="29" t="n">
        <f aca="false">pace</f>
        <v>2527.2</v>
      </c>
      <c r="H10505" s="29" t="n">
        <f aca="false">pace</f>
        <v>2527.2</v>
      </c>
      <c r="I10505" s="29" t="n">
        <f aca="false">pace+(g_tv*Sens!H10506-pace)*MIN(1,(Sens!I10504-pace_y0)/(pace_y1-pace_y0))</f>
        <v>1793.116</v>
      </c>
      <c r="J10505" s="29" t="n">
        <f aca="false">pace+(g_tv*Sens!I10506-pace)*MIN(1,(Sens!J10504-pace_y0)/(pace_y1-pace_y0))</f>
        <v>1094.89432</v>
      </c>
      <c r="K10505" s="29" t="n">
        <f aca="false">pace+(g_tv*Sens!J10506-pace)*MIN(1,(Sens!K10504-pace_y0)/(pace_y1-pace_y0))</f>
        <v>411.5883096</v>
      </c>
      <c r="L10505" s="11" t="s">
        <v>810</v>
      </c>
    </row>
    <row r="10506" customFormat="false" ht="17.15" hidden="false" customHeight="false" outlineLevel="0" collapsed="false">
      <c r="A10506" s="1" t="s">
        <v>811</v>
      </c>
      <c r="B10506" s="0" t="s">
        <v>399</v>
      </c>
      <c r="C10506" s="29" t="n">
        <f aca="false">mw_ext_24</f>
        <v>640</v>
      </c>
      <c r="D10506" s="29" t="n">
        <f aca="false">mw_ext_25</f>
        <v>1630</v>
      </c>
      <c r="E10506" s="29" t="n">
        <f aca="false">mw_ext_26</f>
        <v>3250</v>
      </c>
      <c r="F10506" s="29" t="n">
        <f aca="false">Sens!E10506+Sens!F10505</f>
        <v>5777.2</v>
      </c>
      <c r="G10506" s="29" t="n">
        <f aca="false">Sens!F10506+Sens!G10505</f>
        <v>8304.4</v>
      </c>
      <c r="H10506" s="29" t="n">
        <f aca="false">Sens!G10506+Sens!H10505</f>
        <v>10831.6</v>
      </c>
      <c r="I10506" s="29" t="n">
        <f aca="false">Sens!H10506+Sens!I10505</f>
        <v>12624.716</v>
      </c>
      <c r="J10506" s="29" t="n">
        <f aca="false">Sens!I10506+Sens!J10505</f>
        <v>13719.61032</v>
      </c>
      <c r="K10506" s="29" t="n">
        <f aca="false">Sens!J10506+Sens!K10505</f>
        <v>14131.1986296</v>
      </c>
      <c r="L10506" s="1" t="s">
        <v>812</v>
      </c>
    </row>
    <row r="10507" customFormat="false" ht="17.15" hidden="false" customHeight="false" outlineLevel="0" collapsed="false">
      <c r="A10507" s="1" t="s">
        <v>813</v>
      </c>
      <c r="B10507" s="0" t="s">
        <v>399</v>
      </c>
      <c r="C10507" s="29" t="n">
        <f aca="false">rent_ext_24</f>
        <v>150</v>
      </c>
      <c r="D10507" s="29" t="n">
        <f aca="false">rent_ext_25</f>
        <v>400</v>
      </c>
      <c r="E10507" s="29" t="n">
        <f aca="false">rent_ext_26</f>
        <v>550</v>
      </c>
      <c r="F10507" s="29" t="n">
        <f aca="false">rent_ext_f</f>
        <v>756</v>
      </c>
      <c r="G10507" s="29" t="n">
        <f aca="false">rent_ext_f</f>
        <v>756</v>
      </c>
      <c r="H10507" s="29" t="n">
        <f aca="false">rent_ext_f</f>
        <v>756</v>
      </c>
      <c r="I10507" s="29" t="n">
        <f aca="false">rent_ext_f</f>
        <v>756</v>
      </c>
      <c r="J10507" s="29" t="n">
        <f aca="false">rent_ext_f</f>
        <v>756</v>
      </c>
      <c r="K10507" s="29" t="n">
        <f aca="false">rent_ext_f</f>
        <v>756</v>
      </c>
      <c r="L10507" s="1" t="s">
        <v>814</v>
      </c>
    </row>
    <row r="10508" customFormat="false" ht="17.15" hidden="false" customHeight="false" outlineLevel="0" collapsed="false">
      <c r="A10508" s="1" t="s">
        <v>815</v>
      </c>
      <c r="B10508" s="0" t="s">
        <v>399</v>
      </c>
      <c r="C10508" s="29" t="n">
        <f aca="false">Sens!C10506-Sens!C10507</f>
        <v>490</v>
      </c>
      <c r="D10508" s="29" t="n">
        <f aca="false">Sens!D10506-Sens!D10507</f>
        <v>1230</v>
      </c>
      <c r="E10508" s="29" t="n">
        <f aca="false">Sens!E10506-Sens!E10507</f>
        <v>2700</v>
      </c>
      <c r="F10508" s="29" t="n">
        <f aca="false">Sens!F10506-Sens!F10507</f>
        <v>5021.2</v>
      </c>
      <c r="G10508" s="29" t="n">
        <f aca="false">Sens!G10506-Sens!G10507</f>
        <v>7548.4</v>
      </c>
      <c r="H10508" s="29" t="n">
        <f aca="false">Sens!H10506-Sens!H10507</f>
        <v>10075.6</v>
      </c>
      <c r="I10508" s="29" t="n">
        <f aca="false">Sens!I10506-Sens!I10507</f>
        <v>11868.716</v>
      </c>
      <c r="J10508" s="29" t="n">
        <f aca="false">Sens!J10506-Sens!J10507</f>
        <v>12963.61032</v>
      </c>
      <c r="K10508" s="29" t="n">
        <f aca="false">Sens!K10506-Sens!K10507</f>
        <v>13375.1986296</v>
      </c>
    </row>
    <row r="10509" customFormat="false" ht="17.15" hidden="false" customHeight="false" outlineLevel="0" collapsed="false">
      <c r="A10509" s="1" t="s">
        <v>816</v>
      </c>
      <c r="B10509" s="0" t="s">
        <v>399</v>
      </c>
      <c r="C10509" s="29" t="n">
        <f aca="false">Sens!C10508/ext_sh</f>
        <v>816.666666666667</v>
      </c>
      <c r="D10509" s="29" t="n">
        <f aca="false">Sens!D10508/ext_sh</f>
        <v>2050</v>
      </c>
      <c r="E10509" s="29" t="n">
        <f aca="false">Sens!E10508/ext_sh</f>
        <v>4500</v>
      </c>
      <c r="F10509" s="29" t="n">
        <f aca="false">Sens!F10508/ext_sh</f>
        <v>8368.66666666667</v>
      </c>
      <c r="G10509" s="29" t="n">
        <f aca="false">Sens!G10508/ext_sh</f>
        <v>12580.6666666667</v>
      </c>
      <c r="H10509" s="29" t="n">
        <f aca="false">Sens!H10508/ext_sh</f>
        <v>16792.6666666667</v>
      </c>
      <c r="I10509" s="29" t="n">
        <f aca="false">Sens!I10508/ext_sh</f>
        <v>19781.1933333333</v>
      </c>
      <c r="J10509" s="29" t="n">
        <f aca="false">Sens!J10508/ext_sh</f>
        <v>21606.0172</v>
      </c>
      <c r="K10509" s="29" t="n">
        <f aca="false">Sens!K10508/ext_sh</f>
        <v>22291.997716</v>
      </c>
      <c r="L10509" s="1" t="s">
        <v>817</v>
      </c>
    </row>
    <row r="10510" customFormat="false" ht="17.15" hidden="false" customHeight="false" outlineLevel="0" collapsed="false">
      <c r="A10510" s="1" t="s">
        <v>818</v>
      </c>
      <c r="B10510" s="0" t="s">
        <v>399</v>
      </c>
      <c r="C10510" s="29" t="n">
        <f aca="false">Sens!C10509-Sens!C10508</f>
        <v>326.666666666667</v>
      </c>
      <c r="D10510" s="29" t="n">
        <f aca="false">Sens!D10509-Sens!D10508</f>
        <v>820</v>
      </c>
      <c r="E10510" s="29" t="n">
        <f aca="false">Sens!E10509-Sens!E10508</f>
        <v>1800</v>
      </c>
      <c r="F10510" s="29" t="n">
        <f aca="false">Sens!F10509-Sens!F10508</f>
        <v>3347.46666666667</v>
      </c>
      <c r="G10510" s="29" t="n">
        <f aca="false">Sens!G10509-Sens!G10508</f>
        <v>5032.26666666667</v>
      </c>
      <c r="H10510" s="29" t="n">
        <f aca="false">Sens!H10509-Sens!H10508</f>
        <v>6717.06666666667</v>
      </c>
      <c r="I10510" s="29" t="n">
        <f aca="false">Sens!I10509-Sens!I10508</f>
        <v>7912.47733333333</v>
      </c>
      <c r="J10510" s="29" t="n">
        <f aca="false">Sens!J10509-Sens!J10508</f>
        <v>8642.40688</v>
      </c>
      <c r="K10510" s="29" t="n">
        <f aca="false">Sens!K10509-Sens!K10508</f>
        <v>8916.7990864</v>
      </c>
    </row>
    <row r="10511" customFormat="false" ht="17.15" hidden="false" customHeight="false" outlineLevel="0" collapsed="false">
      <c r="A10511" s="1" t="s">
        <v>819</v>
      </c>
      <c r="B10511" s="0" t="s">
        <v>399</v>
      </c>
      <c r="C10511" s="29" t="n">
        <f aca="false">Sens!C10509</f>
        <v>816.666666666667</v>
      </c>
      <c r="D10511" s="29" t="n">
        <f aca="false">Sens!D10509-Sens!C10509</f>
        <v>1233.33333333333</v>
      </c>
      <c r="E10511" s="29" t="n">
        <f aca="false">Sens!E10509-Sens!D10509</f>
        <v>2450</v>
      </c>
      <c r="F10511" s="29" t="n">
        <f aca="false">Sens!F10509-Sens!E10509</f>
        <v>3868.66666666667</v>
      </c>
      <c r="G10511" s="29" t="n">
        <f aca="false">Sens!G10509-Sens!F10509</f>
        <v>4212</v>
      </c>
      <c r="H10511" s="29" t="n">
        <f aca="false">Sens!H10509-Sens!G10509</f>
        <v>4212</v>
      </c>
      <c r="I10511" s="29" t="n">
        <f aca="false">Sens!I10509-Sens!H10509</f>
        <v>2988.52666666667</v>
      </c>
      <c r="J10511" s="29" t="n">
        <f aca="false">Sens!J10509-Sens!I10509</f>
        <v>1824.82386666667</v>
      </c>
      <c r="K10511" s="29" t="n">
        <f aca="false">Sens!K10509-Sens!J10509</f>
        <v>685.980516</v>
      </c>
    </row>
    <row r="10512" customFormat="false" ht="17.15" hidden="false" customHeight="false" outlineLevel="0" collapsed="false">
      <c r="A10512" s="1" t="s">
        <v>820</v>
      </c>
      <c r="B10512" s="0" t="s">
        <v>399</v>
      </c>
      <c r="D10512" s="29" t="n">
        <f aca="false">Sens!D10506-Sens!C10506</f>
        <v>990</v>
      </c>
      <c r="E10512" s="29" t="n">
        <f aca="false">Sens!E10506-Sens!D10506</f>
        <v>1620</v>
      </c>
      <c r="F10512" s="29" t="n">
        <f aca="false">Sens!F10506-Sens!E10506</f>
        <v>2527.2</v>
      </c>
      <c r="G10512" s="29" t="n">
        <f aca="false">Sens!G10506-Sens!F10506</f>
        <v>2527.2</v>
      </c>
      <c r="H10512" s="29" t="n">
        <f aca="false">Sens!H10506-Sens!G10506</f>
        <v>2527.2</v>
      </c>
      <c r="I10512" s="29" t="n">
        <f aca="false">Sens!I10506-Sens!H10506</f>
        <v>1793.116</v>
      </c>
      <c r="J10512" s="29" t="n">
        <f aca="false">Sens!J10506-Sens!I10506</f>
        <v>1094.89432</v>
      </c>
      <c r="K10512" s="29" t="n">
        <f aca="false">Sens!K10506-Sens!J10506</f>
        <v>411.5883096</v>
      </c>
    </row>
    <row r="10513" customFormat="false" ht="17.15" hidden="false" customHeight="false" outlineLevel="0" collapsed="false">
      <c r="A10513" s="1" t="s">
        <v>821</v>
      </c>
      <c r="B10513" s="0" t="s">
        <v>399</v>
      </c>
      <c r="F10513" s="29" t="n">
        <f aca="false">Sens!F10530*ext_sh</f>
        <v>0</v>
      </c>
      <c r="G10513" s="29" t="n">
        <f aca="false">Sens!G10530*ext_sh</f>
        <v>0</v>
      </c>
      <c r="H10513" s="29" t="n">
        <f aca="false">Sens!H10530*ext_sh</f>
        <v>0</v>
      </c>
      <c r="I10513" s="29" t="n">
        <f aca="false">Sens!I10530*ext_sh</f>
        <v>490</v>
      </c>
      <c r="J10513" s="29" t="n">
        <f aca="false">Sens!J10530*ext_sh</f>
        <v>740</v>
      </c>
      <c r="K10513" s="29" t="n">
        <f aca="false">Sens!K10530*ext_sh</f>
        <v>1470</v>
      </c>
      <c r="L10513" s="1" t="s">
        <v>822</v>
      </c>
    </row>
    <row r="10514" customFormat="false" ht="17.15" hidden="false" customHeight="false" outlineLevel="0" collapsed="false">
      <c r="A10514" s="1" t="s">
        <v>823</v>
      </c>
      <c r="B10514" s="0" t="s">
        <v>399</v>
      </c>
      <c r="C10514" s="29" t="n">
        <f aca="false">mix_h*Sens!C10506</f>
        <v>128</v>
      </c>
      <c r="D10514" s="29" t="n">
        <f aca="false">mix_h*Sens!D10506</f>
        <v>326</v>
      </c>
      <c r="E10514" s="29" t="n">
        <f aca="false">mix_h*Sens!E10506</f>
        <v>650</v>
      </c>
      <c r="F10514" s="29" t="n">
        <f aca="false">Sens!E10514-Sens!F10513*mix_h</f>
        <v>650</v>
      </c>
      <c r="G10514" s="29" t="n">
        <f aca="false">Sens!F10514-Sens!G10513*mix_h</f>
        <v>650</v>
      </c>
      <c r="H10514" s="29" t="n">
        <f aca="false">Sens!G10514-Sens!H10513*mix_h</f>
        <v>650</v>
      </c>
      <c r="I10514" s="29" t="n">
        <f aca="false">Sens!H10514-Sens!I10513*mix_h</f>
        <v>552</v>
      </c>
      <c r="J10514" s="29" t="n">
        <f aca="false">Sens!I10514-Sens!J10513*mix_h</f>
        <v>404</v>
      </c>
      <c r="K10514" s="29" t="n">
        <f aca="false">Sens!J10514-Sens!K10513*mix_h</f>
        <v>110</v>
      </c>
    </row>
    <row r="10515" customFormat="false" ht="17.15" hidden="false" customHeight="false" outlineLevel="0" collapsed="false">
      <c r="A10515" s="1" t="s">
        <v>824</v>
      </c>
      <c r="B10515" s="0" t="s">
        <v>399</v>
      </c>
      <c r="C10515" s="29" t="n">
        <f aca="false">mix_g2*Sens!C10506</f>
        <v>288</v>
      </c>
      <c r="D10515" s="29" t="n">
        <f aca="false">mix_g2*Sens!D10506</f>
        <v>733.5</v>
      </c>
      <c r="E10515" s="29" t="n">
        <f aca="false">mix_g2*Sens!E10506</f>
        <v>1462.5</v>
      </c>
      <c r="F10515" s="29" t="n">
        <f aca="false">Sens!E10515-Sens!F10513*mix_g2</f>
        <v>1462.5</v>
      </c>
      <c r="G10515" s="29" t="n">
        <f aca="false">Sens!F10515-Sens!G10513*mix_g2</f>
        <v>1462.5</v>
      </c>
      <c r="H10515" s="29" t="n">
        <f aca="false">Sens!G10515-Sens!H10513*mix_g2</f>
        <v>1462.5</v>
      </c>
      <c r="I10515" s="29" t="n">
        <f aca="false">Sens!H10515-Sens!I10513*mix_g2</f>
        <v>1242</v>
      </c>
      <c r="J10515" s="29" t="n">
        <f aca="false">Sens!I10515-Sens!J10513*mix_g2</f>
        <v>909</v>
      </c>
      <c r="K10515" s="29" t="n">
        <f aca="false">Sens!J10515-Sens!K10513*mix_g2</f>
        <v>247.5</v>
      </c>
    </row>
    <row r="10516" customFormat="false" ht="17.15" hidden="false" customHeight="false" outlineLevel="0" collapsed="false">
      <c r="A10516" s="1" t="s">
        <v>825</v>
      </c>
      <c r="B10516" s="0" t="s">
        <v>399</v>
      </c>
      <c r="C10516" s="29" t="n">
        <f aca="false">mix_g3*Sens!C10506</f>
        <v>224</v>
      </c>
      <c r="D10516" s="29" t="n">
        <f aca="false">mix_g3*Sens!D10506</f>
        <v>570.5</v>
      </c>
      <c r="E10516" s="29" t="n">
        <f aca="false">mix_g3*Sens!E10506</f>
        <v>1137.5</v>
      </c>
      <c r="F10516" s="29" t="n">
        <f aca="false">Sens!E10516+(Sens!F10512+Sens!F10513)*a_g3_27-Sens!F10513*mix_g3</f>
        <v>2906.54</v>
      </c>
      <c r="G10516" s="29" t="n">
        <f aca="false">Sens!F10516+(Sens!G10512+Sens!G10513)*a_g3_28-Sens!G10513*mix_g3</f>
        <v>3664.7</v>
      </c>
      <c r="H10516" s="29" t="n">
        <f aca="false">Sens!G10516+(Sens!H10512+Sens!H10513)*a_g3_29-Sens!H10513*mix_g3</f>
        <v>3917.42</v>
      </c>
      <c r="I10516" s="29" t="n">
        <f aca="false">Sens!H10516+(Sens!I10512+Sens!I10513)*a_g3_29-Sens!I10513*mix_g3</f>
        <v>3974.2316</v>
      </c>
      <c r="J10516" s="29" t="n">
        <f aca="false">Sens!I10516+(Sens!J10512+Sens!J10513)*a_g3_29-Sens!J10513*mix_g3</f>
        <v>3898.721032</v>
      </c>
      <c r="K10516" s="29" t="n">
        <f aca="false">Sens!J10516+(Sens!K10512+Sens!K10513)*a_g3_29-Sens!K10513*mix_g3</f>
        <v>3572.37986296</v>
      </c>
    </row>
    <row r="10517" customFormat="false" ht="17.15" hidden="false" customHeight="false" outlineLevel="0" collapsed="false">
      <c r="A10517" s="1" t="s">
        <v>826</v>
      </c>
      <c r="B10517" s="0" t="s">
        <v>399</v>
      </c>
      <c r="C10517" s="29" t="n">
        <v>0</v>
      </c>
      <c r="D10517" s="29" t="n">
        <v>0</v>
      </c>
      <c r="E10517" s="29" t="n">
        <v>0</v>
      </c>
      <c r="F10517" s="29" t="n">
        <f aca="false">Sens!E10517+(Sens!F10512+Sens!F10513)*(1-a_g3_27)</f>
        <v>758.16</v>
      </c>
      <c r="G10517" s="29" t="n">
        <f aca="false">Sens!F10517+(Sens!G10512+Sens!G10513)*(1-a_g3_28)</f>
        <v>2527.2</v>
      </c>
      <c r="H10517" s="29" t="n">
        <f aca="false">Sens!G10517+(Sens!H10512+Sens!H10513)*(1-a_g3_29)</f>
        <v>4801.68</v>
      </c>
      <c r="I10517" s="29" t="n">
        <f aca="false">Sens!H10517+(Sens!I10512+Sens!I10513)*(1-a_g3_29)</f>
        <v>6856.4844</v>
      </c>
      <c r="J10517" s="29" t="n">
        <f aca="false">Sens!I10517+(Sens!J10512+Sens!J10513)*(1-a_g3_29)</f>
        <v>8507.889288</v>
      </c>
      <c r="K10517" s="29" t="n">
        <f aca="false">Sens!J10517+(Sens!K10512+Sens!K10513)*(1-a_g3_29)</f>
        <v>10201.31876664</v>
      </c>
    </row>
    <row r="10518" customFormat="false" ht="17.15" hidden="false" customHeight="false" outlineLevel="0" collapsed="false">
      <c r="A10518" s="1" t="s">
        <v>827</v>
      </c>
      <c r="B10518" s="0" t="s">
        <v>346</v>
      </c>
      <c r="C10518" s="14" t="n">
        <f aca="false">(Sens!C10514*tk_hold_h100+Sens!C10515*tk_hold_gb200+Sens!C10516*tk_hold_gb300+Sens!C10517*tk_hold_vr200)/Sens!C10506</f>
        <v>9.7235358126469</v>
      </c>
      <c r="D10518" s="14" t="n">
        <f aca="false">(Sens!D10514*tk_hold_h100+Sens!D10515*tk_hold_gb200+Sens!D10516*tk_hold_gb300+Sens!D10517*tk_hold_vr200)/Sens!D10506</f>
        <v>9.7235358126469</v>
      </c>
      <c r="E10518" s="14" t="n">
        <f aca="false">(Sens!E10514*tk_hold_h100+Sens!E10515*tk_hold_gb200+Sens!E10516*tk_hold_gb300+Sens!E10517*tk_hold_vr200)/Sens!E10506</f>
        <v>9.7235358126469</v>
      </c>
      <c r="F10518" s="14" t="n">
        <f aca="false">(Sens!F10514*tk_hold_h100+Sens!F10515*tk_hold_gb200+Sens!F10516*tk_hold_gb300+Sens!F10517*tk_hold_vr200)/Sens!F10506</f>
        <v>10.4079573161931</v>
      </c>
      <c r="G10518" s="14" t="n">
        <f aca="false">(Sens!G10514*tk_hold_h100+Sens!G10515*tk_hold_gb200+Sens!G10516*tk_hold_gb300+Sens!G10517*tk_hold_vr200)/Sens!G10506</f>
        <v>10.8388131109316</v>
      </c>
      <c r="H10518" s="14" t="n">
        <f aca="false">(Sens!H10514*tk_hold_h100+Sens!H10515*tk_hold_gb200+Sens!H10516*tk_hold_gb300+Sens!H10517*tk_hold_vr200)/Sens!H10506</f>
        <v>11.1311018388216</v>
      </c>
      <c r="I10518" s="14" t="n">
        <f aca="false">(Sens!I10514*tk_hold_h100+Sens!I10515*tk_hold_gb200+Sens!I10516*tk_hold_gb300+Sens!I10517*tk_hold_vr200)/Sens!I10506</f>
        <v>11.3594282560989</v>
      </c>
      <c r="J10518" s="14" t="n">
        <f aca="false">(Sens!J10514*tk_hold_h100+Sens!J10515*tk_hold_gb200+Sens!J10516*tk_hold_gb300+Sens!J10517*tk_hold_vr200)/Sens!J10506</f>
        <v>11.5455817917599</v>
      </c>
      <c r="K10518" s="14" t="n">
        <f aca="false">(Sens!K10514*tk_hold_h100+Sens!K10515*tk_hold_gb200+Sens!K10516*tk_hold_gb300+Sens!K10517*tk_hold_vr200)/Sens!K10506</f>
        <v>11.8078187977246</v>
      </c>
    </row>
    <row r="10519" customFormat="false" ht="17.15" hidden="false" customHeight="false" outlineLevel="0" collapsed="false">
      <c r="A10519" s="0" t="s">
        <v>828</v>
      </c>
      <c r="B10519" s="0" t="s">
        <v>185</v>
      </c>
      <c r="C10519" s="14" t="n">
        <f aca="false">k_B</f>
        <v>1.17213932619116</v>
      </c>
      <c r="D10519" s="14" t="n">
        <f aca="false">k_B</f>
        <v>1.17213932619116</v>
      </c>
      <c r="E10519" s="14" t="n">
        <f aca="false">k_B</f>
        <v>1.17213932619116</v>
      </c>
      <c r="F10519" s="14" t="n">
        <f aca="false">(k_B+((ls_A*k_long+(1-ls_A)*k_spot)-k_B)*MIN(1,(Sens!F10504-base_fy)/k_ramp))</f>
        <v>1.25022828131298</v>
      </c>
      <c r="G10519" s="14" t="n">
        <f aca="false">(k_B+((ls_A*k_long+(1-ls_A)*k_spot)-k_B)*MIN(1,(Sens!G10504-base_fy)/k_ramp))</f>
        <v>1.3283172364348</v>
      </c>
      <c r="H10519" s="14" t="n">
        <f aca="false">(k_B+((ls_A*k_long+(1-ls_A)*k_spot)-k_B)*MIN(1,(Sens!H10504-base_fy)/k_ramp))</f>
        <v>1.40640619155662</v>
      </c>
      <c r="I10519" s="14" t="n">
        <f aca="false">(k_B+((ls_A*k_long+(1-ls_A)*k_spot)-k_B)*MIN(1,(Sens!I10504-base_fy)/k_ramp))</f>
        <v>1.40640619155662</v>
      </c>
      <c r="J10519" s="14" t="n">
        <f aca="false">(k_B+((ls_A*k_long+(1-ls_A)*k_spot)-k_B)*MIN(1,(Sens!J10504-base_fy)/k_ramp))</f>
        <v>1.40640619155662</v>
      </c>
      <c r="K10519" s="14" t="n">
        <f aca="false">(k_B+((ls_A*k_long+(1-ls_A)*k_spot)-k_B)*MIN(1,(Sens!K10504-base_fy)/k_ramp))</f>
        <v>1.40640619155662</v>
      </c>
      <c r="L10519" s="1" t="s">
        <v>829</v>
      </c>
    </row>
    <row r="10520" customFormat="false" ht="17.15" hidden="false" customHeight="false" outlineLevel="0" collapsed="false">
      <c r="A10520" s="1" t="s">
        <v>830</v>
      </c>
      <c r="B10520" s="0" t="s">
        <v>346</v>
      </c>
      <c r="C10520" s="14" t="n">
        <f aca="false">Sens!C10518*Sens!C10519*chip_f</f>
        <v>11.3973387156315</v>
      </c>
      <c r="D10520" s="14" t="n">
        <f aca="false">Sens!D10518*Sens!D10519*chip_f</f>
        <v>11.3973387156315</v>
      </c>
      <c r="E10520" s="14" t="n">
        <f aca="false">Sens!E10518*Sens!E10519*chip_f</f>
        <v>11.3973387156315</v>
      </c>
      <c r="F10520" s="14" t="n">
        <f aca="false">Sens!F10518*Sens!F10519*chip_f</f>
        <v>13.0123225874029</v>
      </c>
      <c r="G10520" s="14" t="n">
        <f aca="false">Sens!G10518*Sens!G10519*chip_f</f>
        <v>14.3973822777458</v>
      </c>
      <c r="H10520" s="14" t="n">
        <f aca="false">Sens!H10518*Sens!H10519*chip_f</f>
        <v>15.6548505449659</v>
      </c>
      <c r="I10520" s="14" t="n">
        <f aca="false">Sens!I10518*Sens!I10519*chip_f</f>
        <v>15.9759702319207</v>
      </c>
      <c r="J10520" s="14" t="n">
        <f aca="false">Sens!J10518*Sens!J10519*chip_f</f>
        <v>16.2377777170545</v>
      </c>
      <c r="K10520" s="14" t="n">
        <f aca="false">Sens!K10518*Sens!K10519*chip_f</f>
        <v>16.6065894658985</v>
      </c>
      <c r="L10520" s="1" t="s">
        <v>831</v>
      </c>
    </row>
    <row r="10521" customFormat="false" ht="17.15" hidden="false" customHeight="false" outlineLevel="0" collapsed="false">
      <c r="A10521" s="0" t="s">
        <v>832</v>
      </c>
      <c r="B10521" s="0" t="s">
        <v>98</v>
      </c>
      <c r="D10521" s="6" t="n">
        <f aca="false">(Sens!C10506+Sens!D10506)/2*Sens!D10520/1000</f>
        <v>12.9359794422418</v>
      </c>
      <c r="E10521" s="6" t="n">
        <f aca="false">(Sens!D10506+Sens!E10506)/2*Sens!E10520/1000</f>
        <v>27.8095064661409</v>
      </c>
      <c r="F10521" s="6" t="n">
        <f aca="false">(Sens!E10506+Sens!F10506)/2*Sens!F10520/1000</f>
        <v>58.7324192305018</v>
      </c>
      <c r="G10521" s="6" t="n">
        <f aca="false">(Sens!F10506+Sens!G10506)/2*Sens!G10520/1000</f>
        <v>101.369089141153</v>
      </c>
      <c r="H10521" s="6" t="n">
        <f aca="false">(Sens!G10506+Sens!H10506)/2*Sens!H10520/1000</f>
        <v>149.785610014234</v>
      </c>
      <c r="I10521" s="6" t="n">
        <f aca="false">(Sens!H10506+Sens!I10506)/2*Sens!I10520/1000</f>
        <v>187.368703083263</v>
      </c>
      <c r="J10521" s="6" t="n">
        <f aca="false">(Sens!I10506+Sens!J10506)/2*Sens!J10520/1000</f>
        <v>213.886657444854</v>
      </c>
      <c r="K10521" s="6" t="n">
        <f aca="false">(Sens!J10506+Sens!K10506)/2*Sens!K10520/1000</f>
        <v>231.253475259589</v>
      </c>
      <c r="L10521" s="11" t="s">
        <v>833</v>
      </c>
    </row>
    <row r="10522" customFormat="false" ht="17.15" hidden="false" customHeight="false" outlineLevel="0" collapsed="false">
      <c r="A10522" s="1" t="s">
        <v>834</v>
      </c>
      <c r="B10522" s="0" t="s">
        <v>346</v>
      </c>
      <c r="C10522" s="14" t="n">
        <f aca="false">(Sens!C10514*tk_opex_h100+Sens!C10515*tk_opex_gb200+Sens!C10516*tk_opex_gb300+Sens!C10517*tk_opex_vr200)/Sens!C10506</f>
        <v>1.88636041306092</v>
      </c>
      <c r="D10522" s="14" t="n">
        <f aca="false">(Sens!D10514*tk_opex_h100+Sens!D10515*tk_opex_gb200+Sens!D10516*tk_opex_gb300+Sens!D10517*tk_opex_vr200)/Sens!D10506</f>
        <v>1.88636041306092</v>
      </c>
      <c r="E10522" s="14" t="n">
        <f aca="false">(Sens!E10514*tk_opex_h100+Sens!E10515*tk_opex_gb200+Sens!E10516*tk_opex_gb300+Sens!E10517*tk_opex_vr200)/Sens!E10506</f>
        <v>1.88636041306092</v>
      </c>
      <c r="F10522" s="14" t="n">
        <f aca="false">(Sens!F10514*tk_opex_h100+Sens!F10515*tk_opex_gb200+Sens!F10516*tk_opex_gb300+Sens!F10517*tk_opex_vr200)/Sens!F10506</f>
        <v>1.9430236476499</v>
      </c>
      <c r="G10522" s="14" t="n">
        <f aca="false">(Sens!G10514*tk_opex_h100+Sens!G10515*tk_opex_gb200+Sens!G10516*tk_opex_gb300+Sens!G10517*tk_opex_vr200)/Sens!G10506</f>
        <v>1.9786941852423</v>
      </c>
      <c r="H10522" s="14" t="n">
        <f aca="false">(Sens!H10514*tk_opex_h100+Sens!H10515*tk_opex_gb200+Sens!H10516*tk_opex_gb300+Sens!H10517*tk_opex_vr200)/Sens!H10506</f>
        <v>2.00289275976156</v>
      </c>
      <c r="I10522" s="14" t="n">
        <f aca="false">(Sens!I10514*tk_opex_h100+Sens!I10515*tk_opex_gb200+Sens!I10516*tk_opex_gb300+Sens!I10517*tk_opex_vr200)/Sens!I10506</f>
        <v>2.02179589661219</v>
      </c>
      <c r="J10522" s="14" t="n">
        <f aca="false">(Sens!J10514*tk_opex_h100+Sens!J10515*tk_opex_gb200+Sens!J10516*tk_opex_gb300+Sens!J10517*tk_opex_vr200)/Sens!J10506</f>
        <v>2.03720754193029</v>
      </c>
      <c r="K10522" s="14" t="n">
        <f aca="false">(Sens!K10514*tk_opex_h100+Sens!K10515*tk_opex_gb200+Sens!K10516*tk_opex_gb300+Sens!K10517*tk_opex_vr200)/Sens!K10506</f>
        <v>2.0589181353437</v>
      </c>
    </row>
    <row r="10523" customFormat="false" ht="17.15" hidden="false" customHeight="false" outlineLevel="0" collapsed="false">
      <c r="A10523" s="0" t="s">
        <v>835</v>
      </c>
      <c r="B10523" s="0" t="s">
        <v>98</v>
      </c>
      <c r="D10523" s="6" t="n">
        <f aca="false">(Sens!C10509+Sens!D10509)/2*Sens!D10522/1000</f>
        <v>2.70378325872065</v>
      </c>
      <c r="E10523" s="6" t="n">
        <f aca="false">(Sens!D10509+Sens!E10509)/2*Sens!E10522/1000</f>
        <v>6.17783035277451</v>
      </c>
      <c r="F10523" s="6" t="n">
        <f aca="false">(Sens!E10509+Sens!F10509)/2*Sens!F10522/1000</f>
        <v>12.5020618235287</v>
      </c>
      <c r="G10523" s="6" t="n">
        <f aca="false">(Sens!F10509+Sens!G10509)/2*Sens!G10522/1000</f>
        <v>20.7261620256847</v>
      </c>
      <c r="H10523" s="6" t="n">
        <f aca="false">(Sens!G10509+Sens!H10509)/2*Sens!H10522/1000</f>
        <v>29.4158183316982</v>
      </c>
      <c r="I10523" s="6" t="n">
        <f aca="false">(Sens!H10509+Sens!I10509)/2*Sens!I10522/1000</f>
        <v>36.9724400356344</v>
      </c>
      <c r="J10523" s="6" t="n">
        <f aca="false">(Sens!I10509+Sens!J10509)/2*Sens!J10522/1000</f>
        <v>42.1571687189816</v>
      </c>
      <c r="K10523" s="6" t="n">
        <f aca="false">(Sens!J10509+Sens!K10509)/2*Sens!K10522/1000</f>
        <v>45.1912095080704</v>
      </c>
    </row>
    <row r="10524" customFormat="false" ht="17.15" hidden="false" customHeight="false" outlineLevel="0" collapsed="false">
      <c r="A10524" s="0" t="s">
        <v>836</v>
      </c>
      <c r="B10524" s="0" t="s">
        <v>98</v>
      </c>
      <c r="D10524" s="6" t="n">
        <f aca="false">(Sens!C10507+Sens!D10507)/2*rent_mw/1000</f>
        <v>2.44475</v>
      </c>
      <c r="E10524" s="6" t="n">
        <f aca="false">(Sens!D10507+Sens!E10507)/2*rent_mw/1000</f>
        <v>4.22275</v>
      </c>
      <c r="F10524" s="6" t="n">
        <f aca="false">(Sens!E10507+Sens!F10507)/2*rent_mw/1000</f>
        <v>5.80517</v>
      </c>
      <c r="G10524" s="6" t="n">
        <f aca="false">(Sens!F10507+Sens!G10507)/2*rent_mw/1000</f>
        <v>6.72084</v>
      </c>
      <c r="H10524" s="6" t="n">
        <f aca="false">(Sens!G10507+Sens!H10507)/2*rent_mw/1000</f>
        <v>6.72084</v>
      </c>
      <c r="I10524" s="6" t="n">
        <f aca="false">(Sens!H10507+Sens!I10507)/2*rent_mw/1000</f>
        <v>6.72084</v>
      </c>
      <c r="J10524" s="6" t="n">
        <f aca="false">(Sens!I10507+Sens!J10507)/2*rent_mw/1000</f>
        <v>6.72084</v>
      </c>
      <c r="K10524" s="6" t="n">
        <f aca="false">(Sens!J10507+Sens!K10507)/2*rent_mw/1000</f>
        <v>6.72084</v>
      </c>
    </row>
    <row r="10525" customFormat="false" ht="17.15" hidden="false" customHeight="false" outlineLevel="0" collapsed="false">
      <c r="A10525" s="0" t="s">
        <v>837</v>
      </c>
      <c r="B10525" s="0" t="s">
        <v>98</v>
      </c>
      <c r="D10525" s="6" t="n">
        <f aca="false">(Sens!C10509+Sens!D10509)/2*(1-self_build)*fac_rent/1000</f>
        <v>0.853242375631075</v>
      </c>
      <c r="E10525" s="6" t="n">
        <f aca="false">(Sens!D10509+Sens!E10509)/2*(1-self_build)*fac_rent/1000</f>
        <v>1.94955961408728</v>
      </c>
      <c r="F10525" s="6" t="n">
        <f aca="false">(Sens!E10509+Sens!F10509)/2*(1-self_build)*fac_rent/1000</f>
        <v>3.83026455274573</v>
      </c>
      <c r="G10525" s="6" t="n">
        <f aca="false">(Sens!F10509+Sens!G10509)/2*(1-self_build)*fac_rent/1000</f>
        <v>6.23541590972812</v>
      </c>
      <c r="H10525" s="6" t="n">
        <f aca="false">(Sens!G10509+Sens!H10509)/2*(1-self_build)*fac_rent/1000</f>
        <v>8.74275792332679</v>
      </c>
      <c r="I10525" s="6" t="n">
        <f aca="false">(Sens!H10509+Sens!I10509)/2*(1-self_build)*fac_rent/1000</f>
        <v>10.8859420438599</v>
      </c>
      <c r="J10525" s="6" t="n">
        <f aca="false">(Sens!I10509+Sens!J10509)/2*(1-self_build)*fac_rent/1000</f>
        <v>12.3186006405366</v>
      </c>
      <c r="K10525" s="6" t="n">
        <f aca="false">(Sens!J10509+Sens!K10509)/2*(1-self_build)*fac_rent/1000</f>
        <v>13.0659232089824</v>
      </c>
      <c r="L10525" s="11" t="s">
        <v>838</v>
      </c>
    </row>
    <row r="10526" customFormat="false" ht="17.15" hidden="false" customHeight="false" outlineLevel="0" collapsed="false">
      <c r="A10526" s="1" t="s">
        <v>839</v>
      </c>
      <c r="B10526" s="0" t="s">
        <v>129</v>
      </c>
      <c r="D10526" s="7" t="n">
        <f aca="false">(Sens!C10508+Sens!D10508)/(Sens!C10509+Sens!D10509)</f>
        <v>0.6</v>
      </c>
      <c r="E10526" s="7" t="n">
        <f aca="false">(Sens!D10508+Sens!E10508)/(Sens!D10509+Sens!E10509)</f>
        <v>0.6</v>
      </c>
      <c r="F10526" s="7" t="n">
        <f aca="false">(Sens!E10508+Sens!F10508)/(Sens!E10509+Sens!F10509)</f>
        <v>0.6</v>
      </c>
      <c r="G10526" s="7" t="n">
        <f aca="false">(Sens!F10508+Sens!G10508)/(Sens!F10509+Sens!G10509)</f>
        <v>0.6</v>
      </c>
      <c r="H10526" s="7" t="n">
        <f aca="false">(Sens!G10508+Sens!H10508)/(Sens!G10509+Sens!H10509)</f>
        <v>0.6</v>
      </c>
      <c r="I10526" s="7" t="n">
        <f aca="false">(Sens!H10508+Sens!I10508)/(Sens!H10509+Sens!I10509)</f>
        <v>0.6</v>
      </c>
      <c r="J10526" s="7" t="n">
        <f aca="false">(Sens!I10508+Sens!J10508)/(Sens!I10509+Sens!J10509)</f>
        <v>0.6</v>
      </c>
      <c r="K10526" s="7" t="n">
        <f aca="false">(Sens!J10508+Sens!K10508)/(Sens!J10509+Sens!K10509)</f>
        <v>0.6</v>
      </c>
    </row>
    <row r="10527" customFormat="false" ht="17.15" hidden="false" customHeight="false" outlineLevel="0" collapsed="false">
      <c r="A10527" s="0" t="s">
        <v>840</v>
      </c>
      <c r="B10527" s="0" t="s">
        <v>98</v>
      </c>
      <c r="D10527" s="6" t="n">
        <f aca="false">Sens!D10521-Sens!D10526*(Sens!D10523+Sens!D10525)-Sens!D10524</f>
        <v>8.35701406163072</v>
      </c>
      <c r="E10527" s="6" t="n">
        <f aca="false">Sens!E10521-Sens!E10526*(Sens!E10523+Sens!E10525)-Sens!E10524</f>
        <v>18.7103224860238</v>
      </c>
      <c r="F10527" s="6" t="n">
        <f aca="false">Sens!F10521-Sens!F10526*(Sens!F10523+Sens!F10525)-Sens!F10524</f>
        <v>43.1278534047371</v>
      </c>
      <c r="G10527" s="6" t="n">
        <f aca="false">Sens!G10521-Sens!G10526*(Sens!G10523+Sens!G10525)-Sens!G10524</f>
        <v>78.4713023799053</v>
      </c>
      <c r="H10527" s="6" t="n">
        <f aca="false">Sens!H10521-Sens!H10526*(Sens!H10523+Sens!H10525)-Sens!H10524</f>
        <v>120.169624261219</v>
      </c>
      <c r="I10527" s="6" t="n">
        <f aca="false">Sens!I10521-Sens!I10526*(Sens!I10523+Sens!I10525)-Sens!I10524</f>
        <v>151.932833835566</v>
      </c>
      <c r="J10527" s="6" t="n">
        <f aca="false">Sens!J10521-Sens!J10526*(Sens!J10523+Sens!J10525)-Sens!J10524</f>
        <v>174.480355829143</v>
      </c>
      <c r="K10527" s="6" t="n">
        <f aca="false">Sens!K10521-Sens!K10526*(Sens!K10523+Sens!K10525)-Sens!K10524</f>
        <v>189.578355629358</v>
      </c>
    </row>
    <row r="10528" customFormat="false" ht="17.15" hidden="false" customHeight="false" outlineLevel="0" collapsed="false">
      <c r="A10528" s="1" t="s">
        <v>841</v>
      </c>
      <c r="B10528" s="0" t="s">
        <v>98</v>
      </c>
      <c r="D10528" s="6" t="n">
        <f aca="false">(1-Sens!D10526)*(Sens!D10523+Sens!D10525)</f>
        <v>1.42281025374069</v>
      </c>
      <c r="E10528" s="6" t="n">
        <f aca="false">(1-Sens!E10526)*(Sens!E10523+Sens!E10525)</f>
        <v>3.25095598674472</v>
      </c>
      <c r="F10528" s="6" t="n">
        <f aca="false">(1-Sens!F10526)*(Sens!F10523+Sens!F10525)</f>
        <v>6.53293055050977</v>
      </c>
      <c r="G10528" s="6" t="n">
        <f aca="false">(1-Sens!G10526)*(Sens!G10523+Sens!G10525)</f>
        <v>10.7846311741651</v>
      </c>
      <c r="H10528" s="6" t="n">
        <f aca="false">(1-Sens!H10526)*(Sens!H10523+Sens!H10525)</f>
        <v>15.26343050201</v>
      </c>
      <c r="I10528" s="6" t="n">
        <f aca="false">(1-Sens!I10526)*(Sens!I10523+Sens!I10525)</f>
        <v>19.1433528317977</v>
      </c>
      <c r="J10528" s="6" t="n">
        <f aca="false">(1-Sens!J10526)*(Sens!J10523+Sens!J10525)</f>
        <v>21.7903077438073</v>
      </c>
      <c r="K10528" s="6" t="n">
        <f aca="false">(1-Sens!K10526)*(Sens!K10523+Sens!K10525)</f>
        <v>23.3028530868211</v>
      </c>
    </row>
    <row r="10529" customFormat="false" ht="17.15" hidden="false" customHeight="false" outlineLevel="0" collapsed="false">
      <c r="A10529" s="1" t="s">
        <v>842</v>
      </c>
      <c r="B10529" s="0" t="s">
        <v>357</v>
      </c>
      <c r="C10529" s="8" t="n">
        <f aca="false">cxit_open</f>
        <v>27.5918995</v>
      </c>
      <c r="D10529" s="8" t="n">
        <f aca="false">cxit_open</f>
        <v>27.5918995</v>
      </c>
      <c r="E10529" s="8" t="n">
        <f aca="false">cxit_open</f>
        <v>27.5918995</v>
      </c>
      <c r="F10529" s="8" t="n">
        <f aca="false">(a_g3_27*tk_cxit_gb300+(1-a_g3_27)*tk_cxit_vr200)</f>
        <v>33.8419624</v>
      </c>
      <c r="G10529" s="8" t="n">
        <f aca="false">(a_g3_28*tk_cxit_gb300+(1-a_g3_28)*tk_cxit_vr200)</f>
        <v>35.9816136</v>
      </c>
      <c r="H10529" s="8" t="n">
        <f aca="false">(a_g3_29*tk_cxit_gb300+(1-a_g3_29)*tk_cxit_vr200)</f>
        <v>37.0514392</v>
      </c>
      <c r="I10529" s="8" t="n">
        <f aca="false">(a_g3_29*tk_cxit_gb300+(1-a_g3_29)*tk_cxit_vr200)</f>
        <v>37.0514392</v>
      </c>
      <c r="J10529" s="8" t="n">
        <f aca="false">(a_g3_29*tk_cxit_gb300+(1-a_g3_29)*tk_cxit_vr200)</f>
        <v>37.0514392</v>
      </c>
      <c r="K10529" s="8" t="n">
        <f aca="false">(a_g3_29*tk_cxit_gb300+(1-a_g3_29)*tk_cxit_vr200)</f>
        <v>37.0514392</v>
      </c>
      <c r="L10529" s="11" t="s">
        <v>843</v>
      </c>
    </row>
    <row r="10530" customFormat="false" ht="17.15" hidden="false" customHeight="false" outlineLevel="0" collapsed="false">
      <c r="A10530" s="0" t="s">
        <v>844</v>
      </c>
      <c r="B10530" s="0" t="s">
        <v>399</v>
      </c>
      <c r="F10530" s="29" t="n">
        <f aca="false">Sens!C10511*IF(Sens!F10504-Sens!C10504=life_it,1,0)+Sens!D10511*IF(Sens!F10504-Sens!D10504=life_it,1,0)+Sens!E10511*IF(Sens!F10504-Sens!E10504=life_it,1,0)</f>
        <v>0</v>
      </c>
      <c r="G10530" s="29" t="n">
        <f aca="false">Sens!C10511*IF(Sens!G10504-Sens!C10504=life_it,1,0)+Sens!D10511*IF(Sens!G10504-Sens!D10504=life_it,1,0)+Sens!E10511*IF(Sens!G10504-Sens!E10504=life_it,1,0)+Sens!F10511*IF(Sens!G10504-Sens!F10504=life_it,1,0)</f>
        <v>0</v>
      </c>
      <c r="H10530" s="29" t="n">
        <f aca="false">Sens!C10511*IF(Sens!H10504-Sens!C10504=life_it,1,0)+Sens!D10511*IF(Sens!H10504-Sens!D10504=life_it,1,0)+Sens!E10511*IF(Sens!H10504-Sens!E10504=life_it,1,0)+Sens!F10511*IF(Sens!H10504-Sens!F10504=life_it,1,0)+Sens!G10511*IF(Sens!H10504-Sens!G10504=life_it,1,0)</f>
        <v>0</v>
      </c>
      <c r="I10530" s="29" t="n">
        <f aca="false">Sens!C10511*IF(Sens!I10504-Sens!C10504=life_it,1,0)+Sens!D10511*IF(Sens!I10504-Sens!D10504=life_it,1,0)+Sens!E10511*IF(Sens!I10504-Sens!E10504=life_it,1,0)+Sens!F10511*IF(Sens!I10504-Sens!F10504=life_it,1,0)+Sens!G10511*IF(Sens!I10504-Sens!G10504=life_it,1,0)+Sens!H10511*IF(Sens!I10504-Sens!H10504=life_it,1,0)</f>
        <v>816.666666666667</v>
      </c>
      <c r="J10530" s="29" t="n">
        <f aca="false">Sens!C10511*IF(Sens!J10504-Sens!C10504=life_it,1,0)+Sens!D10511*IF(Sens!J10504-Sens!D10504=life_it,1,0)+Sens!E10511*IF(Sens!J10504-Sens!E10504=life_it,1,0)+Sens!F10511*IF(Sens!J10504-Sens!F10504=life_it,1,0)+Sens!G10511*IF(Sens!J10504-Sens!G10504=life_it,1,0)+Sens!H10511*IF(Sens!J10504-Sens!H10504=life_it,1,0)+Sens!I10511*IF(Sens!J10504-Sens!I10504=life_it,1,0)</f>
        <v>1233.33333333333</v>
      </c>
      <c r="K10530" s="29" t="n">
        <f aca="false">Sens!C10511*IF(Sens!K10504-Sens!C10504=life_it,1,0)+Sens!D10511*IF(Sens!K10504-Sens!D10504=life_it,1,0)+Sens!E10511*IF(Sens!K10504-Sens!E10504=life_it,1,0)+Sens!F10511*IF(Sens!K10504-Sens!F10504=life_it,1,0)+Sens!G10511*IF(Sens!K10504-Sens!G10504=life_it,1,0)+Sens!H10511*IF(Sens!K10504-Sens!H10504=life_it,1,0)+Sens!I10511*IF(Sens!K10504-Sens!I10504=life_it,1,0)+Sens!J10511*IF(Sens!K10504-Sens!J10504=life_it,1,0)</f>
        <v>2450</v>
      </c>
      <c r="L10530" s="1" t="s">
        <v>845</v>
      </c>
    </row>
    <row r="10531" customFormat="false" ht="17.15" hidden="false" customHeight="false" outlineLevel="0" collapsed="false">
      <c r="A10531" s="0" t="s">
        <v>846</v>
      </c>
      <c r="B10531" s="0" t="s">
        <v>98</v>
      </c>
      <c r="C10531" s="6" t="n">
        <f aca="false">Sens!C10511*Sens!C10529/1000</f>
        <v>22.5333845916667</v>
      </c>
      <c r="D10531" s="6" t="n">
        <f aca="false">Sens!D10511*Sens!D10529/1000</f>
        <v>34.0300093833333</v>
      </c>
      <c r="E10531" s="6" t="n">
        <f aca="false">Sens!E10511*Sens!E10529/1000</f>
        <v>67.600153775</v>
      </c>
      <c r="F10531" s="6" t="n">
        <f aca="false">(Sens!F10511+Sens!F10530)*Sens!F10529/1000</f>
        <v>130.923271871467</v>
      </c>
      <c r="G10531" s="6" t="n">
        <f aca="false">(Sens!G10511+Sens!G10530)*Sens!G10529/1000</f>
        <v>151.5545564832</v>
      </c>
      <c r="H10531" s="6" t="n">
        <f aca="false">(Sens!H10511+Sens!H10530)*Sens!H10529/1000</f>
        <v>156.0606619104</v>
      </c>
      <c r="I10531" s="6" t="n">
        <f aca="false">(Sens!I10511+Sens!I10530)*Sens!I10529/1000</f>
        <v>140.987889434245</v>
      </c>
      <c r="J10531" s="6" t="n">
        <f aca="false">(Sens!J10511+Sens!J10530)*Sens!J10529/1000</f>
        <v>113.309125559842</v>
      </c>
      <c r="K10531" s="6" t="n">
        <f aca="false">(Sens!K10511+Sens!K10530)*Sens!K10529/1000</f>
        <v>116.192591420959</v>
      </c>
    </row>
    <row r="10532" customFormat="false" ht="17.15" hidden="false" customHeight="false" outlineLevel="0" collapsed="false">
      <c r="A10532" s="0" t="s">
        <v>847</v>
      </c>
      <c r="B10532" s="0" t="s">
        <v>98</v>
      </c>
      <c r="C10532" s="6" t="n">
        <f aca="false">Sens!C10511*self_build*tk_cxfac/1000</f>
        <v>6.2083</v>
      </c>
      <c r="D10532" s="6" t="n">
        <f aca="false">Sens!D10511*self_build*tk_cxfac/1000</f>
        <v>9.3758</v>
      </c>
      <c r="E10532" s="6" t="n">
        <f aca="false">Sens!E10511*self_build*tk_cxfac/1000</f>
        <v>18.6249</v>
      </c>
      <c r="F10532" s="6" t="n">
        <f aca="false">Sens!F10511*self_build*tk_cxfac/1000</f>
        <v>29.409604</v>
      </c>
      <c r="G10532" s="6" t="n">
        <f aca="false">Sens!G10511*self_build*tk_cxfac/1000</f>
        <v>32.019624</v>
      </c>
      <c r="H10532" s="6" t="n">
        <f aca="false">Sens!H10511*self_build*tk_cxfac/1000</f>
        <v>32.019624</v>
      </c>
      <c r="I10532" s="6" t="n">
        <f aca="false">Sens!I10511*self_build*tk_cxfac/1000</f>
        <v>22.71877972</v>
      </c>
      <c r="J10532" s="6" t="n">
        <f aca="false">Sens!J10511*self_build*tk_cxfac/1000</f>
        <v>13.8723110344</v>
      </c>
      <c r="K10532" s="6" t="n">
        <f aca="false">Sens!K10511*self_build*tk_cxfac/1000</f>
        <v>5.214823882632</v>
      </c>
    </row>
    <row r="10533" customFormat="false" ht="17.15" hidden="false" customHeight="false" outlineLevel="0" collapsed="false">
      <c r="A10533" s="0" t="s">
        <v>848</v>
      </c>
      <c r="B10533" s="0" t="s">
        <v>98</v>
      </c>
      <c r="F10533" s="6" t="n">
        <f aca="false">MAX(0,capex_floor27-Sens!F10531-Sens!F10532-Sens!F10627)</f>
        <v>8.13450839897089</v>
      </c>
    </row>
    <row r="10534" customFormat="false" ht="17.15" hidden="false" customHeight="false" outlineLevel="0" collapsed="false">
      <c r="A10534" s="0" t="s">
        <v>849</v>
      </c>
      <c r="B10534" s="0" t="s">
        <v>98</v>
      </c>
      <c r="C10534" s="6" t="n">
        <f aca="false">Sens!C10531</f>
        <v>22.5333845916667</v>
      </c>
      <c r="D10534" s="6" t="n">
        <f aca="false">Sens!D10531</f>
        <v>34.0300093833333</v>
      </c>
      <c r="E10534" s="6" t="n">
        <f aca="false">Sens!E10531</f>
        <v>67.600153775</v>
      </c>
      <c r="F10534" s="6" t="n">
        <f aca="false">Sens!F10531</f>
        <v>130.923271871467</v>
      </c>
      <c r="G10534" s="6" t="n">
        <f aca="false">Sens!G10531</f>
        <v>151.5545564832</v>
      </c>
      <c r="H10534" s="6" t="n">
        <f aca="false">Sens!H10531</f>
        <v>156.0606619104</v>
      </c>
      <c r="I10534" s="6" t="n">
        <f aca="false">Sens!I10531</f>
        <v>140.987889434245</v>
      </c>
      <c r="J10534" s="6" t="n">
        <f aca="false">Sens!J10531</f>
        <v>113.309125559842</v>
      </c>
      <c r="K10534" s="6" t="n">
        <f aca="false">Sens!K10531</f>
        <v>116.192591420959</v>
      </c>
    </row>
    <row r="10535" customFormat="false" ht="17.15" hidden="false" customHeight="false" outlineLevel="0" collapsed="false">
      <c r="A10535" s="0" t="s">
        <v>850</v>
      </c>
      <c r="B10535" s="0" t="s">
        <v>98</v>
      </c>
      <c r="C10535" s="6" t="n">
        <f aca="false">Sens!C10534+Sens!C10532</f>
        <v>28.7416845916667</v>
      </c>
      <c r="D10535" s="6" t="n">
        <f aca="false">Sens!D10534+Sens!D10532</f>
        <v>43.4058093833333</v>
      </c>
      <c r="E10535" s="6" t="n">
        <f aca="false">Sens!E10534+Sens!E10532</f>
        <v>86.225053775</v>
      </c>
      <c r="F10535" s="6" t="n">
        <f aca="false">Sens!F10534+Sens!F10532</f>
        <v>160.332875871467</v>
      </c>
      <c r="G10535" s="6" t="n">
        <f aca="false">Sens!G10534+Sens!G10532</f>
        <v>183.5741804832</v>
      </c>
      <c r="H10535" s="6" t="n">
        <f aca="false">Sens!H10534+Sens!H10532</f>
        <v>188.0802859104</v>
      </c>
      <c r="I10535" s="6" t="n">
        <f aca="false">Sens!I10534+Sens!I10532</f>
        <v>163.706669154245</v>
      </c>
      <c r="J10535" s="6" t="n">
        <f aca="false">Sens!J10534+Sens!J10532</f>
        <v>127.181436594242</v>
      </c>
      <c r="K10535" s="6" t="n">
        <f aca="false">Sens!K10534+Sens!K10532</f>
        <v>121.407415303591</v>
      </c>
      <c r="L10535" s="11" t="s">
        <v>851</v>
      </c>
    </row>
    <row r="10536" customFormat="false" ht="17.15" hidden="false" customHeight="false" outlineLevel="0" collapsed="false">
      <c r="A10536" s="0" t="s">
        <v>852</v>
      </c>
      <c r="B10536" s="0" t="s">
        <v>98</v>
      </c>
      <c r="E10536" s="6" t="n">
        <f aca="false">(Sens!C10534*IF(2&lt;life_it,1,IF(2=life_it,0.5,0))+Sens!D10534*IF(1&lt;life_it,1,IF(1=life_it,0.5,0))+Sens!E10534*0.5)/life_it</f>
        <v>15.0605784770833</v>
      </c>
      <c r="F10536" s="6" t="n">
        <f aca="false">(Sens!C10534*IF(3&lt;life_it,1,IF(3=life_it,0.5,0))+Sens!D10534*IF(2&lt;life_it,1,IF(2=life_it,0.5,0))+Sens!E10534*IF(1&lt;life_it,1,IF(1=life_it,0.5,0))+Sens!F10534*0.5)/life_it</f>
        <v>31.6041972809556</v>
      </c>
      <c r="G10536" s="6" t="n">
        <f aca="false">(Sens!C10534*IF(4&lt;life_it,1,IF(4=life_it,0.5,0))+Sens!D10534*IF(3&lt;life_it,1,IF(3=life_it,0.5,0))+Sens!E10534*IF(2&lt;life_it,1,IF(2=life_it,0.5,0))+Sens!F10534*IF(1&lt;life_it,1,IF(1=life_it,0.5,0))+Sens!G10534*0.5)/life_it</f>
        <v>55.1440163105111</v>
      </c>
      <c r="H10536" s="6" t="n">
        <f aca="false">(Sens!C10534*IF(5&lt;life_it,1,IF(5=life_it,0.5,0))+Sens!D10534*IF(4&lt;life_it,1,IF(4=life_it,0.5,0))+Sens!E10534*IF(3&lt;life_it,1,IF(3=life_it,0.5,0))+Sens!F10534*IF(2&lt;life_it,1,IF(2=life_it,0.5,0))+Sens!G10534*IF(1&lt;life_it,1,IF(1=life_it,0.5,0))+Sens!H10534*0.5)/life_it</f>
        <v>80.7786178433111</v>
      </c>
      <c r="I10536" s="6" t="n">
        <f aca="false">(Sens!C10534*IF(6&lt;life_it,1,IF(6=life_it,0.5,0))+Sens!D10534*IF(5&lt;life_it,1,IF(5=life_it,0.5,0))+Sens!E10534*IF(4&lt;life_it,1,IF(4=life_it,0.5,0))+Sens!F10534*IF(3&lt;life_it,1,IF(3=life_it,0.5,0))+Sens!G10534*IF(2&lt;life_it,1,IF(2=life_it,0.5,0))+Sens!H10534*IF(1&lt;life_it,1,IF(1=life_it,0.5,0))+Sens!I10534*0.5)/life_it</f>
        <v>103.654881739393</v>
      </c>
      <c r="J10536" s="6" t="n">
        <f aca="false">(Sens!C10534*IF(7&lt;life_it,1,IF(7=life_it,0.5,0))+Sens!D10534*IF(6&lt;life_it,1,IF(6=life_it,0.5,0))+Sens!E10534*IF(5&lt;life_it,1,IF(5=life_it,0.5,0))+Sens!F10534*IF(4&lt;life_it,1,IF(4=life_it,0.5,0))+Sens!G10534*IF(3&lt;life_it,1,IF(3=life_it,0.5,0))+Sens!H10534*IF(2&lt;life_it,1,IF(2=life_it,0.5,0))+Sens!I10534*IF(1&lt;life_it,1,IF(1=life_it,0.5,0))+Sens!J10534*0.5)/life_it</f>
        <v>120.132683490983</v>
      </c>
      <c r="K10536" s="6" t="n">
        <f aca="false">(Sens!C10534*IF(8&lt;life_it,1,IF(8=life_it,0.5,0))+Sens!D10534*IF(7&lt;life_it,1,IF(7=life_it,0.5,0))+Sens!E10534*IF(6&lt;life_it,1,IF(6=life_it,0.5,0))+Sens!F10534*IF(5&lt;life_it,1,IF(5=life_it,0.5,0))+Sens!G10534*IF(4&lt;life_it,1,IF(4=life_it,0.5,0))+Sens!H10534*IF(3&lt;life_it,1,IF(3=life_it,0.5,0))+Sens!I10534*IF(2&lt;life_it,1,IF(2=life_it,0.5,0))+Sens!J10534*IF(1&lt;life_it,1,IF(1=life_it,0.5,0))+Sens!K10534*0.5)/life_it</f>
        <v>130.788646309522</v>
      </c>
    </row>
    <row r="10537" customFormat="false" ht="17.15" hidden="false" customHeight="false" outlineLevel="0" collapsed="false">
      <c r="A10537" s="0" t="s">
        <v>853</v>
      </c>
      <c r="B10537" s="0" t="s">
        <v>98</v>
      </c>
      <c r="E10537" s="6" t="n">
        <f aca="false">(Sens!C10532*IF(2&lt;life_fac,1,IF(2=life_fac,0.5,0))+Sens!D10532*IF(1&lt;life_fac,1,IF(1=life_fac,0.5,0))+Sens!E10532*0.5)/life_fac</f>
        <v>1.2448275</v>
      </c>
      <c r="F10537" s="6" t="n">
        <f aca="false">(Sens!C10532*IF(3&lt;life_fac,1,IF(3=life_fac,0.5,0))+Sens!D10532*IF(2&lt;life_fac,1,IF(2=life_fac,0.5,0))+Sens!E10532*IF(1&lt;life_fac,1,IF(1=life_fac,0.5,0))+Sens!F10532*0.5)/life_fac</f>
        <v>2.4456901</v>
      </c>
      <c r="G10537" s="6" t="n">
        <f aca="false">(Sens!C10532*IF(4&lt;life_fac,1,IF(4=life_fac,0.5,0))+Sens!D10532*IF(3&lt;life_fac,1,IF(3=life_fac,0.5,0))+Sens!E10532*IF(2&lt;life_fac,1,IF(2=life_fac,0.5,0))+Sens!F10532*IF(1&lt;life_fac,1,IF(1=life_fac,0.5,0))+Sens!G10532*0.5)/life_fac</f>
        <v>3.9814208</v>
      </c>
      <c r="H10537" s="6" t="n">
        <f aca="false">(Sens!C10532*IF(5&lt;life_fac,1,IF(5=life_fac,0.5,0))+Sens!D10532*IF(4&lt;life_fac,1,IF(4=life_fac,0.5,0))+Sens!E10532*IF(3&lt;life_fac,1,IF(3=life_fac,0.5,0))+Sens!F10532*IF(2&lt;life_fac,1,IF(2=life_fac,0.5,0))+Sens!G10532*IF(1&lt;life_fac,1,IF(1=life_fac,0.5,0))+Sens!H10532*0.5)/life_fac</f>
        <v>5.582402</v>
      </c>
      <c r="I10537" s="6" t="n">
        <f aca="false">(Sens!C10532*IF(6&lt;life_fac,1,IF(6=life_fac,0.5,0))+Sens!D10532*IF(5&lt;life_fac,1,IF(5=life_fac,0.5,0))+Sens!E10532*IF(4&lt;life_fac,1,IF(4=life_fac,0.5,0))+Sens!F10532*IF(3&lt;life_fac,1,IF(3=life_fac,0.5,0))+Sens!G10532*IF(2&lt;life_fac,1,IF(2=life_fac,0.5,0))+Sens!H10532*IF(1&lt;life_fac,1,IF(1=life_fac,0.5,0))+Sens!I10532*0.5)/life_fac</f>
        <v>6.950862093</v>
      </c>
      <c r="J10537" s="6" t="n">
        <f aca="false">(Sens!C10532*IF(7&lt;life_fac,1,IF(7=life_fac,0.5,0))+Sens!D10532*IF(6&lt;life_fac,1,IF(6=life_fac,0.5,0))+Sens!E10532*IF(5&lt;life_fac,1,IF(5=life_fac,0.5,0))+Sens!F10532*IF(4&lt;life_fac,1,IF(4=life_fac,0.5,0))+Sens!G10532*IF(3&lt;life_fac,1,IF(3=life_fac,0.5,0))+Sens!H10532*IF(2&lt;life_fac,1,IF(2=life_fac,0.5,0))+Sens!I10532*IF(1&lt;life_fac,1,IF(1=life_fac,0.5,0))+Sens!J10532*0.5)/life_fac</f>
        <v>7.86563936186</v>
      </c>
      <c r="K10537" s="6" t="n">
        <f aca="false">(Sens!C10532*IF(8&lt;life_fac,1,IF(8=life_fac,0.5,0))+Sens!D10532*IF(7&lt;life_fac,1,IF(7=life_fac,0.5,0))+Sens!E10532*IF(6&lt;life_fac,1,IF(6=life_fac,0.5,0))+Sens!F10532*IF(5&lt;life_fac,1,IF(5=life_fac,0.5,0))+Sens!G10532*IF(4&lt;life_fac,1,IF(4=life_fac,0.5,0))+Sens!H10532*IF(3&lt;life_fac,1,IF(3=life_fac,0.5,0))+Sens!I10532*IF(2&lt;life_fac,1,IF(2=life_fac,0.5,0))+Sens!J10532*IF(1&lt;life_fac,1,IF(1=life_fac,0.5,0))+Sens!K10532*0.5)/life_fac</f>
        <v>8.3428177347858</v>
      </c>
    </row>
    <row r="10538" customFormat="false" ht="17.15" hidden="false" customHeight="false" outlineLevel="0" collapsed="false">
      <c r="A10538" s="0" t="s">
        <v>854</v>
      </c>
      <c r="B10538" s="0" t="s">
        <v>98</v>
      </c>
      <c r="E10538" s="6" t="n">
        <f aca="false">Sens!E10536+Sens!E10537</f>
        <v>16.3054059770833</v>
      </c>
      <c r="F10538" s="6" t="n">
        <f aca="false">Sens!F10536+Sens!F10537</f>
        <v>34.0498873809555</v>
      </c>
      <c r="G10538" s="6" t="n">
        <f aca="false">Sens!G10536+Sens!G10537</f>
        <v>59.1254371105111</v>
      </c>
      <c r="H10538" s="6" t="n">
        <f aca="false">Sens!H10536+Sens!H10537</f>
        <v>86.3610198433111</v>
      </c>
      <c r="I10538" s="6" t="n">
        <f aca="false">Sens!I10536+Sens!I10537</f>
        <v>110.605743832393</v>
      </c>
      <c r="J10538" s="6" t="n">
        <f aca="false">Sens!J10536+Sens!J10537</f>
        <v>127.998322852843</v>
      </c>
      <c r="K10538" s="6" t="n">
        <f aca="false">Sens!K10536+Sens!K10537</f>
        <v>139.131464044308</v>
      </c>
    </row>
    <row r="10539" customFormat="false" ht="17.15" hidden="false" customHeight="false" outlineLevel="0" collapsed="false">
      <c r="A10539" s="0" t="s">
        <v>855</v>
      </c>
      <c r="B10539" s="0" t="s">
        <v>98</v>
      </c>
      <c r="E10539" s="6" t="n">
        <f aca="false">Sens!E10527-Sens!E10526*Sens!E10538</f>
        <v>8.92707889977379</v>
      </c>
      <c r="F10539" s="6" t="n">
        <f aca="false">Sens!F10527-Sens!F10526*Sens!F10538</f>
        <v>22.6979209761638</v>
      </c>
      <c r="G10539" s="6" t="n">
        <f aca="false">Sens!G10527-Sens!G10526*Sens!G10538</f>
        <v>42.9960401135986</v>
      </c>
      <c r="H10539" s="6" t="n">
        <f aca="false">Sens!H10527-Sens!H10526*Sens!H10538</f>
        <v>68.3530123552322</v>
      </c>
      <c r="I10539" s="6" t="n">
        <f aca="false">Sens!I10527-Sens!I10526*Sens!I10538</f>
        <v>85.5693875361303</v>
      </c>
      <c r="J10539" s="6" t="n">
        <f aca="false">Sens!J10527-Sens!J10526*Sens!J10538</f>
        <v>97.6813621174372</v>
      </c>
      <c r="K10539" s="6" t="n">
        <f aca="false">Sens!K10527-Sens!K10526*Sens!K10538</f>
        <v>106.099477202773</v>
      </c>
    </row>
    <row r="10540" customFormat="false" ht="17.15" hidden="false" customHeight="false" outlineLevel="0" collapsed="false">
      <c r="A10540" s="3" t="s">
        <v>1533</v>
      </c>
    </row>
    <row r="10541" customFormat="false" ht="15" hidden="false" customHeight="false" outlineLevel="0" collapsed="false">
      <c r="A10541" s="4" t="s">
        <v>43</v>
      </c>
      <c r="B10541" s="4" t="s">
        <v>65</v>
      </c>
      <c r="C10541" s="20" t="s">
        <v>799</v>
      </c>
      <c r="D10541" s="20" t="s">
        <v>800</v>
      </c>
      <c r="E10541" s="20" t="s">
        <v>801</v>
      </c>
      <c r="F10541" s="20" t="s">
        <v>802</v>
      </c>
      <c r="G10541" s="20" t="s">
        <v>803</v>
      </c>
      <c r="H10541" s="20" t="s">
        <v>804</v>
      </c>
      <c r="I10541" s="20" t="s">
        <v>805</v>
      </c>
      <c r="J10541" s="20" t="s">
        <v>806</v>
      </c>
      <c r="K10541" s="20" t="s">
        <v>807</v>
      </c>
      <c r="L10541" s="4" t="s">
        <v>47</v>
      </c>
    </row>
    <row r="10542" customFormat="false" ht="17.15" hidden="false" customHeight="false" outlineLevel="0" collapsed="false">
      <c r="A10542" s="0" t="s">
        <v>874</v>
      </c>
      <c r="B10542" s="0" t="s">
        <v>98</v>
      </c>
      <c r="D10542" s="6" t="n">
        <f aca="false">Sens!D10521</f>
        <v>12.9359794422418</v>
      </c>
      <c r="E10542" s="6" t="n">
        <f aca="false">Sens!E10521</f>
        <v>27.8095064661409</v>
      </c>
      <c r="F10542" s="6" t="n">
        <f aca="false">Sens!F10521</f>
        <v>58.7324192305018</v>
      </c>
      <c r="G10542" s="6" t="n">
        <f aca="false">Sens!G10521</f>
        <v>101.369089141153</v>
      </c>
      <c r="H10542" s="6" t="n">
        <f aca="false">Sens!H10521</f>
        <v>149.785610014234</v>
      </c>
      <c r="I10542" s="6" t="n">
        <f aca="false">Sens!I10521</f>
        <v>187.368703083263</v>
      </c>
      <c r="J10542" s="6" t="n">
        <f aca="false">Sens!J10521</f>
        <v>213.886657444854</v>
      </c>
      <c r="K10542" s="6" t="n">
        <f aca="false">Sens!K10521</f>
        <v>231.253475259589</v>
      </c>
    </row>
    <row r="10543" customFormat="false" ht="17.15" hidden="false" customHeight="false" outlineLevel="0" collapsed="false">
      <c r="A10543" s="0" t="s">
        <v>875</v>
      </c>
      <c r="B10543" s="0" t="s">
        <v>98</v>
      </c>
      <c r="D10543" s="6" t="n">
        <f aca="false">Q!L6-Sens!D10542</f>
        <v>59.6740205577583</v>
      </c>
      <c r="E10543" s="6" t="n">
        <f aca="false">Q!M6-Sens!E10542</f>
        <v>74.1284935338591</v>
      </c>
      <c r="F10543" s="6" t="n">
        <f aca="false">Sens!E10543*(1+Sens!F10544)</f>
        <v>90.0799497373663</v>
      </c>
      <c r="G10543" s="6" t="n">
        <f aca="false">Sens!F10543*(1+Sens!G10544)</f>
        <v>107.02842520331</v>
      </c>
      <c r="H10543" s="6" t="n">
        <f aca="false">Sens!G10543*(1+Sens!H10544)</f>
        <v>124.271982585636</v>
      </c>
      <c r="I10543" s="6" t="n">
        <f aca="false">Sens!H10543*(1+Sens!I10544)</f>
        <v>140.933702381855</v>
      </c>
      <c r="J10543" s="6" t="n">
        <f aca="false">Sens!I10543*(1+Sens!J10544)</f>
        <v>156.018867314332</v>
      </c>
      <c r="K10543" s="6" t="n">
        <f aca="false">Sens!J10543*(1+Sens!K10544)</f>
        <v>168.500376699478</v>
      </c>
    </row>
    <row r="10544" customFormat="false" ht="15" hidden="false" customHeight="false" outlineLevel="0" collapsed="false">
      <c r="A10544" s="1" t="s">
        <v>876</v>
      </c>
      <c r="B10544" s="0" t="s">
        <v>129</v>
      </c>
      <c r="E10544" s="7" t="n">
        <f aca="false">Sens!E10543/Sens!D10543-1</f>
        <v>0.242223883039864</v>
      </c>
      <c r="F10544" s="7" t="n">
        <f aca="false">Sens!$E$10544+(glt_azo-Sens!$E$10544)*MIN(1,(Sens!F10504-base_fy)/n_conv)</f>
        <v>0.215186569199887</v>
      </c>
      <c r="G10544" s="7" t="n">
        <f aca="false">Sens!$E$10544+(glt_azo-Sens!$E$10544)*MIN(1,(Sens!G10504-base_fy)/n_conv)</f>
        <v>0.18814925535991</v>
      </c>
      <c r="H10544" s="7" t="n">
        <f aca="false">Sens!$E$10544+(glt_azo-Sens!$E$10544)*MIN(1,(Sens!H10504-base_fy)/n_conv)</f>
        <v>0.161111941519932</v>
      </c>
      <c r="I10544" s="7" t="n">
        <f aca="false">Sens!$E$10544+(glt_azo-Sens!$E$10544)*MIN(1,(Sens!I10504-base_fy)/n_conv)</f>
        <v>0.134074627679955</v>
      </c>
      <c r="J10544" s="7" t="n">
        <f aca="false">Sens!$E$10544+(glt_azo-Sens!$E$10544)*MIN(1,(Sens!J10504-base_fy)/n_conv)</f>
        <v>0.107037313839977</v>
      </c>
      <c r="K10544" s="7" t="n">
        <f aca="false">Sens!$E$10544+(glt_azo-Sens!$E$10544)*MIN(1,(Sens!K10504-base_fy)/n_conv)</f>
        <v>0.08</v>
      </c>
    </row>
    <row r="10545" customFormat="false" ht="15" hidden="false" customHeight="false" outlineLevel="0" collapsed="false">
      <c r="A10545" s="0" t="s">
        <v>877</v>
      </c>
      <c r="B10545" s="0" t="s">
        <v>98</v>
      </c>
      <c r="D10545" s="6" t="n">
        <f aca="false">Sens!D10542+Sens!D10543</f>
        <v>72.61</v>
      </c>
      <c r="E10545" s="6" t="n">
        <f aca="false">Sens!E10542+Sens!E10543</f>
        <v>101.938</v>
      </c>
      <c r="F10545" s="6" t="n">
        <f aca="false">Sens!F10542+Sens!F10543</f>
        <v>148.812368967868</v>
      </c>
      <c r="G10545" s="6" t="n">
        <f aca="false">Sens!G10542+Sens!G10543</f>
        <v>208.397514344463</v>
      </c>
      <c r="H10545" s="6" t="n">
        <f aca="false">Sens!H10542+Sens!H10543</f>
        <v>274.05759259987</v>
      </c>
      <c r="I10545" s="6" t="n">
        <f aca="false">Sens!I10542+Sens!I10543</f>
        <v>328.302405465117</v>
      </c>
      <c r="J10545" s="6" t="n">
        <f aca="false">Sens!J10542+Sens!J10543</f>
        <v>369.905524759186</v>
      </c>
      <c r="K10545" s="6" t="n">
        <f aca="false">Sens!K10542+Sens!K10543</f>
        <v>399.753851959067</v>
      </c>
    </row>
    <row r="10546" customFormat="false" ht="17.15" hidden="false" customHeight="false" outlineLevel="0" collapsed="false">
      <c r="A10546" s="0" t="s">
        <v>878</v>
      </c>
      <c r="B10546" s="1" t="s">
        <v>528</v>
      </c>
      <c r="C10546" s="29" t="n">
        <f aca="false">cop_s24</f>
        <v>1</v>
      </c>
      <c r="D10546" s="29" t="n">
        <f aca="false">cop_s25</f>
        <v>5</v>
      </c>
      <c r="E10546" s="29" t="n">
        <f aca="false">cop_s26</f>
        <v>30</v>
      </c>
      <c r="F10546" s="29" t="n">
        <f aca="false">Sens!E10546+cop_add_A</f>
        <v>60</v>
      </c>
      <c r="G10546" s="29" t="n">
        <f aca="false">Sens!F10546+cop_add_A</f>
        <v>90</v>
      </c>
      <c r="H10546" s="29" t="n">
        <f aca="false">Sens!G10546+cop_add_A</f>
        <v>120</v>
      </c>
      <c r="I10546" s="29" t="n">
        <f aca="false">Sens!H10546+cop_add_A*cop_tail</f>
        <v>135</v>
      </c>
      <c r="J10546" s="29" t="n">
        <f aca="false">Sens!I10546+cop_add_A*cop_tail</f>
        <v>150</v>
      </c>
      <c r="K10546" s="29" t="n">
        <f aca="false">Sens!J10546+cop_add_A*cop_tail</f>
        <v>165</v>
      </c>
      <c r="L10546" s="11" t="s">
        <v>879</v>
      </c>
    </row>
    <row r="10547" customFormat="false" ht="17.15" hidden="false" customHeight="false" outlineLevel="0" collapsed="false">
      <c r="A10547" s="0" t="s">
        <v>880</v>
      </c>
      <c r="B10547" s="0" t="s">
        <v>98</v>
      </c>
      <c r="D10547" s="6" t="n">
        <f aca="false">(Sens!C10546+Sens!D10546)/2*cop_px*12/1000</f>
        <v>0.9</v>
      </c>
      <c r="E10547" s="6" t="n">
        <f aca="false">(Sens!D10546+Sens!E10546)/2*cop_px*12/1000</f>
        <v>5.25</v>
      </c>
      <c r="F10547" s="6" t="n">
        <f aca="false">(Sens!E10546+Sens!F10546)/2*cop_px*12/1000</f>
        <v>13.5</v>
      </c>
      <c r="G10547" s="6" t="n">
        <f aca="false">(Sens!F10546+Sens!G10546)/2*cop_px*12/1000</f>
        <v>22.5</v>
      </c>
      <c r="H10547" s="6" t="n">
        <f aca="false">(Sens!G10546+Sens!H10546)/2*cop_px*12/1000</f>
        <v>31.5</v>
      </c>
      <c r="I10547" s="6" t="n">
        <f aca="false">(Sens!H10546+Sens!I10546)/2*cop_px*12/1000</f>
        <v>38.25</v>
      </c>
      <c r="J10547" s="6" t="n">
        <f aca="false">(Sens!I10546+Sens!J10546)/2*cop_px*12/1000</f>
        <v>42.75</v>
      </c>
      <c r="K10547" s="6" t="n">
        <f aca="false">(Sens!J10546+Sens!K10546)/2*cop_px*12/1000</f>
        <v>47.25</v>
      </c>
      <c r="L10547" s="1" t="s">
        <v>881</v>
      </c>
    </row>
    <row r="10548" customFormat="false" ht="17.15" hidden="false" customHeight="false" outlineLevel="0" collapsed="false">
      <c r="A10548" s="0" t="s">
        <v>882</v>
      </c>
      <c r="B10548" s="0" t="s">
        <v>98</v>
      </c>
      <c r="D10548" s="6" t="n">
        <f aca="false">Q!L7-Sens!D10547</f>
        <v>83.705</v>
      </c>
      <c r="E10548" s="6" t="n">
        <f aca="false">Q!M7-Sens!E10547</f>
        <v>95.049</v>
      </c>
      <c r="F10548" s="6" t="n">
        <f aca="false">Sens!E10548*(1+Sens!F10549)</f>
        <v>106.89238776686</v>
      </c>
      <c r="G10548" s="6" t="n">
        <f aca="false">Sens!F10548*(1+Sens!G10549)</f>
        <v>119.044168448684</v>
      </c>
      <c r="H10548" s="6" t="n">
        <f aca="false">Sens!G10548*(1+Sens!H10549)</f>
        <v>131.277359388781</v>
      </c>
      <c r="I10548" s="6" t="n">
        <f aca="false">Sens!H10548*(1+Sens!I10549)</f>
        <v>143.334028071957</v>
      </c>
      <c r="J10548" s="6" t="n">
        <f aca="false">Sens!I10548*(1+Sens!J10549)</f>
        <v>154.932702785465</v>
      </c>
      <c r="K10548" s="6" t="n">
        <f aca="false">Sens!J10548*(1+Sens!K10549)</f>
        <v>165.777991980448</v>
      </c>
    </row>
    <row r="10549" customFormat="false" ht="15" hidden="false" customHeight="false" outlineLevel="0" collapsed="false">
      <c r="A10549" s="1" t="s">
        <v>876</v>
      </c>
      <c r="B10549" s="0" t="s">
        <v>129</v>
      </c>
      <c r="E10549" s="7" t="n">
        <f aca="false">Sens!E10548/Sens!D10548-1</f>
        <v>0.135523564900544</v>
      </c>
      <c r="F10549" s="7" t="n">
        <f aca="false">Sens!$E$10549+(glt_m365b-Sens!$E$10549)*MIN(1,(Sens!F10504-base_fy)/n_conv)</f>
        <v>0.124602970750453</v>
      </c>
      <c r="G10549" s="7" t="n">
        <f aca="false">Sens!$E$10549+(glt_m365b-Sens!$E$10549)*MIN(1,(Sens!G10504-base_fy)/n_conv)</f>
        <v>0.113682376600363</v>
      </c>
      <c r="H10549" s="7" t="n">
        <f aca="false">Sens!$E$10549+(glt_m365b-Sens!$E$10549)*MIN(1,(Sens!H10504-base_fy)/n_conv)</f>
        <v>0.102761782450272</v>
      </c>
      <c r="I10549" s="7" t="n">
        <f aca="false">Sens!$E$10549+(glt_m365b-Sens!$E$10549)*MIN(1,(Sens!I10504-base_fy)/n_conv)</f>
        <v>0.0918411883001813</v>
      </c>
      <c r="J10549" s="7" t="n">
        <f aca="false">Sens!$E$10549+(glt_m365b-Sens!$E$10549)*MIN(1,(Sens!J10504-base_fy)/n_conv)</f>
        <v>0.0809205941500906</v>
      </c>
      <c r="K10549" s="7" t="n">
        <f aca="false">Sens!$E$10549+(glt_m365b-Sens!$E$10549)*MIN(1,(Sens!K10504-base_fy)/n_conv)</f>
        <v>0.07</v>
      </c>
    </row>
    <row r="10550" customFormat="false" ht="15" hidden="false" customHeight="false" outlineLevel="0" collapsed="false">
      <c r="A10550" s="0" t="s">
        <v>883</v>
      </c>
      <c r="B10550" s="0" t="s">
        <v>98</v>
      </c>
      <c r="D10550" s="6" t="n">
        <f aca="false">Sens!D10548+Sens!D10547</f>
        <v>84.605</v>
      </c>
      <c r="E10550" s="6" t="n">
        <f aca="false">Sens!E10548+Sens!E10547</f>
        <v>100.299</v>
      </c>
      <c r="F10550" s="6" t="n">
        <f aca="false">Sens!F10548+Sens!F10547</f>
        <v>120.39238776686</v>
      </c>
      <c r="G10550" s="6" t="n">
        <f aca="false">Sens!G10548+Sens!G10547</f>
        <v>141.544168448684</v>
      </c>
      <c r="H10550" s="6" t="n">
        <f aca="false">Sens!H10548+Sens!H10547</f>
        <v>162.777359388781</v>
      </c>
      <c r="I10550" s="6" t="n">
        <f aca="false">Sens!I10548+Sens!I10547</f>
        <v>181.584028071957</v>
      </c>
      <c r="J10550" s="6" t="n">
        <f aca="false">Sens!J10548+Sens!J10547</f>
        <v>197.682702785465</v>
      </c>
      <c r="K10550" s="6" t="n">
        <f aca="false">Sens!K10548+Sens!K10547</f>
        <v>213.027991980448</v>
      </c>
    </row>
    <row r="10551" customFormat="false" ht="15" hidden="false" customHeight="false" outlineLevel="0" collapsed="false">
      <c r="A10551" s="0" t="s">
        <v>884</v>
      </c>
      <c r="B10551" s="0" t="s">
        <v>98</v>
      </c>
      <c r="D10551" s="6" t="n">
        <f aca="false">Q!L8</f>
        <v>35.391</v>
      </c>
      <c r="E10551" s="6" t="n">
        <f aca="false">Q!M8</f>
        <v>37.285</v>
      </c>
      <c r="F10551" s="6" t="n">
        <f aca="false">Sens!E10551*(1+Sens!F10552)</f>
        <v>39.0720834331704</v>
      </c>
      <c r="G10551" s="6" t="n">
        <f aca="false">Sens!F10551*(1+Sens!G10552)</f>
        <v>40.726562953769</v>
      </c>
      <c r="H10551" s="6" t="n">
        <f aca="false">Sens!G10551*(1+Sens!H10552)</f>
        <v>42.2235987259198</v>
      </c>
      <c r="I10551" s="6" t="n">
        <f aca="false">Sens!H10551*(1+Sens!I10552)</f>
        <v>43.5397988077414</v>
      </c>
      <c r="J10551" s="6" t="n">
        <f aca="false">Sens!I10551*(1+Sens!J10552)</f>
        <v>44.653811225693</v>
      </c>
      <c r="K10551" s="6" t="n">
        <f aca="false">Sens!J10551*(1+Sens!K10552)</f>
        <v>45.5468874502068</v>
      </c>
    </row>
    <row r="10552" customFormat="false" ht="15" hidden="false" customHeight="false" outlineLevel="0" collapsed="false">
      <c r="A10552" s="1" t="s">
        <v>876</v>
      </c>
      <c r="B10552" s="0" t="s">
        <v>129</v>
      </c>
      <c r="E10552" s="7" t="n">
        <f aca="false">Sens!E10551/Sens!D10551-1</f>
        <v>0.0535164307309768</v>
      </c>
      <c r="F10552" s="7" t="n">
        <f aca="false">Sens!$E$10552+(glt_lic-Sens!$E$10552)*MIN(1,(Sens!F10504-base_fy)/n_conv)</f>
        <v>0.0479303589424807</v>
      </c>
      <c r="G10552" s="7" t="n">
        <f aca="false">Sens!$E$10552+(glt_lic-Sens!$E$10552)*MIN(1,(Sens!G10504-base_fy)/n_conv)</f>
        <v>0.0423442871539845</v>
      </c>
      <c r="H10552" s="7" t="n">
        <f aca="false">Sens!$E$10552+(glt_lic-Sens!$E$10552)*MIN(1,(Sens!H10504-base_fy)/n_conv)</f>
        <v>0.0367582153654884</v>
      </c>
      <c r="I10552" s="7" t="n">
        <f aca="false">Sens!$E$10552+(glt_lic-Sens!$E$10552)*MIN(1,(Sens!I10504-base_fy)/n_conv)</f>
        <v>0.0311721435769923</v>
      </c>
      <c r="J10552" s="7" t="n">
        <f aca="false">Sens!$E$10552+(glt_lic-Sens!$E$10552)*MIN(1,(Sens!J10504-base_fy)/n_conv)</f>
        <v>0.0255860717884961</v>
      </c>
      <c r="K10552" s="7" t="n">
        <f aca="false">Sens!$E$10552+(glt_lic-Sens!$E$10552)*MIN(1,(Sens!K10504-base_fy)/n_conv)</f>
        <v>0.02</v>
      </c>
    </row>
    <row r="10553" customFormat="false" ht="15" hidden="false" customHeight="false" outlineLevel="0" collapsed="false">
      <c r="A10553" s="0" t="s">
        <v>885</v>
      </c>
      <c r="B10553" s="0" t="s">
        <v>98</v>
      </c>
      <c r="D10553" s="6" t="n">
        <f aca="false">Q!L9</f>
        <v>18.417</v>
      </c>
      <c r="E10553" s="6" t="n">
        <f aca="false">Q!M9</f>
        <v>20.345</v>
      </c>
      <c r="F10553" s="6" t="n">
        <f aca="false">Sens!E10553*(1+Sens!F10554)</f>
        <v>22.3572203267814</v>
      </c>
      <c r="G10553" s="6" t="n">
        <f aca="false">Sens!F10553*(1+Sens!G10554)</f>
        <v>24.4392124437232</v>
      </c>
      <c r="H10553" s="6" t="n">
        <f aca="false">Sens!G10553*(1+Sens!H10554)</f>
        <v>26.5738052080665</v>
      </c>
      <c r="I10553" s="6" t="n">
        <f aca="false">Sens!H10553*(1+Sens!I10554)</f>
        <v>28.7412169166967</v>
      </c>
      <c r="J10553" s="6" t="n">
        <f aca="false">Sens!I10553*(1+Sens!J10554)</f>
        <v>30.9192545395413</v>
      </c>
      <c r="K10553" s="6" t="n">
        <f aca="false">Sens!J10553*(1+Sens!K10554)</f>
        <v>33.0836023573092</v>
      </c>
    </row>
    <row r="10554" customFormat="false" ht="15" hidden="false" customHeight="false" outlineLevel="0" collapsed="false">
      <c r="A10554" s="1" t="s">
        <v>876</v>
      </c>
      <c r="B10554" s="0" t="s">
        <v>129</v>
      </c>
      <c r="E10554" s="7" t="n">
        <f aca="false">Sens!E10553/Sens!D10553-1</f>
        <v>0.104685888038225</v>
      </c>
      <c r="F10554" s="7" t="n">
        <f aca="false">Sens!$E$10554+(glt_ind-Sens!$E$10554)*MIN(1,(Sens!F10504-base_fy)/n_conv)</f>
        <v>0.0989049066985211</v>
      </c>
      <c r="G10554" s="7" t="n">
        <f aca="false">Sens!$E$10554+(glt_ind-Sens!$E$10554)*MIN(1,(Sens!G10504-base_fy)/n_conv)</f>
        <v>0.0931239253588169</v>
      </c>
      <c r="H10554" s="7" t="n">
        <f aca="false">Sens!$E$10554+(glt_ind-Sens!$E$10554)*MIN(1,(Sens!H10504-base_fy)/n_conv)</f>
        <v>0.0873429440191127</v>
      </c>
      <c r="I10554" s="7" t="n">
        <f aca="false">Sens!$E$10554+(glt_ind-Sens!$E$10554)*MIN(1,(Sens!I10504-base_fy)/n_conv)</f>
        <v>0.0815619626794085</v>
      </c>
      <c r="J10554" s="7" t="n">
        <f aca="false">Sens!$E$10554+(glt_ind-Sens!$E$10554)*MIN(1,(Sens!J10504-base_fy)/n_conv)</f>
        <v>0.0757809813397042</v>
      </c>
      <c r="K10554" s="7" t="n">
        <f aca="false">Sens!$E$10554+(glt_ind-Sens!$E$10554)*MIN(1,(Sens!K10504-base_fy)/n_conv)</f>
        <v>0.07</v>
      </c>
    </row>
    <row r="10555" customFormat="false" ht="15" hidden="false" customHeight="false" outlineLevel="0" collapsed="false">
      <c r="A10555" s="0" t="s">
        <v>886</v>
      </c>
      <c r="B10555" s="0" t="s">
        <v>98</v>
      </c>
      <c r="D10555" s="6" t="n">
        <f aca="false">Q!L10</f>
        <v>7.76</v>
      </c>
      <c r="E10555" s="6" t="n">
        <f aca="false">Q!M10</f>
        <v>8.26</v>
      </c>
      <c r="F10555" s="6" t="n">
        <f aca="false">Sens!E10555*(1+Sens!F10556)</f>
        <v>8.79988041237113</v>
      </c>
      <c r="G10555" s="6" t="n">
        <f aca="false">Sens!F10555*(1+Sens!G10556)</f>
        <v>9.38321269125306</v>
      </c>
      <c r="H10555" s="6" t="n">
        <f aca="false">Sens!G10555*(1+Sens!H10556)</f>
        <v>10.0139193587476</v>
      </c>
      <c r="I10555" s="6" t="n">
        <f aca="false">Sens!H10555*(1+Sens!I10556)</f>
        <v>10.6963111830911</v>
      </c>
      <c r="J10555" s="6" t="n">
        <f aca="false">Sens!I10555*(1+Sens!J10556)</f>
        <v>11.4351285534696</v>
      </c>
      <c r="K10555" s="6" t="n">
        <f aca="false">Sens!J10555*(1+Sens!K10556)</f>
        <v>12.2355875522124</v>
      </c>
    </row>
    <row r="10556" customFormat="false" ht="15" hidden="false" customHeight="false" outlineLevel="0" collapsed="false">
      <c r="A10556" s="1" t="s">
        <v>876</v>
      </c>
      <c r="B10556" s="0" t="s">
        <v>129</v>
      </c>
      <c r="E10556" s="7" t="n">
        <f aca="false">Sens!E10555/Sens!D10555-1</f>
        <v>0.0644329896907216</v>
      </c>
      <c r="F10556" s="7" t="n">
        <f aca="false">Sens!$E$10556+(glt_fro-Sens!$E$10556)*MIN(1,(Sens!F10504-base_fy)/n_conv)</f>
        <v>0.065360824742268</v>
      </c>
      <c r="G10556" s="7" t="n">
        <f aca="false">Sens!$E$10556+(glt_fro-Sens!$E$10556)*MIN(1,(Sens!G10504-base_fy)/n_conv)</f>
        <v>0.0662886597938144</v>
      </c>
      <c r="H10556" s="7" t="n">
        <f aca="false">Sens!$E$10556+(glt_fro-Sens!$E$10556)*MIN(1,(Sens!H10504-base_fy)/n_conv)</f>
        <v>0.0672164948453608</v>
      </c>
      <c r="I10556" s="7" t="n">
        <f aca="false">Sens!$E$10556+(glt_fro-Sens!$E$10556)*MIN(1,(Sens!I10504-base_fy)/n_conv)</f>
        <v>0.0681443298969072</v>
      </c>
      <c r="J10556" s="7" t="n">
        <f aca="false">Sens!$E$10556+(glt_fro-Sens!$E$10556)*MIN(1,(Sens!J10504-base_fy)/n_conv)</f>
        <v>0.0690721649484536</v>
      </c>
      <c r="K10556" s="7" t="n">
        <f aca="false">Sens!$E$10556+(glt_fro-Sens!$E$10556)*MIN(1,(Sens!K10504-base_fy)/n_conv)</f>
        <v>0.07</v>
      </c>
    </row>
    <row r="10557" customFormat="false" ht="15" hidden="false" customHeight="false" outlineLevel="0" collapsed="false">
      <c r="A10557" s="0" t="s">
        <v>715</v>
      </c>
      <c r="B10557" s="0" t="s">
        <v>98</v>
      </c>
      <c r="D10557" s="6" t="n">
        <f aca="false">Sens!D10545+Sens!D10550+Sens!D10551+Sens!D10553+Sens!D10555</f>
        <v>218.783</v>
      </c>
      <c r="E10557" s="6" t="n">
        <f aca="false">Sens!E10545+Sens!E10550+Sens!E10551+Sens!E10553+Sens!E10555</f>
        <v>268.127</v>
      </c>
      <c r="F10557" s="6" t="n">
        <f aca="false">Sens!F10545+Sens!F10550+Sens!F10551+Sens!F10553+Sens!F10555</f>
        <v>339.433940907051</v>
      </c>
      <c r="G10557" s="6" t="n">
        <f aca="false">Sens!G10545+Sens!G10550+Sens!G10551+Sens!G10553+Sens!G10555</f>
        <v>424.490670881892</v>
      </c>
      <c r="H10557" s="6" t="n">
        <f aca="false">Sens!H10545+Sens!H10550+Sens!H10551+Sens!H10553+Sens!H10555</f>
        <v>515.646275281385</v>
      </c>
      <c r="I10557" s="6" t="n">
        <f aca="false">Sens!I10545+Sens!I10550+Sens!I10551+Sens!I10553+Sens!I10555</f>
        <v>592.863760444604</v>
      </c>
      <c r="J10557" s="6" t="n">
        <f aca="false">Sens!J10545+Sens!J10550+Sens!J10551+Sens!J10553+Sens!J10555</f>
        <v>654.596421863355</v>
      </c>
      <c r="K10557" s="6" t="n">
        <f aca="false">Sens!K10545+Sens!K10550+Sens!K10551+Sens!K10553+Sens!K10555</f>
        <v>703.647921299244</v>
      </c>
    </row>
    <row r="10558" customFormat="false" ht="15" hidden="false" customHeight="false" outlineLevel="0" collapsed="false">
      <c r="A10558" s="0" t="s">
        <v>887</v>
      </c>
      <c r="B10558" s="0" t="s">
        <v>98</v>
      </c>
      <c r="D10558" s="6" t="n">
        <f aca="false">Q!L13</f>
        <v>22.171</v>
      </c>
      <c r="E10558" s="6" t="n">
        <f aca="false">Q!M13</f>
        <v>24.835</v>
      </c>
      <c r="F10558" s="6" t="n">
        <f aca="false">Sens!E10558*(1+Sens!F10559)</f>
        <v>27.6114901218559</v>
      </c>
      <c r="G10558" s="6" t="n">
        <f aca="false">Sens!F10558*(1+Sens!G10559)</f>
        <v>30.4675667338515</v>
      </c>
      <c r="H10558" s="6" t="n">
        <f aca="false">Sens!G10558*(1+Sens!H10559)</f>
        <v>33.3643766955789</v>
      </c>
      <c r="I10558" s="6" t="n">
        <f aca="false">Sens!H10558*(1+Sens!I10559)</f>
        <v>36.2577016533691</v>
      </c>
      <c r="J10558" s="6" t="n">
        <f aca="false">Sens!I10558*(1+Sens!J10559)</f>
        <v>39.0988367952171</v>
      </c>
      <c r="K10558" s="6" t="n">
        <f aca="false">Sens!J10558*(1+Sens!K10559)</f>
        <v>41.8357553708823</v>
      </c>
    </row>
    <row r="10559" customFormat="false" ht="15" hidden="false" customHeight="false" outlineLevel="0" collapsed="false">
      <c r="A10559" s="1" t="s">
        <v>876</v>
      </c>
      <c r="B10559" s="0" t="s">
        <v>129</v>
      </c>
      <c r="E10559" s="7" t="n">
        <f aca="false">Sens!E10558/Sens!D10558-1</f>
        <v>0.120156961796942</v>
      </c>
      <c r="F10559" s="7" t="n">
        <f aca="false">Sens!$E$10559+(glt_srch-Sens!$E$10559)*MIN(1,(Sens!F10504-base_fy)/n_conv)</f>
        <v>0.111797468164118</v>
      </c>
      <c r="G10559" s="7" t="n">
        <f aca="false">Sens!$E$10559+(glt_srch-Sens!$E$10559)*MIN(1,(Sens!G10504-base_fy)/n_conv)</f>
        <v>0.103437974531295</v>
      </c>
      <c r="H10559" s="7" t="n">
        <f aca="false">Sens!$E$10559+(glt_srch-Sens!$E$10559)*MIN(1,(Sens!H10504-base_fy)/n_conv)</f>
        <v>0.095078480898471</v>
      </c>
      <c r="I10559" s="7" t="n">
        <f aca="false">Sens!$E$10559+(glt_srch-Sens!$E$10559)*MIN(1,(Sens!I10504-base_fy)/n_conv)</f>
        <v>0.0867189872656474</v>
      </c>
      <c r="J10559" s="7" t="n">
        <f aca="false">Sens!$E$10559+(glt_srch-Sens!$E$10559)*MIN(1,(Sens!J10504-base_fy)/n_conv)</f>
        <v>0.0783594936328237</v>
      </c>
      <c r="K10559" s="7" t="n">
        <f aca="false">Sens!$E$10559+(glt_srch-Sens!$E$10559)*MIN(1,(Sens!K10504-base_fy)/n_conv)</f>
        <v>0.07</v>
      </c>
    </row>
    <row r="10560" customFormat="false" ht="15" hidden="false" customHeight="false" outlineLevel="0" collapsed="false">
      <c r="A10560" s="0" t="s">
        <v>888</v>
      </c>
      <c r="B10560" s="0" t="s">
        <v>98</v>
      </c>
      <c r="D10560" s="6" t="n">
        <f aca="false">Q!L14</f>
        <v>23.455</v>
      </c>
      <c r="E10560" s="6" t="n">
        <f aca="false">Q!M14</f>
        <v>21.79</v>
      </c>
      <c r="F10560" s="6" t="n">
        <f aca="false">Sens!E10560*(1+Sens!F10561)</f>
        <v>20.6825777908051</v>
      </c>
      <c r="G10560" s="6" t="n">
        <f aca="false">Sens!F10560*(1+Sens!G10561)</f>
        <v>20.0484913708632</v>
      </c>
      <c r="H10560" s="6" t="n">
        <f aca="false">Sens!G10560*(1+Sens!H10561)</f>
        <v>19.8381125629905</v>
      </c>
      <c r="I10560" s="6" t="n">
        <f aca="false">Sens!H10560*(1+Sens!I10561)</f>
        <v>20.0299669735513</v>
      </c>
      <c r="J10560" s="6" t="n">
        <f aca="false">Sens!I10560*(1+Sens!J10561)</f>
        <v>20.6275710652887</v>
      </c>
      <c r="K10560" s="6" t="n">
        <f aca="false">Sens!J10560*(1+Sens!K10561)</f>
        <v>21.6589496185531</v>
      </c>
    </row>
    <row r="10561" customFormat="false" ht="15" hidden="false" customHeight="false" outlineLevel="0" collapsed="false">
      <c r="A10561" s="1" t="s">
        <v>876</v>
      </c>
      <c r="B10561" s="0" t="s">
        <v>129</v>
      </c>
      <c r="E10561" s="7" t="n">
        <f aca="false">Sens!E10560/Sens!D10560-1</f>
        <v>-0.0709869963760392</v>
      </c>
      <c r="F10561" s="7" t="n">
        <f aca="false">Sens!$E$10561+(glt_xbox_hi-Sens!$E$10561)*MIN(1,(Sens!F10504-base_fy)/n_conv)</f>
        <v>-0.0508224969800327</v>
      </c>
      <c r="G10561" s="7" t="n">
        <f aca="false">Sens!$E$10561+(glt_xbox_hi-Sens!$E$10561)*MIN(1,(Sens!G10504-base_fy)/n_conv)</f>
        <v>-0.0306579975840262</v>
      </c>
      <c r="H10561" s="7" t="n">
        <f aca="false">Sens!$E$10561+(glt_xbox_hi-Sens!$E$10561)*MIN(1,(Sens!H10504-base_fy)/n_conv)</f>
        <v>-0.0104934981880196</v>
      </c>
      <c r="I10561" s="7" t="n">
        <f aca="false">Sens!$E$10561+(glt_xbox_hi-Sens!$E$10561)*MIN(1,(Sens!I10504-base_fy)/n_conv)</f>
        <v>0.00967100120798692</v>
      </c>
      <c r="J10561" s="7" t="n">
        <f aca="false">Sens!$E$10561+(glt_xbox_hi-Sens!$E$10561)*MIN(1,(Sens!J10504-base_fy)/n_conv)</f>
        <v>0.0298355006039935</v>
      </c>
      <c r="K10561" s="7" t="n">
        <f aca="false">Sens!$E$10561+(glt_xbox_hi-Sens!$E$10561)*MIN(1,(Sens!K10504-base_fy)/n_conv)</f>
        <v>0.05</v>
      </c>
    </row>
    <row r="10562" customFormat="false" ht="15" hidden="false" customHeight="false" outlineLevel="0" collapsed="false">
      <c r="A10562" s="0" t="s">
        <v>889</v>
      </c>
      <c r="B10562" s="0" t="s">
        <v>98</v>
      </c>
      <c r="D10562" s="6" t="n">
        <f aca="false">Q!L15</f>
        <v>17.315</v>
      </c>
      <c r="E10562" s="6" t="n">
        <f aca="false">Q!M15</f>
        <v>17.087</v>
      </c>
      <c r="F10562" s="6" t="n">
        <f aca="false">Sens!E10562*(1+Sens!F10563)</f>
        <v>16.9564585436519</v>
      </c>
      <c r="G10562" s="6" t="n">
        <f aca="false">Sens!F10562*(1+Sens!G10563)</f>
        <v>16.9206490624268</v>
      </c>
      <c r="H10562" s="6" t="n">
        <f aca="false">Sens!G10562*(1+Sens!H10563)</f>
        <v>16.9784519149849</v>
      </c>
      <c r="I10562" s="6" t="n">
        <f aca="false">Sens!H10562*(1+Sens!I10563)</f>
        <v>17.1303084701817</v>
      </c>
      <c r="J10562" s="6" t="n">
        <f aca="false">Sens!I10562*(1+Sens!J10563)</f>
        <v>17.3782189407267</v>
      </c>
      <c r="K10562" s="6" t="n">
        <f aca="false">Sens!J10562*(1+Sens!K10563)</f>
        <v>17.7257833195413</v>
      </c>
    </row>
    <row r="10563" customFormat="false" ht="15" hidden="false" customHeight="false" outlineLevel="0" collapsed="false">
      <c r="A10563" s="1" t="s">
        <v>876</v>
      </c>
      <c r="B10563" s="0" t="s">
        <v>129</v>
      </c>
      <c r="E10563" s="7" t="n">
        <f aca="false">Sens!E10562/Sens!D10562-1</f>
        <v>-0.0131677736066995</v>
      </c>
      <c r="F10563" s="7" t="n">
        <f aca="false">Sens!$E$10563+(glt_win-Sens!$E$10563)*MIN(1,(Sens!F10504-base_fy)/n_conv)</f>
        <v>-0.00763981133891627</v>
      </c>
      <c r="G10563" s="7" t="n">
        <f aca="false">Sens!$E$10563+(glt_win-Sens!$E$10563)*MIN(1,(Sens!G10504-base_fy)/n_conv)</f>
        <v>-0.00211184907113301</v>
      </c>
      <c r="H10563" s="7" t="n">
        <f aca="false">Sens!$E$10563+(glt_win-Sens!$E$10563)*MIN(1,(Sens!H10504-base_fy)/n_conv)</f>
        <v>0.00341611319665024</v>
      </c>
      <c r="I10563" s="7" t="n">
        <f aca="false">Sens!$E$10563+(glt_win-Sens!$E$10563)*MIN(1,(Sens!I10504-base_fy)/n_conv)</f>
        <v>0.00894407546443349</v>
      </c>
      <c r="J10563" s="7" t="n">
        <f aca="false">Sens!$E$10563+(glt_win-Sens!$E$10563)*MIN(1,(Sens!J10504-base_fy)/n_conv)</f>
        <v>0.0144720377322168</v>
      </c>
      <c r="K10563" s="7" t="n">
        <f aca="false">Sens!$E$10563+(glt_win-Sens!$E$10563)*MIN(1,(Sens!K10504-base_fy)/n_conv)</f>
        <v>0.02</v>
      </c>
    </row>
    <row r="10564" customFormat="false" ht="15" hidden="false" customHeight="false" outlineLevel="0" collapsed="false">
      <c r="A10564" s="0" t="s">
        <v>729</v>
      </c>
      <c r="B10564" s="0" t="s">
        <v>98</v>
      </c>
      <c r="D10564" s="6" t="n">
        <f aca="false">Sens!D10558+Sens!D10560+Sens!D10562</f>
        <v>62.941</v>
      </c>
      <c r="E10564" s="6" t="n">
        <f aca="false">Sens!E10558+Sens!E10560+Sens!E10562</f>
        <v>63.712</v>
      </c>
      <c r="F10564" s="6" t="n">
        <f aca="false">Sens!F10558+Sens!F10560+Sens!F10562</f>
        <v>65.2505264563129</v>
      </c>
      <c r="G10564" s="6" t="n">
        <f aca="false">Sens!G10558+Sens!G10560+Sens!G10562</f>
        <v>67.4367071671415</v>
      </c>
      <c r="H10564" s="6" t="n">
        <f aca="false">Sens!H10558+Sens!H10560+Sens!H10562</f>
        <v>70.1809411735542</v>
      </c>
      <c r="I10564" s="6" t="n">
        <f aca="false">Sens!I10558+Sens!I10560+Sens!I10562</f>
        <v>73.4179770971021</v>
      </c>
      <c r="J10564" s="6" t="n">
        <f aca="false">Sens!J10558+Sens!J10560+Sens!J10562</f>
        <v>77.1046268012325</v>
      </c>
      <c r="K10564" s="6" t="n">
        <f aca="false">Sens!K10558+Sens!K10560+Sens!K10562</f>
        <v>81.2204883089766</v>
      </c>
    </row>
    <row r="10565" customFormat="false" ht="15" hidden="false" customHeight="false" outlineLevel="0" collapsed="false">
      <c r="A10565" s="1" t="s">
        <v>890</v>
      </c>
      <c r="B10565" s="0" t="s">
        <v>98</v>
      </c>
      <c r="D10565" s="6" t="n">
        <f aca="false">Sens!D10557+Sens!D10564</f>
        <v>281.724</v>
      </c>
      <c r="E10565" s="6" t="n">
        <f aca="false">Sens!E10557+Sens!E10564</f>
        <v>331.839</v>
      </c>
      <c r="F10565" s="6" t="n">
        <f aca="false">Sens!F10557+Sens!F10564</f>
        <v>404.684467363364</v>
      </c>
      <c r="G10565" s="6" t="n">
        <f aca="false">Sens!G10557+Sens!G10564</f>
        <v>491.927378049033</v>
      </c>
      <c r="H10565" s="6" t="n">
        <f aca="false">Sens!H10557+Sens!H10564</f>
        <v>585.827216454939</v>
      </c>
      <c r="I10565" s="6" t="n">
        <f aca="false">Sens!I10557+Sens!I10564</f>
        <v>666.281737541706</v>
      </c>
      <c r="J10565" s="6" t="n">
        <f aca="false">Sens!J10557+Sens!J10564</f>
        <v>731.701048664587</v>
      </c>
      <c r="K10565" s="6" t="n">
        <f aca="false">Sens!K10557+Sens!K10564</f>
        <v>784.86840960822</v>
      </c>
    </row>
    <row r="10566" customFormat="false" ht="15" hidden="false" customHeight="false" outlineLevel="0" collapsed="false">
      <c r="A10566" s="23" t="s">
        <v>891</v>
      </c>
      <c r="B10566" s="30" t="s">
        <v>98</v>
      </c>
      <c r="C10566" s="30"/>
      <c r="D10566" s="24" t="n">
        <f aca="false">(Sens!D10545+Sens!D10550+Sens!D10551+Sens!D10553+Sens!D10555-Sens!D10557)+(Sens!D10558+Sens!D10560+Sens!D10562-Sens!D10564)+(Sens!D10557-Q!L5)+(Sens!D10564-Q!L12)+(Sens!D10545-Q!L6)+(Sens!D10550-Q!L7)</f>
        <v>0</v>
      </c>
      <c r="E10566" s="24" t="n">
        <f aca="false">(Sens!E10545+Sens!E10550+Sens!E10551+Sens!E10553+Sens!E10555-Sens!E10557)+(Sens!E10558+Sens!E10560+Sens!E10562-Sens!E10564)+(Sens!E10557-Q!M5)+(Sens!E10564-Q!M12)+(Sens!E10545-Q!M6)+(Sens!E10550-Q!M7)</f>
        <v>0</v>
      </c>
      <c r="F10566" s="24" t="n">
        <f aca="false">(Sens!F10545+Sens!F10550+Sens!F10551+Sens!F10553+Sens!F10555-Sens!F10557)+(Sens!F10558+Sens!F10560+Sens!F10562-Sens!F10564)</f>
        <v>0</v>
      </c>
      <c r="G10566" s="24" t="n">
        <f aca="false">(Sens!G10545+Sens!G10550+Sens!G10551+Sens!G10553+Sens!G10555-Sens!G10557)+(Sens!G10558+Sens!G10560+Sens!G10562-Sens!G10564)</f>
        <v>0</v>
      </c>
      <c r="H10566" s="24" t="n">
        <f aca="false">(Sens!H10545+Sens!H10550+Sens!H10551+Sens!H10553+Sens!H10555-Sens!H10557)+(Sens!H10558+Sens!H10560+Sens!H10562-Sens!H10564)</f>
        <v>0</v>
      </c>
      <c r="I10566" s="24" t="n">
        <f aca="false">(Sens!I10545+Sens!I10550+Sens!I10551+Sens!I10553+Sens!I10555-Sens!I10557)+(Sens!I10558+Sens!I10560+Sens!I10562-Sens!I10564)</f>
        <v>0</v>
      </c>
      <c r="J10566" s="24" t="n">
        <f aca="false">(Sens!J10545+Sens!J10550+Sens!J10551+Sens!J10553+Sens!J10555-Sens!J10557)+(Sens!J10558+Sens!J10560+Sens!J10562-Sens!J10564)</f>
        <v>0</v>
      </c>
      <c r="K10566" s="24" t="n">
        <f aca="false">(Sens!K10545+Sens!K10550+Sens!K10551+Sens!K10553+Sens!K10555-Sens!K10557)+(Sens!K10558+Sens!K10560+Sens!K10562-Sens!K10564)</f>
        <v>0</v>
      </c>
    </row>
    <row r="10567" customFormat="false" ht="17.15" hidden="false" customHeight="false" outlineLevel="0" collapsed="false">
      <c r="A10567" s="3" t="s">
        <v>1534</v>
      </c>
    </row>
    <row r="10568" customFormat="false" ht="15" hidden="false" customHeight="false" outlineLevel="0" collapsed="false">
      <c r="A10568" s="4" t="s">
        <v>43</v>
      </c>
      <c r="B10568" s="4" t="s">
        <v>65</v>
      </c>
      <c r="C10568" s="20" t="s">
        <v>799</v>
      </c>
      <c r="D10568" s="20" t="s">
        <v>800</v>
      </c>
      <c r="E10568" s="20" t="s">
        <v>801</v>
      </c>
      <c r="F10568" s="20" t="s">
        <v>802</v>
      </c>
      <c r="G10568" s="20" t="s">
        <v>803</v>
      </c>
      <c r="H10568" s="20" t="s">
        <v>804</v>
      </c>
      <c r="I10568" s="20" t="s">
        <v>805</v>
      </c>
      <c r="J10568" s="20" t="s">
        <v>806</v>
      </c>
      <c r="K10568" s="20" t="s">
        <v>807</v>
      </c>
      <c r="L10568" s="4" t="s">
        <v>47</v>
      </c>
    </row>
    <row r="10569" customFormat="false" ht="15" hidden="false" customHeight="false" outlineLevel="0" collapsed="false">
      <c r="A10569" s="0" t="s">
        <v>877</v>
      </c>
      <c r="B10569" s="0" t="s">
        <v>98</v>
      </c>
      <c r="D10569" s="6" t="n">
        <f aca="false">Sens!D10545</f>
        <v>72.61</v>
      </c>
      <c r="E10569" s="6" t="n">
        <f aca="false">Sens!E10545</f>
        <v>101.938</v>
      </c>
      <c r="F10569" s="6" t="n">
        <f aca="false">Sens!F10545</f>
        <v>148.812368967868</v>
      </c>
      <c r="G10569" s="6" t="n">
        <f aca="false">Sens!G10545</f>
        <v>208.397514344463</v>
      </c>
      <c r="H10569" s="6" t="n">
        <f aca="false">Sens!H10545</f>
        <v>274.05759259987</v>
      </c>
      <c r="I10569" s="6" t="n">
        <f aca="false">Sens!I10545</f>
        <v>328.302405465117</v>
      </c>
      <c r="J10569" s="6" t="n">
        <f aca="false">Sens!J10545</f>
        <v>369.905524759186</v>
      </c>
      <c r="K10569" s="6" t="n">
        <f aca="false">Sens!K10545</f>
        <v>399.753851959067</v>
      </c>
    </row>
    <row r="10570" customFormat="false" ht="17.15" hidden="false" customHeight="false" outlineLevel="0" collapsed="false">
      <c r="A10570" s="0" t="s">
        <v>874</v>
      </c>
      <c r="B10570" s="0" t="s">
        <v>98</v>
      </c>
      <c r="D10570" s="6" t="n">
        <f aca="false">Sens!D10542</f>
        <v>12.9359794422418</v>
      </c>
      <c r="E10570" s="6" t="n">
        <f aca="false">Sens!E10542</f>
        <v>27.8095064661409</v>
      </c>
      <c r="F10570" s="6" t="n">
        <f aca="false">Sens!F10542</f>
        <v>58.7324192305018</v>
      </c>
      <c r="G10570" s="6" t="n">
        <f aca="false">Sens!G10542</f>
        <v>101.369089141153</v>
      </c>
      <c r="H10570" s="6" t="n">
        <f aca="false">Sens!H10542</f>
        <v>149.785610014234</v>
      </c>
      <c r="I10570" s="6" t="n">
        <f aca="false">Sens!I10542</f>
        <v>187.368703083263</v>
      </c>
      <c r="J10570" s="6" t="n">
        <f aca="false">Sens!J10542</f>
        <v>213.886657444854</v>
      </c>
      <c r="K10570" s="6" t="n">
        <f aca="false">Sens!K10542</f>
        <v>231.253475259589</v>
      </c>
    </row>
    <row r="10571" customFormat="false" ht="17.15" hidden="false" customHeight="false" outlineLevel="0" collapsed="false">
      <c r="A10571" s="0" t="s">
        <v>902</v>
      </c>
      <c r="B10571" s="0" t="s">
        <v>98</v>
      </c>
      <c r="D10571" s="6" t="n">
        <f aca="false">Sens!D10543</f>
        <v>59.6740205577583</v>
      </c>
      <c r="E10571" s="6" t="n">
        <f aca="false">Sens!E10543</f>
        <v>74.1284935338591</v>
      </c>
      <c r="F10571" s="6" t="n">
        <f aca="false">Sens!F10543</f>
        <v>90.0799497373663</v>
      </c>
      <c r="G10571" s="6" t="n">
        <f aca="false">Sens!G10543</f>
        <v>107.02842520331</v>
      </c>
      <c r="H10571" s="6" t="n">
        <f aca="false">Sens!H10543</f>
        <v>124.271982585636</v>
      </c>
      <c r="I10571" s="6" t="n">
        <f aca="false">Sens!I10543</f>
        <v>140.933702381855</v>
      </c>
      <c r="J10571" s="6" t="n">
        <f aca="false">Sens!J10543</f>
        <v>156.018867314332</v>
      </c>
      <c r="K10571" s="6" t="n">
        <f aca="false">Sens!K10543</f>
        <v>168.500376699478</v>
      </c>
    </row>
    <row r="10572" customFormat="false" ht="15" hidden="false" customHeight="false" outlineLevel="0" collapsed="false">
      <c r="A10572" s="0" t="s">
        <v>883</v>
      </c>
      <c r="B10572" s="0" t="s">
        <v>98</v>
      </c>
      <c r="D10572" s="6" t="n">
        <f aca="false">Sens!D10550</f>
        <v>84.605</v>
      </c>
      <c r="E10572" s="6" t="n">
        <f aca="false">Sens!E10550</f>
        <v>100.299</v>
      </c>
      <c r="F10572" s="6" t="n">
        <f aca="false">Sens!F10550</f>
        <v>120.39238776686</v>
      </c>
      <c r="G10572" s="6" t="n">
        <f aca="false">Sens!G10550</f>
        <v>141.544168448684</v>
      </c>
      <c r="H10572" s="6" t="n">
        <f aca="false">Sens!H10550</f>
        <v>162.777359388781</v>
      </c>
      <c r="I10572" s="6" t="n">
        <f aca="false">Sens!I10550</f>
        <v>181.584028071957</v>
      </c>
      <c r="J10572" s="6" t="n">
        <f aca="false">Sens!J10550</f>
        <v>197.682702785465</v>
      </c>
      <c r="K10572" s="6" t="n">
        <f aca="false">Sens!K10550</f>
        <v>213.027991980448</v>
      </c>
    </row>
    <row r="10573" customFormat="false" ht="17.15" hidden="false" customHeight="false" outlineLevel="0" collapsed="false">
      <c r="A10573" s="0" t="s">
        <v>903</v>
      </c>
      <c r="B10573" s="0" t="s">
        <v>98</v>
      </c>
      <c r="D10573" s="6" t="n">
        <f aca="false">Sens!D10548</f>
        <v>83.705</v>
      </c>
      <c r="E10573" s="6" t="n">
        <f aca="false">Sens!E10548</f>
        <v>95.049</v>
      </c>
      <c r="F10573" s="6" t="n">
        <f aca="false">Sens!F10548</f>
        <v>106.89238776686</v>
      </c>
      <c r="G10573" s="6" t="n">
        <f aca="false">Sens!G10548</f>
        <v>119.044168448684</v>
      </c>
      <c r="H10573" s="6" t="n">
        <f aca="false">Sens!H10548</f>
        <v>131.277359388781</v>
      </c>
      <c r="I10573" s="6" t="n">
        <f aca="false">Sens!I10548</f>
        <v>143.334028071957</v>
      </c>
      <c r="J10573" s="6" t="n">
        <f aca="false">Sens!J10548</f>
        <v>154.932702785465</v>
      </c>
      <c r="K10573" s="6" t="n">
        <f aca="false">Sens!K10548</f>
        <v>165.777991980448</v>
      </c>
    </row>
    <row r="10574" customFormat="false" ht="17.15" hidden="false" customHeight="false" outlineLevel="0" collapsed="false">
      <c r="A10574" s="0" t="s">
        <v>904</v>
      </c>
      <c r="B10574" s="0" t="s">
        <v>98</v>
      </c>
      <c r="D10574" s="6" t="n">
        <f aca="false">Sens!D10547</f>
        <v>0.9</v>
      </c>
      <c r="E10574" s="6" t="n">
        <f aca="false">Sens!E10547</f>
        <v>5.25</v>
      </c>
      <c r="F10574" s="6" t="n">
        <f aca="false">Sens!F10547</f>
        <v>13.5</v>
      </c>
      <c r="G10574" s="6" t="n">
        <f aca="false">Sens!G10547</f>
        <v>22.5</v>
      </c>
      <c r="H10574" s="6" t="n">
        <f aca="false">Sens!H10547</f>
        <v>31.5</v>
      </c>
      <c r="I10574" s="6" t="n">
        <f aca="false">Sens!I10547</f>
        <v>38.25</v>
      </c>
      <c r="J10574" s="6" t="n">
        <f aca="false">Sens!J10547</f>
        <v>42.75</v>
      </c>
      <c r="K10574" s="6" t="n">
        <f aca="false">Sens!K10547</f>
        <v>47.25</v>
      </c>
    </row>
    <row r="10575" customFormat="false" ht="15" hidden="false" customHeight="false" outlineLevel="0" collapsed="false">
      <c r="A10575" s="0" t="s">
        <v>884</v>
      </c>
      <c r="B10575" s="0" t="s">
        <v>98</v>
      </c>
      <c r="D10575" s="6" t="n">
        <f aca="false">Sens!D10551</f>
        <v>35.391</v>
      </c>
      <c r="E10575" s="6" t="n">
        <f aca="false">Sens!E10551</f>
        <v>37.285</v>
      </c>
      <c r="F10575" s="6" t="n">
        <f aca="false">Sens!F10551</f>
        <v>39.0720834331704</v>
      </c>
      <c r="G10575" s="6" t="n">
        <f aca="false">Sens!G10551</f>
        <v>40.726562953769</v>
      </c>
      <c r="H10575" s="6" t="n">
        <f aca="false">Sens!H10551</f>
        <v>42.2235987259198</v>
      </c>
      <c r="I10575" s="6" t="n">
        <f aca="false">Sens!I10551</f>
        <v>43.5397988077414</v>
      </c>
      <c r="J10575" s="6" t="n">
        <f aca="false">Sens!J10551</f>
        <v>44.653811225693</v>
      </c>
      <c r="K10575" s="6" t="n">
        <f aca="false">Sens!K10551</f>
        <v>45.5468874502068</v>
      </c>
    </row>
    <row r="10576" customFormat="false" ht="15" hidden="false" customHeight="false" outlineLevel="0" collapsed="false">
      <c r="A10576" s="0" t="s">
        <v>885</v>
      </c>
      <c r="B10576" s="0" t="s">
        <v>98</v>
      </c>
      <c r="D10576" s="6" t="n">
        <f aca="false">Sens!D10553</f>
        <v>18.417</v>
      </c>
      <c r="E10576" s="6" t="n">
        <f aca="false">Sens!E10553</f>
        <v>20.345</v>
      </c>
      <c r="F10576" s="6" t="n">
        <f aca="false">Sens!F10553</f>
        <v>22.3572203267814</v>
      </c>
      <c r="G10576" s="6" t="n">
        <f aca="false">Sens!G10553</f>
        <v>24.4392124437232</v>
      </c>
      <c r="H10576" s="6" t="n">
        <f aca="false">Sens!H10553</f>
        <v>26.5738052080665</v>
      </c>
      <c r="I10576" s="6" t="n">
        <f aca="false">Sens!I10553</f>
        <v>28.7412169166967</v>
      </c>
      <c r="J10576" s="6" t="n">
        <f aca="false">Sens!J10553</f>
        <v>30.9192545395413</v>
      </c>
      <c r="K10576" s="6" t="n">
        <f aca="false">Sens!K10553</f>
        <v>33.0836023573092</v>
      </c>
    </row>
    <row r="10577" customFormat="false" ht="15" hidden="false" customHeight="false" outlineLevel="0" collapsed="false">
      <c r="A10577" s="0" t="s">
        <v>886</v>
      </c>
      <c r="B10577" s="0" t="s">
        <v>98</v>
      </c>
      <c r="D10577" s="6" t="n">
        <f aca="false">Sens!D10555</f>
        <v>7.76</v>
      </c>
      <c r="E10577" s="6" t="n">
        <f aca="false">Sens!E10555</f>
        <v>8.26</v>
      </c>
      <c r="F10577" s="6" t="n">
        <f aca="false">Sens!F10555</f>
        <v>8.79988041237113</v>
      </c>
      <c r="G10577" s="6" t="n">
        <f aca="false">Sens!G10555</f>
        <v>9.38321269125306</v>
      </c>
      <c r="H10577" s="6" t="n">
        <f aca="false">Sens!H10555</f>
        <v>10.0139193587476</v>
      </c>
      <c r="I10577" s="6" t="n">
        <f aca="false">Sens!I10555</f>
        <v>10.6963111830911</v>
      </c>
      <c r="J10577" s="6" t="n">
        <f aca="false">Sens!J10555</f>
        <v>11.4351285534696</v>
      </c>
      <c r="K10577" s="6" t="n">
        <f aca="false">Sens!K10555</f>
        <v>12.2355875522124</v>
      </c>
    </row>
    <row r="10578" customFormat="false" ht="15" hidden="false" customHeight="false" outlineLevel="0" collapsed="false">
      <c r="A10578" s="0" t="s">
        <v>715</v>
      </c>
      <c r="B10578" s="0" t="s">
        <v>98</v>
      </c>
      <c r="D10578" s="6" t="n">
        <f aca="false">Sens!D10557</f>
        <v>218.783</v>
      </c>
      <c r="E10578" s="6" t="n">
        <f aca="false">Sens!E10557</f>
        <v>268.127</v>
      </c>
      <c r="F10578" s="6" t="n">
        <f aca="false">Sens!F10557</f>
        <v>339.433940907051</v>
      </c>
      <c r="G10578" s="6" t="n">
        <f aca="false">Sens!G10557</f>
        <v>424.490670881892</v>
      </c>
      <c r="H10578" s="6" t="n">
        <f aca="false">Sens!H10557</f>
        <v>515.646275281385</v>
      </c>
      <c r="I10578" s="6" t="n">
        <f aca="false">Sens!I10557</f>
        <v>592.863760444604</v>
      </c>
      <c r="J10578" s="6" t="n">
        <f aca="false">Sens!J10557</f>
        <v>654.596421863355</v>
      </c>
      <c r="K10578" s="6" t="n">
        <f aca="false">Sens!K10557</f>
        <v>703.647921299244</v>
      </c>
    </row>
    <row r="10579" customFormat="false" ht="15" hidden="false" customHeight="false" outlineLevel="0" collapsed="false">
      <c r="A10579" s="0" t="s">
        <v>887</v>
      </c>
      <c r="B10579" s="0" t="s">
        <v>98</v>
      </c>
      <c r="D10579" s="6" t="n">
        <f aca="false">Sens!D10558</f>
        <v>22.171</v>
      </c>
      <c r="E10579" s="6" t="n">
        <f aca="false">Sens!E10558</f>
        <v>24.835</v>
      </c>
      <c r="F10579" s="6" t="n">
        <f aca="false">Sens!F10558</f>
        <v>27.6114901218559</v>
      </c>
      <c r="G10579" s="6" t="n">
        <f aca="false">Sens!G10558</f>
        <v>30.4675667338515</v>
      </c>
      <c r="H10579" s="6" t="n">
        <f aca="false">Sens!H10558</f>
        <v>33.3643766955789</v>
      </c>
      <c r="I10579" s="6" t="n">
        <f aca="false">Sens!I10558</f>
        <v>36.2577016533691</v>
      </c>
      <c r="J10579" s="6" t="n">
        <f aca="false">Sens!J10558</f>
        <v>39.0988367952171</v>
      </c>
      <c r="K10579" s="6" t="n">
        <f aca="false">Sens!K10558</f>
        <v>41.8357553708823</v>
      </c>
    </row>
    <row r="10580" customFormat="false" ht="15" hidden="false" customHeight="false" outlineLevel="0" collapsed="false">
      <c r="A10580" s="0" t="s">
        <v>888</v>
      </c>
      <c r="B10580" s="0" t="s">
        <v>98</v>
      </c>
      <c r="D10580" s="6" t="n">
        <f aca="false">Sens!D10560</f>
        <v>23.455</v>
      </c>
      <c r="E10580" s="6" t="n">
        <f aca="false">Sens!E10560</f>
        <v>21.79</v>
      </c>
      <c r="F10580" s="6" t="n">
        <f aca="false">Sens!F10560</f>
        <v>20.6825777908051</v>
      </c>
      <c r="G10580" s="6" t="n">
        <f aca="false">Sens!G10560</f>
        <v>20.0484913708632</v>
      </c>
      <c r="H10580" s="6" t="n">
        <f aca="false">Sens!H10560</f>
        <v>19.8381125629905</v>
      </c>
      <c r="I10580" s="6" t="n">
        <f aca="false">Sens!I10560</f>
        <v>20.0299669735513</v>
      </c>
      <c r="J10580" s="6" t="n">
        <f aca="false">Sens!J10560</f>
        <v>20.6275710652887</v>
      </c>
      <c r="K10580" s="6" t="n">
        <f aca="false">Sens!K10560</f>
        <v>21.6589496185531</v>
      </c>
    </row>
    <row r="10581" customFormat="false" ht="15" hidden="false" customHeight="false" outlineLevel="0" collapsed="false">
      <c r="A10581" s="0" t="s">
        <v>889</v>
      </c>
      <c r="B10581" s="0" t="s">
        <v>98</v>
      </c>
      <c r="D10581" s="6" t="n">
        <f aca="false">Sens!D10562</f>
        <v>17.315</v>
      </c>
      <c r="E10581" s="6" t="n">
        <f aca="false">Sens!E10562</f>
        <v>17.087</v>
      </c>
      <c r="F10581" s="6" t="n">
        <f aca="false">Sens!F10562</f>
        <v>16.9564585436519</v>
      </c>
      <c r="G10581" s="6" t="n">
        <f aca="false">Sens!G10562</f>
        <v>16.9206490624268</v>
      </c>
      <c r="H10581" s="6" t="n">
        <f aca="false">Sens!H10562</f>
        <v>16.9784519149849</v>
      </c>
      <c r="I10581" s="6" t="n">
        <f aca="false">Sens!I10562</f>
        <v>17.1303084701817</v>
      </c>
      <c r="J10581" s="6" t="n">
        <f aca="false">Sens!J10562</f>
        <v>17.3782189407267</v>
      </c>
      <c r="K10581" s="6" t="n">
        <f aca="false">Sens!K10562</f>
        <v>17.7257833195413</v>
      </c>
    </row>
    <row r="10582" customFormat="false" ht="15" hidden="false" customHeight="false" outlineLevel="0" collapsed="false">
      <c r="A10582" s="0" t="s">
        <v>729</v>
      </c>
      <c r="B10582" s="0" t="s">
        <v>98</v>
      </c>
      <c r="D10582" s="6" t="n">
        <f aca="false">Sens!D10564</f>
        <v>62.941</v>
      </c>
      <c r="E10582" s="6" t="n">
        <f aca="false">Sens!E10564</f>
        <v>63.712</v>
      </c>
      <c r="F10582" s="6" t="n">
        <f aca="false">Sens!F10564</f>
        <v>65.2505264563129</v>
      </c>
      <c r="G10582" s="6" t="n">
        <f aca="false">Sens!G10564</f>
        <v>67.4367071671415</v>
      </c>
      <c r="H10582" s="6" t="n">
        <f aca="false">Sens!H10564</f>
        <v>70.1809411735542</v>
      </c>
      <c r="I10582" s="6" t="n">
        <f aca="false">Sens!I10564</f>
        <v>73.4179770971021</v>
      </c>
      <c r="J10582" s="6" t="n">
        <f aca="false">Sens!J10564</f>
        <v>77.1046268012325</v>
      </c>
      <c r="K10582" s="6" t="n">
        <f aca="false">Sens!K10564</f>
        <v>81.2204883089766</v>
      </c>
    </row>
    <row r="10583" customFormat="false" ht="15" hidden="false" customHeight="false" outlineLevel="0" collapsed="false">
      <c r="A10583" s="1" t="s">
        <v>905</v>
      </c>
      <c r="B10583" s="0" t="s">
        <v>98</v>
      </c>
      <c r="D10583" s="6" t="n">
        <f aca="false">Sens!D10565</f>
        <v>281.724</v>
      </c>
      <c r="E10583" s="6" t="n">
        <f aca="false">Sens!E10565</f>
        <v>331.839</v>
      </c>
      <c r="F10583" s="6" t="n">
        <f aca="false">Sens!F10565</f>
        <v>404.684467363364</v>
      </c>
      <c r="G10583" s="6" t="n">
        <f aca="false">Sens!G10565</f>
        <v>491.927378049033</v>
      </c>
      <c r="H10583" s="6" t="n">
        <f aca="false">Sens!H10565</f>
        <v>585.827216454939</v>
      </c>
      <c r="I10583" s="6" t="n">
        <f aca="false">Sens!I10565</f>
        <v>666.281737541706</v>
      </c>
      <c r="J10583" s="6" t="n">
        <f aca="false">Sens!J10565</f>
        <v>731.701048664587</v>
      </c>
      <c r="K10583" s="6" t="n">
        <f aca="false">Sens!K10565</f>
        <v>784.86840960822</v>
      </c>
    </row>
    <row r="10584" customFormat="false" ht="15" hidden="false" customHeight="false" outlineLevel="0" collapsed="false">
      <c r="A10584" s="1" t="s">
        <v>906</v>
      </c>
      <c r="B10584" s="0" t="s">
        <v>129</v>
      </c>
      <c r="E10584" s="7" t="n">
        <f aca="false">Sens!E10583/Sens!D10583-1</f>
        <v>0.177886867998467</v>
      </c>
      <c r="F10584" s="7" t="n">
        <f aca="false">Sens!F10583/Sens!E10583-1</f>
        <v>0.219520512547843</v>
      </c>
      <c r="G10584" s="7" t="n">
        <f aca="false">Sens!G10583/Sens!F10583-1</f>
        <v>0.215582553128571</v>
      </c>
      <c r="H10584" s="7" t="n">
        <f aca="false">Sens!H10583/Sens!G10583-1</f>
        <v>0.190881505270776</v>
      </c>
      <c r="I10584" s="7" t="n">
        <f aca="false">Sens!I10583/Sens!H10583-1</f>
        <v>0.137334898118301</v>
      </c>
      <c r="J10584" s="7" t="n">
        <f aca="false">Sens!J10583/Sens!I10583-1</f>
        <v>0.0981856584637164</v>
      </c>
      <c r="K10584" s="7" t="n">
        <f aca="false">Sens!K10583/Sens!J10583-1</f>
        <v>0.0726626824447878</v>
      </c>
    </row>
    <row r="10585" customFormat="false" ht="17.15" hidden="false" customHeight="false" outlineLevel="0" collapsed="false">
      <c r="A10585" s="23" t="s">
        <v>907</v>
      </c>
      <c r="B10585" s="30" t="s">
        <v>98</v>
      </c>
      <c r="C10585" s="30"/>
      <c r="D10585" s="24" t="n">
        <f aca="false">(Sens!D10578+Sens!D10582-Sens!D10583)+(Sens!D10570+Sens!D10571-Sens!D10569)+(Sens!D10573+Sens!D10574-Sens!D10572)+(Sens!D10583-Q!L18)</f>
        <v>0</v>
      </c>
      <c r="E10585" s="24" t="n">
        <f aca="false">(Sens!E10578+Sens!E10582-Sens!E10583)+(Sens!E10570+Sens!E10571-Sens!E10569)+(Sens!E10573+Sens!E10574-Sens!E10572)+(Sens!E10583-Q!M18)</f>
        <v>0</v>
      </c>
      <c r="F10585" s="24" t="n">
        <f aca="false">(Sens!F10578+Sens!F10582-Sens!F10583)+(Sens!F10570+Sens!F10571-Sens!F10569)+(Sens!F10573+Sens!F10574-Sens!F10572)</f>
        <v>0</v>
      </c>
      <c r="G10585" s="24" t="n">
        <f aca="false">(Sens!G10578+Sens!G10582-Sens!G10583)+(Sens!G10570+Sens!G10571-Sens!G10569)+(Sens!G10573+Sens!G10574-Sens!G10572)</f>
        <v>0</v>
      </c>
      <c r="H10585" s="24" t="n">
        <f aca="false">(Sens!H10578+Sens!H10582-Sens!H10583)+(Sens!H10570+Sens!H10571-Sens!H10569)+(Sens!H10573+Sens!H10574-Sens!H10572)</f>
        <v>0</v>
      </c>
      <c r="I10585" s="24" t="n">
        <f aca="false">(Sens!I10578+Sens!I10582-Sens!I10583)+(Sens!I10570+Sens!I10571-Sens!I10569)+(Sens!I10573+Sens!I10574-Sens!I10572)</f>
        <v>0</v>
      </c>
      <c r="J10585" s="24" t="n">
        <f aca="false">(Sens!J10578+Sens!J10582-Sens!J10583)+(Sens!J10570+Sens!J10571-Sens!J10569)+(Sens!J10573+Sens!J10574-Sens!J10572)</f>
        <v>0</v>
      </c>
      <c r="K10585" s="24" t="n">
        <f aca="false">(Sens!K10578+Sens!K10582-Sens!K10583)+(Sens!K10570+Sens!K10571-Sens!K10569)+(Sens!K10573+Sens!K10574-Sens!K10572)</f>
        <v>0</v>
      </c>
    </row>
    <row r="10586" customFormat="false" ht="17.15" hidden="false" customHeight="false" outlineLevel="0" collapsed="false">
      <c r="A10586" s="0" t="s">
        <v>908</v>
      </c>
      <c r="B10586" s="0" t="s">
        <v>129</v>
      </c>
      <c r="E10586" s="7" t="n">
        <f aca="false">(Q!M21+Sens!E10523+Sens!E10524+Sens!E10525+Sens!E10538-Sens!E10521)/(Q!M5-Sens!E10521)</f>
        <v>0.570957350878296</v>
      </c>
      <c r="F10586" s="7" t="n">
        <f aca="false">Sens!$E$10586+dm_seg</f>
        <v>0.570957350878296</v>
      </c>
      <c r="G10586" s="7" t="n">
        <f aca="false">Sens!$E$10586+dm_seg</f>
        <v>0.570957350878296</v>
      </c>
      <c r="H10586" s="7" t="n">
        <f aca="false">Sens!$E$10586+dm_seg</f>
        <v>0.570957350878296</v>
      </c>
      <c r="I10586" s="7" t="n">
        <f aca="false">Sens!$E$10586+dm_seg</f>
        <v>0.570957350878296</v>
      </c>
      <c r="J10586" s="7" t="n">
        <f aca="false">Sens!$E$10586+dm_seg</f>
        <v>0.570957350878296</v>
      </c>
      <c r="K10586" s="7" t="n">
        <f aca="false">Sens!$E$10586+dm_seg</f>
        <v>0.570957350878296</v>
      </c>
      <c r="L10586" s="11" t="s">
        <v>909</v>
      </c>
    </row>
    <row r="10587" customFormat="false" ht="17.15" hidden="false" customHeight="false" outlineLevel="0" collapsed="false">
      <c r="A10587" s="0" t="s">
        <v>743</v>
      </c>
      <c r="B10587" s="0" t="s">
        <v>98</v>
      </c>
      <c r="D10587" s="6" t="n">
        <f aca="false">Q!L21</f>
        <v>110.814</v>
      </c>
      <c r="E10587" s="6" t="n">
        <f aca="false">Q!M21</f>
        <v>136.365</v>
      </c>
      <c r="F10587" s="6" t="n">
        <f aca="false">Sens!F10586*(Sens!F10557-Sens!F10521)+Sens!F10521-(Sens!F10523+Sens!F10524+Sens!F10525)-Sens!F10538-Sens!F10621</f>
        <v>162.000181837324</v>
      </c>
      <c r="G10587" s="6" t="n">
        <f aca="false">Sens!G10586*(Sens!G10557-Sens!G10521)+Sens!G10521-(Sens!G10523+Sens!G10524+Sens!G10525)-Sens!G10538-Sens!G10621</f>
        <v>192.317770661619</v>
      </c>
      <c r="H10587" s="6" t="n">
        <f aca="false">Sens!H10586*(Sens!H10557-Sens!H10521)+Sens!H10521-(Sens!H10523+Sens!H10524+Sens!H10525)-Sens!H10538-Sens!H10621</f>
        <v>226.777114967085</v>
      </c>
      <c r="I10587" s="6" t="n">
        <f aca="false">Sens!I10586*(Sens!I10557-Sens!I10521)+Sens!I10521-(Sens!I10523+Sens!I10524+Sens!I10525)-Sens!I10538-Sens!I10621</f>
        <v>253.111115254364</v>
      </c>
      <c r="J10587" s="6" t="n">
        <f aca="false">Sens!J10586*(Sens!J10557-Sens!J10521)+Sens!J10521-(Sens!J10523+Sens!J10524+Sens!J10525)-Sens!J10538-Sens!J10621</f>
        <v>275.784499735021</v>
      </c>
      <c r="K10587" s="6" t="n">
        <f aca="false">Sens!K10586*(Sens!K10557-Sens!K10521)+Sens!K10521-(Sens!K10523+Sens!K10524+Sens!K10525)-Sens!K10538-Sens!K10621</f>
        <v>296.380785392199</v>
      </c>
      <c r="L10587" s="1" t="s">
        <v>910</v>
      </c>
    </row>
    <row r="10588" customFormat="false" ht="17.15" hidden="false" customHeight="false" outlineLevel="0" collapsed="false">
      <c r="A10588" s="0" t="s">
        <v>911</v>
      </c>
      <c r="B10588" s="0" t="s">
        <v>129</v>
      </c>
      <c r="E10588" s="7" t="n">
        <f aca="false">Q!M22/Q!M12</f>
        <v>0.296207935710698</v>
      </c>
      <c r="F10588" s="7" t="n">
        <f aca="false">Sens!$E$10588+dm_seg</f>
        <v>0.296207935710698</v>
      </c>
      <c r="G10588" s="7" t="n">
        <f aca="false">Sens!$E$10588+dm_seg</f>
        <v>0.296207935710698</v>
      </c>
      <c r="H10588" s="7" t="n">
        <f aca="false">Sens!$E$10588+dm_seg</f>
        <v>0.296207935710698</v>
      </c>
      <c r="I10588" s="7" t="n">
        <f aca="false">Sens!$E$10588+dm_seg</f>
        <v>0.296207935710698</v>
      </c>
      <c r="J10588" s="7" t="n">
        <f aca="false">Sens!$E$10588+dm_seg</f>
        <v>0.296207935710698</v>
      </c>
      <c r="K10588" s="7" t="n">
        <f aca="false">Sens!$E$10588+dm_seg</f>
        <v>0.296207935710698</v>
      </c>
      <c r="L10588" s="11" t="s">
        <v>912</v>
      </c>
    </row>
    <row r="10589" customFormat="false" ht="17.15" hidden="false" customHeight="false" outlineLevel="0" collapsed="false">
      <c r="A10589" s="0" t="s">
        <v>745</v>
      </c>
      <c r="B10589" s="0" t="s">
        <v>98</v>
      </c>
      <c r="D10589" s="6" t="n">
        <f aca="false">Q!L22</f>
        <v>17.714</v>
      </c>
      <c r="E10589" s="6" t="n">
        <f aca="false">Q!M22</f>
        <v>18.872</v>
      </c>
      <c r="F10589" s="6" t="n">
        <f aca="false">Sens!F10564*Sens!F10588</f>
        <v>19.3277237456607</v>
      </c>
      <c r="G10589" s="6" t="n">
        <f aca="false">Sens!G10564*Sens!G10588</f>
        <v>19.9752878211058</v>
      </c>
      <c r="H10589" s="6" t="n">
        <f aca="false">Sens!H10564*Sens!H10588</f>
        <v>20.7881517112524</v>
      </c>
      <c r="I10589" s="6" t="n">
        <f aca="false">Sens!I10564*Sens!I10588</f>
        <v>21.7469874399879</v>
      </c>
      <c r="J10589" s="6" t="n">
        <f aca="false">Sens!J10564*Sens!J10588</f>
        <v>22.8390023385368</v>
      </c>
      <c r="K10589" s="6" t="n">
        <f aca="false">Sens!K10564*Sens!K10588</f>
        <v>24.0581531794169</v>
      </c>
    </row>
    <row r="10590" customFormat="false" ht="15" hidden="false" customHeight="false" outlineLevel="0" collapsed="false">
      <c r="A10590" s="1" t="s">
        <v>913</v>
      </c>
      <c r="B10590" s="0" t="s">
        <v>98</v>
      </c>
      <c r="D10590" s="6" t="n">
        <f aca="false">Sens!D10587+Sens!D10589</f>
        <v>128.528</v>
      </c>
      <c r="E10590" s="6" t="n">
        <f aca="false">Sens!E10587+Sens!E10589</f>
        <v>155.237</v>
      </c>
      <c r="F10590" s="6" t="n">
        <f aca="false">Sens!F10587+Sens!F10589</f>
        <v>181.327905582985</v>
      </c>
      <c r="G10590" s="6" t="n">
        <f aca="false">Sens!G10587+Sens!G10589</f>
        <v>212.293058482725</v>
      </c>
      <c r="H10590" s="6" t="n">
        <f aca="false">Sens!H10587+Sens!H10589</f>
        <v>247.565266678337</v>
      </c>
      <c r="I10590" s="6" t="n">
        <f aca="false">Sens!I10587+Sens!I10589</f>
        <v>274.858102694352</v>
      </c>
      <c r="J10590" s="6" t="n">
        <f aca="false">Sens!J10587+Sens!J10589</f>
        <v>298.623502073558</v>
      </c>
      <c r="K10590" s="6" t="n">
        <f aca="false">Sens!K10587+Sens!K10589</f>
        <v>320.438938571616</v>
      </c>
    </row>
    <row r="10591" customFormat="false" ht="15" hidden="false" customHeight="false" outlineLevel="0" collapsed="false">
      <c r="A10591" s="23" t="s">
        <v>914</v>
      </c>
      <c r="B10591" s="30" t="s">
        <v>98</v>
      </c>
      <c r="C10591" s="30"/>
      <c r="D10591" s="24" t="n">
        <f aca="false">Sens!D10590-Q!L23</f>
        <v>0</v>
      </c>
      <c r="E10591" s="24" t="n">
        <f aca="false">Sens!E10590-Q!M23</f>
        <v>0</v>
      </c>
      <c r="F10591" s="30"/>
      <c r="G10591" s="30"/>
      <c r="H10591" s="30"/>
      <c r="I10591" s="30"/>
      <c r="J10591" s="30"/>
      <c r="K10591" s="30"/>
    </row>
    <row r="10592" customFormat="false" ht="15" hidden="false" customHeight="false" outlineLevel="0" collapsed="false">
      <c r="A10592" s="1" t="s">
        <v>915</v>
      </c>
      <c r="B10592" s="0" t="s">
        <v>129</v>
      </c>
      <c r="D10592" s="7" t="n">
        <f aca="false">Sens!D10590/Sens!D10583</f>
        <v>0.456219562408598</v>
      </c>
      <c r="E10592" s="7" t="n">
        <f aca="false">Sens!E10590/Sens!E10583</f>
        <v>0.467808184089272</v>
      </c>
      <c r="F10592" s="7" t="n">
        <f aca="false">Sens!F10590/Sens!F10583</f>
        <v>0.448072313633355</v>
      </c>
      <c r="G10592" s="7" t="n">
        <f aca="false">Sens!G10590/Sens!G10583</f>
        <v>0.431553655998313</v>
      </c>
      <c r="H10592" s="7" t="n">
        <f aca="false">Sens!H10590/Sens!H10583</f>
        <v>0.422590927366686</v>
      </c>
      <c r="I10592" s="7" t="n">
        <f aca="false">Sens!I10590/Sens!I10583</f>
        <v>0.412525343570816</v>
      </c>
      <c r="J10592" s="7" t="n">
        <f aca="false">Sens!J10590/Sens!J10583</f>
        <v>0.408122282479395</v>
      </c>
      <c r="K10592" s="7" t="n">
        <f aca="false">Sens!K10590/Sens!K10583</f>
        <v>0.40827090840816</v>
      </c>
    </row>
    <row r="10593" customFormat="false" ht="17.15" hidden="false" customHeight="false" outlineLevel="0" collapsed="false">
      <c r="A10593" s="1" t="s">
        <v>916</v>
      </c>
      <c r="B10593" s="0" t="s">
        <v>98</v>
      </c>
      <c r="F10593" s="6" t="n">
        <f aca="false">Sens!F10608</f>
        <v>8.44248444763781</v>
      </c>
      <c r="G10593" s="6" t="n">
        <f aca="false">Sens!G10608</f>
        <v>21.3653222817508</v>
      </c>
      <c r="H10593" s="6" t="n">
        <f aca="false">Sens!H10608</f>
        <v>35.8221390663856</v>
      </c>
      <c r="I10593" s="6" t="n">
        <f aca="false">Sens!I10608</f>
        <v>49.3691841492478</v>
      </c>
      <c r="J10593" s="6" t="n">
        <f aca="false">Sens!J10608</f>
        <v>59.0322720639359</v>
      </c>
      <c r="K10593" s="6" t="n">
        <f aca="false">Sens!K10608</f>
        <v>64.2195097796802</v>
      </c>
      <c r="L10593" s="1" t="s">
        <v>917</v>
      </c>
    </row>
    <row r="10594" customFormat="false" ht="17.15" hidden="false" customHeight="false" outlineLevel="0" collapsed="false">
      <c r="A10594" s="1" t="s">
        <v>918</v>
      </c>
      <c r="B10594" s="0" t="s">
        <v>98</v>
      </c>
      <c r="D10594" s="6" t="n">
        <f aca="false">Sens!D10590</f>
        <v>128.528</v>
      </c>
      <c r="E10594" s="6" t="n">
        <f aca="false">Sens!E10590</f>
        <v>155.237</v>
      </c>
      <c r="F10594" s="6" t="n">
        <f aca="false">Sens!F10590+Sens!F10593</f>
        <v>189.770390030622</v>
      </c>
      <c r="G10594" s="6" t="n">
        <f aca="false">Sens!G10590+Sens!G10593</f>
        <v>233.658380764475</v>
      </c>
      <c r="H10594" s="6" t="n">
        <f aca="false">Sens!H10590+Sens!H10593</f>
        <v>283.387405744723</v>
      </c>
      <c r="I10594" s="6" t="n">
        <f aca="false">Sens!I10590+Sens!I10593</f>
        <v>324.2272868436</v>
      </c>
      <c r="J10594" s="6" t="n">
        <f aca="false">Sens!J10590+Sens!J10593</f>
        <v>357.655774137494</v>
      </c>
      <c r="K10594" s="6" t="n">
        <f aca="false">Sens!K10590+Sens!K10593</f>
        <v>384.658448351296</v>
      </c>
    </row>
    <row r="10595" customFormat="false" ht="17.15" hidden="false" customHeight="false" outlineLevel="0" collapsed="false">
      <c r="A10595" s="1" t="s">
        <v>919</v>
      </c>
      <c r="B10595" s="0" t="s">
        <v>98</v>
      </c>
      <c r="E10595" s="6" t="n">
        <f aca="false">Sens!E10538</f>
        <v>16.3054059770833</v>
      </c>
      <c r="F10595" s="6" t="n">
        <f aca="false">Sens!F10538</f>
        <v>34.0498873809555</v>
      </c>
      <c r="G10595" s="6" t="n">
        <f aca="false">Sens!G10538</f>
        <v>59.1254371105111</v>
      </c>
      <c r="H10595" s="6" t="n">
        <f aca="false">Sens!H10538</f>
        <v>86.3610198433111</v>
      </c>
      <c r="I10595" s="6" t="n">
        <f aca="false">Sens!I10538</f>
        <v>110.605743832393</v>
      </c>
      <c r="J10595" s="6" t="n">
        <f aca="false">Sens!J10538</f>
        <v>127.998322852843</v>
      </c>
      <c r="K10595" s="6" t="n">
        <f aca="false">Sens!K10538</f>
        <v>139.131464044308</v>
      </c>
    </row>
    <row r="10596" customFormat="false" ht="17.15" hidden="false" customHeight="false" outlineLevel="0" collapsed="false">
      <c r="A10596" s="1" t="s">
        <v>920</v>
      </c>
      <c r="B10596" s="0" t="s">
        <v>98</v>
      </c>
      <c r="E10596" s="6" t="n">
        <f aca="false">Sens!E10620</f>
        <v>22.2285940229167</v>
      </c>
      <c r="F10596" s="6" t="n">
        <f aca="false">Sens!F10620</f>
        <v>24.3924470334783</v>
      </c>
      <c r="G10596" s="6" t="n">
        <f aca="false">Sens!G10620</f>
        <v>26.1144257254366</v>
      </c>
      <c r="H10596" s="6" t="n">
        <f aca="false">Sens!H10620</f>
        <v>28.260946925778</v>
      </c>
      <c r="I10596" s="6" t="n">
        <f aca="false">Sens!I10620</f>
        <v>30.7551762392294</v>
      </c>
      <c r="J10596" s="6" t="n">
        <f aca="false">Sens!J10620</f>
        <v>33.504750591744</v>
      </c>
      <c r="K10596" s="6" t="n">
        <f aca="false">Sens!K10620</f>
        <v>36.425092952593</v>
      </c>
    </row>
    <row r="10597" customFormat="false" ht="17.15" hidden="false" customHeight="false" outlineLevel="0" collapsed="false">
      <c r="A10597" s="1" t="s">
        <v>921</v>
      </c>
      <c r="B10597" s="0" t="s">
        <v>98</v>
      </c>
      <c r="D10597" s="6" t="n">
        <f aca="false">Q!L27</f>
        <v>-4.901</v>
      </c>
      <c r="E10597" s="6" t="n">
        <f aca="false">Q!M27</f>
        <v>10.697</v>
      </c>
      <c r="F10597" s="6" t="n">
        <f aca="false">oie_f</f>
        <v>-0.4</v>
      </c>
      <c r="G10597" s="6" t="n">
        <f aca="false">oie_f</f>
        <v>-0.4</v>
      </c>
      <c r="H10597" s="6" t="n">
        <f aca="false">oie_f</f>
        <v>-0.4</v>
      </c>
      <c r="I10597" s="6" t="n">
        <f aca="false">oie_f</f>
        <v>-0.4</v>
      </c>
      <c r="J10597" s="6" t="n">
        <f aca="false">oie_f</f>
        <v>-0.4</v>
      </c>
      <c r="K10597" s="6" t="n">
        <f aca="false">oie_f</f>
        <v>-0.4</v>
      </c>
      <c r="L10597" s="11" t="s">
        <v>922</v>
      </c>
    </row>
    <row r="10598" customFormat="false" ht="15" hidden="false" customHeight="false" outlineLevel="0" collapsed="false">
      <c r="A10598" s="1" t="s">
        <v>923</v>
      </c>
      <c r="B10598" s="0" t="s">
        <v>98</v>
      </c>
      <c r="D10598" s="6" t="n">
        <f aca="false">Sens!D10590+Sens!D10597</f>
        <v>123.627</v>
      </c>
      <c r="E10598" s="6" t="n">
        <f aca="false">Sens!E10590+Sens!E10597</f>
        <v>165.934</v>
      </c>
      <c r="F10598" s="6" t="n">
        <f aca="false">Sens!F10590+Sens!F10597</f>
        <v>180.927905582985</v>
      </c>
      <c r="G10598" s="6" t="n">
        <f aca="false">Sens!G10590+Sens!G10597</f>
        <v>211.893058482725</v>
      </c>
      <c r="H10598" s="6" t="n">
        <f aca="false">Sens!H10590+Sens!H10597</f>
        <v>247.165266678337</v>
      </c>
      <c r="I10598" s="6" t="n">
        <f aca="false">Sens!I10590+Sens!I10597</f>
        <v>274.458102694352</v>
      </c>
      <c r="J10598" s="6" t="n">
        <f aca="false">Sens!J10590+Sens!J10597</f>
        <v>298.223502073558</v>
      </c>
      <c r="K10598" s="6" t="n">
        <f aca="false">Sens!K10590+Sens!K10597</f>
        <v>320.038938571616</v>
      </c>
    </row>
    <row r="10599" customFormat="false" ht="15" hidden="false" customHeight="false" outlineLevel="0" collapsed="false">
      <c r="A10599" s="1" t="s">
        <v>924</v>
      </c>
      <c r="B10599" s="0" t="s">
        <v>98</v>
      </c>
      <c r="D10599" s="6" t="n">
        <f aca="false">Q!L29</f>
        <v>21.795</v>
      </c>
      <c r="E10599" s="6" t="n">
        <f aca="false">Q!M29</f>
        <v>32.185</v>
      </c>
      <c r="F10599" s="6" t="n">
        <f aca="false">Sens!F10598*tax_f</f>
        <v>36.1855811165969</v>
      </c>
      <c r="G10599" s="6" t="n">
        <f aca="false">Sens!G10598*tax_f</f>
        <v>42.3786116965449</v>
      </c>
      <c r="H10599" s="6" t="n">
        <f aca="false">Sens!H10598*tax_f</f>
        <v>49.4330533356674</v>
      </c>
      <c r="I10599" s="6" t="n">
        <f aca="false">Sens!I10598*tax_f</f>
        <v>54.8916205388705</v>
      </c>
      <c r="J10599" s="6" t="n">
        <f aca="false">Sens!J10598*tax_f</f>
        <v>59.6447004147116</v>
      </c>
      <c r="K10599" s="6" t="n">
        <f aca="false">Sens!K10598*tax_f</f>
        <v>64.0077877143231</v>
      </c>
    </row>
    <row r="10600" customFormat="false" ht="15" hidden="false" customHeight="false" outlineLevel="0" collapsed="false">
      <c r="A10600" s="1" t="s">
        <v>925</v>
      </c>
      <c r="B10600" s="0" t="s">
        <v>98</v>
      </c>
      <c r="D10600" s="6" t="n">
        <f aca="false">Sens!D10598-Sens!D10599</f>
        <v>101.832</v>
      </c>
      <c r="E10600" s="6" t="n">
        <f aca="false">Sens!E10598-Sens!E10599</f>
        <v>133.749</v>
      </c>
      <c r="F10600" s="6" t="n">
        <f aca="false">Sens!F10598-Sens!F10599</f>
        <v>144.742324466388</v>
      </c>
      <c r="G10600" s="6" t="n">
        <f aca="false">Sens!G10598-Sens!G10599</f>
        <v>169.51444678618</v>
      </c>
      <c r="H10600" s="6" t="n">
        <f aca="false">Sens!H10598-Sens!H10599</f>
        <v>197.73221334267</v>
      </c>
      <c r="I10600" s="6" t="n">
        <f aca="false">Sens!I10598-Sens!I10599</f>
        <v>219.566482155482</v>
      </c>
      <c r="J10600" s="6" t="n">
        <f aca="false">Sens!J10598-Sens!J10599</f>
        <v>238.578801658846</v>
      </c>
      <c r="K10600" s="6" t="n">
        <f aca="false">Sens!K10598-Sens!K10599</f>
        <v>256.031150857293</v>
      </c>
    </row>
    <row r="10601" customFormat="false" ht="17.15" hidden="false" customHeight="false" outlineLevel="0" collapsed="false">
      <c r="A10601" s="1" t="s">
        <v>926</v>
      </c>
      <c r="B10601" s="1" t="s">
        <v>81</v>
      </c>
      <c r="D10601" s="14" t="n">
        <f aca="false">Q!L31</f>
        <v>7.465</v>
      </c>
      <c r="E10601" s="14" t="n">
        <f aca="false">Q!M31</f>
        <v>7.453</v>
      </c>
      <c r="F10601" s="14" t="n">
        <f aca="false">Sens!F10644</f>
        <v>7.4735</v>
      </c>
      <c r="G10601" s="14" t="n">
        <f aca="false">Sens!G10644</f>
        <v>7.50812318444684</v>
      </c>
      <c r="H10601" s="14" t="n">
        <f aca="false">Sens!H10644</f>
        <v>7.52549795474362</v>
      </c>
      <c r="I10601" s="14" t="n">
        <f aca="false">Sens!I10644</f>
        <v>7.53727878675094</v>
      </c>
      <c r="J10601" s="14" t="n">
        <f aca="false">Sens!J10644</f>
        <v>7.55152029786882</v>
      </c>
      <c r="K10601" s="14" t="n">
        <f aca="false">Sens!K10644</f>
        <v>7.56804021557056</v>
      </c>
    </row>
    <row r="10602" customFormat="false" ht="17.15" hidden="false" customHeight="false" outlineLevel="0" collapsed="false">
      <c r="A10602" s="0" t="s">
        <v>927</v>
      </c>
      <c r="B10602" s="0" t="s">
        <v>75</v>
      </c>
      <c r="D10602" s="8" t="n">
        <f aca="false">Sens!D10600/Sens!D10601</f>
        <v>13.641259209645</v>
      </c>
      <c r="E10602" s="8" t="n">
        <f aca="false">Sens!E10600/Sens!E10601</f>
        <v>17.9456594659869</v>
      </c>
      <c r="F10602" s="8" t="n">
        <f aca="false">Sens!F10600/Sens!F10601</f>
        <v>19.367408104153</v>
      </c>
      <c r="G10602" s="8" t="n">
        <f aca="false">Sens!G10600/Sens!G10601</f>
        <v>22.5774727747316</v>
      </c>
      <c r="H10602" s="8" t="n">
        <f aca="false">Sens!H10600/Sens!H10601</f>
        <v>26.2749673884412</v>
      </c>
      <c r="I10602" s="8" t="n">
        <f aca="false">Sens!I10600/Sens!I10601</f>
        <v>29.1307364856182</v>
      </c>
      <c r="J10602" s="8" t="n">
        <f aca="false">Sens!J10600/Sens!J10601</f>
        <v>31.593479491299</v>
      </c>
      <c r="K10602" s="8" t="n">
        <f aca="false">Sens!K10600/Sens!K10601</f>
        <v>33.8305748336976</v>
      </c>
      <c r="L10602" s="1" t="s">
        <v>928</v>
      </c>
    </row>
    <row r="10603" customFormat="false" ht="17.15" hidden="false" customHeight="false" outlineLevel="0" collapsed="false">
      <c r="A10603" s="1" t="s">
        <v>929</v>
      </c>
      <c r="B10603" s="0" t="s">
        <v>98</v>
      </c>
      <c r="D10603" s="6" t="n">
        <f aca="false">Sens!D10600</f>
        <v>101.832</v>
      </c>
      <c r="E10603" s="6" t="n">
        <f aca="false">Sens!E10600</f>
        <v>133.749</v>
      </c>
      <c r="F10603" s="6" t="n">
        <f aca="false">Sens!F10600+Sens!F10593*(1-tax_f)</f>
        <v>151.496312024498</v>
      </c>
      <c r="G10603" s="6" t="n">
        <f aca="false">Sens!G10600+Sens!G10593*(1-tax_f)</f>
        <v>186.60670461158</v>
      </c>
      <c r="H10603" s="6" t="n">
        <f aca="false">Sens!H10600+Sens!H10593*(1-tax_f)</f>
        <v>226.389924595778</v>
      </c>
      <c r="I10603" s="6" t="n">
        <f aca="false">Sens!I10600+Sens!I10593*(1-tax_f)</f>
        <v>259.06182947488</v>
      </c>
      <c r="J10603" s="6" t="n">
        <f aca="false">Sens!J10600+Sens!J10593*(1-tax_f)</f>
        <v>285.804619309995</v>
      </c>
      <c r="K10603" s="6" t="n">
        <f aca="false">Sens!K10600+Sens!K10593*(1-tax_f)</f>
        <v>307.406758681037</v>
      </c>
    </row>
    <row r="10604" customFormat="false" ht="17.15" hidden="false" customHeight="false" outlineLevel="0" collapsed="false">
      <c r="A10604" s="0" t="s">
        <v>930</v>
      </c>
      <c r="B10604" s="0" t="s">
        <v>75</v>
      </c>
      <c r="D10604" s="8" t="n">
        <f aca="false">Sens!D10603/Sens!D10601</f>
        <v>13.641259209645</v>
      </c>
      <c r="E10604" s="8" t="n">
        <f aca="false">Sens!E10603/Sens!E10601</f>
        <v>17.9456594659869</v>
      </c>
      <c r="F10604" s="8" t="n">
        <f aca="false">Sens!F10603/Sens!F10601</f>
        <v>20.2711329396532</v>
      </c>
      <c r="G10604" s="8" t="n">
        <f aca="false">Sens!G10603/Sens!G10601</f>
        <v>24.8539748253116</v>
      </c>
      <c r="H10604" s="8" t="n">
        <f aca="false">Sens!H10603/Sens!H10601</f>
        <v>30.0830491161154</v>
      </c>
      <c r="I10604" s="8" t="n">
        <f aca="false">Sens!I10603/Sens!I10601</f>
        <v>34.3707373449235</v>
      </c>
      <c r="J10604" s="8" t="n">
        <f aca="false">Sens!J10603/Sens!J10601</f>
        <v>37.8472953837725</v>
      </c>
      <c r="K10604" s="8" t="n">
        <f aca="false">Sens!K10603/Sens!K10601</f>
        <v>40.6190704495168</v>
      </c>
      <c r="L10604" s="1" t="s">
        <v>931</v>
      </c>
    </row>
    <row r="10605" customFormat="false" ht="17.15" hidden="false" customHeight="false" outlineLevel="0" collapsed="false">
      <c r="A10605" s="0" t="s">
        <v>932</v>
      </c>
      <c r="B10605" s="0" t="s">
        <v>129</v>
      </c>
      <c r="E10605" s="7" t="n">
        <f aca="false">Sens!E10604/Sens!D10604-1</f>
        <v>0.315542736208578</v>
      </c>
      <c r="F10605" s="7" t="n">
        <f aca="false">Sens!F10604/Sens!E10604-1</f>
        <v>0.129584174829232</v>
      </c>
      <c r="G10605" s="7" t="n">
        <f aca="false">Sens!G10604/Sens!F10604-1</f>
        <v>0.226077244883231</v>
      </c>
      <c r="H10605" s="7" t="n">
        <f aca="false">Sens!H10604/Sens!G10604-1</f>
        <v>0.210391872026778</v>
      </c>
      <c r="I10605" s="7" t="n">
        <f aca="false">Sens!I10604/Sens!H10604-1</f>
        <v>0.14252837909676</v>
      </c>
      <c r="J10605" s="7" t="n">
        <f aca="false">Sens!J10604/Sens!I10604-1</f>
        <v>0.101148776762059</v>
      </c>
      <c r="K10605" s="7" t="n">
        <f aca="false">Sens!K10604/Sens!J10604-1</f>
        <v>0.0732357500750946</v>
      </c>
    </row>
    <row r="10606" customFormat="false" ht="17.15" hidden="false" customHeight="false" outlineLevel="0" collapsed="false">
      <c r="A10606" s="0" t="s">
        <v>856</v>
      </c>
      <c r="B10606" s="0" t="s">
        <v>98</v>
      </c>
      <c r="E10606" s="6" t="n">
        <f aca="false">Sens!E10547</f>
        <v>5.25</v>
      </c>
      <c r="F10606" s="6" t="n">
        <f aca="false">Sens!F10547</f>
        <v>13.5</v>
      </c>
      <c r="G10606" s="6" t="n">
        <f aca="false">Sens!G10547</f>
        <v>22.5</v>
      </c>
      <c r="H10606" s="6" t="n">
        <f aca="false">Sens!H10547</f>
        <v>31.5</v>
      </c>
      <c r="I10606" s="6" t="n">
        <f aca="false">Sens!I10547</f>
        <v>38.25</v>
      </c>
      <c r="J10606" s="6" t="n">
        <f aca="false">Sens!J10547</f>
        <v>42.75</v>
      </c>
      <c r="K10606" s="6" t="n">
        <f aca="false">Sens!K10547</f>
        <v>47.25</v>
      </c>
    </row>
    <row r="10607" customFormat="false" ht="17.15" hidden="false" customHeight="false" outlineLevel="0" collapsed="false">
      <c r="A10607" s="1" t="s">
        <v>857</v>
      </c>
      <c r="B10607" s="0" t="s">
        <v>98</v>
      </c>
      <c r="F10607" s="6" t="n">
        <f aca="false">MAX(0,((Sens!E10510+Sens!F10510)/2-(shadow_base*(Sens!$D$10510+Sens!$E$10510)/2+(1-shadow_base)*Sens!$E$10510))*Sens!F10518/1000-(Sens!F10606-Sens!$E$10606)*Sens!F10586)</f>
        <v>8.44248444763781</v>
      </c>
      <c r="G10607" s="6" t="n">
        <f aca="false">MAX(0,((Sens!F10510+Sens!G10510)/2-(shadow_base*(Sens!$D$10510+Sens!$E$10510)/2+(1-shadow_base)*Sens!$E$10510))*Sens!G10518/1000-(Sens!G10606-Sens!$E$10606)*Sens!G10586)</f>
        <v>21.3653222817508</v>
      </c>
      <c r="H10607" s="6" t="n">
        <f aca="false">MAX(0,((Sens!G10510+Sens!H10510)/2-(shadow_base*(Sens!$D$10510+Sens!$E$10510)/2+(1-shadow_base)*Sens!$E$10510))*Sens!H10518/1000-(Sens!H10606-Sens!$E$10606)*Sens!H10586)</f>
        <v>35.8221390663856</v>
      </c>
      <c r="I10607" s="6" t="n">
        <f aca="false">MAX(0,((Sens!H10510+Sens!I10510)/2-(shadow_base*(Sens!$D$10510+Sens!$E$10510)/2+(1-shadow_base)*Sens!$E$10510))*Sens!I10518/1000-(Sens!I10606-Sens!$E$10606)*Sens!I10586)</f>
        <v>49.3691841492478</v>
      </c>
      <c r="J10607" s="6" t="n">
        <f aca="false">MAX(0,((Sens!I10510+Sens!J10510)/2-(shadow_base*(Sens!$D$10510+Sens!$E$10510)/2+(1-shadow_base)*Sens!$E$10510))*Sens!J10518/1000-(Sens!J10606-Sens!$E$10606)*Sens!J10586)</f>
        <v>59.0322720639359</v>
      </c>
      <c r="K10607" s="6" t="n">
        <f aca="false">MAX(0,((Sens!J10510+Sens!K10510)/2-(shadow_base*(Sens!$D$10510+Sens!$E$10510)/2+(1-shadow_base)*Sens!$E$10510))*Sens!K10518/1000-(Sens!K10606-Sens!$E$10606)*Sens!K10586)</f>
        <v>64.2195097796802</v>
      </c>
      <c r="L10607" s="1" t="s">
        <v>858</v>
      </c>
    </row>
    <row r="10608" customFormat="false" ht="17.15" hidden="false" customHeight="false" outlineLevel="0" collapsed="false">
      <c r="A10608" s="1" t="s">
        <v>859</v>
      </c>
      <c r="B10608" s="0" t="s">
        <v>98</v>
      </c>
      <c r="F10608" s="6" t="n">
        <f aca="false">IF(internal_ai_reading=2,1,0)*Sens!F10607</f>
        <v>8.44248444763781</v>
      </c>
      <c r="G10608" s="6" t="n">
        <f aca="false">IF(internal_ai_reading=2,1,0)*Sens!G10607</f>
        <v>21.3653222817508</v>
      </c>
      <c r="H10608" s="6" t="n">
        <f aca="false">IF(internal_ai_reading=2,1,0)*Sens!H10607</f>
        <v>35.8221390663856</v>
      </c>
      <c r="I10608" s="6" t="n">
        <f aca="false">IF(internal_ai_reading=2,1,0)*Sens!I10607</f>
        <v>49.3691841492478</v>
      </c>
      <c r="J10608" s="6" t="n">
        <f aca="false">IF(internal_ai_reading=2,1,0)*Sens!J10607</f>
        <v>59.0322720639359</v>
      </c>
      <c r="K10608" s="6" t="n">
        <f aca="false">IF(internal_ai_reading=2,1,0)*Sens!K10607</f>
        <v>64.2195097796802</v>
      </c>
    </row>
    <row r="10609" customFormat="false" ht="17.15" hidden="false" customHeight="false" outlineLevel="0" collapsed="false">
      <c r="A10609" s="0" t="s">
        <v>860</v>
      </c>
      <c r="B10609" s="0" t="s">
        <v>98</v>
      </c>
      <c r="F10609" s="6" t="n">
        <f aca="false">Sens!F10527+Sens!F10606*Sens!F10586+Sens!F10608-Sens!F10528-Sens!F10538</f>
        <v>18.6954441577666</v>
      </c>
      <c r="G10609" s="6" t="n">
        <f aca="false">Sens!G10527+Sens!G10606*Sens!G10586+Sens!G10608-Sens!G10528-Sens!G10538</f>
        <v>42.7730967717415</v>
      </c>
      <c r="H10609" s="6" t="n">
        <f aca="false">Sens!H10527+Sens!H10606*Sens!H10586+Sens!H10608-Sens!H10528-Sens!H10538</f>
        <v>72.3524695349497</v>
      </c>
      <c r="I10609" s="6" t="n">
        <f aca="false">Sens!I10527+Sens!I10606*Sens!I10586+Sens!I10608-Sens!I10528-Sens!I10538</f>
        <v>93.3920399917181</v>
      </c>
      <c r="J10609" s="6" t="n">
        <f aca="false">Sens!J10527+Sens!J10606*Sens!J10586+Sens!J10608-Sens!J10528-Sens!J10538</f>
        <v>108.132424046476</v>
      </c>
      <c r="K10609" s="6" t="n">
        <f aca="false">Sens!K10527+Sens!K10606*Sens!K10586+Sens!K10608-Sens!K10528-Sens!K10538</f>
        <v>118.341283106908</v>
      </c>
    </row>
    <row r="10610" customFormat="false" ht="17.15" hidden="false" customHeight="false" outlineLevel="0" collapsed="false">
      <c r="A10610" s="0" t="s">
        <v>861</v>
      </c>
      <c r="B10610" s="0" t="s">
        <v>98</v>
      </c>
      <c r="E10610" s="6" t="n">
        <f aca="false">Sens!E10509*(cxit_open+self_build*tk_cxfac)/1000*ai_net_open</f>
        <v>126.6980382</v>
      </c>
      <c r="F10610" s="6" t="n">
        <f aca="false">Sens!E10610+Sens!F10535-Sens!F10538</f>
        <v>252.981026690511</v>
      </c>
      <c r="G10610" s="6" t="n">
        <f aca="false">Sens!F10610+Sens!G10535-Sens!G10538</f>
        <v>377.4297700632</v>
      </c>
      <c r="H10610" s="6" t="n">
        <f aca="false">Sens!G10610+Sens!H10535-Sens!H10538</f>
        <v>479.149036130289</v>
      </c>
      <c r="I10610" s="6" t="n">
        <f aca="false">Sens!H10610+Sens!I10535-Sens!I10538</f>
        <v>532.249961452141</v>
      </c>
      <c r="J10610" s="6" t="n">
        <f aca="false">Sens!I10610+Sens!J10535-Sens!J10538</f>
        <v>531.43307519354</v>
      </c>
      <c r="K10610" s="6" t="n">
        <f aca="false">Sens!J10610+Sens!K10535-Sens!K10538</f>
        <v>513.709026452823</v>
      </c>
      <c r="L10610" s="1" t="s">
        <v>862</v>
      </c>
    </row>
    <row r="10611" customFormat="false" ht="17.15" hidden="false" customHeight="false" outlineLevel="0" collapsed="false">
      <c r="A10611" s="0" t="s">
        <v>863</v>
      </c>
      <c r="B10611" s="0" t="s">
        <v>129</v>
      </c>
      <c r="F10611" s="7" t="n">
        <f aca="false">Sens!F10609*(1-tax_f)/((Sens!E10610+Sens!F10610)/2)</f>
        <v>0.0787841980727922</v>
      </c>
      <c r="G10611" s="7" t="n">
        <f aca="false">Sens!G10609*(1-tax_f)/((Sens!F10610+Sens!G10610)/2)</f>
        <v>0.108559300042451</v>
      </c>
      <c r="H10611" s="7" t="n">
        <f aca="false">Sens!H10609*(1-tax_f)/((Sens!G10610+Sens!H10610)/2)</f>
        <v>0.135146877810762</v>
      </c>
      <c r="I10611" s="7" t="n">
        <f aca="false">Sens!I10609*(1-tax_f)/((Sens!H10610+Sens!I10610)/2)</f>
        <v>0.147743140287788</v>
      </c>
      <c r="J10611" s="7" t="n">
        <f aca="false">Sens!J10609*(1-tax_f)/((Sens!I10610+Sens!J10610)/2)</f>
        <v>0.162653603107137</v>
      </c>
      <c r="K10611" s="7" t="n">
        <f aca="false">Sens!K10609*(1-tax_f)/((Sens!J10610+Sens!K10610)/2)</f>
        <v>0.181167759554213</v>
      </c>
    </row>
    <row r="10612" customFormat="false" ht="17.15" hidden="false" customHeight="false" outlineLevel="0" collapsed="false">
      <c r="A10612" s="1" t="s">
        <v>864</v>
      </c>
      <c r="B10612" s="0" t="s">
        <v>129</v>
      </c>
      <c r="F10612" s="7" t="n">
        <f aca="false">(Sens!F10609-Sens!F10608)*(1-tax_f)/((Sens!E10610+Sens!F10610)/2)</f>
        <v>0.0432068477121243</v>
      </c>
      <c r="G10612" s="7" t="n">
        <f aca="false">(Sens!G10609-Sens!G10608)*(1-tax_f)/((Sens!F10610+Sens!G10610)/2)</f>
        <v>0.0543335224592717</v>
      </c>
      <c r="H10612" s="7" t="n">
        <f aca="false">(Sens!H10609-Sens!H10608)*(1-tax_f)/((Sens!G10610+Sens!H10610)/2)</f>
        <v>0.0682348527970699</v>
      </c>
      <c r="I10612" s="7" t="n">
        <f aca="false">(Sens!I10609-Sens!I10608)*(1-tax_f)/((Sens!H10610+Sens!I10610)/2)</f>
        <v>0.0696427122395006</v>
      </c>
      <c r="J10612" s="7" t="n">
        <f aca="false">(Sens!J10609-Sens!J10608)*(1-tax_f)/((Sens!I10610+Sens!J10610)/2)</f>
        <v>0.0738568168011806</v>
      </c>
      <c r="K10612" s="7" t="n">
        <f aca="false">(Sens!K10609-Sens!K10608)*(1-tax_f)/((Sens!J10610+Sens!K10610)/2)</f>
        <v>0.0828546062656513</v>
      </c>
    </row>
    <row r="10613" customFormat="false" ht="17.15" hidden="false" customHeight="false" outlineLevel="0" collapsed="false">
      <c r="A10613" s="1" t="s">
        <v>865</v>
      </c>
      <c r="B10613" s="0" t="s">
        <v>129</v>
      </c>
      <c r="F10613" s="7" t="n">
        <f aca="false">(Sens!F10609-Sens!F10608+Sens!F10607)*(1-tax_f)/((Sens!E10610+Sens!F10610)/2)</f>
        <v>0.0787841980727922</v>
      </c>
      <c r="G10613" s="7" t="n">
        <f aca="false">(Sens!G10609-Sens!G10608+Sens!G10607)*(1-tax_f)/((Sens!F10610+Sens!G10610)/2)</f>
        <v>0.108559300042451</v>
      </c>
      <c r="H10613" s="7" t="n">
        <f aca="false">(Sens!H10609-Sens!H10608+Sens!H10607)*(1-tax_f)/((Sens!G10610+Sens!H10610)/2)</f>
        <v>0.135146877810762</v>
      </c>
      <c r="I10613" s="7" t="n">
        <f aca="false">(Sens!I10609-Sens!I10608+Sens!I10607)*(1-tax_f)/((Sens!H10610+Sens!I10610)/2)</f>
        <v>0.147743140287788</v>
      </c>
      <c r="J10613" s="7" t="n">
        <f aca="false">(Sens!J10609-Sens!J10608+Sens!J10607)*(1-tax_f)/((Sens!I10610+Sens!J10610)/2)</f>
        <v>0.162653603107137</v>
      </c>
      <c r="K10613" s="7" t="n">
        <f aca="false">(Sens!K10609-Sens!K10608+Sens!K10607)*(1-tax_f)/((Sens!J10610+Sens!K10610)/2)</f>
        <v>0.181167759554213</v>
      </c>
    </row>
    <row r="10614" customFormat="false" ht="17.15" hidden="false" customHeight="false" outlineLevel="0" collapsed="false">
      <c r="A10614" s="1" t="s">
        <v>866</v>
      </c>
      <c r="B10614" s="0" t="s">
        <v>129</v>
      </c>
      <c r="F10614" s="7" t="n">
        <f aca="false">Sens!F10539*(1-tax_f)/(Sens!F10526*(Sens!E10610+Sens!F10610)/2)</f>
        <v>0.159418295257403</v>
      </c>
      <c r="G10614" s="7" t="n">
        <f aca="false">Sens!G10539*(1-tax_f)/(Sens!G10526*(Sens!F10610+Sens!G10610)/2)</f>
        <v>0.181875227327983</v>
      </c>
      <c r="H10614" s="7" t="n">
        <f aca="false">Sens!H10539*(1-tax_f)/(Sens!H10526*(Sens!G10610+Sens!H10610)/2)</f>
        <v>0.212793847216411</v>
      </c>
      <c r="I10614" s="7" t="n">
        <f aca="false">Sens!I10539*(1-tax_f)/(Sens!I10526*(Sens!H10610+Sens!I10610)/2)</f>
        <v>0.225613268329429</v>
      </c>
      <c r="J10614" s="7" t="n">
        <f aca="false">Sens!J10539*(1-tax_f)/(Sens!J10526*(Sens!I10610+Sens!J10610)/2)</f>
        <v>0.24488839563955</v>
      </c>
      <c r="K10614" s="7" t="n">
        <f aca="false">Sens!K10539*(1-tax_f)/(Sens!K10526*(Sens!J10610+Sens!K10610)/2)</f>
        <v>0.270711455180788</v>
      </c>
    </row>
    <row r="10615" customFormat="false" ht="17.15" hidden="false" customHeight="false" outlineLevel="0" collapsed="false">
      <c r="A10615" s="0" t="s">
        <v>867</v>
      </c>
      <c r="B10615" s="0" t="s">
        <v>209</v>
      </c>
      <c r="F10615" s="7" t="n">
        <f aca="false">Sens!F10611-wacc</f>
        <v>-0.0241502220200835</v>
      </c>
      <c r="G10615" s="7" t="n">
        <f aca="false">Sens!G10611-wacc</f>
        <v>0.00562487994957479</v>
      </c>
      <c r="H10615" s="7" t="n">
        <f aca="false">Sens!H10611-wacc</f>
        <v>0.0322124577178859</v>
      </c>
      <c r="I10615" s="7" t="n">
        <f aca="false">Sens!I10611-wacc</f>
        <v>0.0448087201949121</v>
      </c>
      <c r="J10615" s="7" t="n">
        <f aca="false">Sens!J10611-wacc</f>
        <v>0.0597191830142614</v>
      </c>
      <c r="K10615" s="7" t="n">
        <f aca="false">Sens!K10611-wacc</f>
        <v>0.0782333394613372</v>
      </c>
    </row>
    <row r="10616" customFormat="false" ht="17.15" hidden="false" customHeight="false" outlineLevel="0" collapsed="false">
      <c r="A10616" s="0" t="s">
        <v>868</v>
      </c>
      <c r="B10616" s="0" t="s">
        <v>98</v>
      </c>
      <c r="F10616" s="6" t="n">
        <f aca="false">Sens!F10609*(1-tax_f)-wacc*(Sens!E10610+Sens!F10610)/2</f>
        <v>-4.58466685674177</v>
      </c>
      <c r="G10616" s="6" t="n">
        <f aca="false">Sens!G10609*(1-tax_f)-wacc*(Sens!F10610+Sens!G10610)/2</f>
        <v>1.77299252532771</v>
      </c>
      <c r="H10616" s="6" t="n">
        <f aca="false">Sens!H10609*(1-tax_f)-wacc*(Sens!G10610+Sens!H10610)/2</f>
        <v>13.7962542882725</v>
      </c>
      <c r="I10616" s="6" t="n">
        <f aca="false">Sens!I10609*(1-tax_f)-wacc*(Sens!H10610+Sens!I10610)/2</f>
        <v>22.6597473440428</v>
      </c>
      <c r="J10616" s="6" t="n">
        <f aca="false">Sens!J10609*(1-tax_f)-wacc*(Sens!I10610+Sens!J10610)/2</f>
        <v>31.7611409673044</v>
      </c>
      <c r="K10616" s="6" t="n">
        <f aca="false">Sens!K10609*(1-tax_f)-wacc*(Sens!J10610+Sens!K10610)/2</f>
        <v>40.8824784117176</v>
      </c>
    </row>
    <row r="10617" customFormat="false" ht="17.15" hidden="false" customHeight="false" outlineLevel="0" collapsed="false">
      <c r="A10617" s="3" t="s">
        <v>1535</v>
      </c>
    </row>
    <row r="10618" customFormat="false" ht="15" hidden="false" customHeight="false" outlineLevel="0" collapsed="false">
      <c r="A10618" s="4" t="s">
        <v>43</v>
      </c>
      <c r="B10618" s="4" t="s">
        <v>65</v>
      </c>
      <c r="C10618" s="20" t="s">
        <v>799</v>
      </c>
      <c r="D10618" s="20" t="s">
        <v>800</v>
      </c>
      <c r="E10618" s="20" t="s">
        <v>801</v>
      </c>
      <c r="F10618" s="20" t="s">
        <v>802</v>
      </c>
      <c r="G10618" s="20" t="s">
        <v>803</v>
      </c>
      <c r="H10618" s="20" t="s">
        <v>804</v>
      </c>
      <c r="I10618" s="20" t="s">
        <v>805</v>
      </c>
      <c r="J10618" s="20" t="s">
        <v>806</v>
      </c>
      <c r="K10618" s="20" t="s">
        <v>807</v>
      </c>
      <c r="L10618" s="4" t="s">
        <v>47</v>
      </c>
    </row>
    <row r="10619" customFormat="false" ht="15" hidden="false" customHeight="false" outlineLevel="0" collapsed="false">
      <c r="A10619" s="1" t="s">
        <v>925</v>
      </c>
      <c r="B10619" s="0" t="s">
        <v>98</v>
      </c>
      <c r="F10619" s="6" t="n">
        <f aca="false">Sens!F10600</f>
        <v>144.742324466388</v>
      </c>
      <c r="G10619" s="6" t="n">
        <f aca="false">Sens!G10600</f>
        <v>169.51444678618</v>
      </c>
      <c r="H10619" s="6" t="n">
        <f aca="false">Sens!H10600</f>
        <v>197.73221334267</v>
      </c>
      <c r="I10619" s="6" t="n">
        <f aca="false">Sens!I10600</f>
        <v>219.566482155482</v>
      </c>
      <c r="J10619" s="6" t="n">
        <f aca="false">Sens!J10600</f>
        <v>238.578801658846</v>
      </c>
      <c r="K10619" s="6" t="n">
        <f aca="false">Sens!K10600</f>
        <v>256.031150857293</v>
      </c>
    </row>
    <row r="10620" customFormat="false" ht="17.15" hidden="false" customHeight="false" outlineLevel="0" collapsed="false">
      <c r="A10620" s="1" t="s">
        <v>947</v>
      </c>
      <c r="B10620" s="0" t="s">
        <v>98</v>
      </c>
      <c r="E10620" s="6" t="n">
        <f aca="false">Q!M38-Sens!E10538</f>
        <v>22.2285940229167</v>
      </c>
      <c r="F10620" s="6" t="n">
        <f aca="false">Sens!E10620*(1-1/life_nonai)+(Sens!F10627+Sens!F10628)/life_nonai</f>
        <v>24.3924470334783</v>
      </c>
      <c r="G10620" s="6" t="n">
        <f aca="false">Sens!F10620*(1-1/life_nonai)+(Sens!G10627)/life_nonai</f>
        <v>26.1144257254366</v>
      </c>
      <c r="H10620" s="6" t="n">
        <f aca="false">Sens!G10620*(1-1/life_nonai)+(Sens!H10627)/life_nonai</f>
        <v>28.260946925778</v>
      </c>
      <c r="I10620" s="6" t="n">
        <f aca="false">Sens!H10620*(1-1/life_nonai)+(Sens!I10627)/life_nonai</f>
        <v>30.7551762392294</v>
      </c>
      <c r="J10620" s="6" t="n">
        <f aca="false">Sens!I10620*(1-1/life_nonai)+(Sens!J10627)/life_nonai</f>
        <v>33.504750591744</v>
      </c>
      <c r="K10620" s="6" t="n">
        <f aca="false">Sens!J10620*(1-1/life_nonai)+(Sens!K10627)/life_nonai</f>
        <v>36.425092952593</v>
      </c>
      <c r="L10620" s="11" t="s">
        <v>948</v>
      </c>
    </row>
    <row r="10621" customFormat="false" ht="17.15" hidden="false" customHeight="false" outlineLevel="0" collapsed="false">
      <c r="A10621" s="1" t="s">
        <v>949</v>
      </c>
      <c r="B10621" s="0" t="s">
        <v>98</v>
      </c>
      <c r="F10621" s="6" t="n">
        <f aca="false">Sens!$F$10628/life_nonai*(1-1/life_nonai)^(Sens!F10504-2027)</f>
        <v>0.813450839897089</v>
      </c>
      <c r="G10621" s="6" t="n">
        <f aca="false">Sens!$F$10628/life_nonai*(1-1/life_nonai)^(Sens!G10504-2027)</f>
        <v>0.73210575590738</v>
      </c>
      <c r="H10621" s="6" t="n">
        <f aca="false">Sens!$F$10628/life_nonai*(1-1/life_nonai)^(Sens!H10504-2027)</f>
        <v>0.658895180316642</v>
      </c>
      <c r="I10621" s="6" t="n">
        <f aca="false">Sens!$F$10628/life_nonai*(1-1/life_nonai)^(Sens!I10504-2027)</f>
        <v>0.593005662284978</v>
      </c>
      <c r="J10621" s="6" t="n">
        <f aca="false">Sens!$F$10628/life_nonai*(1-1/life_nonai)^(Sens!J10504-2027)</f>
        <v>0.53370509605648</v>
      </c>
      <c r="K10621" s="6" t="n">
        <f aca="false">Sens!$F$10628/life_nonai*(1-1/life_nonai)^(Sens!K10504-2027)</f>
        <v>0.480334586450832</v>
      </c>
      <c r="L10621" s="1" t="s">
        <v>950</v>
      </c>
    </row>
    <row r="10622" customFormat="false" ht="17.15" hidden="false" customHeight="false" outlineLevel="0" collapsed="false">
      <c r="A10622" s="1" t="s">
        <v>951</v>
      </c>
      <c r="B10622" s="0" t="s">
        <v>98</v>
      </c>
      <c r="E10622" s="6" t="n">
        <f aca="false">Sens!E10538+Sens!E10620</f>
        <v>38.534</v>
      </c>
      <c r="F10622" s="6" t="n">
        <f aca="false">Sens!F10538+Sens!F10620</f>
        <v>58.4423344144339</v>
      </c>
      <c r="G10622" s="6" t="n">
        <f aca="false">Sens!G10538+Sens!G10620</f>
        <v>85.2398628359478</v>
      </c>
      <c r="H10622" s="6" t="n">
        <f aca="false">Sens!H10538+Sens!H10620</f>
        <v>114.621966769089</v>
      </c>
      <c r="I10622" s="6" t="n">
        <f aca="false">Sens!I10538+Sens!I10620</f>
        <v>141.360920071622</v>
      </c>
      <c r="J10622" s="6" t="n">
        <f aca="false">Sens!J10538+Sens!J10620</f>
        <v>161.503073444587</v>
      </c>
      <c r="K10622" s="6" t="n">
        <f aca="false">Sens!K10538+Sens!K10620</f>
        <v>175.556556996901</v>
      </c>
    </row>
    <row r="10623" customFormat="false" ht="17.15" hidden="false" customHeight="false" outlineLevel="0" collapsed="false">
      <c r="A10623" s="1" t="s">
        <v>952</v>
      </c>
      <c r="B10623" s="0" t="s">
        <v>98</v>
      </c>
      <c r="F10623" s="6" t="n">
        <f aca="false">Sens!F10565*sbc_r</f>
        <v>15.128151958156</v>
      </c>
      <c r="G10623" s="6" t="n">
        <f aca="false">Sens!G10565*sbc_r</f>
        <v>18.3895175814123</v>
      </c>
      <c r="H10623" s="6" t="n">
        <f aca="false">Sens!H10565*sbc_r</f>
        <v>21.8997363785556</v>
      </c>
      <c r="I10623" s="6" t="n">
        <f aca="false">Sens!I10565*sbc_r</f>
        <v>24.9073344429222</v>
      </c>
      <c r="J10623" s="6" t="n">
        <f aca="false">Sens!J10565*sbc_r</f>
        <v>27.3528774757765</v>
      </c>
      <c r="K10623" s="6" t="n">
        <f aca="false">Sens!K10565*sbc_r</f>
        <v>29.3404109257501</v>
      </c>
    </row>
    <row r="10624" customFormat="false" ht="17.15" hidden="false" customHeight="false" outlineLevel="0" collapsed="false">
      <c r="A10624" s="1" t="s">
        <v>953</v>
      </c>
      <c r="B10624" s="0" t="s">
        <v>98</v>
      </c>
      <c r="F10624" s="6" t="n">
        <f aca="false">wc27</f>
        <v>-4.895</v>
      </c>
      <c r="G10624" s="6" t="n">
        <f aca="false">wc_f</f>
        <v>0</v>
      </c>
      <c r="H10624" s="6" t="n">
        <f aca="false">wc_f</f>
        <v>0</v>
      </c>
      <c r="I10624" s="6" t="n">
        <f aca="false">wc_f</f>
        <v>0</v>
      </c>
      <c r="J10624" s="6" t="n">
        <f aca="false">wc_f</f>
        <v>0</v>
      </c>
      <c r="K10624" s="6" t="n">
        <f aca="false">wc_f</f>
        <v>0</v>
      </c>
      <c r="L10624" s="11" t="s">
        <v>954</v>
      </c>
    </row>
    <row r="10625" customFormat="false" ht="15" hidden="false" customHeight="false" outlineLevel="0" collapsed="false">
      <c r="A10625" s="1" t="s">
        <v>767</v>
      </c>
      <c r="B10625" s="0" t="s">
        <v>98</v>
      </c>
      <c r="E10625" s="6" t="n">
        <f aca="false">Q!M35</f>
        <v>182.935</v>
      </c>
      <c r="F10625" s="6" t="n">
        <f aca="false">Sens!F10619+Sens!F10622+Sens!F10623+Sens!F10624</f>
        <v>213.417810838977</v>
      </c>
      <c r="G10625" s="6" t="n">
        <f aca="false">Sens!G10619+Sens!G10622+Sens!G10623+Sens!G10624</f>
        <v>273.14382720354</v>
      </c>
      <c r="H10625" s="6" t="n">
        <f aca="false">Sens!H10619+Sens!H10622+Sens!H10623+Sens!H10624</f>
        <v>334.253916490314</v>
      </c>
      <c r="I10625" s="6" t="n">
        <f aca="false">Sens!I10619+Sens!I10622+Sens!I10623+Sens!I10624</f>
        <v>385.834736670026</v>
      </c>
      <c r="J10625" s="6" t="n">
        <f aca="false">Sens!J10619+Sens!J10622+Sens!J10623+Sens!J10624</f>
        <v>427.43475257921</v>
      </c>
      <c r="K10625" s="6" t="n">
        <f aca="false">Sens!K10619+Sens!K10622+Sens!K10623+Sens!K10624</f>
        <v>460.928118779944</v>
      </c>
    </row>
    <row r="10626" customFormat="false" ht="17.15" hidden="false" customHeight="false" outlineLevel="0" collapsed="false">
      <c r="A10626" s="0" t="s">
        <v>955</v>
      </c>
      <c r="B10626" s="0" t="s">
        <v>98</v>
      </c>
      <c r="F10626" s="6" t="n">
        <f aca="false">Sens!F10535</f>
        <v>160.332875871467</v>
      </c>
      <c r="G10626" s="6" t="n">
        <f aca="false">Sens!G10535</f>
        <v>183.5741804832</v>
      </c>
      <c r="H10626" s="6" t="n">
        <f aca="false">Sens!H10535</f>
        <v>188.0802859104</v>
      </c>
      <c r="I10626" s="6" t="n">
        <f aca="false">Sens!I10535</f>
        <v>163.706669154245</v>
      </c>
      <c r="J10626" s="6" t="n">
        <f aca="false">Sens!J10535</f>
        <v>127.181436594242</v>
      </c>
      <c r="K10626" s="6" t="n">
        <f aca="false">Sens!K10535</f>
        <v>121.407415303591</v>
      </c>
    </row>
    <row r="10627" customFormat="false" ht="17.15" hidden="false" customHeight="false" outlineLevel="0" collapsed="false">
      <c r="A10627" s="1" t="s">
        <v>956</v>
      </c>
      <c r="B10627" s="0" t="s">
        <v>98</v>
      </c>
      <c r="E10627" s="6" t="n">
        <f aca="false">Sens!E10543*cx_azo+Sens!E10550*cx_m365+Sens!E10551*cx_lic+(Sens!E10553+Sens!E10555)*cx_ind+Sens!E10558*cx_srch+(Sens!E10560+Sens!E10562)*cx_dev</f>
        <v>30.1846587067718</v>
      </c>
      <c r="F10627" s="6" t="n">
        <f aca="false">Sens!F10543*cx_azo+Sens!F10550*cx_m365+Sens!F10551*cx_lic+(Sens!F10553+Sens!F10555)*cx_ind+Sens!F10558*cx_srch+(Sens!F10560+Sens!F10562)*cx_dev</f>
        <v>35.7326157295625</v>
      </c>
      <c r="G10627" s="6" t="n">
        <f aca="false">Sens!G10543*cx_azo+Sens!G10550*cx_m365+Sens!G10551*cx_lic+(Sens!G10553+Sens!G10555)*cx_ind+Sens!G10558*cx_srch+(Sens!G10560+Sens!G10562)*cx_dev</f>
        <v>41.6122339530614</v>
      </c>
      <c r="H10627" s="6" t="n">
        <f aca="false">Sens!H10543*cx_azo+Sens!H10550*cx_m365+Sens!H10551*cx_lic+(Sens!H10553+Sens!H10555)*cx_ind+Sens!H10558*cx_srch+(Sens!H10560+Sens!H10562)*cx_dev</f>
        <v>47.57963772885</v>
      </c>
      <c r="I10627" s="6" t="n">
        <f aca="false">Sens!I10543*cx_azo+Sens!I10550*cx_m365+Sens!I10551*cx_lic+(Sens!I10553+Sens!I10555)*cx_ind+Sens!I10558*cx_srch+(Sens!I10560+Sens!I10562)*cx_dev</f>
        <v>53.2032400602924</v>
      </c>
      <c r="J10627" s="6" t="n">
        <f aca="false">Sens!J10543*cx_azo+Sens!J10550*cx_m365+Sens!J10551*cx_lic+(Sens!J10553+Sens!J10555)*cx_ind+Sens!J10558*cx_srch+(Sens!J10560+Sens!J10562)*cx_dev</f>
        <v>58.2509197643751</v>
      </c>
      <c r="K10627" s="6" t="n">
        <f aca="false">Sens!K10543*cx_azo+Sens!K10550*cx_m365+Sens!K10551*cx_lic+(Sens!K10553+Sens!K10555)*cx_ind+Sens!K10558*cx_srch+(Sens!K10560+Sens!K10562)*cx_dev</f>
        <v>62.708174200234</v>
      </c>
    </row>
    <row r="10628" customFormat="false" ht="17.15" hidden="false" customHeight="false" outlineLevel="0" collapsed="false">
      <c r="A10628" s="0" t="s">
        <v>957</v>
      </c>
      <c r="B10628" s="0" t="s">
        <v>98</v>
      </c>
      <c r="F10628" s="6" t="n">
        <f aca="false">Sens!F10533</f>
        <v>8.13450839897089</v>
      </c>
      <c r="L10628" s="1" t="s">
        <v>958</v>
      </c>
    </row>
    <row r="10629" customFormat="false" ht="17.15" hidden="false" customHeight="false" outlineLevel="0" collapsed="false">
      <c r="A10629" s="1" t="s">
        <v>959</v>
      </c>
      <c r="B10629" s="0" t="s">
        <v>98</v>
      </c>
      <c r="E10629" s="6" t="n">
        <f aca="false">Q!M42</f>
        <v>145.3</v>
      </c>
      <c r="F10629" s="6" t="n">
        <f aca="false">Sens!F10626+Sens!F10627+Sens!F10628</f>
        <v>204.2</v>
      </c>
      <c r="G10629" s="6" t="n">
        <f aca="false">Sens!G10626+Sens!G10627</f>
        <v>225.186414436261</v>
      </c>
      <c r="H10629" s="6" t="n">
        <f aca="false">Sens!H10626+Sens!H10627</f>
        <v>235.65992363925</v>
      </c>
      <c r="I10629" s="6" t="n">
        <f aca="false">Sens!I10626+Sens!I10627</f>
        <v>216.909909214538</v>
      </c>
      <c r="J10629" s="6" t="n">
        <f aca="false">Sens!J10626+Sens!J10627</f>
        <v>185.432356358617</v>
      </c>
      <c r="K10629" s="6" t="n">
        <f aca="false">Sens!K10626+Sens!K10627</f>
        <v>184.115589503825</v>
      </c>
      <c r="L10629" s="1" t="s">
        <v>960</v>
      </c>
    </row>
    <row r="10630" customFormat="false" ht="15" hidden="false" customHeight="false" outlineLevel="0" collapsed="false">
      <c r="A10630" s="1" t="s">
        <v>961</v>
      </c>
      <c r="B10630" s="0" t="s">
        <v>98</v>
      </c>
      <c r="E10630" s="6" t="n">
        <f aca="false">fl_liab</f>
        <v>66.594</v>
      </c>
      <c r="F10630" s="6" t="n">
        <f aca="false">Sens!E10630-Sens!F10631</f>
        <v>62.46973</v>
      </c>
      <c r="G10630" s="6" t="n">
        <f aca="false">Sens!F10630-Sens!G10631</f>
        <v>57.98686785</v>
      </c>
      <c r="H10630" s="6" t="n">
        <f aca="false">Sens!G10630-Sens!H10631</f>
        <v>53.92827690325</v>
      </c>
      <c r="I10630" s="6" t="n">
        <f aca="false">Sens!H10630-Sens!I10631</f>
        <v>49.7850493638962</v>
      </c>
      <c r="J10630" s="6" t="n">
        <f aca="false">Sens!I10630-Sens!J10631</f>
        <v>45.4823765852716</v>
      </c>
      <c r="K10630" s="6" t="n">
        <f aca="false">Sens!J10630-Sens!K10631</f>
        <v>40.9860835316088</v>
      </c>
    </row>
    <row r="10631" customFormat="false" ht="15" hidden="false" customHeight="false" outlineLevel="0" collapsed="false">
      <c r="A10631" s="1" t="s">
        <v>962</v>
      </c>
      <c r="B10631" s="0" t="s">
        <v>98</v>
      </c>
      <c r="F10631" s="6" t="n">
        <f aca="false">fl_pay_27-Sens!E10630*fl_rate</f>
        <v>4.12427</v>
      </c>
      <c r="G10631" s="6" t="n">
        <f aca="false">fl_pay_28-Sens!F10630*fl_rate</f>
        <v>4.48286215</v>
      </c>
      <c r="H10631" s="6" t="n">
        <f aca="false">fl_pay_29-Sens!G10630*fl_rate</f>
        <v>4.05859094675</v>
      </c>
      <c r="I10631" s="6" t="n">
        <f aca="false">fl_pay_30-Sens!H10630*fl_rate</f>
        <v>4.14322753935375</v>
      </c>
      <c r="J10631" s="6" t="n">
        <f aca="false">fl_pay_31-Sens!I10630*fl_rate</f>
        <v>4.30267277862467</v>
      </c>
      <c r="K10631" s="6" t="n">
        <f aca="false">fl_pay_32-Sens!J10630*fl_rate</f>
        <v>4.49629305366278</v>
      </c>
    </row>
    <row r="10632" customFormat="false" ht="17.15" hidden="false" customHeight="false" outlineLevel="0" collapsed="false">
      <c r="A10632" s="1" t="s">
        <v>963</v>
      </c>
      <c r="B10632" s="0" t="s">
        <v>98</v>
      </c>
      <c r="E10632" s="6" t="n">
        <f aca="false">Q!M35-Q!M36-Q!M43</f>
        <v>63.886</v>
      </c>
      <c r="F10632" s="6" t="n">
        <f aca="false">Sens!F10625-Sens!F10629-Sens!F10631</f>
        <v>5.09354083897744</v>
      </c>
      <c r="G10632" s="6" t="n">
        <f aca="false">Sens!G10625-Sens!G10629-Sens!G10631</f>
        <v>43.4745506172783</v>
      </c>
      <c r="H10632" s="6" t="n">
        <f aca="false">Sens!H10625-Sens!H10629-Sens!H10631</f>
        <v>94.5354019043145</v>
      </c>
      <c r="I10632" s="6" t="n">
        <f aca="false">Sens!I10625-Sens!I10629-Sens!I10631</f>
        <v>164.781599916135</v>
      </c>
      <c r="J10632" s="6" t="n">
        <f aca="false">Sens!J10625-Sens!J10629-Sens!J10631</f>
        <v>237.699723441968</v>
      </c>
      <c r="K10632" s="6" t="n">
        <f aca="false">Sens!K10625-Sens!K10629-Sens!K10631</f>
        <v>272.316236222456</v>
      </c>
      <c r="L10632" s="11" t="s">
        <v>964</v>
      </c>
    </row>
    <row r="10633" customFormat="false" ht="15" hidden="false" customHeight="false" outlineLevel="0" collapsed="false">
      <c r="A10633" s="1" t="s">
        <v>965</v>
      </c>
      <c r="B10633" s="0" t="s">
        <v>75</v>
      </c>
      <c r="F10633" s="8" t="n">
        <f aca="false">dps_27</f>
        <v>3.85</v>
      </c>
      <c r="G10633" s="8" t="n">
        <f aca="false">Sens!F10633*(1+dps_g)</f>
        <v>4.158</v>
      </c>
      <c r="H10633" s="8" t="n">
        <f aca="false">Sens!G10633*(1+dps_g)</f>
        <v>4.49064</v>
      </c>
      <c r="I10633" s="8" t="n">
        <f aca="false">Sens!H10633*(1+dps_g)</f>
        <v>4.8498912</v>
      </c>
      <c r="J10633" s="8" t="n">
        <f aca="false">Sens!I10633*(1+dps_g)</f>
        <v>5.237882496</v>
      </c>
      <c r="K10633" s="8" t="n">
        <f aca="false">Sens!J10633*(1+dps_g)</f>
        <v>5.65691309568</v>
      </c>
    </row>
    <row r="10634" customFormat="false" ht="17.15" hidden="false" customHeight="false" outlineLevel="0" collapsed="false">
      <c r="A10634" s="1" t="s">
        <v>966</v>
      </c>
      <c r="B10634" s="0" t="s">
        <v>98</v>
      </c>
      <c r="E10634" s="6" t="n">
        <f aca="false">Q!M41</f>
        <v>26.445</v>
      </c>
      <c r="F10634" s="6" t="n">
        <f aca="false">Sens!F10633*Sens!E10643</f>
        <v>28.59395</v>
      </c>
      <c r="G10634" s="6" t="n">
        <f aca="false">Sens!G10633*Sens!F10643</f>
        <v>31.068576</v>
      </c>
      <c r="H10634" s="6" t="n">
        <f aca="false">Sens!H10633*Sens!G10643</f>
        <v>33.6629437940087</v>
      </c>
      <c r="I10634" s="6" t="n">
        <f aca="false">Sens!I10633*Sens!H10643</f>
        <v>36.4069185375288</v>
      </c>
      <c r="J10634" s="6" t="n">
        <f aca="false">Sens!J10633*Sens!I10643</f>
        <v>39.3878708688506</v>
      </c>
      <c r="K10634" s="6" t="n">
        <f aca="false">Sens!K10633*Sens!J10643</f>
        <v>42.6261557636637</v>
      </c>
      <c r="L10634" s="1" t="s">
        <v>967</v>
      </c>
    </row>
    <row r="10635" customFormat="false" ht="15" hidden="false" customHeight="false" outlineLevel="0" collapsed="false">
      <c r="A10635" s="1" t="s">
        <v>968</v>
      </c>
      <c r="B10635" s="0" t="s">
        <v>98</v>
      </c>
      <c r="E10635" s="6" t="n">
        <f aca="false">Sens!E10632-Sens!E10634</f>
        <v>37.441</v>
      </c>
      <c r="F10635" s="6" t="n">
        <f aca="false">Sens!F10632-Sens!F10634</f>
        <v>-23.5004091610226</v>
      </c>
      <c r="G10635" s="6" t="n">
        <f aca="false">Sens!G10632-Sens!G10634</f>
        <v>12.4059746172783</v>
      </c>
      <c r="H10635" s="6" t="n">
        <f aca="false">Sens!H10632-Sens!H10634</f>
        <v>60.8724581103058</v>
      </c>
      <c r="I10635" s="6" t="n">
        <f aca="false">Sens!I10632-Sens!I10634</f>
        <v>128.374681378606</v>
      </c>
      <c r="J10635" s="6" t="n">
        <f aca="false">Sens!J10632-Sens!J10634</f>
        <v>198.311852573118</v>
      </c>
      <c r="K10635" s="6" t="n">
        <f aca="false">Sens!K10632-Sens!K10634</f>
        <v>229.690080458793</v>
      </c>
    </row>
    <row r="10636" customFormat="false" ht="15" hidden="false" customHeight="false" outlineLevel="0" collapsed="false">
      <c r="A10636" s="1" t="s">
        <v>969</v>
      </c>
      <c r="B10636" s="0" t="s">
        <v>98</v>
      </c>
      <c r="F10636" s="6" t="n">
        <f aca="false">debt_mat_27</f>
        <v>9.25</v>
      </c>
      <c r="G10636" s="6" t="n">
        <f aca="false">debt_mat_28</f>
        <v>0</v>
      </c>
      <c r="H10636" s="6" t="n">
        <f aca="false">debt_mat_29</f>
        <v>2.001</v>
      </c>
      <c r="I10636" s="6" t="n">
        <f aca="false">debt_mat_30</f>
        <v>0</v>
      </c>
      <c r="J10636" s="6" t="n">
        <f aca="false">debt_mat_31</f>
        <v>0.5</v>
      </c>
      <c r="K10636" s="6" t="n">
        <f aca="false">debt_mat_32</f>
        <v>0</v>
      </c>
    </row>
    <row r="10637" customFormat="false" ht="15" hidden="false" customHeight="false" outlineLevel="0" collapsed="false">
      <c r="A10637" s="1" t="s">
        <v>970</v>
      </c>
      <c r="B10637" s="0" t="s">
        <v>98</v>
      </c>
      <c r="E10637" s="6" t="n">
        <f aca="false">Q!M40</f>
        <v>22.271</v>
      </c>
      <c r="F10637" s="6" t="n">
        <f aca="false">MAX(0,MIN(bb_target,Sens!E10639+Sens!F10635-Sens!F10636-min_cash))</f>
        <v>0</v>
      </c>
      <c r="G10637" s="6" t="n">
        <f aca="false">MAX(0,MIN(bb_target,Sens!F10639+Sens!G10635-Sens!G10636-min_cash))</f>
        <v>12.4059746172783</v>
      </c>
      <c r="H10637" s="6" t="n">
        <f aca="false">MAX(0,MIN(bb_target,Sens!G10639+Sens!H10635-Sens!H10636-min_cash))</f>
        <v>22.271</v>
      </c>
      <c r="I10637" s="6" t="n">
        <f aca="false">MAX(0,MIN(bb_target,Sens!H10639+Sens!I10635-Sens!I10636-min_cash))</f>
        <v>22.271</v>
      </c>
      <c r="J10637" s="6" t="n">
        <f aca="false">MAX(0,MIN(bb_target,Sens!I10639+Sens!J10635-Sens!J10636-min_cash))</f>
        <v>22.271</v>
      </c>
      <c r="K10637" s="6" t="n">
        <f aca="false">MAX(0,MIN(bb_target,Sens!J10639+Sens!K10635-Sens!K10636-min_cash))</f>
        <v>22.271</v>
      </c>
    </row>
    <row r="10638" customFormat="false" ht="15" hidden="false" customHeight="false" outlineLevel="0" collapsed="false">
      <c r="A10638" s="1" t="s">
        <v>971</v>
      </c>
      <c r="B10638" s="0" t="s">
        <v>98</v>
      </c>
      <c r="F10638" s="6" t="n">
        <f aca="false">MAX(0,min_cash-(Sens!E10639+Sens!F10635-Sens!F10636-Sens!F10637))</f>
        <v>5.90740916102256</v>
      </c>
      <c r="G10638" s="6" t="n">
        <f aca="false">MAX(0,min_cash-(Sens!F10639+Sens!G10635-Sens!G10636-Sens!G10637))</f>
        <v>0</v>
      </c>
      <c r="H10638" s="6" t="n">
        <f aca="false">MAX(0,min_cash-(Sens!G10639+Sens!H10635-Sens!H10636-Sens!H10637))</f>
        <v>0</v>
      </c>
      <c r="I10638" s="6" t="n">
        <f aca="false">MAX(0,min_cash-(Sens!H10639+Sens!I10635-Sens!I10636-Sens!I10637))</f>
        <v>0</v>
      </c>
      <c r="J10638" s="6" t="n">
        <f aca="false">MAX(0,min_cash-(Sens!I10639+Sens!J10635-Sens!J10636-Sens!J10637))</f>
        <v>0</v>
      </c>
      <c r="K10638" s="6" t="n">
        <f aca="false">MAX(0,min_cash-(Sens!J10639+Sens!K10635-Sens!K10636-Sens!K10637))</f>
        <v>0</v>
      </c>
    </row>
    <row r="10639" customFormat="false" ht="15" hidden="false" customHeight="false" outlineLevel="0" collapsed="false">
      <c r="A10639" s="1" t="s">
        <v>972</v>
      </c>
      <c r="B10639" s="0" t="s">
        <v>98</v>
      </c>
      <c r="E10639" s="6" t="n">
        <f aca="false">cash_open</f>
        <v>76.843</v>
      </c>
      <c r="F10639" s="6" t="n">
        <f aca="false">Sens!E10639+Sens!F10635-Sens!F10636-Sens!F10637+Sens!F10638</f>
        <v>50</v>
      </c>
      <c r="G10639" s="6" t="n">
        <f aca="false">Sens!F10639+Sens!G10635-Sens!G10636-Sens!G10637+Sens!G10638</f>
        <v>50</v>
      </c>
      <c r="H10639" s="6" t="n">
        <f aca="false">Sens!G10639+Sens!H10635-Sens!H10636-Sens!H10637+Sens!H10638</f>
        <v>86.6004581103058</v>
      </c>
      <c r="I10639" s="6" t="n">
        <f aca="false">Sens!H10639+Sens!I10635-Sens!I10636-Sens!I10637+Sens!I10638</f>
        <v>192.704139488912</v>
      </c>
      <c r="J10639" s="6" t="n">
        <f aca="false">Sens!I10639+Sens!J10635-Sens!J10636-Sens!J10637+Sens!J10638</f>
        <v>368.244992062029</v>
      </c>
      <c r="K10639" s="6" t="n">
        <f aca="false">Sens!J10639+Sens!K10635-Sens!K10636-Sens!K10637+Sens!K10638</f>
        <v>575.664072520822</v>
      </c>
    </row>
    <row r="10640" customFormat="false" ht="15" hidden="false" customHeight="false" outlineLevel="0" collapsed="false">
      <c r="A10640" s="1" t="s">
        <v>973</v>
      </c>
      <c r="B10640" s="0" t="s">
        <v>98</v>
      </c>
      <c r="E10640" s="6" t="n">
        <f aca="false">debt_face</f>
        <v>46.136</v>
      </c>
      <c r="F10640" s="6" t="n">
        <f aca="false">Sens!E10640-Sens!F10636+Sens!F10638</f>
        <v>42.7934091610226</v>
      </c>
      <c r="G10640" s="6" t="n">
        <f aca="false">Sens!F10640-Sens!G10636+Sens!G10638</f>
        <v>42.7934091610226</v>
      </c>
      <c r="H10640" s="6" t="n">
        <f aca="false">Sens!G10640-Sens!H10636+Sens!H10638</f>
        <v>40.7924091610226</v>
      </c>
      <c r="I10640" s="6" t="n">
        <f aca="false">Sens!H10640-Sens!I10636+Sens!I10638</f>
        <v>40.7924091610226</v>
      </c>
      <c r="J10640" s="6" t="n">
        <f aca="false">Sens!I10640-Sens!J10636+Sens!J10638</f>
        <v>40.2924091610226</v>
      </c>
      <c r="K10640" s="6" t="n">
        <f aca="false">Sens!J10640-Sens!K10636+Sens!K10638</f>
        <v>40.2924091610226</v>
      </c>
    </row>
    <row r="10641" customFormat="false" ht="15" hidden="false" customHeight="false" outlineLevel="0" collapsed="false">
      <c r="A10641" s="1" t="s">
        <v>974</v>
      </c>
      <c r="B10641" s="0" t="s">
        <v>98</v>
      </c>
      <c r="E10641" s="6" t="n">
        <f aca="false">Sens!E10639-Sens!E10640</f>
        <v>30.707</v>
      </c>
      <c r="F10641" s="6" t="n">
        <f aca="false">Sens!F10639-Sens!F10640</f>
        <v>7.20659083897744</v>
      </c>
      <c r="G10641" s="6" t="n">
        <f aca="false">Sens!G10639-Sens!G10640</f>
        <v>7.20659083897744</v>
      </c>
      <c r="H10641" s="6" t="n">
        <f aca="false">Sens!H10639-Sens!H10640</f>
        <v>45.8080489492832</v>
      </c>
      <c r="I10641" s="6" t="n">
        <f aca="false">Sens!I10639-Sens!I10640</f>
        <v>151.911730327889</v>
      </c>
      <c r="J10641" s="6" t="n">
        <f aca="false">Sens!J10639-Sens!J10640</f>
        <v>327.952582901007</v>
      </c>
      <c r="K10641" s="6" t="n">
        <f aca="false">Sens!K10639-Sens!K10640</f>
        <v>535.371663359799</v>
      </c>
    </row>
    <row r="10642" customFormat="false" ht="15" hidden="false" customHeight="false" outlineLevel="0" collapsed="false">
      <c r="A10642" s="1" t="s">
        <v>975</v>
      </c>
      <c r="B10642" s="0" t="s">
        <v>75</v>
      </c>
      <c r="F10642" s="29" t="n">
        <f aca="false">px*(1+bb_g)^(Sens!F10504-base_fy-mid_yr)</f>
        <v>553.494156066711</v>
      </c>
      <c r="G10642" s="29" t="n">
        <f aca="false">px*(1+bb_g)^(Sens!G10504-base_fy-mid_yr)</f>
        <v>597.773688552047</v>
      </c>
      <c r="H10642" s="29" t="n">
        <f aca="false">px*(1+bb_g)^(Sens!H10504-base_fy-mid_yr)</f>
        <v>645.595583636211</v>
      </c>
      <c r="I10642" s="29" t="n">
        <f aca="false">px*(1+bb_g)^(Sens!I10504-base_fy-mid_yr)</f>
        <v>697.243230327108</v>
      </c>
      <c r="J10642" s="29" t="n">
        <f aca="false">px*(1+bb_g)^(Sens!J10504-base_fy-mid_yr)</f>
        <v>753.022688753277</v>
      </c>
      <c r="K10642" s="29" t="n">
        <f aca="false">px*(1+bb_g)^(Sens!K10504-base_fy-mid_yr)</f>
        <v>813.264503853539</v>
      </c>
    </row>
    <row r="10643" customFormat="false" ht="15" hidden="false" customHeight="false" outlineLevel="0" collapsed="false">
      <c r="A10643" s="1" t="s">
        <v>976</v>
      </c>
      <c r="B10643" s="1" t="s">
        <v>81</v>
      </c>
      <c r="E10643" s="14" t="n">
        <f aca="false">sh_out26</f>
        <v>7.427</v>
      </c>
      <c r="F10643" s="14" t="n">
        <f aca="false">Sens!E10643+sh_iss-Sens!F10637/Sens!F10642</f>
        <v>7.472</v>
      </c>
      <c r="G10643" s="14" t="n">
        <f aca="false">Sens!F10643+sh_iss-Sens!G10637/Sens!G10642</f>
        <v>7.49624636889367</v>
      </c>
      <c r="H10643" s="14" t="n">
        <f aca="false">Sens!G10643+sh_iss-Sens!H10637/Sens!H10642</f>
        <v>7.50674954059357</v>
      </c>
      <c r="I10643" s="14" t="n">
        <f aca="false">Sens!H10643+sh_iss-Sens!I10637/Sens!I10642</f>
        <v>7.5198080329083</v>
      </c>
      <c r="J10643" s="14" t="n">
        <f aca="false">Sens!I10643+sh_iss-Sens!J10637/Sens!J10642</f>
        <v>7.53523256282934</v>
      </c>
      <c r="K10643" s="14" t="n">
        <f aca="false">Sens!J10643+sh_iss-Sens!K10637/Sens!K10642</f>
        <v>7.55284786831178</v>
      </c>
    </row>
    <row r="10644" customFormat="false" ht="15" hidden="false" customHeight="false" outlineLevel="0" collapsed="false">
      <c r="A10644" s="1" t="s">
        <v>977</v>
      </c>
      <c r="B10644" s="1" t="s">
        <v>81</v>
      </c>
      <c r="E10644" s="14" t="n">
        <f aca="false">sh_dil26</f>
        <v>7.453</v>
      </c>
      <c r="F10644" s="14" t="n">
        <f aca="false">(Sens!E10643+Sens!F10643)/2+dil_gap</f>
        <v>7.4735</v>
      </c>
      <c r="G10644" s="14" t="n">
        <f aca="false">(Sens!F10643+Sens!G10643)/2+dil_gap</f>
        <v>7.50812318444684</v>
      </c>
      <c r="H10644" s="14" t="n">
        <f aca="false">(Sens!G10643+Sens!H10643)/2+dil_gap</f>
        <v>7.52549795474362</v>
      </c>
      <c r="I10644" s="14" t="n">
        <f aca="false">(Sens!H10643+Sens!I10643)/2+dil_gap</f>
        <v>7.53727878675094</v>
      </c>
      <c r="J10644" s="14" t="n">
        <f aca="false">(Sens!I10643+Sens!J10643)/2+dil_gap</f>
        <v>7.55152029786882</v>
      </c>
      <c r="K10644" s="14" t="n">
        <f aca="false">(Sens!J10643+Sens!K10643)/2+dil_gap</f>
        <v>7.56804021557056</v>
      </c>
    </row>
    <row r="10645" customFormat="false" ht="17.15" hidden="false" customHeight="false" outlineLevel="0" collapsed="false">
      <c r="A10645" s="1" t="s">
        <v>978</v>
      </c>
      <c r="B10645" s="0" t="s">
        <v>98</v>
      </c>
      <c r="C10645" s="6" t="n">
        <f aca="false">SUM(Sens!F10635:J10635)</f>
        <v>376.464557518285</v>
      </c>
    </row>
    <row r="10646" customFormat="false" ht="15" hidden="false" customHeight="false" outlineLevel="0" collapsed="false">
      <c r="A10646" s="23" t="s">
        <v>945</v>
      </c>
      <c r="B10646" s="30" t="s">
        <v>98</v>
      </c>
      <c r="C10646" s="24" t="n">
        <f aca="false">Sens!$C$10645-(Sens!F10635+Sens!G10635+Sens!H10635+Sens!I10635+Sens!J10635)</f>
        <v>0</v>
      </c>
      <c r="D10646" s="30"/>
      <c r="E10646" s="30"/>
      <c r="F10646" s="30"/>
      <c r="G10646" s="30"/>
      <c r="H10646" s="30"/>
      <c r="I10646" s="30"/>
      <c r="J10646" s="30"/>
      <c r="K10646" s="30"/>
    </row>
    <row r="10647" customFormat="false" ht="17.15" hidden="false" customHeight="false" outlineLevel="0" collapsed="false">
      <c r="A10647" s="1" t="s">
        <v>939</v>
      </c>
      <c r="B10647" s="1" t="s">
        <v>979</v>
      </c>
      <c r="C10647" s="32" t="str">
        <f aca="false">IF(SUM(Sens!F10638:J10638)&gt;0.05,"需要舉債 "&amp;TEXT(SUM(Sens!F10638:J10638),"0.0")&amp;" 十億美元","不需舉債")&amp;"；"&amp;IF(SUM(Sens!F10637:J10637)&lt;COUNT(Sens!F10637:J10637)*bb_target-0.05,"回購較每年 "&amp;TEXT(bb_target,"0.0")&amp;" 的目標少 "&amp;TEXT(COUNT(Sens!F10637:J10637)*bb_target-SUM(Sens!F10637:J10637),"0.0")&amp;" 十億美元（"&amp;TEXT(COUNTIF(Sens!F10637:J10637,"&lt;"&amp;(bb_target-0.05)),"0")&amp;" 年減少）","回購不減")</f>
        <v>需要舉債 5.9 十億美元；回購較每年 22.3 的目標少 32.1 十億美元（2 年減少）</v>
      </c>
    </row>
    <row r="10648" customFormat="false" ht="17.15" hidden="false" customHeight="false" outlineLevel="0" collapsed="false">
      <c r="A10648" s="3" t="s">
        <v>1536</v>
      </c>
    </row>
    <row r="10649" customFormat="false" ht="15" hidden="false" customHeight="false" outlineLevel="0" collapsed="false">
      <c r="A10649" s="4" t="s">
        <v>43</v>
      </c>
      <c r="B10649" s="4" t="s">
        <v>65</v>
      </c>
      <c r="C10649" s="20" t="s">
        <v>799</v>
      </c>
      <c r="D10649" s="20" t="s">
        <v>800</v>
      </c>
      <c r="E10649" s="20" t="s">
        <v>801</v>
      </c>
      <c r="F10649" s="20" t="s">
        <v>802</v>
      </c>
      <c r="G10649" s="20" t="s">
        <v>803</v>
      </c>
      <c r="H10649" s="20" t="s">
        <v>804</v>
      </c>
      <c r="I10649" s="20" t="s">
        <v>805</v>
      </c>
      <c r="J10649" s="20" t="s">
        <v>806</v>
      </c>
      <c r="K10649" s="20" t="s">
        <v>807</v>
      </c>
      <c r="L10649" s="4" t="s">
        <v>47</v>
      </c>
    </row>
    <row r="10650" customFormat="false" ht="15" hidden="false" customHeight="false" outlineLevel="0" collapsed="false">
      <c r="A10650" s="1" t="s">
        <v>1057</v>
      </c>
      <c r="B10650" s="1" t="s">
        <v>235</v>
      </c>
      <c r="F10650" s="36" t="n">
        <f aca="false">Sens!F10504-base_fy-mid_yr</f>
        <v>0.5</v>
      </c>
      <c r="G10650" s="36" t="n">
        <f aca="false">Sens!G10504-base_fy-mid_yr</f>
        <v>1.5</v>
      </c>
      <c r="H10650" s="36" t="n">
        <f aca="false">Sens!H10504-base_fy-mid_yr</f>
        <v>2.5</v>
      </c>
      <c r="I10650" s="36" t="n">
        <f aca="false">Sens!I10504-base_fy-mid_yr</f>
        <v>3.5</v>
      </c>
      <c r="J10650" s="36" t="n">
        <f aca="false">Sens!J10504-base_fy-mid_yr</f>
        <v>4.5</v>
      </c>
      <c r="K10650" s="36" t="n">
        <f aca="false">Sens!K10504-base_fy-mid_yr</f>
        <v>5.5</v>
      </c>
    </row>
    <row r="10651" customFormat="false" ht="15" hidden="false" customHeight="false" outlineLevel="0" collapsed="false">
      <c r="A10651" s="1" t="s">
        <v>1058</v>
      </c>
      <c r="B10651" s="0" t="s">
        <v>185</v>
      </c>
      <c r="F10651" s="14" t="n">
        <f aca="false">1/(1+wacc)^Sens!F10650</f>
        <v>0.952193373608246</v>
      </c>
      <c r="G10651" s="14" t="n">
        <f aca="false">1/(1+wacc)^Sens!G10650</f>
        <v>0.863327280626589</v>
      </c>
      <c r="H10651" s="14" t="n">
        <f aca="false">1/(1+wacc)^Sens!H10650</f>
        <v>0.782754862754115</v>
      </c>
      <c r="I10651" s="14" t="n">
        <f aca="false">1/(1+wacc)^Sens!I10650</f>
        <v>0.709702089711011</v>
      </c>
      <c r="J10651" s="14" t="n">
        <f aca="false">1/(1+wacc)^Sens!J10650</f>
        <v>0.643467169744551</v>
      </c>
      <c r="K10651" s="14" t="n">
        <f aca="false">1/(1+wacc)^Sens!K10650</f>
        <v>0.583413807767797</v>
      </c>
    </row>
    <row r="10652" customFormat="false" ht="17.15" hidden="false" customHeight="false" outlineLevel="0" collapsed="false">
      <c r="A10652" s="1" t="s">
        <v>1059</v>
      </c>
      <c r="B10652" s="0" t="s">
        <v>98</v>
      </c>
      <c r="F10652" s="6" t="n">
        <f aca="false">Sens!F10625-Sens!F10623-Sens!F10629+Sens!F10608*(1-tax_f)</f>
        <v>0.843646438931697</v>
      </c>
      <c r="G10652" s="6" t="n">
        <f aca="false">Sens!G10625-Sens!G10623-Sens!G10629+Sens!G10608*(1-tax_f)</f>
        <v>46.6601530112667</v>
      </c>
      <c r="H10652" s="6" t="n">
        <f aca="false">Sens!H10625-Sens!H10623-Sens!H10629+Sens!H10608*(1-tax_f)</f>
        <v>105.351967725617</v>
      </c>
      <c r="I10652" s="6" t="n">
        <f aca="false">Sens!I10625-Sens!I10623-Sens!I10629+Sens!I10608*(1-tax_f)</f>
        <v>183.512840331964</v>
      </c>
      <c r="J10652" s="6" t="n">
        <f aca="false">Sens!J10625-Sens!J10623-Sens!J10629+Sens!J10608*(1-tax_f)</f>
        <v>261.875336395965</v>
      </c>
      <c r="K10652" s="6" t="n">
        <f aca="false">Sens!K10625-Sens!K10623-Sens!K10629+Sens!K10608*(1-tax_f)</f>
        <v>298.847726174113</v>
      </c>
      <c r="L10652" s="1" t="s">
        <v>1060</v>
      </c>
    </row>
    <row r="10653" customFormat="false" ht="15" hidden="false" customHeight="false" outlineLevel="0" collapsed="false">
      <c r="A10653" s="1" t="s">
        <v>1061</v>
      </c>
      <c r="B10653" s="0" t="s">
        <v>98</v>
      </c>
      <c r="F10653" s="6" t="n">
        <f aca="false">Sens!F10652*Sens!F10651</f>
        <v>0.803314548818956</v>
      </c>
      <c r="G10653" s="6" t="n">
        <f aca="false">Sens!G10652*Sens!G10651</f>
        <v>40.2829830128374</v>
      </c>
      <c r="H10653" s="6" t="n">
        <f aca="false">Sens!H10652*Sens!H10651</f>
        <v>82.4647650379416</v>
      </c>
      <c r="I10653" s="6" t="n">
        <f aca="false">Sens!I10652*Sens!I10651</f>
        <v>130.239446272398</v>
      </c>
      <c r="J10653" s="6" t="n">
        <f aca="false">Sens!J10652*Sens!J10651</f>
        <v>168.508181536614</v>
      </c>
      <c r="K10653" s="6" t="n">
        <f aca="false">Sens!K10652*Sens!K10651</f>
        <v>174.351889869987</v>
      </c>
    </row>
    <row r="10654" customFormat="false" ht="17.15" hidden="false" customHeight="false" outlineLevel="0" collapsed="false">
      <c r="A10654" s="1" t="s">
        <v>1062</v>
      </c>
      <c r="B10654" s="0" t="s">
        <v>98</v>
      </c>
      <c r="C10654" s="6" t="n">
        <f aca="false">SUM(Sens!F10653:K10653)</f>
        <v>596.650580278597</v>
      </c>
    </row>
    <row r="10655" customFormat="false" ht="17.15" hidden="false" customHeight="false" outlineLevel="0" collapsed="false">
      <c r="A10655" s="1" t="s">
        <v>1063</v>
      </c>
      <c r="B10655" s="0" t="s">
        <v>98</v>
      </c>
      <c r="C10655" s="6" t="n">
        <f aca="false">Sens!K10594*(1+g_tv)*(1-tax_f)</f>
        <v>316.958561441468</v>
      </c>
    </row>
    <row r="10656" customFormat="false" ht="17.15" hidden="false" customHeight="false" outlineLevel="0" collapsed="false">
      <c r="A10656" s="1" t="s">
        <v>1064</v>
      </c>
      <c r="B10656" s="0" t="s">
        <v>98</v>
      </c>
      <c r="C10656" s="6" t="n">
        <f aca="false">Sens!$C$10655*(1-g_tv/(wacc+ronic_prem))</f>
        <v>224.581717673713</v>
      </c>
    </row>
    <row r="10657" customFormat="false" ht="17.15" hidden="false" customHeight="false" outlineLevel="0" collapsed="false">
      <c r="A10657" s="1" t="s">
        <v>1065</v>
      </c>
      <c r="B10657" s="0" t="s">
        <v>98</v>
      </c>
      <c r="C10657" s="6" t="n">
        <f aca="false">Sens!$C$10656/(wacc-g_tv)</f>
        <v>3079.22812559183</v>
      </c>
    </row>
    <row r="10658" customFormat="false" ht="15" hidden="false" customHeight="false" outlineLevel="0" collapsed="false">
      <c r="A10658" s="1" t="s">
        <v>1066</v>
      </c>
      <c r="B10658" s="0" t="s">
        <v>98</v>
      </c>
      <c r="C10658" s="6" t="n">
        <f aca="false">Sens!$C$10657/(1+wacc)^(Sens!K10650+mid_yr)</f>
        <v>1710.58131262739</v>
      </c>
    </row>
    <row r="10659" customFormat="false" ht="17.15" hidden="false" customHeight="false" outlineLevel="0" collapsed="false">
      <c r="A10659" s="0" t="s">
        <v>986</v>
      </c>
      <c r="B10659" s="0" t="s">
        <v>98</v>
      </c>
      <c r="C10659" s="6" t="n">
        <f aca="false">Sens!$C$10654+Sens!$C$10658</f>
        <v>2307.23189290598</v>
      </c>
    </row>
    <row r="10660" customFormat="false" ht="15" hidden="false" customHeight="false" outlineLevel="0" collapsed="false">
      <c r="A10660" s="1" t="s">
        <v>987</v>
      </c>
      <c r="B10660" s="0" t="s">
        <v>129</v>
      </c>
      <c r="C10660" s="7" t="n">
        <f aca="false">Sens!$C$10658/Sens!$C$10659</f>
        <v>0.741399821095959</v>
      </c>
    </row>
    <row r="10661" customFormat="false" ht="17.15" hidden="false" customHeight="false" outlineLevel="0" collapsed="false">
      <c r="A10661" s="1" t="s">
        <v>1067</v>
      </c>
      <c r="B10661" s="0" t="s">
        <v>98</v>
      </c>
      <c r="C10661" s="6" t="n">
        <f aca="false">Sens!$C$10659+Sens!E10641-Sens!E10630+oai_v</f>
        <v>2441.74489290598</v>
      </c>
    </row>
    <row r="10662" customFormat="false" ht="17.15" hidden="false" customHeight="false" outlineLevel="0" collapsed="false">
      <c r="A10662" s="0" t="s">
        <v>994</v>
      </c>
      <c r="B10662" s="0" t="s">
        <v>75</v>
      </c>
      <c r="C10662" s="5" t="n">
        <f aca="false">Sens!$C$10661/sh_dil26</f>
        <v>327.619065196026</v>
      </c>
    </row>
    <row r="10663" customFormat="false" ht="15" hidden="false" customHeight="false" outlineLevel="0" collapsed="false">
      <c r="A10663" s="1" t="s">
        <v>1068</v>
      </c>
      <c r="B10663" s="0" t="s">
        <v>75</v>
      </c>
      <c r="C10663" s="8" t="n">
        <f aca="false">dps_27+Sens!G10633*roll_div_q/q_per_yr</f>
        <v>4.8895</v>
      </c>
    </row>
    <row r="10664" customFormat="false" ht="17.15" hidden="false" customHeight="false" outlineLevel="0" collapsed="false">
      <c r="A10664" s="0" t="s">
        <v>1069</v>
      </c>
      <c r="B10664" s="0" t="s">
        <v>75</v>
      </c>
      <c r="C10664" s="5" t="n">
        <f aca="false">Sens!$C$10662*(1+wacc)^t_roll-Sens!$C$10663</f>
        <v>368.181268583926</v>
      </c>
    </row>
    <row r="10665" customFormat="false" ht="17.15" hidden="false" customHeight="false" outlineLevel="0" collapsed="false">
      <c r="A10665" s="1" t="s">
        <v>1070</v>
      </c>
      <c r="B10665" s="0" t="s">
        <v>129</v>
      </c>
      <c r="F10665" s="7" t="n">
        <f aca="false">Sens!F10620/(Sens!F10565-Sens!F10521)</f>
        <v>0.070508173503024</v>
      </c>
      <c r="G10665" s="7" t="n">
        <f aca="false">Sens!G10620/(Sens!G10565-Sens!G10521)</f>
        <v>0.0668643489771028</v>
      </c>
      <c r="H10665" s="7" t="n">
        <f aca="false">Sens!H10620/(Sens!H10565-Sens!H10521)</f>
        <v>0.0648125007071339</v>
      </c>
      <c r="I10665" s="7" t="n">
        <f aca="false">Sens!I10620/(Sens!I10565-Sens!I10521)</f>
        <v>0.0642187078370241</v>
      </c>
      <c r="J10665" s="7" t="n">
        <f aca="false">Sens!J10620/(Sens!J10565-Sens!J10521)</f>
        <v>0.064704170374296</v>
      </c>
      <c r="K10665" s="7" t="n">
        <f aca="false">Sens!K10620/(Sens!K10565-Sens!K10521)</f>
        <v>0.0657949970143956</v>
      </c>
    </row>
    <row r="10666" customFormat="false" ht="17.15" hidden="false" customHeight="false" outlineLevel="0" collapsed="false">
      <c r="A10666" s="0" t="s">
        <v>1071</v>
      </c>
      <c r="B10666" s="0" t="s">
        <v>98</v>
      </c>
      <c r="F10666" s="6" t="n">
        <f aca="false">Sens!F10550*(al_m365+Sens!F10665+sbc_r)</f>
        <v>85.2246588307539</v>
      </c>
      <c r="G10666" s="6" t="n">
        <f aca="false">Sens!G10550*(al_m365+Sens!G10665+sbc_r)</f>
        <v>99.6820468127839</v>
      </c>
      <c r="H10666" s="6" t="n">
        <f aca="false">Sens!H10550*(al_m365+Sens!H10665+sbc_r)</f>
        <v>114.301462011717</v>
      </c>
      <c r="I10666" s="6" t="n">
        <f aca="false">Sens!I10550*(al_m365+Sens!I10665+sbc_r)</f>
        <v>127.39958905969</v>
      </c>
      <c r="J10666" s="6" t="n">
        <f aca="false">Sens!J10550*(al_m365+Sens!J10665+sbc_r)</f>
        <v>138.790407616369</v>
      </c>
      <c r="K10666" s="6" t="n">
        <f aca="false">Sens!K10550*(al_m365+Sens!K10665+sbc_r)</f>
        <v>149.79650854369</v>
      </c>
      <c r="L10666" s="11" t="s">
        <v>1072</v>
      </c>
    </row>
    <row r="10667" customFormat="false" ht="17.15" hidden="false" customHeight="false" outlineLevel="0" collapsed="false">
      <c r="A10667" s="0" t="s">
        <v>1073</v>
      </c>
      <c r="B10667" s="0" t="s">
        <v>98</v>
      </c>
      <c r="F10667" s="6" t="n">
        <f aca="false">Sens!F10551*(al_lic+Sens!F10665+sbc_r)</f>
        <v>33.5195793370695</v>
      </c>
      <c r="G10667" s="6" t="n">
        <f aca="false">Sens!G10551*(al_lic+Sens!G10665+sbc_r)</f>
        <v>34.7905415808518</v>
      </c>
      <c r="H10667" s="6" t="n">
        <f aca="false">Sens!H10551*(al_lic+Sens!H10665+sbc_r)</f>
        <v>35.9827433829651</v>
      </c>
      <c r="I10667" s="6" t="n">
        <f aca="false">Sens!I10551*(al_lic+Sens!I10665+sbc_r)</f>
        <v>37.0785490038949</v>
      </c>
      <c r="J10667" s="6" t="n">
        <f aca="false">Sens!J10551*(al_lic+Sens!J10665+sbc_r)</f>
        <v>38.0489211730183</v>
      </c>
      <c r="K10667" s="6" t="n">
        <f aca="false">Sens!K10551*(al_lic+Sens!K10665+sbc_r)</f>
        <v>38.8595833546829</v>
      </c>
    </row>
    <row r="10668" customFormat="false" ht="17.15" hidden="false" customHeight="false" outlineLevel="0" collapsed="false">
      <c r="A10668" s="0" t="s">
        <v>1074</v>
      </c>
      <c r="B10668" s="0" t="s">
        <v>98</v>
      </c>
      <c r="F10668" s="6" t="n">
        <f aca="false">Sens!F10553*(al_ind+Sens!F10665+sbc_r)</f>
        <v>9.11930358245507</v>
      </c>
      <c r="G10668" s="6" t="n">
        <f aca="false">Sens!G10553*(al_ind+Sens!G10665+sbc_r)</f>
        <v>9.87947672689537</v>
      </c>
      <c r="H10668" s="6" t="n">
        <f aca="false">Sens!H10553*(al_ind+Sens!H10665+sbc_r)</f>
        <v>10.6878538933481</v>
      </c>
      <c r="I10668" s="6" t="n">
        <f aca="false">Sens!I10553*(al_ind+Sens!I10665+sbc_r)</f>
        <v>11.5425099040369</v>
      </c>
      <c r="J10668" s="6" t="n">
        <f aca="false">Sens!J10553*(al_ind+Sens!J10665+sbc_r)</f>
        <v>12.4322227714474</v>
      </c>
      <c r="K10668" s="6" t="n">
        <f aca="false">Sens!K10553*(al_ind+Sens!K10665+sbc_r)</f>
        <v>13.3385668402505</v>
      </c>
    </row>
    <row r="10669" customFormat="false" ht="17.15" hidden="false" customHeight="false" outlineLevel="0" collapsed="false">
      <c r="A10669" s="0" t="s">
        <v>1075</v>
      </c>
      <c r="B10669" s="0" t="s">
        <v>98</v>
      </c>
      <c r="F10669" s="6" t="n">
        <f aca="false">Sens!F10555*(al_fro+Sens!F10665+sbc_r)</f>
        <v>3.58938990611384</v>
      </c>
      <c r="G10669" s="6" t="n">
        <f aca="false">Sens!G10555*(al_fro+Sens!G10665+sbc_r)</f>
        <v>3.79313497193124</v>
      </c>
      <c r="H10669" s="6" t="n">
        <f aca="false">Sens!H10555*(al_fro+Sens!H10665+sbc_r)</f>
        <v>4.02754916610796</v>
      </c>
      <c r="I10669" s="6" t="n">
        <f aca="false">Sens!I10555*(al_fro+Sens!I10665+sbc_r)</f>
        <v>4.29565241184225</v>
      </c>
      <c r="J10669" s="6" t="n">
        <f aca="false">Sens!J10555*(al_fro+Sens!J10665+sbc_r)</f>
        <v>4.59791375031583</v>
      </c>
      <c r="K10669" s="6" t="n">
        <f aca="false">Sens!K10555*(al_fro+Sens!K10665+sbc_r)</f>
        <v>4.93311461769717</v>
      </c>
    </row>
    <row r="10670" customFormat="false" ht="17.15" hidden="false" customHeight="false" outlineLevel="0" collapsed="false">
      <c r="A10670" s="0" t="s">
        <v>1076</v>
      </c>
      <c r="B10670" s="0" t="s">
        <v>98</v>
      </c>
      <c r="F10670" s="6" t="n">
        <f aca="false">Sens!F10558*(al_srch+Sens!F10665+sbc_r)</f>
        <v>11.262471680504</v>
      </c>
      <c r="G10670" s="6" t="n">
        <f aca="false">Sens!G10558*(al_srch+Sens!G10665+sbc_r)</f>
        <v>12.3164204724414</v>
      </c>
      <c r="H10670" s="6" t="n">
        <f aca="false">Sens!H10558*(al_srch+Sens!H10665+sbc_r)</f>
        <v>13.4189883824665</v>
      </c>
      <c r="I10670" s="6" t="n">
        <f aca="false">Sens!I10558*(al_srch+Sens!I10665+sbc_r)</f>
        <v>14.5611399003952</v>
      </c>
      <c r="J10670" s="6" t="n">
        <f aca="false">Sens!J10558*(al_srch+Sens!J10665+sbc_r)</f>
        <v>15.7211244702219</v>
      </c>
      <c r="K10670" s="6" t="n">
        <f aca="false">Sens!K10558*(al_srch+Sens!K10665+sbc_r)</f>
        <v>16.8672387396046</v>
      </c>
    </row>
    <row r="10671" customFormat="false" ht="17.15" hidden="false" customHeight="false" outlineLevel="0" collapsed="false">
      <c r="A10671" s="0" t="s">
        <v>1077</v>
      </c>
      <c r="B10671" s="0" t="s">
        <v>98</v>
      </c>
      <c r="F10671" s="6" t="n">
        <f aca="false">Sens!F10527-Sens!F10528+Sens!F10608</f>
        <v>45.0374073018652</v>
      </c>
      <c r="G10671" s="6" t="n">
        <f aca="false">Sens!G10527-Sens!G10528+Sens!G10608</f>
        <v>89.051993487491</v>
      </c>
      <c r="H10671" s="6" t="n">
        <f aca="false">Sens!H10527-Sens!H10528+Sens!H10608</f>
        <v>140.728332825594</v>
      </c>
      <c r="I10671" s="6" t="n">
        <f aca="false">Sens!I10527-Sens!I10528+Sens!I10608</f>
        <v>182.158665153016</v>
      </c>
      <c r="J10671" s="6" t="n">
        <f aca="false">Sens!J10527-Sens!J10528+Sens!J10608</f>
        <v>211.722320149272</v>
      </c>
      <c r="K10671" s="6" t="n">
        <f aca="false">Sens!K10527-Sens!K10528+Sens!K10608</f>
        <v>230.495012322217</v>
      </c>
    </row>
    <row r="10672" customFormat="false" ht="17.15" hidden="false" customHeight="false" outlineLevel="0" collapsed="false">
      <c r="A10672" s="0" t="s">
        <v>1078</v>
      </c>
      <c r="B10672" s="0" t="s">
        <v>98</v>
      </c>
      <c r="F10672" s="6" t="n">
        <f aca="false">Sens!F10587+Sens!F10608+Sens!F10538+Sens!F10665*(Sens!F10557-Sens!F10521)+sbc_r*Sens!F10557</f>
        <v>236.973223791488</v>
      </c>
      <c r="G10672" s="6" t="n">
        <f aca="false">Sens!G10587+Sens!G10608+Sens!G10538+Sens!G10665*(Sens!G10557-Sens!G10521)+sbc_r*Sens!G10557</f>
        <v>310.282403324595</v>
      </c>
      <c r="H10672" s="6" t="n">
        <f aca="false">Sens!H10587+Sens!H10608+Sens!H10538+Sens!H10665*(Sens!H10557-Sens!H10521)+sbc_r*Sens!H10557</f>
        <v>391.948809803317</v>
      </c>
      <c r="I10672" s="6" t="n">
        <f aca="false">Sens!I10587+Sens!I10608+Sens!I10538+Sens!I10665*(Sens!I10557-Sens!I10521)+sbc_r*Sens!I10557</f>
        <v>461.289192444383</v>
      </c>
      <c r="J10672" s="6" t="n">
        <f aca="false">Sens!J10587+Sens!J10608+Sens!J10538+Sens!J10665*(Sens!J10557-Sens!J10521)+sbc_r*Sens!J10557</f>
        <v>515.801361457428</v>
      </c>
      <c r="K10672" s="6" t="n">
        <f aca="false">Sens!K10587+Sens!K10608+Sens!K10538+Sens!K10665*(Sens!K10557-Sens!K10521)+sbc_r*Sens!K10557</f>
        <v>557.117129408707</v>
      </c>
    </row>
    <row r="10673" customFormat="false" ht="17.15" hidden="false" customHeight="false" outlineLevel="0" collapsed="false">
      <c r="A10673" s="0" t="s">
        <v>1079</v>
      </c>
      <c r="B10673" s="0" t="s">
        <v>98</v>
      </c>
      <c r="F10673" s="6" t="n">
        <f aca="false">Sens!F10672-Sens!F10666-Sens!F10667-Sens!F10668-Sens!F10669-Sens!F10671</f>
        <v>60.4828848332303</v>
      </c>
      <c r="G10673" s="6" t="n">
        <f aca="false">Sens!G10672-Sens!G10666-Sens!G10667-Sens!G10668-Sens!G10669-Sens!G10671</f>
        <v>73.0852097446414</v>
      </c>
      <c r="H10673" s="6" t="n">
        <f aca="false">Sens!H10672-Sens!H10666-Sens!H10667-Sens!H10668-Sens!H10669-Sens!H10671</f>
        <v>86.2208685235844</v>
      </c>
      <c r="I10673" s="6" t="n">
        <f aca="false">Sens!I10672-Sens!I10666-Sens!I10667-Sens!I10668-Sens!I10669-Sens!I10671</f>
        <v>98.814226911903</v>
      </c>
      <c r="J10673" s="6" t="n">
        <f aca="false">Sens!J10672-Sens!J10666-Sens!J10667-Sens!J10668-Sens!J10669-Sens!J10671</f>
        <v>110.209575997006</v>
      </c>
      <c r="K10673" s="6" t="n">
        <f aca="false">Sens!K10672-Sens!K10666-Sens!K10667-Sens!K10668-Sens!K10669-Sens!K10671</f>
        <v>119.69434373017</v>
      </c>
    </row>
    <row r="10674" customFormat="false" ht="17.15" hidden="false" customHeight="false" outlineLevel="0" collapsed="false">
      <c r="A10674" s="0" t="s">
        <v>1080</v>
      </c>
      <c r="B10674" s="0" t="s">
        <v>98</v>
      </c>
      <c r="F10674" s="6" t="n">
        <f aca="false">Sens!F10589+Sens!F10665*Sens!F10564+sbc_r*Sens!F10564</f>
        <v>26.3676526117244</v>
      </c>
      <c r="G10674" s="6" t="n">
        <f aca="false">Sens!G10589+Sens!G10665*Sens!G10564+sbc_r*Sens!G10564</f>
        <v>27.0053578572408</v>
      </c>
      <c r="H10674" s="6" t="n">
        <f aca="false">Sens!H10589+Sens!H10665*Sens!H10564+sbc_r*Sens!H10564</f>
        <v>27.9602990890509</v>
      </c>
      <c r="I10674" s="6" t="n">
        <f aca="false">Sens!I10589+Sens!I10665*Sens!I10564+sbc_r*Sens!I10564</f>
        <v>29.2063489137619</v>
      </c>
      <c r="J10674" s="6" t="n">
        <f aca="false">Sens!J10589+Sens!J10665*Sens!J10564+sbc_r*Sens!J10564</f>
        <v>30.7103636004293</v>
      </c>
      <c r="K10674" s="6" t="n">
        <f aca="false">Sens!K10589+Sens!K10665*Sens!K10564+sbc_r*Sens!K10564</f>
        <v>32.4382868652401</v>
      </c>
    </row>
    <row r="10675" customFormat="false" ht="17.15" hidden="false" customHeight="false" outlineLevel="0" collapsed="false">
      <c r="A10675" s="0" t="s">
        <v>1081</v>
      </c>
      <c r="B10675" s="0" t="s">
        <v>98</v>
      </c>
      <c r="F10675" s="6" t="n">
        <f aca="false">(Sens!F10674-Sens!F10670)*Sens!F10560/(Sens!F10560+Sens!F10562)</f>
        <v>8.3002677560092</v>
      </c>
      <c r="G10675" s="6" t="n">
        <f aca="false">(Sens!G10674-Sens!G10670)*Sens!G10560/(Sens!G10560+Sens!G10562)</f>
        <v>7.96586101150235</v>
      </c>
      <c r="H10675" s="6" t="n">
        <f aca="false">(Sens!H10674-Sens!H10670)*Sens!H10560/(Sens!H10560+Sens!H10562)</f>
        <v>7.83539047439393</v>
      </c>
      <c r="I10675" s="6" t="n">
        <f aca="false">(Sens!I10674-Sens!I10670)*Sens!I10560/(Sens!I10560+Sens!I10562)</f>
        <v>7.89399565411354</v>
      </c>
      <c r="J10675" s="6" t="n">
        <f aca="false">(Sens!J10674-Sens!J10670)*Sens!J10560/(Sens!J10560+Sens!J10562)</f>
        <v>8.13538135436792</v>
      </c>
      <c r="K10675" s="6" t="n">
        <f aca="false">(Sens!K10674-Sens!K10670)*Sens!K10560/(Sens!K10560+Sens!K10562)</f>
        <v>8.56302738909782</v>
      </c>
    </row>
    <row r="10676" customFormat="false" ht="17.15" hidden="false" customHeight="false" outlineLevel="0" collapsed="false">
      <c r="A10676" s="0" t="s">
        <v>1082</v>
      </c>
      <c r="B10676" s="0" t="s">
        <v>98</v>
      </c>
      <c r="F10676" s="6" t="n">
        <f aca="false">Sens!F10674-Sens!F10670-Sens!F10675</f>
        <v>6.80491317521124</v>
      </c>
      <c r="G10676" s="6" t="n">
        <f aca="false">Sens!G10674-Sens!G10670-Sens!G10675</f>
        <v>6.72307637329703</v>
      </c>
      <c r="H10676" s="6" t="n">
        <f aca="false">Sens!H10674-Sens!H10670-Sens!H10675</f>
        <v>6.70592023219037</v>
      </c>
      <c r="I10676" s="6" t="n">
        <f aca="false">Sens!I10674-Sens!I10670-Sens!I10675</f>
        <v>6.75121335925314</v>
      </c>
      <c r="J10676" s="6" t="n">
        <f aca="false">Sens!J10674-Sens!J10670-Sens!J10675</f>
        <v>6.85385777583954</v>
      </c>
      <c r="K10676" s="6" t="n">
        <f aca="false">Sens!K10674-Sens!K10670-Sens!K10675</f>
        <v>7.00802073653767</v>
      </c>
    </row>
    <row r="10677" customFormat="false" ht="17.15" hidden="false" customHeight="false" outlineLevel="0" collapsed="false">
      <c r="A10677" s="0" t="s">
        <v>1083</v>
      </c>
      <c r="B10677" s="0" t="s">
        <v>98</v>
      </c>
      <c r="F10677" s="6" t="n">
        <f aca="false">Sens!F10671-tax_f*(Sens!F10671-Sens!F10538)-Sens!F10535</f>
        <v>-117.492972553783</v>
      </c>
      <c r="G10677" s="6" t="n">
        <f aca="false">Sens!G10671-tax_f*(Sens!G10671-Sens!G10538)-Sens!G10535</f>
        <v>-100.507498271105</v>
      </c>
      <c r="H10677" s="6" t="n">
        <f aca="false">Sens!H10671-tax_f*(Sens!H10671-Sens!H10538)-Sens!H10535</f>
        <v>-58.2254156812621</v>
      </c>
      <c r="I10677" s="6" t="n">
        <f aca="false">Sens!I10671-tax_f*(Sens!I10671-Sens!I10538)-Sens!I10535</f>
        <v>4.14141173464586</v>
      </c>
      <c r="J10677" s="6" t="n">
        <f aca="false">Sens!J10671-tax_f*(Sens!J10671-Sens!J10538)-Sens!J10535</f>
        <v>67.7960840957439</v>
      </c>
      <c r="K10677" s="6" t="n">
        <f aca="false">Sens!K10671-tax_f*(Sens!K10671-Sens!K10538)-Sens!K10535</f>
        <v>90.8148873630444</v>
      </c>
    </row>
    <row r="10678" customFormat="false" ht="17.15" hidden="false" customHeight="false" outlineLevel="0" collapsed="false">
      <c r="A10678" s="0" t="s">
        <v>1084</v>
      </c>
      <c r="B10678" s="0" t="s">
        <v>98</v>
      </c>
      <c r="G10678" s="6" t="n">
        <f aca="false">Sens!G10677/(1+wacc)^(Sens!G10650-(Sens!F10650+mid_yr))</f>
        <v>-95.7025738516884</v>
      </c>
      <c r="H10678" s="6" t="n">
        <f aca="false">Sens!H10677/(1+wacc)^(Sens!H10650-(Sens!F10650+mid_yr))</f>
        <v>-50.2675897834568</v>
      </c>
      <c r="I10678" s="6" t="n">
        <f aca="false">Sens!I10677/(1+wacc)^(Sens!I10650-(Sens!F10650+mid_yr))</f>
        <v>3.241710173961</v>
      </c>
      <c r="J10678" s="6" t="n">
        <f aca="false">Sens!J10677/(1+wacc)^(Sens!J10650-(Sens!F10650+mid_yr))</f>
        <v>48.1150225569729</v>
      </c>
      <c r="K10678" s="6" t="n">
        <f aca="false">Sens!K10677/(1+wacc)^(Sens!K10650-(Sens!F10650+mid_yr))</f>
        <v>58.4363985421684</v>
      </c>
      <c r="L10678" s="1" t="s">
        <v>1085</v>
      </c>
    </row>
    <row r="10679" customFormat="false" ht="17.15" hidden="false" customHeight="false" outlineLevel="0" collapsed="false">
      <c r="A10679" s="0" t="s">
        <v>1086</v>
      </c>
      <c r="B10679" s="0" t="s">
        <v>98</v>
      </c>
      <c r="C10679" s="6" t="n">
        <f aca="false">(Sens!K10671-Sens!K10538)*(1-tax_f)*(1+g_tv)*(1-g_tv/(wacc+ronic_prem))/(wacc-g_tv)/(1+wacc)^(Sens!K10650+mid_yr-(Sens!F10650+mid_yr))</f>
        <v>448.116665852667</v>
      </c>
    </row>
    <row r="10680" customFormat="false" ht="17.15" hidden="false" customHeight="false" outlineLevel="0" collapsed="false">
      <c r="A10680" s="1" t="s">
        <v>1087</v>
      </c>
      <c r="B10680" s="0" t="s">
        <v>98</v>
      </c>
      <c r="C10680" s="6" t="n">
        <f aca="false">(SUM(Sens!G10678:K10678)+Sens!$C$10679)*(1+wacc)^(t_roll-(Sens!F10650+mid_yr))</f>
        <v>425.310341738423</v>
      </c>
      <c r="L10680" s="11" t="s">
        <v>1088</v>
      </c>
    </row>
    <row r="10681" customFormat="false" ht="17.15" hidden="false" customHeight="false" outlineLevel="0" collapsed="false">
      <c r="A10681" s="1" t="s">
        <v>1089</v>
      </c>
      <c r="B10681" s="0" t="s">
        <v>98</v>
      </c>
      <c r="C10681" s="6" t="n">
        <f aca="false">(w_ntm28*Sens!G10527+(1-w_ntm28)*Sens!H10527)*m_ai</f>
        <v>551.711134531404</v>
      </c>
    </row>
    <row r="10682" customFormat="false" ht="17.15" hidden="false" customHeight="false" outlineLevel="0" collapsed="false">
      <c r="A10682" s="1" t="s">
        <v>1090</v>
      </c>
      <c r="B10682" s="0" t="s">
        <v>98</v>
      </c>
      <c r="C10682" s="6" t="n">
        <f aca="false">(w_ntm28*Sens!G10673+(1-w_ntm28)*Sens!H10673)*m_cloud</f>
        <v>1068.72556280889</v>
      </c>
    </row>
    <row r="10683" customFormat="false" ht="17.15" hidden="false" customHeight="false" outlineLevel="0" collapsed="false">
      <c r="A10683" s="1" t="s">
        <v>1091</v>
      </c>
      <c r="B10683" s="0" t="s">
        <v>98</v>
      </c>
      <c r="C10683" s="6" t="n">
        <f aca="false">(w_ntm28*Sens!G10666+(1-w_ntm28)*Sens!H10666)*m_sw</f>
        <v>1127.60989387812</v>
      </c>
    </row>
    <row r="10684" customFormat="false" ht="17.15" hidden="false" customHeight="false" outlineLevel="0" collapsed="false">
      <c r="A10684" s="1" t="s">
        <v>1092</v>
      </c>
      <c r="B10684" s="0" t="s">
        <v>98</v>
      </c>
      <c r="C10684" s="6" t="n">
        <f aca="false">(w_ntm28*Sens!G10667+(1-w_ntm28)*Sens!H10667)*m_sw</f>
        <v>379.900429831043</v>
      </c>
    </row>
    <row r="10685" customFormat="false" ht="17.15" hidden="false" customHeight="false" outlineLevel="0" collapsed="false">
      <c r="A10685" s="1" t="s">
        <v>1093</v>
      </c>
      <c r="B10685" s="0" t="s">
        <v>98</v>
      </c>
      <c r="C10685" s="6" t="n">
        <f aca="false">(w_ntm28*Sens!G10668+(1-w_ntm28)*Sens!H10668)*m_sw</f>
        <v>109.520803063969</v>
      </c>
    </row>
    <row r="10686" customFormat="false" ht="17.15" hidden="false" customHeight="false" outlineLevel="0" collapsed="false">
      <c r="A10686" s="1" t="s">
        <v>1094</v>
      </c>
      <c r="B10686" s="0" t="s">
        <v>98</v>
      </c>
      <c r="C10686" s="6" t="n">
        <f aca="false">(w_ntm28*Sens!G10669+(1-w_ntm28)*Sens!H10669)*m_sw</f>
        <v>41.7843164614021</v>
      </c>
    </row>
    <row r="10687" customFormat="false" ht="17.15" hidden="false" customHeight="false" outlineLevel="0" collapsed="false">
      <c r="A10687" s="1" t="s">
        <v>1095</v>
      </c>
      <c r="B10687" s="0" t="s">
        <v>98</v>
      </c>
      <c r="C10687" s="6" t="n">
        <f aca="false">(w_ntm28*Sens!G10670+(1-w_ntm28)*Sens!H10670)*m_ads</f>
        <v>115.449819139335</v>
      </c>
    </row>
    <row r="10688" customFormat="false" ht="17.15" hidden="false" customHeight="false" outlineLevel="0" collapsed="false">
      <c r="A10688" s="1" t="s">
        <v>1096</v>
      </c>
      <c r="B10688" s="0" t="s">
        <v>98</v>
      </c>
      <c r="C10688" s="6" t="n">
        <f aca="false">(w_ntm28*Sens!G10675+(1-w_ntm28)*Sens!H10675)*m_game</f>
        <v>100.076097286852</v>
      </c>
    </row>
    <row r="10689" customFormat="false" ht="17.15" hidden="false" customHeight="false" outlineLevel="0" collapsed="false">
      <c r="A10689" s="1" t="s">
        <v>1097</v>
      </c>
      <c r="B10689" s="0" t="s">
        <v>98</v>
      </c>
      <c r="C10689" s="6" t="n">
        <f aca="false">(w_ntm28*Sens!G10676+(1-w_ntm28)*Sens!H10676)*m_pc</f>
        <v>97.2026591635424</v>
      </c>
    </row>
    <row r="10690" customFormat="false" ht="17.15" hidden="false" customHeight="false" outlineLevel="0" collapsed="false">
      <c r="A10690" s="1" t="s">
        <v>1098</v>
      </c>
      <c r="B10690" s="0" t="s">
        <v>98</v>
      </c>
      <c r="C10690" s="6" t="n">
        <f aca="false">Sens!$C$10680+Sens!$C$10682+Sens!$C$10683+Sens!$C$10684+Sens!$C$10685+Sens!$C$10686+Sens!$C$10687+Sens!$C$10688+Sens!$C$10689</f>
        <v>3465.57992337158</v>
      </c>
    </row>
    <row r="10691" customFormat="false" ht="17.15" hidden="false" customHeight="false" outlineLevel="0" collapsed="false">
      <c r="A10691" s="1" t="s">
        <v>1099</v>
      </c>
      <c r="B10691" s="0" t="s">
        <v>98</v>
      </c>
      <c r="C10691" s="6" t="n">
        <f aca="false">(Sens!G10652-Sens!G10677)*t_stub</f>
        <v>47.9806863084993</v>
      </c>
      <c r="L10691" s="1" t="s">
        <v>1100</v>
      </c>
    </row>
    <row r="10692" customFormat="false" ht="17.15" hidden="false" customHeight="false" outlineLevel="0" collapsed="false">
      <c r="A10692" s="1" t="s">
        <v>1014</v>
      </c>
      <c r="B10692" s="0" t="s">
        <v>98</v>
      </c>
      <c r="C10692" s="6" t="n">
        <f aca="false">Sens!F10641+oai_v-Sens!F10630+Sens!$C$10691</f>
        <v>163.117547147477</v>
      </c>
      <c r="L10692" s="1" t="s">
        <v>1101</v>
      </c>
    </row>
    <row r="10693" customFormat="false" ht="17.15" hidden="false" customHeight="false" outlineLevel="0" collapsed="false">
      <c r="A10693" s="1" t="s">
        <v>1102</v>
      </c>
      <c r="B10693" s="0" t="s">
        <v>75</v>
      </c>
      <c r="C10693" s="5" t="n">
        <f aca="false">(Sens!$C$10690+Sens!$C$10692)/(Sens!F10643+dil_gap)-Sens!G10633*roll_div_q/q_per_yr</f>
        <v>483.045007806704</v>
      </c>
      <c r="L10693" s="1" t="s">
        <v>1103</v>
      </c>
    </row>
    <row r="10694" customFormat="false" ht="17.15" hidden="false" customHeight="false" outlineLevel="0" collapsed="false">
      <c r="A10694" s="1" t="s">
        <v>1104</v>
      </c>
      <c r="B10694" s="0" t="s">
        <v>75</v>
      </c>
      <c r="C10694" s="5" t="n">
        <f aca="false">w_dcf*Sens!$C$10664+(1-w_dcf)*Sens!$C$10693</f>
        <v>425.613138195315</v>
      </c>
    </row>
    <row r="10695" customFormat="false" ht="17.15" hidden="false" customHeight="false" outlineLevel="0" collapsed="false">
      <c r="A10695" s="3" t="s">
        <v>1537</v>
      </c>
    </row>
    <row r="10696" customFormat="false" ht="15" hidden="false" customHeight="false" outlineLevel="0" collapsed="false">
      <c r="A10696" s="4" t="s">
        <v>43</v>
      </c>
      <c r="B10696" s="4" t="s">
        <v>65</v>
      </c>
      <c r="C10696" s="20" t="s">
        <v>799</v>
      </c>
      <c r="D10696" s="20" t="s">
        <v>800</v>
      </c>
      <c r="E10696" s="20" t="s">
        <v>801</v>
      </c>
      <c r="F10696" s="20" t="s">
        <v>802</v>
      </c>
      <c r="G10696" s="20" t="s">
        <v>803</v>
      </c>
      <c r="H10696" s="20" t="s">
        <v>804</v>
      </c>
      <c r="I10696" s="20" t="s">
        <v>805</v>
      </c>
      <c r="J10696" s="20" t="s">
        <v>806</v>
      </c>
      <c r="K10696" s="20" t="s">
        <v>807</v>
      </c>
      <c r="L10696" s="4" t="s">
        <v>47</v>
      </c>
    </row>
    <row r="10697" customFormat="false" ht="17.15" hidden="false" customHeight="false" outlineLevel="0" collapsed="false">
      <c r="A10697" s="1" t="s">
        <v>808</v>
      </c>
      <c r="B10697" s="1" t="s">
        <v>235</v>
      </c>
      <c r="C10697" s="28" t="n">
        <v>2024</v>
      </c>
      <c r="D10697" s="28" t="n">
        <v>2025</v>
      </c>
      <c r="E10697" s="28" t="n">
        <v>2026</v>
      </c>
      <c r="F10697" s="28" t="n">
        <v>2027</v>
      </c>
      <c r="G10697" s="28" t="n">
        <v>2028</v>
      </c>
      <c r="H10697" s="28" t="n">
        <v>2029</v>
      </c>
      <c r="I10697" s="28" t="n">
        <v>2030</v>
      </c>
      <c r="J10697" s="28" t="n">
        <v>2031</v>
      </c>
      <c r="K10697" s="28" t="n">
        <v>2032</v>
      </c>
    </row>
    <row r="10698" customFormat="false" ht="17.15" hidden="false" customHeight="false" outlineLevel="0" collapsed="false">
      <c r="A10698" s="1" t="s">
        <v>809</v>
      </c>
      <c r="B10698" s="0" t="s">
        <v>399</v>
      </c>
      <c r="F10698" s="29" t="n">
        <f aca="false">pace</f>
        <v>2527.2</v>
      </c>
      <c r="G10698" s="29" t="n">
        <f aca="false">pace</f>
        <v>2527.2</v>
      </c>
      <c r="H10698" s="29" t="n">
        <f aca="false">pace</f>
        <v>2527.2</v>
      </c>
      <c r="I10698" s="29" t="n">
        <f aca="false">pace+(g_tv*Sens!H10699-pace)*MIN(1,(Sens!I10697-pace_y0)/(pace_y1-pace_y0))</f>
        <v>1793.116</v>
      </c>
      <c r="J10698" s="29" t="n">
        <f aca="false">pace+(g_tv*Sens!I10699-pace)*MIN(1,(Sens!J10697-pace_y0)/(pace_y1-pace_y0))</f>
        <v>1094.89432</v>
      </c>
      <c r="K10698" s="29" t="n">
        <f aca="false">pace+(g_tv*Sens!J10699-pace)*MIN(1,(Sens!K10697-pace_y0)/(pace_y1-pace_y0))</f>
        <v>411.5883096</v>
      </c>
      <c r="L10698" s="11" t="s">
        <v>810</v>
      </c>
    </row>
    <row r="10699" customFormat="false" ht="17.15" hidden="false" customHeight="false" outlineLevel="0" collapsed="false">
      <c r="A10699" s="1" t="s">
        <v>811</v>
      </c>
      <c r="B10699" s="0" t="s">
        <v>399</v>
      </c>
      <c r="C10699" s="29" t="n">
        <f aca="false">mw_ext_24</f>
        <v>640</v>
      </c>
      <c r="D10699" s="29" t="n">
        <f aca="false">mw_ext_25</f>
        <v>1630</v>
      </c>
      <c r="E10699" s="29" t="n">
        <f aca="false">mw_ext_26</f>
        <v>3250</v>
      </c>
      <c r="F10699" s="29" t="n">
        <f aca="false">Sens!E10699+Sens!F10698</f>
        <v>5777.2</v>
      </c>
      <c r="G10699" s="29" t="n">
        <f aca="false">Sens!F10699+Sens!G10698</f>
        <v>8304.4</v>
      </c>
      <c r="H10699" s="29" t="n">
        <f aca="false">Sens!G10699+Sens!H10698</f>
        <v>10831.6</v>
      </c>
      <c r="I10699" s="29" t="n">
        <f aca="false">Sens!H10699+Sens!I10698</f>
        <v>12624.716</v>
      </c>
      <c r="J10699" s="29" t="n">
        <f aca="false">Sens!I10699+Sens!J10698</f>
        <v>13719.61032</v>
      </c>
      <c r="K10699" s="29" t="n">
        <f aca="false">Sens!J10699+Sens!K10698</f>
        <v>14131.1986296</v>
      </c>
      <c r="L10699" s="1" t="s">
        <v>812</v>
      </c>
    </row>
    <row r="10700" customFormat="false" ht="17.15" hidden="false" customHeight="false" outlineLevel="0" collapsed="false">
      <c r="A10700" s="1" t="s">
        <v>813</v>
      </c>
      <c r="B10700" s="0" t="s">
        <v>399</v>
      </c>
      <c r="C10700" s="29" t="n">
        <f aca="false">rent_ext_24</f>
        <v>150</v>
      </c>
      <c r="D10700" s="29" t="n">
        <f aca="false">rent_ext_25</f>
        <v>400</v>
      </c>
      <c r="E10700" s="29" t="n">
        <f aca="false">rent_ext_26</f>
        <v>550</v>
      </c>
      <c r="F10700" s="29" t="n">
        <f aca="false">rent_ext_f</f>
        <v>756</v>
      </c>
      <c r="G10700" s="29" t="n">
        <f aca="false">rent_ext_f</f>
        <v>756</v>
      </c>
      <c r="H10700" s="29" t="n">
        <f aca="false">rent_ext_f</f>
        <v>756</v>
      </c>
      <c r="I10700" s="29" t="n">
        <f aca="false">rent_ext_f</f>
        <v>756</v>
      </c>
      <c r="J10700" s="29" t="n">
        <f aca="false">rent_ext_f</f>
        <v>756</v>
      </c>
      <c r="K10700" s="29" t="n">
        <f aca="false">rent_ext_f</f>
        <v>756</v>
      </c>
      <c r="L10700" s="1" t="s">
        <v>814</v>
      </c>
    </row>
    <row r="10701" customFormat="false" ht="17.15" hidden="false" customHeight="false" outlineLevel="0" collapsed="false">
      <c r="A10701" s="1" t="s">
        <v>815</v>
      </c>
      <c r="B10701" s="0" t="s">
        <v>399</v>
      </c>
      <c r="C10701" s="29" t="n">
        <f aca="false">Sens!C10699-Sens!C10700</f>
        <v>490</v>
      </c>
      <c r="D10701" s="29" t="n">
        <f aca="false">Sens!D10699-Sens!D10700</f>
        <v>1230</v>
      </c>
      <c r="E10701" s="29" t="n">
        <f aca="false">Sens!E10699-Sens!E10700</f>
        <v>2700</v>
      </c>
      <c r="F10701" s="29" t="n">
        <f aca="false">Sens!F10699-Sens!F10700</f>
        <v>5021.2</v>
      </c>
      <c r="G10701" s="29" t="n">
        <f aca="false">Sens!G10699-Sens!G10700</f>
        <v>7548.4</v>
      </c>
      <c r="H10701" s="29" t="n">
        <f aca="false">Sens!H10699-Sens!H10700</f>
        <v>10075.6</v>
      </c>
      <c r="I10701" s="29" t="n">
        <f aca="false">Sens!I10699-Sens!I10700</f>
        <v>11868.716</v>
      </c>
      <c r="J10701" s="29" t="n">
        <f aca="false">Sens!J10699-Sens!J10700</f>
        <v>12963.61032</v>
      </c>
      <c r="K10701" s="29" t="n">
        <f aca="false">Sens!K10699-Sens!K10700</f>
        <v>13375.1986296</v>
      </c>
    </row>
    <row r="10702" customFormat="false" ht="17.15" hidden="false" customHeight="false" outlineLevel="0" collapsed="false">
      <c r="A10702" s="1" t="s">
        <v>816</v>
      </c>
      <c r="B10702" s="0" t="s">
        <v>399</v>
      </c>
      <c r="C10702" s="29" t="n">
        <f aca="false">Sens!C10701/ext_sh</f>
        <v>816.666666666667</v>
      </c>
      <c r="D10702" s="29" t="n">
        <f aca="false">Sens!D10701/ext_sh</f>
        <v>2050</v>
      </c>
      <c r="E10702" s="29" t="n">
        <f aca="false">Sens!E10701/ext_sh</f>
        <v>4500</v>
      </c>
      <c r="F10702" s="29" t="n">
        <f aca="false">Sens!F10701/ext_sh</f>
        <v>8368.66666666667</v>
      </c>
      <c r="G10702" s="29" t="n">
        <f aca="false">Sens!G10701/ext_sh</f>
        <v>12580.6666666667</v>
      </c>
      <c r="H10702" s="29" t="n">
        <f aca="false">Sens!H10701/ext_sh</f>
        <v>16792.6666666667</v>
      </c>
      <c r="I10702" s="29" t="n">
        <f aca="false">Sens!I10701/ext_sh</f>
        <v>19781.1933333333</v>
      </c>
      <c r="J10702" s="29" t="n">
        <f aca="false">Sens!J10701/ext_sh</f>
        <v>21606.0172</v>
      </c>
      <c r="K10702" s="29" t="n">
        <f aca="false">Sens!K10701/ext_sh</f>
        <v>22291.997716</v>
      </c>
      <c r="L10702" s="1" t="s">
        <v>817</v>
      </c>
    </row>
    <row r="10703" customFormat="false" ht="17.15" hidden="false" customHeight="false" outlineLevel="0" collapsed="false">
      <c r="A10703" s="1" t="s">
        <v>818</v>
      </c>
      <c r="B10703" s="0" t="s">
        <v>399</v>
      </c>
      <c r="C10703" s="29" t="n">
        <f aca="false">Sens!C10702-Sens!C10701</f>
        <v>326.666666666667</v>
      </c>
      <c r="D10703" s="29" t="n">
        <f aca="false">Sens!D10702-Sens!D10701</f>
        <v>820</v>
      </c>
      <c r="E10703" s="29" t="n">
        <f aca="false">Sens!E10702-Sens!E10701</f>
        <v>1800</v>
      </c>
      <c r="F10703" s="29" t="n">
        <f aca="false">Sens!F10702-Sens!F10701</f>
        <v>3347.46666666667</v>
      </c>
      <c r="G10703" s="29" t="n">
        <f aca="false">Sens!G10702-Sens!G10701</f>
        <v>5032.26666666667</v>
      </c>
      <c r="H10703" s="29" t="n">
        <f aca="false">Sens!H10702-Sens!H10701</f>
        <v>6717.06666666667</v>
      </c>
      <c r="I10703" s="29" t="n">
        <f aca="false">Sens!I10702-Sens!I10701</f>
        <v>7912.47733333333</v>
      </c>
      <c r="J10703" s="29" t="n">
        <f aca="false">Sens!J10702-Sens!J10701</f>
        <v>8642.40688</v>
      </c>
      <c r="K10703" s="29" t="n">
        <f aca="false">Sens!K10702-Sens!K10701</f>
        <v>8916.7990864</v>
      </c>
    </row>
    <row r="10704" customFormat="false" ht="17.15" hidden="false" customHeight="false" outlineLevel="0" collapsed="false">
      <c r="A10704" s="1" t="s">
        <v>819</v>
      </c>
      <c r="B10704" s="0" t="s">
        <v>399</v>
      </c>
      <c r="C10704" s="29" t="n">
        <f aca="false">Sens!C10702</f>
        <v>816.666666666667</v>
      </c>
      <c r="D10704" s="29" t="n">
        <f aca="false">Sens!D10702-Sens!C10702</f>
        <v>1233.33333333333</v>
      </c>
      <c r="E10704" s="29" t="n">
        <f aca="false">Sens!E10702-Sens!D10702</f>
        <v>2450</v>
      </c>
      <c r="F10704" s="29" t="n">
        <f aca="false">Sens!F10702-Sens!E10702</f>
        <v>3868.66666666667</v>
      </c>
      <c r="G10704" s="29" t="n">
        <f aca="false">Sens!G10702-Sens!F10702</f>
        <v>4212</v>
      </c>
      <c r="H10704" s="29" t="n">
        <f aca="false">Sens!H10702-Sens!G10702</f>
        <v>4212</v>
      </c>
      <c r="I10704" s="29" t="n">
        <f aca="false">Sens!I10702-Sens!H10702</f>
        <v>2988.52666666667</v>
      </c>
      <c r="J10704" s="29" t="n">
        <f aca="false">Sens!J10702-Sens!I10702</f>
        <v>1824.82386666667</v>
      </c>
      <c r="K10704" s="29" t="n">
        <f aca="false">Sens!K10702-Sens!J10702</f>
        <v>685.980516</v>
      </c>
    </row>
    <row r="10705" customFormat="false" ht="17.15" hidden="false" customHeight="false" outlineLevel="0" collapsed="false">
      <c r="A10705" s="1" t="s">
        <v>820</v>
      </c>
      <c r="B10705" s="0" t="s">
        <v>399</v>
      </c>
      <c r="D10705" s="29" t="n">
        <f aca="false">Sens!D10699-Sens!C10699</f>
        <v>990</v>
      </c>
      <c r="E10705" s="29" t="n">
        <f aca="false">Sens!E10699-Sens!D10699</f>
        <v>1620</v>
      </c>
      <c r="F10705" s="29" t="n">
        <f aca="false">Sens!F10699-Sens!E10699</f>
        <v>2527.2</v>
      </c>
      <c r="G10705" s="29" t="n">
        <f aca="false">Sens!G10699-Sens!F10699</f>
        <v>2527.2</v>
      </c>
      <c r="H10705" s="29" t="n">
        <f aca="false">Sens!H10699-Sens!G10699</f>
        <v>2527.2</v>
      </c>
      <c r="I10705" s="29" t="n">
        <f aca="false">Sens!I10699-Sens!H10699</f>
        <v>1793.116</v>
      </c>
      <c r="J10705" s="29" t="n">
        <f aca="false">Sens!J10699-Sens!I10699</f>
        <v>1094.89432</v>
      </c>
      <c r="K10705" s="29" t="n">
        <f aca="false">Sens!K10699-Sens!J10699</f>
        <v>411.5883096</v>
      </c>
    </row>
    <row r="10706" customFormat="false" ht="17.15" hidden="false" customHeight="false" outlineLevel="0" collapsed="false">
      <c r="A10706" s="1" t="s">
        <v>821</v>
      </c>
      <c r="B10706" s="0" t="s">
        <v>399</v>
      </c>
      <c r="F10706" s="29" t="n">
        <f aca="false">Sens!F10723*ext_sh</f>
        <v>0</v>
      </c>
      <c r="G10706" s="29" t="n">
        <f aca="false">Sens!G10723*ext_sh</f>
        <v>0</v>
      </c>
      <c r="H10706" s="29" t="n">
        <f aca="false">Sens!H10723*ext_sh</f>
        <v>0</v>
      </c>
      <c r="I10706" s="29" t="n">
        <f aca="false">Sens!I10723*ext_sh</f>
        <v>490</v>
      </c>
      <c r="J10706" s="29" t="n">
        <f aca="false">Sens!J10723*ext_sh</f>
        <v>740</v>
      </c>
      <c r="K10706" s="29" t="n">
        <f aca="false">Sens!K10723*ext_sh</f>
        <v>1470</v>
      </c>
      <c r="L10706" s="1" t="s">
        <v>822</v>
      </c>
    </row>
    <row r="10707" customFormat="false" ht="17.15" hidden="false" customHeight="false" outlineLevel="0" collapsed="false">
      <c r="A10707" s="1" t="s">
        <v>823</v>
      </c>
      <c r="B10707" s="0" t="s">
        <v>399</v>
      </c>
      <c r="C10707" s="29" t="n">
        <f aca="false">mix_h*Sens!C10699</f>
        <v>128</v>
      </c>
      <c r="D10707" s="29" t="n">
        <f aca="false">mix_h*Sens!D10699</f>
        <v>326</v>
      </c>
      <c r="E10707" s="29" t="n">
        <f aca="false">mix_h*Sens!E10699</f>
        <v>650</v>
      </c>
      <c r="F10707" s="29" t="n">
        <f aca="false">Sens!E10707-Sens!F10706*mix_h</f>
        <v>650</v>
      </c>
      <c r="G10707" s="29" t="n">
        <f aca="false">Sens!F10707-Sens!G10706*mix_h</f>
        <v>650</v>
      </c>
      <c r="H10707" s="29" t="n">
        <f aca="false">Sens!G10707-Sens!H10706*mix_h</f>
        <v>650</v>
      </c>
      <c r="I10707" s="29" t="n">
        <f aca="false">Sens!H10707-Sens!I10706*mix_h</f>
        <v>552</v>
      </c>
      <c r="J10707" s="29" t="n">
        <f aca="false">Sens!I10707-Sens!J10706*mix_h</f>
        <v>404</v>
      </c>
      <c r="K10707" s="29" t="n">
        <f aca="false">Sens!J10707-Sens!K10706*mix_h</f>
        <v>110</v>
      </c>
    </row>
    <row r="10708" customFormat="false" ht="17.15" hidden="false" customHeight="false" outlineLevel="0" collapsed="false">
      <c r="A10708" s="1" t="s">
        <v>824</v>
      </c>
      <c r="B10708" s="0" t="s">
        <v>399</v>
      </c>
      <c r="C10708" s="29" t="n">
        <f aca="false">mix_g2*Sens!C10699</f>
        <v>288</v>
      </c>
      <c r="D10708" s="29" t="n">
        <f aca="false">mix_g2*Sens!D10699</f>
        <v>733.5</v>
      </c>
      <c r="E10708" s="29" t="n">
        <f aca="false">mix_g2*Sens!E10699</f>
        <v>1462.5</v>
      </c>
      <c r="F10708" s="29" t="n">
        <f aca="false">Sens!E10708-Sens!F10706*mix_g2</f>
        <v>1462.5</v>
      </c>
      <c r="G10708" s="29" t="n">
        <f aca="false">Sens!F10708-Sens!G10706*mix_g2</f>
        <v>1462.5</v>
      </c>
      <c r="H10708" s="29" t="n">
        <f aca="false">Sens!G10708-Sens!H10706*mix_g2</f>
        <v>1462.5</v>
      </c>
      <c r="I10708" s="29" t="n">
        <f aca="false">Sens!H10708-Sens!I10706*mix_g2</f>
        <v>1242</v>
      </c>
      <c r="J10708" s="29" t="n">
        <f aca="false">Sens!I10708-Sens!J10706*mix_g2</f>
        <v>909</v>
      </c>
      <c r="K10708" s="29" t="n">
        <f aca="false">Sens!J10708-Sens!K10706*mix_g2</f>
        <v>247.5</v>
      </c>
    </row>
    <row r="10709" customFormat="false" ht="17.15" hidden="false" customHeight="false" outlineLevel="0" collapsed="false">
      <c r="A10709" s="1" t="s">
        <v>825</v>
      </c>
      <c r="B10709" s="0" t="s">
        <v>399</v>
      </c>
      <c r="C10709" s="29" t="n">
        <f aca="false">mix_g3*Sens!C10699</f>
        <v>224</v>
      </c>
      <c r="D10709" s="29" t="n">
        <f aca="false">mix_g3*Sens!D10699</f>
        <v>570.5</v>
      </c>
      <c r="E10709" s="29" t="n">
        <f aca="false">mix_g3*Sens!E10699</f>
        <v>1137.5</v>
      </c>
      <c r="F10709" s="29" t="n">
        <f aca="false">Sens!E10709+(Sens!F10705+Sens!F10706)*a_g3_27-Sens!F10706*mix_g3</f>
        <v>2906.54</v>
      </c>
      <c r="G10709" s="29" t="n">
        <f aca="false">Sens!F10709+(Sens!G10705+Sens!G10706)*a_g3_28-Sens!G10706*mix_g3</f>
        <v>3664.7</v>
      </c>
      <c r="H10709" s="29" t="n">
        <f aca="false">Sens!G10709+(Sens!H10705+Sens!H10706)*a_g3_29-Sens!H10706*mix_g3</f>
        <v>3917.42</v>
      </c>
      <c r="I10709" s="29" t="n">
        <f aca="false">Sens!H10709+(Sens!I10705+Sens!I10706)*a_g3_29-Sens!I10706*mix_g3</f>
        <v>3974.2316</v>
      </c>
      <c r="J10709" s="29" t="n">
        <f aca="false">Sens!I10709+(Sens!J10705+Sens!J10706)*a_g3_29-Sens!J10706*mix_g3</f>
        <v>3898.721032</v>
      </c>
      <c r="K10709" s="29" t="n">
        <f aca="false">Sens!J10709+(Sens!K10705+Sens!K10706)*a_g3_29-Sens!K10706*mix_g3</f>
        <v>3572.37986296</v>
      </c>
    </row>
    <row r="10710" customFormat="false" ht="17.15" hidden="false" customHeight="false" outlineLevel="0" collapsed="false">
      <c r="A10710" s="1" t="s">
        <v>826</v>
      </c>
      <c r="B10710" s="0" t="s">
        <v>399</v>
      </c>
      <c r="C10710" s="29" t="n">
        <v>0</v>
      </c>
      <c r="D10710" s="29" t="n">
        <v>0</v>
      </c>
      <c r="E10710" s="29" t="n">
        <v>0</v>
      </c>
      <c r="F10710" s="29" t="n">
        <f aca="false">Sens!E10710+(Sens!F10705+Sens!F10706)*(1-a_g3_27)</f>
        <v>758.16</v>
      </c>
      <c r="G10710" s="29" t="n">
        <f aca="false">Sens!F10710+(Sens!G10705+Sens!G10706)*(1-a_g3_28)</f>
        <v>2527.2</v>
      </c>
      <c r="H10710" s="29" t="n">
        <f aca="false">Sens!G10710+(Sens!H10705+Sens!H10706)*(1-a_g3_29)</f>
        <v>4801.68</v>
      </c>
      <c r="I10710" s="29" t="n">
        <f aca="false">Sens!H10710+(Sens!I10705+Sens!I10706)*(1-a_g3_29)</f>
        <v>6856.4844</v>
      </c>
      <c r="J10710" s="29" t="n">
        <f aca="false">Sens!I10710+(Sens!J10705+Sens!J10706)*(1-a_g3_29)</f>
        <v>8507.889288</v>
      </c>
      <c r="K10710" s="29" t="n">
        <f aca="false">Sens!J10710+(Sens!K10705+Sens!K10706)*(1-a_g3_29)</f>
        <v>10201.31876664</v>
      </c>
    </row>
    <row r="10711" customFormat="false" ht="17.15" hidden="false" customHeight="false" outlineLevel="0" collapsed="false">
      <c r="A10711" s="1" t="s">
        <v>827</v>
      </c>
      <c r="B10711" s="0" t="s">
        <v>346</v>
      </c>
      <c r="C10711" s="14" t="n">
        <f aca="false">(Sens!C10707*tk_hold_h100+Sens!C10708*tk_hold_gb200+Sens!C10709*tk_hold_gb300+Sens!C10710*tk_hold_vr200)/Sens!C10699</f>
        <v>9.7235358126469</v>
      </c>
      <c r="D10711" s="14" t="n">
        <f aca="false">(Sens!D10707*tk_hold_h100+Sens!D10708*tk_hold_gb200+Sens!D10709*tk_hold_gb300+Sens!D10710*tk_hold_vr200)/Sens!D10699</f>
        <v>9.7235358126469</v>
      </c>
      <c r="E10711" s="14" t="n">
        <f aca="false">(Sens!E10707*tk_hold_h100+Sens!E10708*tk_hold_gb200+Sens!E10709*tk_hold_gb300+Sens!E10710*tk_hold_vr200)/Sens!E10699</f>
        <v>9.7235358126469</v>
      </c>
      <c r="F10711" s="14" t="n">
        <f aca="false">(Sens!F10707*tk_hold_h100+Sens!F10708*tk_hold_gb200+Sens!F10709*tk_hold_gb300+Sens!F10710*tk_hold_vr200)/Sens!F10699</f>
        <v>10.4079573161931</v>
      </c>
      <c r="G10711" s="14" t="n">
        <f aca="false">(Sens!G10707*tk_hold_h100+Sens!G10708*tk_hold_gb200+Sens!G10709*tk_hold_gb300+Sens!G10710*tk_hold_vr200)/Sens!G10699</f>
        <v>10.8388131109316</v>
      </c>
      <c r="H10711" s="14" t="n">
        <f aca="false">(Sens!H10707*tk_hold_h100+Sens!H10708*tk_hold_gb200+Sens!H10709*tk_hold_gb300+Sens!H10710*tk_hold_vr200)/Sens!H10699</f>
        <v>11.1311018388216</v>
      </c>
      <c r="I10711" s="14" t="n">
        <f aca="false">(Sens!I10707*tk_hold_h100+Sens!I10708*tk_hold_gb200+Sens!I10709*tk_hold_gb300+Sens!I10710*tk_hold_vr200)/Sens!I10699</f>
        <v>11.3594282560989</v>
      </c>
      <c r="J10711" s="14" t="n">
        <f aca="false">(Sens!J10707*tk_hold_h100+Sens!J10708*tk_hold_gb200+Sens!J10709*tk_hold_gb300+Sens!J10710*tk_hold_vr200)/Sens!J10699</f>
        <v>11.5455817917599</v>
      </c>
      <c r="K10711" s="14" t="n">
        <f aca="false">(Sens!K10707*tk_hold_h100+Sens!K10708*tk_hold_gb200+Sens!K10709*tk_hold_gb300+Sens!K10710*tk_hold_vr200)/Sens!K10699</f>
        <v>11.8078187977246</v>
      </c>
    </row>
    <row r="10712" customFormat="false" ht="17.15" hidden="false" customHeight="false" outlineLevel="0" collapsed="false">
      <c r="A10712" s="0" t="s">
        <v>828</v>
      </c>
      <c r="B10712" s="0" t="s">
        <v>185</v>
      </c>
      <c r="C10712" s="14" t="n">
        <f aca="false">k_B</f>
        <v>1.17213932619116</v>
      </c>
      <c r="D10712" s="14" t="n">
        <f aca="false">k_B</f>
        <v>1.17213932619116</v>
      </c>
      <c r="E10712" s="14" t="n">
        <f aca="false">k_B</f>
        <v>1.17213932619116</v>
      </c>
      <c r="F10712" s="14" t="n">
        <f aca="false">(k_B+((ls_B*k_long+(1-ls_B)*k_spot)-k_B)*MIN(1,(Sens!F10697-base_fy)/k_ramp))</f>
        <v>1.17213932619116</v>
      </c>
      <c r="G10712" s="14" t="n">
        <f aca="false">(k_B+((ls_B*k_long+(1-ls_B)*k_spot)-k_B)*MIN(1,(Sens!G10697-base_fy)/k_ramp))</f>
        <v>1.17213932619116</v>
      </c>
      <c r="H10712" s="14" t="n">
        <f aca="false">(k_B+((ls_B*k_long+(1-ls_B)*k_spot)-k_B)*MIN(1,(Sens!H10697-base_fy)/k_ramp))</f>
        <v>1.17213932619116</v>
      </c>
      <c r="I10712" s="14" t="n">
        <f aca="false">(k_B+((ls_B*k_long+(1-ls_B)*k_spot)-k_B)*MIN(1,(Sens!I10697-base_fy)/k_ramp))</f>
        <v>1.17213932619116</v>
      </c>
      <c r="J10712" s="14" t="n">
        <f aca="false">(k_B+((ls_B*k_long+(1-ls_B)*k_spot)-k_B)*MIN(1,(Sens!J10697-base_fy)/k_ramp))</f>
        <v>1.17213932619116</v>
      </c>
      <c r="K10712" s="14" t="n">
        <f aca="false">(k_B+((ls_B*k_long+(1-ls_B)*k_spot)-k_B)*MIN(1,(Sens!K10697-base_fy)/k_ramp))</f>
        <v>1.17213932619116</v>
      </c>
      <c r="L10712" s="1" t="s">
        <v>829</v>
      </c>
    </row>
    <row r="10713" customFormat="false" ht="17.15" hidden="false" customHeight="false" outlineLevel="0" collapsed="false">
      <c r="A10713" s="1" t="s">
        <v>830</v>
      </c>
      <c r="B10713" s="0" t="s">
        <v>346</v>
      </c>
      <c r="C10713" s="14" t="n">
        <f aca="false">Sens!C10711*Sens!C10712*chip_f</f>
        <v>11.3973387156315</v>
      </c>
      <c r="D10713" s="14" t="n">
        <f aca="false">Sens!D10711*Sens!D10712*chip_f</f>
        <v>11.3973387156315</v>
      </c>
      <c r="E10713" s="14" t="n">
        <f aca="false">Sens!E10711*Sens!E10712*chip_f</f>
        <v>11.3973387156315</v>
      </c>
      <c r="F10713" s="14" t="n">
        <f aca="false">Sens!F10711*Sens!F10712*chip_f</f>
        <v>12.1995760756289</v>
      </c>
      <c r="G10713" s="14" t="n">
        <f aca="false">Sens!G10711*Sens!G10712*chip_f</f>
        <v>12.7045990965592</v>
      </c>
      <c r="H10713" s="14" t="n">
        <f aca="false">Sens!H10711*Sens!H10712*chip_f</f>
        <v>13.0472022091214</v>
      </c>
      <c r="I10713" s="14" t="n">
        <f aca="false">Sens!I10711*Sens!I10712*chip_f</f>
        <v>13.3148325820205</v>
      </c>
      <c r="J10713" s="14" t="n">
        <f aca="false">Sens!J10711*Sens!J10712*chip_f</f>
        <v>13.5330304618783</v>
      </c>
      <c r="K10713" s="14" t="n">
        <f aca="false">Sens!K10711*Sens!K10712*chip_f</f>
        <v>13.8404087693522</v>
      </c>
      <c r="L10713" s="1" t="s">
        <v>831</v>
      </c>
    </row>
    <row r="10714" customFormat="false" ht="17.15" hidden="false" customHeight="false" outlineLevel="0" collapsed="false">
      <c r="A10714" s="0" t="s">
        <v>832</v>
      </c>
      <c r="B10714" s="0" t="s">
        <v>98</v>
      </c>
      <c r="D10714" s="6" t="n">
        <f aca="false">(Sens!C10699+Sens!D10699)/2*Sens!D10713/1000</f>
        <v>12.9359794422418</v>
      </c>
      <c r="E10714" s="6" t="n">
        <f aca="false">(Sens!D10699+Sens!E10699)/2*Sens!E10713/1000</f>
        <v>27.8095064661409</v>
      </c>
      <c r="F10714" s="6" t="n">
        <f aca="false">(Sens!E10699+Sens!F10699)/2*Sens!F10713/1000</f>
        <v>55.0640065749585</v>
      </c>
      <c r="G10714" s="6" t="n">
        <f aca="false">(Sens!F10699+Sens!G10699)/2*Sens!G10713/1000</f>
        <v>89.4505413190538</v>
      </c>
      <c r="H10714" s="6" t="n">
        <f aca="false">(Sens!G10699+Sens!H10699)/2*Sens!H10713/1000</f>
        <v>124.835630736874</v>
      </c>
      <c r="I10714" s="6" t="n">
        <f aca="false">(Sens!H10699+Sens!I10699)/2*Sens!I10713/1000</f>
        <v>156.158460265485</v>
      </c>
      <c r="J10714" s="6" t="n">
        <f aca="false">(Sens!I10699+Sens!J10699)/2*Sens!J10713/1000</f>
        <v>178.259285293112</v>
      </c>
      <c r="K10714" s="6" t="n">
        <f aca="false">(Sens!J10699+Sens!K10699)/2*Sens!K10713/1000</f>
        <v>192.733290209798</v>
      </c>
      <c r="L10714" s="11" t="s">
        <v>833</v>
      </c>
    </row>
    <row r="10715" customFormat="false" ht="17.15" hidden="false" customHeight="false" outlineLevel="0" collapsed="false">
      <c r="A10715" s="1" t="s">
        <v>834</v>
      </c>
      <c r="B10715" s="0" t="s">
        <v>346</v>
      </c>
      <c r="C10715" s="14" t="n">
        <f aca="false">(Sens!C10707*tk_opex_h100+Sens!C10708*tk_opex_gb200+Sens!C10709*tk_opex_gb300+Sens!C10710*tk_opex_vr200)/Sens!C10699</f>
        <v>1.88636041306092</v>
      </c>
      <c r="D10715" s="14" t="n">
        <f aca="false">(Sens!D10707*tk_opex_h100+Sens!D10708*tk_opex_gb200+Sens!D10709*tk_opex_gb300+Sens!D10710*tk_opex_vr200)/Sens!D10699</f>
        <v>1.88636041306092</v>
      </c>
      <c r="E10715" s="14" t="n">
        <f aca="false">(Sens!E10707*tk_opex_h100+Sens!E10708*tk_opex_gb200+Sens!E10709*tk_opex_gb300+Sens!E10710*tk_opex_vr200)/Sens!E10699</f>
        <v>1.88636041306092</v>
      </c>
      <c r="F10715" s="14" t="n">
        <f aca="false">(Sens!F10707*tk_opex_h100+Sens!F10708*tk_opex_gb200+Sens!F10709*tk_opex_gb300+Sens!F10710*tk_opex_vr200)/Sens!F10699</f>
        <v>1.9430236476499</v>
      </c>
      <c r="G10715" s="14" t="n">
        <f aca="false">(Sens!G10707*tk_opex_h100+Sens!G10708*tk_opex_gb200+Sens!G10709*tk_opex_gb300+Sens!G10710*tk_opex_vr200)/Sens!G10699</f>
        <v>1.9786941852423</v>
      </c>
      <c r="H10715" s="14" t="n">
        <f aca="false">(Sens!H10707*tk_opex_h100+Sens!H10708*tk_opex_gb200+Sens!H10709*tk_opex_gb300+Sens!H10710*tk_opex_vr200)/Sens!H10699</f>
        <v>2.00289275976156</v>
      </c>
      <c r="I10715" s="14" t="n">
        <f aca="false">(Sens!I10707*tk_opex_h100+Sens!I10708*tk_opex_gb200+Sens!I10709*tk_opex_gb300+Sens!I10710*tk_opex_vr200)/Sens!I10699</f>
        <v>2.02179589661219</v>
      </c>
      <c r="J10715" s="14" t="n">
        <f aca="false">(Sens!J10707*tk_opex_h100+Sens!J10708*tk_opex_gb200+Sens!J10709*tk_opex_gb300+Sens!J10710*tk_opex_vr200)/Sens!J10699</f>
        <v>2.03720754193029</v>
      </c>
      <c r="K10715" s="14" t="n">
        <f aca="false">(Sens!K10707*tk_opex_h100+Sens!K10708*tk_opex_gb200+Sens!K10709*tk_opex_gb300+Sens!K10710*tk_opex_vr200)/Sens!K10699</f>
        <v>2.0589181353437</v>
      </c>
    </row>
    <row r="10716" customFormat="false" ht="17.15" hidden="false" customHeight="false" outlineLevel="0" collapsed="false">
      <c r="A10716" s="0" t="s">
        <v>835</v>
      </c>
      <c r="B10716" s="0" t="s">
        <v>98</v>
      </c>
      <c r="D10716" s="6" t="n">
        <f aca="false">(Sens!C10702+Sens!D10702)/2*Sens!D10715/1000</f>
        <v>2.70378325872065</v>
      </c>
      <c r="E10716" s="6" t="n">
        <f aca="false">(Sens!D10702+Sens!E10702)/2*Sens!E10715/1000</f>
        <v>6.17783035277451</v>
      </c>
      <c r="F10716" s="6" t="n">
        <f aca="false">(Sens!E10702+Sens!F10702)/2*Sens!F10715/1000</f>
        <v>12.5020618235287</v>
      </c>
      <c r="G10716" s="6" t="n">
        <f aca="false">(Sens!F10702+Sens!G10702)/2*Sens!G10715/1000</f>
        <v>20.7261620256847</v>
      </c>
      <c r="H10716" s="6" t="n">
        <f aca="false">(Sens!G10702+Sens!H10702)/2*Sens!H10715/1000</f>
        <v>29.4158183316982</v>
      </c>
      <c r="I10716" s="6" t="n">
        <f aca="false">(Sens!H10702+Sens!I10702)/2*Sens!I10715/1000</f>
        <v>36.9724400356344</v>
      </c>
      <c r="J10716" s="6" t="n">
        <f aca="false">(Sens!I10702+Sens!J10702)/2*Sens!J10715/1000</f>
        <v>42.1571687189816</v>
      </c>
      <c r="K10716" s="6" t="n">
        <f aca="false">(Sens!J10702+Sens!K10702)/2*Sens!K10715/1000</f>
        <v>45.1912095080704</v>
      </c>
    </row>
    <row r="10717" customFormat="false" ht="17.15" hidden="false" customHeight="false" outlineLevel="0" collapsed="false">
      <c r="A10717" s="0" t="s">
        <v>836</v>
      </c>
      <c r="B10717" s="0" t="s">
        <v>98</v>
      </c>
      <c r="D10717" s="6" t="n">
        <f aca="false">(Sens!C10700+Sens!D10700)/2*rent_mw/1000</f>
        <v>2.44475</v>
      </c>
      <c r="E10717" s="6" t="n">
        <f aca="false">(Sens!D10700+Sens!E10700)/2*rent_mw/1000</f>
        <v>4.22275</v>
      </c>
      <c r="F10717" s="6" t="n">
        <f aca="false">(Sens!E10700+Sens!F10700)/2*rent_mw/1000</f>
        <v>5.80517</v>
      </c>
      <c r="G10717" s="6" t="n">
        <f aca="false">(Sens!F10700+Sens!G10700)/2*rent_mw/1000</f>
        <v>6.72084</v>
      </c>
      <c r="H10717" s="6" t="n">
        <f aca="false">(Sens!G10700+Sens!H10700)/2*rent_mw/1000</f>
        <v>6.72084</v>
      </c>
      <c r="I10717" s="6" t="n">
        <f aca="false">(Sens!H10700+Sens!I10700)/2*rent_mw/1000</f>
        <v>6.72084</v>
      </c>
      <c r="J10717" s="6" t="n">
        <f aca="false">(Sens!I10700+Sens!J10700)/2*rent_mw/1000</f>
        <v>6.72084</v>
      </c>
      <c r="K10717" s="6" t="n">
        <f aca="false">(Sens!J10700+Sens!K10700)/2*rent_mw/1000</f>
        <v>6.72084</v>
      </c>
    </row>
    <row r="10718" customFormat="false" ht="17.15" hidden="false" customHeight="false" outlineLevel="0" collapsed="false">
      <c r="A10718" s="0" t="s">
        <v>837</v>
      </c>
      <c r="B10718" s="0" t="s">
        <v>98</v>
      </c>
      <c r="D10718" s="6" t="n">
        <f aca="false">(Sens!C10702+Sens!D10702)/2*(1-self_build)*fac_rent/1000</f>
        <v>0.853242375631075</v>
      </c>
      <c r="E10718" s="6" t="n">
        <f aca="false">(Sens!D10702+Sens!E10702)/2*(1-self_build)*fac_rent/1000</f>
        <v>1.94955961408728</v>
      </c>
      <c r="F10718" s="6" t="n">
        <f aca="false">(Sens!E10702+Sens!F10702)/2*(1-self_build)*fac_rent/1000</f>
        <v>3.83026455274573</v>
      </c>
      <c r="G10718" s="6" t="n">
        <f aca="false">(Sens!F10702+Sens!G10702)/2*(1-self_build)*fac_rent/1000</f>
        <v>6.23541590972812</v>
      </c>
      <c r="H10718" s="6" t="n">
        <f aca="false">(Sens!G10702+Sens!H10702)/2*(1-self_build)*fac_rent/1000</f>
        <v>8.74275792332679</v>
      </c>
      <c r="I10718" s="6" t="n">
        <f aca="false">(Sens!H10702+Sens!I10702)/2*(1-self_build)*fac_rent/1000</f>
        <v>10.8859420438599</v>
      </c>
      <c r="J10718" s="6" t="n">
        <f aca="false">(Sens!I10702+Sens!J10702)/2*(1-self_build)*fac_rent/1000</f>
        <v>12.3186006405366</v>
      </c>
      <c r="K10718" s="6" t="n">
        <f aca="false">(Sens!J10702+Sens!K10702)/2*(1-self_build)*fac_rent/1000</f>
        <v>13.0659232089824</v>
      </c>
      <c r="L10718" s="11" t="s">
        <v>838</v>
      </c>
    </row>
    <row r="10719" customFormat="false" ht="17.15" hidden="false" customHeight="false" outlineLevel="0" collapsed="false">
      <c r="A10719" s="1" t="s">
        <v>839</v>
      </c>
      <c r="B10719" s="0" t="s">
        <v>129</v>
      </c>
      <c r="D10719" s="7" t="n">
        <f aca="false">(Sens!C10701+Sens!D10701)/(Sens!C10702+Sens!D10702)</f>
        <v>0.6</v>
      </c>
      <c r="E10719" s="7" t="n">
        <f aca="false">(Sens!D10701+Sens!E10701)/(Sens!D10702+Sens!E10702)</f>
        <v>0.6</v>
      </c>
      <c r="F10719" s="7" t="n">
        <f aca="false">(Sens!E10701+Sens!F10701)/(Sens!E10702+Sens!F10702)</f>
        <v>0.6</v>
      </c>
      <c r="G10719" s="7" t="n">
        <f aca="false">(Sens!F10701+Sens!G10701)/(Sens!F10702+Sens!G10702)</f>
        <v>0.6</v>
      </c>
      <c r="H10719" s="7" t="n">
        <f aca="false">(Sens!G10701+Sens!H10701)/(Sens!G10702+Sens!H10702)</f>
        <v>0.6</v>
      </c>
      <c r="I10719" s="7" t="n">
        <f aca="false">(Sens!H10701+Sens!I10701)/(Sens!H10702+Sens!I10702)</f>
        <v>0.6</v>
      </c>
      <c r="J10719" s="7" t="n">
        <f aca="false">(Sens!I10701+Sens!J10701)/(Sens!I10702+Sens!J10702)</f>
        <v>0.6</v>
      </c>
      <c r="K10719" s="7" t="n">
        <f aca="false">(Sens!J10701+Sens!K10701)/(Sens!J10702+Sens!K10702)</f>
        <v>0.6</v>
      </c>
    </row>
    <row r="10720" customFormat="false" ht="17.15" hidden="false" customHeight="false" outlineLevel="0" collapsed="false">
      <c r="A10720" s="0" t="s">
        <v>840</v>
      </c>
      <c r="B10720" s="0" t="s">
        <v>98</v>
      </c>
      <c r="D10720" s="6" t="n">
        <f aca="false">Sens!D10714-Sens!D10719*(Sens!D10716+Sens!D10718)-Sens!D10717</f>
        <v>8.35701406163072</v>
      </c>
      <c r="E10720" s="6" t="n">
        <f aca="false">Sens!E10714-Sens!E10719*(Sens!E10716+Sens!E10718)-Sens!E10717</f>
        <v>18.7103224860238</v>
      </c>
      <c r="F10720" s="6" t="n">
        <f aca="false">Sens!F10714-Sens!F10719*(Sens!F10716+Sens!F10718)-Sens!F10717</f>
        <v>39.4594407491938</v>
      </c>
      <c r="G10720" s="6" t="n">
        <f aca="false">Sens!G10714-Sens!G10719*(Sens!G10716+Sens!G10718)-Sens!G10717</f>
        <v>66.5527545578061</v>
      </c>
      <c r="H10720" s="6" t="n">
        <f aca="false">Sens!H10714-Sens!H10719*(Sens!H10716+Sens!H10718)-Sens!H10717</f>
        <v>95.219644983859</v>
      </c>
      <c r="I10720" s="6" t="n">
        <f aca="false">Sens!I10714-Sens!I10719*(Sens!I10716+Sens!I10718)-Sens!I10717</f>
        <v>120.722591017788</v>
      </c>
      <c r="J10720" s="6" t="n">
        <f aca="false">Sens!J10714-Sens!J10719*(Sens!J10716+Sens!J10718)-Sens!J10717</f>
        <v>138.852983677401</v>
      </c>
      <c r="K10720" s="6" t="n">
        <f aca="false">Sens!K10714-Sens!K10719*(Sens!K10716+Sens!K10718)-Sens!K10717</f>
        <v>151.058170579566</v>
      </c>
    </row>
    <row r="10721" customFormat="false" ht="17.15" hidden="false" customHeight="false" outlineLevel="0" collapsed="false">
      <c r="A10721" s="1" t="s">
        <v>841</v>
      </c>
      <c r="B10721" s="0" t="s">
        <v>98</v>
      </c>
      <c r="D10721" s="6" t="n">
        <f aca="false">(1-Sens!D10719)*(Sens!D10716+Sens!D10718)</f>
        <v>1.42281025374069</v>
      </c>
      <c r="E10721" s="6" t="n">
        <f aca="false">(1-Sens!E10719)*(Sens!E10716+Sens!E10718)</f>
        <v>3.25095598674472</v>
      </c>
      <c r="F10721" s="6" t="n">
        <f aca="false">(1-Sens!F10719)*(Sens!F10716+Sens!F10718)</f>
        <v>6.53293055050977</v>
      </c>
      <c r="G10721" s="6" t="n">
        <f aca="false">(1-Sens!G10719)*(Sens!G10716+Sens!G10718)</f>
        <v>10.7846311741651</v>
      </c>
      <c r="H10721" s="6" t="n">
        <f aca="false">(1-Sens!H10719)*(Sens!H10716+Sens!H10718)</f>
        <v>15.26343050201</v>
      </c>
      <c r="I10721" s="6" t="n">
        <f aca="false">(1-Sens!I10719)*(Sens!I10716+Sens!I10718)</f>
        <v>19.1433528317977</v>
      </c>
      <c r="J10721" s="6" t="n">
        <f aca="false">(1-Sens!J10719)*(Sens!J10716+Sens!J10718)</f>
        <v>21.7903077438073</v>
      </c>
      <c r="K10721" s="6" t="n">
        <f aca="false">(1-Sens!K10719)*(Sens!K10716+Sens!K10718)</f>
        <v>23.3028530868211</v>
      </c>
    </row>
    <row r="10722" customFormat="false" ht="17.15" hidden="false" customHeight="false" outlineLevel="0" collapsed="false">
      <c r="A10722" s="1" t="s">
        <v>842</v>
      </c>
      <c r="B10722" s="0" t="s">
        <v>357</v>
      </c>
      <c r="C10722" s="8" t="n">
        <f aca="false">cxit_open</f>
        <v>27.5918995</v>
      </c>
      <c r="D10722" s="8" t="n">
        <f aca="false">cxit_open</f>
        <v>27.5918995</v>
      </c>
      <c r="E10722" s="8" t="n">
        <f aca="false">cxit_open</f>
        <v>27.5918995</v>
      </c>
      <c r="F10722" s="8" t="n">
        <f aca="false">(a_g3_27*tk_cxit_gb300+(1-a_g3_27)*tk_cxit_vr200)</f>
        <v>33.8419624</v>
      </c>
      <c r="G10722" s="8" t="n">
        <f aca="false">(a_g3_28*tk_cxit_gb300+(1-a_g3_28)*tk_cxit_vr200)</f>
        <v>35.9816136</v>
      </c>
      <c r="H10722" s="8" t="n">
        <f aca="false">(a_g3_29*tk_cxit_gb300+(1-a_g3_29)*tk_cxit_vr200)</f>
        <v>37.0514392</v>
      </c>
      <c r="I10722" s="8" t="n">
        <f aca="false">(a_g3_29*tk_cxit_gb300+(1-a_g3_29)*tk_cxit_vr200)</f>
        <v>37.0514392</v>
      </c>
      <c r="J10722" s="8" t="n">
        <f aca="false">(a_g3_29*tk_cxit_gb300+(1-a_g3_29)*tk_cxit_vr200)</f>
        <v>37.0514392</v>
      </c>
      <c r="K10722" s="8" t="n">
        <f aca="false">(a_g3_29*tk_cxit_gb300+(1-a_g3_29)*tk_cxit_vr200)</f>
        <v>37.0514392</v>
      </c>
      <c r="L10722" s="11" t="s">
        <v>843</v>
      </c>
    </row>
    <row r="10723" customFormat="false" ht="17.15" hidden="false" customHeight="false" outlineLevel="0" collapsed="false">
      <c r="A10723" s="0" t="s">
        <v>844</v>
      </c>
      <c r="B10723" s="0" t="s">
        <v>399</v>
      </c>
      <c r="F10723" s="29" t="n">
        <f aca="false">Sens!C10704*IF(Sens!F10697-Sens!C10697=life_it,1,0)+Sens!D10704*IF(Sens!F10697-Sens!D10697=life_it,1,0)+Sens!E10704*IF(Sens!F10697-Sens!E10697=life_it,1,0)</f>
        <v>0</v>
      </c>
      <c r="G10723" s="29" t="n">
        <f aca="false">Sens!C10704*IF(Sens!G10697-Sens!C10697=life_it,1,0)+Sens!D10704*IF(Sens!G10697-Sens!D10697=life_it,1,0)+Sens!E10704*IF(Sens!G10697-Sens!E10697=life_it,1,0)+Sens!F10704*IF(Sens!G10697-Sens!F10697=life_it,1,0)</f>
        <v>0</v>
      </c>
      <c r="H10723" s="29" t="n">
        <f aca="false">Sens!C10704*IF(Sens!H10697-Sens!C10697=life_it,1,0)+Sens!D10704*IF(Sens!H10697-Sens!D10697=life_it,1,0)+Sens!E10704*IF(Sens!H10697-Sens!E10697=life_it,1,0)+Sens!F10704*IF(Sens!H10697-Sens!F10697=life_it,1,0)+Sens!G10704*IF(Sens!H10697-Sens!G10697=life_it,1,0)</f>
        <v>0</v>
      </c>
      <c r="I10723" s="29" t="n">
        <f aca="false">Sens!C10704*IF(Sens!I10697-Sens!C10697=life_it,1,0)+Sens!D10704*IF(Sens!I10697-Sens!D10697=life_it,1,0)+Sens!E10704*IF(Sens!I10697-Sens!E10697=life_it,1,0)+Sens!F10704*IF(Sens!I10697-Sens!F10697=life_it,1,0)+Sens!G10704*IF(Sens!I10697-Sens!G10697=life_it,1,0)+Sens!H10704*IF(Sens!I10697-Sens!H10697=life_it,1,0)</f>
        <v>816.666666666667</v>
      </c>
      <c r="J10723" s="29" t="n">
        <f aca="false">Sens!C10704*IF(Sens!J10697-Sens!C10697=life_it,1,0)+Sens!D10704*IF(Sens!J10697-Sens!D10697=life_it,1,0)+Sens!E10704*IF(Sens!J10697-Sens!E10697=life_it,1,0)+Sens!F10704*IF(Sens!J10697-Sens!F10697=life_it,1,0)+Sens!G10704*IF(Sens!J10697-Sens!G10697=life_it,1,0)+Sens!H10704*IF(Sens!J10697-Sens!H10697=life_it,1,0)+Sens!I10704*IF(Sens!J10697-Sens!I10697=life_it,1,0)</f>
        <v>1233.33333333333</v>
      </c>
      <c r="K10723" s="29" t="n">
        <f aca="false">Sens!C10704*IF(Sens!K10697-Sens!C10697=life_it,1,0)+Sens!D10704*IF(Sens!K10697-Sens!D10697=life_it,1,0)+Sens!E10704*IF(Sens!K10697-Sens!E10697=life_it,1,0)+Sens!F10704*IF(Sens!K10697-Sens!F10697=life_it,1,0)+Sens!G10704*IF(Sens!K10697-Sens!G10697=life_it,1,0)+Sens!H10704*IF(Sens!K10697-Sens!H10697=life_it,1,0)+Sens!I10704*IF(Sens!K10697-Sens!I10697=life_it,1,0)+Sens!J10704*IF(Sens!K10697-Sens!J10697=life_it,1,0)</f>
        <v>2450</v>
      </c>
      <c r="L10723" s="1" t="s">
        <v>845</v>
      </c>
    </row>
    <row r="10724" customFormat="false" ht="17.15" hidden="false" customHeight="false" outlineLevel="0" collapsed="false">
      <c r="A10724" s="0" t="s">
        <v>846</v>
      </c>
      <c r="B10724" s="0" t="s">
        <v>98</v>
      </c>
      <c r="C10724" s="6" t="n">
        <f aca="false">Sens!C10704*Sens!C10722/1000</f>
        <v>22.5333845916667</v>
      </c>
      <c r="D10724" s="6" t="n">
        <f aca="false">Sens!D10704*Sens!D10722/1000</f>
        <v>34.0300093833333</v>
      </c>
      <c r="E10724" s="6" t="n">
        <f aca="false">Sens!E10704*Sens!E10722/1000</f>
        <v>67.600153775</v>
      </c>
      <c r="F10724" s="6" t="n">
        <f aca="false">(Sens!F10704+Sens!F10723)*Sens!F10722/1000</f>
        <v>130.923271871467</v>
      </c>
      <c r="G10724" s="6" t="n">
        <f aca="false">(Sens!G10704+Sens!G10723)*Sens!G10722/1000</f>
        <v>151.5545564832</v>
      </c>
      <c r="H10724" s="6" t="n">
        <f aca="false">(Sens!H10704+Sens!H10723)*Sens!H10722/1000</f>
        <v>156.0606619104</v>
      </c>
      <c r="I10724" s="6" t="n">
        <f aca="false">(Sens!I10704+Sens!I10723)*Sens!I10722/1000</f>
        <v>140.987889434245</v>
      </c>
      <c r="J10724" s="6" t="n">
        <f aca="false">(Sens!J10704+Sens!J10723)*Sens!J10722/1000</f>
        <v>113.309125559842</v>
      </c>
      <c r="K10724" s="6" t="n">
        <f aca="false">(Sens!K10704+Sens!K10723)*Sens!K10722/1000</f>
        <v>116.192591420959</v>
      </c>
    </row>
    <row r="10725" customFormat="false" ht="17.15" hidden="false" customHeight="false" outlineLevel="0" collapsed="false">
      <c r="A10725" s="0" t="s">
        <v>847</v>
      </c>
      <c r="B10725" s="0" t="s">
        <v>98</v>
      </c>
      <c r="C10725" s="6" t="n">
        <f aca="false">Sens!C10704*self_build*tk_cxfac/1000</f>
        <v>6.2083</v>
      </c>
      <c r="D10725" s="6" t="n">
        <f aca="false">Sens!D10704*self_build*tk_cxfac/1000</f>
        <v>9.3758</v>
      </c>
      <c r="E10725" s="6" t="n">
        <f aca="false">Sens!E10704*self_build*tk_cxfac/1000</f>
        <v>18.6249</v>
      </c>
      <c r="F10725" s="6" t="n">
        <f aca="false">Sens!F10704*self_build*tk_cxfac/1000</f>
        <v>29.409604</v>
      </c>
      <c r="G10725" s="6" t="n">
        <f aca="false">Sens!G10704*self_build*tk_cxfac/1000</f>
        <v>32.019624</v>
      </c>
      <c r="H10725" s="6" t="n">
        <f aca="false">Sens!H10704*self_build*tk_cxfac/1000</f>
        <v>32.019624</v>
      </c>
      <c r="I10725" s="6" t="n">
        <f aca="false">Sens!I10704*self_build*tk_cxfac/1000</f>
        <v>22.71877972</v>
      </c>
      <c r="J10725" s="6" t="n">
        <f aca="false">Sens!J10704*self_build*tk_cxfac/1000</f>
        <v>13.8723110344</v>
      </c>
      <c r="K10725" s="6" t="n">
        <f aca="false">Sens!K10704*self_build*tk_cxfac/1000</f>
        <v>5.214823882632</v>
      </c>
    </row>
    <row r="10726" customFormat="false" ht="17.15" hidden="false" customHeight="false" outlineLevel="0" collapsed="false">
      <c r="A10726" s="0" t="s">
        <v>848</v>
      </c>
      <c r="B10726" s="0" t="s">
        <v>98</v>
      </c>
      <c r="F10726" s="6" t="n">
        <f aca="false">MAX(0,capex_floor27-Sens!F10724-Sens!F10725-Sens!F10820)</f>
        <v>8.28450839897089</v>
      </c>
    </row>
    <row r="10727" customFormat="false" ht="17.15" hidden="false" customHeight="false" outlineLevel="0" collapsed="false">
      <c r="A10727" s="0" t="s">
        <v>849</v>
      </c>
      <c r="B10727" s="0" t="s">
        <v>98</v>
      </c>
      <c r="C10727" s="6" t="n">
        <f aca="false">Sens!C10724</f>
        <v>22.5333845916667</v>
      </c>
      <c r="D10727" s="6" t="n">
        <f aca="false">Sens!D10724</f>
        <v>34.0300093833333</v>
      </c>
      <c r="E10727" s="6" t="n">
        <f aca="false">Sens!E10724</f>
        <v>67.600153775</v>
      </c>
      <c r="F10727" s="6" t="n">
        <f aca="false">Sens!F10724</f>
        <v>130.923271871467</v>
      </c>
      <c r="G10727" s="6" t="n">
        <f aca="false">Sens!G10724</f>
        <v>151.5545564832</v>
      </c>
      <c r="H10727" s="6" t="n">
        <f aca="false">Sens!H10724</f>
        <v>156.0606619104</v>
      </c>
      <c r="I10727" s="6" t="n">
        <f aca="false">Sens!I10724</f>
        <v>140.987889434245</v>
      </c>
      <c r="J10727" s="6" t="n">
        <f aca="false">Sens!J10724</f>
        <v>113.309125559842</v>
      </c>
      <c r="K10727" s="6" t="n">
        <f aca="false">Sens!K10724</f>
        <v>116.192591420959</v>
      </c>
    </row>
    <row r="10728" customFormat="false" ht="17.15" hidden="false" customHeight="false" outlineLevel="0" collapsed="false">
      <c r="A10728" s="0" t="s">
        <v>850</v>
      </c>
      <c r="B10728" s="0" t="s">
        <v>98</v>
      </c>
      <c r="C10728" s="6" t="n">
        <f aca="false">Sens!C10727+Sens!C10725</f>
        <v>28.7416845916667</v>
      </c>
      <c r="D10728" s="6" t="n">
        <f aca="false">Sens!D10727+Sens!D10725</f>
        <v>43.4058093833333</v>
      </c>
      <c r="E10728" s="6" t="n">
        <f aca="false">Sens!E10727+Sens!E10725</f>
        <v>86.225053775</v>
      </c>
      <c r="F10728" s="6" t="n">
        <f aca="false">Sens!F10727+Sens!F10725</f>
        <v>160.332875871467</v>
      </c>
      <c r="G10728" s="6" t="n">
        <f aca="false">Sens!G10727+Sens!G10725</f>
        <v>183.5741804832</v>
      </c>
      <c r="H10728" s="6" t="n">
        <f aca="false">Sens!H10727+Sens!H10725</f>
        <v>188.0802859104</v>
      </c>
      <c r="I10728" s="6" t="n">
        <f aca="false">Sens!I10727+Sens!I10725</f>
        <v>163.706669154245</v>
      </c>
      <c r="J10728" s="6" t="n">
        <f aca="false">Sens!J10727+Sens!J10725</f>
        <v>127.181436594242</v>
      </c>
      <c r="K10728" s="6" t="n">
        <f aca="false">Sens!K10727+Sens!K10725</f>
        <v>121.407415303591</v>
      </c>
      <c r="L10728" s="11" t="s">
        <v>851</v>
      </c>
    </row>
    <row r="10729" customFormat="false" ht="17.15" hidden="false" customHeight="false" outlineLevel="0" collapsed="false">
      <c r="A10729" s="0" t="s">
        <v>852</v>
      </c>
      <c r="B10729" s="0" t="s">
        <v>98</v>
      </c>
      <c r="E10729" s="6" t="n">
        <f aca="false">(Sens!C10727*IF(2&lt;life_it,1,IF(2=life_it,0.5,0))+Sens!D10727*IF(1&lt;life_it,1,IF(1=life_it,0.5,0))+Sens!E10727*0.5)/life_it</f>
        <v>15.0605784770833</v>
      </c>
      <c r="F10729" s="6" t="n">
        <f aca="false">(Sens!C10727*IF(3&lt;life_it,1,IF(3=life_it,0.5,0))+Sens!D10727*IF(2&lt;life_it,1,IF(2=life_it,0.5,0))+Sens!E10727*IF(1&lt;life_it,1,IF(1=life_it,0.5,0))+Sens!F10727*0.5)/life_it</f>
        <v>31.6041972809556</v>
      </c>
      <c r="G10729" s="6" t="n">
        <f aca="false">(Sens!C10727*IF(4&lt;life_it,1,IF(4=life_it,0.5,0))+Sens!D10727*IF(3&lt;life_it,1,IF(3=life_it,0.5,0))+Sens!E10727*IF(2&lt;life_it,1,IF(2=life_it,0.5,0))+Sens!F10727*IF(1&lt;life_it,1,IF(1=life_it,0.5,0))+Sens!G10727*0.5)/life_it</f>
        <v>55.1440163105111</v>
      </c>
      <c r="H10729" s="6" t="n">
        <f aca="false">(Sens!C10727*IF(5&lt;life_it,1,IF(5=life_it,0.5,0))+Sens!D10727*IF(4&lt;life_it,1,IF(4=life_it,0.5,0))+Sens!E10727*IF(3&lt;life_it,1,IF(3=life_it,0.5,0))+Sens!F10727*IF(2&lt;life_it,1,IF(2=life_it,0.5,0))+Sens!G10727*IF(1&lt;life_it,1,IF(1=life_it,0.5,0))+Sens!H10727*0.5)/life_it</f>
        <v>80.7786178433111</v>
      </c>
      <c r="I10729" s="6" t="n">
        <f aca="false">(Sens!C10727*IF(6&lt;life_it,1,IF(6=life_it,0.5,0))+Sens!D10727*IF(5&lt;life_it,1,IF(5=life_it,0.5,0))+Sens!E10727*IF(4&lt;life_it,1,IF(4=life_it,0.5,0))+Sens!F10727*IF(3&lt;life_it,1,IF(3=life_it,0.5,0))+Sens!G10727*IF(2&lt;life_it,1,IF(2=life_it,0.5,0))+Sens!H10727*IF(1&lt;life_it,1,IF(1=life_it,0.5,0))+Sens!I10727*0.5)/life_it</f>
        <v>103.654881739393</v>
      </c>
      <c r="J10729" s="6" t="n">
        <f aca="false">(Sens!C10727*IF(7&lt;life_it,1,IF(7=life_it,0.5,0))+Sens!D10727*IF(6&lt;life_it,1,IF(6=life_it,0.5,0))+Sens!E10727*IF(5&lt;life_it,1,IF(5=life_it,0.5,0))+Sens!F10727*IF(4&lt;life_it,1,IF(4=life_it,0.5,0))+Sens!G10727*IF(3&lt;life_it,1,IF(3=life_it,0.5,0))+Sens!H10727*IF(2&lt;life_it,1,IF(2=life_it,0.5,0))+Sens!I10727*IF(1&lt;life_it,1,IF(1=life_it,0.5,0))+Sens!J10727*0.5)/life_it</f>
        <v>120.132683490983</v>
      </c>
      <c r="K10729" s="6" t="n">
        <f aca="false">(Sens!C10727*IF(8&lt;life_it,1,IF(8=life_it,0.5,0))+Sens!D10727*IF(7&lt;life_it,1,IF(7=life_it,0.5,0))+Sens!E10727*IF(6&lt;life_it,1,IF(6=life_it,0.5,0))+Sens!F10727*IF(5&lt;life_it,1,IF(5=life_it,0.5,0))+Sens!G10727*IF(4&lt;life_it,1,IF(4=life_it,0.5,0))+Sens!H10727*IF(3&lt;life_it,1,IF(3=life_it,0.5,0))+Sens!I10727*IF(2&lt;life_it,1,IF(2=life_it,0.5,0))+Sens!J10727*IF(1&lt;life_it,1,IF(1=life_it,0.5,0))+Sens!K10727*0.5)/life_it</f>
        <v>130.788646309522</v>
      </c>
    </row>
    <row r="10730" customFormat="false" ht="17.15" hidden="false" customHeight="false" outlineLevel="0" collapsed="false">
      <c r="A10730" s="0" t="s">
        <v>853</v>
      </c>
      <c r="B10730" s="0" t="s">
        <v>98</v>
      </c>
      <c r="E10730" s="6" t="n">
        <f aca="false">(Sens!C10725*IF(2&lt;life_fac,1,IF(2=life_fac,0.5,0))+Sens!D10725*IF(1&lt;life_fac,1,IF(1=life_fac,0.5,0))+Sens!E10725*0.5)/life_fac</f>
        <v>1.2448275</v>
      </c>
      <c r="F10730" s="6" t="n">
        <f aca="false">(Sens!C10725*IF(3&lt;life_fac,1,IF(3=life_fac,0.5,0))+Sens!D10725*IF(2&lt;life_fac,1,IF(2=life_fac,0.5,0))+Sens!E10725*IF(1&lt;life_fac,1,IF(1=life_fac,0.5,0))+Sens!F10725*0.5)/life_fac</f>
        <v>2.4456901</v>
      </c>
      <c r="G10730" s="6" t="n">
        <f aca="false">(Sens!C10725*IF(4&lt;life_fac,1,IF(4=life_fac,0.5,0))+Sens!D10725*IF(3&lt;life_fac,1,IF(3=life_fac,0.5,0))+Sens!E10725*IF(2&lt;life_fac,1,IF(2=life_fac,0.5,0))+Sens!F10725*IF(1&lt;life_fac,1,IF(1=life_fac,0.5,0))+Sens!G10725*0.5)/life_fac</f>
        <v>3.9814208</v>
      </c>
      <c r="H10730" s="6" t="n">
        <f aca="false">(Sens!C10725*IF(5&lt;life_fac,1,IF(5=life_fac,0.5,0))+Sens!D10725*IF(4&lt;life_fac,1,IF(4=life_fac,0.5,0))+Sens!E10725*IF(3&lt;life_fac,1,IF(3=life_fac,0.5,0))+Sens!F10725*IF(2&lt;life_fac,1,IF(2=life_fac,0.5,0))+Sens!G10725*IF(1&lt;life_fac,1,IF(1=life_fac,0.5,0))+Sens!H10725*0.5)/life_fac</f>
        <v>5.582402</v>
      </c>
      <c r="I10730" s="6" t="n">
        <f aca="false">(Sens!C10725*IF(6&lt;life_fac,1,IF(6=life_fac,0.5,0))+Sens!D10725*IF(5&lt;life_fac,1,IF(5=life_fac,0.5,0))+Sens!E10725*IF(4&lt;life_fac,1,IF(4=life_fac,0.5,0))+Sens!F10725*IF(3&lt;life_fac,1,IF(3=life_fac,0.5,0))+Sens!G10725*IF(2&lt;life_fac,1,IF(2=life_fac,0.5,0))+Sens!H10725*IF(1&lt;life_fac,1,IF(1=life_fac,0.5,0))+Sens!I10725*0.5)/life_fac</f>
        <v>6.950862093</v>
      </c>
      <c r="J10730" s="6" t="n">
        <f aca="false">(Sens!C10725*IF(7&lt;life_fac,1,IF(7=life_fac,0.5,0))+Sens!D10725*IF(6&lt;life_fac,1,IF(6=life_fac,0.5,0))+Sens!E10725*IF(5&lt;life_fac,1,IF(5=life_fac,0.5,0))+Sens!F10725*IF(4&lt;life_fac,1,IF(4=life_fac,0.5,0))+Sens!G10725*IF(3&lt;life_fac,1,IF(3=life_fac,0.5,0))+Sens!H10725*IF(2&lt;life_fac,1,IF(2=life_fac,0.5,0))+Sens!I10725*IF(1&lt;life_fac,1,IF(1=life_fac,0.5,0))+Sens!J10725*0.5)/life_fac</f>
        <v>7.86563936186</v>
      </c>
      <c r="K10730" s="6" t="n">
        <f aca="false">(Sens!C10725*IF(8&lt;life_fac,1,IF(8=life_fac,0.5,0))+Sens!D10725*IF(7&lt;life_fac,1,IF(7=life_fac,0.5,0))+Sens!E10725*IF(6&lt;life_fac,1,IF(6=life_fac,0.5,0))+Sens!F10725*IF(5&lt;life_fac,1,IF(5=life_fac,0.5,0))+Sens!G10725*IF(4&lt;life_fac,1,IF(4=life_fac,0.5,0))+Sens!H10725*IF(3&lt;life_fac,1,IF(3=life_fac,0.5,0))+Sens!I10725*IF(2&lt;life_fac,1,IF(2=life_fac,0.5,0))+Sens!J10725*IF(1&lt;life_fac,1,IF(1=life_fac,0.5,0))+Sens!K10725*0.5)/life_fac</f>
        <v>8.3428177347858</v>
      </c>
    </row>
    <row r="10731" customFormat="false" ht="17.15" hidden="false" customHeight="false" outlineLevel="0" collapsed="false">
      <c r="A10731" s="0" t="s">
        <v>854</v>
      </c>
      <c r="B10731" s="0" t="s">
        <v>98</v>
      </c>
      <c r="E10731" s="6" t="n">
        <f aca="false">Sens!E10729+Sens!E10730</f>
        <v>16.3054059770833</v>
      </c>
      <c r="F10731" s="6" t="n">
        <f aca="false">Sens!F10729+Sens!F10730</f>
        <v>34.0498873809555</v>
      </c>
      <c r="G10731" s="6" t="n">
        <f aca="false">Sens!G10729+Sens!G10730</f>
        <v>59.1254371105111</v>
      </c>
      <c r="H10731" s="6" t="n">
        <f aca="false">Sens!H10729+Sens!H10730</f>
        <v>86.3610198433111</v>
      </c>
      <c r="I10731" s="6" t="n">
        <f aca="false">Sens!I10729+Sens!I10730</f>
        <v>110.605743832393</v>
      </c>
      <c r="J10731" s="6" t="n">
        <f aca="false">Sens!J10729+Sens!J10730</f>
        <v>127.998322852843</v>
      </c>
      <c r="K10731" s="6" t="n">
        <f aca="false">Sens!K10729+Sens!K10730</f>
        <v>139.131464044308</v>
      </c>
    </row>
    <row r="10732" customFormat="false" ht="17.15" hidden="false" customHeight="false" outlineLevel="0" collapsed="false">
      <c r="A10732" s="0" t="s">
        <v>855</v>
      </c>
      <c r="B10732" s="0" t="s">
        <v>98</v>
      </c>
      <c r="E10732" s="6" t="n">
        <f aca="false">Sens!E10720-Sens!E10719*Sens!E10731</f>
        <v>8.92707889977379</v>
      </c>
      <c r="F10732" s="6" t="n">
        <f aca="false">Sens!F10720-Sens!F10719*Sens!F10731</f>
        <v>19.0295083206205</v>
      </c>
      <c r="G10732" s="6" t="n">
        <f aca="false">Sens!G10720-Sens!G10719*Sens!G10731</f>
        <v>31.0774922914994</v>
      </c>
      <c r="H10732" s="6" t="n">
        <f aca="false">Sens!H10720-Sens!H10719*Sens!H10731</f>
        <v>43.4030330778723</v>
      </c>
      <c r="I10732" s="6" t="n">
        <f aca="false">Sens!I10720-Sens!I10719*Sens!I10731</f>
        <v>54.3591447183526</v>
      </c>
      <c r="J10732" s="6" t="n">
        <f aca="false">Sens!J10720-Sens!J10719*Sens!J10731</f>
        <v>62.0539899656947</v>
      </c>
      <c r="K10732" s="6" t="n">
        <f aca="false">Sens!K10720-Sens!K10719*Sens!K10731</f>
        <v>67.5792921529812</v>
      </c>
    </row>
    <row r="10733" customFormat="false" ht="17.15" hidden="false" customHeight="false" outlineLevel="0" collapsed="false">
      <c r="A10733" s="3" t="s">
        <v>1538</v>
      </c>
    </row>
    <row r="10734" customFormat="false" ht="15" hidden="false" customHeight="false" outlineLevel="0" collapsed="false">
      <c r="A10734" s="4" t="s">
        <v>43</v>
      </c>
      <c r="B10734" s="4" t="s">
        <v>65</v>
      </c>
      <c r="C10734" s="20" t="s">
        <v>799</v>
      </c>
      <c r="D10734" s="20" t="s">
        <v>800</v>
      </c>
      <c r="E10734" s="20" t="s">
        <v>801</v>
      </c>
      <c r="F10734" s="20" t="s">
        <v>802</v>
      </c>
      <c r="G10734" s="20" t="s">
        <v>803</v>
      </c>
      <c r="H10734" s="20" t="s">
        <v>804</v>
      </c>
      <c r="I10734" s="20" t="s">
        <v>805</v>
      </c>
      <c r="J10734" s="20" t="s">
        <v>806</v>
      </c>
      <c r="K10734" s="20" t="s">
        <v>807</v>
      </c>
      <c r="L10734" s="4" t="s">
        <v>47</v>
      </c>
    </row>
    <row r="10735" customFormat="false" ht="17.15" hidden="false" customHeight="false" outlineLevel="0" collapsed="false">
      <c r="A10735" s="0" t="s">
        <v>874</v>
      </c>
      <c r="B10735" s="0" t="s">
        <v>98</v>
      </c>
      <c r="D10735" s="6" t="n">
        <f aca="false">Sens!D10714</f>
        <v>12.9359794422418</v>
      </c>
      <c r="E10735" s="6" t="n">
        <f aca="false">Sens!E10714</f>
        <v>27.8095064661409</v>
      </c>
      <c r="F10735" s="6" t="n">
        <f aca="false">Sens!F10714</f>
        <v>55.0640065749585</v>
      </c>
      <c r="G10735" s="6" t="n">
        <f aca="false">Sens!G10714</f>
        <v>89.4505413190538</v>
      </c>
      <c r="H10735" s="6" t="n">
        <f aca="false">Sens!H10714</f>
        <v>124.835630736874</v>
      </c>
      <c r="I10735" s="6" t="n">
        <f aca="false">Sens!I10714</f>
        <v>156.158460265485</v>
      </c>
      <c r="J10735" s="6" t="n">
        <f aca="false">Sens!J10714</f>
        <v>178.259285293112</v>
      </c>
      <c r="K10735" s="6" t="n">
        <f aca="false">Sens!K10714</f>
        <v>192.733290209798</v>
      </c>
    </row>
    <row r="10736" customFormat="false" ht="17.15" hidden="false" customHeight="false" outlineLevel="0" collapsed="false">
      <c r="A10736" s="0" t="s">
        <v>875</v>
      </c>
      <c r="B10736" s="0" t="s">
        <v>98</v>
      </c>
      <c r="D10736" s="6" t="n">
        <f aca="false">Q!L6-Sens!D10735</f>
        <v>59.6740205577583</v>
      </c>
      <c r="E10736" s="6" t="n">
        <f aca="false">Q!M6-Sens!E10735</f>
        <v>74.1284935338591</v>
      </c>
      <c r="F10736" s="6" t="n">
        <f aca="false">Sens!E10736*(1+Sens!F10737)</f>
        <v>90.0799497373663</v>
      </c>
      <c r="G10736" s="6" t="n">
        <f aca="false">Sens!F10736*(1+Sens!G10737)</f>
        <v>107.02842520331</v>
      </c>
      <c r="H10736" s="6" t="n">
        <f aca="false">Sens!G10736*(1+Sens!H10737)</f>
        <v>124.271982585636</v>
      </c>
      <c r="I10736" s="6" t="n">
        <f aca="false">Sens!H10736*(1+Sens!I10737)</f>
        <v>140.933702381855</v>
      </c>
      <c r="J10736" s="6" t="n">
        <f aca="false">Sens!I10736*(1+Sens!J10737)</f>
        <v>156.018867314332</v>
      </c>
      <c r="K10736" s="6" t="n">
        <f aca="false">Sens!J10736*(1+Sens!K10737)</f>
        <v>168.500376699478</v>
      </c>
    </row>
    <row r="10737" customFormat="false" ht="15" hidden="false" customHeight="false" outlineLevel="0" collapsed="false">
      <c r="A10737" s="1" t="s">
        <v>876</v>
      </c>
      <c r="B10737" s="0" t="s">
        <v>129</v>
      </c>
      <c r="E10737" s="7" t="n">
        <f aca="false">Sens!E10736/Sens!D10736-1</f>
        <v>0.242223883039864</v>
      </c>
      <c r="F10737" s="7" t="n">
        <f aca="false">Sens!$E$10737+(glt_azo-Sens!$E$10737)*MIN(1,(Sens!F10697-base_fy)/n_conv)</f>
        <v>0.215186569199887</v>
      </c>
      <c r="G10737" s="7" t="n">
        <f aca="false">Sens!$E$10737+(glt_azo-Sens!$E$10737)*MIN(1,(Sens!G10697-base_fy)/n_conv)</f>
        <v>0.18814925535991</v>
      </c>
      <c r="H10737" s="7" t="n">
        <f aca="false">Sens!$E$10737+(glt_azo-Sens!$E$10737)*MIN(1,(Sens!H10697-base_fy)/n_conv)</f>
        <v>0.161111941519932</v>
      </c>
      <c r="I10737" s="7" t="n">
        <f aca="false">Sens!$E$10737+(glt_azo-Sens!$E$10737)*MIN(1,(Sens!I10697-base_fy)/n_conv)</f>
        <v>0.134074627679955</v>
      </c>
      <c r="J10737" s="7" t="n">
        <f aca="false">Sens!$E$10737+(glt_azo-Sens!$E$10737)*MIN(1,(Sens!J10697-base_fy)/n_conv)</f>
        <v>0.107037313839977</v>
      </c>
      <c r="K10737" s="7" t="n">
        <f aca="false">Sens!$E$10737+(glt_azo-Sens!$E$10737)*MIN(1,(Sens!K10697-base_fy)/n_conv)</f>
        <v>0.08</v>
      </c>
    </row>
    <row r="10738" customFormat="false" ht="15" hidden="false" customHeight="false" outlineLevel="0" collapsed="false">
      <c r="A10738" s="0" t="s">
        <v>877</v>
      </c>
      <c r="B10738" s="0" t="s">
        <v>98</v>
      </c>
      <c r="D10738" s="6" t="n">
        <f aca="false">Sens!D10735+Sens!D10736</f>
        <v>72.61</v>
      </c>
      <c r="E10738" s="6" t="n">
        <f aca="false">Sens!E10735+Sens!E10736</f>
        <v>101.938</v>
      </c>
      <c r="F10738" s="6" t="n">
        <f aca="false">Sens!F10735+Sens!F10736</f>
        <v>145.143956312325</v>
      </c>
      <c r="G10738" s="6" t="n">
        <f aca="false">Sens!G10735+Sens!G10736</f>
        <v>196.478966522364</v>
      </c>
      <c r="H10738" s="6" t="n">
        <f aca="false">Sens!H10735+Sens!H10736</f>
        <v>249.10761332251</v>
      </c>
      <c r="I10738" s="6" t="n">
        <f aca="false">Sens!I10735+Sens!I10736</f>
        <v>297.09216264734</v>
      </c>
      <c r="J10738" s="6" t="n">
        <f aca="false">Sens!J10735+Sens!J10736</f>
        <v>334.278152607443</v>
      </c>
      <c r="K10738" s="6" t="n">
        <f aca="false">Sens!K10735+Sens!K10736</f>
        <v>361.233666909276</v>
      </c>
    </row>
    <row r="10739" customFormat="false" ht="17.15" hidden="false" customHeight="false" outlineLevel="0" collapsed="false">
      <c r="A10739" s="0" t="s">
        <v>878</v>
      </c>
      <c r="B10739" s="1" t="s">
        <v>528</v>
      </c>
      <c r="C10739" s="29" t="n">
        <f aca="false">cop_s24</f>
        <v>1</v>
      </c>
      <c r="D10739" s="29" t="n">
        <f aca="false">cop_s25</f>
        <v>5</v>
      </c>
      <c r="E10739" s="29" t="n">
        <f aca="false">cop_s26</f>
        <v>30</v>
      </c>
      <c r="F10739" s="29" t="n">
        <f aca="false">Sens!E10739+cop_add_B</f>
        <v>50</v>
      </c>
      <c r="G10739" s="29" t="n">
        <f aca="false">Sens!F10739+cop_add_B</f>
        <v>70</v>
      </c>
      <c r="H10739" s="29" t="n">
        <f aca="false">Sens!G10739+cop_add_B</f>
        <v>90</v>
      </c>
      <c r="I10739" s="29" t="n">
        <f aca="false">Sens!H10739+cop_add_B*cop_tail</f>
        <v>100</v>
      </c>
      <c r="J10739" s="29" t="n">
        <f aca="false">Sens!I10739+cop_add_B*cop_tail</f>
        <v>110</v>
      </c>
      <c r="K10739" s="29" t="n">
        <f aca="false">Sens!J10739+cop_add_B*cop_tail</f>
        <v>120</v>
      </c>
      <c r="L10739" s="11" t="s">
        <v>879</v>
      </c>
    </row>
    <row r="10740" customFormat="false" ht="17.15" hidden="false" customHeight="false" outlineLevel="0" collapsed="false">
      <c r="A10740" s="0" t="s">
        <v>880</v>
      </c>
      <c r="B10740" s="0" t="s">
        <v>98</v>
      </c>
      <c r="D10740" s="6" t="n">
        <f aca="false">(Sens!C10739+Sens!D10739)/2*cop_px*12/1000</f>
        <v>0.9</v>
      </c>
      <c r="E10740" s="6" t="n">
        <f aca="false">(Sens!D10739+Sens!E10739)/2*cop_px*12/1000</f>
        <v>5.25</v>
      </c>
      <c r="F10740" s="6" t="n">
        <f aca="false">(Sens!E10739+Sens!F10739)/2*cop_px*12/1000</f>
        <v>12</v>
      </c>
      <c r="G10740" s="6" t="n">
        <f aca="false">(Sens!F10739+Sens!G10739)/2*cop_px*12/1000</f>
        <v>18</v>
      </c>
      <c r="H10740" s="6" t="n">
        <f aca="false">(Sens!G10739+Sens!H10739)/2*cop_px*12/1000</f>
        <v>24</v>
      </c>
      <c r="I10740" s="6" t="n">
        <f aca="false">(Sens!H10739+Sens!I10739)/2*cop_px*12/1000</f>
        <v>28.5</v>
      </c>
      <c r="J10740" s="6" t="n">
        <f aca="false">(Sens!I10739+Sens!J10739)/2*cop_px*12/1000</f>
        <v>31.5</v>
      </c>
      <c r="K10740" s="6" t="n">
        <f aca="false">(Sens!J10739+Sens!K10739)/2*cop_px*12/1000</f>
        <v>34.5</v>
      </c>
      <c r="L10740" s="1" t="s">
        <v>881</v>
      </c>
    </row>
    <row r="10741" customFormat="false" ht="17.15" hidden="false" customHeight="false" outlineLevel="0" collapsed="false">
      <c r="A10741" s="0" t="s">
        <v>882</v>
      </c>
      <c r="B10741" s="0" t="s">
        <v>98</v>
      </c>
      <c r="D10741" s="6" t="n">
        <f aca="false">Q!L7-Sens!D10740</f>
        <v>83.705</v>
      </c>
      <c r="E10741" s="6" t="n">
        <f aca="false">Q!M7-Sens!E10740</f>
        <v>95.049</v>
      </c>
      <c r="F10741" s="6" t="n">
        <f aca="false">Sens!E10741*(1+Sens!F10742)</f>
        <v>106.89238776686</v>
      </c>
      <c r="G10741" s="6" t="n">
        <f aca="false">Sens!F10741*(1+Sens!G10742)</f>
        <v>119.044168448684</v>
      </c>
      <c r="H10741" s="6" t="n">
        <f aca="false">Sens!G10741*(1+Sens!H10742)</f>
        <v>131.277359388781</v>
      </c>
      <c r="I10741" s="6" t="n">
        <f aca="false">Sens!H10741*(1+Sens!I10742)</f>
        <v>143.334028071957</v>
      </c>
      <c r="J10741" s="6" t="n">
        <f aca="false">Sens!I10741*(1+Sens!J10742)</f>
        <v>154.932702785465</v>
      </c>
      <c r="K10741" s="6" t="n">
        <f aca="false">Sens!J10741*(1+Sens!K10742)</f>
        <v>165.777991980448</v>
      </c>
    </row>
    <row r="10742" customFormat="false" ht="15" hidden="false" customHeight="false" outlineLevel="0" collapsed="false">
      <c r="A10742" s="1" t="s">
        <v>876</v>
      </c>
      <c r="B10742" s="0" t="s">
        <v>129</v>
      </c>
      <c r="E10742" s="7" t="n">
        <f aca="false">Sens!E10741/Sens!D10741-1</f>
        <v>0.135523564900544</v>
      </c>
      <c r="F10742" s="7" t="n">
        <f aca="false">Sens!$E$10742+(glt_m365b-Sens!$E$10742)*MIN(1,(Sens!F10697-base_fy)/n_conv)</f>
        <v>0.124602970750453</v>
      </c>
      <c r="G10742" s="7" t="n">
        <f aca="false">Sens!$E$10742+(glt_m365b-Sens!$E$10742)*MIN(1,(Sens!G10697-base_fy)/n_conv)</f>
        <v>0.113682376600363</v>
      </c>
      <c r="H10742" s="7" t="n">
        <f aca="false">Sens!$E$10742+(glt_m365b-Sens!$E$10742)*MIN(1,(Sens!H10697-base_fy)/n_conv)</f>
        <v>0.102761782450272</v>
      </c>
      <c r="I10742" s="7" t="n">
        <f aca="false">Sens!$E$10742+(glt_m365b-Sens!$E$10742)*MIN(1,(Sens!I10697-base_fy)/n_conv)</f>
        <v>0.0918411883001813</v>
      </c>
      <c r="J10742" s="7" t="n">
        <f aca="false">Sens!$E$10742+(glt_m365b-Sens!$E$10742)*MIN(1,(Sens!J10697-base_fy)/n_conv)</f>
        <v>0.0809205941500906</v>
      </c>
      <c r="K10742" s="7" t="n">
        <f aca="false">Sens!$E$10742+(glt_m365b-Sens!$E$10742)*MIN(1,(Sens!K10697-base_fy)/n_conv)</f>
        <v>0.07</v>
      </c>
    </row>
    <row r="10743" customFormat="false" ht="15" hidden="false" customHeight="false" outlineLevel="0" collapsed="false">
      <c r="A10743" s="0" t="s">
        <v>883</v>
      </c>
      <c r="B10743" s="0" t="s">
        <v>98</v>
      </c>
      <c r="D10743" s="6" t="n">
        <f aca="false">Sens!D10741+Sens!D10740</f>
        <v>84.605</v>
      </c>
      <c r="E10743" s="6" t="n">
        <f aca="false">Sens!E10741+Sens!E10740</f>
        <v>100.299</v>
      </c>
      <c r="F10743" s="6" t="n">
        <f aca="false">Sens!F10741+Sens!F10740</f>
        <v>118.89238776686</v>
      </c>
      <c r="G10743" s="6" t="n">
        <f aca="false">Sens!G10741+Sens!G10740</f>
        <v>137.044168448684</v>
      </c>
      <c r="H10743" s="6" t="n">
        <f aca="false">Sens!H10741+Sens!H10740</f>
        <v>155.277359388781</v>
      </c>
      <c r="I10743" s="6" t="n">
        <f aca="false">Sens!I10741+Sens!I10740</f>
        <v>171.834028071957</v>
      </c>
      <c r="J10743" s="6" t="n">
        <f aca="false">Sens!J10741+Sens!J10740</f>
        <v>186.432702785465</v>
      </c>
      <c r="K10743" s="6" t="n">
        <f aca="false">Sens!K10741+Sens!K10740</f>
        <v>200.277991980448</v>
      </c>
    </row>
    <row r="10744" customFormat="false" ht="15" hidden="false" customHeight="false" outlineLevel="0" collapsed="false">
      <c r="A10744" s="0" t="s">
        <v>884</v>
      </c>
      <c r="B10744" s="0" t="s">
        <v>98</v>
      </c>
      <c r="D10744" s="6" t="n">
        <f aca="false">Q!L8</f>
        <v>35.391</v>
      </c>
      <c r="E10744" s="6" t="n">
        <f aca="false">Q!M8</f>
        <v>37.285</v>
      </c>
      <c r="F10744" s="6" t="n">
        <f aca="false">Sens!E10744*(1+Sens!F10745)</f>
        <v>39.0720834331704</v>
      </c>
      <c r="G10744" s="6" t="n">
        <f aca="false">Sens!F10744*(1+Sens!G10745)</f>
        <v>40.726562953769</v>
      </c>
      <c r="H10744" s="6" t="n">
        <f aca="false">Sens!G10744*(1+Sens!H10745)</f>
        <v>42.2235987259198</v>
      </c>
      <c r="I10744" s="6" t="n">
        <f aca="false">Sens!H10744*(1+Sens!I10745)</f>
        <v>43.5397988077414</v>
      </c>
      <c r="J10744" s="6" t="n">
        <f aca="false">Sens!I10744*(1+Sens!J10745)</f>
        <v>44.653811225693</v>
      </c>
      <c r="K10744" s="6" t="n">
        <f aca="false">Sens!J10744*(1+Sens!K10745)</f>
        <v>45.5468874502068</v>
      </c>
    </row>
    <row r="10745" customFormat="false" ht="15" hidden="false" customHeight="false" outlineLevel="0" collapsed="false">
      <c r="A10745" s="1" t="s">
        <v>876</v>
      </c>
      <c r="B10745" s="0" t="s">
        <v>129</v>
      </c>
      <c r="E10745" s="7" t="n">
        <f aca="false">Sens!E10744/Sens!D10744-1</f>
        <v>0.0535164307309768</v>
      </c>
      <c r="F10745" s="7" t="n">
        <f aca="false">Sens!$E$10745+(glt_lic-Sens!$E$10745)*MIN(1,(Sens!F10697-base_fy)/n_conv)</f>
        <v>0.0479303589424807</v>
      </c>
      <c r="G10745" s="7" t="n">
        <f aca="false">Sens!$E$10745+(glt_lic-Sens!$E$10745)*MIN(1,(Sens!G10697-base_fy)/n_conv)</f>
        <v>0.0423442871539845</v>
      </c>
      <c r="H10745" s="7" t="n">
        <f aca="false">Sens!$E$10745+(glt_lic-Sens!$E$10745)*MIN(1,(Sens!H10697-base_fy)/n_conv)</f>
        <v>0.0367582153654884</v>
      </c>
      <c r="I10745" s="7" t="n">
        <f aca="false">Sens!$E$10745+(glt_lic-Sens!$E$10745)*MIN(1,(Sens!I10697-base_fy)/n_conv)</f>
        <v>0.0311721435769923</v>
      </c>
      <c r="J10745" s="7" t="n">
        <f aca="false">Sens!$E$10745+(glt_lic-Sens!$E$10745)*MIN(1,(Sens!J10697-base_fy)/n_conv)</f>
        <v>0.0255860717884961</v>
      </c>
      <c r="K10745" s="7" t="n">
        <f aca="false">Sens!$E$10745+(glt_lic-Sens!$E$10745)*MIN(1,(Sens!K10697-base_fy)/n_conv)</f>
        <v>0.02</v>
      </c>
    </row>
    <row r="10746" customFormat="false" ht="15" hidden="false" customHeight="false" outlineLevel="0" collapsed="false">
      <c r="A10746" s="0" t="s">
        <v>885</v>
      </c>
      <c r="B10746" s="0" t="s">
        <v>98</v>
      </c>
      <c r="D10746" s="6" t="n">
        <f aca="false">Q!L9</f>
        <v>18.417</v>
      </c>
      <c r="E10746" s="6" t="n">
        <f aca="false">Q!M9</f>
        <v>20.345</v>
      </c>
      <c r="F10746" s="6" t="n">
        <f aca="false">Sens!E10746*(1+Sens!F10747)</f>
        <v>22.3572203267814</v>
      </c>
      <c r="G10746" s="6" t="n">
        <f aca="false">Sens!F10746*(1+Sens!G10747)</f>
        <v>24.4392124437232</v>
      </c>
      <c r="H10746" s="6" t="n">
        <f aca="false">Sens!G10746*(1+Sens!H10747)</f>
        <v>26.5738052080665</v>
      </c>
      <c r="I10746" s="6" t="n">
        <f aca="false">Sens!H10746*(1+Sens!I10747)</f>
        <v>28.7412169166967</v>
      </c>
      <c r="J10746" s="6" t="n">
        <f aca="false">Sens!I10746*(1+Sens!J10747)</f>
        <v>30.9192545395413</v>
      </c>
      <c r="K10746" s="6" t="n">
        <f aca="false">Sens!J10746*(1+Sens!K10747)</f>
        <v>33.0836023573092</v>
      </c>
    </row>
    <row r="10747" customFormat="false" ht="15" hidden="false" customHeight="false" outlineLevel="0" collapsed="false">
      <c r="A10747" s="1" t="s">
        <v>876</v>
      </c>
      <c r="B10747" s="0" t="s">
        <v>129</v>
      </c>
      <c r="E10747" s="7" t="n">
        <f aca="false">Sens!E10746/Sens!D10746-1</f>
        <v>0.104685888038225</v>
      </c>
      <c r="F10747" s="7" t="n">
        <f aca="false">Sens!$E$10747+(glt_ind-Sens!$E$10747)*MIN(1,(Sens!F10697-base_fy)/n_conv)</f>
        <v>0.0989049066985211</v>
      </c>
      <c r="G10747" s="7" t="n">
        <f aca="false">Sens!$E$10747+(glt_ind-Sens!$E$10747)*MIN(1,(Sens!G10697-base_fy)/n_conv)</f>
        <v>0.0931239253588169</v>
      </c>
      <c r="H10747" s="7" t="n">
        <f aca="false">Sens!$E$10747+(glt_ind-Sens!$E$10747)*MIN(1,(Sens!H10697-base_fy)/n_conv)</f>
        <v>0.0873429440191127</v>
      </c>
      <c r="I10747" s="7" t="n">
        <f aca="false">Sens!$E$10747+(glt_ind-Sens!$E$10747)*MIN(1,(Sens!I10697-base_fy)/n_conv)</f>
        <v>0.0815619626794085</v>
      </c>
      <c r="J10747" s="7" t="n">
        <f aca="false">Sens!$E$10747+(glt_ind-Sens!$E$10747)*MIN(1,(Sens!J10697-base_fy)/n_conv)</f>
        <v>0.0757809813397042</v>
      </c>
      <c r="K10747" s="7" t="n">
        <f aca="false">Sens!$E$10747+(glt_ind-Sens!$E$10747)*MIN(1,(Sens!K10697-base_fy)/n_conv)</f>
        <v>0.07</v>
      </c>
    </row>
    <row r="10748" customFormat="false" ht="15" hidden="false" customHeight="false" outlineLevel="0" collapsed="false">
      <c r="A10748" s="0" t="s">
        <v>886</v>
      </c>
      <c r="B10748" s="0" t="s">
        <v>98</v>
      </c>
      <c r="D10748" s="6" t="n">
        <f aca="false">Q!L10</f>
        <v>7.76</v>
      </c>
      <c r="E10748" s="6" t="n">
        <f aca="false">Q!M10</f>
        <v>8.26</v>
      </c>
      <c r="F10748" s="6" t="n">
        <f aca="false">Sens!E10748*(1+Sens!F10749)</f>
        <v>8.79988041237113</v>
      </c>
      <c r="G10748" s="6" t="n">
        <f aca="false">Sens!F10748*(1+Sens!G10749)</f>
        <v>9.38321269125306</v>
      </c>
      <c r="H10748" s="6" t="n">
        <f aca="false">Sens!G10748*(1+Sens!H10749)</f>
        <v>10.0139193587476</v>
      </c>
      <c r="I10748" s="6" t="n">
        <f aca="false">Sens!H10748*(1+Sens!I10749)</f>
        <v>10.6963111830911</v>
      </c>
      <c r="J10748" s="6" t="n">
        <f aca="false">Sens!I10748*(1+Sens!J10749)</f>
        <v>11.4351285534696</v>
      </c>
      <c r="K10748" s="6" t="n">
        <f aca="false">Sens!J10748*(1+Sens!K10749)</f>
        <v>12.2355875522124</v>
      </c>
    </row>
    <row r="10749" customFormat="false" ht="15" hidden="false" customHeight="false" outlineLevel="0" collapsed="false">
      <c r="A10749" s="1" t="s">
        <v>876</v>
      </c>
      <c r="B10749" s="0" t="s">
        <v>129</v>
      </c>
      <c r="E10749" s="7" t="n">
        <f aca="false">Sens!E10748/Sens!D10748-1</f>
        <v>0.0644329896907216</v>
      </c>
      <c r="F10749" s="7" t="n">
        <f aca="false">Sens!$E$10749+(glt_fro-Sens!$E$10749)*MIN(1,(Sens!F10697-base_fy)/n_conv)</f>
        <v>0.065360824742268</v>
      </c>
      <c r="G10749" s="7" t="n">
        <f aca="false">Sens!$E$10749+(glt_fro-Sens!$E$10749)*MIN(1,(Sens!G10697-base_fy)/n_conv)</f>
        <v>0.0662886597938144</v>
      </c>
      <c r="H10749" s="7" t="n">
        <f aca="false">Sens!$E$10749+(glt_fro-Sens!$E$10749)*MIN(1,(Sens!H10697-base_fy)/n_conv)</f>
        <v>0.0672164948453608</v>
      </c>
      <c r="I10749" s="7" t="n">
        <f aca="false">Sens!$E$10749+(glt_fro-Sens!$E$10749)*MIN(1,(Sens!I10697-base_fy)/n_conv)</f>
        <v>0.0681443298969072</v>
      </c>
      <c r="J10749" s="7" t="n">
        <f aca="false">Sens!$E$10749+(glt_fro-Sens!$E$10749)*MIN(1,(Sens!J10697-base_fy)/n_conv)</f>
        <v>0.0690721649484536</v>
      </c>
      <c r="K10749" s="7" t="n">
        <f aca="false">Sens!$E$10749+(glt_fro-Sens!$E$10749)*MIN(1,(Sens!K10697-base_fy)/n_conv)</f>
        <v>0.07</v>
      </c>
    </row>
    <row r="10750" customFormat="false" ht="15" hidden="false" customHeight="false" outlineLevel="0" collapsed="false">
      <c r="A10750" s="0" t="s">
        <v>715</v>
      </c>
      <c r="B10750" s="0" t="s">
        <v>98</v>
      </c>
      <c r="D10750" s="6" t="n">
        <f aca="false">Sens!D10738+Sens!D10743+Sens!D10744+Sens!D10746+Sens!D10748</f>
        <v>218.783</v>
      </c>
      <c r="E10750" s="6" t="n">
        <f aca="false">Sens!E10738+Sens!E10743+Sens!E10744+Sens!E10746+Sens!E10748</f>
        <v>268.127</v>
      </c>
      <c r="F10750" s="6" t="n">
        <f aca="false">Sens!F10738+Sens!F10743+Sens!F10744+Sens!F10746+Sens!F10748</f>
        <v>334.265528251508</v>
      </c>
      <c r="G10750" s="6" t="n">
        <f aca="false">Sens!G10738+Sens!G10743+Sens!G10744+Sens!G10746+Sens!G10748</f>
        <v>408.072123059793</v>
      </c>
      <c r="H10750" s="6" t="n">
        <f aca="false">Sens!H10738+Sens!H10743+Sens!H10744+Sens!H10746+Sens!H10748</f>
        <v>483.196296004025</v>
      </c>
      <c r="I10750" s="6" t="n">
        <f aca="false">Sens!I10738+Sens!I10743+Sens!I10744+Sens!I10746+Sens!I10748</f>
        <v>551.903517626826</v>
      </c>
      <c r="J10750" s="6" t="n">
        <f aca="false">Sens!J10738+Sens!J10743+Sens!J10744+Sens!J10746+Sens!J10748</f>
        <v>607.719049711612</v>
      </c>
      <c r="K10750" s="6" t="n">
        <f aca="false">Sens!K10738+Sens!K10743+Sens!K10744+Sens!K10746+Sens!K10748</f>
        <v>652.377736249452</v>
      </c>
    </row>
    <row r="10751" customFormat="false" ht="15" hidden="false" customHeight="false" outlineLevel="0" collapsed="false">
      <c r="A10751" s="0" t="s">
        <v>887</v>
      </c>
      <c r="B10751" s="0" t="s">
        <v>98</v>
      </c>
      <c r="D10751" s="6" t="n">
        <f aca="false">Q!L13</f>
        <v>22.171</v>
      </c>
      <c r="E10751" s="6" t="n">
        <f aca="false">Q!M13</f>
        <v>24.835</v>
      </c>
      <c r="F10751" s="6" t="n">
        <f aca="false">Sens!E10751*(1+Sens!F10752)</f>
        <v>27.6114901218559</v>
      </c>
      <c r="G10751" s="6" t="n">
        <f aca="false">Sens!F10751*(1+Sens!G10752)</f>
        <v>30.4675667338515</v>
      </c>
      <c r="H10751" s="6" t="n">
        <f aca="false">Sens!G10751*(1+Sens!H10752)</f>
        <v>33.3643766955789</v>
      </c>
      <c r="I10751" s="6" t="n">
        <f aca="false">Sens!H10751*(1+Sens!I10752)</f>
        <v>36.2577016533691</v>
      </c>
      <c r="J10751" s="6" t="n">
        <f aca="false">Sens!I10751*(1+Sens!J10752)</f>
        <v>39.0988367952171</v>
      </c>
      <c r="K10751" s="6" t="n">
        <f aca="false">Sens!J10751*(1+Sens!K10752)</f>
        <v>41.8357553708823</v>
      </c>
    </row>
    <row r="10752" customFormat="false" ht="15" hidden="false" customHeight="false" outlineLevel="0" collapsed="false">
      <c r="A10752" s="1" t="s">
        <v>876</v>
      </c>
      <c r="B10752" s="0" t="s">
        <v>129</v>
      </c>
      <c r="E10752" s="7" t="n">
        <f aca="false">Sens!E10751/Sens!D10751-1</f>
        <v>0.120156961796942</v>
      </c>
      <c r="F10752" s="7" t="n">
        <f aca="false">Sens!$E$10752+(glt_srch-Sens!$E$10752)*MIN(1,(Sens!F10697-base_fy)/n_conv)</f>
        <v>0.111797468164118</v>
      </c>
      <c r="G10752" s="7" t="n">
        <f aca="false">Sens!$E$10752+(glt_srch-Sens!$E$10752)*MIN(1,(Sens!G10697-base_fy)/n_conv)</f>
        <v>0.103437974531295</v>
      </c>
      <c r="H10752" s="7" t="n">
        <f aca="false">Sens!$E$10752+(glt_srch-Sens!$E$10752)*MIN(1,(Sens!H10697-base_fy)/n_conv)</f>
        <v>0.095078480898471</v>
      </c>
      <c r="I10752" s="7" t="n">
        <f aca="false">Sens!$E$10752+(glt_srch-Sens!$E$10752)*MIN(1,(Sens!I10697-base_fy)/n_conv)</f>
        <v>0.0867189872656474</v>
      </c>
      <c r="J10752" s="7" t="n">
        <f aca="false">Sens!$E$10752+(glt_srch-Sens!$E$10752)*MIN(1,(Sens!J10697-base_fy)/n_conv)</f>
        <v>0.0783594936328237</v>
      </c>
      <c r="K10752" s="7" t="n">
        <f aca="false">Sens!$E$10752+(glt_srch-Sens!$E$10752)*MIN(1,(Sens!K10697-base_fy)/n_conv)</f>
        <v>0.07</v>
      </c>
    </row>
    <row r="10753" customFormat="false" ht="15" hidden="false" customHeight="false" outlineLevel="0" collapsed="false">
      <c r="A10753" s="0" t="s">
        <v>888</v>
      </c>
      <c r="B10753" s="0" t="s">
        <v>98</v>
      </c>
      <c r="D10753" s="6" t="n">
        <f aca="false">Q!L14</f>
        <v>23.455</v>
      </c>
      <c r="E10753" s="6" t="n">
        <f aca="false">Q!M14</f>
        <v>21.79</v>
      </c>
      <c r="F10753" s="6" t="n">
        <f aca="false">Sens!E10753*(1+Sens!F10754)</f>
        <v>20.6825777908051</v>
      </c>
      <c r="G10753" s="6" t="n">
        <f aca="false">Sens!F10753*(1+Sens!G10754)</f>
        <v>20.0484913708632</v>
      </c>
      <c r="H10753" s="6" t="n">
        <f aca="false">Sens!G10753*(1+Sens!H10754)</f>
        <v>19.8381125629905</v>
      </c>
      <c r="I10753" s="6" t="n">
        <f aca="false">Sens!H10753*(1+Sens!I10754)</f>
        <v>20.0299669735513</v>
      </c>
      <c r="J10753" s="6" t="n">
        <f aca="false">Sens!I10753*(1+Sens!J10754)</f>
        <v>20.6275710652887</v>
      </c>
      <c r="K10753" s="6" t="n">
        <f aca="false">Sens!J10753*(1+Sens!K10754)</f>
        <v>21.6589496185531</v>
      </c>
    </row>
    <row r="10754" customFormat="false" ht="15" hidden="false" customHeight="false" outlineLevel="0" collapsed="false">
      <c r="A10754" s="1" t="s">
        <v>876</v>
      </c>
      <c r="B10754" s="0" t="s">
        <v>129</v>
      </c>
      <c r="E10754" s="7" t="n">
        <f aca="false">Sens!E10753/Sens!D10753-1</f>
        <v>-0.0709869963760392</v>
      </c>
      <c r="F10754" s="7" t="n">
        <f aca="false">Sens!$E$10754+(glt_xbox_hi-Sens!$E$10754)*MIN(1,(Sens!F10697-base_fy)/n_conv)</f>
        <v>-0.0508224969800327</v>
      </c>
      <c r="G10754" s="7" t="n">
        <f aca="false">Sens!$E$10754+(glt_xbox_hi-Sens!$E$10754)*MIN(1,(Sens!G10697-base_fy)/n_conv)</f>
        <v>-0.0306579975840262</v>
      </c>
      <c r="H10754" s="7" t="n">
        <f aca="false">Sens!$E$10754+(glt_xbox_hi-Sens!$E$10754)*MIN(1,(Sens!H10697-base_fy)/n_conv)</f>
        <v>-0.0104934981880196</v>
      </c>
      <c r="I10754" s="7" t="n">
        <f aca="false">Sens!$E$10754+(glt_xbox_hi-Sens!$E$10754)*MIN(1,(Sens!I10697-base_fy)/n_conv)</f>
        <v>0.00967100120798692</v>
      </c>
      <c r="J10754" s="7" t="n">
        <f aca="false">Sens!$E$10754+(glt_xbox_hi-Sens!$E$10754)*MIN(1,(Sens!J10697-base_fy)/n_conv)</f>
        <v>0.0298355006039935</v>
      </c>
      <c r="K10754" s="7" t="n">
        <f aca="false">Sens!$E$10754+(glt_xbox_hi-Sens!$E$10754)*MIN(1,(Sens!K10697-base_fy)/n_conv)</f>
        <v>0.05</v>
      </c>
    </row>
    <row r="10755" customFormat="false" ht="15" hidden="false" customHeight="false" outlineLevel="0" collapsed="false">
      <c r="A10755" s="0" t="s">
        <v>889</v>
      </c>
      <c r="B10755" s="0" t="s">
        <v>98</v>
      </c>
      <c r="D10755" s="6" t="n">
        <f aca="false">Q!L15</f>
        <v>17.315</v>
      </c>
      <c r="E10755" s="6" t="n">
        <f aca="false">Q!M15</f>
        <v>17.087</v>
      </c>
      <c r="F10755" s="6" t="n">
        <f aca="false">Sens!E10755*(1+Sens!F10756)</f>
        <v>16.9564585436519</v>
      </c>
      <c r="G10755" s="6" t="n">
        <f aca="false">Sens!F10755*(1+Sens!G10756)</f>
        <v>16.9206490624268</v>
      </c>
      <c r="H10755" s="6" t="n">
        <f aca="false">Sens!G10755*(1+Sens!H10756)</f>
        <v>16.9784519149849</v>
      </c>
      <c r="I10755" s="6" t="n">
        <f aca="false">Sens!H10755*(1+Sens!I10756)</f>
        <v>17.1303084701817</v>
      </c>
      <c r="J10755" s="6" t="n">
        <f aca="false">Sens!I10755*(1+Sens!J10756)</f>
        <v>17.3782189407267</v>
      </c>
      <c r="K10755" s="6" t="n">
        <f aca="false">Sens!J10755*(1+Sens!K10756)</f>
        <v>17.7257833195413</v>
      </c>
    </row>
    <row r="10756" customFormat="false" ht="15" hidden="false" customHeight="false" outlineLevel="0" collapsed="false">
      <c r="A10756" s="1" t="s">
        <v>876</v>
      </c>
      <c r="B10756" s="0" t="s">
        <v>129</v>
      </c>
      <c r="E10756" s="7" t="n">
        <f aca="false">Sens!E10755/Sens!D10755-1</f>
        <v>-0.0131677736066995</v>
      </c>
      <c r="F10756" s="7" t="n">
        <f aca="false">Sens!$E$10756+(glt_win-Sens!$E$10756)*MIN(1,(Sens!F10697-base_fy)/n_conv)</f>
        <v>-0.00763981133891627</v>
      </c>
      <c r="G10756" s="7" t="n">
        <f aca="false">Sens!$E$10756+(glt_win-Sens!$E$10756)*MIN(1,(Sens!G10697-base_fy)/n_conv)</f>
        <v>-0.00211184907113301</v>
      </c>
      <c r="H10756" s="7" t="n">
        <f aca="false">Sens!$E$10756+(glt_win-Sens!$E$10756)*MIN(1,(Sens!H10697-base_fy)/n_conv)</f>
        <v>0.00341611319665024</v>
      </c>
      <c r="I10756" s="7" t="n">
        <f aca="false">Sens!$E$10756+(glt_win-Sens!$E$10756)*MIN(1,(Sens!I10697-base_fy)/n_conv)</f>
        <v>0.00894407546443349</v>
      </c>
      <c r="J10756" s="7" t="n">
        <f aca="false">Sens!$E$10756+(glt_win-Sens!$E$10756)*MIN(1,(Sens!J10697-base_fy)/n_conv)</f>
        <v>0.0144720377322168</v>
      </c>
      <c r="K10756" s="7" t="n">
        <f aca="false">Sens!$E$10756+(glt_win-Sens!$E$10756)*MIN(1,(Sens!K10697-base_fy)/n_conv)</f>
        <v>0.02</v>
      </c>
    </row>
    <row r="10757" customFormat="false" ht="15" hidden="false" customHeight="false" outlineLevel="0" collapsed="false">
      <c r="A10757" s="0" t="s">
        <v>729</v>
      </c>
      <c r="B10757" s="0" t="s">
        <v>98</v>
      </c>
      <c r="D10757" s="6" t="n">
        <f aca="false">Sens!D10751+Sens!D10753+Sens!D10755</f>
        <v>62.941</v>
      </c>
      <c r="E10757" s="6" t="n">
        <f aca="false">Sens!E10751+Sens!E10753+Sens!E10755</f>
        <v>63.712</v>
      </c>
      <c r="F10757" s="6" t="n">
        <f aca="false">Sens!F10751+Sens!F10753+Sens!F10755</f>
        <v>65.2505264563129</v>
      </c>
      <c r="G10757" s="6" t="n">
        <f aca="false">Sens!G10751+Sens!G10753+Sens!G10755</f>
        <v>67.4367071671415</v>
      </c>
      <c r="H10757" s="6" t="n">
        <f aca="false">Sens!H10751+Sens!H10753+Sens!H10755</f>
        <v>70.1809411735542</v>
      </c>
      <c r="I10757" s="6" t="n">
        <f aca="false">Sens!I10751+Sens!I10753+Sens!I10755</f>
        <v>73.4179770971021</v>
      </c>
      <c r="J10757" s="6" t="n">
        <f aca="false">Sens!J10751+Sens!J10753+Sens!J10755</f>
        <v>77.1046268012325</v>
      </c>
      <c r="K10757" s="6" t="n">
        <f aca="false">Sens!K10751+Sens!K10753+Sens!K10755</f>
        <v>81.2204883089766</v>
      </c>
    </row>
    <row r="10758" customFormat="false" ht="15" hidden="false" customHeight="false" outlineLevel="0" collapsed="false">
      <c r="A10758" s="1" t="s">
        <v>890</v>
      </c>
      <c r="B10758" s="0" t="s">
        <v>98</v>
      </c>
      <c r="D10758" s="6" t="n">
        <f aca="false">Sens!D10750+Sens!D10757</f>
        <v>281.724</v>
      </c>
      <c r="E10758" s="6" t="n">
        <f aca="false">Sens!E10750+Sens!E10757</f>
        <v>331.839</v>
      </c>
      <c r="F10758" s="6" t="n">
        <f aca="false">Sens!F10750+Sens!F10757</f>
        <v>399.516054707821</v>
      </c>
      <c r="G10758" s="6" t="n">
        <f aca="false">Sens!G10750+Sens!G10757</f>
        <v>475.508830226934</v>
      </c>
      <c r="H10758" s="6" t="n">
        <f aca="false">Sens!H10750+Sens!H10757</f>
        <v>553.377237177579</v>
      </c>
      <c r="I10758" s="6" t="n">
        <f aca="false">Sens!I10750+Sens!I10757</f>
        <v>625.321494723928</v>
      </c>
      <c r="J10758" s="6" t="n">
        <f aca="false">Sens!J10750+Sens!J10757</f>
        <v>684.823676512845</v>
      </c>
      <c r="K10758" s="6" t="n">
        <f aca="false">Sens!K10750+Sens!K10757</f>
        <v>733.598224558429</v>
      </c>
    </row>
    <row r="10759" customFormat="false" ht="15" hidden="false" customHeight="false" outlineLevel="0" collapsed="false">
      <c r="A10759" s="23" t="s">
        <v>891</v>
      </c>
      <c r="B10759" s="30" t="s">
        <v>98</v>
      </c>
      <c r="C10759" s="30"/>
      <c r="D10759" s="24" t="n">
        <f aca="false">(Sens!D10738+Sens!D10743+Sens!D10744+Sens!D10746+Sens!D10748-Sens!D10750)+(Sens!D10751+Sens!D10753+Sens!D10755-Sens!D10757)+(Sens!D10750-Q!L5)+(Sens!D10757-Q!L12)+(Sens!D10738-Q!L6)+(Sens!D10743-Q!L7)</f>
        <v>0</v>
      </c>
      <c r="E10759" s="24" t="n">
        <f aca="false">(Sens!E10738+Sens!E10743+Sens!E10744+Sens!E10746+Sens!E10748-Sens!E10750)+(Sens!E10751+Sens!E10753+Sens!E10755-Sens!E10757)+(Sens!E10750-Q!M5)+(Sens!E10757-Q!M12)+(Sens!E10738-Q!M6)+(Sens!E10743-Q!M7)</f>
        <v>0</v>
      </c>
      <c r="F10759" s="24" t="n">
        <f aca="false">(Sens!F10738+Sens!F10743+Sens!F10744+Sens!F10746+Sens!F10748-Sens!F10750)+(Sens!F10751+Sens!F10753+Sens!F10755-Sens!F10757)</f>
        <v>0</v>
      </c>
      <c r="G10759" s="24" t="n">
        <f aca="false">(Sens!G10738+Sens!G10743+Sens!G10744+Sens!G10746+Sens!G10748-Sens!G10750)+(Sens!G10751+Sens!G10753+Sens!G10755-Sens!G10757)</f>
        <v>0</v>
      </c>
      <c r="H10759" s="24" t="n">
        <f aca="false">(Sens!H10738+Sens!H10743+Sens!H10744+Sens!H10746+Sens!H10748-Sens!H10750)+(Sens!H10751+Sens!H10753+Sens!H10755-Sens!H10757)</f>
        <v>0</v>
      </c>
      <c r="I10759" s="24" t="n">
        <f aca="false">(Sens!I10738+Sens!I10743+Sens!I10744+Sens!I10746+Sens!I10748-Sens!I10750)+(Sens!I10751+Sens!I10753+Sens!I10755-Sens!I10757)</f>
        <v>0</v>
      </c>
      <c r="J10759" s="24" t="n">
        <f aca="false">(Sens!J10738+Sens!J10743+Sens!J10744+Sens!J10746+Sens!J10748-Sens!J10750)+(Sens!J10751+Sens!J10753+Sens!J10755-Sens!J10757)</f>
        <v>0</v>
      </c>
      <c r="K10759" s="24" t="n">
        <f aca="false">(Sens!K10738+Sens!K10743+Sens!K10744+Sens!K10746+Sens!K10748-Sens!K10750)+(Sens!K10751+Sens!K10753+Sens!K10755-Sens!K10757)</f>
        <v>0</v>
      </c>
    </row>
    <row r="10760" customFormat="false" ht="17.15" hidden="false" customHeight="false" outlineLevel="0" collapsed="false">
      <c r="A10760" s="3" t="s">
        <v>1539</v>
      </c>
    </row>
    <row r="10761" customFormat="false" ht="15" hidden="false" customHeight="false" outlineLevel="0" collapsed="false">
      <c r="A10761" s="4" t="s">
        <v>43</v>
      </c>
      <c r="B10761" s="4" t="s">
        <v>65</v>
      </c>
      <c r="C10761" s="20" t="s">
        <v>799</v>
      </c>
      <c r="D10761" s="20" t="s">
        <v>800</v>
      </c>
      <c r="E10761" s="20" t="s">
        <v>801</v>
      </c>
      <c r="F10761" s="20" t="s">
        <v>802</v>
      </c>
      <c r="G10761" s="20" t="s">
        <v>803</v>
      </c>
      <c r="H10761" s="20" t="s">
        <v>804</v>
      </c>
      <c r="I10761" s="20" t="s">
        <v>805</v>
      </c>
      <c r="J10761" s="20" t="s">
        <v>806</v>
      </c>
      <c r="K10761" s="20" t="s">
        <v>807</v>
      </c>
      <c r="L10761" s="4" t="s">
        <v>47</v>
      </c>
    </row>
    <row r="10762" customFormat="false" ht="15" hidden="false" customHeight="false" outlineLevel="0" collapsed="false">
      <c r="A10762" s="0" t="s">
        <v>877</v>
      </c>
      <c r="B10762" s="0" t="s">
        <v>98</v>
      </c>
      <c r="D10762" s="6" t="n">
        <f aca="false">Sens!D10738</f>
        <v>72.61</v>
      </c>
      <c r="E10762" s="6" t="n">
        <f aca="false">Sens!E10738</f>
        <v>101.938</v>
      </c>
      <c r="F10762" s="6" t="n">
        <f aca="false">Sens!F10738</f>
        <v>145.143956312325</v>
      </c>
      <c r="G10762" s="6" t="n">
        <f aca="false">Sens!G10738</f>
        <v>196.478966522364</v>
      </c>
      <c r="H10762" s="6" t="n">
        <f aca="false">Sens!H10738</f>
        <v>249.10761332251</v>
      </c>
      <c r="I10762" s="6" t="n">
        <f aca="false">Sens!I10738</f>
        <v>297.09216264734</v>
      </c>
      <c r="J10762" s="6" t="n">
        <f aca="false">Sens!J10738</f>
        <v>334.278152607443</v>
      </c>
      <c r="K10762" s="6" t="n">
        <f aca="false">Sens!K10738</f>
        <v>361.233666909276</v>
      </c>
    </row>
    <row r="10763" customFormat="false" ht="17.15" hidden="false" customHeight="false" outlineLevel="0" collapsed="false">
      <c r="A10763" s="0" t="s">
        <v>874</v>
      </c>
      <c r="B10763" s="0" t="s">
        <v>98</v>
      </c>
      <c r="D10763" s="6" t="n">
        <f aca="false">Sens!D10735</f>
        <v>12.9359794422418</v>
      </c>
      <c r="E10763" s="6" t="n">
        <f aca="false">Sens!E10735</f>
        <v>27.8095064661409</v>
      </c>
      <c r="F10763" s="6" t="n">
        <f aca="false">Sens!F10735</f>
        <v>55.0640065749585</v>
      </c>
      <c r="G10763" s="6" t="n">
        <f aca="false">Sens!G10735</f>
        <v>89.4505413190538</v>
      </c>
      <c r="H10763" s="6" t="n">
        <f aca="false">Sens!H10735</f>
        <v>124.835630736874</v>
      </c>
      <c r="I10763" s="6" t="n">
        <f aca="false">Sens!I10735</f>
        <v>156.158460265485</v>
      </c>
      <c r="J10763" s="6" t="n">
        <f aca="false">Sens!J10735</f>
        <v>178.259285293112</v>
      </c>
      <c r="K10763" s="6" t="n">
        <f aca="false">Sens!K10735</f>
        <v>192.733290209798</v>
      </c>
    </row>
    <row r="10764" customFormat="false" ht="17.15" hidden="false" customHeight="false" outlineLevel="0" collapsed="false">
      <c r="A10764" s="0" t="s">
        <v>902</v>
      </c>
      <c r="B10764" s="0" t="s">
        <v>98</v>
      </c>
      <c r="D10764" s="6" t="n">
        <f aca="false">Sens!D10736</f>
        <v>59.6740205577583</v>
      </c>
      <c r="E10764" s="6" t="n">
        <f aca="false">Sens!E10736</f>
        <v>74.1284935338591</v>
      </c>
      <c r="F10764" s="6" t="n">
        <f aca="false">Sens!F10736</f>
        <v>90.0799497373663</v>
      </c>
      <c r="G10764" s="6" t="n">
        <f aca="false">Sens!G10736</f>
        <v>107.02842520331</v>
      </c>
      <c r="H10764" s="6" t="n">
        <f aca="false">Sens!H10736</f>
        <v>124.271982585636</v>
      </c>
      <c r="I10764" s="6" t="n">
        <f aca="false">Sens!I10736</f>
        <v>140.933702381855</v>
      </c>
      <c r="J10764" s="6" t="n">
        <f aca="false">Sens!J10736</f>
        <v>156.018867314332</v>
      </c>
      <c r="K10764" s="6" t="n">
        <f aca="false">Sens!K10736</f>
        <v>168.500376699478</v>
      </c>
    </row>
    <row r="10765" customFormat="false" ht="15" hidden="false" customHeight="false" outlineLevel="0" collapsed="false">
      <c r="A10765" s="0" t="s">
        <v>883</v>
      </c>
      <c r="B10765" s="0" t="s">
        <v>98</v>
      </c>
      <c r="D10765" s="6" t="n">
        <f aca="false">Sens!D10743</f>
        <v>84.605</v>
      </c>
      <c r="E10765" s="6" t="n">
        <f aca="false">Sens!E10743</f>
        <v>100.299</v>
      </c>
      <c r="F10765" s="6" t="n">
        <f aca="false">Sens!F10743</f>
        <v>118.89238776686</v>
      </c>
      <c r="G10765" s="6" t="n">
        <f aca="false">Sens!G10743</f>
        <v>137.044168448684</v>
      </c>
      <c r="H10765" s="6" t="n">
        <f aca="false">Sens!H10743</f>
        <v>155.277359388781</v>
      </c>
      <c r="I10765" s="6" t="n">
        <f aca="false">Sens!I10743</f>
        <v>171.834028071957</v>
      </c>
      <c r="J10765" s="6" t="n">
        <f aca="false">Sens!J10743</f>
        <v>186.432702785465</v>
      </c>
      <c r="K10765" s="6" t="n">
        <f aca="false">Sens!K10743</f>
        <v>200.277991980448</v>
      </c>
    </row>
    <row r="10766" customFormat="false" ht="17.15" hidden="false" customHeight="false" outlineLevel="0" collapsed="false">
      <c r="A10766" s="0" t="s">
        <v>903</v>
      </c>
      <c r="B10766" s="0" t="s">
        <v>98</v>
      </c>
      <c r="D10766" s="6" t="n">
        <f aca="false">Sens!D10741</f>
        <v>83.705</v>
      </c>
      <c r="E10766" s="6" t="n">
        <f aca="false">Sens!E10741</f>
        <v>95.049</v>
      </c>
      <c r="F10766" s="6" t="n">
        <f aca="false">Sens!F10741</f>
        <v>106.89238776686</v>
      </c>
      <c r="G10766" s="6" t="n">
        <f aca="false">Sens!G10741</f>
        <v>119.044168448684</v>
      </c>
      <c r="H10766" s="6" t="n">
        <f aca="false">Sens!H10741</f>
        <v>131.277359388781</v>
      </c>
      <c r="I10766" s="6" t="n">
        <f aca="false">Sens!I10741</f>
        <v>143.334028071957</v>
      </c>
      <c r="J10766" s="6" t="n">
        <f aca="false">Sens!J10741</f>
        <v>154.932702785465</v>
      </c>
      <c r="K10766" s="6" t="n">
        <f aca="false">Sens!K10741</f>
        <v>165.777991980448</v>
      </c>
    </row>
    <row r="10767" customFormat="false" ht="17.15" hidden="false" customHeight="false" outlineLevel="0" collapsed="false">
      <c r="A10767" s="0" t="s">
        <v>904</v>
      </c>
      <c r="B10767" s="0" t="s">
        <v>98</v>
      </c>
      <c r="D10767" s="6" t="n">
        <f aca="false">Sens!D10740</f>
        <v>0.9</v>
      </c>
      <c r="E10767" s="6" t="n">
        <f aca="false">Sens!E10740</f>
        <v>5.25</v>
      </c>
      <c r="F10767" s="6" t="n">
        <f aca="false">Sens!F10740</f>
        <v>12</v>
      </c>
      <c r="G10767" s="6" t="n">
        <f aca="false">Sens!G10740</f>
        <v>18</v>
      </c>
      <c r="H10767" s="6" t="n">
        <f aca="false">Sens!H10740</f>
        <v>24</v>
      </c>
      <c r="I10767" s="6" t="n">
        <f aca="false">Sens!I10740</f>
        <v>28.5</v>
      </c>
      <c r="J10767" s="6" t="n">
        <f aca="false">Sens!J10740</f>
        <v>31.5</v>
      </c>
      <c r="K10767" s="6" t="n">
        <f aca="false">Sens!K10740</f>
        <v>34.5</v>
      </c>
    </row>
    <row r="10768" customFormat="false" ht="15" hidden="false" customHeight="false" outlineLevel="0" collapsed="false">
      <c r="A10768" s="0" t="s">
        <v>884</v>
      </c>
      <c r="B10768" s="0" t="s">
        <v>98</v>
      </c>
      <c r="D10768" s="6" t="n">
        <f aca="false">Sens!D10744</f>
        <v>35.391</v>
      </c>
      <c r="E10768" s="6" t="n">
        <f aca="false">Sens!E10744</f>
        <v>37.285</v>
      </c>
      <c r="F10768" s="6" t="n">
        <f aca="false">Sens!F10744</f>
        <v>39.0720834331704</v>
      </c>
      <c r="G10768" s="6" t="n">
        <f aca="false">Sens!G10744</f>
        <v>40.726562953769</v>
      </c>
      <c r="H10768" s="6" t="n">
        <f aca="false">Sens!H10744</f>
        <v>42.2235987259198</v>
      </c>
      <c r="I10768" s="6" t="n">
        <f aca="false">Sens!I10744</f>
        <v>43.5397988077414</v>
      </c>
      <c r="J10768" s="6" t="n">
        <f aca="false">Sens!J10744</f>
        <v>44.653811225693</v>
      </c>
      <c r="K10768" s="6" t="n">
        <f aca="false">Sens!K10744</f>
        <v>45.5468874502068</v>
      </c>
    </row>
    <row r="10769" customFormat="false" ht="15" hidden="false" customHeight="false" outlineLevel="0" collapsed="false">
      <c r="A10769" s="0" t="s">
        <v>885</v>
      </c>
      <c r="B10769" s="0" t="s">
        <v>98</v>
      </c>
      <c r="D10769" s="6" t="n">
        <f aca="false">Sens!D10746</f>
        <v>18.417</v>
      </c>
      <c r="E10769" s="6" t="n">
        <f aca="false">Sens!E10746</f>
        <v>20.345</v>
      </c>
      <c r="F10769" s="6" t="n">
        <f aca="false">Sens!F10746</f>
        <v>22.3572203267814</v>
      </c>
      <c r="G10769" s="6" t="n">
        <f aca="false">Sens!G10746</f>
        <v>24.4392124437232</v>
      </c>
      <c r="H10769" s="6" t="n">
        <f aca="false">Sens!H10746</f>
        <v>26.5738052080665</v>
      </c>
      <c r="I10769" s="6" t="n">
        <f aca="false">Sens!I10746</f>
        <v>28.7412169166967</v>
      </c>
      <c r="J10769" s="6" t="n">
        <f aca="false">Sens!J10746</f>
        <v>30.9192545395413</v>
      </c>
      <c r="K10769" s="6" t="n">
        <f aca="false">Sens!K10746</f>
        <v>33.0836023573092</v>
      </c>
    </row>
    <row r="10770" customFormat="false" ht="15" hidden="false" customHeight="false" outlineLevel="0" collapsed="false">
      <c r="A10770" s="0" t="s">
        <v>886</v>
      </c>
      <c r="B10770" s="0" t="s">
        <v>98</v>
      </c>
      <c r="D10770" s="6" t="n">
        <f aca="false">Sens!D10748</f>
        <v>7.76</v>
      </c>
      <c r="E10770" s="6" t="n">
        <f aca="false">Sens!E10748</f>
        <v>8.26</v>
      </c>
      <c r="F10770" s="6" t="n">
        <f aca="false">Sens!F10748</f>
        <v>8.79988041237113</v>
      </c>
      <c r="G10770" s="6" t="n">
        <f aca="false">Sens!G10748</f>
        <v>9.38321269125306</v>
      </c>
      <c r="H10770" s="6" t="n">
        <f aca="false">Sens!H10748</f>
        <v>10.0139193587476</v>
      </c>
      <c r="I10770" s="6" t="n">
        <f aca="false">Sens!I10748</f>
        <v>10.6963111830911</v>
      </c>
      <c r="J10770" s="6" t="n">
        <f aca="false">Sens!J10748</f>
        <v>11.4351285534696</v>
      </c>
      <c r="K10770" s="6" t="n">
        <f aca="false">Sens!K10748</f>
        <v>12.2355875522124</v>
      </c>
    </row>
    <row r="10771" customFormat="false" ht="15" hidden="false" customHeight="false" outlineLevel="0" collapsed="false">
      <c r="A10771" s="0" t="s">
        <v>715</v>
      </c>
      <c r="B10771" s="0" t="s">
        <v>98</v>
      </c>
      <c r="D10771" s="6" t="n">
        <f aca="false">Sens!D10750</f>
        <v>218.783</v>
      </c>
      <c r="E10771" s="6" t="n">
        <f aca="false">Sens!E10750</f>
        <v>268.127</v>
      </c>
      <c r="F10771" s="6" t="n">
        <f aca="false">Sens!F10750</f>
        <v>334.265528251508</v>
      </c>
      <c r="G10771" s="6" t="n">
        <f aca="false">Sens!G10750</f>
        <v>408.072123059793</v>
      </c>
      <c r="H10771" s="6" t="n">
        <f aca="false">Sens!H10750</f>
        <v>483.196296004025</v>
      </c>
      <c r="I10771" s="6" t="n">
        <f aca="false">Sens!I10750</f>
        <v>551.903517626826</v>
      </c>
      <c r="J10771" s="6" t="n">
        <f aca="false">Sens!J10750</f>
        <v>607.719049711612</v>
      </c>
      <c r="K10771" s="6" t="n">
        <f aca="false">Sens!K10750</f>
        <v>652.377736249452</v>
      </c>
    </row>
    <row r="10772" customFormat="false" ht="15" hidden="false" customHeight="false" outlineLevel="0" collapsed="false">
      <c r="A10772" s="0" t="s">
        <v>887</v>
      </c>
      <c r="B10772" s="0" t="s">
        <v>98</v>
      </c>
      <c r="D10772" s="6" t="n">
        <f aca="false">Sens!D10751</f>
        <v>22.171</v>
      </c>
      <c r="E10772" s="6" t="n">
        <f aca="false">Sens!E10751</f>
        <v>24.835</v>
      </c>
      <c r="F10772" s="6" t="n">
        <f aca="false">Sens!F10751</f>
        <v>27.6114901218559</v>
      </c>
      <c r="G10772" s="6" t="n">
        <f aca="false">Sens!G10751</f>
        <v>30.4675667338515</v>
      </c>
      <c r="H10772" s="6" t="n">
        <f aca="false">Sens!H10751</f>
        <v>33.3643766955789</v>
      </c>
      <c r="I10772" s="6" t="n">
        <f aca="false">Sens!I10751</f>
        <v>36.2577016533691</v>
      </c>
      <c r="J10772" s="6" t="n">
        <f aca="false">Sens!J10751</f>
        <v>39.0988367952171</v>
      </c>
      <c r="K10772" s="6" t="n">
        <f aca="false">Sens!K10751</f>
        <v>41.8357553708823</v>
      </c>
    </row>
    <row r="10773" customFormat="false" ht="15" hidden="false" customHeight="false" outlineLevel="0" collapsed="false">
      <c r="A10773" s="0" t="s">
        <v>888</v>
      </c>
      <c r="B10773" s="0" t="s">
        <v>98</v>
      </c>
      <c r="D10773" s="6" t="n">
        <f aca="false">Sens!D10753</f>
        <v>23.455</v>
      </c>
      <c r="E10773" s="6" t="n">
        <f aca="false">Sens!E10753</f>
        <v>21.79</v>
      </c>
      <c r="F10773" s="6" t="n">
        <f aca="false">Sens!F10753</f>
        <v>20.6825777908051</v>
      </c>
      <c r="G10773" s="6" t="n">
        <f aca="false">Sens!G10753</f>
        <v>20.0484913708632</v>
      </c>
      <c r="H10773" s="6" t="n">
        <f aca="false">Sens!H10753</f>
        <v>19.8381125629905</v>
      </c>
      <c r="I10773" s="6" t="n">
        <f aca="false">Sens!I10753</f>
        <v>20.0299669735513</v>
      </c>
      <c r="J10773" s="6" t="n">
        <f aca="false">Sens!J10753</f>
        <v>20.6275710652887</v>
      </c>
      <c r="K10773" s="6" t="n">
        <f aca="false">Sens!K10753</f>
        <v>21.6589496185531</v>
      </c>
    </row>
    <row r="10774" customFormat="false" ht="15" hidden="false" customHeight="false" outlineLevel="0" collapsed="false">
      <c r="A10774" s="0" t="s">
        <v>889</v>
      </c>
      <c r="B10774" s="0" t="s">
        <v>98</v>
      </c>
      <c r="D10774" s="6" t="n">
        <f aca="false">Sens!D10755</f>
        <v>17.315</v>
      </c>
      <c r="E10774" s="6" t="n">
        <f aca="false">Sens!E10755</f>
        <v>17.087</v>
      </c>
      <c r="F10774" s="6" t="n">
        <f aca="false">Sens!F10755</f>
        <v>16.9564585436519</v>
      </c>
      <c r="G10774" s="6" t="n">
        <f aca="false">Sens!G10755</f>
        <v>16.9206490624268</v>
      </c>
      <c r="H10774" s="6" t="n">
        <f aca="false">Sens!H10755</f>
        <v>16.9784519149849</v>
      </c>
      <c r="I10774" s="6" t="n">
        <f aca="false">Sens!I10755</f>
        <v>17.1303084701817</v>
      </c>
      <c r="J10774" s="6" t="n">
        <f aca="false">Sens!J10755</f>
        <v>17.3782189407267</v>
      </c>
      <c r="K10774" s="6" t="n">
        <f aca="false">Sens!K10755</f>
        <v>17.7257833195413</v>
      </c>
    </row>
    <row r="10775" customFormat="false" ht="15" hidden="false" customHeight="false" outlineLevel="0" collapsed="false">
      <c r="A10775" s="0" t="s">
        <v>729</v>
      </c>
      <c r="B10775" s="0" t="s">
        <v>98</v>
      </c>
      <c r="D10775" s="6" t="n">
        <f aca="false">Sens!D10757</f>
        <v>62.941</v>
      </c>
      <c r="E10775" s="6" t="n">
        <f aca="false">Sens!E10757</f>
        <v>63.712</v>
      </c>
      <c r="F10775" s="6" t="n">
        <f aca="false">Sens!F10757</f>
        <v>65.2505264563129</v>
      </c>
      <c r="G10775" s="6" t="n">
        <f aca="false">Sens!G10757</f>
        <v>67.4367071671415</v>
      </c>
      <c r="H10775" s="6" t="n">
        <f aca="false">Sens!H10757</f>
        <v>70.1809411735542</v>
      </c>
      <c r="I10775" s="6" t="n">
        <f aca="false">Sens!I10757</f>
        <v>73.4179770971021</v>
      </c>
      <c r="J10775" s="6" t="n">
        <f aca="false">Sens!J10757</f>
        <v>77.1046268012325</v>
      </c>
      <c r="K10775" s="6" t="n">
        <f aca="false">Sens!K10757</f>
        <v>81.2204883089766</v>
      </c>
    </row>
    <row r="10776" customFormat="false" ht="15" hidden="false" customHeight="false" outlineLevel="0" collapsed="false">
      <c r="A10776" s="1" t="s">
        <v>905</v>
      </c>
      <c r="B10776" s="0" t="s">
        <v>98</v>
      </c>
      <c r="D10776" s="6" t="n">
        <f aca="false">Sens!D10758</f>
        <v>281.724</v>
      </c>
      <c r="E10776" s="6" t="n">
        <f aca="false">Sens!E10758</f>
        <v>331.839</v>
      </c>
      <c r="F10776" s="6" t="n">
        <f aca="false">Sens!F10758</f>
        <v>399.516054707821</v>
      </c>
      <c r="G10776" s="6" t="n">
        <f aca="false">Sens!G10758</f>
        <v>475.508830226934</v>
      </c>
      <c r="H10776" s="6" t="n">
        <f aca="false">Sens!H10758</f>
        <v>553.377237177579</v>
      </c>
      <c r="I10776" s="6" t="n">
        <f aca="false">Sens!I10758</f>
        <v>625.321494723928</v>
      </c>
      <c r="J10776" s="6" t="n">
        <f aca="false">Sens!J10758</f>
        <v>684.823676512845</v>
      </c>
      <c r="K10776" s="6" t="n">
        <f aca="false">Sens!K10758</f>
        <v>733.598224558429</v>
      </c>
    </row>
    <row r="10777" customFormat="false" ht="15" hidden="false" customHeight="false" outlineLevel="0" collapsed="false">
      <c r="A10777" s="1" t="s">
        <v>906</v>
      </c>
      <c r="B10777" s="0" t="s">
        <v>129</v>
      </c>
      <c r="E10777" s="7" t="n">
        <f aca="false">Sens!E10776/Sens!D10776-1</f>
        <v>0.177886867998467</v>
      </c>
      <c r="F10777" s="7" t="n">
        <f aca="false">Sens!F10776/Sens!E10776-1</f>
        <v>0.203945451582908</v>
      </c>
      <c r="G10777" s="7" t="n">
        <f aca="false">Sens!G10776/Sens!F10776-1</f>
        <v>0.190212069386523</v>
      </c>
      <c r="H10777" s="7" t="n">
        <f aca="false">Sens!H10776/Sens!G10776-1</f>
        <v>0.163758067149841</v>
      </c>
      <c r="I10777" s="7" t="n">
        <f aca="false">Sens!I10776/Sens!H10776-1</f>
        <v>0.130009427047072</v>
      </c>
      <c r="J10777" s="7" t="n">
        <f aca="false">Sens!J10776/Sens!I10776-1</f>
        <v>0.0951545441680142</v>
      </c>
      <c r="K10777" s="7" t="n">
        <f aca="false">Sens!K10776/Sens!J10776-1</f>
        <v>0.0712220527975118</v>
      </c>
    </row>
    <row r="10778" customFormat="false" ht="17.15" hidden="false" customHeight="false" outlineLevel="0" collapsed="false">
      <c r="A10778" s="23" t="s">
        <v>907</v>
      </c>
      <c r="B10778" s="30" t="s">
        <v>98</v>
      </c>
      <c r="C10778" s="30"/>
      <c r="D10778" s="24" t="n">
        <f aca="false">(Sens!D10771+Sens!D10775-Sens!D10776)+(Sens!D10763+Sens!D10764-Sens!D10762)+(Sens!D10766+Sens!D10767-Sens!D10765)+(Sens!D10776-Q!L18)</f>
        <v>0</v>
      </c>
      <c r="E10778" s="24" t="n">
        <f aca="false">(Sens!E10771+Sens!E10775-Sens!E10776)+(Sens!E10763+Sens!E10764-Sens!E10762)+(Sens!E10766+Sens!E10767-Sens!E10765)+(Sens!E10776-Q!M18)</f>
        <v>0</v>
      </c>
      <c r="F10778" s="24" t="n">
        <f aca="false">(Sens!F10771+Sens!F10775-Sens!F10776)+(Sens!F10763+Sens!F10764-Sens!F10762)+(Sens!F10766+Sens!F10767-Sens!F10765)</f>
        <v>0</v>
      </c>
      <c r="G10778" s="24" t="n">
        <f aca="false">(Sens!G10771+Sens!G10775-Sens!G10776)+(Sens!G10763+Sens!G10764-Sens!G10762)+(Sens!G10766+Sens!G10767-Sens!G10765)</f>
        <v>0</v>
      </c>
      <c r="H10778" s="24" t="n">
        <f aca="false">(Sens!H10771+Sens!H10775-Sens!H10776)+(Sens!H10763+Sens!H10764-Sens!H10762)+(Sens!H10766+Sens!H10767-Sens!H10765)</f>
        <v>0</v>
      </c>
      <c r="I10778" s="24" t="n">
        <f aca="false">(Sens!I10771+Sens!I10775-Sens!I10776)+(Sens!I10763+Sens!I10764-Sens!I10762)+(Sens!I10766+Sens!I10767-Sens!I10765)</f>
        <v>0</v>
      </c>
      <c r="J10778" s="24" t="n">
        <f aca="false">(Sens!J10771+Sens!J10775-Sens!J10776)+(Sens!J10763+Sens!J10764-Sens!J10762)+(Sens!J10766+Sens!J10767-Sens!J10765)</f>
        <v>0</v>
      </c>
      <c r="K10778" s="24" t="n">
        <f aca="false">(Sens!K10771+Sens!K10775-Sens!K10776)+(Sens!K10763+Sens!K10764-Sens!K10762)+(Sens!K10766+Sens!K10767-Sens!K10765)</f>
        <v>0</v>
      </c>
    </row>
    <row r="10779" customFormat="false" ht="17.15" hidden="false" customHeight="false" outlineLevel="0" collapsed="false">
      <c r="A10779" s="0" t="s">
        <v>908</v>
      </c>
      <c r="B10779" s="0" t="s">
        <v>129</v>
      </c>
      <c r="E10779" s="7" t="n">
        <f aca="false">(Q!M21+Sens!E10716+Sens!E10717+Sens!E10718+Sens!E10731-Sens!E10714)/(Q!M5-Sens!E10714)</f>
        <v>0.570957350878296</v>
      </c>
      <c r="F10779" s="7" t="n">
        <f aca="false">Sens!$E$10779+dm_seg</f>
        <v>0.570957350878296</v>
      </c>
      <c r="G10779" s="7" t="n">
        <f aca="false">Sens!$E$10779+dm_seg</f>
        <v>0.570957350878296</v>
      </c>
      <c r="H10779" s="7" t="n">
        <f aca="false">Sens!$E$10779+dm_seg</f>
        <v>0.570957350878296</v>
      </c>
      <c r="I10779" s="7" t="n">
        <f aca="false">Sens!$E$10779+dm_seg</f>
        <v>0.570957350878296</v>
      </c>
      <c r="J10779" s="7" t="n">
        <f aca="false">Sens!$E$10779+dm_seg</f>
        <v>0.570957350878296</v>
      </c>
      <c r="K10779" s="7" t="n">
        <f aca="false">Sens!$E$10779+dm_seg</f>
        <v>0.570957350878296</v>
      </c>
      <c r="L10779" s="11" t="s">
        <v>909</v>
      </c>
    </row>
    <row r="10780" customFormat="false" ht="17.15" hidden="false" customHeight="false" outlineLevel="0" collapsed="false">
      <c r="A10780" s="0" t="s">
        <v>743</v>
      </c>
      <c r="B10780" s="0" t="s">
        <v>98</v>
      </c>
      <c r="D10780" s="6" t="n">
        <f aca="false">Q!L21</f>
        <v>110.814</v>
      </c>
      <c r="E10780" s="6" t="n">
        <f aca="false">Q!M21</f>
        <v>136.365</v>
      </c>
      <c r="F10780" s="6" t="n">
        <f aca="false">Sens!F10779*(Sens!F10750-Sens!F10714)+Sens!F10714-(Sens!F10716+Sens!F10717+Sens!F10718)-Sens!F10731-Sens!F10814</f>
        <v>157.460333155463</v>
      </c>
      <c r="G10780" s="6" t="n">
        <f aca="false">Sens!G10779*(Sens!G10750-Sens!G10714)+Sens!G10714-(Sens!G10716+Sens!G10717+Sens!G10718)-Sens!G10731-Sens!G10814</f>
        <v>177.816414760567</v>
      </c>
      <c r="H10780" s="6" t="n">
        <f aca="false">Sens!H10779*(Sens!H10750-Sens!H10714)+Sens!H10714-(Sens!H10716+Sens!H10717+Sens!H10718)-Sens!H10731-Sens!H10814</f>
        <v>197.532805558138</v>
      </c>
      <c r="I10780" s="6" t="n">
        <f aca="false">Sens!I10779*(Sens!I10750-Sens!I10714)+Sens!I10714-(Sens!I10716+Sens!I10717+Sens!I10718)-Sens!I10731-Sens!I10814</f>
        <v>216.323103265523</v>
      </c>
      <c r="J10780" s="6" t="n">
        <f aca="false">Sens!J10779*(Sens!J10750-Sens!J10714)+Sens!J10714-(Sens!J10716+Sens!J10717+Sens!J10718)-Sens!J10731-Sens!J10814</f>
        <v>233.724015885898</v>
      </c>
      <c r="K10780" s="6" t="n">
        <f aca="false">Sens!K10779*(Sens!K10750-Sens!K10714)+Sens!K10714-(Sens!K10716+Sens!K10717+Sens!K10718)-Sens!K10731-Sens!K10814</f>
        <v>250.572036768709</v>
      </c>
      <c r="L10780" s="1" t="s">
        <v>910</v>
      </c>
    </row>
    <row r="10781" customFormat="false" ht="17.15" hidden="false" customHeight="false" outlineLevel="0" collapsed="false">
      <c r="A10781" s="0" t="s">
        <v>911</v>
      </c>
      <c r="B10781" s="0" t="s">
        <v>129</v>
      </c>
      <c r="E10781" s="7" t="n">
        <f aca="false">Q!M22/Q!M12</f>
        <v>0.296207935710698</v>
      </c>
      <c r="F10781" s="7" t="n">
        <f aca="false">Sens!$E$10781+dm_seg</f>
        <v>0.296207935710698</v>
      </c>
      <c r="G10781" s="7" t="n">
        <f aca="false">Sens!$E$10781+dm_seg</f>
        <v>0.296207935710698</v>
      </c>
      <c r="H10781" s="7" t="n">
        <f aca="false">Sens!$E$10781+dm_seg</f>
        <v>0.296207935710698</v>
      </c>
      <c r="I10781" s="7" t="n">
        <f aca="false">Sens!$E$10781+dm_seg</f>
        <v>0.296207935710698</v>
      </c>
      <c r="J10781" s="7" t="n">
        <f aca="false">Sens!$E$10781+dm_seg</f>
        <v>0.296207935710698</v>
      </c>
      <c r="K10781" s="7" t="n">
        <f aca="false">Sens!$E$10781+dm_seg</f>
        <v>0.296207935710698</v>
      </c>
      <c r="L10781" s="11" t="s">
        <v>912</v>
      </c>
    </row>
    <row r="10782" customFormat="false" ht="17.15" hidden="false" customHeight="false" outlineLevel="0" collapsed="false">
      <c r="A10782" s="0" t="s">
        <v>745</v>
      </c>
      <c r="B10782" s="0" t="s">
        <v>98</v>
      </c>
      <c r="D10782" s="6" t="n">
        <f aca="false">Q!L22</f>
        <v>17.714</v>
      </c>
      <c r="E10782" s="6" t="n">
        <f aca="false">Q!M22</f>
        <v>18.872</v>
      </c>
      <c r="F10782" s="6" t="n">
        <f aca="false">Sens!F10757*Sens!F10781</f>
        <v>19.3277237456607</v>
      </c>
      <c r="G10782" s="6" t="n">
        <f aca="false">Sens!G10757*Sens!G10781</f>
        <v>19.9752878211058</v>
      </c>
      <c r="H10782" s="6" t="n">
        <f aca="false">Sens!H10757*Sens!H10781</f>
        <v>20.7881517112524</v>
      </c>
      <c r="I10782" s="6" t="n">
        <f aca="false">Sens!I10757*Sens!I10781</f>
        <v>21.7469874399879</v>
      </c>
      <c r="J10782" s="6" t="n">
        <f aca="false">Sens!J10757*Sens!J10781</f>
        <v>22.8390023385368</v>
      </c>
      <c r="K10782" s="6" t="n">
        <f aca="false">Sens!K10757*Sens!K10781</f>
        <v>24.0581531794169</v>
      </c>
    </row>
    <row r="10783" customFormat="false" ht="15" hidden="false" customHeight="false" outlineLevel="0" collapsed="false">
      <c r="A10783" s="1" t="s">
        <v>913</v>
      </c>
      <c r="B10783" s="0" t="s">
        <v>98</v>
      </c>
      <c r="D10783" s="6" t="n">
        <f aca="false">Sens!D10780+Sens!D10782</f>
        <v>128.528</v>
      </c>
      <c r="E10783" s="6" t="n">
        <f aca="false">Sens!E10780+Sens!E10782</f>
        <v>155.237</v>
      </c>
      <c r="F10783" s="6" t="n">
        <f aca="false">Sens!F10780+Sens!F10782</f>
        <v>176.788056901124</v>
      </c>
      <c r="G10783" s="6" t="n">
        <f aca="false">Sens!G10780+Sens!G10782</f>
        <v>197.791702581673</v>
      </c>
      <c r="H10783" s="6" t="n">
        <f aca="false">Sens!H10780+Sens!H10782</f>
        <v>218.32095726939</v>
      </c>
      <c r="I10783" s="6" t="n">
        <f aca="false">Sens!I10780+Sens!I10782</f>
        <v>238.070090705511</v>
      </c>
      <c r="J10783" s="6" t="n">
        <f aca="false">Sens!J10780+Sens!J10782</f>
        <v>256.563018224435</v>
      </c>
      <c r="K10783" s="6" t="n">
        <f aca="false">Sens!K10780+Sens!K10782</f>
        <v>274.630189948126</v>
      </c>
    </row>
    <row r="10784" customFormat="false" ht="15" hidden="false" customHeight="false" outlineLevel="0" collapsed="false">
      <c r="A10784" s="23" t="s">
        <v>914</v>
      </c>
      <c r="B10784" s="30" t="s">
        <v>98</v>
      </c>
      <c r="C10784" s="30"/>
      <c r="D10784" s="24" t="n">
        <f aca="false">Sens!D10783-Q!L23</f>
        <v>0</v>
      </c>
      <c r="E10784" s="24" t="n">
        <f aca="false">Sens!E10783-Q!M23</f>
        <v>0</v>
      </c>
      <c r="F10784" s="30"/>
      <c r="G10784" s="30"/>
      <c r="H10784" s="30"/>
      <c r="I10784" s="30"/>
      <c r="J10784" s="30"/>
      <c r="K10784" s="30"/>
    </row>
    <row r="10785" customFormat="false" ht="15" hidden="false" customHeight="false" outlineLevel="0" collapsed="false">
      <c r="A10785" s="1" t="s">
        <v>915</v>
      </c>
      <c r="B10785" s="0" t="s">
        <v>129</v>
      </c>
      <c r="D10785" s="7" t="n">
        <f aca="false">Sens!D10783/Sens!D10776</f>
        <v>0.456219562408598</v>
      </c>
      <c r="E10785" s="7" t="n">
        <f aca="false">Sens!E10783/Sens!E10776</f>
        <v>0.467808184089272</v>
      </c>
      <c r="F10785" s="7" t="n">
        <f aca="false">Sens!F10783/Sens!F10776</f>
        <v>0.442505513402746</v>
      </c>
      <c r="G10785" s="7" t="n">
        <f aca="false">Sens!G10783/Sens!G10776</f>
        <v>0.41595800121583</v>
      </c>
      <c r="H10785" s="7" t="n">
        <f aca="false">Sens!H10783/Sens!H10776</f>
        <v>0.394524643591964</v>
      </c>
      <c r="I10785" s="7" t="n">
        <f aca="false">Sens!I10783/Sens!I10776</f>
        <v>0.380716307873946</v>
      </c>
      <c r="J10785" s="7" t="n">
        <f aca="false">Sens!J10783/Sens!J10776</f>
        <v>0.374640987196684</v>
      </c>
      <c r="K10785" s="7" t="n">
        <f aca="false">Sens!K10783/Sens!K10776</f>
        <v>0.374360488826745</v>
      </c>
    </row>
    <row r="10786" customFormat="false" ht="17.15" hidden="false" customHeight="false" outlineLevel="0" collapsed="false">
      <c r="A10786" s="1" t="s">
        <v>916</v>
      </c>
      <c r="B10786" s="0" t="s">
        <v>98</v>
      </c>
      <c r="F10786" s="6" t="n">
        <f aca="false">Sens!F10801</f>
        <v>9.29892047395526</v>
      </c>
      <c r="G10786" s="6" t="n">
        <f aca="false">Sens!G10801</f>
        <v>23.9346303607031</v>
      </c>
      <c r="H10786" s="6" t="n">
        <f aca="false">Sens!H10801</f>
        <v>40.1043191979728</v>
      </c>
      <c r="I10786" s="6" t="n">
        <f aca="false">Sens!I10801</f>
        <v>54.9360183203111</v>
      </c>
      <c r="J10786" s="6" t="n">
        <f aca="false">Sens!J10801</f>
        <v>65.4555422613168</v>
      </c>
      <c r="K10786" s="6" t="n">
        <f aca="false">Sens!K10801</f>
        <v>71.4992160033785</v>
      </c>
      <c r="L10786" s="1" t="s">
        <v>917</v>
      </c>
    </row>
    <row r="10787" customFormat="false" ht="17.15" hidden="false" customHeight="false" outlineLevel="0" collapsed="false">
      <c r="A10787" s="1" t="s">
        <v>918</v>
      </c>
      <c r="B10787" s="0" t="s">
        <v>98</v>
      </c>
      <c r="D10787" s="6" t="n">
        <f aca="false">Sens!D10783</f>
        <v>128.528</v>
      </c>
      <c r="E10787" s="6" t="n">
        <f aca="false">Sens!E10783</f>
        <v>155.237</v>
      </c>
      <c r="F10787" s="6" t="n">
        <f aca="false">Sens!F10783+Sens!F10786</f>
        <v>186.086977375079</v>
      </c>
      <c r="G10787" s="6" t="n">
        <f aca="false">Sens!G10783+Sens!G10786</f>
        <v>221.726332942376</v>
      </c>
      <c r="H10787" s="6" t="n">
        <f aca="false">Sens!H10783+Sens!H10786</f>
        <v>258.425276467363</v>
      </c>
      <c r="I10787" s="6" t="n">
        <f aca="false">Sens!I10783+Sens!I10786</f>
        <v>293.006109025822</v>
      </c>
      <c r="J10787" s="6" t="n">
        <f aca="false">Sens!J10783+Sens!J10786</f>
        <v>322.018560485751</v>
      </c>
      <c r="K10787" s="6" t="n">
        <f aca="false">Sens!K10783+Sens!K10786</f>
        <v>346.129405951504</v>
      </c>
    </row>
    <row r="10788" customFormat="false" ht="17.15" hidden="false" customHeight="false" outlineLevel="0" collapsed="false">
      <c r="A10788" s="1" t="s">
        <v>919</v>
      </c>
      <c r="B10788" s="0" t="s">
        <v>98</v>
      </c>
      <c r="E10788" s="6" t="n">
        <f aca="false">Sens!E10731</f>
        <v>16.3054059770833</v>
      </c>
      <c r="F10788" s="6" t="n">
        <f aca="false">Sens!F10731</f>
        <v>34.0498873809555</v>
      </c>
      <c r="G10788" s="6" t="n">
        <f aca="false">Sens!G10731</f>
        <v>59.1254371105111</v>
      </c>
      <c r="H10788" s="6" t="n">
        <f aca="false">Sens!H10731</f>
        <v>86.3610198433111</v>
      </c>
      <c r="I10788" s="6" t="n">
        <f aca="false">Sens!I10731</f>
        <v>110.605743832393</v>
      </c>
      <c r="J10788" s="6" t="n">
        <f aca="false">Sens!J10731</f>
        <v>127.998322852843</v>
      </c>
      <c r="K10788" s="6" t="n">
        <f aca="false">Sens!K10731</f>
        <v>139.131464044308</v>
      </c>
    </row>
    <row r="10789" customFormat="false" ht="17.15" hidden="false" customHeight="false" outlineLevel="0" collapsed="false">
      <c r="A10789" s="1" t="s">
        <v>920</v>
      </c>
      <c r="B10789" s="0" t="s">
        <v>98</v>
      </c>
      <c r="E10789" s="6" t="n">
        <f aca="false">Sens!E10813</f>
        <v>22.2285940229167</v>
      </c>
      <c r="F10789" s="6" t="n">
        <f aca="false">Sens!F10813</f>
        <v>24.3924470334783</v>
      </c>
      <c r="G10789" s="6" t="n">
        <f aca="false">Sens!G10813</f>
        <v>26.0694257254366</v>
      </c>
      <c r="H10789" s="6" t="n">
        <f aca="false">Sens!H10813</f>
        <v>28.145446925778</v>
      </c>
      <c r="I10789" s="6" t="n">
        <f aca="false">Sens!I10813</f>
        <v>30.5537262392294</v>
      </c>
      <c r="J10789" s="6" t="n">
        <f aca="false">Sens!J10813</f>
        <v>33.210945591744</v>
      </c>
      <c r="K10789" s="6" t="n">
        <f aca="false">Sens!K10813</f>
        <v>36.033168452593</v>
      </c>
    </row>
    <row r="10790" customFormat="false" ht="17.15" hidden="false" customHeight="false" outlineLevel="0" collapsed="false">
      <c r="A10790" s="1" t="s">
        <v>921</v>
      </c>
      <c r="B10790" s="0" t="s">
        <v>98</v>
      </c>
      <c r="D10790" s="6" t="n">
        <f aca="false">Q!L27</f>
        <v>-4.901</v>
      </c>
      <c r="E10790" s="6" t="n">
        <f aca="false">Q!M27</f>
        <v>10.697</v>
      </c>
      <c r="F10790" s="6" t="n">
        <f aca="false">oie_f</f>
        <v>-0.4</v>
      </c>
      <c r="G10790" s="6" t="n">
        <f aca="false">oie_f</f>
        <v>-0.4</v>
      </c>
      <c r="H10790" s="6" t="n">
        <f aca="false">oie_f</f>
        <v>-0.4</v>
      </c>
      <c r="I10790" s="6" t="n">
        <f aca="false">oie_f</f>
        <v>-0.4</v>
      </c>
      <c r="J10790" s="6" t="n">
        <f aca="false">oie_f</f>
        <v>-0.4</v>
      </c>
      <c r="K10790" s="6" t="n">
        <f aca="false">oie_f</f>
        <v>-0.4</v>
      </c>
      <c r="L10790" s="11" t="s">
        <v>922</v>
      </c>
    </row>
    <row r="10791" customFormat="false" ht="15" hidden="false" customHeight="false" outlineLevel="0" collapsed="false">
      <c r="A10791" s="1" t="s">
        <v>923</v>
      </c>
      <c r="B10791" s="0" t="s">
        <v>98</v>
      </c>
      <c r="D10791" s="6" t="n">
        <f aca="false">Sens!D10783+Sens!D10790</f>
        <v>123.627</v>
      </c>
      <c r="E10791" s="6" t="n">
        <f aca="false">Sens!E10783+Sens!E10790</f>
        <v>165.934</v>
      </c>
      <c r="F10791" s="6" t="n">
        <f aca="false">Sens!F10783+Sens!F10790</f>
        <v>176.388056901124</v>
      </c>
      <c r="G10791" s="6" t="n">
        <f aca="false">Sens!G10783+Sens!G10790</f>
        <v>197.391702581673</v>
      </c>
      <c r="H10791" s="6" t="n">
        <f aca="false">Sens!H10783+Sens!H10790</f>
        <v>217.92095726939</v>
      </c>
      <c r="I10791" s="6" t="n">
        <f aca="false">Sens!I10783+Sens!I10790</f>
        <v>237.670090705511</v>
      </c>
      <c r="J10791" s="6" t="n">
        <f aca="false">Sens!J10783+Sens!J10790</f>
        <v>256.163018224435</v>
      </c>
      <c r="K10791" s="6" t="n">
        <f aca="false">Sens!K10783+Sens!K10790</f>
        <v>274.230189948126</v>
      </c>
    </row>
    <row r="10792" customFormat="false" ht="15" hidden="false" customHeight="false" outlineLevel="0" collapsed="false">
      <c r="A10792" s="1" t="s">
        <v>924</v>
      </c>
      <c r="B10792" s="0" t="s">
        <v>98</v>
      </c>
      <c r="D10792" s="6" t="n">
        <f aca="false">Q!L29</f>
        <v>21.795</v>
      </c>
      <c r="E10792" s="6" t="n">
        <f aca="false">Q!M29</f>
        <v>32.185</v>
      </c>
      <c r="F10792" s="6" t="n">
        <f aca="false">Sens!F10791*tax_f</f>
        <v>35.2776113802248</v>
      </c>
      <c r="G10792" s="6" t="n">
        <f aca="false">Sens!G10791*tax_f</f>
        <v>39.4783405163346</v>
      </c>
      <c r="H10792" s="6" t="n">
        <f aca="false">Sens!H10791*tax_f</f>
        <v>43.584191453878</v>
      </c>
      <c r="I10792" s="6" t="n">
        <f aca="false">Sens!I10791*tax_f</f>
        <v>47.5340181411023</v>
      </c>
      <c r="J10792" s="6" t="n">
        <f aca="false">Sens!J10791*tax_f</f>
        <v>51.2326036448869</v>
      </c>
      <c r="K10792" s="6" t="n">
        <f aca="false">Sens!K10791*tax_f</f>
        <v>54.8460379896251</v>
      </c>
    </row>
    <row r="10793" customFormat="false" ht="15" hidden="false" customHeight="false" outlineLevel="0" collapsed="false">
      <c r="A10793" s="1" t="s">
        <v>925</v>
      </c>
      <c r="B10793" s="0" t="s">
        <v>98</v>
      </c>
      <c r="D10793" s="6" t="n">
        <f aca="false">Sens!D10791-Sens!D10792</f>
        <v>101.832</v>
      </c>
      <c r="E10793" s="6" t="n">
        <f aca="false">Sens!E10791-Sens!E10792</f>
        <v>133.749</v>
      </c>
      <c r="F10793" s="6" t="n">
        <f aca="false">Sens!F10791-Sens!F10792</f>
        <v>141.110445520899</v>
      </c>
      <c r="G10793" s="6" t="n">
        <f aca="false">Sens!G10791-Sens!G10792</f>
        <v>157.913362065339</v>
      </c>
      <c r="H10793" s="6" t="n">
        <f aca="false">Sens!H10791-Sens!H10792</f>
        <v>174.336765815512</v>
      </c>
      <c r="I10793" s="6" t="n">
        <f aca="false">Sens!I10791-Sens!I10792</f>
        <v>190.136072564409</v>
      </c>
      <c r="J10793" s="6" t="n">
        <f aca="false">Sens!J10791-Sens!J10792</f>
        <v>204.930414579548</v>
      </c>
      <c r="K10793" s="6" t="n">
        <f aca="false">Sens!K10791-Sens!K10792</f>
        <v>219.384151958501</v>
      </c>
    </row>
    <row r="10794" customFormat="false" ht="17.15" hidden="false" customHeight="false" outlineLevel="0" collapsed="false">
      <c r="A10794" s="1" t="s">
        <v>926</v>
      </c>
      <c r="B10794" s="1" t="s">
        <v>81</v>
      </c>
      <c r="D10794" s="14" t="n">
        <f aca="false">Q!L31</f>
        <v>7.465</v>
      </c>
      <c r="E10794" s="14" t="n">
        <f aca="false">Q!M31</f>
        <v>7.453</v>
      </c>
      <c r="F10794" s="14" t="n">
        <f aca="false">Sens!F10837</f>
        <v>7.4735</v>
      </c>
      <c r="G10794" s="14" t="n">
        <f aca="false">Sens!G10837</f>
        <v>7.51800138143439</v>
      </c>
      <c r="H10794" s="14" t="n">
        <f aca="false">Sens!H10837</f>
        <v>7.54525434871873</v>
      </c>
      <c r="I10794" s="14" t="n">
        <f aca="false">Sens!I10837</f>
        <v>7.55703518072605</v>
      </c>
      <c r="J10794" s="14" t="n">
        <f aca="false">Sens!J10837</f>
        <v>7.57127669184393</v>
      </c>
      <c r="K10794" s="14" t="n">
        <f aca="false">Sens!K10837</f>
        <v>7.58779660954567</v>
      </c>
    </row>
    <row r="10795" customFormat="false" ht="17.15" hidden="false" customHeight="false" outlineLevel="0" collapsed="false">
      <c r="A10795" s="0" t="s">
        <v>927</v>
      </c>
      <c r="B10795" s="0" t="s">
        <v>75</v>
      </c>
      <c r="D10795" s="8" t="n">
        <f aca="false">Sens!D10793/Sens!D10794</f>
        <v>13.641259209645</v>
      </c>
      <c r="E10795" s="8" t="n">
        <f aca="false">Sens!E10793/Sens!E10794</f>
        <v>17.9456594659869</v>
      </c>
      <c r="F10795" s="8" t="n">
        <f aca="false">Sens!F10793/Sens!F10794</f>
        <v>18.8814404925268</v>
      </c>
      <c r="G10795" s="8" t="n">
        <f aca="false">Sens!G10793/Sens!G10794</f>
        <v>21.0046997936584</v>
      </c>
      <c r="H10795" s="8" t="n">
        <f aca="false">Sens!H10793/Sens!H10794</f>
        <v>23.1054856149569</v>
      </c>
      <c r="I10795" s="8" t="n">
        <f aca="false">Sens!I10793/Sens!I10794</f>
        <v>25.1601412481636</v>
      </c>
      <c r="J10795" s="8" t="n">
        <f aca="false">Sens!J10793/Sens!J10794</f>
        <v>27.0668241196768</v>
      </c>
      <c r="K10795" s="8" t="n">
        <f aca="false">Sens!K10793/Sens!K10794</f>
        <v>28.9127612728192</v>
      </c>
      <c r="L10795" s="1" t="s">
        <v>928</v>
      </c>
    </row>
    <row r="10796" customFormat="false" ht="17.15" hidden="false" customHeight="false" outlineLevel="0" collapsed="false">
      <c r="A10796" s="1" t="s">
        <v>929</v>
      </c>
      <c r="B10796" s="0" t="s">
        <v>98</v>
      </c>
      <c r="D10796" s="6" t="n">
        <f aca="false">Sens!D10793</f>
        <v>101.832</v>
      </c>
      <c r="E10796" s="6" t="n">
        <f aca="false">Sens!E10793</f>
        <v>133.749</v>
      </c>
      <c r="F10796" s="6" t="n">
        <f aca="false">Sens!F10793+Sens!F10786*(1-tax_f)</f>
        <v>148.549581900063</v>
      </c>
      <c r="G10796" s="6" t="n">
        <f aca="false">Sens!G10793+Sens!G10786*(1-tax_f)</f>
        <v>177.061066353901</v>
      </c>
      <c r="H10796" s="6" t="n">
        <f aca="false">Sens!H10793+Sens!H10786*(1-tax_f)</f>
        <v>206.42022117389</v>
      </c>
      <c r="I10796" s="6" t="n">
        <f aca="false">Sens!I10793+Sens!I10786*(1-tax_f)</f>
        <v>234.084887220658</v>
      </c>
      <c r="J10796" s="6" t="n">
        <f aca="false">Sens!J10793+Sens!J10786*(1-tax_f)</f>
        <v>257.294848388601</v>
      </c>
      <c r="K10796" s="6" t="n">
        <f aca="false">Sens!K10793+Sens!K10786*(1-tax_f)</f>
        <v>276.583524761203</v>
      </c>
    </row>
    <row r="10797" customFormat="false" ht="17.15" hidden="false" customHeight="false" outlineLevel="0" collapsed="false">
      <c r="A10797" s="0" t="s">
        <v>930</v>
      </c>
      <c r="B10797" s="0" t="s">
        <v>75</v>
      </c>
      <c r="D10797" s="8" t="n">
        <f aca="false">Sens!D10796/Sens!D10794</f>
        <v>13.641259209645</v>
      </c>
      <c r="E10797" s="8" t="n">
        <f aca="false">Sens!E10796/Sens!E10794</f>
        <v>17.9456594659869</v>
      </c>
      <c r="F10797" s="8" t="n">
        <f aca="false">Sens!F10796/Sens!F10794</f>
        <v>19.8768424299275</v>
      </c>
      <c r="G10797" s="8" t="n">
        <f aca="false">Sens!G10796/Sens!G10794</f>
        <v>23.5516139689933</v>
      </c>
      <c r="H10797" s="8" t="n">
        <f aca="false">Sens!H10796/Sens!H10794</f>
        <v>27.3576226371935</v>
      </c>
      <c r="I10797" s="8" t="n">
        <f aca="false">Sens!I10796/Sens!I10794</f>
        <v>30.9757572411047</v>
      </c>
      <c r="J10797" s="8" t="n">
        <f aca="false">Sens!J10796/Sens!J10794</f>
        <v>33.9830201511152</v>
      </c>
      <c r="K10797" s="8" t="n">
        <f aca="false">Sens!K10796/Sens!K10794</f>
        <v>36.4510989149674</v>
      </c>
      <c r="L10797" s="1" t="s">
        <v>931</v>
      </c>
    </row>
    <row r="10798" customFormat="false" ht="17.15" hidden="false" customHeight="false" outlineLevel="0" collapsed="false">
      <c r="A10798" s="0" t="s">
        <v>932</v>
      </c>
      <c r="B10798" s="0" t="s">
        <v>129</v>
      </c>
      <c r="E10798" s="7" t="n">
        <f aca="false">Sens!E10797/Sens!D10797-1</f>
        <v>0.315542736208578</v>
      </c>
      <c r="F10798" s="7" t="n">
        <f aca="false">Sens!F10797/Sens!E10797-1</f>
        <v>0.107612816770591</v>
      </c>
      <c r="G10798" s="7" t="n">
        <f aca="false">Sens!G10797/Sens!F10797-1</f>
        <v>0.184877027225052</v>
      </c>
      <c r="H10798" s="7" t="n">
        <f aca="false">Sens!H10797/Sens!G10797-1</f>
        <v>0.161602880941025</v>
      </c>
      <c r="I10798" s="7" t="n">
        <f aca="false">Sens!I10797/Sens!H10797-1</f>
        <v>0.132253253577388</v>
      </c>
      <c r="J10798" s="7" t="n">
        <f aca="false">Sens!J10797/Sens!I10797-1</f>
        <v>0.0970844033481726</v>
      </c>
      <c r="K10798" s="7" t="n">
        <f aca="false">Sens!K10797/Sens!J10797-1</f>
        <v>0.0726268222446727</v>
      </c>
    </row>
    <row r="10799" customFormat="false" ht="17.15" hidden="false" customHeight="false" outlineLevel="0" collapsed="false">
      <c r="A10799" s="0" t="s">
        <v>856</v>
      </c>
      <c r="B10799" s="0" t="s">
        <v>98</v>
      </c>
      <c r="E10799" s="6" t="n">
        <f aca="false">Sens!E10740</f>
        <v>5.25</v>
      </c>
      <c r="F10799" s="6" t="n">
        <f aca="false">Sens!F10740</f>
        <v>12</v>
      </c>
      <c r="G10799" s="6" t="n">
        <f aca="false">Sens!G10740</f>
        <v>18</v>
      </c>
      <c r="H10799" s="6" t="n">
        <f aca="false">Sens!H10740</f>
        <v>24</v>
      </c>
      <c r="I10799" s="6" t="n">
        <f aca="false">Sens!I10740</f>
        <v>28.5</v>
      </c>
      <c r="J10799" s="6" t="n">
        <f aca="false">Sens!J10740</f>
        <v>31.5</v>
      </c>
      <c r="K10799" s="6" t="n">
        <f aca="false">Sens!K10740</f>
        <v>34.5</v>
      </c>
    </row>
    <row r="10800" customFormat="false" ht="17.15" hidden="false" customHeight="false" outlineLevel="0" collapsed="false">
      <c r="A10800" s="1" t="s">
        <v>857</v>
      </c>
      <c r="B10800" s="0" t="s">
        <v>98</v>
      </c>
      <c r="F10800" s="6" t="n">
        <f aca="false">MAX(0,((Sens!E10703+Sens!F10703)/2-(shadow_base*(Sens!$D$10703+Sens!$E$10703)/2+(1-shadow_base)*Sens!$E$10703))*Sens!F10711/1000-(Sens!F10799-Sens!$E$10799)*Sens!F10779)</f>
        <v>9.29892047395526</v>
      </c>
      <c r="G10800" s="6" t="n">
        <f aca="false">MAX(0,((Sens!F10703+Sens!G10703)/2-(shadow_base*(Sens!$D$10703+Sens!$E$10703)/2+(1-shadow_base)*Sens!$E$10703))*Sens!G10711/1000-(Sens!G10799-Sens!$E$10799)*Sens!G10779)</f>
        <v>23.9346303607031</v>
      </c>
      <c r="H10800" s="6" t="n">
        <f aca="false">MAX(0,((Sens!G10703+Sens!H10703)/2-(shadow_base*(Sens!$D$10703+Sens!$E$10703)/2+(1-shadow_base)*Sens!$E$10703))*Sens!H10711/1000-(Sens!H10799-Sens!$E$10799)*Sens!H10779)</f>
        <v>40.1043191979728</v>
      </c>
      <c r="I10800" s="6" t="n">
        <f aca="false">MAX(0,((Sens!H10703+Sens!I10703)/2-(shadow_base*(Sens!$D$10703+Sens!$E$10703)/2+(1-shadow_base)*Sens!$E$10703))*Sens!I10711/1000-(Sens!I10799-Sens!$E$10799)*Sens!I10779)</f>
        <v>54.9360183203111</v>
      </c>
      <c r="J10800" s="6" t="n">
        <f aca="false">MAX(0,((Sens!I10703+Sens!J10703)/2-(shadow_base*(Sens!$D$10703+Sens!$E$10703)/2+(1-shadow_base)*Sens!$E$10703))*Sens!J10711/1000-(Sens!J10799-Sens!$E$10799)*Sens!J10779)</f>
        <v>65.4555422613168</v>
      </c>
      <c r="K10800" s="6" t="n">
        <f aca="false">MAX(0,((Sens!J10703+Sens!K10703)/2-(shadow_base*(Sens!$D$10703+Sens!$E$10703)/2+(1-shadow_base)*Sens!$E$10703))*Sens!K10711/1000-(Sens!K10799-Sens!$E$10799)*Sens!K10779)</f>
        <v>71.4992160033785</v>
      </c>
      <c r="L10800" s="1" t="s">
        <v>858</v>
      </c>
    </row>
    <row r="10801" customFormat="false" ht="17.15" hidden="false" customHeight="false" outlineLevel="0" collapsed="false">
      <c r="A10801" s="1" t="s">
        <v>859</v>
      </c>
      <c r="B10801" s="0" t="s">
        <v>98</v>
      </c>
      <c r="F10801" s="6" t="n">
        <f aca="false">IF(internal_ai_reading=2,1,0)*Sens!F10800</f>
        <v>9.29892047395526</v>
      </c>
      <c r="G10801" s="6" t="n">
        <f aca="false">IF(internal_ai_reading=2,1,0)*Sens!G10800</f>
        <v>23.9346303607031</v>
      </c>
      <c r="H10801" s="6" t="n">
        <f aca="false">IF(internal_ai_reading=2,1,0)*Sens!H10800</f>
        <v>40.1043191979728</v>
      </c>
      <c r="I10801" s="6" t="n">
        <f aca="false">IF(internal_ai_reading=2,1,0)*Sens!I10800</f>
        <v>54.9360183203111</v>
      </c>
      <c r="J10801" s="6" t="n">
        <f aca="false">IF(internal_ai_reading=2,1,0)*Sens!J10800</f>
        <v>65.4555422613168</v>
      </c>
      <c r="K10801" s="6" t="n">
        <f aca="false">IF(internal_ai_reading=2,1,0)*Sens!K10800</f>
        <v>71.4992160033785</v>
      </c>
    </row>
    <row r="10802" customFormat="false" ht="17.15" hidden="false" customHeight="false" outlineLevel="0" collapsed="false">
      <c r="A10802" s="0" t="s">
        <v>860</v>
      </c>
      <c r="B10802" s="0" t="s">
        <v>98</v>
      </c>
      <c r="F10802" s="6" t="n">
        <f aca="false">Sens!F10720+Sens!F10799*Sens!F10779+Sens!F10801-Sens!F10721-Sens!F10731</f>
        <v>15.0270315022233</v>
      </c>
      <c r="G10802" s="6" t="n">
        <f aca="false">Sens!G10720+Sens!G10799*Sens!G10779+Sens!G10801-Sens!G10721-Sens!G10731</f>
        <v>30.8545489496424</v>
      </c>
      <c r="H10802" s="6" t="n">
        <f aca="false">Sens!H10720+Sens!H10799*Sens!H10779+Sens!H10801-Sens!H10721-Sens!H10731</f>
        <v>47.4024902575898</v>
      </c>
      <c r="I10802" s="6" t="n">
        <f aca="false">Sens!I10720+Sens!I10799*Sens!I10779+Sens!I10801-Sens!I10721-Sens!I10731</f>
        <v>62.1817971739404</v>
      </c>
      <c r="J10802" s="6" t="n">
        <f aca="false">Sens!J10720+Sens!J10799*Sens!J10779+Sens!J10801-Sens!J10721-Sens!J10731</f>
        <v>72.5050518947332</v>
      </c>
      <c r="K10802" s="6" t="n">
        <f aca="false">Sens!K10720+Sens!K10799*Sens!K10779+Sens!K10801-Sens!K10721-Sens!K10731</f>
        <v>79.8210980571165</v>
      </c>
    </row>
    <row r="10803" customFormat="false" ht="17.15" hidden="false" customHeight="false" outlineLevel="0" collapsed="false">
      <c r="A10803" s="0" t="s">
        <v>861</v>
      </c>
      <c r="B10803" s="0" t="s">
        <v>98</v>
      </c>
      <c r="E10803" s="6" t="n">
        <f aca="false">Sens!E10702*(cxit_open+self_build*tk_cxfac)/1000*ai_net_open</f>
        <v>126.6980382</v>
      </c>
      <c r="F10803" s="6" t="n">
        <f aca="false">Sens!E10803+Sens!F10728-Sens!F10731</f>
        <v>252.981026690511</v>
      </c>
      <c r="G10803" s="6" t="n">
        <f aca="false">Sens!F10803+Sens!G10728-Sens!G10731</f>
        <v>377.4297700632</v>
      </c>
      <c r="H10803" s="6" t="n">
        <f aca="false">Sens!G10803+Sens!H10728-Sens!H10731</f>
        <v>479.149036130289</v>
      </c>
      <c r="I10803" s="6" t="n">
        <f aca="false">Sens!H10803+Sens!I10728-Sens!I10731</f>
        <v>532.249961452141</v>
      </c>
      <c r="J10803" s="6" t="n">
        <f aca="false">Sens!I10803+Sens!J10728-Sens!J10731</f>
        <v>531.43307519354</v>
      </c>
      <c r="K10803" s="6" t="n">
        <f aca="false">Sens!J10803+Sens!K10728-Sens!K10731</f>
        <v>513.709026452823</v>
      </c>
      <c r="L10803" s="1" t="s">
        <v>862</v>
      </c>
    </row>
    <row r="10804" customFormat="false" ht="17.15" hidden="false" customHeight="false" outlineLevel="0" collapsed="false">
      <c r="A10804" s="0" t="s">
        <v>863</v>
      </c>
      <c r="B10804" s="0" t="s">
        <v>129</v>
      </c>
      <c r="F10804" s="7" t="n">
        <f aca="false">Sens!F10802*(1-tax_f)/((Sens!E10803+Sens!F10803)/2)</f>
        <v>0.0633251938989334</v>
      </c>
      <c r="G10804" s="7" t="n">
        <f aca="false">Sens!G10802*(1-tax_f)/((Sens!F10803+Sens!G10803)/2)</f>
        <v>0.0783096967463813</v>
      </c>
      <c r="H10804" s="7" t="n">
        <f aca="false">Sens!H10802*(1-tax_f)/((Sens!G10803+Sens!H10803)/2)</f>
        <v>0.0885429149819656</v>
      </c>
      <c r="I10804" s="7" t="n">
        <f aca="false">Sens!I10802*(1-tax_f)/((Sens!H10803+Sens!I10803)/2)</f>
        <v>0.0983695610892634</v>
      </c>
      <c r="J10804" s="7" t="n">
        <f aca="false">Sens!J10802*(1-tax_f)/((Sens!I10803+Sens!J10803)/2)</f>
        <v>0.109062642756252</v>
      </c>
      <c r="K10804" s="7" t="n">
        <f aca="false">Sens!K10802*(1-tax_f)/((Sens!J10803+Sens!K10803)/2)</f>
        <v>0.122197504712713</v>
      </c>
    </row>
    <row r="10805" customFormat="false" ht="17.15" hidden="false" customHeight="false" outlineLevel="0" collapsed="false">
      <c r="A10805" s="1" t="s">
        <v>864</v>
      </c>
      <c r="B10805" s="0" t="s">
        <v>129</v>
      </c>
      <c r="F10805" s="7" t="n">
        <f aca="false">(Sens!F10802-Sens!F10801)*(1-tax_f)/((Sens!E10803+Sens!F10803)/2)</f>
        <v>0.0241387489928418</v>
      </c>
      <c r="G10805" s="7" t="n">
        <f aca="false">(Sens!G10802-Sens!G10801)*(1-tax_f)/((Sens!F10803+Sens!G10803)/2)</f>
        <v>0.0175629443520275</v>
      </c>
      <c r="H10805" s="7" t="n">
        <f aca="false">(Sens!H10802-Sens!H10801)*(1-tax_f)/((Sens!G10803+Sens!H10803)/2)</f>
        <v>0.0136322234579658</v>
      </c>
      <c r="I10805" s="7" t="n">
        <f aca="false">(Sens!I10802-Sens!I10801)*(1-tax_f)/((Sens!H10803+Sens!I10803)/2)</f>
        <v>0.0114625841962651</v>
      </c>
      <c r="J10805" s="7" t="n">
        <f aca="false">(Sens!J10802-Sens!J10801)*(1-tax_f)/((Sens!I10803+Sens!J10803)/2)</f>
        <v>0.0106039252529919</v>
      </c>
      <c r="K10805" s="7" t="n">
        <f aca="false">(Sens!K10802-Sens!K10801)*(1-tax_f)/((Sens!J10803+Sens!K10803)/2)</f>
        <v>0.0127399051908886</v>
      </c>
    </row>
    <row r="10806" customFormat="false" ht="17.15" hidden="false" customHeight="false" outlineLevel="0" collapsed="false">
      <c r="A10806" s="1" t="s">
        <v>865</v>
      </c>
      <c r="B10806" s="0" t="s">
        <v>129</v>
      </c>
      <c r="F10806" s="7" t="n">
        <f aca="false">(Sens!F10802-Sens!F10801+Sens!F10800)*(1-tax_f)/((Sens!E10803+Sens!F10803)/2)</f>
        <v>0.0633251938989334</v>
      </c>
      <c r="G10806" s="7" t="n">
        <f aca="false">(Sens!G10802-Sens!G10801+Sens!G10800)*(1-tax_f)/((Sens!F10803+Sens!G10803)/2)</f>
        <v>0.0783096967463813</v>
      </c>
      <c r="H10806" s="7" t="n">
        <f aca="false">(Sens!H10802-Sens!H10801+Sens!H10800)*(1-tax_f)/((Sens!G10803+Sens!H10803)/2)</f>
        <v>0.0885429149819656</v>
      </c>
      <c r="I10806" s="7" t="n">
        <f aca="false">(Sens!I10802-Sens!I10801+Sens!I10800)*(1-tax_f)/((Sens!H10803+Sens!I10803)/2)</f>
        <v>0.0983695610892634</v>
      </c>
      <c r="J10806" s="7" t="n">
        <f aca="false">(Sens!J10802-Sens!J10801+Sens!J10800)*(1-tax_f)/((Sens!I10803+Sens!J10803)/2)</f>
        <v>0.109062642756252</v>
      </c>
      <c r="K10806" s="7" t="n">
        <f aca="false">(Sens!K10802-Sens!K10801+Sens!K10800)*(1-tax_f)/((Sens!J10803+Sens!K10803)/2)</f>
        <v>0.122197504712713</v>
      </c>
    </row>
    <row r="10807" customFormat="false" ht="17.15" hidden="false" customHeight="false" outlineLevel="0" collapsed="false">
      <c r="A10807" s="1" t="s">
        <v>866</v>
      </c>
      <c r="B10807" s="0" t="s">
        <v>129</v>
      </c>
      <c r="F10807" s="7" t="n">
        <f aca="false">Sens!F10732*(1-tax_f)/(Sens!F10719*(Sens!E10803+Sens!F10803)/2)</f>
        <v>0.133653288300971</v>
      </c>
      <c r="G10807" s="7" t="n">
        <f aca="false">Sens!G10732*(1-tax_f)/(Sens!G10719*(Sens!F10803+Sens!G10803)/2)</f>
        <v>0.131459221834535</v>
      </c>
      <c r="H10807" s="7" t="n">
        <f aca="false">Sens!H10732*(1-tax_f)/(Sens!H10719*(Sens!G10803+Sens!H10803)/2)</f>
        <v>0.135120575835084</v>
      </c>
      <c r="I10807" s="7" t="n">
        <f aca="false">Sens!I10732*(1-tax_f)/(Sens!I10719*(Sens!H10803+Sens!I10803)/2)</f>
        <v>0.143323969665222</v>
      </c>
      <c r="J10807" s="7" t="n">
        <f aca="false">Sens!J10732*(1-tax_f)/(Sens!J10719*(Sens!I10803+Sens!J10803)/2)</f>
        <v>0.155570128388075</v>
      </c>
      <c r="K10807" s="7" t="n">
        <f aca="false">Sens!K10732*(1-tax_f)/(Sens!K10719*(Sens!J10803+Sens!K10803)/2)</f>
        <v>0.172427697111622</v>
      </c>
    </row>
    <row r="10808" customFormat="false" ht="17.15" hidden="false" customHeight="false" outlineLevel="0" collapsed="false">
      <c r="A10808" s="0" t="s">
        <v>867</v>
      </c>
      <c r="B10808" s="0" t="s">
        <v>209</v>
      </c>
      <c r="F10808" s="7" t="n">
        <f aca="false">Sens!F10804-wacc</f>
        <v>-0.0396092261939423</v>
      </c>
      <c r="G10808" s="7" t="n">
        <f aca="false">Sens!G10804-wacc</f>
        <v>-0.0246247233464944</v>
      </c>
      <c r="H10808" s="7" t="n">
        <f aca="false">Sens!H10804-wacc</f>
        <v>-0.0143915051109101</v>
      </c>
      <c r="I10808" s="7" t="n">
        <f aca="false">Sens!I10804-wacc</f>
        <v>-0.00456485900361238</v>
      </c>
      <c r="J10808" s="7" t="n">
        <f aca="false">Sens!J10804-wacc</f>
        <v>0.00612822266337605</v>
      </c>
      <c r="K10808" s="7" t="n">
        <f aca="false">Sens!K10804-wacc</f>
        <v>0.0192630846198374</v>
      </c>
    </row>
    <row r="10809" customFormat="false" ht="17.15" hidden="false" customHeight="false" outlineLevel="0" collapsed="false">
      <c r="A10809" s="0" t="s">
        <v>868</v>
      </c>
      <c r="B10809" s="0" t="s">
        <v>98</v>
      </c>
      <c r="F10809" s="6" t="n">
        <f aca="false">Sens!F10802*(1-tax_f)-wacc*(Sens!E10803+Sens!F10803)/2</f>
        <v>-7.51939698117638</v>
      </c>
      <c r="G10809" s="6" t="n">
        <f aca="false">Sens!G10802*(1-tax_f)-wacc*(Sens!F10803+Sens!G10803)/2</f>
        <v>-7.76184573235162</v>
      </c>
      <c r="H10809" s="6" t="n">
        <f aca="false">Sens!H10802*(1-tax_f)-wacc*(Sens!G10803+Sens!H10803)/2</f>
        <v>-6.16372913361546</v>
      </c>
      <c r="I10809" s="6" t="n">
        <f aca="false">Sens!I10802*(1-tax_f)-wacc*(Sens!H10803+Sens!I10803)/2</f>
        <v>-2.30844691017934</v>
      </c>
      <c r="J10809" s="6" t="n">
        <f aca="false">Sens!J10802*(1-tax_f)-wacc*(Sens!I10803+Sens!J10803)/2</f>
        <v>3.25924324591036</v>
      </c>
      <c r="K10809" s="6" t="n">
        <f aca="false">Sens!K10802*(1-tax_f)-wacc*(Sens!J10803+Sens!K10803)/2</f>
        <v>10.0663303718843</v>
      </c>
    </row>
    <row r="10810" customFormat="false" ht="17.15" hidden="false" customHeight="false" outlineLevel="0" collapsed="false">
      <c r="A10810" s="3" t="s">
        <v>1540</v>
      </c>
    </row>
    <row r="10811" customFormat="false" ht="15" hidden="false" customHeight="false" outlineLevel="0" collapsed="false">
      <c r="A10811" s="4" t="s">
        <v>43</v>
      </c>
      <c r="B10811" s="4" t="s">
        <v>65</v>
      </c>
      <c r="C10811" s="20" t="s">
        <v>799</v>
      </c>
      <c r="D10811" s="20" t="s">
        <v>800</v>
      </c>
      <c r="E10811" s="20" t="s">
        <v>801</v>
      </c>
      <c r="F10811" s="20" t="s">
        <v>802</v>
      </c>
      <c r="G10811" s="20" t="s">
        <v>803</v>
      </c>
      <c r="H10811" s="20" t="s">
        <v>804</v>
      </c>
      <c r="I10811" s="20" t="s">
        <v>805</v>
      </c>
      <c r="J10811" s="20" t="s">
        <v>806</v>
      </c>
      <c r="K10811" s="20" t="s">
        <v>807</v>
      </c>
      <c r="L10811" s="4" t="s">
        <v>47</v>
      </c>
    </row>
    <row r="10812" customFormat="false" ht="15" hidden="false" customHeight="false" outlineLevel="0" collapsed="false">
      <c r="A10812" s="1" t="s">
        <v>925</v>
      </c>
      <c r="B10812" s="0" t="s">
        <v>98</v>
      </c>
      <c r="F10812" s="6" t="n">
        <f aca="false">Sens!F10793</f>
        <v>141.110445520899</v>
      </c>
      <c r="G10812" s="6" t="n">
        <f aca="false">Sens!G10793</f>
        <v>157.913362065339</v>
      </c>
      <c r="H10812" s="6" t="n">
        <f aca="false">Sens!H10793</f>
        <v>174.336765815512</v>
      </c>
      <c r="I10812" s="6" t="n">
        <f aca="false">Sens!I10793</f>
        <v>190.136072564409</v>
      </c>
      <c r="J10812" s="6" t="n">
        <f aca="false">Sens!J10793</f>
        <v>204.930414579548</v>
      </c>
      <c r="K10812" s="6" t="n">
        <f aca="false">Sens!K10793</f>
        <v>219.384151958501</v>
      </c>
    </row>
    <row r="10813" customFormat="false" ht="17.15" hidden="false" customHeight="false" outlineLevel="0" collapsed="false">
      <c r="A10813" s="1" t="s">
        <v>947</v>
      </c>
      <c r="B10813" s="0" t="s">
        <v>98</v>
      </c>
      <c r="E10813" s="6" t="n">
        <f aca="false">Q!M38-Sens!E10731</f>
        <v>22.2285940229167</v>
      </c>
      <c r="F10813" s="6" t="n">
        <f aca="false">Sens!E10813*(1-1/life_nonai)+(Sens!F10820+Sens!F10821)/life_nonai</f>
        <v>24.3924470334783</v>
      </c>
      <c r="G10813" s="6" t="n">
        <f aca="false">Sens!F10813*(1-1/life_nonai)+(Sens!G10820)/life_nonai</f>
        <v>26.0694257254366</v>
      </c>
      <c r="H10813" s="6" t="n">
        <f aca="false">Sens!G10813*(1-1/life_nonai)+(Sens!H10820)/life_nonai</f>
        <v>28.145446925778</v>
      </c>
      <c r="I10813" s="6" t="n">
        <f aca="false">Sens!H10813*(1-1/life_nonai)+(Sens!I10820)/life_nonai</f>
        <v>30.5537262392294</v>
      </c>
      <c r="J10813" s="6" t="n">
        <f aca="false">Sens!I10813*(1-1/life_nonai)+(Sens!J10820)/life_nonai</f>
        <v>33.210945591744</v>
      </c>
      <c r="K10813" s="6" t="n">
        <f aca="false">Sens!J10813*(1-1/life_nonai)+(Sens!K10820)/life_nonai</f>
        <v>36.033168452593</v>
      </c>
      <c r="L10813" s="11" t="s">
        <v>948</v>
      </c>
    </row>
    <row r="10814" customFormat="false" ht="17.15" hidden="false" customHeight="false" outlineLevel="0" collapsed="false">
      <c r="A10814" s="1" t="s">
        <v>949</v>
      </c>
      <c r="B10814" s="0" t="s">
        <v>98</v>
      </c>
      <c r="F10814" s="6" t="n">
        <f aca="false">Sens!$F$10821/life_nonai*(1-1/life_nonai)^(Sens!F10697-2027)</f>
        <v>0.828450839897089</v>
      </c>
      <c r="G10814" s="6" t="n">
        <f aca="false">Sens!$F$10821/life_nonai*(1-1/life_nonai)^(Sens!G10697-2027)</f>
        <v>0.74560575590738</v>
      </c>
      <c r="H10814" s="6" t="n">
        <f aca="false">Sens!$F$10821/life_nonai*(1-1/life_nonai)^(Sens!H10697-2027)</f>
        <v>0.671045180316642</v>
      </c>
      <c r="I10814" s="6" t="n">
        <f aca="false">Sens!$F$10821/life_nonai*(1-1/life_nonai)^(Sens!I10697-2027)</f>
        <v>0.603940662284978</v>
      </c>
      <c r="J10814" s="6" t="n">
        <f aca="false">Sens!$F$10821/life_nonai*(1-1/life_nonai)^(Sens!J10697-2027)</f>
        <v>0.54354659605648</v>
      </c>
      <c r="K10814" s="6" t="n">
        <f aca="false">Sens!$F$10821/life_nonai*(1-1/life_nonai)^(Sens!K10697-2027)</f>
        <v>0.489191936450832</v>
      </c>
      <c r="L10814" s="1" t="s">
        <v>950</v>
      </c>
    </row>
    <row r="10815" customFormat="false" ht="17.15" hidden="false" customHeight="false" outlineLevel="0" collapsed="false">
      <c r="A10815" s="1" t="s">
        <v>951</v>
      </c>
      <c r="B10815" s="0" t="s">
        <v>98</v>
      </c>
      <c r="E10815" s="6" t="n">
        <f aca="false">Sens!E10731+Sens!E10813</f>
        <v>38.534</v>
      </c>
      <c r="F10815" s="6" t="n">
        <f aca="false">Sens!F10731+Sens!F10813</f>
        <v>58.4423344144339</v>
      </c>
      <c r="G10815" s="6" t="n">
        <f aca="false">Sens!G10731+Sens!G10813</f>
        <v>85.1948628359478</v>
      </c>
      <c r="H10815" s="6" t="n">
        <f aca="false">Sens!H10731+Sens!H10813</f>
        <v>114.506466769089</v>
      </c>
      <c r="I10815" s="6" t="n">
        <f aca="false">Sens!I10731+Sens!I10813</f>
        <v>141.159470071622</v>
      </c>
      <c r="J10815" s="6" t="n">
        <f aca="false">Sens!J10731+Sens!J10813</f>
        <v>161.209268444587</v>
      </c>
      <c r="K10815" s="6" t="n">
        <f aca="false">Sens!K10731+Sens!K10813</f>
        <v>175.164632496901</v>
      </c>
    </row>
    <row r="10816" customFormat="false" ht="17.15" hidden="false" customHeight="false" outlineLevel="0" collapsed="false">
      <c r="A10816" s="1" t="s">
        <v>952</v>
      </c>
      <c r="B10816" s="0" t="s">
        <v>98</v>
      </c>
      <c r="F10816" s="6" t="n">
        <f aca="false">Sens!F10758*sbc_r</f>
        <v>14.934943326886</v>
      </c>
      <c r="G10816" s="6" t="n">
        <f aca="false">Sens!G10758*sbc_r</f>
        <v>17.7757498032634</v>
      </c>
      <c r="H10816" s="6" t="n">
        <f aca="false">Sens!H10758*sbc_r</f>
        <v>20.686672233185</v>
      </c>
      <c r="I10816" s="6" t="n">
        <f aca="false">Sens!I10758*sbc_r</f>
        <v>23.3761346377319</v>
      </c>
      <c r="J10816" s="6" t="n">
        <f aca="false">Sens!J10758*sbc_r</f>
        <v>25.6004800735954</v>
      </c>
      <c r="K10816" s="6" t="n">
        <f aca="false">Sens!K10758*sbc_r</f>
        <v>27.4237988170387</v>
      </c>
    </row>
    <row r="10817" customFormat="false" ht="17.15" hidden="false" customHeight="false" outlineLevel="0" collapsed="false">
      <c r="A10817" s="1" t="s">
        <v>953</v>
      </c>
      <c r="B10817" s="0" t="s">
        <v>98</v>
      </c>
      <c r="F10817" s="6" t="n">
        <f aca="false">wc27</f>
        <v>-4.895</v>
      </c>
      <c r="G10817" s="6" t="n">
        <f aca="false">wc_f</f>
        <v>0</v>
      </c>
      <c r="H10817" s="6" t="n">
        <f aca="false">wc_f</f>
        <v>0</v>
      </c>
      <c r="I10817" s="6" t="n">
        <f aca="false">wc_f</f>
        <v>0</v>
      </c>
      <c r="J10817" s="6" t="n">
        <f aca="false">wc_f</f>
        <v>0</v>
      </c>
      <c r="K10817" s="6" t="n">
        <f aca="false">wc_f</f>
        <v>0</v>
      </c>
      <c r="L10817" s="11" t="s">
        <v>954</v>
      </c>
    </row>
    <row r="10818" customFormat="false" ht="15" hidden="false" customHeight="false" outlineLevel="0" collapsed="false">
      <c r="A10818" s="1" t="s">
        <v>767</v>
      </c>
      <c r="B10818" s="0" t="s">
        <v>98</v>
      </c>
      <c r="E10818" s="6" t="n">
        <f aca="false">Q!M35</f>
        <v>182.935</v>
      </c>
      <c r="F10818" s="6" t="n">
        <f aca="false">Sens!F10812+Sens!F10815+Sens!F10816+Sens!F10817</f>
        <v>209.592723262219</v>
      </c>
      <c r="G10818" s="6" t="n">
        <f aca="false">Sens!G10812+Sens!G10815+Sens!G10816+Sens!G10817</f>
        <v>260.88397470455</v>
      </c>
      <c r="H10818" s="6" t="n">
        <f aca="false">Sens!H10812+Sens!H10815+Sens!H10816+Sens!H10817</f>
        <v>309.529904817786</v>
      </c>
      <c r="I10818" s="6" t="n">
        <f aca="false">Sens!I10812+Sens!I10815+Sens!I10816+Sens!I10817</f>
        <v>354.671677273763</v>
      </c>
      <c r="J10818" s="6" t="n">
        <f aca="false">Sens!J10812+Sens!J10815+Sens!J10816+Sens!J10817</f>
        <v>391.74016309773</v>
      </c>
      <c r="K10818" s="6" t="n">
        <f aca="false">Sens!K10812+Sens!K10815+Sens!K10816+Sens!K10817</f>
        <v>421.97258327244</v>
      </c>
    </row>
    <row r="10819" customFormat="false" ht="17.15" hidden="false" customHeight="false" outlineLevel="0" collapsed="false">
      <c r="A10819" s="0" t="s">
        <v>955</v>
      </c>
      <c r="B10819" s="0" t="s">
        <v>98</v>
      </c>
      <c r="F10819" s="6" t="n">
        <f aca="false">Sens!F10728</f>
        <v>160.332875871467</v>
      </c>
      <c r="G10819" s="6" t="n">
        <f aca="false">Sens!G10728</f>
        <v>183.5741804832</v>
      </c>
      <c r="H10819" s="6" t="n">
        <f aca="false">Sens!H10728</f>
        <v>188.0802859104</v>
      </c>
      <c r="I10819" s="6" t="n">
        <f aca="false">Sens!I10728</f>
        <v>163.706669154245</v>
      </c>
      <c r="J10819" s="6" t="n">
        <f aca="false">Sens!J10728</f>
        <v>127.181436594242</v>
      </c>
      <c r="K10819" s="6" t="n">
        <f aca="false">Sens!K10728</f>
        <v>121.407415303591</v>
      </c>
    </row>
    <row r="10820" customFormat="false" ht="17.15" hidden="false" customHeight="false" outlineLevel="0" collapsed="false">
      <c r="A10820" s="1" t="s">
        <v>956</v>
      </c>
      <c r="B10820" s="0" t="s">
        <v>98</v>
      </c>
      <c r="E10820" s="6" t="n">
        <f aca="false">Sens!E10736*cx_azo+Sens!E10743*cx_m365+Sens!E10744*cx_lic+(Sens!E10746+Sens!E10748)*cx_ind+Sens!E10751*cx_srch+(Sens!E10753+Sens!E10755)*cx_dev</f>
        <v>30.1846587067718</v>
      </c>
      <c r="F10820" s="6" t="n">
        <f aca="false">Sens!F10736*cx_azo+Sens!F10743*cx_m365+Sens!F10744*cx_lic+(Sens!F10746+Sens!F10748)*cx_ind+Sens!F10751*cx_srch+(Sens!F10753+Sens!F10755)*cx_dev</f>
        <v>35.5826157295625</v>
      </c>
      <c r="G10820" s="6" t="n">
        <f aca="false">Sens!G10736*cx_azo+Sens!G10743*cx_m365+Sens!G10744*cx_lic+(Sens!G10746+Sens!G10748)*cx_ind+Sens!G10751*cx_srch+(Sens!G10753+Sens!G10755)*cx_dev</f>
        <v>41.1622339530614</v>
      </c>
      <c r="H10820" s="6" t="n">
        <f aca="false">Sens!H10736*cx_azo+Sens!H10743*cx_m365+Sens!H10744*cx_lic+(Sens!H10746+Sens!H10748)*cx_ind+Sens!H10751*cx_srch+(Sens!H10753+Sens!H10755)*cx_dev</f>
        <v>46.82963772885</v>
      </c>
      <c r="I10820" s="6" t="n">
        <f aca="false">Sens!I10736*cx_azo+Sens!I10743*cx_m365+Sens!I10744*cx_lic+(Sens!I10746+Sens!I10748)*cx_ind+Sens!I10751*cx_srch+(Sens!I10753+Sens!I10755)*cx_dev</f>
        <v>52.2282400602924</v>
      </c>
      <c r="J10820" s="6" t="n">
        <f aca="false">Sens!J10736*cx_azo+Sens!J10743*cx_m365+Sens!J10744*cx_lic+(Sens!J10746+Sens!J10748)*cx_ind+Sens!J10751*cx_srch+(Sens!J10753+Sens!J10755)*cx_dev</f>
        <v>57.1259197643751</v>
      </c>
      <c r="K10820" s="6" t="n">
        <f aca="false">Sens!K10736*cx_azo+Sens!K10743*cx_m365+Sens!K10744*cx_lic+(Sens!K10746+Sens!K10748)*cx_ind+Sens!K10751*cx_srch+(Sens!K10753+Sens!K10755)*cx_dev</f>
        <v>61.433174200234</v>
      </c>
    </row>
    <row r="10821" customFormat="false" ht="17.15" hidden="false" customHeight="false" outlineLevel="0" collapsed="false">
      <c r="A10821" s="0" t="s">
        <v>957</v>
      </c>
      <c r="B10821" s="0" t="s">
        <v>98</v>
      </c>
      <c r="F10821" s="6" t="n">
        <f aca="false">Sens!F10726</f>
        <v>8.28450839897089</v>
      </c>
      <c r="L10821" s="1" t="s">
        <v>958</v>
      </c>
    </row>
    <row r="10822" customFormat="false" ht="17.15" hidden="false" customHeight="false" outlineLevel="0" collapsed="false">
      <c r="A10822" s="1" t="s">
        <v>959</v>
      </c>
      <c r="B10822" s="0" t="s">
        <v>98</v>
      </c>
      <c r="E10822" s="6" t="n">
        <f aca="false">Q!M42</f>
        <v>145.3</v>
      </c>
      <c r="F10822" s="6" t="n">
        <f aca="false">Sens!F10819+Sens!F10820+Sens!F10821</f>
        <v>204.2</v>
      </c>
      <c r="G10822" s="6" t="n">
        <f aca="false">Sens!G10819+Sens!G10820</f>
        <v>224.736414436261</v>
      </c>
      <c r="H10822" s="6" t="n">
        <f aca="false">Sens!H10819+Sens!H10820</f>
        <v>234.90992363925</v>
      </c>
      <c r="I10822" s="6" t="n">
        <f aca="false">Sens!I10819+Sens!I10820</f>
        <v>215.934909214538</v>
      </c>
      <c r="J10822" s="6" t="n">
        <f aca="false">Sens!J10819+Sens!J10820</f>
        <v>184.307356358617</v>
      </c>
      <c r="K10822" s="6" t="n">
        <f aca="false">Sens!K10819+Sens!K10820</f>
        <v>182.840589503825</v>
      </c>
      <c r="L10822" s="1" t="s">
        <v>960</v>
      </c>
    </row>
    <row r="10823" customFormat="false" ht="15" hidden="false" customHeight="false" outlineLevel="0" collapsed="false">
      <c r="A10823" s="1" t="s">
        <v>961</v>
      </c>
      <c r="B10823" s="0" t="s">
        <v>98</v>
      </c>
      <c r="E10823" s="6" t="n">
        <f aca="false">fl_liab</f>
        <v>66.594</v>
      </c>
      <c r="F10823" s="6" t="n">
        <f aca="false">Sens!E10823-Sens!F10824</f>
        <v>62.46973</v>
      </c>
      <c r="G10823" s="6" t="n">
        <f aca="false">Sens!F10823-Sens!G10824</f>
        <v>57.98686785</v>
      </c>
      <c r="H10823" s="6" t="n">
        <f aca="false">Sens!G10823-Sens!H10824</f>
        <v>53.92827690325</v>
      </c>
      <c r="I10823" s="6" t="n">
        <f aca="false">Sens!H10823-Sens!I10824</f>
        <v>49.7850493638962</v>
      </c>
      <c r="J10823" s="6" t="n">
        <f aca="false">Sens!I10823-Sens!J10824</f>
        <v>45.4823765852716</v>
      </c>
      <c r="K10823" s="6" t="n">
        <f aca="false">Sens!J10823-Sens!K10824</f>
        <v>40.9860835316088</v>
      </c>
    </row>
    <row r="10824" customFormat="false" ht="15" hidden="false" customHeight="false" outlineLevel="0" collapsed="false">
      <c r="A10824" s="1" t="s">
        <v>962</v>
      </c>
      <c r="B10824" s="0" t="s">
        <v>98</v>
      </c>
      <c r="F10824" s="6" t="n">
        <f aca="false">fl_pay_27-Sens!E10823*fl_rate</f>
        <v>4.12427</v>
      </c>
      <c r="G10824" s="6" t="n">
        <f aca="false">fl_pay_28-Sens!F10823*fl_rate</f>
        <v>4.48286215</v>
      </c>
      <c r="H10824" s="6" t="n">
        <f aca="false">fl_pay_29-Sens!G10823*fl_rate</f>
        <v>4.05859094675</v>
      </c>
      <c r="I10824" s="6" t="n">
        <f aca="false">fl_pay_30-Sens!H10823*fl_rate</f>
        <v>4.14322753935375</v>
      </c>
      <c r="J10824" s="6" t="n">
        <f aca="false">fl_pay_31-Sens!I10823*fl_rate</f>
        <v>4.30267277862467</v>
      </c>
      <c r="K10824" s="6" t="n">
        <f aca="false">fl_pay_32-Sens!J10823*fl_rate</f>
        <v>4.49629305366278</v>
      </c>
    </row>
    <row r="10825" customFormat="false" ht="17.15" hidden="false" customHeight="false" outlineLevel="0" collapsed="false">
      <c r="A10825" s="1" t="s">
        <v>963</v>
      </c>
      <c r="B10825" s="0" t="s">
        <v>98</v>
      </c>
      <c r="E10825" s="6" t="n">
        <f aca="false">Q!M35-Q!M36-Q!M43</f>
        <v>63.886</v>
      </c>
      <c r="F10825" s="6" t="n">
        <f aca="false">Sens!F10818-Sens!F10822-Sens!F10824</f>
        <v>1.26845326221888</v>
      </c>
      <c r="G10825" s="6" t="n">
        <f aca="false">Sens!G10818-Sens!G10822-Sens!G10824</f>
        <v>31.6646981182883</v>
      </c>
      <c r="H10825" s="6" t="n">
        <f aca="false">Sens!H10818-Sens!H10822-Sens!H10824</f>
        <v>70.5613902317862</v>
      </c>
      <c r="I10825" s="6" t="n">
        <f aca="false">Sens!I10818-Sens!I10822-Sens!I10824</f>
        <v>134.593540519872</v>
      </c>
      <c r="J10825" s="6" t="n">
        <f aca="false">Sens!J10818-Sens!J10822-Sens!J10824</f>
        <v>203.130133960489</v>
      </c>
      <c r="K10825" s="6" t="n">
        <f aca="false">Sens!K10818-Sens!K10822-Sens!K10824</f>
        <v>234.635700714953</v>
      </c>
      <c r="L10825" s="11" t="s">
        <v>964</v>
      </c>
    </row>
    <row r="10826" customFormat="false" ht="15" hidden="false" customHeight="false" outlineLevel="0" collapsed="false">
      <c r="A10826" s="1" t="s">
        <v>965</v>
      </c>
      <c r="B10826" s="0" t="s">
        <v>75</v>
      </c>
      <c r="F10826" s="8" t="n">
        <f aca="false">dps_27</f>
        <v>3.85</v>
      </c>
      <c r="G10826" s="8" t="n">
        <f aca="false">Sens!F10826*(1+dps_g)</f>
        <v>4.158</v>
      </c>
      <c r="H10826" s="8" t="n">
        <f aca="false">Sens!G10826*(1+dps_g)</f>
        <v>4.49064</v>
      </c>
      <c r="I10826" s="8" t="n">
        <f aca="false">Sens!H10826*(1+dps_g)</f>
        <v>4.8498912</v>
      </c>
      <c r="J10826" s="8" t="n">
        <f aca="false">Sens!I10826*(1+dps_g)</f>
        <v>5.237882496</v>
      </c>
      <c r="K10826" s="8" t="n">
        <f aca="false">Sens!J10826*(1+dps_g)</f>
        <v>5.65691309568</v>
      </c>
    </row>
    <row r="10827" customFormat="false" ht="17.15" hidden="false" customHeight="false" outlineLevel="0" collapsed="false">
      <c r="A10827" s="1" t="s">
        <v>966</v>
      </c>
      <c r="B10827" s="0" t="s">
        <v>98</v>
      </c>
      <c r="E10827" s="6" t="n">
        <f aca="false">Q!M41</f>
        <v>26.445</v>
      </c>
      <c r="F10827" s="6" t="n">
        <f aca="false">Sens!F10826*Sens!E10836</f>
        <v>28.59395</v>
      </c>
      <c r="G10827" s="6" t="n">
        <f aca="false">Sens!G10826*Sens!F10836</f>
        <v>31.068576</v>
      </c>
      <c r="H10827" s="6" t="n">
        <f aca="false">Sens!H10826*Sens!G10836</f>
        <v>33.7516626470491</v>
      </c>
      <c r="I10827" s="6" t="n">
        <f aca="false">Sens!I10826*Sens!H10836</f>
        <v>36.5027348988125</v>
      </c>
      <c r="J10827" s="6" t="n">
        <f aca="false">Sens!J10826*Sens!I10836</f>
        <v>39.4913525390369</v>
      </c>
      <c r="K10827" s="6" t="n">
        <f aca="false">Sens!K10826*Sens!J10836</f>
        <v>42.7379159674649</v>
      </c>
      <c r="L10827" s="1" t="s">
        <v>967</v>
      </c>
    </row>
    <row r="10828" customFormat="false" ht="15" hidden="false" customHeight="false" outlineLevel="0" collapsed="false">
      <c r="A10828" s="1" t="s">
        <v>968</v>
      </c>
      <c r="B10828" s="0" t="s">
        <v>98</v>
      </c>
      <c r="E10828" s="6" t="n">
        <f aca="false">Sens!E10825-Sens!E10827</f>
        <v>37.441</v>
      </c>
      <c r="F10828" s="6" t="n">
        <f aca="false">Sens!F10825-Sens!F10827</f>
        <v>-27.3254967377811</v>
      </c>
      <c r="G10828" s="6" t="n">
        <f aca="false">Sens!G10825-Sens!G10827</f>
        <v>0.596122118288317</v>
      </c>
      <c r="H10828" s="6" t="n">
        <f aca="false">Sens!H10825-Sens!H10827</f>
        <v>36.8097275847371</v>
      </c>
      <c r="I10828" s="6" t="n">
        <f aca="false">Sens!I10825-Sens!I10827</f>
        <v>98.0908056210591</v>
      </c>
      <c r="J10828" s="6" t="n">
        <f aca="false">Sens!J10825-Sens!J10827</f>
        <v>163.638781421452</v>
      </c>
      <c r="K10828" s="6" t="n">
        <f aca="false">Sens!K10825-Sens!K10827</f>
        <v>191.897784747488</v>
      </c>
    </row>
    <row r="10829" customFormat="false" ht="15" hidden="false" customHeight="false" outlineLevel="0" collapsed="false">
      <c r="A10829" s="1" t="s">
        <v>969</v>
      </c>
      <c r="B10829" s="0" t="s">
        <v>98</v>
      </c>
      <c r="F10829" s="6" t="n">
        <f aca="false">debt_mat_27</f>
        <v>9.25</v>
      </c>
      <c r="G10829" s="6" t="n">
        <f aca="false">debt_mat_28</f>
        <v>0</v>
      </c>
      <c r="H10829" s="6" t="n">
        <f aca="false">debt_mat_29</f>
        <v>2.001</v>
      </c>
      <c r="I10829" s="6" t="n">
        <f aca="false">debt_mat_30</f>
        <v>0</v>
      </c>
      <c r="J10829" s="6" t="n">
        <f aca="false">debt_mat_31</f>
        <v>0.5</v>
      </c>
      <c r="K10829" s="6" t="n">
        <f aca="false">debt_mat_32</f>
        <v>0</v>
      </c>
    </row>
    <row r="10830" customFormat="false" ht="15" hidden="false" customHeight="false" outlineLevel="0" collapsed="false">
      <c r="A10830" s="1" t="s">
        <v>970</v>
      </c>
      <c r="B10830" s="0" t="s">
        <v>98</v>
      </c>
      <c r="E10830" s="6" t="n">
        <f aca="false">Q!M40</f>
        <v>22.271</v>
      </c>
      <c r="F10830" s="6" t="n">
        <f aca="false">MAX(0,MIN(bb_target,Sens!E10832+Sens!F10828-Sens!F10829-min_cash))</f>
        <v>0</v>
      </c>
      <c r="G10830" s="6" t="n">
        <f aca="false">MAX(0,MIN(bb_target,Sens!F10832+Sens!G10828-Sens!G10829-min_cash))</f>
        <v>0.596122118288321</v>
      </c>
      <c r="H10830" s="6" t="n">
        <f aca="false">MAX(0,MIN(bb_target,Sens!G10832+Sens!H10828-Sens!H10829-min_cash))</f>
        <v>22.271</v>
      </c>
      <c r="I10830" s="6" t="n">
        <f aca="false">MAX(0,MIN(bb_target,Sens!H10832+Sens!I10828-Sens!I10829-min_cash))</f>
        <v>22.271</v>
      </c>
      <c r="J10830" s="6" t="n">
        <f aca="false">MAX(0,MIN(bb_target,Sens!I10832+Sens!J10828-Sens!J10829-min_cash))</f>
        <v>22.271</v>
      </c>
      <c r="K10830" s="6" t="n">
        <f aca="false">MAX(0,MIN(bb_target,Sens!J10832+Sens!K10828-Sens!K10829-min_cash))</f>
        <v>22.271</v>
      </c>
    </row>
    <row r="10831" customFormat="false" ht="15" hidden="false" customHeight="false" outlineLevel="0" collapsed="false">
      <c r="A10831" s="1" t="s">
        <v>971</v>
      </c>
      <c r="B10831" s="0" t="s">
        <v>98</v>
      </c>
      <c r="F10831" s="6" t="n">
        <f aca="false">MAX(0,min_cash-(Sens!E10832+Sens!F10828-Sens!F10829-Sens!F10830))</f>
        <v>9.73249673778112</v>
      </c>
      <c r="G10831" s="6" t="n">
        <f aca="false">MAX(0,min_cash-(Sens!F10832+Sens!G10828-Sens!G10829-Sens!G10830))</f>
        <v>0</v>
      </c>
      <c r="H10831" s="6" t="n">
        <f aca="false">MAX(0,min_cash-(Sens!G10832+Sens!H10828-Sens!H10829-Sens!H10830))</f>
        <v>0</v>
      </c>
      <c r="I10831" s="6" t="n">
        <f aca="false">MAX(0,min_cash-(Sens!H10832+Sens!I10828-Sens!I10829-Sens!I10830))</f>
        <v>0</v>
      </c>
      <c r="J10831" s="6" t="n">
        <f aca="false">MAX(0,min_cash-(Sens!I10832+Sens!J10828-Sens!J10829-Sens!J10830))</f>
        <v>0</v>
      </c>
      <c r="K10831" s="6" t="n">
        <f aca="false">MAX(0,min_cash-(Sens!J10832+Sens!K10828-Sens!K10829-Sens!K10830))</f>
        <v>0</v>
      </c>
    </row>
    <row r="10832" customFormat="false" ht="15" hidden="false" customHeight="false" outlineLevel="0" collapsed="false">
      <c r="A10832" s="1" t="s">
        <v>972</v>
      </c>
      <c r="B10832" s="0" t="s">
        <v>98</v>
      </c>
      <c r="E10832" s="6" t="n">
        <f aca="false">cash_open</f>
        <v>76.843</v>
      </c>
      <c r="F10832" s="6" t="n">
        <f aca="false">Sens!E10832+Sens!F10828-Sens!F10829-Sens!F10830+Sens!F10831</f>
        <v>50</v>
      </c>
      <c r="G10832" s="6" t="n">
        <f aca="false">Sens!F10832+Sens!G10828-Sens!G10829-Sens!G10830+Sens!G10831</f>
        <v>50</v>
      </c>
      <c r="H10832" s="6" t="n">
        <f aca="false">Sens!G10832+Sens!H10828-Sens!H10829-Sens!H10830+Sens!H10831</f>
        <v>62.5377275847371</v>
      </c>
      <c r="I10832" s="6" t="n">
        <f aca="false">Sens!H10832+Sens!I10828-Sens!I10829-Sens!I10830+Sens!I10831</f>
        <v>138.357533205796</v>
      </c>
      <c r="J10832" s="6" t="n">
        <f aca="false">Sens!I10832+Sens!J10828-Sens!J10829-Sens!J10830+Sens!J10831</f>
        <v>279.225314627248</v>
      </c>
      <c r="K10832" s="6" t="n">
        <f aca="false">Sens!J10832+Sens!K10828-Sens!K10829-Sens!K10830+Sens!K10831</f>
        <v>448.852099374736</v>
      </c>
    </row>
    <row r="10833" customFormat="false" ht="15" hidden="false" customHeight="false" outlineLevel="0" collapsed="false">
      <c r="A10833" s="1" t="s">
        <v>973</v>
      </c>
      <c r="B10833" s="0" t="s">
        <v>98</v>
      </c>
      <c r="E10833" s="6" t="n">
        <f aca="false">debt_face</f>
        <v>46.136</v>
      </c>
      <c r="F10833" s="6" t="n">
        <f aca="false">Sens!E10833-Sens!F10829+Sens!F10831</f>
        <v>46.6184967377811</v>
      </c>
      <c r="G10833" s="6" t="n">
        <f aca="false">Sens!F10833-Sens!G10829+Sens!G10831</f>
        <v>46.6184967377811</v>
      </c>
      <c r="H10833" s="6" t="n">
        <f aca="false">Sens!G10833-Sens!H10829+Sens!H10831</f>
        <v>44.6174967377811</v>
      </c>
      <c r="I10833" s="6" t="n">
        <f aca="false">Sens!H10833-Sens!I10829+Sens!I10831</f>
        <v>44.6174967377811</v>
      </c>
      <c r="J10833" s="6" t="n">
        <f aca="false">Sens!I10833-Sens!J10829+Sens!J10831</f>
        <v>44.1174967377811</v>
      </c>
      <c r="K10833" s="6" t="n">
        <f aca="false">Sens!J10833-Sens!K10829+Sens!K10831</f>
        <v>44.1174967377811</v>
      </c>
    </row>
    <row r="10834" customFormat="false" ht="15" hidden="false" customHeight="false" outlineLevel="0" collapsed="false">
      <c r="A10834" s="1" t="s">
        <v>974</v>
      </c>
      <c r="B10834" s="0" t="s">
        <v>98</v>
      </c>
      <c r="E10834" s="6" t="n">
        <f aca="false">Sens!E10832-Sens!E10833</f>
        <v>30.707</v>
      </c>
      <c r="F10834" s="6" t="n">
        <f aca="false">Sens!F10832-Sens!F10833</f>
        <v>3.38150326221888</v>
      </c>
      <c r="G10834" s="6" t="n">
        <f aca="false">Sens!G10832-Sens!G10833</f>
        <v>3.38150326221888</v>
      </c>
      <c r="H10834" s="6" t="n">
        <f aca="false">Sens!H10832-Sens!H10833</f>
        <v>17.920230846956</v>
      </c>
      <c r="I10834" s="6" t="n">
        <f aca="false">Sens!I10832-Sens!I10833</f>
        <v>93.7400364680151</v>
      </c>
      <c r="J10834" s="6" t="n">
        <f aca="false">Sens!J10832-Sens!J10833</f>
        <v>235.107817889467</v>
      </c>
      <c r="K10834" s="6" t="n">
        <f aca="false">Sens!K10832-Sens!K10833</f>
        <v>404.734602636955</v>
      </c>
    </row>
    <row r="10835" customFormat="false" ht="15" hidden="false" customHeight="false" outlineLevel="0" collapsed="false">
      <c r="A10835" s="1" t="s">
        <v>975</v>
      </c>
      <c r="B10835" s="0" t="s">
        <v>75</v>
      </c>
      <c r="F10835" s="29" t="n">
        <f aca="false">px*(1+bb_g)^(Sens!F10697-base_fy-mid_yr)</f>
        <v>553.494156066711</v>
      </c>
      <c r="G10835" s="29" t="n">
        <f aca="false">px*(1+bb_g)^(Sens!G10697-base_fy-mid_yr)</f>
        <v>597.773688552047</v>
      </c>
      <c r="H10835" s="29" t="n">
        <f aca="false">px*(1+bb_g)^(Sens!H10697-base_fy-mid_yr)</f>
        <v>645.595583636211</v>
      </c>
      <c r="I10835" s="29" t="n">
        <f aca="false">px*(1+bb_g)^(Sens!I10697-base_fy-mid_yr)</f>
        <v>697.243230327108</v>
      </c>
      <c r="J10835" s="29" t="n">
        <f aca="false">px*(1+bb_g)^(Sens!J10697-base_fy-mid_yr)</f>
        <v>753.022688753277</v>
      </c>
      <c r="K10835" s="29" t="n">
        <f aca="false">px*(1+bb_g)^(Sens!K10697-base_fy-mid_yr)</f>
        <v>813.264503853539</v>
      </c>
    </row>
    <row r="10836" customFormat="false" ht="15" hidden="false" customHeight="false" outlineLevel="0" collapsed="false">
      <c r="A10836" s="1" t="s">
        <v>976</v>
      </c>
      <c r="B10836" s="1" t="s">
        <v>81</v>
      </c>
      <c r="E10836" s="14" t="n">
        <f aca="false">sh_out26</f>
        <v>7.427</v>
      </c>
      <c r="F10836" s="14" t="n">
        <f aca="false">Sens!E10836+sh_iss-Sens!F10830/Sens!F10835</f>
        <v>7.472</v>
      </c>
      <c r="G10836" s="14" t="n">
        <f aca="false">Sens!F10836+sh_iss-Sens!G10830/Sens!G10835</f>
        <v>7.51600276286878</v>
      </c>
      <c r="H10836" s="14" t="n">
        <f aca="false">Sens!G10836+sh_iss-Sens!H10830/Sens!H10835</f>
        <v>7.52650593456869</v>
      </c>
      <c r="I10836" s="14" t="n">
        <f aca="false">Sens!H10836+sh_iss-Sens!I10830/Sens!I10835</f>
        <v>7.53956442688341</v>
      </c>
      <c r="J10836" s="14" t="n">
        <f aca="false">Sens!I10836+sh_iss-Sens!J10830/Sens!J10835</f>
        <v>7.55498895680445</v>
      </c>
      <c r="K10836" s="14" t="n">
        <f aca="false">Sens!J10836+sh_iss-Sens!K10830/Sens!K10835</f>
        <v>7.57260426228689</v>
      </c>
    </row>
    <row r="10837" customFormat="false" ht="15" hidden="false" customHeight="false" outlineLevel="0" collapsed="false">
      <c r="A10837" s="1" t="s">
        <v>977</v>
      </c>
      <c r="B10837" s="1" t="s">
        <v>81</v>
      </c>
      <c r="E10837" s="14" t="n">
        <f aca="false">sh_dil26</f>
        <v>7.453</v>
      </c>
      <c r="F10837" s="14" t="n">
        <f aca="false">(Sens!E10836+Sens!F10836)/2+dil_gap</f>
        <v>7.4735</v>
      </c>
      <c r="G10837" s="14" t="n">
        <f aca="false">(Sens!F10836+Sens!G10836)/2+dil_gap</f>
        <v>7.51800138143439</v>
      </c>
      <c r="H10837" s="14" t="n">
        <f aca="false">(Sens!G10836+Sens!H10836)/2+dil_gap</f>
        <v>7.54525434871873</v>
      </c>
      <c r="I10837" s="14" t="n">
        <f aca="false">(Sens!H10836+Sens!I10836)/2+dil_gap</f>
        <v>7.55703518072605</v>
      </c>
      <c r="J10837" s="14" t="n">
        <f aca="false">(Sens!I10836+Sens!J10836)/2+dil_gap</f>
        <v>7.57127669184393</v>
      </c>
      <c r="K10837" s="14" t="n">
        <f aca="false">(Sens!J10836+Sens!K10836)/2+dil_gap</f>
        <v>7.58779660954567</v>
      </c>
    </row>
    <row r="10838" customFormat="false" ht="17.15" hidden="false" customHeight="false" outlineLevel="0" collapsed="false">
      <c r="A10838" s="1" t="s">
        <v>978</v>
      </c>
      <c r="B10838" s="0" t="s">
        <v>98</v>
      </c>
      <c r="C10838" s="6" t="n">
        <f aca="false">SUM(Sens!F10828:J10828)</f>
        <v>271.809940007755</v>
      </c>
    </row>
    <row r="10839" customFormat="false" ht="15" hidden="false" customHeight="false" outlineLevel="0" collapsed="false">
      <c r="A10839" s="23" t="s">
        <v>945</v>
      </c>
      <c r="B10839" s="30" t="s">
        <v>98</v>
      </c>
      <c r="C10839" s="24" t="n">
        <f aca="false">Sens!$C$10838-(Sens!F10828+Sens!G10828+Sens!H10828+Sens!I10828+Sens!J10828)</f>
        <v>0</v>
      </c>
      <c r="D10839" s="30"/>
      <c r="E10839" s="30"/>
      <c r="F10839" s="30"/>
      <c r="G10839" s="30"/>
      <c r="H10839" s="30"/>
      <c r="I10839" s="30"/>
      <c r="J10839" s="30"/>
      <c r="K10839" s="30"/>
    </row>
    <row r="10840" customFormat="false" ht="17.15" hidden="false" customHeight="false" outlineLevel="0" collapsed="false">
      <c r="A10840" s="1" t="s">
        <v>939</v>
      </c>
      <c r="B10840" s="1" t="s">
        <v>979</v>
      </c>
      <c r="C10840" s="32" t="str">
        <f aca="false">IF(SUM(Sens!F10831:J10831)&gt;0.05,"需要舉債 "&amp;TEXT(SUM(Sens!F10831:J10831),"0.0")&amp;" 十億美元","不需舉債")&amp;"；"&amp;IF(SUM(Sens!F10830:J10830)&lt;COUNT(Sens!F10830:J10830)*bb_target-0.05,"回購較每年 "&amp;TEXT(bb_target,"0.0")&amp;" 的目標少 "&amp;TEXT(COUNT(Sens!F10830:J10830)*bb_target-SUM(Sens!F10830:J10830),"0.0")&amp;" 十億美元（"&amp;TEXT(COUNTIF(Sens!F10830:J10830,"&lt;"&amp;(bb_target-0.05)),"0")&amp;" 年減少）","回購不減")</f>
        <v>需要舉債 9.7 十億美元；回購較每年 22.3 的目標少 43.9 十億美元（2 年減少）</v>
      </c>
    </row>
    <row r="10841" customFormat="false" ht="17.15" hidden="false" customHeight="false" outlineLevel="0" collapsed="false">
      <c r="A10841" s="3" t="s">
        <v>1541</v>
      </c>
    </row>
    <row r="10842" customFormat="false" ht="15" hidden="false" customHeight="false" outlineLevel="0" collapsed="false">
      <c r="A10842" s="4" t="s">
        <v>43</v>
      </c>
      <c r="B10842" s="4" t="s">
        <v>65</v>
      </c>
      <c r="C10842" s="20" t="s">
        <v>799</v>
      </c>
      <c r="D10842" s="20" t="s">
        <v>800</v>
      </c>
      <c r="E10842" s="20" t="s">
        <v>801</v>
      </c>
      <c r="F10842" s="20" t="s">
        <v>802</v>
      </c>
      <c r="G10842" s="20" t="s">
        <v>803</v>
      </c>
      <c r="H10842" s="20" t="s">
        <v>804</v>
      </c>
      <c r="I10842" s="20" t="s">
        <v>805</v>
      </c>
      <c r="J10842" s="20" t="s">
        <v>806</v>
      </c>
      <c r="K10842" s="20" t="s">
        <v>807</v>
      </c>
      <c r="L10842" s="4" t="s">
        <v>47</v>
      </c>
    </row>
    <row r="10843" customFormat="false" ht="15" hidden="false" customHeight="false" outlineLevel="0" collapsed="false">
      <c r="A10843" s="1" t="s">
        <v>1057</v>
      </c>
      <c r="B10843" s="1" t="s">
        <v>235</v>
      </c>
      <c r="F10843" s="36" t="n">
        <f aca="false">Sens!F10697-base_fy-mid_yr</f>
        <v>0.5</v>
      </c>
      <c r="G10843" s="36" t="n">
        <f aca="false">Sens!G10697-base_fy-mid_yr</f>
        <v>1.5</v>
      </c>
      <c r="H10843" s="36" t="n">
        <f aca="false">Sens!H10697-base_fy-mid_yr</f>
        <v>2.5</v>
      </c>
      <c r="I10843" s="36" t="n">
        <f aca="false">Sens!I10697-base_fy-mid_yr</f>
        <v>3.5</v>
      </c>
      <c r="J10843" s="36" t="n">
        <f aca="false">Sens!J10697-base_fy-mid_yr</f>
        <v>4.5</v>
      </c>
      <c r="K10843" s="36" t="n">
        <f aca="false">Sens!K10697-base_fy-mid_yr</f>
        <v>5.5</v>
      </c>
    </row>
    <row r="10844" customFormat="false" ht="15" hidden="false" customHeight="false" outlineLevel="0" collapsed="false">
      <c r="A10844" s="1" t="s">
        <v>1058</v>
      </c>
      <c r="B10844" s="0" t="s">
        <v>185</v>
      </c>
      <c r="F10844" s="14" t="n">
        <f aca="false">1/(1+wacc)^Sens!F10843</f>
        <v>0.952193373608246</v>
      </c>
      <c r="G10844" s="14" t="n">
        <f aca="false">1/(1+wacc)^Sens!G10843</f>
        <v>0.863327280626589</v>
      </c>
      <c r="H10844" s="14" t="n">
        <f aca="false">1/(1+wacc)^Sens!H10843</f>
        <v>0.782754862754115</v>
      </c>
      <c r="I10844" s="14" t="n">
        <f aca="false">1/(1+wacc)^Sens!I10843</f>
        <v>0.709702089711011</v>
      </c>
      <c r="J10844" s="14" t="n">
        <f aca="false">1/(1+wacc)^Sens!J10843</f>
        <v>0.643467169744551</v>
      </c>
      <c r="K10844" s="14" t="n">
        <f aca="false">1/(1+wacc)^Sens!K10843</f>
        <v>0.583413807767797</v>
      </c>
    </row>
    <row r="10845" customFormat="false" ht="17.15" hidden="false" customHeight="false" outlineLevel="0" collapsed="false">
      <c r="A10845" s="1" t="s">
        <v>1059</v>
      </c>
      <c r="B10845" s="0" t="s">
        <v>98</v>
      </c>
      <c r="F10845" s="6" t="n">
        <f aca="false">Sens!F10818-Sens!F10816-Sens!F10822+Sens!F10801*(1-tax_f)</f>
        <v>-2.10308368550287</v>
      </c>
      <c r="G10845" s="6" t="n">
        <f aca="false">Sens!G10818-Sens!G10816-Sens!G10822+Sens!G10801*(1-tax_f)</f>
        <v>37.5195147535875</v>
      </c>
      <c r="H10845" s="6" t="n">
        <f aca="false">Sens!H10818-Sens!H10816-Sens!H10822+Sens!H10801*(1-tax_f)</f>
        <v>86.0167643037295</v>
      </c>
      <c r="I10845" s="6" t="n">
        <f aca="false">Sens!I10818-Sens!I10816-Sens!I10822+Sens!I10801*(1-tax_f)</f>
        <v>159.309448077742</v>
      </c>
      <c r="J10845" s="6" t="n">
        <f aca="false">Sens!J10818-Sens!J10816-Sens!J10822+Sens!J10801*(1-tax_f)</f>
        <v>234.196760474571</v>
      </c>
      <c r="K10845" s="6" t="n">
        <f aca="false">Sens!K10818-Sens!K10816-Sens!K10822+Sens!K10801*(1-tax_f)</f>
        <v>268.90756775428</v>
      </c>
      <c r="L10845" s="1" t="s">
        <v>1060</v>
      </c>
    </row>
    <row r="10846" customFormat="false" ht="15" hidden="false" customHeight="false" outlineLevel="0" collapsed="false">
      <c r="A10846" s="1" t="s">
        <v>1061</v>
      </c>
      <c r="B10846" s="0" t="s">
        <v>98</v>
      </c>
      <c r="F10846" s="6" t="n">
        <f aca="false">Sens!F10845*Sens!F10844</f>
        <v>-2.00254234947944</v>
      </c>
      <c r="G10846" s="6" t="n">
        <f aca="false">Sens!G10845*Sens!G10844</f>
        <v>32.3916206426438</v>
      </c>
      <c r="H10846" s="6" t="n">
        <f aca="false">Sens!H10845*Sens!H10844</f>
        <v>67.3300405371188</v>
      </c>
      <c r="I10846" s="6" t="n">
        <f aca="false">Sens!I10845*Sens!I10844</f>
        <v>113.062248211481</v>
      </c>
      <c r="J10846" s="6" t="n">
        <f aca="false">Sens!J10845*Sens!J10844</f>
        <v>150.697926625915</v>
      </c>
      <c r="K10846" s="6" t="n">
        <f aca="false">Sens!K10845*Sens!K10844</f>
        <v>156.884388041101</v>
      </c>
    </row>
    <row r="10847" customFormat="false" ht="17.15" hidden="false" customHeight="false" outlineLevel="0" collapsed="false">
      <c r="A10847" s="1" t="s">
        <v>1062</v>
      </c>
      <c r="B10847" s="0" t="s">
        <v>98</v>
      </c>
      <c r="C10847" s="6" t="n">
        <f aca="false">SUM(Sens!F10846:K10846)</f>
        <v>518.363681708781</v>
      </c>
    </row>
    <row r="10848" customFormat="false" ht="17.15" hidden="false" customHeight="false" outlineLevel="0" collapsed="false">
      <c r="A10848" s="1" t="s">
        <v>1063</v>
      </c>
      <c r="B10848" s="0" t="s">
        <v>98</v>
      </c>
      <c r="C10848" s="6" t="n">
        <f aca="false">Sens!K10787*(1+g_tv)*(1-tax_f)</f>
        <v>285.210630504039</v>
      </c>
    </row>
    <row r="10849" customFormat="false" ht="17.15" hidden="false" customHeight="false" outlineLevel="0" collapsed="false">
      <c r="A10849" s="1" t="s">
        <v>1064</v>
      </c>
      <c r="B10849" s="0" t="s">
        <v>98</v>
      </c>
      <c r="C10849" s="6" t="n">
        <f aca="false">Sens!$C$10848*(1-g_tv/(wacc+ronic_prem))</f>
        <v>202.086648191797</v>
      </c>
    </row>
    <row r="10850" customFormat="false" ht="17.15" hidden="false" customHeight="false" outlineLevel="0" collapsed="false">
      <c r="A10850" s="1" t="s">
        <v>1065</v>
      </c>
      <c r="B10850" s="0" t="s">
        <v>98</v>
      </c>
      <c r="C10850" s="6" t="n">
        <f aca="false">Sens!$C$10849/(wacc-g_tv)</f>
        <v>2770.7994104081</v>
      </c>
    </row>
    <row r="10851" customFormat="false" ht="15" hidden="false" customHeight="false" outlineLevel="0" collapsed="false">
      <c r="A10851" s="1" t="s">
        <v>1066</v>
      </c>
      <c r="B10851" s="0" t="s">
        <v>98</v>
      </c>
      <c r="C10851" s="6" t="n">
        <f aca="false">Sens!$C$10850/(1+wacc)^(Sens!K10843+mid_yr)</f>
        <v>1539.24214094144</v>
      </c>
    </row>
    <row r="10852" customFormat="false" ht="17.15" hidden="false" customHeight="false" outlineLevel="0" collapsed="false">
      <c r="A10852" s="0" t="s">
        <v>986</v>
      </c>
      <c r="B10852" s="0" t="s">
        <v>98</v>
      </c>
      <c r="C10852" s="6" t="n">
        <f aca="false">Sens!$C$10847+Sens!$C$10851</f>
        <v>2057.60582265022</v>
      </c>
    </row>
    <row r="10853" customFormat="false" ht="15" hidden="false" customHeight="false" outlineLevel="0" collapsed="false">
      <c r="A10853" s="1" t="s">
        <v>987</v>
      </c>
      <c r="B10853" s="0" t="s">
        <v>129</v>
      </c>
      <c r="C10853" s="7" t="n">
        <f aca="false">Sens!$C$10851/Sens!$C$10852</f>
        <v>0.748074351266599</v>
      </c>
    </row>
    <row r="10854" customFormat="false" ht="17.15" hidden="false" customHeight="false" outlineLevel="0" collapsed="false">
      <c r="A10854" s="1" t="s">
        <v>1067</v>
      </c>
      <c r="B10854" s="0" t="s">
        <v>98</v>
      </c>
      <c r="C10854" s="6" t="n">
        <f aca="false">Sens!$C$10852+Sens!E10834-Sens!E10823+oai_v</f>
        <v>2192.11882265022</v>
      </c>
    </row>
    <row r="10855" customFormat="false" ht="17.15" hidden="false" customHeight="false" outlineLevel="0" collapsed="false">
      <c r="A10855" s="0" t="s">
        <v>994</v>
      </c>
      <c r="B10855" s="0" t="s">
        <v>75</v>
      </c>
      <c r="C10855" s="5" t="n">
        <f aca="false">Sens!$C$10854/sh_dil26</f>
        <v>294.125697390342</v>
      </c>
    </row>
    <row r="10856" customFormat="false" ht="15" hidden="false" customHeight="false" outlineLevel="0" collapsed="false">
      <c r="A10856" s="1" t="s">
        <v>1068</v>
      </c>
      <c r="B10856" s="0" t="s">
        <v>75</v>
      </c>
      <c r="C10856" s="8" t="n">
        <f aca="false">dps_27+Sens!G10826*roll_div_q/q_per_yr</f>
        <v>4.8895</v>
      </c>
    </row>
    <row r="10857" customFormat="false" ht="17.15" hidden="false" customHeight="false" outlineLevel="0" collapsed="false">
      <c r="A10857" s="0" t="s">
        <v>1069</v>
      </c>
      <c r="B10857" s="0" t="s">
        <v>75</v>
      </c>
      <c r="C10857" s="5" t="n">
        <f aca="false">Sens!$C$10855*(1+wacc)^t_roll-Sens!$C$10856</f>
        <v>330.041252335928</v>
      </c>
    </row>
    <row r="10858" customFormat="false" ht="17.15" hidden="false" customHeight="false" outlineLevel="0" collapsed="false">
      <c r="A10858" s="1" t="s">
        <v>1070</v>
      </c>
      <c r="B10858" s="0" t="s">
        <v>129</v>
      </c>
      <c r="F10858" s="7" t="n">
        <f aca="false">Sens!F10813/(Sens!F10758-Sens!F10714)</f>
        <v>0.0708152184482575</v>
      </c>
      <c r="G10858" s="7" t="n">
        <f aca="false">Sens!G10813/(Sens!G10758-Sens!G10714)</f>
        <v>0.0675271752335234</v>
      </c>
      <c r="H10858" s="7" t="n">
        <f aca="false">Sens!H10813/(Sens!H10758-Sens!H10714)</f>
        <v>0.0656772796451266</v>
      </c>
      <c r="I10858" s="7" t="n">
        <f aca="false">Sens!I10813/(Sens!I10758-Sens!I10714)</f>
        <v>0.0651238993594151</v>
      </c>
      <c r="J10858" s="7" t="n">
        <f aca="false">Sens!J10813/(Sens!J10758-Sens!J10714)</f>
        <v>0.0655611530683728</v>
      </c>
      <c r="K10858" s="7" t="n">
        <f aca="false">Sens!K10813/(Sens!K10758-Sens!K10714)</f>
        <v>0.0666213802453067</v>
      </c>
    </row>
    <row r="10859" customFormat="false" ht="17.15" hidden="false" customHeight="false" outlineLevel="0" collapsed="false">
      <c r="A10859" s="0" t="s">
        <v>1071</v>
      </c>
      <c r="B10859" s="0" t="s">
        <v>98</v>
      </c>
      <c r="F10859" s="6" t="n">
        <f aca="false">Sens!F10743*(al_m365+Sens!F10858+sbc_r)</f>
        <v>84.1993279979894</v>
      </c>
      <c r="G10859" s="6" t="n">
        <f aca="false">Sens!G10743*(al_m365+Sens!G10858+sbc_r)</f>
        <v>96.6037720779227</v>
      </c>
      <c r="H10859" s="6" t="n">
        <f aca="false">Sens!H10743*(al_m365+Sens!H10858+sbc_r)</f>
        <v>109.169279450357</v>
      </c>
      <c r="I10859" s="6" t="n">
        <f aca="false">Sens!I10743*(al_m365+Sens!I10858+sbc_r)</f>
        <v>120.714519148945</v>
      </c>
      <c r="J10859" s="6" t="n">
        <f aca="false">Sens!J10743*(al_m365+Sens!J10858+sbc_r)</f>
        <v>131.051701205552</v>
      </c>
      <c r="K10859" s="6" t="n">
        <f aca="false">Sens!K10743*(al_m365+Sens!K10858+sbc_r)</f>
        <v>140.996500732646</v>
      </c>
      <c r="L10859" s="11" t="s">
        <v>1072</v>
      </c>
    </row>
    <row r="10860" customFormat="false" ht="17.15" hidden="false" customHeight="false" outlineLevel="0" collapsed="false">
      <c r="A10860" s="0" t="s">
        <v>1073</v>
      </c>
      <c r="B10860" s="0" t="s">
        <v>98</v>
      </c>
      <c r="F10860" s="6" t="n">
        <f aca="false">Sens!F10744*(al_lic+Sens!F10858+sbc_r)</f>
        <v>33.5315762227874</v>
      </c>
      <c r="G10860" s="6" t="n">
        <f aca="false">Sens!G10744*(al_lic+Sens!G10858+sbc_r)</f>
        <v>34.8175362161113</v>
      </c>
      <c r="H10860" s="6" t="n">
        <f aca="false">Sens!H10744*(al_lic+Sens!H10858+sbc_r)</f>
        <v>36.0192574618295</v>
      </c>
      <c r="I10860" s="6" t="n">
        <f aca="false">Sens!I10744*(al_lic+Sens!I10858+sbc_r)</f>
        <v>37.1179608606622</v>
      </c>
      <c r="J10860" s="6" t="n">
        <f aca="false">Sens!J10744*(al_lic+Sens!J10858+sbc_r)</f>
        <v>38.0871887164633</v>
      </c>
      <c r="K10860" s="6" t="n">
        <f aca="false">Sens!K10744*(al_lic+Sens!K10858+sbc_r)</f>
        <v>38.897222538692</v>
      </c>
    </row>
    <row r="10861" customFormat="false" ht="17.15" hidden="false" customHeight="false" outlineLevel="0" collapsed="false">
      <c r="A10861" s="0" t="s">
        <v>1074</v>
      </c>
      <c r="B10861" s="0" t="s">
        <v>98</v>
      </c>
      <c r="F10861" s="6" t="n">
        <f aca="false">Sens!F10746*(al_ind+Sens!F10858+sbc_r)</f>
        <v>9.12616825394588</v>
      </c>
      <c r="G10861" s="6" t="n">
        <f aca="false">Sens!G10746*(al_ind+Sens!G10858+sbc_r)</f>
        <v>9.89567567858931</v>
      </c>
      <c r="H10861" s="6" t="n">
        <f aca="false">Sens!H10746*(al_ind+Sens!H10858+sbc_r)</f>
        <v>10.7108343603943</v>
      </c>
      <c r="I10861" s="6" t="n">
        <f aca="false">Sens!I10746*(al_ind+Sens!I10858+sbc_r)</f>
        <v>11.5685262099331</v>
      </c>
      <c r="J10861" s="6" t="n">
        <f aca="false">Sens!J10746*(al_ind+Sens!J10858+sbc_r)</f>
        <v>12.4587200375015</v>
      </c>
      <c r="K10861" s="6" t="n">
        <f aca="false">Sens!K10746*(al_ind+Sens!K10858+sbc_r)</f>
        <v>13.3659065744567</v>
      </c>
    </row>
    <row r="10862" customFormat="false" ht="17.15" hidden="false" customHeight="false" outlineLevel="0" collapsed="false">
      <c r="A10862" s="0" t="s">
        <v>1075</v>
      </c>
      <c r="B10862" s="0" t="s">
        <v>98</v>
      </c>
      <c r="F10862" s="6" t="n">
        <f aca="false">Sens!F10748*(al_fro+Sens!F10858+sbc_r)</f>
        <v>3.59209186491311</v>
      </c>
      <c r="G10862" s="6" t="n">
        <f aca="false">Sens!G10748*(al_fro+Sens!G10858+sbc_r)</f>
        <v>3.79935441167259</v>
      </c>
      <c r="H10862" s="6" t="n">
        <f aca="false">Sens!H10748*(al_fro+Sens!H10858+sbc_r)</f>
        <v>4.03620899265617</v>
      </c>
      <c r="I10862" s="6" t="n">
        <f aca="false">Sens!I10748*(al_fro+Sens!I10858+sbc_r)</f>
        <v>4.30533462204603</v>
      </c>
      <c r="J10862" s="6" t="n">
        <f aca="false">Sens!J10748*(al_fro+Sens!J10858+sbc_r)</f>
        <v>4.6077134575907</v>
      </c>
      <c r="K10862" s="6" t="n">
        <f aca="false">Sens!K10748*(al_fro+Sens!K10858+sbc_r)</f>
        <v>4.94322590207066</v>
      </c>
    </row>
    <row r="10863" customFormat="false" ht="17.15" hidden="false" customHeight="false" outlineLevel="0" collapsed="false">
      <c r="A10863" s="0" t="s">
        <v>1076</v>
      </c>
      <c r="B10863" s="0" t="s">
        <v>98</v>
      </c>
      <c r="F10863" s="6" t="n">
        <f aca="false">Sens!F10751*(al_srch+Sens!F10858+sbc_r)</f>
        <v>11.2709496489762</v>
      </c>
      <c r="G10863" s="6" t="n">
        <f aca="false">Sens!G10751*(al_srch+Sens!G10858+sbc_r)</f>
        <v>12.3366151756419</v>
      </c>
      <c r="H10863" s="6" t="n">
        <f aca="false">Sens!H10751*(al_srch+Sens!H10858+sbc_r)</f>
        <v>13.4478411927121</v>
      </c>
      <c r="I10863" s="6" t="n">
        <f aca="false">Sens!I10751*(al_srch+Sens!I10858+sbc_r)</f>
        <v>14.5939600645532</v>
      </c>
      <c r="J10863" s="6" t="n">
        <f aca="false">Sens!J10751*(al_srch+Sens!J10858+sbc_r)</f>
        <v>15.7546314967139</v>
      </c>
      <c r="K10863" s="6" t="n">
        <f aca="false">Sens!K10751*(al_srch+Sens!K10858+sbc_r)</f>
        <v>16.9018111062956</v>
      </c>
    </row>
    <row r="10864" customFormat="false" ht="17.15" hidden="false" customHeight="false" outlineLevel="0" collapsed="false">
      <c r="A10864" s="0" t="s">
        <v>1077</v>
      </c>
      <c r="B10864" s="0" t="s">
        <v>98</v>
      </c>
      <c r="F10864" s="6" t="n">
        <f aca="false">Sens!F10720-Sens!F10721+Sens!F10801</f>
        <v>42.2254306726393</v>
      </c>
      <c r="G10864" s="6" t="n">
        <f aca="false">Sens!G10720-Sens!G10721+Sens!G10801</f>
        <v>79.7027537443441</v>
      </c>
      <c r="H10864" s="6" t="n">
        <f aca="false">Sens!H10720-Sens!H10721+Sens!H10801</f>
        <v>120.060533679822</v>
      </c>
      <c r="I10864" s="6" t="n">
        <f aca="false">Sens!I10720-Sens!I10721+Sens!I10801</f>
        <v>156.515256506302</v>
      </c>
      <c r="J10864" s="6" t="n">
        <f aca="false">Sens!J10720-Sens!J10721+Sens!J10801</f>
        <v>182.51821819491</v>
      </c>
      <c r="K10864" s="6" t="n">
        <f aca="false">Sens!K10720-Sens!K10721+Sens!K10801</f>
        <v>199.254533496123</v>
      </c>
    </row>
    <row r="10865" customFormat="false" ht="17.15" hidden="false" customHeight="false" outlineLevel="0" collapsed="false">
      <c r="A10865" s="0" t="s">
        <v>1078</v>
      </c>
      <c r="B10865" s="0" t="s">
        <v>98</v>
      </c>
      <c r="F10865" s="6" t="n">
        <f aca="false">Sens!F10780+Sens!F10801+Sens!F10731+Sens!F10858*(Sens!F10750-Sens!F10714)+sbc_r*Sens!F10750</f>
        <v>233.076567660352</v>
      </c>
      <c r="G10865" s="6" t="n">
        <f aca="false">Sens!G10780+Sens!G10801+Sens!G10731+Sens!G10858*(Sens!G10750-Sens!G10714)+sbc_r*Sens!G10750</f>
        <v>297.64688890419</v>
      </c>
      <c r="H10865" s="6" t="n">
        <f aca="false">Sens!H10780+Sens!H10801+Sens!H10731+Sens!H10858*(Sens!H10750-Sens!H10714)+sbc_r*Sens!H10750</f>
        <v>365.597425380811</v>
      </c>
      <c r="I10865" s="6" t="n">
        <f aca="false">Sens!I10780+Sens!I10801+Sens!I10731+Sens!I10858*(Sens!I10750-Sens!I10714)+sbc_r*Sens!I10750</f>
        <v>428.268907490955</v>
      </c>
      <c r="J10865" s="6" t="n">
        <f aca="false">Sens!J10780+Sens!J10801+Sens!J10731+Sens!J10858*(Sens!J10750-Sens!J10714)+sbc_r*Sens!J10750</f>
        <v>478.051868072703</v>
      </c>
      <c r="K10865" s="6" t="n">
        <f aca="false">Sens!K10780+Sens!K10801+Sens!K10731+Sens!K10858*(Sens!K10750-Sens!K10714)+sbc_r*Sens!K10750</f>
        <v>516.212431150659</v>
      </c>
    </row>
    <row r="10866" customFormat="false" ht="17.15" hidden="false" customHeight="false" outlineLevel="0" collapsed="false">
      <c r="A10866" s="0" t="s">
        <v>1079</v>
      </c>
      <c r="B10866" s="0" t="s">
        <v>98</v>
      </c>
      <c r="F10866" s="6" t="n">
        <f aca="false">Sens!F10865-Sens!F10859-Sens!F10860-Sens!F10861-Sens!F10862-Sens!F10864</f>
        <v>60.4019726480771</v>
      </c>
      <c r="G10866" s="6" t="n">
        <f aca="false">Sens!G10865-Sens!G10859-Sens!G10860-Sens!G10861-Sens!G10862-Sens!G10864</f>
        <v>72.8277967755498</v>
      </c>
      <c r="H10866" s="6" t="n">
        <f aca="false">Sens!H10865-Sens!H10859-Sens!H10860-Sens!H10861-Sens!H10862-Sens!H10864</f>
        <v>85.6013114357515</v>
      </c>
      <c r="I10866" s="6" t="n">
        <f aca="false">Sens!I10865-Sens!I10859-Sens!I10860-Sens!I10861-Sens!I10862-Sens!I10864</f>
        <v>98.0473101430675</v>
      </c>
      <c r="J10866" s="6" t="n">
        <f aca="false">Sens!J10865-Sens!J10859-Sens!J10860-Sens!J10861-Sens!J10862-Sens!J10864</f>
        <v>109.328326460685</v>
      </c>
      <c r="K10866" s="6" t="n">
        <f aca="false">Sens!K10865-Sens!K10859-Sens!K10860-Sens!K10861-Sens!K10862-Sens!K10864</f>
        <v>118.755041906671</v>
      </c>
    </row>
    <row r="10867" customFormat="false" ht="17.15" hidden="false" customHeight="false" outlineLevel="0" collapsed="false">
      <c r="A10867" s="0" t="s">
        <v>1080</v>
      </c>
      <c r="B10867" s="0" t="s">
        <v>98</v>
      </c>
      <c r="F10867" s="6" t="n">
        <f aca="false">Sens!F10782+Sens!F10858*Sens!F10757+sbc_r*Sens!F10757</f>
        <v>26.3876874560466</v>
      </c>
      <c r="G10867" s="6" t="n">
        <f aca="false">Sens!G10782+Sens!G10858*Sens!G10757+sbc_r*Sens!G10757</f>
        <v>27.0500566773977</v>
      </c>
      <c r="H10867" s="6" t="n">
        <f aca="false">Sens!H10782+Sens!H10858*Sens!H10757+sbc_r*Sens!H10757</f>
        <v>28.0209900888263</v>
      </c>
      <c r="I10867" s="6" t="n">
        <f aca="false">Sens!I10782+Sens!I10858*Sens!I10757+sbc_r*Sens!I10757</f>
        <v>29.2728062442213</v>
      </c>
      <c r="J10867" s="6" t="n">
        <f aca="false">Sens!J10782+Sens!J10858*Sens!J10757+sbc_r*Sens!J10757</f>
        <v>30.7764409312312</v>
      </c>
      <c r="K10867" s="6" t="n">
        <f aca="false">Sens!K10782+Sens!K10858*Sens!K10757+sbc_r*Sens!K10757</f>
        <v>32.5054061147851</v>
      </c>
    </row>
    <row r="10868" customFormat="false" ht="17.15" hidden="false" customHeight="false" outlineLevel="0" collapsed="false">
      <c r="A10868" s="0" t="s">
        <v>1081</v>
      </c>
      <c r="B10868" s="0" t="s">
        <v>98</v>
      </c>
      <c r="F10868" s="6" t="n">
        <f aca="false">(Sens!F10867-Sens!F10863)*Sens!F10753/(Sens!F10753+Sens!F10755)</f>
        <v>8.30661823697426</v>
      </c>
      <c r="G10868" s="6" t="n">
        <f aca="false">(Sens!G10867-Sens!G10863)*Sens!G10753/(Sens!G10753+Sens!G10755)</f>
        <v>7.97914967798458</v>
      </c>
      <c r="H10868" s="6" t="n">
        <f aca="false">(Sens!H10867-Sens!H10863)*Sens!H10753/(Sens!H10753+Sens!H10755)</f>
        <v>7.85254605630793</v>
      </c>
      <c r="I10868" s="6" t="n">
        <f aca="false">(Sens!I10867-Sens!I10863)*Sens!I10753/(Sens!I10753+Sens!I10755)</f>
        <v>7.91212661041177</v>
      </c>
      <c r="J10868" s="6" t="n">
        <f aca="false">(Sens!J10867-Sens!J10863)*Sens!J10753/(Sens!J10753+Sens!J10755)</f>
        <v>8.15305882579171</v>
      </c>
      <c r="K10868" s="6" t="n">
        <f aca="false">(Sens!K10867-Sens!K10863)*Sens!K10753/(Sens!K10753+Sens!K10755)</f>
        <v>8.58092598186173</v>
      </c>
    </row>
    <row r="10869" customFormat="false" ht="17.15" hidden="false" customHeight="false" outlineLevel="0" collapsed="false">
      <c r="A10869" s="0" t="s">
        <v>1082</v>
      </c>
      <c r="B10869" s="0" t="s">
        <v>98</v>
      </c>
      <c r="F10869" s="6" t="n">
        <f aca="false">Sens!F10867-Sens!F10863-Sens!F10868</f>
        <v>6.81011957009613</v>
      </c>
      <c r="G10869" s="6" t="n">
        <f aca="false">Sens!G10867-Sens!G10863-Sens!G10868</f>
        <v>6.73429182377129</v>
      </c>
      <c r="H10869" s="6" t="n">
        <f aca="false">Sens!H10867-Sens!H10863-Sens!H10868</f>
        <v>6.72060283980617</v>
      </c>
      <c r="I10869" s="6" t="n">
        <f aca="false">Sens!I10867-Sens!I10863-Sens!I10868</f>
        <v>6.76671956925629</v>
      </c>
      <c r="J10869" s="6" t="n">
        <f aca="false">Sens!J10867-Sens!J10863-Sens!J10868</f>
        <v>6.86875060872562</v>
      </c>
      <c r="K10869" s="6" t="n">
        <f aca="false">Sens!K10867-Sens!K10863-Sens!K10868</f>
        <v>7.0226690266277</v>
      </c>
    </row>
    <row r="10870" customFormat="false" ht="17.15" hidden="false" customHeight="false" outlineLevel="0" collapsed="false">
      <c r="A10870" s="0" t="s">
        <v>1083</v>
      </c>
      <c r="B10870" s="0" t="s">
        <v>98</v>
      </c>
      <c r="F10870" s="6" t="n">
        <f aca="false">Sens!F10864-tax_f*(Sens!F10864-Sens!F10731)-Sens!F10728</f>
        <v>-119.742553857164</v>
      </c>
      <c r="G10870" s="6" t="n">
        <f aca="false">Sens!G10864-tax_f*(Sens!G10864-Sens!G10731)-Sens!G10728</f>
        <v>-107.986890065622</v>
      </c>
      <c r="H10870" s="6" t="n">
        <f aca="false">Sens!H10864-tax_f*(Sens!H10864-Sens!H10731)-Sens!H10728</f>
        <v>-74.7596549978803</v>
      </c>
      <c r="I10870" s="6" t="n">
        <f aca="false">Sens!I10864-tax_f*(Sens!I10864-Sens!I10731)-Sens!I10728</f>
        <v>-16.3733151827256</v>
      </c>
      <c r="J10870" s="6" t="n">
        <f aca="false">Sens!J10864-tax_f*(Sens!J10864-Sens!J10731)-Sens!J10728</f>
        <v>44.4328025322546</v>
      </c>
      <c r="K10870" s="6" t="n">
        <f aca="false">Sens!K10864-tax_f*(Sens!K10864-Sens!K10731)-Sens!K10728</f>
        <v>65.8225043021697</v>
      </c>
    </row>
    <row r="10871" customFormat="false" ht="17.15" hidden="false" customHeight="false" outlineLevel="0" collapsed="false">
      <c r="A10871" s="0" t="s">
        <v>1084</v>
      </c>
      <c r="B10871" s="0" t="s">
        <v>98</v>
      </c>
      <c r="G10871" s="6" t="n">
        <f aca="false">Sens!G10870/(1+wacc)^(Sens!G10843-(Sens!F10843+mid_yr))</f>
        <v>-102.824401157048</v>
      </c>
      <c r="H10871" s="6" t="n">
        <f aca="false">Sens!H10870/(1+wacc)^(Sens!H10843-(Sens!F10843+mid_yr))</f>
        <v>-64.5420496499019</v>
      </c>
      <c r="I10871" s="6" t="n">
        <f aca="false">Sens!I10870/(1+wacc)^(Sens!I10843-(Sens!F10843+mid_yr))</f>
        <v>-12.8162920786843</v>
      </c>
      <c r="J10871" s="6" t="n">
        <f aca="false">Sens!J10870/(1+wacc)^(Sens!J10843-(Sens!F10843+mid_yr))</f>
        <v>31.5340528088578</v>
      </c>
      <c r="K10871" s="6" t="n">
        <f aca="false">Sens!K10870/(1+wacc)^(Sens!K10843-(Sens!F10843+mid_yr))</f>
        <v>42.3546205488157</v>
      </c>
      <c r="L10871" s="1" t="s">
        <v>1085</v>
      </c>
    </row>
    <row r="10872" customFormat="false" ht="17.15" hidden="false" customHeight="false" outlineLevel="0" collapsed="false">
      <c r="A10872" s="0" t="s">
        <v>1086</v>
      </c>
      <c r="B10872" s="0" t="s">
        <v>98</v>
      </c>
      <c r="C10872" s="6" t="n">
        <f aca="false">(Sens!K10864-Sens!K10731)*(1-tax_f)*(1+g_tv)*(1-g_tv/(wacc+ronic_prem))/(wacc-g_tv)/(1+wacc)^(Sens!K10843+mid_yr-(Sens!F10843+mid_yr))</f>
        <v>294.889481980532</v>
      </c>
    </row>
    <row r="10873" customFormat="false" ht="17.15" hidden="false" customHeight="false" outlineLevel="0" collapsed="false">
      <c r="A10873" s="1" t="s">
        <v>1087</v>
      </c>
      <c r="B10873" s="0" t="s">
        <v>98</v>
      </c>
      <c r="C10873" s="6" t="n">
        <f aca="false">(SUM(Sens!G10871:K10871)+Sens!$C$10872)*(1+wacc)^(t_roll-(Sens!F10843+mid_yr))</f>
        <v>194.716829358755</v>
      </c>
      <c r="L10873" s="11" t="s">
        <v>1088</v>
      </c>
    </row>
    <row r="10874" customFormat="false" ht="17.15" hidden="false" customHeight="false" outlineLevel="0" collapsed="false">
      <c r="A10874" s="1" t="s">
        <v>1089</v>
      </c>
      <c r="B10874" s="0" t="s">
        <v>98</v>
      </c>
      <c r="C10874" s="6" t="n">
        <f aca="false">(w_ntm28*Sens!G10720+(1-w_ntm28)*Sens!H10720)*m_ai</f>
        <v>454.922440830797</v>
      </c>
    </row>
    <row r="10875" customFormat="false" ht="17.15" hidden="false" customHeight="false" outlineLevel="0" collapsed="false">
      <c r="A10875" s="1" t="s">
        <v>1090</v>
      </c>
      <c r="B10875" s="0" t="s">
        <v>98</v>
      </c>
      <c r="C10875" s="6" t="n">
        <f aca="false">(w_ntm28*Sens!G10866+(1-w_ntm28)*Sens!H10866)*m_cloud</f>
        <v>1063.55011518404</v>
      </c>
    </row>
    <row r="10876" customFormat="false" ht="17.15" hidden="false" customHeight="false" outlineLevel="0" collapsed="false">
      <c r="A10876" s="1" t="s">
        <v>1091</v>
      </c>
      <c r="B10876" s="0" t="s">
        <v>98</v>
      </c>
      <c r="C10876" s="6" t="n">
        <f aca="false">(w_ntm28*Sens!G10859+(1-w_ntm28)*Sens!H10859)*m_sw</f>
        <v>1087.19329349754</v>
      </c>
    </row>
    <row r="10877" customFormat="false" ht="17.15" hidden="false" customHeight="false" outlineLevel="0" collapsed="false">
      <c r="A10877" s="1" t="s">
        <v>1092</v>
      </c>
      <c r="B10877" s="0" t="s">
        <v>98</v>
      </c>
      <c r="C10877" s="6" t="n">
        <f aca="false">(w_ntm28*Sens!G10860+(1-w_ntm28)*Sens!H10860)*m_sw</f>
        <v>380.225209094395</v>
      </c>
    </row>
    <row r="10878" customFormat="false" ht="17.15" hidden="false" customHeight="false" outlineLevel="0" collapsed="false">
      <c r="A10878" s="1" t="s">
        <v>1093</v>
      </c>
      <c r="B10878" s="0" t="s">
        <v>98</v>
      </c>
      <c r="C10878" s="6" t="n">
        <f aca="false">(w_ntm28*Sens!G10861+(1-w_ntm28)*Sens!H10861)*m_sw</f>
        <v>109.719429449565</v>
      </c>
    </row>
    <row r="10879" customFormat="false" ht="17.15" hidden="false" customHeight="false" outlineLevel="0" collapsed="false">
      <c r="A10879" s="1" t="s">
        <v>1094</v>
      </c>
      <c r="B10879" s="0" t="s">
        <v>98</v>
      </c>
      <c r="C10879" s="6" t="n">
        <f aca="false">(w_ntm28*Sens!G10862+(1-w_ntm28)*Sens!H10862)*m_sw</f>
        <v>41.8600070378598</v>
      </c>
    </row>
    <row r="10880" customFormat="false" ht="17.15" hidden="false" customHeight="false" outlineLevel="0" collapsed="false">
      <c r="A10880" s="1" t="s">
        <v>1095</v>
      </c>
      <c r="B10880" s="0" t="s">
        <v>98</v>
      </c>
      <c r="C10880" s="6" t="n">
        <f aca="false">(w_ntm28*Sens!G10863+(1-w_ntm28)*Sens!H10863)*m_ads</f>
        <v>115.659292315386</v>
      </c>
    </row>
    <row r="10881" customFormat="false" ht="17.15" hidden="false" customHeight="false" outlineLevel="0" collapsed="false">
      <c r="A10881" s="1" t="s">
        <v>1096</v>
      </c>
      <c r="B10881" s="0" t="s">
        <v>98</v>
      </c>
      <c r="C10881" s="6" t="n">
        <f aca="false">(w_ntm28*Sens!G10868+(1-w_ntm28)*Sens!H10868)*m_game</f>
        <v>100.259722236974</v>
      </c>
    </row>
    <row r="10882" customFormat="false" ht="17.15" hidden="false" customHeight="false" outlineLevel="0" collapsed="false">
      <c r="A10882" s="1" t="s">
        <v>1097</v>
      </c>
      <c r="B10882" s="0" t="s">
        <v>98</v>
      </c>
      <c r="C10882" s="6" t="n">
        <f aca="false">(w_ntm28*Sens!G10869+(1-w_ntm28)*Sens!H10869)*m_pc</f>
        <v>97.3811659980224</v>
      </c>
    </row>
    <row r="10883" customFormat="false" ht="17.15" hidden="false" customHeight="false" outlineLevel="0" collapsed="false">
      <c r="A10883" s="1" t="s">
        <v>1098</v>
      </c>
      <c r="B10883" s="0" t="s">
        <v>98</v>
      </c>
      <c r="C10883" s="6" t="n">
        <f aca="false">Sens!$C$10873+Sens!$C$10875+Sens!$C$10876+Sens!$C$10877+Sens!$C$10878+Sens!$C$10879+Sens!$C$10880+Sens!$C$10881+Sens!$C$10882</f>
        <v>3190.56506417254</v>
      </c>
    </row>
    <row r="10884" customFormat="false" ht="17.15" hidden="false" customHeight="false" outlineLevel="0" collapsed="false">
      <c r="A10884" s="1" t="s">
        <v>1099</v>
      </c>
      <c r="B10884" s="0" t="s">
        <v>98</v>
      </c>
      <c r="C10884" s="6" t="n">
        <f aca="false">(Sens!G10845-Sens!G10870)*t_stub</f>
        <v>47.4390744479068</v>
      </c>
      <c r="L10884" s="1" t="s">
        <v>1100</v>
      </c>
    </row>
    <row r="10885" customFormat="false" ht="17.15" hidden="false" customHeight="false" outlineLevel="0" collapsed="false">
      <c r="A10885" s="1" t="s">
        <v>1014</v>
      </c>
      <c r="B10885" s="0" t="s">
        <v>98</v>
      </c>
      <c r="C10885" s="6" t="n">
        <f aca="false">Sens!F10834+oai_v-Sens!F10823+Sens!$C$10884</f>
        <v>158.750847710126</v>
      </c>
      <c r="L10885" s="1" t="s">
        <v>1101</v>
      </c>
    </row>
    <row r="10886" customFormat="false" ht="17.15" hidden="false" customHeight="false" outlineLevel="0" collapsed="false">
      <c r="A10886" s="1" t="s">
        <v>1102</v>
      </c>
      <c r="B10886" s="0" t="s">
        <v>75</v>
      </c>
      <c r="C10886" s="5" t="n">
        <f aca="false">(Sens!$C$10883+Sens!$C$10885)/(Sens!F10836+dil_gap)-Sens!G10826*roll_div_q/q_per_yr</f>
        <v>445.774255587335</v>
      </c>
      <c r="L10886" s="1" t="s">
        <v>1103</v>
      </c>
    </row>
    <row r="10887" customFormat="false" ht="17.15" hidden="false" customHeight="false" outlineLevel="0" collapsed="false">
      <c r="A10887" s="1" t="s">
        <v>1104</v>
      </c>
      <c r="B10887" s="0" t="s">
        <v>75</v>
      </c>
      <c r="C10887" s="5" t="n">
        <f aca="false">w_dcf*Sens!$C$10857+(1-w_dcf)*Sens!$C$10886</f>
        <v>387.907753961631</v>
      </c>
    </row>
    <row r="10888" customFormat="false" ht="17.15" hidden="false" customHeight="false" outlineLevel="0" collapsed="false">
      <c r="A10888" s="3" t="s">
        <v>1542</v>
      </c>
    </row>
    <row r="10889" customFormat="false" ht="15" hidden="false" customHeight="false" outlineLevel="0" collapsed="false">
      <c r="A10889" s="4" t="s">
        <v>43</v>
      </c>
      <c r="B10889" s="4" t="s">
        <v>65</v>
      </c>
      <c r="C10889" s="20" t="s">
        <v>799</v>
      </c>
      <c r="D10889" s="20" t="s">
        <v>800</v>
      </c>
      <c r="E10889" s="20" t="s">
        <v>801</v>
      </c>
      <c r="F10889" s="20" t="s">
        <v>802</v>
      </c>
      <c r="G10889" s="20" t="s">
        <v>803</v>
      </c>
      <c r="H10889" s="20" t="s">
        <v>804</v>
      </c>
      <c r="I10889" s="20" t="s">
        <v>805</v>
      </c>
      <c r="J10889" s="20" t="s">
        <v>806</v>
      </c>
      <c r="K10889" s="20" t="s">
        <v>807</v>
      </c>
      <c r="L10889" s="4" t="s">
        <v>47</v>
      </c>
    </row>
    <row r="10890" customFormat="false" ht="17.15" hidden="false" customHeight="false" outlineLevel="0" collapsed="false">
      <c r="A10890" s="1" t="s">
        <v>808</v>
      </c>
      <c r="B10890" s="1" t="s">
        <v>235</v>
      </c>
      <c r="C10890" s="28" t="n">
        <v>2024</v>
      </c>
      <c r="D10890" s="28" t="n">
        <v>2025</v>
      </c>
      <c r="E10890" s="28" t="n">
        <v>2026</v>
      </c>
      <c r="F10890" s="28" t="n">
        <v>2027</v>
      </c>
      <c r="G10890" s="28" t="n">
        <v>2028</v>
      </c>
      <c r="H10890" s="28" t="n">
        <v>2029</v>
      </c>
      <c r="I10890" s="28" t="n">
        <v>2030</v>
      </c>
      <c r="J10890" s="28" t="n">
        <v>2031</v>
      </c>
      <c r="K10890" s="28" t="n">
        <v>2032</v>
      </c>
    </row>
    <row r="10891" customFormat="false" ht="17.15" hidden="false" customHeight="false" outlineLevel="0" collapsed="false">
      <c r="A10891" s="1" t="s">
        <v>809</v>
      </c>
      <c r="B10891" s="0" t="s">
        <v>399</v>
      </c>
      <c r="F10891" s="29" t="n">
        <f aca="false">pace</f>
        <v>2527.2</v>
      </c>
      <c r="G10891" s="29" t="n">
        <f aca="false">pace</f>
        <v>2527.2</v>
      </c>
      <c r="H10891" s="29" t="n">
        <f aca="false">pace</f>
        <v>2527.2</v>
      </c>
      <c r="I10891" s="29" t="n">
        <f aca="false">pace+(g_tv*Sens!H10892-pace)*MIN(1,(Sens!I10890-pace_y0)/(pace_y1-pace_y0))</f>
        <v>1793.116</v>
      </c>
      <c r="J10891" s="29" t="n">
        <f aca="false">pace+(g_tv*Sens!I10892-pace)*MIN(1,(Sens!J10890-pace_y0)/(pace_y1-pace_y0))</f>
        <v>1094.89432</v>
      </c>
      <c r="K10891" s="29" t="n">
        <f aca="false">pace+(g_tv*Sens!J10892-pace)*MIN(1,(Sens!K10890-pace_y0)/(pace_y1-pace_y0))</f>
        <v>411.5883096</v>
      </c>
      <c r="L10891" s="11" t="s">
        <v>810</v>
      </c>
    </row>
    <row r="10892" customFormat="false" ht="17.15" hidden="false" customHeight="false" outlineLevel="0" collapsed="false">
      <c r="A10892" s="1" t="s">
        <v>811</v>
      </c>
      <c r="B10892" s="0" t="s">
        <v>399</v>
      </c>
      <c r="C10892" s="29" t="n">
        <f aca="false">mw_ext_24</f>
        <v>640</v>
      </c>
      <c r="D10892" s="29" t="n">
        <f aca="false">mw_ext_25</f>
        <v>1630</v>
      </c>
      <c r="E10892" s="29" t="n">
        <f aca="false">mw_ext_26</f>
        <v>3250</v>
      </c>
      <c r="F10892" s="29" t="n">
        <f aca="false">Sens!E10892+Sens!F10891</f>
        <v>5777.2</v>
      </c>
      <c r="G10892" s="29" t="n">
        <f aca="false">Sens!F10892+Sens!G10891</f>
        <v>8304.4</v>
      </c>
      <c r="H10892" s="29" t="n">
        <f aca="false">Sens!G10892+Sens!H10891</f>
        <v>10831.6</v>
      </c>
      <c r="I10892" s="29" t="n">
        <f aca="false">Sens!H10892+Sens!I10891</f>
        <v>12624.716</v>
      </c>
      <c r="J10892" s="29" t="n">
        <f aca="false">Sens!I10892+Sens!J10891</f>
        <v>13719.61032</v>
      </c>
      <c r="K10892" s="29" t="n">
        <f aca="false">Sens!J10892+Sens!K10891</f>
        <v>14131.1986296</v>
      </c>
      <c r="L10892" s="1" t="s">
        <v>812</v>
      </c>
    </row>
    <row r="10893" customFormat="false" ht="17.15" hidden="false" customHeight="false" outlineLevel="0" collapsed="false">
      <c r="A10893" s="1" t="s">
        <v>813</v>
      </c>
      <c r="B10893" s="0" t="s">
        <v>399</v>
      </c>
      <c r="C10893" s="29" t="n">
        <f aca="false">rent_ext_24</f>
        <v>150</v>
      </c>
      <c r="D10893" s="29" t="n">
        <f aca="false">rent_ext_25</f>
        <v>400</v>
      </c>
      <c r="E10893" s="29" t="n">
        <f aca="false">rent_ext_26</f>
        <v>550</v>
      </c>
      <c r="F10893" s="29" t="n">
        <f aca="false">rent_ext_f</f>
        <v>756</v>
      </c>
      <c r="G10893" s="29" t="n">
        <f aca="false">rent_ext_f</f>
        <v>756</v>
      </c>
      <c r="H10893" s="29" t="n">
        <f aca="false">rent_ext_f</f>
        <v>756</v>
      </c>
      <c r="I10893" s="29" t="n">
        <f aca="false">rent_ext_f</f>
        <v>756</v>
      </c>
      <c r="J10893" s="29" t="n">
        <f aca="false">rent_ext_f</f>
        <v>756</v>
      </c>
      <c r="K10893" s="29" t="n">
        <f aca="false">rent_ext_f</f>
        <v>756</v>
      </c>
      <c r="L10893" s="1" t="s">
        <v>814</v>
      </c>
    </row>
    <row r="10894" customFormat="false" ht="17.15" hidden="false" customHeight="false" outlineLevel="0" collapsed="false">
      <c r="A10894" s="1" t="s">
        <v>815</v>
      </c>
      <c r="B10894" s="0" t="s">
        <v>399</v>
      </c>
      <c r="C10894" s="29" t="n">
        <f aca="false">Sens!C10892-Sens!C10893</f>
        <v>490</v>
      </c>
      <c r="D10894" s="29" t="n">
        <f aca="false">Sens!D10892-Sens!D10893</f>
        <v>1230</v>
      </c>
      <c r="E10894" s="29" t="n">
        <f aca="false">Sens!E10892-Sens!E10893</f>
        <v>2700</v>
      </c>
      <c r="F10894" s="29" t="n">
        <f aca="false">Sens!F10892-Sens!F10893</f>
        <v>5021.2</v>
      </c>
      <c r="G10894" s="29" t="n">
        <f aca="false">Sens!G10892-Sens!G10893</f>
        <v>7548.4</v>
      </c>
      <c r="H10894" s="29" t="n">
        <f aca="false">Sens!H10892-Sens!H10893</f>
        <v>10075.6</v>
      </c>
      <c r="I10894" s="29" t="n">
        <f aca="false">Sens!I10892-Sens!I10893</f>
        <v>11868.716</v>
      </c>
      <c r="J10894" s="29" t="n">
        <f aca="false">Sens!J10892-Sens!J10893</f>
        <v>12963.61032</v>
      </c>
      <c r="K10894" s="29" t="n">
        <f aca="false">Sens!K10892-Sens!K10893</f>
        <v>13375.1986296</v>
      </c>
    </row>
    <row r="10895" customFormat="false" ht="17.15" hidden="false" customHeight="false" outlineLevel="0" collapsed="false">
      <c r="A10895" s="1" t="s">
        <v>816</v>
      </c>
      <c r="B10895" s="0" t="s">
        <v>399</v>
      </c>
      <c r="C10895" s="29" t="n">
        <f aca="false">Sens!C10894/ext_sh</f>
        <v>816.666666666667</v>
      </c>
      <c r="D10895" s="29" t="n">
        <f aca="false">Sens!D10894/ext_sh</f>
        <v>2050</v>
      </c>
      <c r="E10895" s="29" t="n">
        <f aca="false">Sens!E10894/ext_sh</f>
        <v>4500</v>
      </c>
      <c r="F10895" s="29" t="n">
        <f aca="false">Sens!F10894/ext_sh</f>
        <v>8368.66666666667</v>
      </c>
      <c r="G10895" s="29" t="n">
        <f aca="false">Sens!G10894/ext_sh</f>
        <v>12580.6666666667</v>
      </c>
      <c r="H10895" s="29" t="n">
        <f aca="false">Sens!H10894/ext_sh</f>
        <v>16792.6666666667</v>
      </c>
      <c r="I10895" s="29" t="n">
        <f aca="false">Sens!I10894/ext_sh</f>
        <v>19781.1933333333</v>
      </c>
      <c r="J10895" s="29" t="n">
        <f aca="false">Sens!J10894/ext_sh</f>
        <v>21606.0172</v>
      </c>
      <c r="K10895" s="29" t="n">
        <f aca="false">Sens!K10894/ext_sh</f>
        <v>22291.997716</v>
      </c>
      <c r="L10895" s="1" t="s">
        <v>817</v>
      </c>
    </row>
    <row r="10896" customFormat="false" ht="17.15" hidden="false" customHeight="false" outlineLevel="0" collapsed="false">
      <c r="A10896" s="1" t="s">
        <v>818</v>
      </c>
      <c r="B10896" s="0" t="s">
        <v>399</v>
      </c>
      <c r="C10896" s="29" t="n">
        <f aca="false">Sens!C10895-Sens!C10894</f>
        <v>326.666666666667</v>
      </c>
      <c r="D10896" s="29" t="n">
        <f aca="false">Sens!D10895-Sens!D10894</f>
        <v>820</v>
      </c>
      <c r="E10896" s="29" t="n">
        <f aca="false">Sens!E10895-Sens!E10894</f>
        <v>1800</v>
      </c>
      <c r="F10896" s="29" t="n">
        <f aca="false">Sens!F10895-Sens!F10894</f>
        <v>3347.46666666667</v>
      </c>
      <c r="G10896" s="29" t="n">
        <f aca="false">Sens!G10895-Sens!G10894</f>
        <v>5032.26666666667</v>
      </c>
      <c r="H10896" s="29" t="n">
        <f aca="false">Sens!H10895-Sens!H10894</f>
        <v>6717.06666666667</v>
      </c>
      <c r="I10896" s="29" t="n">
        <f aca="false">Sens!I10895-Sens!I10894</f>
        <v>7912.47733333333</v>
      </c>
      <c r="J10896" s="29" t="n">
        <f aca="false">Sens!J10895-Sens!J10894</f>
        <v>8642.40688</v>
      </c>
      <c r="K10896" s="29" t="n">
        <f aca="false">Sens!K10895-Sens!K10894</f>
        <v>8916.7990864</v>
      </c>
    </row>
    <row r="10897" customFormat="false" ht="17.15" hidden="false" customHeight="false" outlineLevel="0" collapsed="false">
      <c r="A10897" s="1" t="s">
        <v>819</v>
      </c>
      <c r="B10897" s="0" t="s">
        <v>399</v>
      </c>
      <c r="C10897" s="29" t="n">
        <f aca="false">Sens!C10895</f>
        <v>816.666666666667</v>
      </c>
      <c r="D10897" s="29" t="n">
        <f aca="false">Sens!D10895-Sens!C10895</f>
        <v>1233.33333333333</v>
      </c>
      <c r="E10897" s="29" t="n">
        <f aca="false">Sens!E10895-Sens!D10895</f>
        <v>2450</v>
      </c>
      <c r="F10897" s="29" t="n">
        <f aca="false">Sens!F10895-Sens!E10895</f>
        <v>3868.66666666667</v>
      </c>
      <c r="G10897" s="29" t="n">
        <f aca="false">Sens!G10895-Sens!F10895</f>
        <v>4212</v>
      </c>
      <c r="H10897" s="29" t="n">
        <f aca="false">Sens!H10895-Sens!G10895</f>
        <v>4212</v>
      </c>
      <c r="I10897" s="29" t="n">
        <f aca="false">Sens!I10895-Sens!H10895</f>
        <v>2988.52666666667</v>
      </c>
      <c r="J10897" s="29" t="n">
        <f aca="false">Sens!J10895-Sens!I10895</f>
        <v>1824.82386666667</v>
      </c>
      <c r="K10897" s="29" t="n">
        <f aca="false">Sens!K10895-Sens!J10895</f>
        <v>685.980516</v>
      </c>
    </row>
    <row r="10898" customFormat="false" ht="17.15" hidden="false" customHeight="false" outlineLevel="0" collapsed="false">
      <c r="A10898" s="1" t="s">
        <v>820</v>
      </c>
      <c r="B10898" s="0" t="s">
        <v>399</v>
      </c>
      <c r="D10898" s="29" t="n">
        <f aca="false">Sens!D10892-Sens!C10892</f>
        <v>990</v>
      </c>
      <c r="E10898" s="29" t="n">
        <f aca="false">Sens!E10892-Sens!D10892</f>
        <v>1620</v>
      </c>
      <c r="F10898" s="29" t="n">
        <f aca="false">Sens!F10892-Sens!E10892</f>
        <v>2527.2</v>
      </c>
      <c r="G10898" s="29" t="n">
        <f aca="false">Sens!G10892-Sens!F10892</f>
        <v>2527.2</v>
      </c>
      <c r="H10898" s="29" t="n">
        <f aca="false">Sens!H10892-Sens!G10892</f>
        <v>2527.2</v>
      </c>
      <c r="I10898" s="29" t="n">
        <f aca="false">Sens!I10892-Sens!H10892</f>
        <v>1793.116</v>
      </c>
      <c r="J10898" s="29" t="n">
        <f aca="false">Sens!J10892-Sens!I10892</f>
        <v>1094.89432</v>
      </c>
      <c r="K10898" s="29" t="n">
        <f aca="false">Sens!K10892-Sens!J10892</f>
        <v>411.5883096</v>
      </c>
    </row>
    <row r="10899" customFormat="false" ht="17.15" hidden="false" customHeight="false" outlineLevel="0" collapsed="false">
      <c r="A10899" s="1" t="s">
        <v>821</v>
      </c>
      <c r="B10899" s="0" t="s">
        <v>399</v>
      </c>
      <c r="F10899" s="29" t="n">
        <f aca="false">Sens!F10916*ext_sh</f>
        <v>0</v>
      </c>
      <c r="G10899" s="29" t="n">
        <f aca="false">Sens!G10916*ext_sh</f>
        <v>0</v>
      </c>
      <c r="H10899" s="29" t="n">
        <f aca="false">Sens!H10916*ext_sh</f>
        <v>0</v>
      </c>
      <c r="I10899" s="29" t="n">
        <f aca="false">Sens!I10916*ext_sh</f>
        <v>490</v>
      </c>
      <c r="J10899" s="29" t="n">
        <f aca="false">Sens!J10916*ext_sh</f>
        <v>740</v>
      </c>
      <c r="K10899" s="29" t="n">
        <f aca="false">Sens!K10916*ext_sh</f>
        <v>1470</v>
      </c>
      <c r="L10899" s="1" t="s">
        <v>822</v>
      </c>
    </row>
    <row r="10900" customFormat="false" ht="17.15" hidden="false" customHeight="false" outlineLevel="0" collapsed="false">
      <c r="A10900" s="1" t="s">
        <v>823</v>
      </c>
      <c r="B10900" s="0" t="s">
        <v>399</v>
      </c>
      <c r="C10900" s="29" t="n">
        <f aca="false">mix_h*Sens!C10892</f>
        <v>128</v>
      </c>
      <c r="D10900" s="29" t="n">
        <f aca="false">mix_h*Sens!D10892</f>
        <v>326</v>
      </c>
      <c r="E10900" s="29" t="n">
        <f aca="false">mix_h*Sens!E10892</f>
        <v>650</v>
      </c>
      <c r="F10900" s="29" t="n">
        <f aca="false">Sens!E10900-Sens!F10899*mix_h</f>
        <v>650</v>
      </c>
      <c r="G10900" s="29" t="n">
        <f aca="false">Sens!F10900-Sens!G10899*mix_h</f>
        <v>650</v>
      </c>
      <c r="H10900" s="29" t="n">
        <f aca="false">Sens!G10900-Sens!H10899*mix_h</f>
        <v>650</v>
      </c>
      <c r="I10900" s="29" t="n">
        <f aca="false">Sens!H10900-Sens!I10899*mix_h</f>
        <v>552</v>
      </c>
      <c r="J10900" s="29" t="n">
        <f aca="false">Sens!I10900-Sens!J10899*mix_h</f>
        <v>404</v>
      </c>
      <c r="K10900" s="29" t="n">
        <f aca="false">Sens!J10900-Sens!K10899*mix_h</f>
        <v>110</v>
      </c>
    </row>
    <row r="10901" customFormat="false" ht="17.15" hidden="false" customHeight="false" outlineLevel="0" collapsed="false">
      <c r="A10901" s="1" t="s">
        <v>824</v>
      </c>
      <c r="B10901" s="0" t="s">
        <v>399</v>
      </c>
      <c r="C10901" s="29" t="n">
        <f aca="false">mix_g2*Sens!C10892</f>
        <v>288</v>
      </c>
      <c r="D10901" s="29" t="n">
        <f aca="false">mix_g2*Sens!D10892</f>
        <v>733.5</v>
      </c>
      <c r="E10901" s="29" t="n">
        <f aca="false">mix_g2*Sens!E10892</f>
        <v>1462.5</v>
      </c>
      <c r="F10901" s="29" t="n">
        <f aca="false">Sens!E10901-Sens!F10899*mix_g2</f>
        <v>1462.5</v>
      </c>
      <c r="G10901" s="29" t="n">
        <f aca="false">Sens!F10901-Sens!G10899*mix_g2</f>
        <v>1462.5</v>
      </c>
      <c r="H10901" s="29" t="n">
        <f aca="false">Sens!G10901-Sens!H10899*mix_g2</f>
        <v>1462.5</v>
      </c>
      <c r="I10901" s="29" t="n">
        <f aca="false">Sens!H10901-Sens!I10899*mix_g2</f>
        <v>1242</v>
      </c>
      <c r="J10901" s="29" t="n">
        <f aca="false">Sens!I10901-Sens!J10899*mix_g2</f>
        <v>909</v>
      </c>
      <c r="K10901" s="29" t="n">
        <f aca="false">Sens!J10901-Sens!K10899*mix_g2</f>
        <v>247.5</v>
      </c>
    </row>
    <row r="10902" customFormat="false" ht="17.15" hidden="false" customHeight="false" outlineLevel="0" collapsed="false">
      <c r="A10902" s="1" t="s">
        <v>825</v>
      </c>
      <c r="B10902" s="0" t="s">
        <v>399</v>
      </c>
      <c r="C10902" s="29" t="n">
        <f aca="false">mix_g3*Sens!C10892</f>
        <v>224</v>
      </c>
      <c r="D10902" s="29" t="n">
        <f aca="false">mix_g3*Sens!D10892</f>
        <v>570.5</v>
      </c>
      <c r="E10902" s="29" t="n">
        <f aca="false">mix_g3*Sens!E10892</f>
        <v>1137.5</v>
      </c>
      <c r="F10902" s="29" t="n">
        <f aca="false">Sens!E10902+(Sens!F10898+Sens!F10899)*a_g3_27-Sens!F10899*mix_g3</f>
        <v>2906.54</v>
      </c>
      <c r="G10902" s="29" t="n">
        <f aca="false">Sens!F10902+(Sens!G10898+Sens!G10899)*a_g3_28-Sens!G10899*mix_g3</f>
        <v>3664.7</v>
      </c>
      <c r="H10902" s="29" t="n">
        <f aca="false">Sens!G10902+(Sens!H10898+Sens!H10899)*a_g3_29-Sens!H10899*mix_g3</f>
        <v>3917.42</v>
      </c>
      <c r="I10902" s="29" t="n">
        <f aca="false">Sens!H10902+(Sens!I10898+Sens!I10899)*a_g3_29-Sens!I10899*mix_g3</f>
        <v>3974.2316</v>
      </c>
      <c r="J10902" s="29" t="n">
        <f aca="false">Sens!I10902+(Sens!J10898+Sens!J10899)*a_g3_29-Sens!J10899*mix_g3</f>
        <v>3898.721032</v>
      </c>
      <c r="K10902" s="29" t="n">
        <f aca="false">Sens!J10902+(Sens!K10898+Sens!K10899)*a_g3_29-Sens!K10899*mix_g3</f>
        <v>3572.37986296</v>
      </c>
    </row>
    <row r="10903" customFormat="false" ht="17.15" hidden="false" customHeight="false" outlineLevel="0" collapsed="false">
      <c r="A10903" s="1" t="s">
        <v>826</v>
      </c>
      <c r="B10903" s="0" t="s">
        <v>399</v>
      </c>
      <c r="C10903" s="29" t="n">
        <v>0</v>
      </c>
      <c r="D10903" s="29" t="n">
        <v>0</v>
      </c>
      <c r="E10903" s="29" t="n">
        <v>0</v>
      </c>
      <c r="F10903" s="29" t="n">
        <f aca="false">Sens!E10903+(Sens!F10898+Sens!F10899)*(1-a_g3_27)</f>
        <v>758.16</v>
      </c>
      <c r="G10903" s="29" t="n">
        <f aca="false">Sens!F10903+(Sens!G10898+Sens!G10899)*(1-a_g3_28)</f>
        <v>2527.2</v>
      </c>
      <c r="H10903" s="29" t="n">
        <f aca="false">Sens!G10903+(Sens!H10898+Sens!H10899)*(1-a_g3_29)</f>
        <v>4801.68</v>
      </c>
      <c r="I10903" s="29" t="n">
        <f aca="false">Sens!H10903+(Sens!I10898+Sens!I10899)*(1-a_g3_29)</f>
        <v>6856.4844</v>
      </c>
      <c r="J10903" s="29" t="n">
        <f aca="false">Sens!I10903+(Sens!J10898+Sens!J10899)*(1-a_g3_29)</f>
        <v>8507.889288</v>
      </c>
      <c r="K10903" s="29" t="n">
        <f aca="false">Sens!J10903+(Sens!K10898+Sens!K10899)*(1-a_g3_29)</f>
        <v>10201.31876664</v>
      </c>
    </row>
    <row r="10904" customFormat="false" ht="17.15" hidden="false" customHeight="false" outlineLevel="0" collapsed="false">
      <c r="A10904" s="1" t="s">
        <v>827</v>
      </c>
      <c r="B10904" s="0" t="s">
        <v>346</v>
      </c>
      <c r="C10904" s="14" t="n">
        <f aca="false">(Sens!C10900*tk_hold_h100+Sens!C10901*tk_hold_gb200+Sens!C10902*tk_hold_gb300+Sens!C10903*tk_hold_vr200)/Sens!C10892</f>
        <v>9.7235358126469</v>
      </c>
      <c r="D10904" s="14" t="n">
        <f aca="false">(Sens!D10900*tk_hold_h100+Sens!D10901*tk_hold_gb200+Sens!D10902*tk_hold_gb300+Sens!D10903*tk_hold_vr200)/Sens!D10892</f>
        <v>9.7235358126469</v>
      </c>
      <c r="E10904" s="14" t="n">
        <f aca="false">(Sens!E10900*tk_hold_h100+Sens!E10901*tk_hold_gb200+Sens!E10902*tk_hold_gb300+Sens!E10903*tk_hold_vr200)/Sens!E10892</f>
        <v>9.7235358126469</v>
      </c>
      <c r="F10904" s="14" t="n">
        <f aca="false">(Sens!F10900*tk_hold_h100+Sens!F10901*tk_hold_gb200+Sens!F10902*tk_hold_gb300+Sens!F10903*tk_hold_vr200)/Sens!F10892</f>
        <v>10.4079573161931</v>
      </c>
      <c r="G10904" s="14" t="n">
        <f aca="false">(Sens!G10900*tk_hold_h100+Sens!G10901*tk_hold_gb200+Sens!G10902*tk_hold_gb300+Sens!G10903*tk_hold_vr200)/Sens!G10892</f>
        <v>10.8388131109316</v>
      </c>
      <c r="H10904" s="14" t="n">
        <f aca="false">(Sens!H10900*tk_hold_h100+Sens!H10901*tk_hold_gb200+Sens!H10902*tk_hold_gb300+Sens!H10903*tk_hold_vr200)/Sens!H10892</f>
        <v>11.1311018388216</v>
      </c>
      <c r="I10904" s="14" t="n">
        <f aca="false">(Sens!I10900*tk_hold_h100+Sens!I10901*tk_hold_gb200+Sens!I10902*tk_hold_gb300+Sens!I10903*tk_hold_vr200)/Sens!I10892</f>
        <v>11.3594282560989</v>
      </c>
      <c r="J10904" s="14" t="n">
        <f aca="false">(Sens!J10900*tk_hold_h100+Sens!J10901*tk_hold_gb200+Sens!J10902*tk_hold_gb300+Sens!J10903*tk_hold_vr200)/Sens!J10892</f>
        <v>11.5455817917599</v>
      </c>
      <c r="K10904" s="14" t="n">
        <f aca="false">(Sens!K10900*tk_hold_h100+Sens!K10901*tk_hold_gb200+Sens!K10902*tk_hold_gb300+Sens!K10903*tk_hold_vr200)/Sens!K10892</f>
        <v>11.8078187977246</v>
      </c>
    </row>
    <row r="10905" customFormat="false" ht="17.15" hidden="false" customHeight="false" outlineLevel="0" collapsed="false">
      <c r="A10905" s="0" t="s">
        <v>828</v>
      </c>
      <c r="B10905" s="0" t="s">
        <v>185</v>
      </c>
      <c r="C10905" s="14" t="n">
        <f aca="false">k_B</f>
        <v>1.17213932619116</v>
      </c>
      <c r="D10905" s="14" t="n">
        <f aca="false">k_B</f>
        <v>1.17213932619116</v>
      </c>
      <c r="E10905" s="14" t="n">
        <f aca="false">k_B</f>
        <v>1.17213932619116</v>
      </c>
      <c r="F10905" s="14" t="n">
        <f aca="false">(k_B+((ls_C*k_long+(1-ls_C)*k_spot)-k_B)*MIN(1,(Sens!F10890-base_fy)/k_ramp))</f>
        <v>1.07843258004497</v>
      </c>
      <c r="G10905" s="14" t="n">
        <f aca="false">(k_B+((ls_C*k_long+(1-ls_C)*k_spot)-k_B)*MIN(1,(Sens!G10890-base_fy)/k_ramp))</f>
        <v>0.984725833898784</v>
      </c>
      <c r="H10905" s="14" t="n">
        <f aca="false">(k_B+((ls_C*k_long+(1-ls_C)*k_spot)-k_B)*MIN(1,(Sens!H10890-base_fy)/k_ramp))</f>
        <v>0.891019087752599</v>
      </c>
      <c r="I10905" s="14" t="n">
        <f aca="false">(k_B+((ls_C*k_long+(1-ls_C)*k_spot)-k_B)*MIN(1,(Sens!I10890-base_fy)/k_ramp))</f>
        <v>0.891019087752599</v>
      </c>
      <c r="J10905" s="14" t="n">
        <f aca="false">(k_B+((ls_C*k_long+(1-ls_C)*k_spot)-k_B)*MIN(1,(Sens!J10890-base_fy)/k_ramp))</f>
        <v>0.891019087752599</v>
      </c>
      <c r="K10905" s="14" t="n">
        <f aca="false">(k_B+((ls_C*k_long+(1-ls_C)*k_spot)-k_B)*MIN(1,(Sens!K10890-base_fy)/k_ramp))</f>
        <v>0.891019087752599</v>
      </c>
      <c r="L10905" s="1" t="s">
        <v>829</v>
      </c>
    </row>
    <row r="10906" customFormat="false" ht="17.15" hidden="false" customHeight="false" outlineLevel="0" collapsed="false">
      <c r="A10906" s="1" t="s">
        <v>830</v>
      </c>
      <c r="B10906" s="0" t="s">
        <v>346</v>
      </c>
      <c r="C10906" s="14" t="n">
        <f aca="false">Sens!C10904*Sens!C10905*chip_f</f>
        <v>11.3973387156315</v>
      </c>
      <c r="D10906" s="14" t="n">
        <f aca="false">Sens!D10904*Sens!D10905*chip_f</f>
        <v>11.3973387156315</v>
      </c>
      <c r="E10906" s="14" t="n">
        <f aca="false">Sens!E10904*Sens!E10905*chip_f</f>
        <v>11.3973387156315</v>
      </c>
      <c r="F10906" s="14" t="n">
        <f aca="false">Sens!F10904*Sens!F10905*chip_f</f>
        <v>11.2242802615</v>
      </c>
      <c r="G10906" s="14" t="n">
        <f aca="false">Sens!G10904*Sens!G10905*chip_f</f>
        <v>10.6732592791352</v>
      </c>
      <c r="H10906" s="14" t="n">
        <f aca="false">Sens!H10904*Sens!H10905*chip_f</f>
        <v>9.91802420610807</v>
      </c>
      <c r="I10906" s="14" t="n">
        <f aca="false">Sens!I10904*Sens!I10905*chip_f</f>
        <v>10.1214674021403</v>
      </c>
      <c r="J10906" s="14" t="n">
        <f aca="false">Sens!J10904*Sens!J10905*chip_f</f>
        <v>10.2873337556669</v>
      </c>
      <c r="K10906" s="14" t="n">
        <f aca="false">Sens!K10904*Sens!K10905*chip_f</f>
        <v>10.5209919334966</v>
      </c>
      <c r="L10906" s="1" t="s">
        <v>831</v>
      </c>
    </row>
    <row r="10907" customFormat="false" ht="17.15" hidden="false" customHeight="false" outlineLevel="0" collapsed="false">
      <c r="A10907" s="0" t="s">
        <v>832</v>
      </c>
      <c r="B10907" s="0" t="s">
        <v>98</v>
      </c>
      <c r="D10907" s="6" t="n">
        <f aca="false">(Sens!C10892+Sens!D10892)/2*Sens!D10906/1000</f>
        <v>12.9359794422418</v>
      </c>
      <c r="E10907" s="6" t="n">
        <f aca="false">(Sens!D10892+Sens!E10892)/2*Sens!E10906/1000</f>
        <v>27.8095064661409</v>
      </c>
      <c r="F10907" s="6" t="n">
        <f aca="false">(Sens!E10892+Sens!F10892)/2*Sens!F10906/1000</f>
        <v>50.6619113883066</v>
      </c>
      <c r="G10907" s="6" t="n">
        <f aca="false">(Sens!F10892+Sens!G10892)/2*Sens!G10906/1000</f>
        <v>75.1482839325348</v>
      </c>
      <c r="H10907" s="6" t="n">
        <f aca="false">(Sens!G10892+Sens!H10892)/2*Sens!H10906/1000</f>
        <v>94.895655604042</v>
      </c>
      <c r="I10907" s="6" t="n">
        <f aca="false">(Sens!H10892+Sens!I10892)/2*Sens!I10906/1000</f>
        <v>118.706168884151</v>
      </c>
      <c r="J10907" s="6" t="n">
        <f aca="false">(Sens!I10892+Sens!J10892)/2*Sens!J10906/1000</f>
        <v>135.50643871102</v>
      </c>
      <c r="K10907" s="6" t="n">
        <f aca="false">(Sens!J10892+Sens!K10892)/2*Sens!K10906/1000</f>
        <v>146.509068150048</v>
      </c>
      <c r="L10907" s="11" t="s">
        <v>833</v>
      </c>
    </row>
    <row r="10908" customFormat="false" ht="17.15" hidden="false" customHeight="false" outlineLevel="0" collapsed="false">
      <c r="A10908" s="1" t="s">
        <v>834</v>
      </c>
      <c r="B10908" s="0" t="s">
        <v>346</v>
      </c>
      <c r="C10908" s="14" t="n">
        <f aca="false">(Sens!C10900*tk_opex_h100+Sens!C10901*tk_opex_gb200+Sens!C10902*tk_opex_gb300+Sens!C10903*tk_opex_vr200)/Sens!C10892</f>
        <v>1.88636041306092</v>
      </c>
      <c r="D10908" s="14" t="n">
        <f aca="false">(Sens!D10900*tk_opex_h100+Sens!D10901*tk_opex_gb200+Sens!D10902*tk_opex_gb300+Sens!D10903*tk_opex_vr200)/Sens!D10892</f>
        <v>1.88636041306092</v>
      </c>
      <c r="E10908" s="14" t="n">
        <f aca="false">(Sens!E10900*tk_opex_h100+Sens!E10901*tk_opex_gb200+Sens!E10902*tk_opex_gb300+Sens!E10903*tk_opex_vr200)/Sens!E10892</f>
        <v>1.88636041306092</v>
      </c>
      <c r="F10908" s="14" t="n">
        <f aca="false">(Sens!F10900*tk_opex_h100+Sens!F10901*tk_opex_gb200+Sens!F10902*tk_opex_gb300+Sens!F10903*tk_opex_vr200)/Sens!F10892</f>
        <v>1.9430236476499</v>
      </c>
      <c r="G10908" s="14" t="n">
        <f aca="false">(Sens!G10900*tk_opex_h100+Sens!G10901*tk_opex_gb200+Sens!G10902*tk_opex_gb300+Sens!G10903*tk_opex_vr200)/Sens!G10892</f>
        <v>1.9786941852423</v>
      </c>
      <c r="H10908" s="14" t="n">
        <f aca="false">(Sens!H10900*tk_opex_h100+Sens!H10901*tk_opex_gb200+Sens!H10902*tk_opex_gb300+Sens!H10903*tk_opex_vr200)/Sens!H10892</f>
        <v>2.00289275976156</v>
      </c>
      <c r="I10908" s="14" t="n">
        <f aca="false">(Sens!I10900*tk_opex_h100+Sens!I10901*tk_opex_gb200+Sens!I10902*tk_opex_gb300+Sens!I10903*tk_opex_vr200)/Sens!I10892</f>
        <v>2.02179589661219</v>
      </c>
      <c r="J10908" s="14" t="n">
        <f aca="false">(Sens!J10900*tk_opex_h100+Sens!J10901*tk_opex_gb200+Sens!J10902*tk_opex_gb300+Sens!J10903*tk_opex_vr200)/Sens!J10892</f>
        <v>2.03720754193029</v>
      </c>
      <c r="K10908" s="14" t="n">
        <f aca="false">(Sens!K10900*tk_opex_h100+Sens!K10901*tk_opex_gb200+Sens!K10902*tk_opex_gb300+Sens!K10903*tk_opex_vr200)/Sens!K10892</f>
        <v>2.0589181353437</v>
      </c>
    </row>
    <row r="10909" customFormat="false" ht="17.15" hidden="false" customHeight="false" outlineLevel="0" collapsed="false">
      <c r="A10909" s="0" t="s">
        <v>835</v>
      </c>
      <c r="B10909" s="0" t="s">
        <v>98</v>
      </c>
      <c r="D10909" s="6" t="n">
        <f aca="false">(Sens!C10895+Sens!D10895)/2*Sens!D10908/1000</f>
        <v>2.70378325872065</v>
      </c>
      <c r="E10909" s="6" t="n">
        <f aca="false">(Sens!D10895+Sens!E10895)/2*Sens!E10908/1000</f>
        <v>6.17783035277451</v>
      </c>
      <c r="F10909" s="6" t="n">
        <f aca="false">(Sens!E10895+Sens!F10895)/2*Sens!F10908/1000</f>
        <v>12.5020618235287</v>
      </c>
      <c r="G10909" s="6" t="n">
        <f aca="false">(Sens!F10895+Sens!G10895)/2*Sens!G10908/1000</f>
        <v>20.7261620256847</v>
      </c>
      <c r="H10909" s="6" t="n">
        <f aca="false">(Sens!G10895+Sens!H10895)/2*Sens!H10908/1000</f>
        <v>29.4158183316982</v>
      </c>
      <c r="I10909" s="6" t="n">
        <f aca="false">(Sens!H10895+Sens!I10895)/2*Sens!I10908/1000</f>
        <v>36.9724400356344</v>
      </c>
      <c r="J10909" s="6" t="n">
        <f aca="false">(Sens!I10895+Sens!J10895)/2*Sens!J10908/1000</f>
        <v>42.1571687189816</v>
      </c>
      <c r="K10909" s="6" t="n">
        <f aca="false">(Sens!J10895+Sens!K10895)/2*Sens!K10908/1000</f>
        <v>45.1912095080704</v>
      </c>
    </row>
    <row r="10910" customFormat="false" ht="17.15" hidden="false" customHeight="false" outlineLevel="0" collapsed="false">
      <c r="A10910" s="0" t="s">
        <v>836</v>
      </c>
      <c r="B10910" s="0" t="s">
        <v>98</v>
      </c>
      <c r="D10910" s="6" t="n">
        <f aca="false">(Sens!C10893+Sens!D10893)/2*rent_mw/1000</f>
        <v>2.44475</v>
      </c>
      <c r="E10910" s="6" t="n">
        <f aca="false">(Sens!D10893+Sens!E10893)/2*rent_mw/1000</f>
        <v>4.22275</v>
      </c>
      <c r="F10910" s="6" t="n">
        <f aca="false">(Sens!E10893+Sens!F10893)/2*rent_mw/1000</f>
        <v>5.80517</v>
      </c>
      <c r="G10910" s="6" t="n">
        <f aca="false">(Sens!F10893+Sens!G10893)/2*rent_mw/1000</f>
        <v>6.72084</v>
      </c>
      <c r="H10910" s="6" t="n">
        <f aca="false">(Sens!G10893+Sens!H10893)/2*rent_mw/1000</f>
        <v>6.72084</v>
      </c>
      <c r="I10910" s="6" t="n">
        <f aca="false">(Sens!H10893+Sens!I10893)/2*rent_mw/1000</f>
        <v>6.72084</v>
      </c>
      <c r="J10910" s="6" t="n">
        <f aca="false">(Sens!I10893+Sens!J10893)/2*rent_mw/1000</f>
        <v>6.72084</v>
      </c>
      <c r="K10910" s="6" t="n">
        <f aca="false">(Sens!J10893+Sens!K10893)/2*rent_mw/1000</f>
        <v>6.72084</v>
      </c>
    </row>
    <row r="10911" customFormat="false" ht="17.15" hidden="false" customHeight="false" outlineLevel="0" collapsed="false">
      <c r="A10911" s="0" t="s">
        <v>837</v>
      </c>
      <c r="B10911" s="0" t="s">
        <v>98</v>
      </c>
      <c r="D10911" s="6" t="n">
        <f aca="false">(Sens!C10895+Sens!D10895)/2*(1-self_build)*fac_rent/1000</f>
        <v>0.853242375631075</v>
      </c>
      <c r="E10911" s="6" t="n">
        <f aca="false">(Sens!D10895+Sens!E10895)/2*(1-self_build)*fac_rent/1000</f>
        <v>1.94955961408728</v>
      </c>
      <c r="F10911" s="6" t="n">
        <f aca="false">(Sens!E10895+Sens!F10895)/2*(1-self_build)*fac_rent/1000</f>
        <v>3.83026455274573</v>
      </c>
      <c r="G10911" s="6" t="n">
        <f aca="false">(Sens!F10895+Sens!G10895)/2*(1-self_build)*fac_rent/1000</f>
        <v>6.23541590972812</v>
      </c>
      <c r="H10911" s="6" t="n">
        <f aca="false">(Sens!G10895+Sens!H10895)/2*(1-self_build)*fac_rent/1000</f>
        <v>8.74275792332679</v>
      </c>
      <c r="I10911" s="6" t="n">
        <f aca="false">(Sens!H10895+Sens!I10895)/2*(1-self_build)*fac_rent/1000</f>
        <v>10.8859420438599</v>
      </c>
      <c r="J10911" s="6" t="n">
        <f aca="false">(Sens!I10895+Sens!J10895)/2*(1-self_build)*fac_rent/1000</f>
        <v>12.3186006405366</v>
      </c>
      <c r="K10911" s="6" t="n">
        <f aca="false">(Sens!J10895+Sens!K10895)/2*(1-self_build)*fac_rent/1000</f>
        <v>13.0659232089824</v>
      </c>
      <c r="L10911" s="11" t="s">
        <v>838</v>
      </c>
    </row>
    <row r="10912" customFormat="false" ht="17.15" hidden="false" customHeight="false" outlineLevel="0" collapsed="false">
      <c r="A10912" s="1" t="s">
        <v>839</v>
      </c>
      <c r="B10912" s="0" t="s">
        <v>129</v>
      </c>
      <c r="D10912" s="7" t="n">
        <f aca="false">(Sens!C10894+Sens!D10894)/(Sens!C10895+Sens!D10895)</f>
        <v>0.6</v>
      </c>
      <c r="E10912" s="7" t="n">
        <f aca="false">(Sens!D10894+Sens!E10894)/(Sens!D10895+Sens!E10895)</f>
        <v>0.6</v>
      </c>
      <c r="F10912" s="7" t="n">
        <f aca="false">(Sens!E10894+Sens!F10894)/(Sens!E10895+Sens!F10895)</f>
        <v>0.6</v>
      </c>
      <c r="G10912" s="7" t="n">
        <f aca="false">(Sens!F10894+Sens!G10894)/(Sens!F10895+Sens!G10895)</f>
        <v>0.6</v>
      </c>
      <c r="H10912" s="7" t="n">
        <f aca="false">(Sens!G10894+Sens!H10894)/(Sens!G10895+Sens!H10895)</f>
        <v>0.6</v>
      </c>
      <c r="I10912" s="7" t="n">
        <f aca="false">(Sens!H10894+Sens!I10894)/(Sens!H10895+Sens!I10895)</f>
        <v>0.6</v>
      </c>
      <c r="J10912" s="7" t="n">
        <f aca="false">(Sens!I10894+Sens!J10894)/(Sens!I10895+Sens!J10895)</f>
        <v>0.6</v>
      </c>
      <c r="K10912" s="7" t="n">
        <f aca="false">(Sens!J10894+Sens!K10894)/(Sens!J10895+Sens!K10895)</f>
        <v>0.6</v>
      </c>
    </row>
    <row r="10913" customFormat="false" ht="17.15" hidden="false" customHeight="false" outlineLevel="0" collapsed="false">
      <c r="A10913" s="0" t="s">
        <v>840</v>
      </c>
      <c r="B10913" s="0" t="s">
        <v>98</v>
      </c>
      <c r="D10913" s="6" t="n">
        <f aca="false">Sens!D10907-Sens!D10912*(Sens!D10909+Sens!D10911)-Sens!D10910</f>
        <v>8.35701406163072</v>
      </c>
      <c r="E10913" s="6" t="n">
        <f aca="false">Sens!E10907-Sens!E10912*(Sens!E10909+Sens!E10911)-Sens!E10910</f>
        <v>18.7103224860238</v>
      </c>
      <c r="F10913" s="6" t="n">
        <f aca="false">Sens!F10907-Sens!F10912*(Sens!F10909+Sens!F10911)-Sens!F10910</f>
        <v>35.0573455625419</v>
      </c>
      <c r="G10913" s="6" t="n">
        <f aca="false">Sens!G10907-Sens!G10912*(Sens!G10909+Sens!G10911)-Sens!G10910</f>
        <v>52.2504971712871</v>
      </c>
      <c r="H10913" s="6" t="n">
        <f aca="false">Sens!H10907-Sens!H10912*(Sens!H10909+Sens!H10911)-Sens!H10910</f>
        <v>65.2796698510271</v>
      </c>
      <c r="I10913" s="6" t="n">
        <f aca="false">Sens!I10907-Sens!I10912*(Sens!I10909+Sens!I10911)-Sens!I10910</f>
        <v>83.2702996364549</v>
      </c>
      <c r="J10913" s="6" t="n">
        <f aca="false">Sens!J10907-Sens!J10912*(Sens!J10909+Sens!J10911)-Sens!J10910</f>
        <v>96.1001370953095</v>
      </c>
      <c r="K10913" s="6" t="n">
        <f aca="false">Sens!K10907-Sens!K10912*(Sens!K10909+Sens!K10911)-Sens!K10910</f>
        <v>104.833948519816</v>
      </c>
    </row>
    <row r="10914" customFormat="false" ht="17.15" hidden="false" customHeight="false" outlineLevel="0" collapsed="false">
      <c r="A10914" s="1" t="s">
        <v>841</v>
      </c>
      <c r="B10914" s="0" t="s">
        <v>98</v>
      </c>
      <c r="D10914" s="6" t="n">
        <f aca="false">(1-Sens!D10912)*(Sens!D10909+Sens!D10911)</f>
        <v>1.42281025374069</v>
      </c>
      <c r="E10914" s="6" t="n">
        <f aca="false">(1-Sens!E10912)*(Sens!E10909+Sens!E10911)</f>
        <v>3.25095598674472</v>
      </c>
      <c r="F10914" s="6" t="n">
        <f aca="false">(1-Sens!F10912)*(Sens!F10909+Sens!F10911)</f>
        <v>6.53293055050977</v>
      </c>
      <c r="G10914" s="6" t="n">
        <f aca="false">(1-Sens!G10912)*(Sens!G10909+Sens!G10911)</f>
        <v>10.7846311741651</v>
      </c>
      <c r="H10914" s="6" t="n">
        <f aca="false">(1-Sens!H10912)*(Sens!H10909+Sens!H10911)</f>
        <v>15.26343050201</v>
      </c>
      <c r="I10914" s="6" t="n">
        <f aca="false">(1-Sens!I10912)*(Sens!I10909+Sens!I10911)</f>
        <v>19.1433528317977</v>
      </c>
      <c r="J10914" s="6" t="n">
        <f aca="false">(1-Sens!J10912)*(Sens!J10909+Sens!J10911)</f>
        <v>21.7903077438073</v>
      </c>
      <c r="K10914" s="6" t="n">
        <f aca="false">(1-Sens!K10912)*(Sens!K10909+Sens!K10911)</f>
        <v>23.3028530868211</v>
      </c>
    </row>
    <row r="10915" customFormat="false" ht="17.15" hidden="false" customHeight="false" outlineLevel="0" collapsed="false">
      <c r="A10915" s="1" t="s">
        <v>842</v>
      </c>
      <c r="B10915" s="0" t="s">
        <v>357</v>
      </c>
      <c r="C10915" s="8" t="n">
        <f aca="false">cxit_open</f>
        <v>27.5918995</v>
      </c>
      <c r="D10915" s="8" t="n">
        <f aca="false">cxit_open</f>
        <v>27.5918995</v>
      </c>
      <c r="E10915" s="8" t="n">
        <f aca="false">cxit_open</f>
        <v>27.5918995</v>
      </c>
      <c r="F10915" s="8" t="n">
        <f aca="false">(a_g3_27*tk_cxit_gb300+(1-a_g3_27)*tk_cxit_vr200)</f>
        <v>33.8419624</v>
      </c>
      <c r="G10915" s="8" t="n">
        <f aca="false">(a_g3_28*tk_cxit_gb300+(1-a_g3_28)*tk_cxit_vr200)</f>
        <v>35.9816136</v>
      </c>
      <c r="H10915" s="8" t="n">
        <f aca="false">(a_g3_29*tk_cxit_gb300+(1-a_g3_29)*tk_cxit_vr200)</f>
        <v>37.0514392</v>
      </c>
      <c r="I10915" s="8" t="n">
        <f aca="false">(a_g3_29*tk_cxit_gb300+(1-a_g3_29)*tk_cxit_vr200)</f>
        <v>37.0514392</v>
      </c>
      <c r="J10915" s="8" t="n">
        <f aca="false">(a_g3_29*tk_cxit_gb300+(1-a_g3_29)*tk_cxit_vr200)</f>
        <v>37.0514392</v>
      </c>
      <c r="K10915" s="8" t="n">
        <f aca="false">(a_g3_29*tk_cxit_gb300+(1-a_g3_29)*tk_cxit_vr200)</f>
        <v>37.0514392</v>
      </c>
      <c r="L10915" s="11" t="s">
        <v>843</v>
      </c>
    </row>
    <row r="10916" customFormat="false" ht="17.15" hidden="false" customHeight="false" outlineLevel="0" collapsed="false">
      <c r="A10916" s="0" t="s">
        <v>844</v>
      </c>
      <c r="B10916" s="0" t="s">
        <v>399</v>
      </c>
      <c r="F10916" s="29" t="n">
        <f aca="false">Sens!C10897*IF(Sens!F10890-Sens!C10890=life_it,1,0)+Sens!D10897*IF(Sens!F10890-Sens!D10890=life_it,1,0)+Sens!E10897*IF(Sens!F10890-Sens!E10890=life_it,1,0)</f>
        <v>0</v>
      </c>
      <c r="G10916" s="29" t="n">
        <f aca="false">Sens!C10897*IF(Sens!G10890-Sens!C10890=life_it,1,0)+Sens!D10897*IF(Sens!G10890-Sens!D10890=life_it,1,0)+Sens!E10897*IF(Sens!G10890-Sens!E10890=life_it,1,0)+Sens!F10897*IF(Sens!G10890-Sens!F10890=life_it,1,0)</f>
        <v>0</v>
      </c>
      <c r="H10916" s="29" t="n">
        <f aca="false">Sens!C10897*IF(Sens!H10890-Sens!C10890=life_it,1,0)+Sens!D10897*IF(Sens!H10890-Sens!D10890=life_it,1,0)+Sens!E10897*IF(Sens!H10890-Sens!E10890=life_it,1,0)+Sens!F10897*IF(Sens!H10890-Sens!F10890=life_it,1,0)+Sens!G10897*IF(Sens!H10890-Sens!G10890=life_it,1,0)</f>
        <v>0</v>
      </c>
      <c r="I10916" s="29" t="n">
        <f aca="false">Sens!C10897*IF(Sens!I10890-Sens!C10890=life_it,1,0)+Sens!D10897*IF(Sens!I10890-Sens!D10890=life_it,1,0)+Sens!E10897*IF(Sens!I10890-Sens!E10890=life_it,1,0)+Sens!F10897*IF(Sens!I10890-Sens!F10890=life_it,1,0)+Sens!G10897*IF(Sens!I10890-Sens!G10890=life_it,1,0)+Sens!H10897*IF(Sens!I10890-Sens!H10890=life_it,1,0)</f>
        <v>816.666666666667</v>
      </c>
      <c r="J10916" s="29" t="n">
        <f aca="false">Sens!C10897*IF(Sens!J10890-Sens!C10890=life_it,1,0)+Sens!D10897*IF(Sens!J10890-Sens!D10890=life_it,1,0)+Sens!E10897*IF(Sens!J10890-Sens!E10890=life_it,1,0)+Sens!F10897*IF(Sens!J10890-Sens!F10890=life_it,1,0)+Sens!G10897*IF(Sens!J10890-Sens!G10890=life_it,1,0)+Sens!H10897*IF(Sens!J10890-Sens!H10890=life_it,1,0)+Sens!I10897*IF(Sens!J10890-Sens!I10890=life_it,1,0)</f>
        <v>1233.33333333333</v>
      </c>
      <c r="K10916" s="29" t="n">
        <f aca="false">Sens!C10897*IF(Sens!K10890-Sens!C10890=life_it,1,0)+Sens!D10897*IF(Sens!K10890-Sens!D10890=life_it,1,0)+Sens!E10897*IF(Sens!K10890-Sens!E10890=life_it,1,0)+Sens!F10897*IF(Sens!K10890-Sens!F10890=life_it,1,0)+Sens!G10897*IF(Sens!K10890-Sens!G10890=life_it,1,0)+Sens!H10897*IF(Sens!K10890-Sens!H10890=life_it,1,0)+Sens!I10897*IF(Sens!K10890-Sens!I10890=life_it,1,0)+Sens!J10897*IF(Sens!K10890-Sens!J10890=life_it,1,0)</f>
        <v>2450</v>
      </c>
      <c r="L10916" s="1" t="s">
        <v>845</v>
      </c>
    </row>
    <row r="10917" customFormat="false" ht="17.15" hidden="false" customHeight="false" outlineLevel="0" collapsed="false">
      <c r="A10917" s="0" t="s">
        <v>846</v>
      </c>
      <c r="B10917" s="0" t="s">
        <v>98</v>
      </c>
      <c r="C10917" s="6" t="n">
        <f aca="false">Sens!C10897*Sens!C10915/1000</f>
        <v>22.5333845916667</v>
      </c>
      <c r="D10917" s="6" t="n">
        <f aca="false">Sens!D10897*Sens!D10915/1000</f>
        <v>34.0300093833333</v>
      </c>
      <c r="E10917" s="6" t="n">
        <f aca="false">Sens!E10897*Sens!E10915/1000</f>
        <v>67.600153775</v>
      </c>
      <c r="F10917" s="6" t="n">
        <f aca="false">(Sens!F10897+Sens!F10916)*Sens!F10915/1000</f>
        <v>130.923271871467</v>
      </c>
      <c r="G10917" s="6" t="n">
        <f aca="false">(Sens!G10897+Sens!G10916)*Sens!G10915/1000</f>
        <v>151.5545564832</v>
      </c>
      <c r="H10917" s="6" t="n">
        <f aca="false">(Sens!H10897+Sens!H10916)*Sens!H10915/1000</f>
        <v>156.0606619104</v>
      </c>
      <c r="I10917" s="6" t="n">
        <f aca="false">(Sens!I10897+Sens!I10916)*Sens!I10915/1000</f>
        <v>140.987889434245</v>
      </c>
      <c r="J10917" s="6" t="n">
        <f aca="false">(Sens!J10897+Sens!J10916)*Sens!J10915/1000</f>
        <v>113.309125559842</v>
      </c>
      <c r="K10917" s="6" t="n">
        <f aca="false">(Sens!K10897+Sens!K10916)*Sens!K10915/1000</f>
        <v>116.192591420959</v>
      </c>
    </row>
    <row r="10918" customFormat="false" ht="17.15" hidden="false" customHeight="false" outlineLevel="0" collapsed="false">
      <c r="A10918" s="0" t="s">
        <v>847</v>
      </c>
      <c r="B10918" s="0" t="s">
        <v>98</v>
      </c>
      <c r="C10918" s="6" t="n">
        <f aca="false">Sens!C10897*self_build*tk_cxfac/1000</f>
        <v>6.2083</v>
      </c>
      <c r="D10918" s="6" t="n">
        <f aca="false">Sens!D10897*self_build*tk_cxfac/1000</f>
        <v>9.3758</v>
      </c>
      <c r="E10918" s="6" t="n">
        <f aca="false">Sens!E10897*self_build*tk_cxfac/1000</f>
        <v>18.6249</v>
      </c>
      <c r="F10918" s="6" t="n">
        <f aca="false">Sens!F10897*self_build*tk_cxfac/1000</f>
        <v>29.409604</v>
      </c>
      <c r="G10918" s="6" t="n">
        <f aca="false">Sens!G10897*self_build*tk_cxfac/1000</f>
        <v>32.019624</v>
      </c>
      <c r="H10918" s="6" t="n">
        <f aca="false">Sens!H10897*self_build*tk_cxfac/1000</f>
        <v>32.019624</v>
      </c>
      <c r="I10918" s="6" t="n">
        <f aca="false">Sens!I10897*self_build*tk_cxfac/1000</f>
        <v>22.71877972</v>
      </c>
      <c r="J10918" s="6" t="n">
        <f aca="false">Sens!J10897*self_build*tk_cxfac/1000</f>
        <v>13.8723110344</v>
      </c>
      <c r="K10918" s="6" t="n">
        <f aca="false">Sens!K10897*self_build*tk_cxfac/1000</f>
        <v>5.214823882632</v>
      </c>
    </row>
    <row r="10919" customFormat="false" ht="17.15" hidden="false" customHeight="false" outlineLevel="0" collapsed="false">
      <c r="A10919" s="0" t="s">
        <v>848</v>
      </c>
      <c r="B10919" s="0" t="s">
        <v>98</v>
      </c>
      <c r="F10919" s="6" t="n">
        <f aca="false">MAX(0,capex_floor27-Sens!F10917-Sens!F10918-Sens!F11013)</f>
        <v>8.43450839897088</v>
      </c>
    </row>
    <row r="10920" customFormat="false" ht="17.15" hidden="false" customHeight="false" outlineLevel="0" collapsed="false">
      <c r="A10920" s="0" t="s">
        <v>849</v>
      </c>
      <c r="B10920" s="0" t="s">
        <v>98</v>
      </c>
      <c r="C10920" s="6" t="n">
        <f aca="false">Sens!C10917</f>
        <v>22.5333845916667</v>
      </c>
      <c r="D10920" s="6" t="n">
        <f aca="false">Sens!D10917</f>
        <v>34.0300093833333</v>
      </c>
      <c r="E10920" s="6" t="n">
        <f aca="false">Sens!E10917</f>
        <v>67.600153775</v>
      </c>
      <c r="F10920" s="6" t="n">
        <f aca="false">Sens!F10917</f>
        <v>130.923271871467</v>
      </c>
      <c r="G10920" s="6" t="n">
        <f aca="false">Sens!G10917</f>
        <v>151.5545564832</v>
      </c>
      <c r="H10920" s="6" t="n">
        <f aca="false">Sens!H10917</f>
        <v>156.0606619104</v>
      </c>
      <c r="I10920" s="6" t="n">
        <f aca="false">Sens!I10917</f>
        <v>140.987889434245</v>
      </c>
      <c r="J10920" s="6" t="n">
        <f aca="false">Sens!J10917</f>
        <v>113.309125559842</v>
      </c>
      <c r="K10920" s="6" t="n">
        <f aca="false">Sens!K10917</f>
        <v>116.192591420959</v>
      </c>
    </row>
    <row r="10921" customFormat="false" ht="17.15" hidden="false" customHeight="false" outlineLevel="0" collapsed="false">
      <c r="A10921" s="0" t="s">
        <v>850</v>
      </c>
      <c r="B10921" s="0" t="s">
        <v>98</v>
      </c>
      <c r="C10921" s="6" t="n">
        <f aca="false">Sens!C10920+Sens!C10918</f>
        <v>28.7416845916667</v>
      </c>
      <c r="D10921" s="6" t="n">
        <f aca="false">Sens!D10920+Sens!D10918</f>
        <v>43.4058093833333</v>
      </c>
      <c r="E10921" s="6" t="n">
        <f aca="false">Sens!E10920+Sens!E10918</f>
        <v>86.225053775</v>
      </c>
      <c r="F10921" s="6" t="n">
        <f aca="false">Sens!F10920+Sens!F10918</f>
        <v>160.332875871467</v>
      </c>
      <c r="G10921" s="6" t="n">
        <f aca="false">Sens!G10920+Sens!G10918</f>
        <v>183.5741804832</v>
      </c>
      <c r="H10921" s="6" t="n">
        <f aca="false">Sens!H10920+Sens!H10918</f>
        <v>188.0802859104</v>
      </c>
      <c r="I10921" s="6" t="n">
        <f aca="false">Sens!I10920+Sens!I10918</f>
        <v>163.706669154245</v>
      </c>
      <c r="J10921" s="6" t="n">
        <f aca="false">Sens!J10920+Sens!J10918</f>
        <v>127.181436594242</v>
      </c>
      <c r="K10921" s="6" t="n">
        <f aca="false">Sens!K10920+Sens!K10918</f>
        <v>121.407415303591</v>
      </c>
      <c r="L10921" s="11" t="s">
        <v>851</v>
      </c>
    </row>
    <row r="10922" customFormat="false" ht="17.15" hidden="false" customHeight="false" outlineLevel="0" collapsed="false">
      <c r="A10922" s="0" t="s">
        <v>852</v>
      </c>
      <c r="B10922" s="0" t="s">
        <v>98</v>
      </c>
      <c r="E10922" s="6" t="n">
        <f aca="false">(Sens!C10920*IF(2&lt;life_it,1,IF(2=life_it,0.5,0))+Sens!D10920*IF(1&lt;life_it,1,IF(1=life_it,0.5,0))+Sens!E10920*0.5)/life_it</f>
        <v>15.0605784770833</v>
      </c>
      <c r="F10922" s="6" t="n">
        <f aca="false">(Sens!C10920*IF(3&lt;life_it,1,IF(3=life_it,0.5,0))+Sens!D10920*IF(2&lt;life_it,1,IF(2=life_it,0.5,0))+Sens!E10920*IF(1&lt;life_it,1,IF(1=life_it,0.5,0))+Sens!F10920*0.5)/life_it</f>
        <v>31.6041972809556</v>
      </c>
      <c r="G10922" s="6" t="n">
        <f aca="false">(Sens!C10920*IF(4&lt;life_it,1,IF(4=life_it,0.5,0))+Sens!D10920*IF(3&lt;life_it,1,IF(3=life_it,0.5,0))+Sens!E10920*IF(2&lt;life_it,1,IF(2=life_it,0.5,0))+Sens!F10920*IF(1&lt;life_it,1,IF(1=life_it,0.5,0))+Sens!G10920*0.5)/life_it</f>
        <v>55.1440163105111</v>
      </c>
      <c r="H10922" s="6" t="n">
        <f aca="false">(Sens!C10920*IF(5&lt;life_it,1,IF(5=life_it,0.5,0))+Sens!D10920*IF(4&lt;life_it,1,IF(4=life_it,0.5,0))+Sens!E10920*IF(3&lt;life_it,1,IF(3=life_it,0.5,0))+Sens!F10920*IF(2&lt;life_it,1,IF(2=life_it,0.5,0))+Sens!G10920*IF(1&lt;life_it,1,IF(1=life_it,0.5,0))+Sens!H10920*0.5)/life_it</f>
        <v>80.7786178433111</v>
      </c>
      <c r="I10922" s="6" t="n">
        <f aca="false">(Sens!C10920*IF(6&lt;life_it,1,IF(6=life_it,0.5,0))+Sens!D10920*IF(5&lt;life_it,1,IF(5=life_it,0.5,0))+Sens!E10920*IF(4&lt;life_it,1,IF(4=life_it,0.5,0))+Sens!F10920*IF(3&lt;life_it,1,IF(3=life_it,0.5,0))+Sens!G10920*IF(2&lt;life_it,1,IF(2=life_it,0.5,0))+Sens!H10920*IF(1&lt;life_it,1,IF(1=life_it,0.5,0))+Sens!I10920*0.5)/life_it</f>
        <v>103.654881739393</v>
      </c>
      <c r="J10922" s="6" t="n">
        <f aca="false">(Sens!C10920*IF(7&lt;life_it,1,IF(7=life_it,0.5,0))+Sens!D10920*IF(6&lt;life_it,1,IF(6=life_it,0.5,0))+Sens!E10920*IF(5&lt;life_it,1,IF(5=life_it,0.5,0))+Sens!F10920*IF(4&lt;life_it,1,IF(4=life_it,0.5,0))+Sens!G10920*IF(3&lt;life_it,1,IF(3=life_it,0.5,0))+Sens!H10920*IF(2&lt;life_it,1,IF(2=life_it,0.5,0))+Sens!I10920*IF(1&lt;life_it,1,IF(1=life_it,0.5,0))+Sens!J10920*0.5)/life_it</f>
        <v>120.132683490983</v>
      </c>
      <c r="K10922" s="6" t="n">
        <f aca="false">(Sens!C10920*IF(8&lt;life_it,1,IF(8=life_it,0.5,0))+Sens!D10920*IF(7&lt;life_it,1,IF(7=life_it,0.5,0))+Sens!E10920*IF(6&lt;life_it,1,IF(6=life_it,0.5,0))+Sens!F10920*IF(5&lt;life_it,1,IF(5=life_it,0.5,0))+Sens!G10920*IF(4&lt;life_it,1,IF(4=life_it,0.5,0))+Sens!H10920*IF(3&lt;life_it,1,IF(3=life_it,0.5,0))+Sens!I10920*IF(2&lt;life_it,1,IF(2=life_it,0.5,0))+Sens!J10920*IF(1&lt;life_it,1,IF(1=life_it,0.5,0))+Sens!K10920*0.5)/life_it</f>
        <v>130.788646309522</v>
      </c>
    </row>
    <row r="10923" customFormat="false" ht="17.15" hidden="false" customHeight="false" outlineLevel="0" collapsed="false">
      <c r="A10923" s="0" t="s">
        <v>853</v>
      </c>
      <c r="B10923" s="0" t="s">
        <v>98</v>
      </c>
      <c r="E10923" s="6" t="n">
        <f aca="false">(Sens!C10918*IF(2&lt;life_fac,1,IF(2=life_fac,0.5,0))+Sens!D10918*IF(1&lt;life_fac,1,IF(1=life_fac,0.5,0))+Sens!E10918*0.5)/life_fac</f>
        <v>1.2448275</v>
      </c>
      <c r="F10923" s="6" t="n">
        <f aca="false">(Sens!C10918*IF(3&lt;life_fac,1,IF(3=life_fac,0.5,0))+Sens!D10918*IF(2&lt;life_fac,1,IF(2=life_fac,0.5,0))+Sens!E10918*IF(1&lt;life_fac,1,IF(1=life_fac,0.5,0))+Sens!F10918*0.5)/life_fac</f>
        <v>2.4456901</v>
      </c>
      <c r="G10923" s="6" t="n">
        <f aca="false">(Sens!C10918*IF(4&lt;life_fac,1,IF(4=life_fac,0.5,0))+Sens!D10918*IF(3&lt;life_fac,1,IF(3=life_fac,0.5,0))+Sens!E10918*IF(2&lt;life_fac,1,IF(2=life_fac,0.5,0))+Sens!F10918*IF(1&lt;life_fac,1,IF(1=life_fac,0.5,0))+Sens!G10918*0.5)/life_fac</f>
        <v>3.9814208</v>
      </c>
      <c r="H10923" s="6" t="n">
        <f aca="false">(Sens!C10918*IF(5&lt;life_fac,1,IF(5=life_fac,0.5,0))+Sens!D10918*IF(4&lt;life_fac,1,IF(4=life_fac,0.5,0))+Sens!E10918*IF(3&lt;life_fac,1,IF(3=life_fac,0.5,0))+Sens!F10918*IF(2&lt;life_fac,1,IF(2=life_fac,0.5,0))+Sens!G10918*IF(1&lt;life_fac,1,IF(1=life_fac,0.5,0))+Sens!H10918*0.5)/life_fac</f>
        <v>5.582402</v>
      </c>
      <c r="I10923" s="6" t="n">
        <f aca="false">(Sens!C10918*IF(6&lt;life_fac,1,IF(6=life_fac,0.5,0))+Sens!D10918*IF(5&lt;life_fac,1,IF(5=life_fac,0.5,0))+Sens!E10918*IF(4&lt;life_fac,1,IF(4=life_fac,0.5,0))+Sens!F10918*IF(3&lt;life_fac,1,IF(3=life_fac,0.5,0))+Sens!G10918*IF(2&lt;life_fac,1,IF(2=life_fac,0.5,0))+Sens!H10918*IF(1&lt;life_fac,1,IF(1=life_fac,0.5,0))+Sens!I10918*0.5)/life_fac</f>
        <v>6.950862093</v>
      </c>
      <c r="J10923" s="6" t="n">
        <f aca="false">(Sens!C10918*IF(7&lt;life_fac,1,IF(7=life_fac,0.5,0))+Sens!D10918*IF(6&lt;life_fac,1,IF(6=life_fac,0.5,0))+Sens!E10918*IF(5&lt;life_fac,1,IF(5=life_fac,0.5,0))+Sens!F10918*IF(4&lt;life_fac,1,IF(4=life_fac,0.5,0))+Sens!G10918*IF(3&lt;life_fac,1,IF(3=life_fac,0.5,0))+Sens!H10918*IF(2&lt;life_fac,1,IF(2=life_fac,0.5,0))+Sens!I10918*IF(1&lt;life_fac,1,IF(1=life_fac,0.5,0))+Sens!J10918*0.5)/life_fac</f>
        <v>7.86563936186</v>
      </c>
      <c r="K10923" s="6" t="n">
        <f aca="false">(Sens!C10918*IF(8&lt;life_fac,1,IF(8=life_fac,0.5,0))+Sens!D10918*IF(7&lt;life_fac,1,IF(7=life_fac,0.5,0))+Sens!E10918*IF(6&lt;life_fac,1,IF(6=life_fac,0.5,0))+Sens!F10918*IF(5&lt;life_fac,1,IF(5=life_fac,0.5,0))+Sens!G10918*IF(4&lt;life_fac,1,IF(4=life_fac,0.5,0))+Sens!H10918*IF(3&lt;life_fac,1,IF(3=life_fac,0.5,0))+Sens!I10918*IF(2&lt;life_fac,1,IF(2=life_fac,0.5,0))+Sens!J10918*IF(1&lt;life_fac,1,IF(1=life_fac,0.5,0))+Sens!K10918*0.5)/life_fac</f>
        <v>8.3428177347858</v>
      </c>
    </row>
    <row r="10924" customFormat="false" ht="17.15" hidden="false" customHeight="false" outlineLevel="0" collapsed="false">
      <c r="A10924" s="0" t="s">
        <v>854</v>
      </c>
      <c r="B10924" s="0" t="s">
        <v>98</v>
      </c>
      <c r="E10924" s="6" t="n">
        <f aca="false">Sens!E10922+Sens!E10923</f>
        <v>16.3054059770833</v>
      </c>
      <c r="F10924" s="6" t="n">
        <f aca="false">Sens!F10922+Sens!F10923</f>
        <v>34.0498873809555</v>
      </c>
      <c r="G10924" s="6" t="n">
        <f aca="false">Sens!G10922+Sens!G10923</f>
        <v>59.1254371105111</v>
      </c>
      <c r="H10924" s="6" t="n">
        <f aca="false">Sens!H10922+Sens!H10923</f>
        <v>86.3610198433111</v>
      </c>
      <c r="I10924" s="6" t="n">
        <f aca="false">Sens!I10922+Sens!I10923</f>
        <v>110.605743832393</v>
      </c>
      <c r="J10924" s="6" t="n">
        <f aca="false">Sens!J10922+Sens!J10923</f>
        <v>127.998322852843</v>
      </c>
      <c r="K10924" s="6" t="n">
        <f aca="false">Sens!K10922+Sens!K10923</f>
        <v>139.131464044308</v>
      </c>
    </row>
    <row r="10925" customFormat="false" ht="17.15" hidden="false" customHeight="false" outlineLevel="0" collapsed="false">
      <c r="A10925" s="0" t="s">
        <v>855</v>
      </c>
      <c r="B10925" s="0" t="s">
        <v>98</v>
      </c>
      <c r="E10925" s="6" t="n">
        <f aca="false">Sens!E10913-Sens!E10912*Sens!E10924</f>
        <v>8.92707889977379</v>
      </c>
      <c r="F10925" s="6" t="n">
        <f aca="false">Sens!F10913-Sens!F10912*Sens!F10924</f>
        <v>14.6274131339686</v>
      </c>
      <c r="G10925" s="6" t="n">
        <f aca="false">Sens!G10913-Sens!G10912*Sens!G10924</f>
        <v>16.7752349049804</v>
      </c>
      <c r="H10925" s="6" t="n">
        <f aca="false">Sens!H10913-Sens!H10912*Sens!H10924</f>
        <v>13.4630579450404</v>
      </c>
      <c r="I10925" s="6" t="n">
        <f aca="false">Sens!I10913-Sens!I10912*Sens!I10924</f>
        <v>16.9068533370192</v>
      </c>
      <c r="J10925" s="6" t="n">
        <f aca="false">Sens!J10913-Sens!J10912*Sens!J10924</f>
        <v>19.3011433836036</v>
      </c>
      <c r="K10925" s="6" t="n">
        <f aca="false">Sens!K10913-Sens!K10912*Sens!K10924</f>
        <v>21.3550700932312</v>
      </c>
    </row>
    <row r="10926" customFormat="false" ht="17.15" hidden="false" customHeight="false" outlineLevel="0" collapsed="false">
      <c r="A10926" s="3" t="s">
        <v>1543</v>
      </c>
    </row>
    <row r="10927" customFormat="false" ht="15" hidden="false" customHeight="false" outlineLevel="0" collapsed="false">
      <c r="A10927" s="4" t="s">
        <v>43</v>
      </c>
      <c r="B10927" s="4" t="s">
        <v>65</v>
      </c>
      <c r="C10927" s="20" t="s">
        <v>799</v>
      </c>
      <c r="D10927" s="20" t="s">
        <v>800</v>
      </c>
      <c r="E10927" s="20" t="s">
        <v>801</v>
      </c>
      <c r="F10927" s="20" t="s">
        <v>802</v>
      </c>
      <c r="G10927" s="20" t="s">
        <v>803</v>
      </c>
      <c r="H10927" s="20" t="s">
        <v>804</v>
      </c>
      <c r="I10927" s="20" t="s">
        <v>805</v>
      </c>
      <c r="J10927" s="20" t="s">
        <v>806</v>
      </c>
      <c r="K10927" s="20" t="s">
        <v>807</v>
      </c>
      <c r="L10927" s="4" t="s">
        <v>47</v>
      </c>
    </row>
    <row r="10928" customFormat="false" ht="17.15" hidden="false" customHeight="false" outlineLevel="0" collapsed="false">
      <c r="A10928" s="0" t="s">
        <v>874</v>
      </c>
      <c r="B10928" s="0" t="s">
        <v>98</v>
      </c>
      <c r="D10928" s="6" t="n">
        <f aca="false">Sens!D10907</f>
        <v>12.9359794422418</v>
      </c>
      <c r="E10928" s="6" t="n">
        <f aca="false">Sens!E10907</f>
        <v>27.8095064661409</v>
      </c>
      <c r="F10928" s="6" t="n">
        <f aca="false">Sens!F10907</f>
        <v>50.6619113883066</v>
      </c>
      <c r="G10928" s="6" t="n">
        <f aca="false">Sens!G10907</f>
        <v>75.1482839325348</v>
      </c>
      <c r="H10928" s="6" t="n">
        <f aca="false">Sens!H10907</f>
        <v>94.895655604042</v>
      </c>
      <c r="I10928" s="6" t="n">
        <f aca="false">Sens!I10907</f>
        <v>118.706168884151</v>
      </c>
      <c r="J10928" s="6" t="n">
        <f aca="false">Sens!J10907</f>
        <v>135.50643871102</v>
      </c>
      <c r="K10928" s="6" t="n">
        <f aca="false">Sens!K10907</f>
        <v>146.509068150048</v>
      </c>
    </row>
    <row r="10929" customFormat="false" ht="17.15" hidden="false" customHeight="false" outlineLevel="0" collapsed="false">
      <c r="A10929" s="0" t="s">
        <v>875</v>
      </c>
      <c r="B10929" s="0" t="s">
        <v>98</v>
      </c>
      <c r="D10929" s="6" t="n">
        <f aca="false">Q!L6-Sens!D10928</f>
        <v>59.6740205577583</v>
      </c>
      <c r="E10929" s="6" t="n">
        <f aca="false">Q!M6-Sens!E10928</f>
        <v>74.1284935338591</v>
      </c>
      <c r="F10929" s="6" t="n">
        <f aca="false">Sens!E10929*(1+Sens!F10930)</f>
        <v>90.0799497373663</v>
      </c>
      <c r="G10929" s="6" t="n">
        <f aca="false">Sens!F10929*(1+Sens!G10930)</f>
        <v>107.02842520331</v>
      </c>
      <c r="H10929" s="6" t="n">
        <f aca="false">Sens!G10929*(1+Sens!H10930)</f>
        <v>124.271982585636</v>
      </c>
      <c r="I10929" s="6" t="n">
        <f aca="false">Sens!H10929*(1+Sens!I10930)</f>
        <v>140.933702381855</v>
      </c>
      <c r="J10929" s="6" t="n">
        <f aca="false">Sens!I10929*(1+Sens!J10930)</f>
        <v>156.018867314332</v>
      </c>
      <c r="K10929" s="6" t="n">
        <f aca="false">Sens!J10929*(1+Sens!K10930)</f>
        <v>168.500376699478</v>
      </c>
    </row>
    <row r="10930" customFormat="false" ht="15" hidden="false" customHeight="false" outlineLevel="0" collapsed="false">
      <c r="A10930" s="1" t="s">
        <v>876</v>
      </c>
      <c r="B10930" s="0" t="s">
        <v>129</v>
      </c>
      <c r="E10930" s="7" t="n">
        <f aca="false">Sens!E10929/Sens!D10929-1</f>
        <v>0.242223883039864</v>
      </c>
      <c r="F10930" s="7" t="n">
        <f aca="false">Sens!$E$10930+(glt_azo-Sens!$E$10930)*MIN(1,(Sens!F10890-base_fy)/n_conv)</f>
        <v>0.215186569199887</v>
      </c>
      <c r="G10930" s="7" t="n">
        <f aca="false">Sens!$E$10930+(glt_azo-Sens!$E$10930)*MIN(1,(Sens!G10890-base_fy)/n_conv)</f>
        <v>0.18814925535991</v>
      </c>
      <c r="H10930" s="7" t="n">
        <f aca="false">Sens!$E$10930+(glt_azo-Sens!$E$10930)*MIN(1,(Sens!H10890-base_fy)/n_conv)</f>
        <v>0.161111941519932</v>
      </c>
      <c r="I10930" s="7" t="n">
        <f aca="false">Sens!$E$10930+(glt_azo-Sens!$E$10930)*MIN(1,(Sens!I10890-base_fy)/n_conv)</f>
        <v>0.134074627679955</v>
      </c>
      <c r="J10930" s="7" t="n">
        <f aca="false">Sens!$E$10930+(glt_azo-Sens!$E$10930)*MIN(1,(Sens!J10890-base_fy)/n_conv)</f>
        <v>0.107037313839977</v>
      </c>
      <c r="K10930" s="7" t="n">
        <f aca="false">Sens!$E$10930+(glt_azo-Sens!$E$10930)*MIN(1,(Sens!K10890-base_fy)/n_conv)</f>
        <v>0.08</v>
      </c>
    </row>
    <row r="10931" customFormat="false" ht="15" hidden="false" customHeight="false" outlineLevel="0" collapsed="false">
      <c r="A10931" s="0" t="s">
        <v>877</v>
      </c>
      <c r="B10931" s="0" t="s">
        <v>98</v>
      </c>
      <c r="D10931" s="6" t="n">
        <f aca="false">Sens!D10928+Sens!D10929</f>
        <v>72.61</v>
      </c>
      <c r="E10931" s="6" t="n">
        <f aca="false">Sens!E10928+Sens!E10929</f>
        <v>101.938</v>
      </c>
      <c r="F10931" s="6" t="n">
        <f aca="false">Sens!F10928+Sens!F10929</f>
        <v>140.741861125673</v>
      </c>
      <c r="G10931" s="6" t="n">
        <f aca="false">Sens!G10928+Sens!G10929</f>
        <v>182.176709135845</v>
      </c>
      <c r="H10931" s="6" t="n">
        <f aca="false">Sens!H10928+Sens!H10929</f>
        <v>219.167638189678</v>
      </c>
      <c r="I10931" s="6" t="n">
        <f aca="false">Sens!I10928+Sens!I10929</f>
        <v>259.639871266006</v>
      </c>
      <c r="J10931" s="6" t="n">
        <f aca="false">Sens!J10928+Sens!J10929</f>
        <v>291.525306025352</v>
      </c>
      <c r="K10931" s="6" t="n">
        <f aca="false">Sens!K10928+Sens!K10929</f>
        <v>315.009444849526</v>
      </c>
    </row>
    <row r="10932" customFormat="false" ht="17.15" hidden="false" customHeight="false" outlineLevel="0" collapsed="false">
      <c r="A10932" s="0" t="s">
        <v>878</v>
      </c>
      <c r="B10932" s="1" t="s">
        <v>528</v>
      </c>
      <c r="C10932" s="29" t="n">
        <f aca="false">cop_s24</f>
        <v>1</v>
      </c>
      <c r="D10932" s="29" t="n">
        <f aca="false">cop_s25</f>
        <v>5</v>
      </c>
      <c r="E10932" s="29" t="n">
        <f aca="false">cop_s26</f>
        <v>30</v>
      </c>
      <c r="F10932" s="29" t="n">
        <f aca="false">Sens!E10932+cop_add_C</f>
        <v>40</v>
      </c>
      <c r="G10932" s="29" t="n">
        <f aca="false">Sens!F10932+cop_add_C</f>
        <v>50</v>
      </c>
      <c r="H10932" s="29" t="n">
        <f aca="false">Sens!G10932+cop_add_C</f>
        <v>60</v>
      </c>
      <c r="I10932" s="29" t="n">
        <f aca="false">Sens!H10932+cop_add_C*cop_tail</f>
        <v>65</v>
      </c>
      <c r="J10932" s="29" t="n">
        <f aca="false">Sens!I10932+cop_add_C*cop_tail</f>
        <v>70</v>
      </c>
      <c r="K10932" s="29" t="n">
        <f aca="false">Sens!J10932+cop_add_C*cop_tail</f>
        <v>75</v>
      </c>
      <c r="L10932" s="11" t="s">
        <v>879</v>
      </c>
    </row>
    <row r="10933" customFormat="false" ht="17.15" hidden="false" customHeight="false" outlineLevel="0" collapsed="false">
      <c r="A10933" s="0" t="s">
        <v>880</v>
      </c>
      <c r="B10933" s="0" t="s">
        <v>98</v>
      </c>
      <c r="D10933" s="6" t="n">
        <f aca="false">(Sens!C10932+Sens!D10932)/2*cop_px*12/1000</f>
        <v>0.9</v>
      </c>
      <c r="E10933" s="6" t="n">
        <f aca="false">(Sens!D10932+Sens!E10932)/2*cop_px*12/1000</f>
        <v>5.25</v>
      </c>
      <c r="F10933" s="6" t="n">
        <f aca="false">(Sens!E10932+Sens!F10932)/2*cop_px*12/1000</f>
        <v>10.5</v>
      </c>
      <c r="G10933" s="6" t="n">
        <f aca="false">(Sens!F10932+Sens!G10932)/2*cop_px*12/1000</f>
        <v>13.5</v>
      </c>
      <c r="H10933" s="6" t="n">
        <f aca="false">(Sens!G10932+Sens!H10932)/2*cop_px*12/1000</f>
        <v>16.5</v>
      </c>
      <c r="I10933" s="6" t="n">
        <f aca="false">(Sens!H10932+Sens!I10932)/2*cop_px*12/1000</f>
        <v>18.75</v>
      </c>
      <c r="J10933" s="6" t="n">
        <f aca="false">(Sens!I10932+Sens!J10932)/2*cop_px*12/1000</f>
        <v>20.25</v>
      </c>
      <c r="K10933" s="6" t="n">
        <f aca="false">(Sens!J10932+Sens!K10932)/2*cop_px*12/1000</f>
        <v>21.75</v>
      </c>
      <c r="L10933" s="1" t="s">
        <v>881</v>
      </c>
    </row>
    <row r="10934" customFormat="false" ht="17.15" hidden="false" customHeight="false" outlineLevel="0" collapsed="false">
      <c r="A10934" s="0" t="s">
        <v>882</v>
      </c>
      <c r="B10934" s="0" t="s">
        <v>98</v>
      </c>
      <c r="D10934" s="6" t="n">
        <f aca="false">Q!L7-Sens!D10933</f>
        <v>83.705</v>
      </c>
      <c r="E10934" s="6" t="n">
        <f aca="false">Q!M7-Sens!E10933</f>
        <v>95.049</v>
      </c>
      <c r="F10934" s="6" t="n">
        <f aca="false">Sens!E10934*(1+Sens!F10935)</f>
        <v>106.89238776686</v>
      </c>
      <c r="G10934" s="6" t="n">
        <f aca="false">Sens!F10934*(1+Sens!G10935)</f>
        <v>119.044168448684</v>
      </c>
      <c r="H10934" s="6" t="n">
        <f aca="false">Sens!G10934*(1+Sens!H10935)</f>
        <v>131.277359388781</v>
      </c>
      <c r="I10934" s="6" t="n">
        <f aca="false">Sens!H10934*(1+Sens!I10935)</f>
        <v>143.334028071957</v>
      </c>
      <c r="J10934" s="6" t="n">
        <f aca="false">Sens!I10934*(1+Sens!J10935)</f>
        <v>154.932702785465</v>
      </c>
      <c r="K10934" s="6" t="n">
        <f aca="false">Sens!J10934*(1+Sens!K10935)</f>
        <v>165.777991980448</v>
      </c>
    </row>
    <row r="10935" customFormat="false" ht="15" hidden="false" customHeight="false" outlineLevel="0" collapsed="false">
      <c r="A10935" s="1" t="s">
        <v>876</v>
      </c>
      <c r="B10935" s="0" t="s">
        <v>129</v>
      </c>
      <c r="E10935" s="7" t="n">
        <f aca="false">Sens!E10934/Sens!D10934-1</f>
        <v>0.135523564900544</v>
      </c>
      <c r="F10935" s="7" t="n">
        <f aca="false">Sens!$E$10935+(glt_m365b-Sens!$E$10935)*MIN(1,(Sens!F10890-base_fy)/n_conv)</f>
        <v>0.124602970750453</v>
      </c>
      <c r="G10935" s="7" t="n">
        <f aca="false">Sens!$E$10935+(glt_m365b-Sens!$E$10935)*MIN(1,(Sens!G10890-base_fy)/n_conv)</f>
        <v>0.113682376600363</v>
      </c>
      <c r="H10935" s="7" t="n">
        <f aca="false">Sens!$E$10935+(glt_m365b-Sens!$E$10935)*MIN(1,(Sens!H10890-base_fy)/n_conv)</f>
        <v>0.102761782450272</v>
      </c>
      <c r="I10935" s="7" t="n">
        <f aca="false">Sens!$E$10935+(glt_m365b-Sens!$E$10935)*MIN(1,(Sens!I10890-base_fy)/n_conv)</f>
        <v>0.0918411883001813</v>
      </c>
      <c r="J10935" s="7" t="n">
        <f aca="false">Sens!$E$10935+(glt_m365b-Sens!$E$10935)*MIN(1,(Sens!J10890-base_fy)/n_conv)</f>
        <v>0.0809205941500906</v>
      </c>
      <c r="K10935" s="7" t="n">
        <f aca="false">Sens!$E$10935+(glt_m365b-Sens!$E$10935)*MIN(1,(Sens!K10890-base_fy)/n_conv)</f>
        <v>0.07</v>
      </c>
    </row>
    <row r="10936" customFormat="false" ht="15" hidden="false" customHeight="false" outlineLevel="0" collapsed="false">
      <c r="A10936" s="0" t="s">
        <v>883</v>
      </c>
      <c r="B10936" s="0" t="s">
        <v>98</v>
      </c>
      <c r="D10936" s="6" t="n">
        <f aca="false">Sens!D10934+Sens!D10933</f>
        <v>84.605</v>
      </c>
      <c r="E10936" s="6" t="n">
        <f aca="false">Sens!E10934+Sens!E10933</f>
        <v>100.299</v>
      </c>
      <c r="F10936" s="6" t="n">
        <f aca="false">Sens!F10934+Sens!F10933</f>
        <v>117.39238776686</v>
      </c>
      <c r="G10936" s="6" t="n">
        <f aca="false">Sens!G10934+Sens!G10933</f>
        <v>132.544168448684</v>
      </c>
      <c r="H10936" s="6" t="n">
        <f aca="false">Sens!H10934+Sens!H10933</f>
        <v>147.777359388781</v>
      </c>
      <c r="I10936" s="6" t="n">
        <f aca="false">Sens!I10934+Sens!I10933</f>
        <v>162.084028071957</v>
      </c>
      <c r="J10936" s="6" t="n">
        <f aca="false">Sens!J10934+Sens!J10933</f>
        <v>175.182702785465</v>
      </c>
      <c r="K10936" s="6" t="n">
        <f aca="false">Sens!K10934+Sens!K10933</f>
        <v>187.527991980448</v>
      </c>
    </row>
    <row r="10937" customFormat="false" ht="15" hidden="false" customHeight="false" outlineLevel="0" collapsed="false">
      <c r="A10937" s="0" t="s">
        <v>884</v>
      </c>
      <c r="B10937" s="0" t="s">
        <v>98</v>
      </c>
      <c r="D10937" s="6" t="n">
        <f aca="false">Q!L8</f>
        <v>35.391</v>
      </c>
      <c r="E10937" s="6" t="n">
        <f aca="false">Q!M8</f>
        <v>37.285</v>
      </c>
      <c r="F10937" s="6" t="n">
        <f aca="false">Sens!E10937*(1+Sens!F10938)</f>
        <v>39.0720834331704</v>
      </c>
      <c r="G10937" s="6" t="n">
        <f aca="false">Sens!F10937*(1+Sens!G10938)</f>
        <v>40.726562953769</v>
      </c>
      <c r="H10937" s="6" t="n">
        <f aca="false">Sens!G10937*(1+Sens!H10938)</f>
        <v>42.2235987259198</v>
      </c>
      <c r="I10937" s="6" t="n">
        <f aca="false">Sens!H10937*(1+Sens!I10938)</f>
        <v>43.5397988077414</v>
      </c>
      <c r="J10937" s="6" t="n">
        <f aca="false">Sens!I10937*(1+Sens!J10938)</f>
        <v>44.653811225693</v>
      </c>
      <c r="K10937" s="6" t="n">
        <f aca="false">Sens!J10937*(1+Sens!K10938)</f>
        <v>45.5468874502068</v>
      </c>
    </row>
    <row r="10938" customFormat="false" ht="15" hidden="false" customHeight="false" outlineLevel="0" collapsed="false">
      <c r="A10938" s="1" t="s">
        <v>876</v>
      </c>
      <c r="B10938" s="0" t="s">
        <v>129</v>
      </c>
      <c r="E10938" s="7" t="n">
        <f aca="false">Sens!E10937/Sens!D10937-1</f>
        <v>0.0535164307309768</v>
      </c>
      <c r="F10938" s="7" t="n">
        <f aca="false">Sens!$E$10938+(glt_lic-Sens!$E$10938)*MIN(1,(Sens!F10890-base_fy)/n_conv)</f>
        <v>0.0479303589424807</v>
      </c>
      <c r="G10938" s="7" t="n">
        <f aca="false">Sens!$E$10938+(glt_lic-Sens!$E$10938)*MIN(1,(Sens!G10890-base_fy)/n_conv)</f>
        <v>0.0423442871539845</v>
      </c>
      <c r="H10938" s="7" t="n">
        <f aca="false">Sens!$E$10938+(glt_lic-Sens!$E$10938)*MIN(1,(Sens!H10890-base_fy)/n_conv)</f>
        <v>0.0367582153654884</v>
      </c>
      <c r="I10938" s="7" t="n">
        <f aca="false">Sens!$E$10938+(glt_lic-Sens!$E$10938)*MIN(1,(Sens!I10890-base_fy)/n_conv)</f>
        <v>0.0311721435769923</v>
      </c>
      <c r="J10938" s="7" t="n">
        <f aca="false">Sens!$E$10938+(glt_lic-Sens!$E$10938)*MIN(1,(Sens!J10890-base_fy)/n_conv)</f>
        <v>0.0255860717884961</v>
      </c>
      <c r="K10938" s="7" t="n">
        <f aca="false">Sens!$E$10938+(glt_lic-Sens!$E$10938)*MIN(1,(Sens!K10890-base_fy)/n_conv)</f>
        <v>0.02</v>
      </c>
    </row>
    <row r="10939" customFormat="false" ht="15" hidden="false" customHeight="false" outlineLevel="0" collapsed="false">
      <c r="A10939" s="0" t="s">
        <v>885</v>
      </c>
      <c r="B10939" s="0" t="s">
        <v>98</v>
      </c>
      <c r="D10939" s="6" t="n">
        <f aca="false">Q!L9</f>
        <v>18.417</v>
      </c>
      <c r="E10939" s="6" t="n">
        <f aca="false">Q!M9</f>
        <v>20.345</v>
      </c>
      <c r="F10939" s="6" t="n">
        <f aca="false">Sens!E10939*(1+Sens!F10940)</f>
        <v>22.3572203267814</v>
      </c>
      <c r="G10939" s="6" t="n">
        <f aca="false">Sens!F10939*(1+Sens!G10940)</f>
        <v>24.4392124437232</v>
      </c>
      <c r="H10939" s="6" t="n">
        <f aca="false">Sens!G10939*(1+Sens!H10940)</f>
        <v>26.5738052080665</v>
      </c>
      <c r="I10939" s="6" t="n">
        <f aca="false">Sens!H10939*(1+Sens!I10940)</f>
        <v>28.7412169166967</v>
      </c>
      <c r="J10939" s="6" t="n">
        <f aca="false">Sens!I10939*(1+Sens!J10940)</f>
        <v>30.9192545395413</v>
      </c>
      <c r="K10939" s="6" t="n">
        <f aca="false">Sens!J10939*(1+Sens!K10940)</f>
        <v>33.0836023573092</v>
      </c>
    </row>
    <row r="10940" customFormat="false" ht="15" hidden="false" customHeight="false" outlineLevel="0" collapsed="false">
      <c r="A10940" s="1" t="s">
        <v>876</v>
      </c>
      <c r="B10940" s="0" t="s">
        <v>129</v>
      </c>
      <c r="E10940" s="7" t="n">
        <f aca="false">Sens!E10939/Sens!D10939-1</f>
        <v>0.104685888038225</v>
      </c>
      <c r="F10940" s="7" t="n">
        <f aca="false">Sens!$E$10940+(glt_ind-Sens!$E$10940)*MIN(1,(Sens!F10890-base_fy)/n_conv)</f>
        <v>0.0989049066985211</v>
      </c>
      <c r="G10940" s="7" t="n">
        <f aca="false">Sens!$E$10940+(glt_ind-Sens!$E$10940)*MIN(1,(Sens!G10890-base_fy)/n_conv)</f>
        <v>0.0931239253588169</v>
      </c>
      <c r="H10940" s="7" t="n">
        <f aca="false">Sens!$E$10940+(glt_ind-Sens!$E$10940)*MIN(1,(Sens!H10890-base_fy)/n_conv)</f>
        <v>0.0873429440191127</v>
      </c>
      <c r="I10940" s="7" t="n">
        <f aca="false">Sens!$E$10940+(glt_ind-Sens!$E$10940)*MIN(1,(Sens!I10890-base_fy)/n_conv)</f>
        <v>0.0815619626794085</v>
      </c>
      <c r="J10940" s="7" t="n">
        <f aca="false">Sens!$E$10940+(glt_ind-Sens!$E$10940)*MIN(1,(Sens!J10890-base_fy)/n_conv)</f>
        <v>0.0757809813397042</v>
      </c>
      <c r="K10940" s="7" t="n">
        <f aca="false">Sens!$E$10940+(glt_ind-Sens!$E$10940)*MIN(1,(Sens!K10890-base_fy)/n_conv)</f>
        <v>0.07</v>
      </c>
    </row>
    <row r="10941" customFormat="false" ht="15" hidden="false" customHeight="false" outlineLevel="0" collapsed="false">
      <c r="A10941" s="0" t="s">
        <v>886</v>
      </c>
      <c r="B10941" s="0" t="s">
        <v>98</v>
      </c>
      <c r="D10941" s="6" t="n">
        <f aca="false">Q!L10</f>
        <v>7.76</v>
      </c>
      <c r="E10941" s="6" t="n">
        <f aca="false">Q!M10</f>
        <v>8.26</v>
      </c>
      <c r="F10941" s="6" t="n">
        <f aca="false">Sens!E10941*(1+Sens!F10942)</f>
        <v>8.79988041237113</v>
      </c>
      <c r="G10941" s="6" t="n">
        <f aca="false">Sens!F10941*(1+Sens!G10942)</f>
        <v>9.38321269125306</v>
      </c>
      <c r="H10941" s="6" t="n">
        <f aca="false">Sens!G10941*(1+Sens!H10942)</f>
        <v>10.0139193587476</v>
      </c>
      <c r="I10941" s="6" t="n">
        <f aca="false">Sens!H10941*(1+Sens!I10942)</f>
        <v>10.6963111830911</v>
      </c>
      <c r="J10941" s="6" t="n">
        <f aca="false">Sens!I10941*(1+Sens!J10942)</f>
        <v>11.4351285534696</v>
      </c>
      <c r="K10941" s="6" t="n">
        <f aca="false">Sens!J10941*(1+Sens!K10942)</f>
        <v>12.2355875522124</v>
      </c>
    </row>
    <row r="10942" customFormat="false" ht="15" hidden="false" customHeight="false" outlineLevel="0" collapsed="false">
      <c r="A10942" s="1" t="s">
        <v>876</v>
      </c>
      <c r="B10942" s="0" t="s">
        <v>129</v>
      </c>
      <c r="E10942" s="7" t="n">
        <f aca="false">Sens!E10941/Sens!D10941-1</f>
        <v>0.0644329896907216</v>
      </c>
      <c r="F10942" s="7" t="n">
        <f aca="false">Sens!$E$10942+(glt_fro-Sens!$E$10942)*MIN(1,(Sens!F10890-base_fy)/n_conv)</f>
        <v>0.065360824742268</v>
      </c>
      <c r="G10942" s="7" t="n">
        <f aca="false">Sens!$E$10942+(glt_fro-Sens!$E$10942)*MIN(1,(Sens!G10890-base_fy)/n_conv)</f>
        <v>0.0662886597938144</v>
      </c>
      <c r="H10942" s="7" t="n">
        <f aca="false">Sens!$E$10942+(glt_fro-Sens!$E$10942)*MIN(1,(Sens!H10890-base_fy)/n_conv)</f>
        <v>0.0672164948453608</v>
      </c>
      <c r="I10942" s="7" t="n">
        <f aca="false">Sens!$E$10942+(glt_fro-Sens!$E$10942)*MIN(1,(Sens!I10890-base_fy)/n_conv)</f>
        <v>0.0681443298969072</v>
      </c>
      <c r="J10942" s="7" t="n">
        <f aca="false">Sens!$E$10942+(glt_fro-Sens!$E$10942)*MIN(1,(Sens!J10890-base_fy)/n_conv)</f>
        <v>0.0690721649484536</v>
      </c>
      <c r="K10942" s="7" t="n">
        <f aca="false">Sens!$E$10942+(glt_fro-Sens!$E$10942)*MIN(1,(Sens!K10890-base_fy)/n_conv)</f>
        <v>0.07</v>
      </c>
    </row>
    <row r="10943" customFormat="false" ht="15" hidden="false" customHeight="false" outlineLevel="0" collapsed="false">
      <c r="A10943" s="0" t="s">
        <v>715</v>
      </c>
      <c r="B10943" s="0" t="s">
        <v>98</v>
      </c>
      <c r="D10943" s="6" t="n">
        <f aca="false">Sens!D10931+Sens!D10936+Sens!D10937+Sens!D10939+Sens!D10941</f>
        <v>218.783</v>
      </c>
      <c r="E10943" s="6" t="n">
        <f aca="false">Sens!E10931+Sens!E10936+Sens!E10937+Sens!E10939+Sens!E10941</f>
        <v>268.127</v>
      </c>
      <c r="F10943" s="6" t="n">
        <f aca="false">Sens!F10931+Sens!F10936+Sens!F10937+Sens!F10939+Sens!F10941</f>
        <v>328.363433064856</v>
      </c>
      <c r="G10943" s="6" t="n">
        <f aca="false">Sens!G10931+Sens!G10936+Sens!G10937+Sens!G10939+Sens!G10941</f>
        <v>389.269865673274</v>
      </c>
      <c r="H10943" s="6" t="n">
        <f aca="false">Sens!H10931+Sens!H10936+Sens!H10937+Sens!H10939+Sens!H10941</f>
        <v>445.756320871193</v>
      </c>
      <c r="I10943" s="6" t="n">
        <f aca="false">Sens!I10931+Sens!I10936+Sens!I10937+Sens!I10939+Sens!I10941</f>
        <v>504.701226245492</v>
      </c>
      <c r="J10943" s="6" t="n">
        <f aca="false">Sens!J10931+Sens!J10936+Sens!J10937+Sens!J10939+Sens!J10941</f>
        <v>553.716203129521</v>
      </c>
      <c r="K10943" s="6" t="n">
        <f aca="false">Sens!K10931+Sens!K10936+Sens!K10937+Sens!K10939+Sens!K10941</f>
        <v>593.403514189702</v>
      </c>
    </row>
    <row r="10944" customFormat="false" ht="15" hidden="false" customHeight="false" outlineLevel="0" collapsed="false">
      <c r="A10944" s="0" t="s">
        <v>887</v>
      </c>
      <c r="B10944" s="0" t="s">
        <v>98</v>
      </c>
      <c r="D10944" s="6" t="n">
        <f aca="false">Q!L13</f>
        <v>22.171</v>
      </c>
      <c r="E10944" s="6" t="n">
        <f aca="false">Q!M13</f>
        <v>24.835</v>
      </c>
      <c r="F10944" s="6" t="n">
        <f aca="false">Sens!E10944*(1+Sens!F10945)</f>
        <v>27.6114901218559</v>
      </c>
      <c r="G10944" s="6" t="n">
        <f aca="false">Sens!F10944*(1+Sens!G10945)</f>
        <v>30.4675667338515</v>
      </c>
      <c r="H10944" s="6" t="n">
        <f aca="false">Sens!G10944*(1+Sens!H10945)</f>
        <v>33.3643766955789</v>
      </c>
      <c r="I10944" s="6" t="n">
        <f aca="false">Sens!H10944*(1+Sens!I10945)</f>
        <v>36.2577016533691</v>
      </c>
      <c r="J10944" s="6" t="n">
        <f aca="false">Sens!I10944*(1+Sens!J10945)</f>
        <v>39.0988367952171</v>
      </c>
      <c r="K10944" s="6" t="n">
        <f aca="false">Sens!J10944*(1+Sens!K10945)</f>
        <v>41.8357553708823</v>
      </c>
    </row>
    <row r="10945" customFormat="false" ht="15" hidden="false" customHeight="false" outlineLevel="0" collapsed="false">
      <c r="A10945" s="1" t="s">
        <v>876</v>
      </c>
      <c r="B10945" s="0" t="s">
        <v>129</v>
      </c>
      <c r="E10945" s="7" t="n">
        <f aca="false">Sens!E10944/Sens!D10944-1</f>
        <v>0.120156961796942</v>
      </c>
      <c r="F10945" s="7" t="n">
        <f aca="false">Sens!$E$10945+(glt_srch-Sens!$E$10945)*MIN(1,(Sens!F10890-base_fy)/n_conv)</f>
        <v>0.111797468164118</v>
      </c>
      <c r="G10945" s="7" t="n">
        <f aca="false">Sens!$E$10945+(glt_srch-Sens!$E$10945)*MIN(1,(Sens!G10890-base_fy)/n_conv)</f>
        <v>0.103437974531295</v>
      </c>
      <c r="H10945" s="7" t="n">
        <f aca="false">Sens!$E$10945+(glt_srch-Sens!$E$10945)*MIN(1,(Sens!H10890-base_fy)/n_conv)</f>
        <v>0.095078480898471</v>
      </c>
      <c r="I10945" s="7" t="n">
        <f aca="false">Sens!$E$10945+(glt_srch-Sens!$E$10945)*MIN(1,(Sens!I10890-base_fy)/n_conv)</f>
        <v>0.0867189872656474</v>
      </c>
      <c r="J10945" s="7" t="n">
        <f aca="false">Sens!$E$10945+(glt_srch-Sens!$E$10945)*MIN(1,(Sens!J10890-base_fy)/n_conv)</f>
        <v>0.0783594936328237</v>
      </c>
      <c r="K10945" s="7" t="n">
        <f aca="false">Sens!$E$10945+(glt_srch-Sens!$E$10945)*MIN(1,(Sens!K10890-base_fy)/n_conv)</f>
        <v>0.07</v>
      </c>
    </row>
    <row r="10946" customFormat="false" ht="15" hidden="false" customHeight="false" outlineLevel="0" collapsed="false">
      <c r="A10946" s="0" t="s">
        <v>888</v>
      </c>
      <c r="B10946" s="0" t="s">
        <v>98</v>
      </c>
      <c r="D10946" s="6" t="n">
        <f aca="false">Q!L14</f>
        <v>23.455</v>
      </c>
      <c r="E10946" s="6" t="n">
        <f aca="false">Q!M14</f>
        <v>21.79</v>
      </c>
      <c r="F10946" s="6" t="n">
        <f aca="false">Sens!E10946*(1+Sens!F10947)</f>
        <v>20.6825777908051</v>
      </c>
      <c r="G10946" s="6" t="n">
        <f aca="false">Sens!F10946*(1+Sens!G10947)</f>
        <v>20.0484913708632</v>
      </c>
      <c r="H10946" s="6" t="n">
        <f aca="false">Sens!G10946*(1+Sens!H10947)</f>
        <v>19.8381125629905</v>
      </c>
      <c r="I10946" s="6" t="n">
        <f aca="false">Sens!H10946*(1+Sens!I10947)</f>
        <v>20.0299669735513</v>
      </c>
      <c r="J10946" s="6" t="n">
        <f aca="false">Sens!I10946*(1+Sens!J10947)</f>
        <v>20.6275710652887</v>
      </c>
      <c r="K10946" s="6" t="n">
        <f aca="false">Sens!J10946*(1+Sens!K10947)</f>
        <v>21.6589496185531</v>
      </c>
    </row>
    <row r="10947" customFormat="false" ht="15" hidden="false" customHeight="false" outlineLevel="0" collapsed="false">
      <c r="A10947" s="1" t="s">
        <v>876</v>
      </c>
      <c r="B10947" s="0" t="s">
        <v>129</v>
      </c>
      <c r="E10947" s="7" t="n">
        <f aca="false">Sens!E10946/Sens!D10946-1</f>
        <v>-0.0709869963760392</v>
      </c>
      <c r="F10947" s="7" t="n">
        <f aca="false">Sens!$E$10947+(glt_xbox_hi-Sens!$E$10947)*MIN(1,(Sens!F10890-base_fy)/n_conv)</f>
        <v>-0.0508224969800327</v>
      </c>
      <c r="G10947" s="7" t="n">
        <f aca="false">Sens!$E$10947+(glt_xbox_hi-Sens!$E$10947)*MIN(1,(Sens!G10890-base_fy)/n_conv)</f>
        <v>-0.0306579975840262</v>
      </c>
      <c r="H10947" s="7" t="n">
        <f aca="false">Sens!$E$10947+(glt_xbox_hi-Sens!$E$10947)*MIN(1,(Sens!H10890-base_fy)/n_conv)</f>
        <v>-0.0104934981880196</v>
      </c>
      <c r="I10947" s="7" t="n">
        <f aca="false">Sens!$E$10947+(glt_xbox_hi-Sens!$E$10947)*MIN(1,(Sens!I10890-base_fy)/n_conv)</f>
        <v>0.00967100120798692</v>
      </c>
      <c r="J10947" s="7" t="n">
        <f aca="false">Sens!$E$10947+(glt_xbox_hi-Sens!$E$10947)*MIN(1,(Sens!J10890-base_fy)/n_conv)</f>
        <v>0.0298355006039935</v>
      </c>
      <c r="K10947" s="7" t="n">
        <f aca="false">Sens!$E$10947+(glt_xbox_hi-Sens!$E$10947)*MIN(1,(Sens!K10890-base_fy)/n_conv)</f>
        <v>0.05</v>
      </c>
    </row>
    <row r="10948" customFormat="false" ht="15" hidden="false" customHeight="false" outlineLevel="0" collapsed="false">
      <c r="A10948" s="0" t="s">
        <v>889</v>
      </c>
      <c r="B10948" s="0" t="s">
        <v>98</v>
      </c>
      <c r="D10948" s="6" t="n">
        <f aca="false">Q!L15</f>
        <v>17.315</v>
      </c>
      <c r="E10948" s="6" t="n">
        <f aca="false">Q!M15</f>
        <v>17.087</v>
      </c>
      <c r="F10948" s="6" t="n">
        <f aca="false">Sens!E10948*(1+Sens!F10949)</f>
        <v>16.9564585436519</v>
      </c>
      <c r="G10948" s="6" t="n">
        <f aca="false">Sens!F10948*(1+Sens!G10949)</f>
        <v>16.9206490624268</v>
      </c>
      <c r="H10948" s="6" t="n">
        <f aca="false">Sens!G10948*(1+Sens!H10949)</f>
        <v>16.9784519149849</v>
      </c>
      <c r="I10948" s="6" t="n">
        <f aca="false">Sens!H10948*(1+Sens!I10949)</f>
        <v>17.1303084701817</v>
      </c>
      <c r="J10948" s="6" t="n">
        <f aca="false">Sens!I10948*(1+Sens!J10949)</f>
        <v>17.3782189407267</v>
      </c>
      <c r="K10948" s="6" t="n">
        <f aca="false">Sens!J10948*(1+Sens!K10949)</f>
        <v>17.7257833195413</v>
      </c>
    </row>
    <row r="10949" customFormat="false" ht="15" hidden="false" customHeight="false" outlineLevel="0" collapsed="false">
      <c r="A10949" s="1" t="s">
        <v>876</v>
      </c>
      <c r="B10949" s="0" t="s">
        <v>129</v>
      </c>
      <c r="E10949" s="7" t="n">
        <f aca="false">Sens!E10948/Sens!D10948-1</f>
        <v>-0.0131677736066995</v>
      </c>
      <c r="F10949" s="7" t="n">
        <f aca="false">Sens!$E$10949+(glt_win-Sens!$E$10949)*MIN(1,(Sens!F10890-base_fy)/n_conv)</f>
        <v>-0.00763981133891627</v>
      </c>
      <c r="G10949" s="7" t="n">
        <f aca="false">Sens!$E$10949+(glt_win-Sens!$E$10949)*MIN(1,(Sens!G10890-base_fy)/n_conv)</f>
        <v>-0.00211184907113301</v>
      </c>
      <c r="H10949" s="7" t="n">
        <f aca="false">Sens!$E$10949+(glt_win-Sens!$E$10949)*MIN(1,(Sens!H10890-base_fy)/n_conv)</f>
        <v>0.00341611319665024</v>
      </c>
      <c r="I10949" s="7" t="n">
        <f aca="false">Sens!$E$10949+(glt_win-Sens!$E$10949)*MIN(1,(Sens!I10890-base_fy)/n_conv)</f>
        <v>0.00894407546443349</v>
      </c>
      <c r="J10949" s="7" t="n">
        <f aca="false">Sens!$E$10949+(glt_win-Sens!$E$10949)*MIN(1,(Sens!J10890-base_fy)/n_conv)</f>
        <v>0.0144720377322168</v>
      </c>
      <c r="K10949" s="7" t="n">
        <f aca="false">Sens!$E$10949+(glt_win-Sens!$E$10949)*MIN(1,(Sens!K10890-base_fy)/n_conv)</f>
        <v>0.02</v>
      </c>
    </row>
    <row r="10950" customFormat="false" ht="15" hidden="false" customHeight="false" outlineLevel="0" collapsed="false">
      <c r="A10950" s="0" t="s">
        <v>729</v>
      </c>
      <c r="B10950" s="0" t="s">
        <v>98</v>
      </c>
      <c r="D10950" s="6" t="n">
        <f aca="false">Sens!D10944+Sens!D10946+Sens!D10948</f>
        <v>62.941</v>
      </c>
      <c r="E10950" s="6" t="n">
        <f aca="false">Sens!E10944+Sens!E10946+Sens!E10948</f>
        <v>63.712</v>
      </c>
      <c r="F10950" s="6" t="n">
        <f aca="false">Sens!F10944+Sens!F10946+Sens!F10948</f>
        <v>65.2505264563129</v>
      </c>
      <c r="G10950" s="6" t="n">
        <f aca="false">Sens!G10944+Sens!G10946+Sens!G10948</f>
        <v>67.4367071671415</v>
      </c>
      <c r="H10950" s="6" t="n">
        <f aca="false">Sens!H10944+Sens!H10946+Sens!H10948</f>
        <v>70.1809411735542</v>
      </c>
      <c r="I10950" s="6" t="n">
        <f aca="false">Sens!I10944+Sens!I10946+Sens!I10948</f>
        <v>73.4179770971021</v>
      </c>
      <c r="J10950" s="6" t="n">
        <f aca="false">Sens!J10944+Sens!J10946+Sens!J10948</f>
        <v>77.1046268012325</v>
      </c>
      <c r="K10950" s="6" t="n">
        <f aca="false">Sens!K10944+Sens!K10946+Sens!K10948</f>
        <v>81.2204883089766</v>
      </c>
    </row>
    <row r="10951" customFormat="false" ht="15" hidden="false" customHeight="false" outlineLevel="0" collapsed="false">
      <c r="A10951" s="1" t="s">
        <v>890</v>
      </c>
      <c r="B10951" s="0" t="s">
        <v>98</v>
      </c>
      <c r="D10951" s="6" t="n">
        <f aca="false">Sens!D10943+Sens!D10950</f>
        <v>281.724</v>
      </c>
      <c r="E10951" s="6" t="n">
        <f aca="false">Sens!E10943+Sens!E10950</f>
        <v>331.839</v>
      </c>
      <c r="F10951" s="6" t="n">
        <f aca="false">Sens!F10943+Sens!F10950</f>
        <v>393.613959521169</v>
      </c>
      <c r="G10951" s="6" t="n">
        <f aca="false">Sens!G10943+Sens!G10950</f>
        <v>456.706572840415</v>
      </c>
      <c r="H10951" s="6" t="n">
        <f aca="false">Sens!H10943+Sens!H10950</f>
        <v>515.937262044747</v>
      </c>
      <c r="I10951" s="6" t="n">
        <f aca="false">Sens!I10943+Sens!I10950</f>
        <v>578.119203342595</v>
      </c>
      <c r="J10951" s="6" t="n">
        <f aca="false">Sens!J10943+Sens!J10950</f>
        <v>630.820829930754</v>
      </c>
      <c r="K10951" s="6" t="n">
        <f aca="false">Sens!K10943+Sens!K10950</f>
        <v>674.624002498679</v>
      </c>
    </row>
    <row r="10952" customFormat="false" ht="15" hidden="false" customHeight="false" outlineLevel="0" collapsed="false">
      <c r="A10952" s="23" t="s">
        <v>891</v>
      </c>
      <c r="B10952" s="30" t="s">
        <v>98</v>
      </c>
      <c r="C10952" s="30"/>
      <c r="D10952" s="24" t="n">
        <f aca="false">(Sens!D10931+Sens!D10936+Sens!D10937+Sens!D10939+Sens!D10941-Sens!D10943)+(Sens!D10944+Sens!D10946+Sens!D10948-Sens!D10950)+(Sens!D10943-Q!L5)+(Sens!D10950-Q!L12)+(Sens!D10931-Q!L6)+(Sens!D10936-Q!L7)</f>
        <v>0</v>
      </c>
      <c r="E10952" s="24" t="n">
        <f aca="false">(Sens!E10931+Sens!E10936+Sens!E10937+Sens!E10939+Sens!E10941-Sens!E10943)+(Sens!E10944+Sens!E10946+Sens!E10948-Sens!E10950)+(Sens!E10943-Q!M5)+(Sens!E10950-Q!M12)+(Sens!E10931-Q!M6)+(Sens!E10936-Q!M7)</f>
        <v>0</v>
      </c>
      <c r="F10952" s="24" t="n">
        <f aca="false">(Sens!F10931+Sens!F10936+Sens!F10937+Sens!F10939+Sens!F10941-Sens!F10943)+(Sens!F10944+Sens!F10946+Sens!F10948-Sens!F10950)</f>
        <v>0</v>
      </c>
      <c r="G10952" s="24" t="n">
        <f aca="false">(Sens!G10931+Sens!G10936+Sens!G10937+Sens!G10939+Sens!G10941-Sens!G10943)+(Sens!G10944+Sens!G10946+Sens!G10948-Sens!G10950)</f>
        <v>0</v>
      </c>
      <c r="H10952" s="24" t="n">
        <f aca="false">(Sens!H10931+Sens!H10936+Sens!H10937+Sens!H10939+Sens!H10941-Sens!H10943)+(Sens!H10944+Sens!H10946+Sens!H10948-Sens!H10950)</f>
        <v>0</v>
      </c>
      <c r="I10952" s="24" t="n">
        <f aca="false">(Sens!I10931+Sens!I10936+Sens!I10937+Sens!I10939+Sens!I10941-Sens!I10943)+(Sens!I10944+Sens!I10946+Sens!I10948-Sens!I10950)</f>
        <v>0</v>
      </c>
      <c r="J10952" s="24" t="n">
        <f aca="false">(Sens!J10931+Sens!J10936+Sens!J10937+Sens!J10939+Sens!J10941-Sens!J10943)+(Sens!J10944+Sens!J10946+Sens!J10948-Sens!J10950)</f>
        <v>0</v>
      </c>
      <c r="K10952" s="24" t="n">
        <f aca="false">(Sens!K10931+Sens!K10936+Sens!K10937+Sens!K10939+Sens!K10941-Sens!K10943)+(Sens!K10944+Sens!K10946+Sens!K10948-Sens!K10950)</f>
        <v>0</v>
      </c>
    </row>
    <row r="10953" customFormat="false" ht="17.15" hidden="false" customHeight="false" outlineLevel="0" collapsed="false">
      <c r="A10953" s="3" t="s">
        <v>1544</v>
      </c>
    </row>
    <row r="10954" customFormat="false" ht="15" hidden="false" customHeight="false" outlineLevel="0" collapsed="false">
      <c r="A10954" s="4" t="s">
        <v>43</v>
      </c>
      <c r="B10954" s="4" t="s">
        <v>65</v>
      </c>
      <c r="C10954" s="20" t="s">
        <v>799</v>
      </c>
      <c r="D10954" s="20" t="s">
        <v>800</v>
      </c>
      <c r="E10954" s="20" t="s">
        <v>801</v>
      </c>
      <c r="F10954" s="20" t="s">
        <v>802</v>
      </c>
      <c r="G10954" s="20" t="s">
        <v>803</v>
      </c>
      <c r="H10954" s="20" t="s">
        <v>804</v>
      </c>
      <c r="I10954" s="20" t="s">
        <v>805</v>
      </c>
      <c r="J10954" s="20" t="s">
        <v>806</v>
      </c>
      <c r="K10954" s="20" t="s">
        <v>807</v>
      </c>
      <c r="L10954" s="4" t="s">
        <v>47</v>
      </c>
    </row>
    <row r="10955" customFormat="false" ht="15" hidden="false" customHeight="false" outlineLevel="0" collapsed="false">
      <c r="A10955" s="0" t="s">
        <v>877</v>
      </c>
      <c r="B10955" s="0" t="s">
        <v>98</v>
      </c>
      <c r="D10955" s="6" t="n">
        <f aca="false">Sens!D10931</f>
        <v>72.61</v>
      </c>
      <c r="E10955" s="6" t="n">
        <f aca="false">Sens!E10931</f>
        <v>101.938</v>
      </c>
      <c r="F10955" s="6" t="n">
        <f aca="false">Sens!F10931</f>
        <v>140.741861125673</v>
      </c>
      <c r="G10955" s="6" t="n">
        <f aca="false">Sens!G10931</f>
        <v>182.176709135845</v>
      </c>
      <c r="H10955" s="6" t="n">
        <f aca="false">Sens!H10931</f>
        <v>219.167638189678</v>
      </c>
      <c r="I10955" s="6" t="n">
        <f aca="false">Sens!I10931</f>
        <v>259.639871266006</v>
      </c>
      <c r="J10955" s="6" t="n">
        <f aca="false">Sens!J10931</f>
        <v>291.525306025352</v>
      </c>
      <c r="K10955" s="6" t="n">
        <f aca="false">Sens!K10931</f>
        <v>315.009444849526</v>
      </c>
    </row>
    <row r="10956" customFormat="false" ht="17.15" hidden="false" customHeight="false" outlineLevel="0" collapsed="false">
      <c r="A10956" s="0" t="s">
        <v>874</v>
      </c>
      <c r="B10956" s="0" t="s">
        <v>98</v>
      </c>
      <c r="D10956" s="6" t="n">
        <f aca="false">Sens!D10928</f>
        <v>12.9359794422418</v>
      </c>
      <c r="E10956" s="6" t="n">
        <f aca="false">Sens!E10928</f>
        <v>27.8095064661409</v>
      </c>
      <c r="F10956" s="6" t="n">
        <f aca="false">Sens!F10928</f>
        <v>50.6619113883066</v>
      </c>
      <c r="G10956" s="6" t="n">
        <f aca="false">Sens!G10928</f>
        <v>75.1482839325348</v>
      </c>
      <c r="H10956" s="6" t="n">
        <f aca="false">Sens!H10928</f>
        <v>94.895655604042</v>
      </c>
      <c r="I10956" s="6" t="n">
        <f aca="false">Sens!I10928</f>
        <v>118.706168884151</v>
      </c>
      <c r="J10956" s="6" t="n">
        <f aca="false">Sens!J10928</f>
        <v>135.50643871102</v>
      </c>
      <c r="K10956" s="6" t="n">
        <f aca="false">Sens!K10928</f>
        <v>146.509068150048</v>
      </c>
    </row>
    <row r="10957" customFormat="false" ht="17.15" hidden="false" customHeight="false" outlineLevel="0" collapsed="false">
      <c r="A10957" s="0" t="s">
        <v>902</v>
      </c>
      <c r="B10957" s="0" t="s">
        <v>98</v>
      </c>
      <c r="D10957" s="6" t="n">
        <f aca="false">Sens!D10929</f>
        <v>59.6740205577583</v>
      </c>
      <c r="E10957" s="6" t="n">
        <f aca="false">Sens!E10929</f>
        <v>74.1284935338591</v>
      </c>
      <c r="F10957" s="6" t="n">
        <f aca="false">Sens!F10929</f>
        <v>90.0799497373663</v>
      </c>
      <c r="G10957" s="6" t="n">
        <f aca="false">Sens!G10929</f>
        <v>107.02842520331</v>
      </c>
      <c r="H10957" s="6" t="n">
        <f aca="false">Sens!H10929</f>
        <v>124.271982585636</v>
      </c>
      <c r="I10957" s="6" t="n">
        <f aca="false">Sens!I10929</f>
        <v>140.933702381855</v>
      </c>
      <c r="J10957" s="6" t="n">
        <f aca="false">Sens!J10929</f>
        <v>156.018867314332</v>
      </c>
      <c r="K10957" s="6" t="n">
        <f aca="false">Sens!K10929</f>
        <v>168.500376699478</v>
      </c>
    </row>
    <row r="10958" customFormat="false" ht="15" hidden="false" customHeight="false" outlineLevel="0" collapsed="false">
      <c r="A10958" s="0" t="s">
        <v>883</v>
      </c>
      <c r="B10958" s="0" t="s">
        <v>98</v>
      </c>
      <c r="D10958" s="6" t="n">
        <f aca="false">Sens!D10936</f>
        <v>84.605</v>
      </c>
      <c r="E10958" s="6" t="n">
        <f aca="false">Sens!E10936</f>
        <v>100.299</v>
      </c>
      <c r="F10958" s="6" t="n">
        <f aca="false">Sens!F10936</f>
        <v>117.39238776686</v>
      </c>
      <c r="G10958" s="6" t="n">
        <f aca="false">Sens!G10936</f>
        <v>132.544168448684</v>
      </c>
      <c r="H10958" s="6" t="n">
        <f aca="false">Sens!H10936</f>
        <v>147.777359388781</v>
      </c>
      <c r="I10958" s="6" t="n">
        <f aca="false">Sens!I10936</f>
        <v>162.084028071957</v>
      </c>
      <c r="J10958" s="6" t="n">
        <f aca="false">Sens!J10936</f>
        <v>175.182702785465</v>
      </c>
      <c r="K10958" s="6" t="n">
        <f aca="false">Sens!K10936</f>
        <v>187.527991980448</v>
      </c>
    </row>
    <row r="10959" customFormat="false" ht="17.15" hidden="false" customHeight="false" outlineLevel="0" collapsed="false">
      <c r="A10959" s="0" t="s">
        <v>903</v>
      </c>
      <c r="B10959" s="0" t="s">
        <v>98</v>
      </c>
      <c r="D10959" s="6" t="n">
        <f aca="false">Sens!D10934</f>
        <v>83.705</v>
      </c>
      <c r="E10959" s="6" t="n">
        <f aca="false">Sens!E10934</f>
        <v>95.049</v>
      </c>
      <c r="F10959" s="6" t="n">
        <f aca="false">Sens!F10934</f>
        <v>106.89238776686</v>
      </c>
      <c r="G10959" s="6" t="n">
        <f aca="false">Sens!G10934</f>
        <v>119.044168448684</v>
      </c>
      <c r="H10959" s="6" t="n">
        <f aca="false">Sens!H10934</f>
        <v>131.277359388781</v>
      </c>
      <c r="I10959" s="6" t="n">
        <f aca="false">Sens!I10934</f>
        <v>143.334028071957</v>
      </c>
      <c r="J10959" s="6" t="n">
        <f aca="false">Sens!J10934</f>
        <v>154.932702785465</v>
      </c>
      <c r="K10959" s="6" t="n">
        <f aca="false">Sens!K10934</f>
        <v>165.777991980448</v>
      </c>
    </row>
    <row r="10960" customFormat="false" ht="17.15" hidden="false" customHeight="false" outlineLevel="0" collapsed="false">
      <c r="A10960" s="0" t="s">
        <v>904</v>
      </c>
      <c r="B10960" s="0" t="s">
        <v>98</v>
      </c>
      <c r="D10960" s="6" t="n">
        <f aca="false">Sens!D10933</f>
        <v>0.9</v>
      </c>
      <c r="E10960" s="6" t="n">
        <f aca="false">Sens!E10933</f>
        <v>5.25</v>
      </c>
      <c r="F10960" s="6" t="n">
        <f aca="false">Sens!F10933</f>
        <v>10.5</v>
      </c>
      <c r="G10960" s="6" t="n">
        <f aca="false">Sens!G10933</f>
        <v>13.5</v>
      </c>
      <c r="H10960" s="6" t="n">
        <f aca="false">Sens!H10933</f>
        <v>16.5</v>
      </c>
      <c r="I10960" s="6" t="n">
        <f aca="false">Sens!I10933</f>
        <v>18.75</v>
      </c>
      <c r="J10960" s="6" t="n">
        <f aca="false">Sens!J10933</f>
        <v>20.25</v>
      </c>
      <c r="K10960" s="6" t="n">
        <f aca="false">Sens!K10933</f>
        <v>21.75</v>
      </c>
    </row>
    <row r="10961" customFormat="false" ht="15" hidden="false" customHeight="false" outlineLevel="0" collapsed="false">
      <c r="A10961" s="0" t="s">
        <v>884</v>
      </c>
      <c r="B10961" s="0" t="s">
        <v>98</v>
      </c>
      <c r="D10961" s="6" t="n">
        <f aca="false">Sens!D10937</f>
        <v>35.391</v>
      </c>
      <c r="E10961" s="6" t="n">
        <f aca="false">Sens!E10937</f>
        <v>37.285</v>
      </c>
      <c r="F10961" s="6" t="n">
        <f aca="false">Sens!F10937</f>
        <v>39.0720834331704</v>
      </c>
      <c r="G10961" s="6" t="n">
        <f aca="false">Sens!G10937</f>
        <v>40.726562953769</v>
      </c>
      <c r="H10961" s="6" t="n">
        <f aca="false">Sens!H10937</f>
        <v>42.2235987259198</v>
      </c>
      <c r="I10961" s="6" t="n">
        <f aca="false">Sens!I10937</f>
        <v>43.5397988077414</v>
      </c>
      <c r="J10961" s="6" t="n">
        <f aca="false">Sens!J10937</f>
        <v>44.653811225693</v>
      </c>
      <c r="K10961" s="6" t="n">
        <f aca="false">Sens!K10937</f>
        <v>45.5468874502068</v>
      </c>
    </row>
    <row r="10962" customFormat="false" ht="15" hidden="false" customHeight="false" outlineLevel="0" collapsed="false">
      <c r="A10962" s="0" t="s">
        <v>885</v>
      </c>
      <c r="B10962" s="0" t="s">
        <v>98</v>
      </c>
      <c r="D10962" s="6" t="n">
        <f aca="false">Sens!D10939</f>
        <v>18.417</v>
      </c>
      <c r="E10962" s="6" t="n">
        <f aca="false">Sens!E10939</f>
        <v>20.345</v>
      </c>
      <c r="F10962" s="6" t="n">
        <f aca="false">Sens!F10939</f>
        <v>22.3572203267814</v>
      </c>
      <c r="G10962" s="6" t="n">
        <f aca="false">Sens!G10939</f>
        <v>24.4392124437232</v>
      </c>
      <c r="H10962" s="6" t="n">
        <f aca="false">Sens!H10939</f>
        <v>26.5738052080665</v>
      </c>
      <c r="I10962" s="6" t="n">
        <f aca="false">Sens!I10939</f>
        <v>28.7412169166967</v>
      </c>
      <c r="J10962" s="6" t="n">
        <f aca="false">Sens!J10939</f>
        <v>30.9192545395413</v>
      </c>
      <c r="K10962" s="6" t="n">
        <f aca="false">Sens!K10939</f>
        <v>33.0836023573092</v>
      </c>
    </row>
    <row r="10963" customFormat="false" ht="15" hidden="false" customHeight="false" outlineLevel="0" collapsed="false">
      <c r="A10963" s="0" t="s">
        <v>886</v>
      </c>
      <c r="B10963" s="0" t="s">
        <v>98</v>
      </c>
      <c r="D10963" s="6" t="n">
        <f aca="false">Sens!D10941</f>
        <v>7.76</v>
      </c>
      <c r="E10963" s="6" t="n">
        <f aca="false">Sens!E10941</f>
        <v>8.26</v>
      </c>
      <c r="F10963" s="6" t="n">
        <f aca="false">Sens!F10941</f>
        <v>8.79988041237113</v>
      </c>
      <c r="G10963" s="6" t="n">
        <f aca="false">Sens!G10941</f>
        <v>9.38321269125306</v>
      </c>
      <c r="H10963" s="6" t="n">
        <f aca="false">Sens!H10941</f>
        <v>10.0139193587476</v>
      </c>
      <c r="I10963" s="6" t="n">
        <f aca="false">Sens!I10941</f>
        <v>10.6963111830911</v>
      </c>
      <c r="J10963" s="6" t="n">
        <f aca="false">Sens!J10941</f>
        <v>11.4351285534696</v>
      </c>
      <c r="K10963" s="6" t="n">
        <f aca="false">Sens!K10941</f>
        <v>12.2355875522124</v>
      </c>
    </row>
    <row r="10964" customFormat="false" ht="15" hidden="false" customHeight="false" outlineLevel="0" collapsed="false">
      <c r="A10964" s="0" t="s">
        <v>715</v>
      </c>
      <c r="B10964" s="0" t="s">
        <v>98</v>
      </c>
      <c r="D10964" s="6" t="n">
        <f aca="false">Sens!D10943</f>
        <v>218.783</v>
      </c>
      <c r="E10964" s="6" t="n">
        <f aca="false">Sens!E10943</f>
        <v>268.127</v>
      </c>
      <c r="F10964" s="6" t="n">
        <f aca="false">Sens!F10943</f>
        <v>328.363433064856</v>
      </c>
      <c r="G10964" s="6" t="n">
        <f aca="false">Sens!G10943</f>
        <v>389.269865673274</v>
      </c>
      <c r="H10964" s="6" t="n">
        <f aca="false">Sens!H10943</f>
        <v>445.756320871193</v>
      </c>
      <c r="I10964" s="6" t="n">
        <f aca="false">Sens!I10943</f>
        <v>504.701226245492</v>
      </c>
      <c r="J10964" s="6" t="n">
        <f aca="false">Sens!J10943</f>
        <v>553.716203129521</v>
      </c>
      <c r="K10964" s="6" t="n">
        <f aca="false">Sens!K10943</f>
        <v>593.403514189702</v>
      </c>
    </row>
    <row r="10965" customFormat="false" ht="15" hidden="false" customHeight="false" outlineLevel="0" collapsed="false">
      <c r="A10965" s="0" t="s">
        <v>887</v>
      </c>
      <c r="B10965" s="0" t="s">
        <v>98</v>
      </c>
      <c r="D10965" s="6" t="n">
        <f aca="false">Sens!D10944</f>
        <v>22.171</v>
      </c>
      <c r="E10965" s="6" t="n">
        <f aca="false">Sens!E10944</f>
        <v>24.835</v>
      </c>
      <c r="F10965" s="6" t="n">
        <f aca="false">Sens!F10944</f>
        <v>27.6114901218559</v>
      </c>
      <c r="G10965" s="6" t="n">
        <f aca="false">Sens!G10944</f>
        <v>30.4675667338515</v>
      </c>
      <c r="H10965" s="6" t="n">
        <f aca="false">Sens!H10944</f>
        <v>33.3643766955789</v>
      </c>
      <c r="I10965" s="6" t="n">
        <f aca="false">Sens!I10944</f>
        <v>36.2577016533691</v>
      </c>
      <c r="J10965" s="6" t="n">
        <f aca="false">Sens!J10944</f>
        <v>39.0988367952171</v>
      </c>
      <c r="K10965" s="6" t="n">
        <f aca="false">Sens!K10944</f>
        <v>41.8357553708823</v>
      </c>
    </row>
    <row r="10966" customFormat="false" ht="15" hidden="false" customHeight="false" outlineLevel="0" collapsed="false">
      <c r="A10966" s="0" t="s">
        <v>888</v>
      </c>
      <c r="B10966" s="0" t="s">
        <v>98</v>
      </c>
      <c r="D10966" s="6" t="n">
        <f aca="false">Sens!D10946</f>
        <v>23.455</v>
      </c>
      <c r="E10966" s="6" t="n">
        <f aca="false">Sens!E10946</f>
        <v>21.79</v>
      </c>
      <c r="F10966" s="6" t="n">
        <f aca="false">Sens!F10946</f>
        <v>20.6825777908051</v>
      </c>
      <c r="G10966" s="6" t="n">
        <f aca="false">Sens!G10946</f>
        <v>20.0484913708632</v>
      </c>
      <c r="H10966" s="6" t="n">
        <f aca="false">Sens!H10946</f>
        <v>19.8381125629905</v>
      </c>
      <c r="I10966" s="6" t="n">
        <f aca="false">Sens!I10946</f>
        <v>20.0299669735513</v>
      </c>
      <c r="J10966" s="6" t="n">
        <f aca="false">Sens!J10946</f>
        <v>20.6275710652887</v>
      </c>
      <c r="K10966" s="6" t="n">
        <f aca="false">Sens!K10946</f>
        <v>21.6589496185531</v>
      </c>
    </row>
    <row r="10967" customFormat="false" ht="15" hidden="false" customHeight="false" outlineLevel="0" collapsed="false">
      <c r="A10967" s="0" t="s">
        <v>889</v>
      </c>
      <c r="B10967" s="0" t="s">
        <v>98</v>
      </c>
      <c r="D10967" s="6" t="n">
        <f aca="false">Sens!D10948</f>
        <v>17.315</v>
      </c>
      <c r="E10967" s="6" t="n">
        <f aca="false">Sens!E10948</f>
        <v>17.087</v>
      </c>
      <c r="F10967" s="6" t="n">
        <f aca="false">Sens!F10948</f>
        <v>16.9564585436519</v>
      </c>
      <c r="G10967" s="6" t="n">
        <f aca="false">Sens!G10948</f>
        <v>16.9206490624268</v>
      </c>
      <c r="H10967" s="6" t="n">
        <f aca="false">Sens!H10948</f>
        <v>16.9784519149849</v>
      </c>
      <c r="I10967" s="6" t="n">
        <f aca="false">Sens!I10948</f>
        <v>17.1303084701817</v>
      </c>
      <c r="J10967" s="6" t="n">
        <f aca="false">Sens!J10948</f>
        <v>17.3782189407267</v>
      </c>
      <c r="K10967" s="6" t="n">
        <f aca="false">Sens!K10948</f>
        <v>17.7257833195413</v>
      </c>
    </row>
    <row r="10968" customFormat="false" ht="15" hidden="false" customHeight="false" outlineLevel="0" collapsed="false">
      <c r="A10968" s="0" t="s">
        <v>729</v>
      </c>
      <c r="B10968" s="0" t="s">
        <v>98</v>
      </c>
      <c r="D10968" s="6" t="n">
        <f aca="false">Sens!D10950</f>
        <v>62.941</v>
      </c>
      <c r="E10968" s="6" t="n">
        <f aca="false">Sens!E10950</f>
        <v>63.712</v>
      </c>
      <c r="F10968" s="6" t="n">
        <f aca="false">Sens!F10950</f>
        <v>65.2505264563129</v>
      </c>
      <c r="G10968" s="6" t="n">
        <f aca="false">Sens!G10950</f>
        <v>67.4367071671415</v>
      </c>
      <c r="H10968" s="6" t="n">
        <f aca="false">Sens!H10950</f>
        <v>70.1809411735542</v>
      </c>
      <c r="I10968" s="6" t="n">
        <f aca="false">Sens!I10950</f>
        <v>73.4179770971021</v>
      </c>
      <c r="J10968" s="6" t="n">
        <f aca="false">Sens!J10950</f>
        <v>77.1046268012325</v>
      </c>
      <c r="K10968" s="6" t="n">
        <f aca="false">Sens!K10950</f>
        <v>81.2204883089766</v>
      </c>
    </row>
    <row r="10969" customFormat="false" ht="15" hidden="false" customHeight="false" outlineLevel="0" collapsed="false">
      <c r="A10969" s="1" t="s">
        <v>905</v>
      </c>
      <c r="B10969" s="0" t="s">
        <v>98</v>
      </c>
      <c r="D10969" s="6" t="n">
        <f aca="false">Sens!D10951</f>
        <v>281.724</v>
      </c>
      <c r="E10969" s="6" t="n">
        <f aca="false">Sens!E10951</f>
        <v>331.839</v>
      </c>
      <c r="F10969" s="6" t="n">
        <f aca="false">Sens!F10951</f>
        <v>393.613959521169</v>
      </c>
      <c r="G10969" s="6" t="n">
        <f aca="false">Sens!G10951</f>
        <v>456.706572840415</v>
      </c>
      <c r="H10969" s="6" t="n">
        <f aca="false">Sens!H10951</f>
        <v>515.937262044747</v>
      </c>
      <c r="I10969" s="6" t="n">
        <f aca="false">Sens!I10951</f>
        <v>578.119203342595</v>
      </c>
      <c r="J10969" s="6" t="n">
        <f aca="false">Sens!J10951</f>
        <v>630.820829930754</v>
      </c>
      <c r="K10969" s="6" t="n">
        <f aca="false">Sens!K10951</f>
        <v>674.624002498679</v>
      </c>
    </row>
    <row r="10970" customFormat="false" ht="15" hidden="false" customHeight="false" outlineLevel="0" collapsed="false">
      <c r="A10970" s="1" t="s">
        <v>906</v>
      </c>
      <c r="B10970" s="0" t="s">
        <v>129</v>
      </c>
      <c r="E10970" s="7" t="n">
        <f aca="false">Sens!E10969/Sens!D10969-1</f>
        <v>0.177886867998467</v>
      </c>
      <c r="F10970" s="7" t="n">
        <f aca="false">Sens!F10969/Sens!E10969-1</f>
        <v>0.186159431293997</v>
      </c>
      <c r="G10970" s="7" t="n">
        <f aca="false">Sens!G10969/Sens!F10969-1</f>
        <v>0.160290588768749</v>
      </c>
      <c r="H10970" s="7" t="n">
        <f aca="false">Sens!H10969/Sens!G10969-1</f>
        <v>0.129690905992344</v>
      </c>
      <c r="I10970" s="7" t="n">
        <f aca="false">Sens!I10969/Sens!H10969-1</f>
        <v>0.120522291899231</v>
      </c>
      <c r="J10970" s="7" t="n">
        <f aca="false">Sens!J10969/Sens!I10969-1</f>
        <v>0.0911604843489828</v>
      </c>
      <c r="K10970" s="7" t="n">
        <f aca="false">Sens!K10969/Sens!J10969-1</f>
        <v>0.0694383737657069</v>
      </c>
    </row>
    <row r="10971" customFormat="false" ht="17.15" hidden="false" customHeight="false" outlineLevel="0" collapsed="false">
      <c r="A10971" s="23" t="s">
        <v>907</v>
      </c>
      <c r="B10971" s="30" t="s">
        <v>98</v>
      </c>
      <c r="C10971" s="30"/>
      <c r="D10971" s="24" t="n">
        <f aca="false">(Sens!D10964+Sens!D10968-Sens!D10969)+(Sens!D10956+Sens!D10957-Sens!D10955)+(Sens!D10959+Sens!D10960-Sens!D10958)+(Sens!D10969-Q!L18)</f>
        <v>0</v>
      </c>
      <c r="E10971" s="24" t="n">
        <f aca="false">(Sens!E10964+Sens!E10968-Sens!E10969)+(Sens!E10956+Sens!E10957-Sens!E10955)+(Sens!E10959+Sens!E10960-Sens!E10958)+(Sens!E10969-Q!M18)</f>
        <v>0</v>
      </c>
      <c r="F10971" s="24" t="n">
        <f aca="false">(Sens!F10964+Sens!F10968-Sens!F10969)+(Sens!F10956+Sens!F10957-Sens!F10955)+(Sens!F10959+Sens!F10960-Sens!F10958)</f>
        <v>0</v>
      </c>
      <c r="G10971" s="24" t="n">
        <f aca="false">(Sens!G10964+Sens!G10968-Sens!G10969)+(Sens!G10956+Sens!G10957-Sens!G10955)+(Sens!G10959+Sens!G10960-Sens!G10958)</f>
        <v>0</v>
      </c>
      <c r="H10971" s="24" t="n">
        <f aca="false">(Sens!H10964+Sens!H10968-Sens!H10969)+(Sens!H10956+Sens!H10957-Sens!H10955)+(Sens!H10959+Sens!H10960-Sens!H10958)</f>
        <v>0</v>
      </c>
      <c r="I10971" s="24" t="n">
        <f aca="false">(Sens!I10964+Sens!I10968-Sens!I10969)+(Sens!I10956+Sens!I10957-Sens!I10955)+(Sens!I10959+Sens!I10960-Sens!I10958)</f>
        <v>0</v>
      </c>
      <c r="J10971" s="24" t="n">
        <f aca="false">(Sens!J10964+Sens!J10968-Sens!J10969)+(Sens!J10956+Sens!J10957-Sens!J10955)+(Sens!J10959+Sens!J10960-Sens!J10958)</f>
        <v>0</v>
      </c>
      <c r="K10971" s="24" t="n">
        <f aca="false">(Sens!K10964+Sens!K10968-Sens!K10969)+(Sens!K10956+Sens!K10957-Sens!K10955)+(Sens!K10959+Sens!K10960-Sens!K10958)</f>
        <v>0</v>
      </c>
    </row>
    <row r="10972" customFormat="false" ht="17.15" hidden="false" customHeight="false" outlineLevel="0" collapsed="false">
      <c r="A10972" s="0" t="s">
        <v>908</v>
      </c>
      <c r="B10972" s="0" t="s">
        <v>129</v>
      </c>
      <c r="E10972" s="7" t="n">
        <f aca="false">(Q!M21+Sens!E10909+Sens!E10910+Sens!E10911+Sens!E10924-Sens!E10907)/(Q!M5-Sens!E10907)</f>
        <v>0.570957350878296</v>
      </c>
      <c r="F10972" s="7" t="n">
        <f aca="false">Sens!$E$10972+dm_seg</f>
        <v>0.570957350878296</v>
      </c>
      <c r="G10972" s="7" t="n">
        <f aca="false">Sens!$E$10972+dm_seg</f>
        <v>0.570957350878296</v>
      </c>
      <c r="H10972" s="7" t="n">
        <f aca="false">Sens!$E$10972+dm_seg</f>
        <v>0.570957350878296</v>
      </c>
      <c r="I10972" s="7" t="n">
        <f aca="false">Sens!$E$10972+dm_seg</f>
        <v>0.570957350878296</v>
      </c>
      <c r="J10972" s="7" t="n">
        <f aca="false">Sens!$E$10972+dm_seg</f>
        <v>0.570957350878296</v>
      </c>
      <c r="K10972" s="7" t="n">
        <f aca="false">Sens!$E$10972+dm_seg</f>
        <v>0.570957350878296</v>
      </c>
      <c r="L10972" s="11" t="s">
        <v>909</v>
      </c>
    </row>
    <row r="10973" customFormat="false" ht="17.15" hidden="false" customHeight="false" outlineLevel="0" collapsed="false">
      <c r="A10973" s="0" t="s">
        <v>743</v>
      </c>
      <c r="B10973" s="0" t="s">
        <v>98</v>
      </c>
      <c r="D10973" s="6" t="n">
        <f aca="false">Q!L21</f>
        <v>110.814</v>
      </c>
      <c r="E10973" s="6" t="n">
        <f aca="false">Q!M21</f>
        <v>136.365</v>
      </c>
      <c r="F10973" s="6" t="n">
        <f aca="false">Sens!F10972*(Sens!F10943-Sens!F10907)+Sens!F10907-(Sens!F10909+Sens!F10910+Sens!F10911)-Sens!F10924-Sens!F11007</f>
        <v>152.186801942494</v>
      </c>
      <c r="G10973" s="6" t="n">
        <f aca="false">Sens!G10972*(Sens!G10943-Sens!G10907)+Sens!G10907-(Sens!G10909+Sens!G10910+Sens!G10911)-Sens!G10924-Sens!G11007</f>
        <v>160.931349295096</v>
      </c>
      <c r="H10973" s="6" t="n">
        <f aca="false">Sens!H10972*(Sens!H10943-Sens!H10907)+Sens!H10907-(Sens!H10909+Sens!H10910+Sens!H10911)-Sens!H10924-Sens!H11007</f>
        <v>163.298500293719</v>
      </c>
      <c r="I10973" s="6" t="n">
        <f aca="false">Sens!I10972*(Sens!I10943-Sens!I10907)+Sens!I10907-(Sens!I10909+Sens!I10910+Sens!I10911)-Sens!I10924-Sens!I11007</f>
        <v>173.293042713127</v>
      </c>
      <c r="J10973" s="6" t="n">
        <f aca="false">Sens!J10972*(Sens!J10943-Sens!J10907)+Sens!J10907-(Sens!J10909+Sens!J10910+Sens!J10911)-Sens!J10924-Sens!J11007</f>
        <v>184.538057606426</v>
      </c>
      <c r="K10973" s="6" t="n">
        <f aca="false">Sens!K10972*(Sens!K10943-Sens!K10907)+Sens!K10907-(Sens!K10909+Sens!K10910+Sens!K10911)-Sens!K10924-Sens!K11007</f>
        <v>197.059251135261</v>
      </c>
      <c r="L10973" s="1" t="s">
        <v>910</v>
      </c>
    </row>
    <row r="10974" customFormat="false" ht="17.15" hidden="false" customHeight="false" outlineLevel="0" collapsed="false">
      <c r="A10974" s="0" t="s">
        <v>911</v>
      </c>
      <c r="B10974" s="0" t="s">
        <v>129</v>
      </c>
      <c r="E10974" s="7" t="n">
        <f aca="false">Q!M22/Q!M12</f>
        <v>0.296207935710698</v>
      </c>
      <c r="F10974" s="7" t="n">
        <f aca="false">Sens!$E$10974+dm_seg</f>
        <v>0.296207935710698</v>
      </c>
      <c r="G10974" s="7" t="n">
        <f aca="false">Sens!$E$10974+dm_seg</f>
        <v>0.296207935710698</v>
      </c>
      <c r="H10974" s="7" t="n">
        <f aca="false">Sens!$E$10974+dm_seg</f>
        <v>0.296207935710698</v>
      </c>
      <c r="I10974" s="7" t="n">
        <f aca="false">Sens!$E$10974+dm_seg</f>
        <v>0.296207935710698</v>
      </c>
      <c r="J10974" s="7" t="n">
        <f aca="false">Sens!$E$10974+dm_seg</f>
        <v>0.296207935710698</v>
      </c>
      <c r="K10974" s="7" t="n">
        <f aca="false">Sens!$E$10974+dm_seg</f>
        <v>0.296207935710698</v>
      </c>
      <c r="L10974" s="11" t="s">
        <v>912</v>
      </c>
    </row>
    <row r="10975" customFormat="false" ht="17.15" hidden="false" customHeight="false" outlineLevel="0" collapsed="false">
      <c r="A10975" s="0" t="s">
        <v>745</v>
      </c>
      <c r="B10975" s="0" t="s">
        <v>98</v>
      </c>
      <c r="D10975" s="6" t="n">
        <f aca="false">Q!L22</f>
        <v>17.714</v>
      </c>
      <c r="E10975" s="6" t="n">
        <f aca="false">Q!M22</f>
        <v>18.872</v>
      </c>
      <c r="F10975" s="6" t="n">
        <f aca="false">Sens!F10950*Sens!F10974</f>
        <v>19.3277237456607</v>
      </c>
      <c r="G10975" s="6" t="n">
        <f aca="false">Sens!G10950*Sens!G10974</f>
        <v>19.9752878211058</v>
      </c>
      <c r="H10975" s="6" t="n">
        <f aca="false">Sens!H10950*Sens!H10974</f>
        <v>20.7881517112524</v>
      </c>
      <c r="I10975" s="6" t="n">
        <f aca="false">Sens!I10950*Sens!I10974</f>
        <v>21.7469874399879</v>
      </c>
      <c r="J10975" s="6" t="n">
        <f aca="false">Sens!J10950*Sens!J10974</f>
        <v>22.8390023385368</v>
      </c>
      <c r="K10975" s="6" t="n">
        <f aca="false">Sens!K10950*Sens!K10974</f>
        <v>24.0581531794169</v>
      </c>
    </row>
    <row r="10976" customFormat="false" ht="15" hidden="false" customHeight="false" outlineLevel="0" collapsed="false">
      <c r="A10976" s="1" t="s">
        <v>913</v>
      </c>
      <c r="B10976" s="0" t="s">
        <v>98</v>
      </c>
      <c r="D10976" s="6" t="n">
        <f aca="false">Sens!D10973+Sens!D10975</f>
        <v>128.528</v>
      </c>
      <c r="E10976" s="6" t="n">
        <f aca="false">Sens!E10973+Sens!E10975</f>
        <v>155.237</v>
      </c>
      <c r="F10976" s="6" t="n">
        <f aca="false">Sens!F10973+Sens!F10975</f>
        <v>171.514525688154</v>
      </c>
      <c r="G10976" s="6" t="n">
        <f aca="false">Sens!G10973+Sens!G10975</f>
        <v>180.906637116202</v>
      </c>
      <c r="H10976" s="6" t="n">
        <f aca="false">Sens!H10973+Sens!H10975</f>
        <v>184.086652004971</v>
      </c>
      <c r="I10976" s="6" t="n">
        <f aca="false">Sens!I10973+Sens!I10975</f>
        <v>195.040030153114</v>
      </c>
      <c r="J10976" s="6" t="n">
        <f aca="false">Sens!J10973+Sens!J10975</f>
        <v>207.377059944963</v>
      </c>
      <c r="K10976" s="6" t="n">
        <f aca="false">Sens!K10973+Sens!K10975</f>
        <v>221.117404314678</v>
      </c>
    </row>
    <row r="10977" customFormat="false" ht="15" hidden="false" customHeight="false" outlineLevel="0" collapsed="false">
      <c r="A10977" s="23" t="s">
        <v>914</v>
      </c>
      <c r="B10977" s="30" t="s">
        <v>98</v>
      </c>
      <c r="C10977" s="30"/>
      <c r="D10977" s="24" t="n">
        <f aca="false">Sens!D10976-Q!L23</f>
        <v>0</v>
      </c>
      <c r="E10977" s="24" t="n">
        <f aca="false">Sens!E10976-Q!M23</f>
        <v>0</v>
      </c>
      <c r="F10977" s="30"/>
      <c r="G10977" s="30"/>
      <c r="H10977" s="30"/>
      <c r="I10977" s="30"/>
      <c r="J10977" s="30"/>
      <c r="K10977" s="30"/>
    </row>
    <row r="10978" customFormat="false" ht="15" hidden="false" customHeight="false" outlineLevel="0" collapsed="false">
      <c r="A10978" s="1" t="s">
        <v>915</v>
      </c>
      <c r="B10978" s="0" t="s">
        <v>129</v>
      </c>
      <c r="D10978" s="7" t="n">
        <f aca="false">Sens!D10976/Sens!D10969</f>
        <v>0.456219562408598</v>
      </c>
      <c r="E10978" s="7" t="n">
        <f aca="false">Sens!E10976/Sens!E10969</f>
        <v>0.467808184089272</v>
      </c>
      <c r="F10978" s="7" t="n">
        <f aca="false">Sens!F10976/Sens!F10969</f>
        <v>0.435742995235235</v>
      </c>
      <c r="G10978" s="7" t="n">
        <f aca="false">Sens!G10976/Sens!G10969</f>
        <v>0.396111306196189</v>
      </c>
      <c r="H10978" s="7" t="n">
        <f aca="false">Sens!H10976/Sens!H10969</f>
        <v>0.356800459178707</v>
      </c>
      <c r="I10978" s="7" t="n">
        <f aca="false">Sens!I10976/Sens!I10969</f>
        <v>0.337369921333565</v>
      </c>
      <c r="J10978" s="7" t="n">
        <f aca="false">Sens!J10976/Sens!J10969</f>
        <v>0.328741617437913</v>
      </c>
      <c r="K10978" s="7" t="n">
        <f aca="false">Sens!K10976/Sens!K10969</f>
        <v>0.327763915152293</v>
      </c>
    </row>
    <row r="10979" customFormat="false" ht="17.15" hidden="false" customHeight="false" outlineLevel="0" collapsed="false">
      <c r="A10979" s="1" t="s">
        <v>916</v>
      </c>
      <c r="B10979" s="0" t="s">
        <v>98</v>
      </c>
      <c r="F10979" s="6" t="n">
        <f aca="false">Sens!F10994</f>
        <v>10.1553565002727</v>
      </c>
      <c r="G10979" s="6" t="n">
        <f aca="false">Sens!G10994</f>
        <v>26.5039384396555</v>
      </c>
      <c r="H10979" s="6" t="n">
        <f aca="false">Sens!H10994</f>
        <v>44.38649932956</v>
      </c>
      <c r="I10979" s="6" t="n">
        <f aca="false">Sens!I10994</f>
        <v>60.5028524913745</v>
      </c>
      <c r="J10979" s="6" t="n">
        <f aca="false">Sens!J10994</f>
        <v>71.8788124586976</v>
      </c>
      <c r="K10979" s="6" t="n">
        <f aca="false">Sens!K10994</f>
        <v>78.7789222270768</v>
      </c>
      <c r="L10979" s="1" t="s">
        <v>917</v>
      </c>
    </row>
    <row r="10980" customFormat="false" ht="17.15" hidden="false" customHeight="false" outlineLevel="0" collapsed="false">
      <c r="A10980" s="1" t="s">
        <v>918</v>
      </c>
      <c r="B10980" s="0" t="s">
        <v>98</v>
      </c>
      <c r="D10980" s="6" t="n">
        <f aca="false">Sens!D10976</f>
        <v>128.528</v>
      </c>
      <c r="E10980" s="6" t="n">
        <f aca="false">Sens!E10976</f>
        <v>155.237</v>
      </c>
      <c r="F10980" s="6" t="n">
        <f aca="false">Sens!F10976+Sens!F10979</f>
        <v>181.669882188427</v>
      </c>
      <c r="G10980" s="6" t="n">
        <f aca="false">Sens!G10976+Sens!G10979</f>
        <v>207.410575555857</v>
      </c>
      <c r="H10980" s="6" t="n">
        <f aca="false">Sens!H10976+Sens!H10979</f>
        <v>228.473151334531</v>
      </c>
      <c r="I10980" s="6" t="n">
        <f aca="false">Sens!I10976+Sens!I10979</f>
        <v>255.542882644489</v>
      </c>
      <c r="J10980" s="6" t="n">
        <f aca="false">Sens!J10976+Sens!J10979</f>
        <v>279.25587240366</v>
      </c>
      <c r="K10980" s="6" t="n">
        <f aca="false">Sens!K10976+Sens!K10979</f>
        <v>299.896326541754</v>
      </c>
    </row>
    <row r="10981" customFormat="false" ht="17.15" hidden="false" customHeight="false" outlineLevel="0" collapsed="false">
      <c r="A10981" s="1" t="s">
        <v>919</v>
      </c>
      <c r="B10981" s="0" t="s">
        <v>98</v>
      </c>
      <c r="E10981" s="6" t="n">
        <f aca="false">Sens!E10924</f>
        <v>16.3054059770833</v>
      </c>
      <c r="F10981" s="6" t="n">
        <f aca="false">Sens!F10924</f>
        <v>34.0498873809555</v>
      </c>
      <c r="G10981" s="6" t="n">
        <f aca="false">Sens!G10924</f>
        <v>59.1254371105111</v>
      </c>
      <c r="H10981" s="6" t="n">
        <f aca="false">Sens!H10924</f>
        <v>86.3610198433111</v>
      </c>
      <c r="I10981" s="6" t="n">
        <f aca="false">Sens!I10924</f>
        <v>110.605743832393</v>
      </c>
      <c r="J10981" s="6" t="n">
        <f aca="false">Sens!J10924</f>
        <v>127.998322852843</v>
      </c>
      <c r="K10981" s="6" t="n">
        <f aca="false">Sens!K10924</f>
        <v>139.131464044308</v>
      </c>
    </row>
    <row r="10982" customFormat="false" ht="17.15" hidden="false" customHeight="false" outlineLevel="0" collapsed="false">
      <c r="A10982" s="1" t="s">
        <v>920</v>
      </c>
      <c r="B10982" s="0" t="s">
        <v>98</v>
      </c>
      <c r="E10982" s="6" t="n">
        <f aca="false">Sens!E11006</f>
        <v>22.2285940229167</v>
      </c>
      <c r="F10982" s="6" t="n">
        <f aca="false">Sens!F11006</f>
        <v>24.3924470334783</v>
      </c>
      <c r="G10982" s="6" t="n">
        <f aca="false">Sens!G11006</f>
        <v>26.0244257254366</v>
      </c>
      <c r="H10982" s="6" t="n">
        <f aca="false">Sens!H11006</f>
        <v>28.029946925778</v>
      </c>
      <c r="I10982" s="6" t="n">
        <f aca="false">Sens!I11006</f>
        <v>30.3522762392294</v>
      </c>
      <c r="J10982" s="6" t="n">
        <f aca="false">Sens!J11006</f>
        <v>32.917140591744</v>
      </c>
      <c r="K10982" s="6" t="n">
        <f aca="false">Sens!K11006</f>
        <v>35.641243952593</v>
      </c>
    </row>
    <row r="10983" customFormat="false" ht="17.15" hidden="false" customHeight="false" outlineLevel="0" collapsed="false">
      <c r="A10983" s="1" t="s">
        <v>921</v>
      </c>
      <c r="B10983" s="0" t="s">
        <v>98</v>
      </c>
      <c r="D10983" s="6" t="n">
        <f aca="false">Q!L27</f>
        <v>-4.901</v>
      </c>
      <c r="E10983" s="6" t="n">
        <f aca="false">Q!M27</f>
        <v>10.697</v>
      </c>
      <c r="F10983" s="6" t="n">
        <f aca="false">oie_f</f>
        <v>-0.4</v>
      </c>
      <c r="G10983" s="6" t="n">
        <f aca="false">oie_f</f>
        <v>-0.4</v>
      </c>
      <c r="H10983" s="6" t="n">
        <f aca="false">oie_f</f>
        <v>-0.4</v>
      </c>
      <c r="I10983" s="6" t="n">
        <f aca="false">oie_f</f>
        <v>-0.4</v>
      </c>
      <c r="J10983" s="6" t="n">
        <f aca="false">oie_f</f>
        <v>-0.4</v>
      </c>
      <c r="K10983" s="6" t="n">
        <f aca="false">oie_f</f>
        <v>-0.4</v>
      </c>
      <c r="L10983" s="11" t="s">
        <v>922</v>
      </c>
    </row>
    <row r="10984" customFormat="false" ht="15" hidden="false" customHeight="false" outlineLevel="0" collapsed="false">
      <c r="A10984" s="1" t="s">
        <v>923</v>
      </c>
      <c r="B10984" s="0" t="s">
        <v>98</v>
      </c>
      <c r="D10984" s="6" t="n">
        <f aca="false">Sens!D10976+Sens!D10983</f>
        <v>123.627</v>
      </c>
      <c r="E10984" s="6" t="n">
        <f aca="false">Sens!E10976+Sens!E10983</f>
        <v>165.934</v>
      </c>
      <c r="F10984" s="6" t="n">
        <f aca="false">Sens!F10976+Sens!F10983</f>
        <v>171.114525688154</v>
      </c>
      <c r="G10984" s="6" t="n">
        <f aca="false">Sens!G10976+Sens!G10983</f>
        <v>180.506637116202</v>
      </c>
      <c r="H10984" s="6" t="n">
        <f aca="false">Sens!H10976+Sens!H10983</f>
        <v>183.686652004971</v>
      </c>
      <c r="I10984" s="6" t="n">
        <f aca="false">Sens!I10976+Sens!I10983</f>
        <v>194.640030153114</v>
      </c>
      <c r="J10984" s="6" t="n">
        <f aca="false">Sens!J10976+Sens!J10983</f>
        <v>206.977059944963</v>
      </c>
      <c r="K10984" s="6" t="n">
        <f aca="false">Sens!K10976+Sens!K10983</f>
        <v>220.717404314677</v>
      </c>
    </row>
    <row r="10985" customFormat="false" ht="15" hidden="false" customHeight="false" outlineLevel="0" collapsed="false">
      <c r="A10985" s="1" t="s">
        <v>924</v>
      </c>
      <c r="B10985" s="0" t="s">
        <v>98</v>
      </c>
      <c r="D10985" s="6" t="n">
        <f aca="false">Q!L29</f>
        <v>21.795</v>
      </c>
      <c r="E10985" s="6" t="n">
        <f aca="false">Q!M29</f>
        <v>32.185</v>
      </c>
      <c r="F10985" s="6" t="n">
        <f aca="false">Sens!F10984*tax_f</f>
        <v>34.2229051376309</v>
      </c>
      <c r="G10985" s="6" t="n">
        <f aca="false">Sens!G10984*tax_f</f>
        <v>36.1013274232404</v>
      </c>
      <c r="H10985" s="6" t="n">
        <f aca="false">Sens!H10984*tax_f</f>
        <v>36.7373304009942</v>
      </c>
      <c r="I10985" s="6" t="n">
        <f aca="false">Sens!I10984*tax_f</f>
        <v>38.9280060306229</v>
      </c>
      <c r="J10985" s="6" t="n">
        <f aca="false">Sens!J10984*tax_f</f>
        <v>41.3954119889925</v>
      </c>
      <c r="K10985" s="6" t="n">
        <f aca="false">Sens!K10984*tax_f</f>
        <v>44.1434808629355</v>
      </c>
    </row>
    <row r="10986" customFormat="false" ht="15" hidden="false" customHeight="false" outlineLevel="0" collapsed="false">
      <c r="A10986" s="1" t="s">
        <v>925</v>
      </c>
      <c r="B10986" s="0" t="s">
        <v>98</v>
      </c>
      <c r="D10986" s="6" t="n">
        <f aca="false">Sens!D10984-Sens!D10985</f>
        <v>101.832</v>
      </c>
      <c r="E10986" s="6" t="n">
        <f aca="false">Sens!E10984-Sens!E10985</f>
        <v>133.749</v>
      </c>
      <c r="F10986" s="6" t="n">
        <f aca="false">Sens!F10984-Sens!F10985</f>
        <v>136.891620550524</v>
      </c>
      <c r="G10986" s="6" t="n">
        <f aca="false">Sens!G10984-Sens!G10985</f>
        <v>144.405309692961</v>
      </c>
      <c r="H10986" s="6" t="n">
        <f aca="false">Sens!H10984-Sens!H10985</f>
        <v>146.949321603977</v>
      </c>
      <c r="I10986" s="6" t="n">
        <f aca="false">Sens!I10984-Sens!I10985</f>
        <v>155.712024122492</v>
      </c>
      <c r="J10986" s="6" t="n">
        <f aca="false">Sens!J10984-Sens!J10985</f>
        <v>165.58164795597</v>
      </c>
      <c r="K10986" s="6" t="n">
        <f aca="false">Sens!K10984-Sens!K10985</f>
        <v>176.573923451742</v>
      </c>
    </row>
    <row r="10987" customFormat="false" ht="17.15" hidden="false" customHeight="false" outlineLevel="0" collapsed="false">
      <c r="A10987" s="1" t="s">
        <v>926</v>
      </c>
      <c r="B10987" s="1" t="s">
        <v>81</v>
      </c>
      <c r="D10987" s="14" t="n">
        <f aca="false">Q!L31</f>
        <v>7.465</v>
      </c>
      <c r="E10987" s="14" t="n">
        <f aca="false">Q!M31</f>
        <v>7.453</v>
      </c>
      <c r="F10987" s="14" t="n">
        <f aca="false">Sens!F11030</f>
        <v>7.4735</v>
      </c>
      <c r="G10987" s="14" t="n">
        <f aca="false">Sens!G11030</f>
        <v>7.5185</v>
      </c>
      <c r="H10987" s="14" t="n">
        <f aca="false">Sens!H11030</f>
        <v>7.55834839873939</v>
      </c>
      <c r="I10987" s="14" t="n">
        <f aca="false">Sens!I11030</f>
        <v>7.58222604363615</v>
      </c>
      <c r="J10987" s="14" t="n">
        <f aca="false">Sens!J11030</f>
        <v>7.59646755475403</v>
      </c>
      <c r="K10987" s="14" t="n">
        <f aca="false">Sens!K11030</f>
        <v>7.61298747245577</v>
      </c>
    </row>
    <row r="10988" customFormat="false" ht="17.15" hidden="false" customHeight="false" outlineLevel="0" collapsed="false">
      <c r="A10988" s="0" t="s">
        <v>927</v>
      </c>
      <c r="B10988" s="0" t="s">
        <v>75</v>
      </c>
      <c r="D10988" s="8" t="n">
        <f aca="false">Sens!D10986/Sens!D10987</f>
        <v>13.641259209645</v>
      </c>
      <c r="E10988" s="8" t="n">
        <f aca="false">Sens!E10986/Sens!E10987</f>
        <v>17.9456594659869</v>
      </c>
      <c r="F10988" s="8" t="n">
        <f aca="false">Sens!F10986/Sens!F10987</f>
        <v>18.3169359136313</v>
      </c>
      <c r="G10988" s="8" t="n">
        <f aca="false">Sens!G10986/Sens!G10987</f>
        <v>19.2066648524255</v>
      </c>
      <c r="H10988" s="8" t="n">
        <f aca="false">Sens!H10986/Sens!H10987</f>
        <v>19.4419883619662</v>
      </c>
      <c r="I10988" s="8" t="n">
        <f aca="false">Sens!I10986/Sens!I10987</f>
        <v>20.5364523856662</v>
      </c>
      <c r="J10988" s="8" t="n">
        <f aca="false">Sens!J10986/Sens!J10987</f>
        <v>21.7971901758924</v>
      </c>
      <c r="K10988" s="8" t="n">
        <f aca="false">Sens!K10986/Sens!K10987</f>
        <v>23.1937756486001</v>
      </c>
      <c r="L10988" s="1" t="s">
        <v>928</v>
      </c>
    </row>
    <row r="10989" customFormat="false" ht="17.15" hidden="false" customHeight="false" outlineLevel="0" collapsed="false">
      <c r="A10989" s="1" t="s">
        <v>929</v>
      </c>
      <c r="B10989" s="0" t="s">
        <v>98</v>
      </c>
      <c r="D10989" s="6" t="n">
        <f aca="false">Sens!D10986</f>
        <v>101.832</v>
      </c>
      <c r="E10989" s="6" t="n">
        <f aca="false">Sens!E10986</f>
        <v>133.749</v>
      </c>
      <c r="F10989" s="6" t="n">
        <f aca="false">Sens!F10986+Sens!F10979*(1-tax_f)</f>
        <v>145.015905750742</v>
      </c>
      <c r="G10989" s="6" t="n">
        <f aca="false">Sens!G10986+Sens!G10979*(1-tax_f)</f>
        <v>165.608460444686</v>
      </c>
      <c r="H10989" s="6" t="n">
        <f aca="false">Sens!H10986+Sens!H10979*(1-tax_f)</f>
        <v>182.458521067625</v>
      </c>
      <c r="I10989" s="6" t="n">
        <f aca="false">Sens!I10986+Sens!I10979*(1-tax_f)</f>
        <v>204.114306115591</v>
      </c>
      <c r="J10989" s="6" t="n">
        <f aca="false">Sens!J10986+Sens!J10979*(1-tax_f)</f>
        <v>223.084697922928</v>
      </c>
      <c r="K10989" s="6" t="n">
        <f aca="false">Sens!K10986+Sens!K10979*(1-tax_f)</f>
        <v>239.597061233403</v>
      </c>
    </row>
    <row r="10990" customFormat="false" ht="17.15" hidden="false" customHeight="false" outlineLevel="0" collapsed="false">
      <c r="A10990" s="0" t="s">
        <v>930</v>
      </c>
      <c r="B10990" s="0" t="s">
        <v>75</v>
      </c>
      <c r="D10990" s="8" t="n">
        <f aca="false">Sens!D10989/Sens!D10987</f>
        <v>13.641259209645</v>
      </c>
      <c r="E10990" s="8" t="n">
        <f aca="false">Sens!E10989/Sens!E10987</f>
        <v>17.9456594659869</v>
      </c>
      <c r="F10990" s="8" t="n">
        <f aca="false">Sens!F10989/Sens!F10987</f>
        <v>19.4040149529326</v>
      </c>
      <c r="G10990" s="8" t="n">
        <f aca="false">Sens!G10989/Sens!G10987</f>
        <v>22.0267952975575</v>
      </c>
      <c r="H10990" s="8" t="n">
        <f aca="false">Sens!H10989/Sens!H10987</f>
        <v>24.1399987724905</v>
      </c>
      <c r="I10990" s="8" t="n">
        <f aca="false">Sens!I10989/Sens!I10987</f>
        <v>26.9201030068085</v>
      </c>
      <c r="J10990" s="8" t="n">
        <f aca="false">Sens!J10989/Sens!J10987</f>
        <v>29.3668993272165</v>
      </c>
      <c r="K10990" s="8" t="n">
        <f aca="false">Sens!K10989/Sens!K10987</f>
        <v>31.472147051375</v>
      </c>
      <c r="L10990" s="1" t="s">
        <v>931</v>
      </c>
    </row>
    <row r="10991" customFormat="false" ht="17.15" hidden="false" customHeight="false" outlineLevel="0" collapsed="false">
      <c r="A10991" s="0" t="s">
        <v>932</v>
      </c>
      <c r="B10991" s="0" t="s">
        <v>129</v>
      </c>
      <c r="E10991" s="7" t="n">
        <f aca="false">Sens!E10990/Sens!D10990-1</f>
        <v>0.315542736208578</v>
      </c>
      <c r="F10991" s="7" t="n">
        <f aca="false">Sens!F10990/Sens!E10990-1</f>
        <v>0.0812650819386058</v>
      </c>
      <c r="G10991" s="7" t="n">
        <f aca="false">Sens!G10990/Sens!F10990-1</f>
        <v>0.1351668894807</v>
      </c>
      <c r="H10991" s="7" t="n">
        <f aca="false">Sens!H10990/Sens!G10990-1</f>
        <v>0.0959378541628975</v>
      </c>
      <c r="I10991" s="7" t="n">
        <f aca="false">Sens!I10990/Sens!H10990-1</f>
        <v>0.115165881345699</v>
      </c>
      <c r="J10991" s="7" t="n">
        <f aca="false">Sens!J10990/Sens!I10990-1</f>
        <v>0.0908910459885379</v>
      </c>
      <c r="K10991" s="7" t="n">
        <f aca="false">Sens!K10990/Sens!J10990-1</f>
        <v>0.0716877767959436</v>
      </c>
    </row>
    <row r="10992" customFormat="false" ht="17.15" hidden="false" customHeight="false" outlineLevel="0" collapsed="false">
      <c r="A10992" s="0" t="s">
        <v>856</v>
      </c>
      <c r="B10992" s="0" t="s">
        <v>98</v>
      </c>
      <c r="E10992" s="6" t="n">
        <f aca="false">Sens!E10933</f>
        <v>5.25</v>
      </c>
      <c r="F10992" s="6" t="n">
        <f aca="false">Sens!F10933</f>
        <v>10.5</v>
      </c>
      <c r="G10992" s="6" t="n">
        <f aca="false">Sens!G10933</f>
        <v>13.5</v>
      </c>
      <c r="H10992" s="6" t="n">
        <f aca="false">Sens!H10933</f>
        <v>16.5</v>
      </c>
      <c r="I10992" s="6" t="n">
        <f aca="false">Sens!I10933</f>
        <v>18.75</v>
      </c>
      <c r="J10992" s="6" t="n">
        <f aca="false">Sens!J10933</f>
        <v>20.25</v>
      </c>
      <c r="K10992" s="6" t="n">
        <f aca="false">Sens!K10933</f>
        <v>21.75</v>
      </c>
    </row>
    <row r="10993" customFormat="false" ht="17.15" hidden="false" customHeight="false" outlineLevel="0" collapsed="false">
      <c r="A10993" s="1" t="s">
        <v>857</v>
      </c>
      <c r="B10993" s="0" t="s">
        <v>98</v>
      </c>
      <c r="F10993" s="6" t="n">
        <f aca="false">MAX(0,((Sens!E10896+Sens!F10896)/2-(shadow_base*(Sens!$D$10896+Sens!$E$10896)/2+(1-shadow_base)*Sens!$E$10896))*Sens!F10904/1000-(Sens!F10992-Sens!$E$10992)*Sens!F10972)</f>
        <v>10.1553565002727</v>
      </c>
      <c r="G10993" s="6" t="n">
        <f aca="false">MAX(0,((Sens!F10896+Sens!G10896)/2-(shadow_base*(Sens!$D$10896+Sens!$E$10896)/2+(1-shadow_base)*Sens!$E$10896))*Sens!G10904/1000-(Sens!G10992-Sens!$E$10992)*Sens!G10972)</f>
        <v>26.5039384396555</v>
      </c>
      <c r="H10993" s="6" t="n">
        <f aca="false">MAX(0,((Sens!G10896+Sens!H10896)/2-(shadow_base*(Sens!$D$10896+Sens!$E$10896)/2+(1-shadow_base)*Sens!$E$10896))*Sens!H10904/1000-(Sens!H10992-Sens!$E$10992)*Sens!H10972)</f>
        <v>44.38649932956</v>
      </c>
      <c r="I10993" s="6" t="n">
        <f aca="false">MAX(0,((Sens!H10896+Sens!I10896)/2-(shadow_base*(Sens!$D$10896+Sens!$E$10896)/2+(1-shadow_base)*Sens!$E$10896))*Sens!I10904/1000-(Sens!I10992-Sens!$E$10992)*Sens!I10972)</f>
        <v>60.5028524913745</v>
      </c>
      <c r="J10993" s="6" t="n">
        <f aca="false">MAX(0,((Sens!I10896+Sens!J10896)/2-(shadow_base*(Sens!$D$10896+Sens!$E$10896)/2+(1-shadow_base)*Sens!$E$10896))*Sens!J10904/1000-(Sens!J10992-Sens!$E$10992)*Sens!J10972)</f>
        <v>71.8788124586976</v>
      </c>
      <c r="K10993" s="6" t="n">
        <f aca="false">MAX(0,((Sens!J10896+Sens!K10896)/2-(shadow_base*(Sens!$D$10896+Sens!$E$10896)/2+(1-shadow_base)*Sens!$E$10896))*Sens!K10904/1000-(Sens!K10992-Sens!$E$10992)*Sens!K10972)</f>
        <v>78.7789222270768</v>
      </c>
      <c r="L10993" s="1" t="s">
        <v>858</v>
      </c>
    </row>
    <row r="10994" customFormat="false" ht="17.15" hidden="false" customHeight="false" outlineLevel="0" collapsed="false">
      <c r="A10994" s="1" t="s">
        <v>859</v>
      </c>
      <c r="B10994" s="0" t="s">
        <v>98</v>
      </c>
      <c r="F10994" s="6" t="n">
        <f aca="false">IF(internal_ai_reading=2,1,0)*Sens!F10993</f>
        <v>10.1553565002727</v>
      </c>
      <c r="G10994" s="6" t="n">
        <f aca="false">IF(internal_ai_reading=2,1,0)*Sens!G10993</f>
        <v>26.5039384396555</v>
      </c>
      <c r="H10994" s="6" t="n">
        <f aca="false">IF(internal_ai_reading=2,1,0)*Sens!H10993</f>
        <v>44.38649932956</v>
      </c>
      <c r="I10994" s="6" t="n">
        <f aca="false">IF(internal_ai_reading=2,1,0)*Sens!I10993</f>
        <v>60.5028524913745</v>
      </c>
      <c r="J10994" s="6" t="n">
        <f aca="false">IF(internal_ai_reading=2,1,0)*Sens!J10993</f>
        <v>71.8788124586976</v>
      </c>
      <c r="K10994" s="6" t="n">
        <f aca="false">IF(internal_ai_reading=2,1,0)*Sens!K10993</f>
        <v>78.7789222270768</v>
      </c>
    </row>
    <row r="10995" customFormat="false" ht="17.15" hidden="false" customHeight="false" outlineLevel="0" collapsed="false">
      <c r="A10995" s="0" t="s">
        <v>860</v>
      </c>
      <c r="B10995" s="0" t="s">
        <v>98</v>
      </c>
      <c r="F10995" s="6" t="n">
        <f aca="false">Sens!F10913+Sens!F10992*Sens!F10972+Sens!F10994-Sens!F10914-Sens!F10924</f>
        <v>10.6249363155714</v>
      </c>
      <c r="G10995" s="6" t="n">
        <f aca="false">Sens!G10913+Sens!G10992*Sens!G10972+Sens!G10994-Sens!G10914-Sens!G10924</f>
        <v>16.5522915631233</v>
      </c>
      <c r="H10995" s="6" t="n">
        <f aca="false">Sens!H10913+Sens!H10992*Sens!H10972+Sens!H10994-Sens!H10914-Sens!H10924</f>
        <v>17.4625151247579</v>
      </c>
      <c r="I10995" s="6" t="n">
        <f aca="false">Sens!I10913+Sens!I10992*Sens!I10972+Sens!I10994-Sens!I10914-Sens!I10924</f>
        <v>24.729505792607</v>
      </c>
      <c r="J10995" s="6" t="n">
        <f aca="false">Sens!J10913+Sens!J10992*Sens!J10972+Sens!J10994-Sens!J10914-Sens!J10924</f>
        <v>29.752205312642</v>
      </c>
      <c r="K10995" s="6" t="n">
        <f aca="false">Sens!K10913+Sens!K10992*Sens!K10972+Sens!K10994-Sens!K10914-Sens!K10924</f>
        <v>33.5968759973665</v>
      </c>
    </row>
    <row r="10996" customFormat="false" ht="17.15" hidden="false" customHeight="false" outlineLevel="0" collapsed="false">
      <c r="A10996" s="0" t="s">
        <v>861</v>
      </c>
      <c r="B10996" s="0" t="s">
        <v>98</v>
      </c>
      <c r="E10996" s="6" t="n">
        <f aca="false">Sens!E10895*(cxit_open+self_build*tk_cxfac)/1000*ai_net_open</f>
        <v>126.6980382</v>
      </c>
      <c r="F10996" s="6" t="n">
        <f aca="false">Sens!E10996+Sens!F10921-Sens!F10924</f>
        <v>252.981026690511</v>
      </c>
      <c r="G10996" s="6" t="n">
        <f aca="false">Sens!F10996+Sens!G10921-Sens!G10924</f>
        <v>377.4297700632</v>
      </c>
      <c r="H10996" s="6" t="n">
        <f aca="false">Sens!G10996+Sens!H10921-Sens!H10924</f>
        <v>479.149036130289</v>
      </c>
      <c r="I10996" s="6" t="n">
        <f aca="false">Sens!H10996+Sens!I10921-Sens!I10924</f>
        <v>532.249961452141</v>
      </c>
      <c r="J10996" s="6" t="n">
        <f aca="false">Sens!I10996+Sens!J10921-Sens!J10924</f>
        <v>531.43307519354</v>
      </c>
      <c r="K10996" s="6" t="n">
        <f aca="false">Sens!J10996+Sens!K10921-Sens!K10924</f>
        <v>513.709026452823</v>
      </c>
      <c r="L10996" s="1" t="s">
        <v>862</v>
      </c>
    </row>
    <row r="10997" customFormat="false" ht="17.15" hidden="false" customHeight="false" outlineLevel="0" collapsed="false">
      <c r="A10997" s="0" t="s">
        <v>863</v>
      </c>
      <c r="B10997" s="0" t="s">
        <v>129</v>
      </c>
      <c r="F10997" s="7" t="n">
        <f aca="false">Sens!F10995*(1-tax_f)/((Sens!E10996+Sens!F10996)/2)</f>
        <v>0.0447743888903029</v>
      </c>
      <c r="G10997" s="7" t="n">
        <f aca="false">Sens!G10995*(1-tax_f)/((Sens!F10996+Sens!G10996)/2)</f>
        <v>0.0420101727910983</v>
      </c>
      <c r="H10997" s="7" t="n">
        <f aca="false">Sens!H10995*(1-tax_f)/((Sens!G10996+Sens!H10996)/2)</f>
        <v>0.0326181595874103</v>
      </c>
      <c r="I10997" s="7" t="n">
        <f aca="false">Sens!I10995*(1-tax_f)/((Sens!H10996+Sens!I10996)/2)</f>
        <v>0.0391212660510339</v>
      </c>
      <c r="J10997" s="7" t="n">
        <f aca="false">Sens!J10995*(1-tax_f)/((Sens!I10996+Sens!J10996)/2)</f>
        <v>0.0447534903351892</v>
      </c>
      <c r="K10997" s="7" t="n">
        <f aca="false">Sens!K10995*(1-tax_f)/((Sens!J10996+Sens!K10996)/2)</f>
        <v>0.0514331989029135</v>
      </c>
    </row>
    <row r="10998" customFormat="false" ht="17.15" hidden="false" customHeight="false" outlineLevel="0" collapsed="false">
      <c r="A10998" s="1" t="s">
        <v>864</v>
      </c>
      <c r="B10998" s="0" t="s">
        <v>129</v>
      </c>
      <c r="F10998" s="7" t="n">
        <f aca="false">(Sens!F10995-Sens!F10994)*(1-tax_f)/((Sens!E10996+Sens!F10996)/2)</f>
        <v>0.00197884943878752</v>
      </c>
      <c r="G10998" s="7" t="n">
        <f aca="false">(Sens!G10995-Sens!G10994)*(1-tax_f)/((Sens!F10996+Sens!G10996)/2)</f>
        <v>-0.0252575544144306</v>
      </c>
      <c r="H10998" s="7" t="n">
        <f aca="false">(Sens!H10995-Sens!H10994)*(1-tax_f)/((Sens!G10996+Sens!H10996)/2)</f>
        <v>-0.0502911984468976</v>
      </c>
      <c r="I10998" s="7" t="n">
        <f aca="false">(Sens!I10995-Sens!I10994)*(1-tax_f)/((Sens!H10996+Sens!I10996)/2)</f>
        <v>-0.0565922596866753</v>
      </c>
      <c r="J10998" s="7" t="n">
        <f aca="false">(Sens!J10995-Sens!J10994)*(1-tax_f)/((Sens!I10996+Sens!J10996)/2)</f>
        <v>-0.0633671583653741</v>
      </c>
      <c r="K10998" s="7" t="n">
        <f aca="false">(Sens!K10995-Sens!K10994)*(1-tax_f)/((Sens!J10996+Sens!K10996)/2)</f>
        <v>-0.0691688468521739</v>
      </c>
    </row>
    <row r="10999" customFormat="false" ht="17.15" hidden="false" customHeight="false" outlineLevel="0" collapsed="false">
      <c r="A10999" s="1" t="s">
        <v>865</v>
      </c>
      <c r="B10999" s="0" t="s">
        <v>129</v>
      </c>
      <c r="F10999" s="7" t="n">
        <f aca="false">(Sens!F10995-Sens!F10994+Sens!F10993)*(1-tax_f)/((Sens!E10996+Sens!F10996)/2)</f>
        <v>0.0447743888903029</v>
      </c>
      <c r="G10999" s="7" t="n">
        <f aca="false">(Sens!G10995-Sens!G10994+Sens!G10993)*(1-tax_f)/((Sens!F10996+Sens!G10996)/2)</f>
        <v>0.0420101727910983</v>
      </c>
      <c r="H10999" s="7" t="n">
        <f aca="false">(Sens!H10995-Sens!H10994+Sens!H10993)*(1-tax_f)/((Sens!G10996+Sens!H10996)/2)</f>
        <v>0.0326181595874103</v>
      </c>
      <c r="I10999" s="7" t="n">
        <f aca="false">(Sens!I10995-Sens!I10994+Sens!I10993)*(1-tax_f)/((Sens!H10996+Sens!I10996)/2)</f>
        <v>0.0391212660510339</v>
      </c>
      <c r="J10999" s="7" t="n">
        <f aca="false">(Sens!J10995-Sens!J10994+Sens!J10993)*(1-tax_f)/((Sens!I10996+Sens!J10996)/2)</f>
        <v>0.0447534903351892</v>
      </c>
      <c r="K10999" s="7" t="n">
        <f aca="false">(Sens!K10995-Sens!K10994+Sens!K10993)*(1-tax_f)/((Sens!J10996+Sens!K10996)/2)</f>
        <v>0.0514331989029135</v>
      </c>
    </row>
    <row r="11000" customFormat="false" ht="17.15" hidden="false" customHeight="false" outlineLevel="0" collapsed="false">
      <c r="A11000" s="1" t="s">
        <v>866</v>
      </c>
      <c r="B11000" s="0" t="s">
        <v>129</v>
      </c>
      <c r="F11000" s="7" t="n">
        <f aca="false">Sens!F10925*(1-tax_f)/(Sens!F10912*(Sens!E10996+Sens!F10996)/2)</f>
        <v>0.102735279953254</v>
      </c>
      <c r="G11000" s="7" t="n">
        <f aca="false">Sens!G10925*(1-tax_f)/(Sens!G10912*(Sens!F10996+Sens!G10996)/2)</f>
        <v>0.0709600152423962</v>
      </c>
      <c r="H11000" s="7" t="n">
        <f aca="false">Sens!H10925*(1-tax_f)/(Sens!H10912*(Sens!G10996+Sens!H10996)/2)</f>
        <v>0.0419126501774916</v>
      </c>
      <c r="I11000" s="7" t="n">
        <f aca="false">Sens!I10925*(1-tax_f)/(Sens!I10912*(Sens!H10996+Sens!I10996)/2)</f>
        <v>0.044576811268173</v>
      </c>
      <c r="J11000" s="7" t="n">
        <f aca="false">Sens!J10925*(1-tax_f)/(Sens!J10912*(Sens!I10996+Sens!J10996)/2)</f>
        <v>0.0483882076863038</v>
      </c>
      <c r="K11000" s="7" t="n">
        <f aca="false">Sens!K10925*(1-tax_f)/(Sens!K10912*(Sens!J10996+Sens!K10996)/2)</f>
        <v>0.0544871874286225</v>
      </c>
    </row>
    <row r="11001" customFormat="false" ht="17.15" hidden="false" customHeight="false" outlineLevel="0" collapsed="false">
      <c r="A11001" s="0" t="s">
        <v>867</v>
      </c>
      <c r="B11001" s="0" t="s">
        <v>209</v>
      </c>
      <c r="F11001" s="7" t="n">
        <f aca="false">Sens!F10997-wacc</f>
        <v>-0.0581600312025729</v>
      </c>
      <c r="G11001" s="7" t="n">
        <f aca="false">Sens!G10997-wacc</f>
        <v>-0.0609242473017775</v>
      </c>
      <c r="H11001" s="7" t="n">
        <f aca="false">Sens!H10997-wacc</f>
        <v>-0.0703162605054654</v>
      </c>
      <c r="I11001" s="7" t="n">
        <f aca="false">Sens!I10997-wacc</f>
        <v>-0.0638131540418418</v>
      </c>
      <c r="J11001" s="7" t="n">
        <f aca="false">Sens!J10997-wacc</f>
        <v>-0.0581809297576865</v>
      </c>
      <c r="K11001" s="7" t="n">
        <f aca="false">Sens!K10997-wacc</f>
        <v>-0.0515012211899623</v>
      </c>
    </row>
    <row r="11002" customFormat="false" ht="17.15" hidden="false" customHeight="false" outlineLevel="0" collapsed="false">
      <c r="A11002" s="0" t="s">
        <v>868</v>
      </c>
      <c r="B11002" s="0" t="s">
        <v>98</v>
      </c>
      <c r="F11002" s="6" t="n">
        <f aca="false">Sens!F10995*(1-tax_f)-wacc*(Sens!E10996+Sens!F10996)/2</f>
        <v>-11.0410731304979</v>
      </c>
      <c r="G11002" s="6" t="n">
        <f aca="false">Sens!G10995*(1-tax_f)-wacc*(Sens!F10996+Sens!G10996)/2</f>
        <v>-19.2036516415668</v>
      </c>
      <c r="H11002" s="6" t="n">
        <f aca="false">Sens!H10995*(1-tax_f)-wacc*(Sens!G10996+Sens!H10996)/2</f>
        <v>-30.115709239881</v>
      </c>
      <c r="I11002" s="6" t="n">
        <f aca="false">Sens!I10995*(1-tax_f)-wacc*(Sens!H10996+Sens!I10996)/2</f>
        <v>-32.270280015246</v>
      </c>
      <c r="J11002" s="6" t="n">
        <f aca="false">Sens!J10995*(1-tax_f)-wacc*(Sens!I10996+Sens!J10996)/2</f>
        <v>-30.9430340197625</v>
      </c>
      <c r="K11002" s="6" t="n">
        <f aca="false">Sens!K10995*(1-tax_f)-wacc*(Sens!J10996+Sens!K10996)/2</f>
        <v>-26.9130472759157</v>
      </c>
    </row>
    <row r="11003" customFormat="false" ht="17.15" hidden="false" customHeight="false" outlineLevel="0" collapsed="false">
      <c r="A11003" s="3" t="s">
        <v>1545</v>
      </c>
    </row>
    <row r="11004" customFormat="false" ht="15" hidden="false" customHeight="false" outlineLevel="0" collapsed="false">
      <c r="A11004" s="4" t="s">
        <v>43</v>
      </c>
      <c r="B11004" s="4" t="s">
        <v>65</v>
      </c>
      <c r="C11004" s="20" t="s">
        <v>799</v>
      </c>
      <c r="D11004" s="20" t="s">
        <v>800</v>
      </c>
      <c r="E11004" s="20" t="s">
        <v>801</v>
      </c>
      <c r="F11004" s="20" t="s">
        <v>802</v>
      </c>
      <c r="G11004" s="20" t="s">
        <v>803</v>
      </c>
      <c r="H11004" s="20" t="s">
        <v>804</v>
      </c>
      <c r="I11004" s="20" t="s">
        <v>805</v>
      </c>
      <c r="J11004" s="20" t="s">
        <v>806</v>
      </c>
      <c r="K11004" s="20" t="s">
        <v>807</v>
      </c>
      <c r="L11004" s="4" t="s">
        <v>47</v>
      </c>
    </row>
    <row r="11005" customFormat="false" ht="15" hidden="false" customHeight="false" outlineLevel="0" collapsed="false">
      <c r="A11005" s="1" t="s">
        <v>925</v>
      </c>
      <c r="B11005" s="0" t="s">
        <v>98</v>
      </c>
      <c r="F11005" s="6" t="n">
        <f aca="false">Sens!F10986</f>
        <v>136.891620550524</v>
      </c>
      <c r="G11005" s="6" t="n">
        <f aca="false">Sens!G10986</f>
        <v>144.405309692961</v>
      </c>
      <c r="H11005" s="6" t="n">
        <f aca="false">Sens!H10986</f>
        <v>146.949321603977</v>
      </c>
      <c r="I11005" s="6" t="n">
        <f aca="false">Sens!I10986</f>
        <v>155.712024122492</v>
      </c>
      <c r="J11005" s="6" t="n">
        <f aca="false">Sens!J10986</f>
        <v>165.58164795597</v>
      </c>
      <c r="K11005" s="6" t="n">
        <f aca="false">Sens!K10986</f>
        <v>176.573923451742</v>
      </c>
    </row>
    <row r="11006" customFormat="false" ht="17.15" hidden="false" customHeight="false" outlineLevel="0" collapsed="false">
      <c r="A11006" s="1" t="s">
        <v>947</v>
      </c>
      <c r="B11006" s="0" t="s">
        <v>98</v>
      </c>
      <c r="E11006" s="6" t="n">
        <f aca="false">Q!M38-Sens!E10924</f>
        <v>22.2285940229167</v>
      </c>
      <c r="F11006" s="6" t="n">
        <f aca="false">Sens!E11006*(1-1/life_nonai)+(Sens!F11013+Sens!F11014)/life_nonai</f>
        <v>24.3924470334783</v>
      </c>
      <c r="G11006" s="6" t="n">
        <f aca="false">Sens!F11006*(1-1/life_nonai)+(Sens!G11013)/life_nonai</f>
        <v>26.0244257254366</v>
      </c>
      <c r="H11006" s="6" t="n">
        <f aca="false">Sens!G11006*(1-1/life_nonai)+(Sens!H11013)/life_nonai</f>
        <v>28.029946925778</v>
      </c>
      <c r="I11006" s="6" t="n">
        <f aca="false">Sens!H11006*(1-1/life_nonai)+(Sens!I11013)/life_nonai</f>
        <v>30.3522762392294</v>
      </c>
      <c r="J11006" s="6" t="n">
        <f aca="false">Sens!I11006*(1-1/life_nonai)+(Sens!J11013)/life_nonai</f>
        <v>32.917140591744</v>
      </c>
      <c r="K11006" s="6" t="n">
        <f aca="false">Sens!J11006*(1-1/life_nonai)+(Sens!K11013)/life_nonai</f>
        <v>35.641243952593</v>
      </c>
      <c r="L11006" s="11" t="s">
        <v>948</v>
      </c>
    </row>
    <row r="11007" customFormat="false" ht="17.15" hidden="false" customHeight="false" outlineLevel="0" collapsed="false">
      <c r="A11007" s="1" t="s">
        <v>949</v>
      </c>
      <c r="B11007" s="0" t="s">
        <v>98</v>
      </c>
      <c r="F11007" s="6" t="n">
        <f aca="false">Sens!$F$11014/life_nonai*(1-1/life_nonai)^(Sens!F10890-2027)</f>
        <v>0.843450839897088</v>
      </c>
      <c r="G11007" s="6" t="n">
        <f aca="false">Sens!$F$11014/life_nonai*(1-1/life_nonai)^(Sens!G10890-2027)</f>
        <v>0.75910575590738</v>
      </c>
      <c r="H11007" s="6" t="n">
        <f aca="false">Sens!$F$11014/life_nonai*(1-1/life_nonai)^(Sens!H10890-2027)</f>
        <v>0.683195180316642</v>
      </c>
      <c r="I11007" s="6" t="n">
        <f aca="false">Sens!$F$11014/life_nonai*(1-1/life_nonai)^(Sens!I10890-2027)</f>
        <v>0.614875662284978</v>
      </c>
      <c r="J11007" s="6" t="n">
        <f aca="false">Sens!$F$11014/life_nonai*(1-1/life_nonai)^(Sens!J10890-2027)</f>
        <v>0.55338809605648</v>
      </c>
      <c r="K11007" s="6" t="n">
        <f aca="false">Sens!$F$11014/life_nonai*(1-1/life_nonai)^(Sens!K10890-2027)</f>
        <v>0.498049286450832</v>
      </c>
      <c r="L11007" s="1" t="s">
        <v>950</v>
      </c>
    </row>
    <row r="11008" customFormat="false" ht="17.15" hidden="false" customHeight="false" outlineLevel="0" collapsed="false">
      <c r="A11008" s="1" t="s">
        <v>951</v>
      </c>
      <c r="B11008" s="0" t="s">
        <v>98</v>
      </c>
      <c r="E11008" s="6" t="n">
        <f aca="false">Sens!E10924+Sens!E11006</f>
        <v>38.534</v>
      </c>
      <c r="F11008" s="6" t="n">
        <f aca="false">Sens!F10924+Sens!F11006</f>
        <v>58.4423344144339</v>
      </c>
      <c r="G11008" s="6" t="n">
        <f aca="false">Sens!G10924+Sens!G11006</f>
        <v>85.1498628359478</v>
      </c>
      <c r="H11008" s="6" t="n">
        <f aca="false">Sens!H10924+Sens!H11006</f>
        <v>114.390966769089</v>
      </c>
      <c r="I11008" s="6" t="n">
        <f aca="false">Sens!I10924+Sens!I11006</f>
        <v>140.958020071622</v>
      </c>
      <c r="J11008" s="6" t="n">
        <f aca="false">Sens!J10924+Sens!J11006</f>
        <v>160.915463444587</v>
      </c>
      <c r="K11008" s="6" t="n">
        <f aca="false">Sens!K10924+Sens!K11006</f>
        <v>174.772707996901</v>
      </c>
    </row>
    <row r="11009" customFormat="false" ht="17.15" hidden="false" customHeight="false" outlineLevel="0" collapsed="false">
      <c r="A11009" s="1" t="s">
        <v>952</v>
      </c>
      <c r="B11009" s="0" t="s">
        <v>98</v>
      </c>
      <c r="F11009" s="6" t="n">
        <f aca="false">Sens!F10951*sbc_r</f>
        <v>14.714307745202</v>
      </c>
      <c r="G11009" s="6" t="n">
        <f aca="false">Sens!G10951*sbc_r</f>
        <v>17.072872797005</v>
      </c>
      <c r="H11009" s="6" t="n">
        <f aca="false">Sens!H10951*sbc_r</f>
        <v>19.2870691379407</v>
      </c>
      <c r="I11009" s="6" t="n">
        <f aca="false">Sens!I10951*sbc_r</f>
        <v>21.6115909144642</v>
      </c>
      <c r="J11009" s="6" t="n">
        <f aca="false">Sens!J10951*sbc_r</f>
        <v>23.5817140097788</v>
      </c>
      <c r="K11009" s="6" t="n">
        <f aca="false">Sens!K10951*sbc_r</f>
        <v>25.2191898812259</v>
      </c>
    </row>
    <row r="11010" customFormat="false" ht="17.15" hidden="false" customHeight="false" outlineLevel="0" collapsed="false">
      <c r="A11010" s="1" t="s">
        <v>953</v>
      </c>
      <c r="B11010" s="0" t="s">
        <v>98</v>
      </c>
      <c r="F11010" s="6" t="n">
        <f aca="false">wc27</f>
        <v>-4.895</v>
      </c>
      <c r="G11010" s="6" t="n">
        <f aca="false">wc_f</f>
        <v>0</v>
      </c>
      <c r="H11010" s="6" t="n">
        <f aca="false">wc_f</f>
        <v>0</v>
      </c>
      <c r="I11010" s="6" t="n">
        <f aca="false">wc_f</f>
        <v>0</v>
      </c>
      <c r="J11010" s="6" t="n">
        <f aca="false">wc_f</f>
        <v>0</v>
      </c>
      <c r="K11010" s="6" t="n">
        <f aca="false">wc_f</f>
        <v>0</v>
      </c>
      <c r="L11010" s="11" t="s">
        <v>954</v>
      </c>
    </row>
    <row r="11011" customFormat="false" ht="15" hidden="false" customHeight="false" outlineLevel="0" collapsed="false">
      <c r="A11011" s="1" t="s">
        <v>767</v>
      </c>
      <c r="B11011" s="0" t="s">
        <v>98</v>
      </c>
      <c r="E11011" s="6" t="n">
        <f aca="false">Q!M35</f>
        <v>182.935</v>
      </c>
      <c r="F11011" s="6" t="n">
        <f aca="false">Sens!F11005+Sens!F11008+Sens!F11009+Sens!F11010</f>
        <v>205.153262710159</v>
      </c>
      <c r="G11011" s="6" t="n">
        <f aca="false">Sens!G11005+Sens!G11008+Sens!G11009+Sens!G11010</f>
        <v>246.628045325914</v>
      </c>
      <c r="H11011" s="6" t="n">
        <f aca="false">Sens!H11005+Sens!H11008+Sens!H11009+Sens!H11010</f>
        <v>280.627357511006</v>
      </c>
      <c r="I11011" s="6" t="n">
        <f aca="false">Sens!I11005+Sens!I11008+Sens!I11009+Sens!I11010</f>
        <v>318.281635108578</v>
      </c>
      <c r="J11011" s="6" t="n">
        <f aca="false">Sens!J11005+Sens!J11008+Sens!J11009+Sens!J11010</f>
        <v>350.078825410336</v>
      </c>
      <c r="K11011" s="6" t="n">
        <f aca="false">Sens!K11005+Sens!K11008+Sens!K11009+Sens!K11010</f>
        <v>376.565821329869</v>
      </c>
    </row>
    <row r="11012" customFormat="false" ht="17.15" hidden="false" customHeight="false" outlineLevel="0" collapsed="false">
      <c r="A11012" s="0" t="s">
        <v>955</v>
      </c>
      <c r="B11012" s="0" t="s">
        <v>98</v>
      </c>
      <c r="F11012" s="6" t="n">
        <f aca="false">Sens!F10921</f>
        <v>160.332875871467</v>
      </c>
      <c r="G11012" s="6" t="n">
        <f aca="false">Sens!G10921</f>
        <v>183.5741804832</v>
      </c>
      <c r="H11012" s="6" t="n">
        <f aca="false">Sens!H10921</f>
        <v>188.0802859104</v>
      </c>
      <c r="I11012" s="6" t="n">
        <f aca="false">Sens!I10921</f>
        <v>163.706669154245</v>
      </c>
      <c r="J11012" s="6" t="n">
        <f aca="false">Sens!J10921</f>
        <v>127.181436594242</v>
      </c>
      <c r="K11012" s="6" t="n">
        <f aca="false">Sens!K10921</f>
        <v>121.407415303591</v>
      </c>
    </row>
    <row r="11013" customFormat="false" ht="17.15" hidden="false" customHeight="false" outlineLevel="0" collapsed="false">
      <c r="A11013" s="1" t="s">
        <v>956</v>
      </c>
      <c r="B11013" s="0" t="s">
        <v>98</v>
      </c>
      <c r="E11013" s="6" t="n">
        <f aca="false">Sens!E10929*cx_azo+Sens!E10936*cx_m365+Sens!E10937*cx_lic+(Sens!E10939+Sens!E10941)*cx_ind+Sens!E10944*cx_srch+(Sens!E10946+Sens!E10948)*cx_dev</f>
        <v>30.1846587067718</v>
      </c>
      <c r="F11013" s="6" t="n">
        <f aca="false">Sens!F10929*cx_azo+Sens!F10936*cx_m365+Sens!F10937*cx_lic+(Sens!F10939+Sens!F10941)*cx_ind+Sens!F10944*cx_srch+(Sens!F10946+Sens!F10948)*cx_dev</f>
        <v>35.4326157295625</v>
      </c>
      <c r="G11013" s="6" t="n">
        <f aca="false">Sens!G10929*cx_azo+Sens!G10936*cx_m365+Sens!G10937*cx_lic+(Sens!G10939+Sens!G10941)*cx_ind+Sens!G10944*cx_srch+(Sens!G10946+Sens!G10948)*cx_dev</f>
        <v>40.7122339530614</v>
      </c>
      <c r="H11013" s="6" t="n">
        <f aca="false">Sens!H10929*cx_azo+Sens!H10936*cx_m365+Sens!H10937*cx_lic+(Sens!H10939+Sens!H10941)*cx_ind+Sens!H10944*cx_srch+(Sens!H10946+Sens!H10948)*cx_dev</f>
        <v>46.07963772885</v>
      </c>
      <c r="I11013" s="6" t="n">
        <f aca="false">Sens!I10929*cx_azo+Sens!I10936*cx_m365+Sens!I10937*cx_lic+(Sens!I10939+Sens!I10941)*cx_ind+Sens!I10944*cx_srch+(Sens!I10946+Sens!I10948)*cx_dev</f>
        <v>51.2532400602924</v>
      </c>
      <c r="J11013" s="6" t="n">
        <f aca="false">Sens!J10929*cx_azo+Sens!J10936*cx_m365+Sens!J10937*cx_lic+(Sens!J10939+Sens!J10941)*cx_ind+Sens!J10944*cx_srch+(Sens!J10946+Sens!J10948)*cx_dev</f>
        <v>56.0009197643751</v>
      </c>
      <c r="K11013" s="6" t="n">
        <f aca="false">Sens!K10929*cx_azo+Sens!K10936*cx_m365+Sens!K10937*cx_lic+(Sens!K10939+Sens!K10941)*cx_ind+Sens!K10944*cx_srch+(Sens!K10946+Sens!K10948)*cx_dev</f>
        <v>60.158174200234</v>
      </c>
    </row>
    <row r="11014" customFormat="false" ht="17.15" hidden="false" customHeight="false" outlineLevel="0" collapsed="false">
      <c r="A11014" s="0" t="s">
        <v>957</v>
      </c>
      <c r="B11014" s="0" t="s">
        <v>98</v>
      </c>
      <c r="F11014" s="6" t="n">
        <f aca="false">Sens!F10919</f>
        <v>8.43450839897088</v>
      </c>
      <c r="L11014" s="1" t="s">
        <v>958</v>
      </c>
    </row>
    <row r="11015" customFormat="false" ht="17.15" hidden="false" customHeight="false" outlineLevel="0" collapsed="false">
      <c r="A11015" s="1" t="s">
        <v>959</v>
      </c>
      <c r="B11015" s="0" t="s">
        <v>98</v>
      </c>
      <c r="E11015" s="6" t="n">
        <f aca="false">Q!M42</f>
        <v>145.3</v>
      </c>
      <c r="F11015" s="6" t="n">
        <f aca="false">Sens!F11012+Sens!F11013+Sens!F11014</f>
        <v>204.2</v>
      </c>
      <c r="G11015" s="6" t="n">
        <f aca="false">Sens!G11012+Sens!G11013</f>
        <v>224.286414436261</v>
      </c>
      <c r="H11015" s="6" t="n">
        <f aca="false">Sens!H11012+Sens!H11013</f>
        <v>234.15992363925</v>
      </c>
      <c r="I11015" s="6" t="n">
        <f aca="false">Sens!I11012+Sens!I11013</f>
        <v>214.959909214538</v>
      </c>
      <c r="J11015" s="6" t="n">
        <f aca="false">Sens!J11012+Sens!J11013</f>
        <v>183.182356358617</v>
      </c>
      <c r="K11015" s="6" t="n">
        <f aca="false">Sens!K11012+Sens!K11013</f>
        <v>181.565589503825</v>
      </c>
      <c r="L11015" s="1" t="s">
        <v>960</v>
      </c>
    </row>
    <row r="11016" customFormat="false" ht="15" hidden="false" customHeight="false" outlineLevel="0" collapsed="false">
      <c r="A11016" s="1" t="s">
        <v>961</v>
      </c>
      <c r="B11016" s="0" t="s">
        <v>98</v>
      </c>
      <c r="E11016" s="6" t="n">
        <f aca="false">fl_liab</f>
        <v>66.594</v>
      </c>
      <c r="F11016" s="6" t="n">
        <f aca="false">Sens!E11016-Sens!F11017</f>
        <v>62.46973</v>
      </c>
      <c r="G11016" s="6" t="n">
        <f aca="false">Sens!F11016-Sens!G11017</f>
        <v>57.98686785</v>
      </c>
      <c r="H11016" s="6" t="n">
        <f aca="false">Sens!G11016-Sens!H11017</f>
        <v>53.92827690325</v>
      </c>
      <c r="I11016" s="6" t="n">
        <f aca="false">Sens!H11016-Sens!I11017</f>
        <v>49.7850493638962</v>
      </c>
      <c r="J11016" s="6" t="n">
        <f aca="false">Sens!I11016-Sens!J11017</f>
        <v>45.4823765852716</v>
      </c>
      <c r="K11016" s="6" t="n">
        <f aca="false">Sens!J11016-Sens!K11017</f>
        <v>40.9860835316088</v>
      </c>
    </row>
    <row r="11017" customFormat="false" ht="15" hidden="false" customHeight="false" outlineLevel="0" collapsed="false">
      <c r="A11017" s="1" t="s">
        <v>962</v>
      </c>
      <c r="B11017" s="0" t="s">
        <v>98</v>
      </c>
      <c r="F11017" s="6" t="n">
        <f aca="false">fl_pay_27-Sens!E11016*fl_rate</f>
        <v>4.12427</v>
      </c>
      <c r="G11017" s="6" t="n">
        <f aca="false">fl_pay_28-Sens!F11016*fl_rate</f>
        <v>4.48286215</v>
      </c>
      <c r="H11017" s="6" t="n">
        <f aca="false">fl_pay_29-Sens!G11016*fl_rate</f>
        <v>4.05859094675</v>
      </c>
      <c r="I11017" s="6" t="n">
        <f aca="false">fl_pay_30-Sens!H11016*fl_rate</f>
        <v>4.14322753935375</v>
      </c>
      <c r="J11017" s="6" t="n">
        <f aca="false">fl_pay_31-Sens!I11016*fl_rate</f>
        <v>4.30267277862467</v>
      </c>
      <c r="K11017" s="6" t="n">
        <f aca="false">fl_pay_32-Sens!J11016*fl_rate</f>
        <v>4.49629305366278</v>
      </c>
    </row>
    <row r="11018" customFormat="false" ht="17.15" hidden="false" customHeight="false" outlineLevel="0" collapsed="false">
      <c r="A11018" s="1" t="s">
        <v>963</v>
      </c>
      <c r="B11018" s="0" t="s">
        <v>98</v>
      </c>
      <c r="E11018" s="6" t="n">
        <f aca="false">Q!M35-Q!M36-Q!M43</f>
        <v>63.886</v>
      </c>
      <c r="F11018" s="6" t="n">
        <f aca="false">Sens!F11011-Sens!F11015-Sens!F11017</f>
        <v>-3.17100728984051</v>
      </c>
      <c r="G11018" s="6" t="n">
        <f aca="false">Sens!G11011-Sens!G11015-Sens!G11017</f>
        <v>17.8587687396529</v>
      </c>
      <c r="H11018" s="6" t="n">
        <f aca="false">Sens!H11011-Sens!H11015-Sens!H11017</f>
        <v>42.4088429250066</v>
      </c>
      <c r="I11018" s="6" t="n">
        <f aca="false">Sens!I11011-Sens!I11015-Sens!I11017</f>
        <v>99.1784983546863</v>
      </c>
      <c r="J11018" s="6" t="n">
        <f aca="false">Sens!J11011-Sens!J11015-Sens!J11017</f>
        <v>162.593796273094</v>
      </c>
      <c r="K11018" s="6" t="n">
        <f aca="false">Sens!K11011-Sens!K11015-Sens!K11017</f>
        <v>190.503938772382</v>
      </c>
      <c r="L11018" s="11" t="s">
        <v>964</v>
      </c>
    </row>
    <row r="11019" customFormat="false" ht="15" hidden="false" customHeight="false" outlineLevel="0" collapsed="false">
      <c r="A11019" s="1" t="s">
        <v>965</v>
      </c>
      <c r="B11019" s="0" t="s">
        <v>75</v>
      </c>
      <c r="F11019" s="8" t="n">
        <f aca="false">dps_27</f>
        <v>3.85</v>
      </c>
      <c r="G11019" s="8" t="n">
        <f aca="false">Sens!F11019*(1+dps_g)</f>
        <v>4.158</v>
      </c>
      <c r="H11019" s="8" t="n">
        <f aca="false">Sens!G11019*(1+dps_g)</f>
        <v>4.49064</v>
      </c>
      <c r="I11019" s="8" t="n">
        <f aca="false">Sens!H11019*(1+dps_g)</f>
        <v>4.8498912</v>
      </c>
      <c r="J11019" s="8" t="n">
        <f aca="false">Sens!I11019*(1+dps_g)</f>
        <v>5.237882496</v>
      </c>
      <c r="K11019" s="8" t="n">
        <f aca="false">Sens!J11019*(1+dps_g)</f>
        <v>5.65691309568</v>
      </c>
    </row>
    <row r="11020" customFormat="false" ht="17.15" hidden="false" customHeight="false" outlineLevel="0" collapsed="false">
      <c r="A11020" s="1" t="s">
        <v>966</v>
      </c>
      <c r="B11020" s="0" t="s">
        <v>98</v>
      </c>
      <c r="E11020" s="6" t="n">
        <f aca="false">Q!M41</f>
        <v>26.445</v>
      </c>
      <c r="F11020" s="6" t="n">
        <f aca="false">Sens!F11019*Sens!E11029</f>
        <v>28.59395</v>
      </c>
      <c r="G11020" s="6" t="n">
        <f aca="false">Sens!G11019*Sens!F11029</f>
        <v>31.068576</v>
      </c>
      <c r="H11020" s="6" t="n">
        <f aca="false">Sens!H11019*Sens!G11029</f>
        <v>33.75614088</v>
      </c>
      <c r="I11020" s="6" t="n">
        <f aca="false">Sens!I11019*Sens!H11029</f>
        <v>36.6249078431605</v>
      </c>
      <c r="J11020" s="6" t="n">
        <f aca="false">Sens!J11019*Sens!I11029</f>
        <v>39.6232993189328</v>
      </c>
      <c r="K11020" s="6" t="n">
        <f aca="false">Sens!K11019*Sens!J11029</f>
        <v>42.8804184897525</v>
      </c>
      <c r="L11020" s="1" t="s">
        <v>967</v>
      </c>
    </row>
    <row r="11021" customFormat="false" ht="15" hidden="false" customHeight="false" outlineLevel="0" collapsed="false">
      <c r="A11021" s="1" t="s">
        <v>968</v>
      </c>
      <c r="B11021" s="0" t="s">
        <v>98</v>
      </c>
      <c r="E11021" s="6" t="n">
        <f aca="false">Sens!E11018-Sens!E11020</f>
        <v>37.441</v>
      </c>
      <c r="F11021" s="6" t="n">
        <f aca="false">Sens!F11018-Sens!F11020</f>
        <v>-31.7649572898405</v>
      </c>
      <c r="G11021" s="6" t="n">
        <f aca="false">Sens!G11018-Sens!G11020</f>
        <v>-13.2098072603471</v>
      </c>
      <c r="H11021" s="6" t="n">
        <f aca="false">Sens!H11018-Sens!H11020</f>
        <v>8.65270204500655</v>
      </c>
      <c r="I11021" s="6" t="n">
        <f aca="false">Sens!I11018-Sens!I11020</f>
        <v>62.5535905115258</v>
      </c>
      <c r="J11021" s="6" t="n">
        <f aca="false">Sens!J11018-Sens!J11020</f>
        <v>122.970496954161</v>
      </c>
      <c r="K11021" s="6" t="n">
        <f aca="false">Sens!K11018-Sens!K11020</f>
        <v>147.623520282629</v>
      </c>
    </row>
    <row r="11022" customFormat="false" ht="15" hidden="false" customHeight="false" outlineLevel="0" collapsed="false">
      <c r="A11022" s="1" t="s">
        <v>969</v>
      </c>
      <c r="B11022" s="0" t="s">
        <v>98</v>
      </c>
      <c r="F11022" s="6" t="n">
        <f aca="false">debt_mat_27</f>
        <v>9.25</v>
      </c>
      <c r="G11022" s="6" t="n">
        <f aca="false">debt_mat_28</f>
        <v>0</v>
      </c>
      <c r="H11022" s="6" t="n">
        <f aca="false">debt_mat_29</f>
        <v>2.001</v>
      </c>
      <c r="I11022" s="6" t="n">
        <f aca="false">debt_mat_30</f>
        <v>0</v>
      </c>
      <c r="J11022" s="6" t="n">
        <f aca="false">debt_mat_31</f>
        <v>0.5</v>
      </c>
      <c r="K11022" s="6" t="n">
        <f aca="false">debt_mat_32</f>
        <v>0</v>
      </c>
    </row>
    <row r="11023" customFormat="false" ht="15" hidden="false" customHeight="false" outlineLevel="0" collapsed="false">
      <c r="A11023" s="1" t="s">
        <v>970</v>
      </c>
      <c r="B11023" s="0" t="s">
        <v>98</v>
      </c>
      <c r="E11023" s="6" t="n">
        <f aca="false">Q!M40</f>
        <v>22.271</v>
      </c>
      <c r="F11023" s="6" t="n">
        <f aca="false">MAX(0,MIN(bb_target,Sens!E11025+Sens!F11021-Sens!F11022-min_cash))</f>
        <v>0</v>
      </c>
      <c r="G11023" s="6" t="n">
        <f aca="false">MAX(0,MIN(bb_target,Sens!F11025+Sens!G11021-Sens!G11022-min_cash))</f>
        <v>0</v>
      </c>
      <c r="H11023" s="6" t="n">
        <f aca="false">MAX(0,MIN(bb_target,Sens!G11025+Sens!H11021-Sens!H11022-min_cash))</f>
        <v>6.65170204500655</v>
      </c>
      <c r="I11023" s="6" t="n">
        <f aca="false">MAX(0,MIN(bb_target,Sens!H11025+Sens!I11021-Sens!I11022-min_cash))</f>
        <v>22.271</v>
      </c>
      <c r="J11023" s="6" t="n">
        <f aca="false">MAX(0,MIN(bb_target,Sens!I11025+Sens!J11021-Sens!J11022-min_cash))</f>
        <v>22.271</v>
      </c>
      <c r="K11023" s="6" t="n">
        <f aca="false">MAX(0,MIN(bb_target,Sens!J11025+Sens!K11021-Sens!K11022-min_cash))</f>
        <v>22.271</v>
      </c>
    </row>
    <row r="11024" customFormat="false" ht="15" hidden="false" customHeight="false" outlineLevel="0" collapsed="false">
      <c r="A11024" s="1" t="s">
        <v>971</v>
      </c>
      <c r="B11024" s="0" t="s">
        <v>98</v>
      </c>
      <c r="F11024" s="6" t="n">
        <f aca="false">MAX(0,min_cash-(Sens!E11025+Sens!F11021-Sens!F11022-Sens!F11023))</f>
        <v>14.1719572898405</v>
      </c>
      <c r="G11024" s="6" t="n">
        <f aca="false">MAX(0,min_cash-(Sens!F11025+Sens!G11021-Sens!G11022-Sens!G11023))</f>
        <v>13.2098072603471</v>
      </c>
      <c r="H11024" s="6" t="n">
        <f aca="false">MAX(0,min_cash-(Sens!G11025+Sens!H11021-Sens!H11022-Sens!H11023))</f>
        <v>0</v>
      </c>
      <c r="I11024" s="6" t="n">
        <f aca="false">MAX(0,min_cash-(Sens!H11025+Sens!I11021-Sens!I11022-Sens!I11023))</f>
        <v>0</v>
      </c>
      <c r="J11024" s="6" t="n">
        <f aca="false">MAX(0,min_cash-(Sens!I11025+Sens!J11021-Sens!J11022-Sens!J11023))</f>
        <v>0</v>
      </c>
      <c r="K11024" s="6" t="n">
        <f aca="false">MAX(0,min_cash-(Sens!J11025+Sens!K11021-Sens!K11022-Sens!K11023))</f>
        <v>0</v>
      </c>
    </row>
    <row r="11025" customFormat="false" ht="15" hidden="false" customHeight="false" outlineLevel="0" collapsed="false">
      <c r="A11025" s="1" t="s">
        <v>972</v>
      </c>
      <c r="B11025" s="0" t="s">
        <v>98</v>
      </c>
      <c r="E11025" s="6" t="n">
        <f aca="false">cash_open</f>
        <v>76.843</v>
      </c>
      <c r="F11025" s="6" t="n">
        <f aca="false">Sens!E11025+Sens!F11021-Sens!F11022-Sens!F11023+Sens!F11024</f>
        <v>50</v>
      </c>
      <c r="G11025" s="6" t="n">
        <f aca="false">Sens!F11025+Sens!G11021-Sens!G11022-Sens!G11023+Sens!G11024</f>
        <v>50</v>
      </c>
      <c r="H11025" s="6" t="n">
        <f aca="false">Sens!G11025+Sens!H11021-Sens!H11022-Sens!H11023+Sens!H11024</f>
        <v>50</v>
      </c>
      <c r="I11025" s="6" t="n">
        <f aca="false">Sens!H11025+Sens!I11021-Sens!I11022-Sens!I11023+Sens!I11024</f>
        <v>90.2825905115258</v>
      </c>
      <c r="J11025" s="6" t="n">
        <f aca="false">Sens!I11025+Sens!J11021-Sens!J11022-Sens!J11023+Sens!J11024</f>
        <v>190.482087465687</v>
      </c>
      <c r="K11025" s="6" t="n">
        <f aca="false">Sens!J11025+Sens!K11021-Sens!K11022-Sens!K11023+Sens!K11024</f>
        <v>315.834607748316</v>
      </c>
    </row>
    <row r="11026" customFormat="false" ht="15" hidden="false" customHeight="false" outlineLevel="0" collapsed="false">
      <c r="A11026" s="1" t="s">
        <v>973</v>
      </c>
      <c r="B11026" s="0" t="s">
        <v>98</v>
      </c>
      <c r="E11026" s="6" t="n">
        <f aca="false">debt_face</f>
        <v>46.136</v>
      </c>
      <c r="F11026" s="6" t="n">
        <f aca="false">Sens!E11026-Sens!F11022+Sens!F11024</f>
        <v>51.0579572898405</v>
      </c>
      <c r="G11026" s="6" t="n">
        <f aca="false">Sens!F11026-Sens!G11022+Sens!G11024</f>
        <v>64.2677645501876</v>
      </c>
      <c r="H11026" s="6" t="n">
        <f aca="false">Sens!G11026-Sens!H11022+Sens!H11024</f>
        <v>62.2667645501876</v>
      </c>
      <c r="I11026" s="6" t="n">
        <f aca="false">Sens!H11026-Sens!I11022+Sens!I11024</f>
        <v>62.2667645501876</v>
      </c>
      <c r="J11026" s="6" t="n">
        <f aca="false">Sens!I11026-Sens!J11022+Sens!J11024</f>
        <v>61.7667645501876</v>
      </c>
      <c r="K11026" s="6" t="n">
        <f aca="false">Sens!J11026-Sens!K11022+Sens!K11024</f>
        <v>61.7667645501876</v>
      </c>
    </row>
    <row r="11027" customFormat="false" ht="15" hidden="false" customHeight="false" outlineLevel="0" collapsed="false">
      <c r="A11027" s="1" t="s">
        <v>974</v>
      </c>
      <c r="B11027" s="0" t="s">
        <v>98</v>
      </c>
      <c r="E11027" s="6" t="n">
        <f aca="false">Sens!E11025-Sens!E11026</f>
        <v>30.707</v>
      </c>
      <c r="F11027" s="6" t="n">
        <f aca="false">Sens!F11025-Sens!F11026</f>
        <v>-1.05795728984051</v>
      </c>
      <c r="G11027" s="6" t="n">
        <f aca="false">Sens!G11025-Sens!G11026</f>
        <v>-14.2677645501876</v>
      </c>
      <c r="H11027" s="6" t="n">
        <f aca="false">Sens!H11025-Sens!H11026</f>
        <v>-12.2667645501876</v>
      </c>
      <c r="I11027" s="6" t="n">
        <f aca="false">Sens!I11025-Sens!I11026</f>
        <v>28.0158259613381</v>
      </c>
      <c r="J11027" s="6" t="n">
        <f aca="false">Sens!J11025-Sens!J11026</f>
        <v>128.7153229155</v>
      </c>
      <c r="K11027" s="6" t="n">
        <f aca="false">Sens!K11025-Sens!K11026</f>
        <v>254.067843198129</v>
      </c>
    </row>
    <row r="11028" customFormat="false" ht="15" hidden="false" customHeight="false" outlineLevel="0" collapsed="false">
      <c r="A11028" s="1" t="s">
        <v>975</v>
      </c>
      <c r="B11028" s="0" t="s">
        <v>75</v>
      </c>
      <c r="F11028" s="29" t="n">
        <f aca="false">px*(1+bb_g)^(Sens!F10890-base_fy-mid_yr)</f>
        <v>553.494156066711</v>
      </c>
      <c r="G11028" s="29" t="n">
        <f aca="false">px*(1+bb_g)^(Sens!G10890-base_fy-mid_yr)</f>
        <v>597.773688552047</v>
      </c>
      <c r="H11028" s="29" t="n">
        <f aca="false">px*(1+bb_g)^(Sens!H10890-base_fy-mid_yr)</f>
        <v>645.595583636211</v>
      </c>
      <c r="I11028" s="29" t="n">
        <f aca="false">px*(1+bb_g)^(Sens!I10890-base_fy-mid_yr)</f>
        <v>697.243230327108</v>
      </c>
      <c r="J11028" s="29" t="n">
        <f aca="false">px*(1+bb_g)^(Sens!J10890-base_fy-mid_yr)</f>
        <v>753.022688753277</v>
      </c>
      <c r="K11028" s="29" t="n">
        <f aca="false">px*(1+bb_g)^(Sens!K10890-base_fy-mid_yr)</f>
        <v>813.264503853539</v>
      </c>
    </row>
    <row r="11029" customFormat="false" ht="15" hidden="false" customHeight="false" outlineLevel="0" collapsed="false">
      <c r="A11029" s="1" t="s">
        <v>976</v>
      </c>
      <c r="B11029" s="1" t="s">
        <v>81</v>
      </c>
      <c r="E11029" s="14" t="n">
        <f aca="false">sh_out26</f>
        <v>7.427</v>
      </c>
      <c r="F11029" s="14" t="n">
        <f aca="false">Sens!E11029+sh_iss-Sens!F11023/Sens!F11028</f>
        <v>7.472</v>
      </c>
      <c r="G11029" s="14" t="n">
        <f aca="false">Sens!F11029+sh_iss-Sens!G11023/Sens!G11028</f>
        <v>7.517</v>
      </c>
      <c r="H11029" s="14" t="n">
        <f aca="false">Sens!G11029+sh_iss-Sens!H11023/Sens!H11028</f>
        <v>7.55169679747878</v>
      </c>
      <c r="I11029" s="14" t="n">
        <f aca="false">Sens!H11029+sh_iss-Sens!I11023/Sens!I11028</f>
        <v>7.56475528979351</v>
      </c>
      <c r="J11029" s="14" t="n">
        <f aca="false">Sens!I11029+sh_iss-Sens!J11023/Sens!J11028</f>
        <v>7.58017981971455</v>
      </c>
      <c r="K11029" s="14" t="n">
        <f aca="false">Sens!J11029+sh_iss-Sens!K11023/Sens!K11028</f>
        <v>7.59779512519699</v>
      </c>
    </row>
    <row r="11030" customFormat="false" ht="15" hidden="false" customHeight="false" outlineLevel="0" collapsed="false">
      <c r="A11030" s="1" t="s">
        <v>977</v>
      </c>
      <c r="B11030" s="1" t="s">
        <v>81</v>
      </c>
      <c r="E11030" s="14" t="n">
        <f aca="false">sh_dil26</f>
        <v>7.453</v>
      </c>
      <c r="F11030" s="14" t="n">
        <f aca="false">(Sens!E11029+Sens!F11029)/2+dil_gap</f>
        <v>7.4735</v>
      </c>
      <c r="G11030" s="14" t="n">
        <f aca="false">(Sens!F11029+Sens!G11029)/2+dil_gap</f>
        <v>7.5185</v>
      </c>
      <c r="H11030" s="14" t="n">
        <f aca="false">(Sens!G11029+Sens!H11029)/2+dil_gap</f>
        <v>7.55834839873939</v>
      </c>
      <c r="I11030" s="14" t="n">
        <f aca="false">(Sens!H11029+Sens!I11029)/2+dil_gap</f>
        <v>7.58222604363615</v>
      </c>
      <c r="J11030" s="14" t="n">
        <f aca="false">(Sens!I11029+Sens!J11029)/2+dil_gap</f>
        <v>7.59646755475403</v>
      </c>
      <c r="K11030" s="14" t="n">
        <f aca="false">(Sens!J11029+Sens!K11029)/2+dil_gap</f>
        <v>7.61298747245577</v>
      </c>
    </row>
    <row r="11031" customFormat="false" ht="17.15" hidden="false" customHeight="false" outlineLevel="0" collapsed="false">
      <c r="A11031" s="1" t="s">
        <v>978</v>
      </c>
      <c r="B11031" s="0" t="s">
        <v>98</v>
      </c>
      <c r="C11031" s="6" t="n">
        <f aca="false">SUM(Sens!F11021:J11021)</f>
        <v>149.202024960506</v>
      </c>
    </row>
    <row r="11032" customFormat="false" ht="15" hidden="false" customHeight="false" outlineLevel="0" collapsed="false">
      <c r="A11032" s="23" t="s">
        <v>945</v>
      </c>
      <c r="B11032" s="30" t="s">
        <v>98</v>
      </c>
      <c r="C11032" s="24" t="n">
        <f aca="false">Sens!$C$11031-(Sens!F11021+Sens!G11021+Sens!H11021+Sens!I11021+Sens!J11021)</f>
        <v>0</v>
      </c>
      <c r="D11032" s="30"/>
      <c r="E11032" s="30"/>
      <c r="F11032" s="30"/>
      <c r="G11032" s="30"/>
      <c r="H11032" s="30"/>
      <c r="I11032" s="30"/>
      <c r="J11032" s="30"/>
      <c r="K11032" s="30"/>
    </row>
    <row r="11033" customFormat="false" ht="17.15" hidden="false" customHeight="false" outlineLevel="0" collapsed="false">
      <c r="A11033" s="1" t="s">
        <v>939</v>
      </c>
      <c r="B11033" s="1" t="s">
        <v>979</v>
      </c>
      <c r="C11033" s="32" t="str">
        <f aca="false">IF(SUM(Sens!F11024:J11024)&gt;0.05,"需要舉債 "&amp;TEXT(SUM(Sens!F11024:J11024),"0.0")&amp;" 十億美元","不需舉債")&amp;"；"&amp;IF(SUM(Sens!F11023:J11023)&lt;COUNT(Sens!F11023:J11023)*bb_target-0.05,"回購較每年 "&amp;TEXT(bb_target,"0.0")&amp;" 的目標少 "&amp;TEXT(COUNT(Sens!F11023:J11023)*bb_target-SUM(Sens!F11023:J11023),"0.0")&amp;" 十億美元（"&amp;TEXT(COUNTIF(Sens!F11023:J11023,"&lt;"&amp;(bb_target-0.05)),"0")&amp;" 年減少）","回購不減")</f>
        <v>需要舉債 27.4 十億美元；回購較每年 22.3 的目標少 60.2 十億美元（3 年減少）</v>
      </c>
    </row>
    <row r="11034" customFormat="false" ht="17.15" hidden="false" customHeight="false" outlineLevel="0" collapsed="false">
      <c r="A11034" s="3" t="s">
        <v>1546</v>
      </c>
    </row>
    <row r="11035" customFormat="false" ht="15" hidden="false" customHeight="false" outlineLevel="0" collapsed="false">
      <c r="A11035" s="4" t="s">
        <v>43</v>
      </c>
      <c r="B11035" s="4" t="s">
        <v>65</v>
      </c>
      <c r="C11035" s="20" t="s">
        <v>799</v>
      </c>
      <c r="D11035" s="20" t="s">
        <v>800</v>
      </c>
      <c r="E11035" s="20" t="s">
        <v>801</v>
      </c>
      <c r="F11035" s="20" t="s">
        <v>802</v>
      </c>
      <c r="G11035" s="20" t="s">
        <v>803</v>
      </c>
      <c r="H11035" s="20" t="s">
        <v>804</v>
      </c>
      <c r="I11035" s="20" t="s">
        <v>805</v>
      </c>
      <c r="J11035" s="20" t="s">
        <v>806</v>
      </c>
      <c r="K11035" s="20" t="s">
        <v>807</v>
      </c>
      <c r="L11035" s="4" t="s">
        <v>47</v>
      </c>
    </row>
    <row r="11036" customFormat="false" ht="15" hidden="false" customHeight="false" outlineLevel="0" collapsed="false">
      <c r="A11036" s="1" t="s">
        <v>1057</v>
      </c>
      <c r="B11036" s="1" t="s">
        <v>235</v>
      </c>
      <c r="F11036" s="36" t="n">
        <f aca="false">Sens!F10890-base_fy-mid_yr</f>
        <v>0.5</v>
      </c>
      <c r="G11036" s="36" t="n">
        <f aca="false">Sens!G10890-base_fy-mid_yr</f>
        <v>1.5</v>
      </c>
      <c r="H11036" s="36" t="n">
        <f aca="false">Sens!H10890-base_fy-mid_yr</f>
        <v>2.5</v>
      </c>
      <c r="I11036" s="36" t="n">
        <f aca="false">Sens!I10890-base_fy-mid_yr</f>
        <v>3.5</v>
      </c>
      <c r="J11036" s="36" t="n">
        <f aca="false">Sens!J10890-base_fy-mid_yr</f>
        <v>4.5</v>
      </c>
      <c r="K11036" s="36" t="n">
        <f aca="false">Sens!K10890-base_fy-mid_yr</f>
        <v>5.5</v>
      </c>
    </row>
    <row r="11037" customFormat="false" ht="15" hidden="false" customHeight="false" outlineLevel="0" collapsed="false">
      <c r="A11037" s="1" t="s">
        <v>1058</v>
      </c>
      <c r="B11037" s="0" t="s">
        <v>185</v>
      </c>
      <c r="F11037" s="14" t="n">
        <f aca="false">1/(1+wacc)^Sens!F11036</f>
        <v>0.952193373608246</v>
      </c>
      <c r="G11037" s="14" t="n">
        <f aca="false">1/(1+wacc)^Sens!G11036</f>
        <v>0.863327280626589</v>
      </c>
      <c r="H11037" s="14" t="n">
        <f aca="false">1/(1+wacc)^Sens!H11036</f>
        <v>0.782754862754115</v>
      </c>
      <c r="I11037" s="14" t="n">
        <f aca="false">1/(1+wacc)^Sens!I11036</f>
        <v>0.709702089711011</v>
      </c>
      <c r="J11037" s="14" t="n">
        <f aca="false">1/(1+wacc)^Sens!J11036</f>
        <v>0.643467169744551</v>
      </c>
      <c r="K11037" s="14" t="n">
        <f aca="false">1/(1+wacc)^Sens!K11036</f>
        <v>0.583413807767797</v>
      </c>
    </row>
    <row r="11038" customFormat="false" ht="17.15" hidden="false" customHeight="false" outlineLevel="0" collapsed="false">
      <c r="A11038" s="1" t="s">
        <v>1059</v>
      </c>
      <c r="B11038" s="0" t="s">
        <v>98</v>
      </c>
      <c r="F11038" s="6" t="n">
        <f aca="false">Sens!F11011-Sens!F11009-Sens!F11015+Sens!F10994*(1-tax_f)</f>
        <v>-5.63675983482438</v>
      </c>
      <c r="G11038" s="6" t="n">
        <f aca="false">Sens!G11011-Sens!G11009-Sens!G11015+Sens!G10994*(1-tax_f)</f>
        <v>26.4719088443722</v>
      </c>
      <c r="H11038" s="6" t="n">
        <f aca="false">Sens!H11011-Sens!H11009-Sens!H11015+Sens!H10994*(1-tax_f)</f>
        <v>62.6895641974639</v>
      </c>
      <c r="I11038" s="6" t="n">
        <f aca="false">Sens!I11011-Sens!I11009-Sens!I11015+Sens!I10994*(1-tax_f)</f>
        <v>130.112416972675</v>
      </c>
      <c r="J11038" s="6" t="n">
        <f aca="false">Sens!J11011-Sens!J11009-Sens!J11015+Sens!J10994*(1-tax_f)</f>
        <v>200.817805008898</v>
      </c>
      <c r="K11038" s="6" t="n">
        <f aca="false">Sens!K11011-Sens!K11009-Sens!K11015+Sens!K10994*(1-tax_f)</f>
        <v>232.80417972648</v>
      </c>
      <c r="L11038" s="1" t="s">
        <v>1060</v>
      </c>
    </row>
    <row r="11039" customFormat="false" ht="15" hidden="false" customHeight="false" outlineLevel="0" collapsed="false">
      <c r="A11039" s="1" t="s">
        <v>1061</v>
      </c>
      <c r="B11039" s="0" t="s">
        <v>98</v>
      </c>
      <c r="F11039" s="6" t="n">
        <f aca="false">Sens!F11038*Sens!F11037</f>
        <v>-5.36728536334089</v>
      </c>
      <c r="G11039" s="6" t="n">
        <f aca="false">Sens!G11038*Sens!G11037</f>
        <v>22.8539210756068</v>
      </c>
      <c r="H11039" s="6" t="n">
        <f aca="false">Sens!H11038*Sens!H11037</f>
        <v>49.0705612195012</v>
      </c>
      <c r="I11039" s="6" t="n">
        <f aca="false">Sens!I11038*Sens!I11037</f>
        <v>92.3410542228581</v>
      </c>
      <c r="J11039" s="6" t="n">
        <f aca="false">Sens!J11038*Sens!J11037</f>
        <v>129.219664623389</v>
      </c>
      <c r="K11039" s="6" t="n">
        <f aca="false">Sens!K11038*Sens!K11037</f>
        <v>135.821172958484</v>
      </c>
    </row>
    <row r="11040" customFormat="false" ht="17.15" hidden="false" customHeight="false" outlineLevel="0" collapsed="false">
      <c r="A11040" s="1" t="s">
        <v>1062</v>
      </c>
      <c r="B11040" s="0" t="s">
        <v>98</v>
      </c>
      <c r="C11040" s="6" t="n">
        <f aca="false">SUM(Sens!F11039:K11039)</f>
        <v>423.939088736498</v>
      </c>
    </row>
    <row r="11041" customFormat="false" ht="17.15" hidden="false" customHeight="false" outlineLevel="0" collapsed="false">
      <c r="A11041" s="1" t="s">
        <v>1063</v>
      </c>
      <c r="B11041" s="0" t="s">
        <v>98</v>
      </c>
      <c r="C11041" s="6" t="n">
        <f aca="false">Sens!K10980*(1+g_tv)*(1-tax_f)</f>
        <v>247.114573070406</v>
      </c>
    </row>
    <row r="11042" customFormat="false" ht="17.15" hidden="false" customHeight="false" outlineLevel="0" collapsed="false">
      <c r="A11042" s="1" t="s">
        <v>1064</v>
      </c>
      <c r="B11042" s="0" t="s">
        <v>98</v>
      </c>
      <c r="C11042" s="6" t="n">
        <f aca="false">Sens!$C$11041*(1-g_tv/(wacc+ronic_prem))</f>
        <v>175.093599081111</v>
      </c>
    </row>
    <row r="11043" customFormat="false" ht="17.15" hidden="false" customHeight="false" outlineLevel="0" collapsed="false">
      <c r="A11043" s="1" t="s">
        <v>1065</v>
      </c>
      <c r="B11043" s="0" t="s">
        <v>98</v>
      </c>
      <c r="C11043" s="6" t="n">
        <f aca="false">Sens!$C$11042/(wacc-g_tv)</f>
        <v>2400.6991329765</v>
      </c>
    </row>
    <row r="11044" customFormat="false" ht="15" hidden="false" customHeight="false" outlineLevel="0" collapsed="false">
      <c r="A11044" s="1" t="s">
        <v>1066</v>
      </c>
      <c r="B11044" s="0" t="s">
        <v>98</v>
      </c>
      <c r="C11044" s="6" t="n">
        <f aca="false">Sens!$C$11043/(1+wacc)^(Sens!K11036+mid_yr)</f>
        <v>1333.64301266931</v>
      </c>
    </row>
    <row r="11045" customFormat="false" ht="17.15" hidden="false" customHeight="false" outlineLevel="0" collapsed="false">
      <c r="A11045" s="0" t="s">
        <v>986</v>
      </c>
      <c r="B11045" s="0" t="s">
        <v>98</v>
      </c>
      <c r="C11045" s="6" t="n">
        <f aca="false">Sens!$C$11040+Sens!$C$11044</f>
        <v>1757.58210140581</v>
      </c>
    </row>
    <row r="11046" customFormat="false" ht="15" hidden="false" customHeight="false" outlineLevel="0" collapsed="false">
      <c r="A11046" s="1" t="s">
        <v>987</v>
      </c>
      <c r="B11046" s="0" t="s">
        <v>129</v>
      </c>
      <c r="C11046" s="7" t="n">
        <f aca="false">Sens!$C$11044/Sens!$C$11045</f>
        <v>0.758794147711559</v>
      </c>
    </row>
    <row r="11047" customFormat="false" ht="17.15" hidden="false" customHeight="false" outlineLevel="0" collapsed="false">
      <c r="A11047" s="1" t="s">
        <v>1067</v>
      </c>
      <c r="B11047" s="0" t="s">
        <v>98</v>
      </c>
      <c r="C11047" s="6" t="n">
        <f aca="false">Sens!$C$11045+Sens!E11027-Sens!E11016+oai_v</f>
        <v>1892.09510140581</v>
      </c>
    </row>
    <row r="11048" customFormat="false" ht="17.15" hidden="false" customHeight="false" outlineLevel="0" collapsed="false">
      <c r="A11048" s="0" t="s">
        <v>994</v>
      </c>
      <c r="B11048" s="0" t="s">
        <v>75</v>
      </c>
      <c r="C11048" s="5" t="n">
        <f aca="false">Sens!$C$11047/sh_dil26</f>
        <v>253.870267195198</v>
      </c>
    </row>
    <row r="11049" customFormat="false" ht="15" hidden="false" customHeight="false" outlineLevel="0" collapsed="false">
      <c r="A11049" s="1" t="s">
        <v>1068</v>
      </c>
      <c r="B11049" s="0" t="s">
        <v>75</v>
      </c>
      <c r="C11049" s="8" t="n">
        <f aca="false">dps_27+Sens!G11019*roll_div_q/q_per_yr</f>
        <v>4.8895</v>
      </c>
    </row>
    <row r="11050" customFormat="false" ht="17.15" hidden="false" customHeight="false" outlineLevel="0" collapsed="false">
      <c r="A11050" s="0" t="s">
        <v>1069</v>
      </c>
      <c r="B11050" s="0" t="s">
        <v>75</v>
      </c>
      <c r="C11050" s="5" t="n">
        <f aca="false">Sens!$C$11048*(1+wacc)^t_roll-Sens!$C$11049</f>
        <v>284.201049862994</v>
      </c>
    </row>
    <row r="11051" customFormat="false" ht="17.15" hidden="false" customHeight="false" outlineLevel="0" collapsed="false">
      <c r="A11051" s="1" t="s">
        <v>1070</v>
      </c>
      <c r="B11051" s="0" t="s">
        <v>129</v>
      </c>
      <c r="F11051" s="7" t="n">
        <f aca="false">Sens!F11006/(Sens!F10951-Sens!F10907)</f>
        <v>0.0711249492932859</v>
      </c>
      <c r="G11051" s="7" t="n">
        <f aca="false">Sens!G11006/(Sens!G10951-Sens!G10907)</f>
        <v>0.0682056358936019</v>
      </c>
      <c r="H11051" s="7" t="n">
        <f aca="false">Sens!H11006/(Sens!H10951-Sens!H10907)</f>
        <v>0.0665728671394982</v>
      </c>
      <c r="I11051" s="7" t="n">
        <f aca="false">Sens!I11006/(Sens!I10951-Sens!I10907)</f>
        <v>0.0660675121571349</v>
      </c>
      <c r="J11051" s="7" t="n">
        <f aca="false">Sens!J11006/(Sens!J10951-Sens!J10907)</f>
        <v>0.066457064796127</v>
      </c>
      <c r="K11051" s="7" t="n">
        <f aca="false">Sens!K11006/(Sens!K10951-Sens!K10907)</f>
        <v>0.067487665344197</v>
      </c>
    </row>
    <row r="11052" customFormat="false" ht="17.15" hidden="false" customHeight="false" outlineLevel="0" collapsed="false">
      <c r="A11052" s="0" t="s">
        <v>1071</v>
      </c>
      <c r="B11052" s="0" t="s">
        <v>98</v>
      </c>
      <c r="F11052" s="6" t="n">
        <f aca="false">Sens!F10936*(al_m365+Sens!F11051+sbc_r)</f>
        <v>83.1733913345795</v>
      </c>
      <c r="G11052" s="6" t="n">
        <f aca="false">Sens!G10936*(al_m365+Sens!G11051+sbc_r)</f>
        <v>93.5216041557858</v>
      </c>
      <c r="H11052" s="6" t="n">
        <f aca="false">Sens!H10936*(al_m365+Sens!H11051+sbc_r)</f>
        <v>104.028678012036</v>
      </c>
      <c r="I11052" s="6" t="n">
        <f aca="false">Sens!I10936*(al_m365+Sens!I11051+sbc_r)</f>
        <v>114.018025478582</v>
      </c>
      <c r="J11052" s="6" t="n">
        <f aca="false">Sens!J10936*(al_m365+Sens!J11051+sbc_r)</f>
        <v>123.300532377454</v>
      </c>
      <c r="K11052" s="6" t="n">
        <f aca="false">Sens!K10936*(al_m365+Sens!K11051+sbc_r)</f>
        <v>132.182902866392</v>
      </c>
      <c r="L11052" s="11" t="s">
        <v>1072</v>
      </c>
    </row>
    <row r="11053" customFormat="false" ht="17.15" hidden="false" customHeight="false" outlineLevel="0" collapsed="false">
      <c r="A11053" s="0" t="s">
        <v>1073</v>
      </c>
      <c r="B11053" s="0" t="s">
        <v>98</v>
      </c>
      <c r="F11053" s="6" t="n">
        <f aca="false">Sens!F10937*(al_lic+Sens!F11051+sbc_r)</f>
        <v>33.5436780522062</v>
      </c>
      <c r="G11053" s="6" t="n">
        <f aca="false">Sens!G10937*(al_lic+Sens!G11051+sbc_r)</f>
        <v>34.8451675868956</v>
      </c>
      <c r="H11053" s="6" t="n">
        <f aca="false">Sens!H10937*(al_lic+Sens!H11051+sbc_r)</f>
        <v>36.0570723888158</v>
      </c>
      <c r="I11053" s="6" t="n">
        <f aca="false">Sens!I10937*(al_lic+Sens!I11051+sbc_r)</f>
        <v>37.1590455720274</v>
      </c>
      <c r="J11053" s="6" t="n">
        <f aca="false">Sens!J10937*(al_lic+Sens!J11051+sbc_r)</f>
        <v>38.1271945896293</v>
      </c>
      <c r="K11053" s="6" t="n">
        <f aca="false">Sens!K10937*(al_lic+Sens!K11051+sbc_r)</f>
        <v>38.9366791285909</v>
      </c>
    </row>
    <row r="11054" customFormat="false" ht="17.15" hidden="false" customHeight="false" outlineLevel="0" collapsed="false">
      <c r="A11054" s="0" t="s">
        <v>1074</v>
      </c>
      <c r="B11054" s="0" t="s">
        <v>98</v>
      </c>
      <c r="F11054" s="6" t="n">
        <f aca="false">Sens!F10939*(al_ind+Sens!F11051+sbc_r)</f>
        <v>9.13309297469018</v>
      </c>
      <c r="G11054" s="6" t="n">
        <f aca="false">Sens!G10939*(al_ind+Sens!G11051+sbc_r)</f>
        <v>9.91225672279568</v>
      </c>
      <c r="H11054" s="6" t="n">
        <f aca="false">Sens!H10939*(al_ind+Sens!H11051+sbc_r)</f>
        <v>10.7346335280165</v>
      </c>
      <c r="I11054" s="6" t="n">
        <f aca="false">Sens!I10939*(al_ind+Sens!I11051+sbc_r)</f>
        <v>11.5956467900377</v>
      </c>
      <c r="J11054" s="6" t="n">
        <f aca="false">Sens!J10939*(al_ind+Sens!J11051+sbc_r)</f>
        <v>12.4864209602569</v>
      </c>
      <c r="K11054" s="6" t="n">
        <f aca="false">Sens!K10939*(al_ind+Sens!K11051+sbc_r)</f>
        <v>13.3945664061964</v>
      </c>
    </row>
    <row r="11055" customFormat="false" ht="17.15" hidden="false" customHeight="false" outlineLevel="0" collapsed="false">
      <c r="A11055" s="0" t="s">
        <v>1075</v>
      </c>
      <c r="B11055" s="0" t="s">
        <v>98</v>
      </c>
      <c r="F11055" s="6" t="n">
        <f aca="false">Sens!F10941*(al_fro+Sens!F11051+sbc_r)</f>
        <v>3.59481745930939</v>
      </c>
      <c r="G11055" s="6" t="n">
        <f aca="false">Sens!G10941*(al_fro+Sens!G11051+sbc_r)</f>
        <v>3.80572055234875</v>
      </c>
      <c r="H11055" s="6" t="n">
        <f aca="false">Sens!H10941*(al_fro+Sens!H11051+sbc_r)</f>
        <v>4.04517733360351</v>
      </c>
      <c r="I11055" s="6" t="n">
        <f aca="false">Sens!I10941*(al_fro+Sens!I11051+sbc_r)</f>
        <v>4.31542779816679</v>
      </c>
      <c r="J11055" s="6" t="n">
        <f aca="false">Sens!J10941*(al_fro+Sens!J11051+sbc_r)</f>
        <v>4.61795832337013</v>
      </c>
      <c r="K11055" s="6" t="n">
        <f aca="false">Sens!K10941*(al_fro+Sens!K11051+sbc_r)</f>
        <v>4.95382540924331</v>
      </c>
    </row>
    <row r="11056" customFormat="false" ht="17.15" hidden="false" customHeight="false" outlineLevel="0" collapsed="false">
      <c r="A11056" s="0" t="s">
        <v>1076</v>
      </c>
      <c r="B11056" s="0" t="s">
        <v>98</v>
      </c>
      <c r="F11056" s="6" t="n">
        <f aca="false">Sens!F10944*(al_srch+Sens!F11051+sbc_r)</f>
        <v>11.2795017791442</v>
      </c>
      <c r="G11056" s="6" t="n">
        <f aca="false">Sens!G10944*(al_srch+Sens!G11051+sbc_r)</f>
        <v>12.3572862210791</v>
      </c>
      <c r="H11056" s="6" t="n">
        <f aca="false">Sens!H10944*(al_srch+Sens!H11051+sbc_r)</f>
        <v>13.4777219112382</v>
      </c>
      <c r="I11056" s="6" t="n">
        <f aca="false">Sens!I10944*(al_srch+Sens!I11051+sbc_r)</f>
        <v>14.6281732958492</v>
      </c>
      <c r="J11056" s="6" t="n">
        <f aca="false">Sens!J10944*(al_srch+Sens!J11051+sbc_r)</f>
        <v>15.7896606031403</v>
      </c>
      <c r="K11056" s="6" t="n">
        <f aca="false">Sens!K10944*(al_srch+Sens!K11051+sbc_r)</f>
        <v>16.9380527977742</v>
      </c>
    </row>
    <row r="11057" customFormat="false" ht="17.15" hidden="false" customHeight="false" outlineLevel="0" collapsed="false">
      <c r="A11057" s="0" t="s">
        <v>1077</v>
      </c>
      <c r="B11057" s="0" t="s">
        <v>98</v>
      </c>
      <c r="F11057" s="6" t="n">
        <f aca="false">Sens!F10913-Sens!F10914+Sens!F10994</f>
        <v>38.6797715123049</v>
      </c>
      <c r="G11057" s="6" t="n">
        <f aca="false">Sens!G10913-Sens!G10914+Sens!G10994</f>
        <v>67.9698044367775</v>
      </c>
      <c r="H11057" s="6" t="n">
        <f aca="false">Sens!H10913-Sens!H10914+Sens!H10994</f>
        <v>94.4027386785771</v>
      </c>
      <c r="I11057" s="6" t="n">
        <f aca="false">Sens!I10913-Sens!I10914+Sens!I10994</f>
        <v>124.629799296032</v>
      </c>
      <c r="J11057" s="6" t="n">
        <f aca="false">Sens!J10913-Sens!J10914+Sens!J10994</f>
        <v>146.1886418102</v>
      </c>
      <c r="K11057" s="6" t="n">
        <f aca="false">Sens!K10913-Sens!K10914+Sens!K10994</f>
        <v>160.310017660072</v>
      </c>
    </row>
    <row r="11058" customFormat="false" ht="17.15" hidden="false" customHeight="false" outlineLevel="0" collapsed="false">
      <c r="A11058" s="0" t="s">
        <v>1078</v>
      </c>
      <c r="B11058" s="0" t="s">
        <v>98</v>
      </c>
      <c r="F11058" s="6" t="n">
        <f aca="false">Sens!F10973+Sens!F10994+Sens!F10924+Sens!F11051*(Sens!F10943-Sens!F10907)+sbc_r*Sens!F10943</f>
        <v>228.418626791319</v>
      </c>
      <c r="G11058" s="6" t="n">
        <f aca="false">Sens!G10973+Sens!G10994+Sens!G10924+Sens!G11051*(Sens!G10943-Sens!G10907)+sbc_r*Sens!G10943</f>
        <v>282.537501358554</v>
      </c>
      <c r="H11058" s="6" t="n">
        <f aca="false">Sens!H10973+Sens!H10994+Sens!H10924+Sens!H11051*(Sens!H10943-Sens!H10907)+sbc_r*Sens!H10943</f>
        <v>334.067343979476</v>
      </c>
      <c r="I11058" s="6" t="n">
        <f aca="false">Sens!I10973+Sens!I10994+Sens!I10924+Sens!I11051*(Sens!I10943-Sens!I10907)+sbc_r*Sens!I10943</f>
        <v>388.770409243582</v>
      </c>
      <c r="J11058" s="6" t="n">
        <f aca="false">Sens!J10973+Sens!J10994+Sens!J10924+Sens!J11051*(Sens!J10943-Sens!J10907)+sbc_r*Sens!J10943</f>
        <v>432.90752998738</v>
      </c>
      <c r="K11058" s="6" t="n">
        <f aca="false">Sens!K10973+Sens!K10994+Sens!K10924+Sens!K11051*(Sens!K10943-Sens!K10907)+sbc_r*Sens!K10943</f>
        <v>467.312458206349</v>
      </c>
    </row>
    <row r="11059" customFormat="false" ht="17.15" hidden="false" customHeight="false" outlineLevel="0" collapsed="false">
      <c r="A11059" s="0" t="s">
        <v>1079</v>
      </c>
      <c r="B11059" s="0" t="s">
        <v>98</v>
      </c>
      <c r="F11059" s="6" t="n">
        <f aca="false">Sens!F11058-Sens!F11052-Sens!F11053-Sens!F11054-Sens!F11055-Sens!F11057</f>
        <v>60.2938754582284</v>
      </c>
      <c r="G11059" s="6" t="n">
        <f aca="false">Sens!G11058-Sens!G11052-Sens!G11053-Sens!G11054-Sens!G11055-Sens!G11057</f>
        <v>72.482947903951</v>
      </c>
      <c r="H11059" s="6" t="n">
        <f aca="false">Sens!H11058-Sens!H11052-Sens!H11053-Sens!H11054-Sens!H11055-Sens!H11057</f>
        <v>84.7990440384268</v>
      </c>
      <c r="I11059" s="6" t="n">
        <f aca="false">Sens!I11058-Sens!I11052-Sens!I11053-Sens!I11054-Sens!I11055-Sens!I11057</f>
        <v>97.0524643087367</v>
      </c>
      <c r="J11059" s="6" t="n">
        <f aca="false">Sens!J11058-Sens!J11052-Sens!J11053-Sens!J11054-Sens!J11055-Sens!J11057</f>
        <v>108.186781926469</v>
      </c>
      <c r="K11059" s="6" t="n">
        <f aca="false">Sens!K11058-Sens!K11052-Sens!K11053-Sens!K11054-Sens!K11055-Sens!K11057</f>
        <v>117.534466735856</v>
      </c>
    </row>
    <row r="11060" customFormat="false" ht="17.15" hidden="false" customHeight="false" outlineLevel="0" collapsed="false">
      <c r="A11060" s="0" t="s">
        <v>1080</v>
      </c>
      <c r="B11060" s="0" t="s">
        <v>98</v>
      </c>
      <c r="F11060" s="6" t="n">
        <f aca="false">Sens!F10975+Sens!F11051*Sens!F10950+sbc_r*Sens!F10950</f>
        <v>26.4078975567445</v>
      </c>
      <c r="G11060" s="6" t="n">
        <f aca="false">Sens!G10975+Sens!G11051*Sens!G10950+sbc_r*Sens!G10950</f>
        <v>27.0958098302559</v>
      </c>
      <c r="H11060" s="6" t="n">
        <f aca="false">Sens!H10975+Sens!H11051*Sens!H10950+sbc_r*Sens!H10950</f>
        <v>28.0838432620845</v>
      </c>
      <c r="I11060" s="6" t="n">
        <f aca="false">Sens!I10975+Sens!I11051*Sens!I10950+sbc_r*Sens!I10950</f>
        <v>29.3420843869928</v>
      </c>
      <c r="J11060" s="6" t="n">
        <f aca="false">Sens!J10975+Sens!J11051*Sens!J10950+sbc_r*Sens!J10950</f>
        <v>30.8455198706466</v>
      </c>
      <c r="K11060" s="6" t="n">
        <f aca="false">Sens!K10975+Sens!K11051*Sens!K10950+sbc_r*Sens!K10950</f>
        <v>32.5757662135317</v>
      </c>
    </row>
    <row r="11061" customFormat="false" ht="17.15" hidden="false" customHeight="false" outlineLevel="0" collapsed="false">
      <c r="A11061" s="0" t="s">
        <v>1081</v>
      </c>
      <c r="B11061" s="0" t="s">
        <v>98</v>
      </c>
      <c r="F11061" s="6" t="n">
        <f aca="false">(Sens!F11060-Sens!F11056)*Sens!F10946/(Sens!F10946+Sens!F10948)</f>
        <v>8.31302426927077</v>
      </c>
      <c r="G11061" s="6" t="n">
        <f aca="false">(Sens!G11060-Sens!G11056)*Sens!G10946/(Sens!G10946+Sens!G10948)</f>
        <v>7.99275179067363</v>
      </c>
      <c r="H11061" s="6" t="n">
        <f aca="false">(Sens!H11060-Sens!H11056)*Sens!H10946/(Sens!H10946+Sens!H10948)</f>
        <v>7.87031282183129</v>
      </c>
      <c r="I11061" s="6" t="n">
        <f aca="false">(Sens!I11060-Sens!I11056)*Sens!I10946/(Sens!I10946+Sens!I10948)</f>
        <v>7.93102714358592</v>
      </c>
      <c r="J11061" s="6" t="n">
        <f aca="false">(Sens!J11060-Sens!J11056)*Sens!J10946/(Sens!J10946+Sens!J10948)</f>
        <v>8.17153930862419</v>
      </c>
      <c r="K11061" s="6" t="n">
        <f aca="false">(Sens!K11060-Sens!K11056)*Sens!K10946/(Sens!K10946+Sens!K10948)</f>
        <v>8.5996888071739</v>
      </c>
    </row>
    <row r="11062" customFormat="false" ht="17.15" hidden="false" customHeight="false" outlineLevel="0" collapsed="false">
      <c r="A11062" s="0" t="s">
        <v>1082</v>
      </c>
      <c r="B11062" s="0" t="s">
        <v>98</v>
      </c>
      <c r="F11062" s="6" t="n">
        <f aca="false">Sens!F11060-Sens!F11056-Sens!F11061</f>
        <v>6.81537150832954</v>
      </c>
      <c r="G11062" s="6" t="n">
        <f aca="false">Sens!G11060-Sens!G11056-Sens!G11061</f>
        <v>6.74577181850314</v>
      </c>
      <c r="H11062" s="6" t="n">
        <f aca="false">Sens!H11060-Sens!H11056-Sens!H11061</f>
        <v>6.73580852901502</v>
      </c>
      <c r="I11062" s="6" t="n">
        <f aca="false">Sens!I11060-Sens!I11056-Sens!I11061</f>
        <v>6.78288394755764</v>
      </c>
      <c r="J11062" s="6" t="n">
        <f aca="false">Sens!J11060-Sens!J11056-Sens!J11061</f>
        <v>6.8843199588821</v>
      </c>
      <c r="K11062" s="6" t="n">
        <f aca="false">Sens!K11060-Sens!K11056-Sens!K11061</f>
        <v>7.03802460858358</v>
      </c>
    </row>
    <row r="11063" customFormat="false" ht="17.15" hidden="false" customHeight="false" outlineLevel="0" collapsed="false">
      <c r="A11063" s="0" t="s">
        <v>1083</v>
      </c>
      <c r="B11063" s="0" t="s">
        <v>98</v>
      </c>
      <c r="F11063" s="6" t="n">
        <f aca="false">Sens!F11057-tax_f*(Sens!F11057-Sens!F10924)-Sens!F10921</f>
        <v>-122.579081185432</v>
      </c>
      <c r="G11063" s="6" t="n">
        <f aca="false">Sens!G11057-tax_f*(Sens!G11057-Sens!G10924)-Sens!G10921</f>
        <v>-117.373249511676</v>
      </c>
      <c r="H11063" s="6" t="n">
        <f aca="false">Sens!H11057-tax_f*(Sens!H11057-Sens!H10924)-Sens!H10921</f>
        <v>-95.285890998876</v>
      </c>
      <c r="I11063" s="6" t="n">
        <f aca="false">Sens!I11057-tax_f*(Sens!I11057-Sens!I10924)-Sens!I10921</f>
        <v>-41.8816809509416</v>
      </c>
      <c r="J11063" s="6" t="n">
        <f aca="false">Sens!J11057-tax_f*(Sens!J11057-Sens!J10924)-Sens!J10921</f>
        <v>15.3691414244864</v>
      </c>
      <c r="K11063" s="6" t="n">
        <f aca="false">Sens!K11057-tax_f*(Sens!K11057-Sens!K10924)-Sens!K10921</f>
        <v>34.6668916333283</v>
      </c>
    </row>
    <row r="11064" customFormat="false" ht="17.15" hidden="false" customHeight="false" outlineLevel="0" collapsed="false">
      <c r="A11064" s="0" t="s">
        <v>1084</v>
      </c>
      <c r="B11064" s="0" t="s">
        <v>98</v>
      </c>
      <c r="G11064" s="6" t="n">
        <f aca="false">Sens!G11063/(1+wacc)^(Sens!G11036-(Sens!F11036+mid_yr))</f>
        <v>-111.762030423885</v>
      </c>
      <c r="H11064" s="6" t="n">
        <f aca="false">Sens!H11063/(1+wacc)^(Sens!H11036-(Sens!F11036+mid_yr))</f>
        <v>-82.2629091581412</v>
      </c>
      <c r="I11064" s="6" t="n">
        <f aca="false">Sens!I11063/(1+wacc)^(Sens!I11036-(Sens!F11036+mid_yr))</f>
        <v>-32.7830894246659</v>
      </c>
      <c r="J11064" s="6" t="n">
        <f aca="false">Sens!J11063/(1+wacc)^(Sens!J11036-(Sens!F11036+mid_yr))</f>
        <v>10.907511786022</v>
      </c>
      <c r="K11064" s="6" t="n">
        <f aca="false">Sens!K11063/(1+wacc)^(Sens!K11036-(Sens!F11036+mid_yr))</f>
        <v>22.3070066431388</v>
      </c>
      <c r="L11064" s="1" t="s">
        <v>1085</v>
      </c>
    </row>
    <row r="11065" customFormat="false" ht="17.15" hidden="false" customHeight="false" outlineLevel="0" collapsed="false">
      <c r="A11065" s="0" t="s">
        <v>1086</v>
      </c>
      <c r="B11065" s="0" t="s">
        <v>98</v>
      </c>
      <c r="C11065" s="6" t="n">
        <f aca="false">(Sens!K11057-Sens!K10924)*(1-tax_f)*(1+g_tv)*(1-g_tv/(wacc+ronic_prem))/(wacc-g_tv)/(1+wacc)^(Sens!K11036+mid_yr-(Sens!F11036+mid_yr))</f>
        <v>103.875812758606</v>
      </c>
    </row>
    <row r="11066" customFormat="false" ht="17.15" hidden="false" customHeight="false" outlineLevel="0" collapsed="false">
      <c r="A11066" s="1" t="s">
        <v>1087</v>
      </c>
      <c r="B11066" s="0" t="s">
        <v>98</v>
      </c>
      <c r="C11066" s="6" t="n">
        <f aca="false">(SUM(Sens!G11064:K11064)+Sens!$C$11065)*(1+wacc)^(t_roll-(Sens!F11036+mid_yr))</f>
        <v>-92.6297486746201</v>
      </c>
      <c r="L11066" s="11" t="s">
        <v>1088</v>
      </c>
    </row>
    <row r="11067" customFormat="false" ht="17.15" hidden="false" customHeight="false" outlineLevel="0" collapsed="false">
      <c r="A11067" s="1" t="s">
        <v>1089</v>
      </c>
      <c r="B11067" s="0" t="s">
        <v>98</v>
      </c>
      <c r="C11067" s="6" t="n">
        <f aca="false">(w_ntm28*Sens!G10913+(1-w_ntm28)*Sens!H10913)*m_ai</f>
        <v>338.776008390068</v>
      </c>
    </row>
    <row r="11068" customFormat="false" ht="17.15" hidden="false" customHeight="false" outlineLevel="0" collapsed="false">
      <c r="A11068" s="1" t="s">
        <v>1090</v>
      </c>
      <c r="B11068" s="0" t="s">
        <v>98</v>
      </c>
      <c r="C11068" s="6" t="n">
        <f aca="false">(w_ntm28*Sens!G11059+(1-w_ntm28)*Sens!H11059)*m_cloud</f>
        <v>1056.74063299769</v>
      </c>
    </row>
    <row r="11069" customFormat="false" ht="17.15" hidden="false" customHeight="false" outlineLevel="0" collapsed="false">
      <c r="A11069" s="1" t="s">
        <v>1091</v>
      </c>
      <c r="B11069" s="0" t="s">
        <v>98</v>
      </c>
      <c r="C11069" s="6" t="n">
        <f aca="false">(w_ntm28*Sens!G11052+(1-w_ntm28)*Sens!H11052)*m_sw</f>
        <v>1046.71884521784</v>
      </c>
    </row>
    <row r="11070" customFormat="false" ht="17.15" hidden="false" customHeight="false" outlineLevel="0" collapsed="false">
      <c r="A11070" s="1" t="s">
        <v>1092</v>
      </c>
      <c r="B11070" s="0" t="s">
        <v>98</v>
      </c>
      <c r="C11070" s="6" t="n">
        <f aca="false">(w_ntm28*Sens!G11053+(1-w_ntm28)*Sens!H11053)*m_sw</f>
        <v>380.559183855095</v>
      </c>
    </row>
    <row r="11071" customFormat="false" ht="17.15" hidden="false" customHeight="false" outlineLevel="0" collapsed="false">
      <c r="A11071" s="1" t="s">
        <v>1093</v>
      </c>
      <c r="B11071" s="0" t="s">
        <v>98</v>
      </c>
      <c r="C11071" s="6" t="n">
        <f aca="false">(w_ntm28*Sens!G11054+(1-w_ntm28)*Sens!H11054)*m_sw</f>
        <v>109.92370685434</v>
      </c>
    </row>
    <row r="11072" customFormat="false" ht="17.15" hidden="false" customHeight="false" outlineLevel="0" collapsed="false">
      <c r="A11072" s="1" t="s">
        <v>1094</v>
      </c>
      <c r="B11072" s="0" t="s">
        <v>98</v>
      </c>
      <c r="C11072" s="6" t="n">
        <f aca="false">(w_ntm28*Sens!G11055+(1-w_ntm28)*Sens!H11055)*m_sw</f>
        <v>41.9378469572324</v>
      </c>
    </row>
    <row r="11073" customFormat="false" ht="17.15" hidden="false" customHeight="false" outlineLevel="0" collapsed="false">
      <c r="A11073" s="1" t="s">
        <v>1095</v>
      </c>
      <c r="B11073" s="0" t="s">
        <v>98</v>
      </c>
      <c r="C11073" s="6" t="n">
        <f aca="false">(w_ntm28*Sens!G11056+(1-w_ntm28)*Sens!H11056)*m_ads</f>
        <v>115.874729414324</v>
      </c>
    </row>
    <row r="11074" customFormat="false" ht="17.15" hidden="false" customHeight="false" outlineLevel="0" collapsed="false">
      <c r="A11074" s="1" t="s">
        <v>1096</v>
      </c>
      <c r="B11074" s="0" t="s">
        <v>98</v>
      </c>
      <c r="C11074" s="6" t="n">
        <f aca="false">(w_ntm28*Sens!G11061+(1-w_ntm28)*Sens!H11061)*m_game</f>
        <v>100.448521711209</v>
      </c>
    </row>
    <row r="11075" customFormat="false" ht="17.15" hidden="false" customHeight="false" outlineLevel="0" collapsed="false">
      <c r="A11075" s="1" t="s">
        <v>1097</v>
      </c>
      <c r="B11075" s="0" t="s">
        <v>98</v>
      </c>
      <c r="C11075" s="6" t="n">
        <f aca="false">(w_ntm28*Sens!G11062+(1-w_ntm28)*Sens!H11062)*m_pc</f>
        <v>97.5647102184819</v>
      </c>
    </row>
    <row r="11076" customFormat="false" ht="17.15" hidden="false" customHeight="false" outlineLevel="0" collapsed="false">
      <c r="A11076" s="1" t="s">
        <v>1098</v>
      </c>
      <c r="B11076" s="0" t="s">
        <v>98</v>
      </c>
      <c r="C11076" s="6" t="n">
        <f aca="false">Sens!$C$11066+Sens!$C$11068+Sens!$C$11069+Sens!$C$11070+Sens!$C$11071+Sens!$C$11072+Sens!$C$11073+Sens!$C$11074+Sens!$C$11075</f>
        <v>2857.1384285516</v>
      </c>
    </row>
    <row r="11077" customFormat="false" ht="17.15" hidden="false" customHeight="false" outlineLevel="0" collapsed="false">
      <c r="A11077" s="1" t="s">
        <v>1099</v>
      </c>
      <c r="B11077" s="0" t="s">
        <v>98</v>
      </c>
      <c r="C11077" s="6" t="n">
        <f aca="false">(Sens!G11038-Sens!G11063)*t_stub</f>
        <v>46.8974625873143</v>
      </c>
      <c r="L11077" s="1" t="s">
        <v>1100</v>
      </c>
    </row>
    <row r="11078" customFormat="false" ht="17.15" hidden="false" customHeight="false" outlineLevel="0" collapsed="false">
      <c r="A11078" s="1" t="s">
        <v>1014</v>
      </c>
      <c r="B11078" s="0" t="s">
        <v>98</v>
      </c>
      <c r="C11078" s="6" t="n">
        <f aca="false">Sens!F11027+oai_v-Sens!F11016+Sens!$C$11077</f>
        <v>153.769775297474</v>
      </c>
      <c r="L11078" s="1" t="s">
        <v>1101</v>
      </c>
    </row>
    <row r="11079" customFormat="false" ht="17.15" hidden="false" customHeight="false" outlineLevel="0" collapsed="false">
      <c r="A11079" s="1" t="s">
        <v>1102</v>
      </c>
      <c r="B11079" s="0" t="s">
        <v>75</v>
      </c>
      <c r="C11079" s="5" t="n">
        <f aca="false">(Sens!$C$11076+Sens!$C$11078)/(Sens!F11029+dil_gap)-Sens!G11019*roll_div_q/q_per_yr</f>
        <v>400.629150460122</v>
      </c>
      <c r="L11079" s="1" t="s">
        <v>1103</v>
      </c>
    </row>
    <row r="11080" customFormat="false" ht="17.15" hidden="false" customHeight="false" outlineLevel="0" collapsed="false">
      <c r="A11080" s="1" t="s">
        <v>1104</v>
      </c>
      <c r="B11080" s="0" t="s">
        <v>75</v>
      </c>
      <c r="C11080" s="5" t="n">
        <f aca="false">w_dcf*Sens!$C$11050+(1-w_dcf)*Sens!$C$11079</f>
        <v>342.415100161558</v>
      </c>
    </row>
    <row r="11081" customFormat="false" ht="17.15" hidden="false" customHeight="false" outlineLevel="0" collapsed="false">
      <c r="A11081" s="3" t="s">
        <v>1547</v>
      </c>
    </row>
    <row r="11082" customFormat="false" ht="15" hidden="false" customHeight="false" outlineLevel="0" collapsed="false">
      <c r="A11082" s="4" t="s">
        <v>43</v>
      </c>
      <c r="B11082" s="4" t="s">
        <v>65</v>
      </c>
      <c r="C11082" s="20" t="s">
        <v>799</v>
      </c>
      <c r="D11082" s="20" t="s">
        <v>800</v>
      </c>
      <c r="E11082" s="20" t="s">
        <v>801</v>
      </c>
      <c r="F11082" s="20" t="s">
        <v>802</v>
      </c>
      <c r="G11082" s="20" t="s">
        <v>803</v>
      </c>
      <c r="H11082" s="20" t="s">
        <v>804</v>
      </c>
      <c r="I11082" s="20" t="s">
        <v>805</v>
      </c>
      <c r="J11082" s="20" t="s">
        <v>806</v>
      </c>
      <c r="K11082" s="20" t="s">
        <v>807</v>
      </c>
      <c r="L11082" s="4" t="s">
        <v>47</v>
      </c>
    </row>
    <row r="11083" customFormat="false" ht="17.15" hidden="false" customHeight="false" outlineLevel="0" collapsed="false">
      <c r="A11083" s="1" t="s">
        <v>808</v>
      </c>
      <c r="B11083" s="1" t="s">
        <v>235</v>
      </c>
      <c r="C11083" s="28" t="n">
        <v>2024</v>
      </c>
      <c r="D11083" s="28" t="n">
        <v>2025</v>
      </c>
      <c r="E11083" s="28" t="n">
        <v>2026</v>
      </c>
      <c r="F11083" s="28" t="n">
        <v>2027</v>
      </c>
      <c r="G11083" s="28" t="n">
        <v>2028</v>
      </c>
      <c r="H11083" s="28" t="n">
        <v>2029</v>
      </c>
      <c r="I11083" s="28" t="n">
        <v>2030</v>
      </c>
      <c r="J11083" s="28" t="n">
        <v>2031</v>
      </c>
      <c r="K11083" s="28" t="n">
        <v>2032</v>
      </c>
    </row>
    <row r="11084" customFormat="false" ht="17.15" hidden="false" customHeight="false" outlineLevel="0" collapsed="false">
      <c r="A11084" s="1" t="s">
        <v>809</v>
      </c>
      <c r="B11084" s="0" t="s">
        <v>399</v>
      </c>
      <c r="F11084" s="29" t="n">
        <f aca="false">pace</f>
        <v>2527.2</v>
      </c>
      <c r="G11084" s="29" t="n">
        <f aca="false">pace</f>
        <v>2527.2</v>
      </c>
      <c r="H11084" s="29" t="n">
        <f aca="false">pace</f>
        <v>2527.2</v>
      </c>
      <c r="I11084" s="29" t="n">
        <f aca="false">pace+(g_tv*Sens!H11085-pace)*MIN(1,(Sens!I11083-pace_y0)/(pace_y1-pace_y0))</f>
        <v>1793.116</v>
      </c>
      <c r="J11084" s="29" t="n">
        <f aca="false">pace+(g_tv*Sens!I11085-pace)*MIN(1,(Sens!J11083-pace_y0)/(pace_y1-pace_y0))</f>
        <v>1094.89432</v>
      </c>
      <c r="K11084" s="29" t="n">
        <f aca="false">pace+(g_tv*Sens!J11085-pace)*MIN(1,(Sens!K11083-pace_y0)/(pace_y1-pace_y0))</f>
        <v>411.5883096</v>
      </c>
      <c r="L11084" s="11" t="s">
        <v>810</v>
      </c>
    </row>
    <row r="11085" customFormat="false" ht="17.15" hidden="false" customHeight="false" outlineLevel="0" collapsed="false">
      <c r="A11085" s="1" t="s">
        <v>811</v>
      </c>
      <c r="B11085" s="0" t="s">
        <v>399</v>
      </c>
      <c r="C11085" s="29" t="n">
        <f aca="false">mw_ext_24</f>
        <v>640</v>
      </c>
      <c r="D11085" s="29" t="n">
        <f aca="false">mw_ext_25</f>
        <v>1630</v>
      </c>
      <c r="E11085" s="29" t="n">
        <f aca="false">mw_ext_26</f>
        <v>3250</v>
      </c>
      <c r="F11085" s="29" t="n">
        <f aca="false">Sens!E11085+Sens!F11084</f>
        <v>5777.2</v>
      </c>
      <c r="G11085" s="29" t="n">
        <f aca="false">Sens!F11085+Sens!G11084</f>
        <v>8304.4</v>
      </c>
      <c r="H11085" s="29" t="n">
        <f aca="false">Sens!G11085+Sens!H11084</f>
        <v>10831.6</v>
      </c>
      <c r="I11085" s="29" t="n">
        <f aca="false">Sens!H11085+Sens!I11084</f>
        <v>12624.716</v>
      </c>
      <c r="J11085" s="29" t="n">
        <f aca="false">Sens!I11085+Sens!J11084</f>
        <v>13719.61032</v>
      </c>
      <c r="K11085" s="29" t="n">
        <f aca="false">Sens!J11085+Sens!K11084</f>
        <v>14131.1986296</v>
      </c>
      <c r="L11085" s="1" t="s">
        <v>812</v>
      </c>
    </row>
    <row r="11086" customFormat="false" ht="17.15" hidden="false" customHeight="false" outlineLevel="0" collapsed="false">
      <c r="A11086" s="1" t="s">
        <v>813</v>
      </c>
      <c r="B11086" s="0" t="s">
        <v>399</v>
      </c>
      <c r="C11086" s="29" t="n">
        <f aca="false">rent_ext_24</f>
        <v>150</v>
      </c>
      <c r="D11086" s="29" t="n">
        <f aca="false">rent_ext_25</f>
        <v>400</v>
      </c>
      <c r="E11086" s="29" t="n">
        <f aca="false">rent_ext_26</f>
        <v>550</v>
      </c>
      <c r="F11086" s="29" t="n">
        <f aca="false">rent_ext_f</f>
        <v>756</v>
      </c>
      <c r="G11086" s="29" t="n">
        <f aca="false">rent_ext_f</f>
        <v>756</v>
      </c>
      <c r="H11086" s="29" t="n">
        <f aca="false">rent_ext_f</f>
        <v>756</v>
      </c>
      <c r="I11086" s="29" t="n">
        <f aca="false">rent_ext_f</f>
        <v>756</v>
      </c>
      <c r="J11086" s="29" t="n">
        <f aca="false">rent_ext_f</f>
        <v>756</v>
      </c>
      <c r="K11086" s="29" t="n">
        <f aca="false">rent_ext_f</f>
        <v>756</v>
      </c>
      <c r="L11086" s="1" t="s">
        <v>814</v>
      </c>
    </row>
    <row r="11087" customFormat="false" ht="17.15" hidden="false" customHeight="false" outlineLevel="0" collapsed="false">
      <c r="A11087" s="1" t="s">
        <v>815</v>
      </c>
      <c r="B11087" s="0" t="s">
        <v>399</v>
      </c>
      <c r="C11087" s="29" t="n">
        <f aca="false">Sens!C11085-Sens!C11086</f>
        <v>490</v>
      </c>
      <c r="D11087" s="29" t="n">
        <f aca="false">Sens!D11085-Sens!D11086</f>
        <v>1230</v>
      </c>
      <c r="E11087" s="29" t="n">
        <f aca="false">Sens!E11085-Sens!E11086</f>
        <v>2700</v>
      </c>
      <c r="F11087" s="29" t="n">
        <f aca="false">Sens!F11085-Sens!F11086</f>
        <v>5021.2</v>
      </c>
      <c r="G11087" s="29" t="n">
        <f aca="false">Sens!G11085-Sens!G11086</f>
        <v>7548.4</v>
      </c>
      <c r="H11087" s="29" t="n">
        <f aca="false">Sens!H11085-Sens!H11086</f>
        <v>10075.6</v>
      </c>
      <c r="I11087" s="29" t="n">
        <f aca="false">Sens!I11085-Sens!I11086</f>
        <v>11868.716</v>
      </c>
      <c r="J11087" s="29" t="n">
        <f aca="false">Sens!J11085-Sens!J11086</f>
        <v>12963.61032</v>
      </c>
      <c r="K11087" s="29" t="n">
        <f aca="false">Sens!K11085-Sens!K11086</f>
        <v>13375.1986296</v>
      </c>
    </row>
    <row r="11088" customFormat="false" ht="17.15" hidden="false" customHeight="false" outlineLevel="0" collapsed="false">
      <c r="A11088" s="1" t="s">
        <v>816</v>
      </c>
      <c r="B11088" s="0" t="s">
        <v>399</v>
      </c>
      <c r="C11088" s="29" t="n">
        <f aca="false">Sens!C11087/ext_sh</f>
        <v>816.666666666667</v>
      </c>
      <c r="D11088" s="29" t="n">
        <f aca="false">Sens!D11087/ext_sh</f>
        <v>2050</v>
      </c>
      <c r="E11088" s="29" t="n">
        <f aca="false">Sens!E11087/ext_sh</f>
        <v>4500</v>
      </c>
      <c r="F11088" s="29" t="n">
        <f aca="false">Sens!F11087/ext_sh</f>
        <v>8368.66666666667</v>
      </c>
      <c r="G11088" s="29" t="n">
        <f aca="false">Sens!G11087/ext_sh</f>
        <v>12580.6666666667</v>
      </c>
      <c r="H11088" s="29" t="n">
        <f aca="false">Sens!H11087/ext_sh</f>
        <v>16792.6666666667</v>
      </c>
      <c r="I11088" s="29" t="n">
        <f aca="false">Sens!I11087/ext_sh</f>
        <v>19781.1933333333</v>
      </c>
      <c r="J11088" s="29" t="n">
        <f aca="false">Sens!J11087/ext_sh</f>
        <v>21606.0172</v>
      </c>
      <c r="K11088" s="29" t="n">
        <f aca="false">Sens!K11087/ext_sh</f>
        <v>22291.997716</v>
      </c>
      <c r="L11088" s="1" t="s">
        <v>817</v>
      </c>
    </row>
    <row r="11089" customFormat="false" ht="17.15" hidden="false" customHeight="false" outlineLevel="0" collapsed="false">
      <c r="A11089" s="1" t="s">
        <v>818</v>
      </c>
      <c r="B11089" s="0" t="s">
        <v>399</v>
      </c>
      <c r="C11089" s="29" t="n">
        <f aca="false">Sens!C11088-Sens!C11087</f>
        <v>326.666666666667</v>
      </c>
      <c r="D11089" s="29" t="n">
        <f aca="false">Sens!D11088-Sens!D11087</f>
        <v>820</v>
      </c>
      <c r="E11089" s="29" t="n">
        <f aca="false">Sens!E11088-Sens!E11087</f>
        <v>1800</v>
      </c>
      <c r="F11089" s="29" t="n">
        <f aca="false">Sens!F11088-Sens!F11087</f>
        <v>3347.46666666667</v>
      </c>
      <c r="G11089" s="29" t="n">
        <f aca="false">Sens!G11088-Sens!G11087</f>
        <v>5032.26666666667</v>
      </c>
      <c r="H11089" s="29" t="n">
        <f aca="false">Sens!H11088-Sens!H11087</f>
        <v>6717.06666666667</v>
      </c>
      <c r="I11089" s="29" t="n">
        <f aca="false">Sens!I11088-Sens!I11087</f>
        <v>7912.47733333333</v>
      </c>
      <c r="J11089" s="29" t="n">
        <f aca="false">Sens!J11088-Sens!J11087</f>
        <v>8642.40688</v>
      </c>
      <c r="K11089" s="29" t="n">
        <f aca="false">Sens!K11088-Sens!K11087</f>
        <v>8916.7990864</v>
      </c>
    </row>
    <row r="11090" customFormat="false" ht="17.15" hidden="false" customHeight="false" outlineLevel="0" collapsed="false">
      <c r="A11090" s="1" t="s">
        <v>819</v>
      </c>
      <c r="B11090" s="0" t="s">
        <v>399</v>
      </c>
      <c r="C11090" s="29" t="n">
        <f aca="false">Sens!C11088</f>
        <v>816.666666666667</v>
      </c>
      <c r="D11090" s="29" t="n">
        <f aca="false">Sens!D11088-Sens!C11088</f>
        <v>1233.33333333333</v>
      </c>
      <c r="E11090" s="29" t="n">
        <f aca="false">Sens!E11088-Sens!D11088</f>
        <v>2450</v>
      </c>
      <c r="F11090" s="29" t="n">
        <f aca="false">Sens!F11088-Sens!E11088</f>
        <v>3868.66666666667</v>
      </c>
      <c r="G11090" s="29" t="n">
        <f aca="false">Sens!G11088-Sens!F11088</f>
        <v>4212</v>
      </c>
      <c r="H11090" s="29" t="n">
        <f aca="false">Sens!H11088-Sens!G11088</f>
        <v>4212</v>
      </c>
      <c r="I11090" s="29" t="n">
        <f aca="false">Sens!I11088-Sens!H11088</f>
        <v>2988.52666666667</v>
      </c>
      <c r="J11090" s="29" t="n">
        <f aca="false">Sens!J11088-Sens!I11088</f>
        <v>1824.82386666667</v>
      </c>
      <c r="K11090" s="29" t="n">
        <f aca="false">Sens!K11088-Sens!J11088</f>
        <v>685.980516</v>
      </c>
    </row>
    <row r="11091" customFormat="false" ht="17.15" hidden="false" customHeight="false" outlineLevel="0" collapsed="false">
      <c r="A11091" s="1" t="s">
        <v>820</v>
      </c>
      <c r="B11091" s="0" t="s">
        <v>399</v>
      </c>
      <c r="D11091" s="29" t="n">
        <f aca="false">Sens!D11085-Sens!C11085</f>
        <v>990</v>
      </c>
      <c r="E11091" s="29" t="n">
        <f aca="false">Sens!E11085-Sens!D11085</f>
        <v>1620</v>
      </c>
      <c r="F11091" s="29" t="n">
        <f aca="false">Sens!F11085-Sens!E11085</f>
        <v>2527.2</v>
      </c>
      <c r="G11091" s="29" t="n">
        <f aca="false">Sens!G11085-Sens!F11085</f>
        <v>2527.2</v>
      </c>
      <c r="H11091" s="29" t="n">
        <f aca="false">Sens!H11085-Sens!G11085</f>
        <v>2527.2</v>
      </c>
      <c r="I11091" s="29" t="n">
        <f aca="false">Sens!I11085-Sens!H11085</f>
        <v>1793.116</v>
      </c>
      <c r="J11091" s="29" t="n">
        <f aca="false">Sens!J11085-Sens!I11085</f>
        <v>1094.89432</v>
      </c>
      <c r="K11091" s="29" t="n">
        <f aca="false">Sens!K11085-Sens!J11085</f>
        <v>411.5883096</v>
      </c>
    </row>
    <row r="11092" customFormat="false" ht="17.15" hidden="false" customHeight="false" outlineLevel="0" collapsed="false">
      <c r="A11092" s="1" t="s">
        <v>821</v>
      </c>
      <c r="B11092" s="0" t="s">
        <v>399</v>
      </c>
      <c r="F11092" s="29" t="n">
        <f aca="false">Sens!F11109*ext_sh</f>
        <v>0</v>
      </c>
      <c r="G11092" s="29" t="n">
        <f aca="false">Sens!G11109*ext_sh</f>
        <v>0</v>
      </c>
      <c r="H11092" s="29" t="n">
        <f aca="false">Sens!H11109*ext_sh</f>
        <v>0</v>
      </c>
      <c r="I11092" s="29" t="n">
        <f aca="false">Sens!I11109*ext_sh</f>
        <v>490</v>
      </c>
      <c r="J11092" s="29" t="n">
        <f aca="false">Sens!J11109*ext_sh</f>
        <v>740</v>
      </c>
      <c r="K11092" s="29" t="n">
        <f aca="false">Sens!K11109*ext_sh</f>
        <v>1470</v>
      </c>
      <c r="L11092" s="1" t="s">
        <v>822</v>
      </c>
    </row>
    <row r="11093" customFormat="false" ht="17.15" hidden="false" customHeight="false" outlineLevel="0" collapsed="false">
      <c r="A11093" s="1" t="s">
        <v>823</v>
      </c>
      <c r="B11093" s="0" t="s">
        <v>399</v>
      </c>
      <c r="C11093" s="29" t="n">
        <f aca="false">mix_h*Sens!C11085</f>
        <v>128</v>
      </c>
      <c r="D11093" s="29" t="n">
        <f aca="false">mix_h*Sens!D11085</f>
        <v>326</v>
      </c>
      <c r="E11093" s="29" t="n">
        <f aca="false">mix_h*Sens!E11085</f>
        <v>650</v>
      </c>
      <c r="F11093" s="29" t="n">
        <f aca="false">Sens!E11093-Sens!F11092*mix_h</f>
        <v>650</v>
      </c>
      <c r="G11093" s="29" t="n">
        <f aca="false">Sens!F11093-Sens!G11092*mix_h</f>
        <v>650</v>
      </c>
      <c r="H11093" s="29" t="n">
        <f aca="false">Sens!G11093-Sens!H11092*mix_h</f>
        <v>650</v>
      </c>
      <c r="I11093" s="29" t="n">
        <f aca="false">Sens!H11093-Sens!I11092*mix_h</f>
        <v>552</v>
      </c>
      <c r="J11093" s="29" t="n">
        <f aca="false">Sens!I11093-Sens!J11092*mix_h</f>
        <v>404</v>
      </c>
      <c r="K11093" s="29" t="n">
        <f aca="false">Sens!J11093-Sens!K11092*mix_h</f>
        <v>110</v>
      </c>
    </row>
    <row r="11094" customFormat="false" ht="17.15" hidden="false" customHeight="false" outlineLevel="0" collapsed="false">
      <c r="A11094" s="1" t="s">
        <v>824</v>
      </c>
      <c r="B11094" s="0" t="s">
        <v>399</v>
      </c>
      <c r="C11094" s="29" t="n">
        <f aca="false">mix_g2*Sens!C11085</f>
        <v>288</v>
      </c>
      <c r="D11094" s="29" t="n">
        <f aca="false">mix_g2*Sens!D11085</f>
        <v>733.5</v>
      </c>
      <c r="E11094" s="29" t="n">
        <f aca="false">mix_g2*Sens!E11085</f>
        <v>1462.5</v>
      </c>
      <c r="F11094" s="29" t="n">
        <f aca="false">Sens!E11094-Sens!F11092*mix_g2</f>
        <v>1462.5</v>
      </c>
      <c r="G11094" s="29" t="n">
        <f aca="false">Sens!F11094-Sens!G11092*mix_g2</f>
        <v>1462.5</v>
      </c>
      <c r="H11094" s="29" t="n">
        <f aca="false">Sens!G11094-Sens!H11092*mix_g2</f>
        <v>1462.5</v>
      </c>
      <c r="I11094" s="29" t="n">
        <f aca="false">Sens!H11094-Sens!I11092*mix_g2</f>
        <v>1242</v>
      </c>
      <c r="J11094" s="29" t="n">
        <f aca="false">Sens!I11094-Sens!J11092*mix_g2</f>
        <v>909</v>
      </c>
      <c r="K11094" s="29" t="n">
        <f aca="false">Sens!J11094-Sens!K11092*mix_g2</f>
        <v>247.5</v>
      </c>
    </row>
    <row r="11095" customFormat="false" ht="17.15" hidden="false" customHeight="false" outlineLevel="0" collapsed="false">
      <c r="A11095" s="1" t="s">
        <v>825</v>
      </c>
      <c r="B11095" s="0" t="s">
        <v>399</v>
      </c>
      <c r="C11095" s="29" t="n">
        <f aca="false">mix_g3*Sens!C11085</f>
        <v>224</v>
      </c>
      <c r="D11095" s="29" t="n">
        <f aca="false">mix_g3*Sens!D11085</f>
        <v>570.5</v>
      </c>
      <c r="E11095" s="29" t="n">
        <f aca="false">mix_g3*Sens!E11085</f>
        <v>1137.5</v>
      </c>
      <c r="F11095" s="29" t="n">
        <f aca="false">Sens!E11095+(Sens!F11091+Sens!F11092)*a_g3_27-Sens!F11092*mix_g3</f>
        <v>2906.54</v>
      </c>
      <c r="G11095" s="29" t="n">
        <f aca="false">Sens!F11095+(Sens!G11091+Sens!G11092)*a_g3_28-Sens!G11092*mix_g3</f>
        <v>3664.7</v>
      </c>
      <c r="H11095" s="29" t="n">
        <f aca="false">Sens!G11095+(Sens!H11091+Sens!H11092)*a_g3_29-Sens!H11092*mix_g3</f>
        <v>3917.42</v>
      </c>
      <c r="I11095" s="29" t="n">
        <f aca="false">Sens!H11095+(Sens!I11091+Sens!I11092)*a_g3_29-Sens!I11092*mix_g3</f>
        <v>3974.2316</v>
      </c>
      <c r="J11095" s="29" t="n">
        <f aca="false">Sens!I11095+(Sens!J11091+Sens!J11092)*a_g3_29-Sens!J11092*mix_g3</f>
        <v>3898.721032</v>
      </c>
      <c r="K11095" s="29" t="n">
        <f aca="false">Sens!J11095+(Sens!K11091+Sens!K11092)*a_g3_29-Sens!K11092*mix_g3</f>
        <v>3572.37986296</v>
      </c>
    </row>
    <row r="11096" customFormat="false" ht="17.15" hidden="false" customHeight="false" outlineLevel="0" collapsed="false">
      <c r="A11096" s="1" t="s">
        <v>826</v>
      </c>
      <c r="B11096" s="0" t="s">
        <v>399</v>
      </c>
      <c r="C11096" s="29" t="n">
        <v>0</v>
      </c>
      <c r="D11096" s="29" t="n">
        <v>0</v>
      </c>
      <c r="E11096" s="29" t="n">
        <v>0</v>
      </c>
      <c r="F11096" s="29" t="n">
        <f aca="false">Sens!E11096+(Sens!F11091+Sens!F11092)*(1-a_g3_27)</f>
        <v>758.16</v>
      </c>
      <c r="G11096" s="29" t="n">
        <f aca="false">Sens!F11096+(Sens!G11091+Sens!G11092)*(1-a_g3_28)</f>
        <v>2527.2</v>
      </c>
      <c r="H11096" s="29" t="n">
        <f aca="false">Sens!G11096+(Sens!H11091+Sens!H11092)*(1-a_g3_29)</f>
        <v>4801.68</v>
      </c>
      <c r="I11096" s="29" t="n">
        <f aca="false">Sens!H11096+(Sens!I11091+Sens!I11092)*(1-a_g3_29)</f>
        <v>6856.4844</v>
      </c>
      <c r="J11096" s="29" t="n">
        <f aca="false">Sens!I11096+(Sens!J11091+Sens!J11092)*(1-a_g3_29)</f>
        <v>8507.889288</v>
      </c>
      <c r="K11096" s="29" t="n">
        <f aca="false">Sens!J11096+(Sens!K11091+Sens!K11092)*(1-a_g3_29)</f>
        <v>10201.31876664</v>
      </c>
    </row>
    <row r="11097" customFormat="false" ht="17.15" hidden="false" customHeight="false" outlineLevel="0" collapsed="false">
      <c r="A11097" s="1" t="s">
        <v>827</v>
      </c>
      <c r="B11097" s="0" t="s">
        <v>346</v>
      </c>
      <c r="C11097" s="14" t="n">
        <f aca="false">(Sens!C11093*tk_hold_h100+Sens!C11094*tk_hold_gb200+Sens!C11095*tk_hold_gb300+Sens!C11096*tk_hold_vr200)/Sens!C11085</f>
        <v>9.7235358126469</v>
      </c>
      <c r="D11097" s="14" t="n">
        <f aca="false">(Sens!D11093*tk_hold_h100+Sens!D11094*tk_hold_gb200+Sens!D11095*tk_hold_gb300+Sens!D11096*tk_hold_vr200)/Sens!D11085</f>
        <v>9.7235358126469</v>
      </c>
      <c r="E11097" s="14" t="n">
        <f aca="false">(Sens!E11093*tk_hold_h100+Sens!E11094*tk_hold_gb200+Sens!E11095*tk_hold_gb300+Sens!E11096*tk_hold_vr200)/Sens!E11085</f>
        <v>9.7235358126469</v>
      </c>
      <c r="F11097" s="14" t="n">
        <f aca="false">(Sens!F11093*tk_hold_h100+Sens!F11094*tk_hold_gb200+Sens!F11095*tk_hold_gb300+Sens!F11096*tk_hold_vr200)/Sens!F11085</f>
        <v>10.4079573161931</v>
      </c>
      <c r="G11097" s="14" t="n">
        <f aca="false">(Sens!G11093*tk_hold_h100+Sens!G11094*tk_hold_gb200+Sens!G11095*tk_hold_gb300+Sens!G11096*tk_hold_vr200)/Sens!G11085</f>
        <v>10.8388131109316</v>
      </c>
      <c r="H11097" s="14" t="n">
        <f aca="false">(Sens!H11093*tk_hold_h100+Sens!H11094*tk_hold_gb200+Sens!H11095*tk_hold_gb300+Sens!H11096*tk_hold_vr200)/Sens!H11085</f>
        <v>11.1311018388216</v>
      </c>
      <c r="I11097" s="14" t="n">
        <f aca="false">(Sens!I11093*tk_hold_h100+Sens!I11094*tk_hold_gb200+Sens!I11095*tk_hold_gb300+Sens!I11096*tk_hold_vr200)/Sens!I11085</f>
        <v>11.3594282560989</v>
      </c>
      <c r="J11097" s="14" t="n">
        <f aca="false">(Sens!J11093*tk_hold_h100+Sens!J11094*tk_hold_gb200+Sens!J11095*tk_hold_gb300+Sens!J11096*tk_hold_vr200)/Sens!J11085</f>
        <v>11.5455817917599</v>
      </c>
      <c r="K11097" s="14" t="n">
        <f aca="false">(Sens!K11093*tk_hold_h100+Sens!K11094*tk_hold_gb200+Sens!K11095*tk_hold_gb300+Sens!K11096*tk_hold_vr200)/Sens!K11085</f>
        <v>11.8078187977246</v>
      </c>
    </row>
    <row r="11098" customFormat="false" ht="17.15" hidden="false" customHeight="false" outlineLevel="0" collapsed="false">
      <c r="A11098" s="0" t="s">
        <v>828</v>
      </c>
      <c r="B11098" s="0" t="s">
        <v>185</v>
      </c>
      <c r="C11098" s="14" t="n">
        <f aca="false">k_B</f>
        <v>1.17213932619116</v>
      </c>
      <c r="D11098" s="14" t="n">
        <f aca="false">k_B</f>
        <v>1.17213932619116</v>
      </c>
      <c r="E11098" s="14" t="n">
        <f aca="false">k_B</f>
        <v>1.17213932619116</v>
      </c>
      <c r="F11098" s="14" t="n">
        <f aca="false">(k_B+((ls_A*k_long+(1-ls_A)*k_spot)-k_B)*MIN(1,(Sens!F11083-base_fy)/k_ramp))</f>
        <v>1.25022828131298</v>
      </c>
      <c r="G11098" s="14" t="n">
        <f aca="false">(k_B+((ls_A*k_long+(1-ls_A)*k_spot)-k_B)*MIN(1,(Sens!G11083-base_fy)/k_ramp))</f>
        <v>1.3283172364348</v>
      </c>
      <c r="H11098" s="14" t="n">
        <f aca="false">(k_B+((ls_A*k_long+(1-ls_A)*k_spot)-k_B)*MIN(1,(Sens!H11083-base_fy)/k_ramp))</f>
        <v>1.40640619155662</v>
      </c>
      <c r="I11098" s="14" t="n">
        <f aca="false">(k_B+((ls_A*k_long+(1-ls_A)*k_spot)-k_B)*MIN(1,(Sens!I11083-base_fy)/k_ramp))</f>
        <v>1.40640619155662</v>
      </c>
      <c r="J11098" s="14" t="n">
        <f aca="false">(k_B+((ls_A*k_long+(1-ls_A)*k_spot)-k_B)*MIN(1,(Sens!J11083-base_fy)/k_ramp))</f>
        <v>1.40640619155662</v>
      </c>
      <c r="K11098" s="14" t="n">
        <f aca="false">(k_B+((ls_A*k_long+(1-ls_A)*k_spot)-k_B)*MIN(1,(Sens!K11083-base_fy)/k_ramp))</f>
        <v>1.40640619155662</v>
      </c>
      <c r="L11098" s="1" t="s">
        <v>829</v>
      </c>
    </row>
    <row r="11099" customFormat="false" ht="17.15" hidden="false" customHeight="false" outlineLevel="0" collapsed="false">
      <c r="A11099" s="1" t="s">
        <v>830</v>
      </c>
      <c r="B11099" s="0" t="s">
        <v>346</v>
      </c>
      <c r="C11099" s="14" t="n">
        <f aca="false">Sens!C11097*Sens!C11098*chip_f</f>
        <v>11.3973387156315</v>
      </c>
      <c r="D11099" s="14" t="n">
        <f aca="false">Sens!D11097*Sens!D11098*chip_f</f>
        <v>11.3973387156315</v>
      </c>
      <c r="E11099" s="14" t="n">
        <f aca="false">Sens!E11097*Sens!E11098*chip_f</f>
        <v>11.3973387156315</v>
      </c>
      <c r="F11099" s="14" t="n">
        <f aca="false">Sens!F11097*Sens!F11098*chip_f</f>
        <v>13.0123225874029</v>
      </c>
      <c r="G11099" s="14" t="n">
        <f aca="false">Sens!G11097*Sens!G11098*chip_f</f>
        <v>14.3973822777458</v>
      </c>
      <c r="H11099" s="14" t="n">
        <f aca="false">Sens!H11097*Sens!H11098*chip_f</f>
        <v>15.6548505449659</v>
      </c>
      <c r="I11099" s="14" t="n">
        <f aca="false">Sens!I11097*Sens!I11098*chip_f</f>
        <v>15.9759702319207</v>
      </c>
      <c r="J11099" s="14" t="n">
        <f aca="false">Sens!J11097*Sens!J11098*chip_f</f>
        <v>16.2377777170545</v>
      </c>
      <c r="K11099" s="14" t="n">
        <f aca="false">Sens!K11097*Sens!K11098*chip_f</f>
        <v>16.6065894658985</v>
      </c>
      <c r="L11099" s="1" t="s">
        <v>831</v>
      </c>
    </row>
    <row r="11100" customFormat="false" ht="17.15" hidden="false" customHeight="false" outlineLevel="0" collapsed="false">
      <c r="A11100" s="0" t="s">
        <v>832</v>
      </c>
      <c r="B11100" s="0" t="s">
        <v>98</v>
      </c>
      <c r="D11100" s="6" t="n">
        <f aca="false">(Sens!C11085+Sens!D11085)/2*Sens!D11099/1000</f>
        <v>12.9359794422418</v>
      </c>
      <c r="E11100" s="6" t="n">
        <f aca="false">(Sens!D11085+Sens!E11085)/2*Sens!E11099/1000</f>
        <v>27.8095064661409</v>
      </c>
      <c r="F11100" s="6" t="n">
        <f aca="false">(Sens!E11085+Sens!F11085)/2*Sens!F11099/1000</f>
        <v>58.7324192305018</v>
      </c>
      <c r="G11100" s="6" t="n">
        <f aca="false">(Sens!F11085+Sens!G11085)/2*Sens!G11099/1000</f>
        <v>101.369089141153</v>
      </c>
      <c r="H11100" s="6" t="n">
        <f aca="false">(Sens!G11085+Sens!H11085)/2*Sens!H11099/1000</f>
        <v>149.785610014234</v>
      </c>
      <c r="I11100" s="6" t="n">
        <f aca="false">(Sens!H11085+Sens!I11085)/2*Sens!I11099/1000</f>
        <v>187.368703083263</v>
      </c>
      <c r="J11100" s="6" t="n">
        <f aca="false">(Sens!I11085+Sens!J11085)/2*Sens!J11099/1000</f>
        <v>213.886657444854</v>
      </c>
      <c r="K11100" s="6" t="n">
        <f aca="false">(Sens!J11085+Sens!K11085)/2*Sens!K11099/1000</f>
        <v>231.253475259589</v>
      </c>
      <c r="L11100" s="11" t="s">
        <v>833</v>
      </c>
    </row>
    <row r="11101" customFormat="false" ht="17.15" hidden="false" customHeight="false" outlineLevel="0" collapsed="false">
      <c r="A11101" s="1" t="s">
        <v>834</v>
      </c>
      <c r="B11101" s="0" t="s">
        <v>346</v>
      </c>
      <c r="C11101" s="14" t="n">
        <f aca="false">(Sens!C11093*tk_opex_h100+Sens!C11094*tk_opex_gb200+Sens!C11095*tk_opex_gb300+Sens!C11096*tk_opex_vr200)/Sens!C11085</f>
        <v>1.88636041306092</v>
      </c>
      <c r="D11101" s="14" t="n">
        <f aca="false">(Sens!D11093*tk_opex_h100+Sens!D11094*tk_opex_gb200+Sens!D11095*tk_opex_gb300+Sens!D11096*tk_opex_vr200)/Sens!D11085</f>
        <v>1.88636041306092</v>
      </c>
      <c r="E11101" s="14" t="n">
        <f aca="false">(Sens!E11093*tk_opex_h100+Sens!E11094*tk_opex_gb200+Sens!E11095*tk_opex_gb300+Sens!E11096*tk_opex_vr200)/Sens!E11085</f>
        <v>1.88636041306092</v>
      </c>
      <c r="F11101" s="14" t="n">
        <f aca="false">(Sens!F11093*tk_opex_h100+Sens!F11094*tk_opex_gb200+Sens!F11095*tk_opex_gb300+Sens!F11096*tk_opex_vr200)/Sens!F11085</f>
        <v>1.9430236476499</v>
      </c>
      <c r="G11101" s="14" t="n">
        <f aca="false">(Sens!G11093*tk_opex_h100+Sens!G11094*tk_opex_gb200+Sens!G11095*tk_opex_gb300+Sens!G11096*tk_opex_vr200)/Sens!G11085</f>
        <v>1.9786941852423</v>
      </c>
      <c r="H11101" s="14" t="n">
        <f aca="false">(Sens!H11093*tk_opex_h100+Sens!H11094*tk_opex_gb200+Sens!H11095*tk_opex_gb300+Sens!H11096*tk_opex_vr200)/Sens!H11085</f>
        <v>2.00289275976156</v>
      </c>
      <c r="I11101" s="14" t="n">
        <f aca="false">(Sens!I11093*tk_opex_h100+Sens!I11094*tk_opex_gb200+Sens!I11095*tk_opex_gb300+Sens!I11096*tk_opex_vr200)/Sens!I11085</f>
        <v>2.02179589661219</v>
      </c>
      <c r="J11101" s="14" t="n">
        <f aca="false">(Sens!J11093*tk_opex_h100+Sens!J11094*tk_opex_gb200+Sens!J11095*tk_opex_gb300+Sens!J11096*tk_opex_vr200)/Sens!J11085</f>
        <v>2.03720754193029</v>
      </c>
      <c r="K11101" s="14" t="n">
        <f aca="false">(Sens!K11093*tk_opex_h100+Sens!K11094*tk_opex_gb200+Sens!K11095*tk_opex_gb300+Sens!K11096*tk_opex_vr200)/Sens!K11085</f>
        <v>2.0589181353437</v>
      </c>
    </row>
    <row r="11102" customFormat="false" ht="17.15" hidden="false" customHeight="false" outlineLevel="0" collapsed="false">
      <c r="A11102" s="0" t="s">
        <v>835</v>
      </c>
      <c r="B11102" s="0" t="s">
        <v>98</v>
      </c>
      <c r="D11102" s="6" t="n">
        <f aca="false">(Sens!C11088+Sens!D11088)/2*Sens!D11101/1000</f>
        <v>2.70378325872065</v>
      </c>
      <c r="E11102" s="6" t="n">
        <f aca="false">(Sens!D11088+Sens!E11088)/2*Sens!E11101/1000</f>
        <v>6.17783035277451</v>
      </c>
      <c r="F11102" s="6" t="n">
        <f aca="false">(Sens!E11088+Sens!F11088)/2*Sens!F11101/1000</f>
        <v>12.5020618235287</v>
      </c>
      <c r="G11102" s="6" t="n">
        <f aca="false">(Sens!F11088+Sens!G11088)/2*Sens!G11101/1000</f>
        <v>20.7261620256847</v>
      </c>
      <c r="H11102" s="6" t="n">
        <f aca="false">(Sens!G11088+Sens!H11088)/2*Sens!H11101/1000</f>
        <v>29.4158183316982</v>
      </c>
      <c r="I11102" s="6" t="n">
        <f aca="false">(Sens!H11088+Sens!I11088)/2*Sens!I11101/1000</f>
        <v>36.9724400356344</v>
      </c>
      <c r="J11102" s="6" t="n">
        <f aca="false">(Sens!I11088+Sens!J11088)/2*Sens!J11101/1000</f>
        <v>42.1571687189816</v>
      </c>
      <c r="K11102" s="6" t="n">
        <f aca="false">(Sens!J11088+Sens!K11088)/2*Sens!K11101/1000</f>
        <v>45.1912095080704</v>
      </c>
    </row>
    <row r="11103" customFormat="false" ht="17.15" hidden="false" customHeight="false" outlineLevel="0" collapsed="false">
      <c r="A11103" s="0" t="s">
        <v>836</v>
      </c>
      <c r="B11103" s="0" t="s">
        <v>98</v>
      </c>
      <c r="D11103" s="6" t="n">
        <f aca="false">(Sens!C11086+Sens!D11086)/2*rent_mw/1000</f>
        <v>2.44475</v>
      </c>
      <c r="E11103" s="6" t="n">
        <f aca="false">(Sens!D11086+Sens!E11086)/2*rent_mw/1000</f>
        <v>4.22275</v>
      </c>
      <c r="F11103" s="6" t="n">
        <f aca="false">(Sens!E11086+Sens!F11086)/2*rent_mw/1000</f>
        <v>5.80517</v>
      </c>
      <c r="G11103" s="6" t="n">
        <f aca="false">(Sens!F11086+Sens!G11086)/2*rent_mw/1000</f>
        <v>6.72084</v>
      </c>
      <c r="H11103" s="6" t="n">
        <f aca="false">(Sens!G11086+Sens!H11086)/2*rent_mw/1000</f>
        <v>6.72084</v>
      </c>
      <c r="I11103" s="6" t="n">
        <f aca="false">(Sens!H11086+Sens!I11086)/2*rent_mw/1000</f>
        <v>6.72084</v>
      </c>
      <c r="J11103" s="6" t="n">
        <f aca="false">(Sens!I11086+Sens!J11086)/2*rent_mw/1000</f>
        <v>6.72084</v>
      </c>
      <c r="K11103" s="6" t="n">
        <f aca="false">(Sens!J11086+Sens!K11086)/2*rent_mw/1000</f>
        <v>6.72084</v>
      </c>
    </row>
    <row r="11104" customFormat="false" ht="17.15" hidden="false" customHeight="false" outlineLevel="0" collapsed="false">
      <c r="A11104" s="0" t="s">
        <v>837</v>
      </c>
      <c r="B11104" s="0" t="s">
        <v>98</v>
      </c>
      <c r="D11104" s="6" t="n">
        <f aca="false">(Sens!C11088+Sens!D11088)/2*(1-self_build)*fac_rent/1000</f>
        <v>0.853242375631075</v>
      </c>
      <c r="E11104" s="6" t="n">
        <f aca="false">(Sens!D11088+Sens!E11088)/2*(1-self_build)*fac_rent/1000</f>
        <v>1.94955961408728</v>
      </c>
      <c r="F11104" s="6" t="n">
        <f aca="false">(Sens!E11088+Sens!F11088)/2*(1-self_build)*fac_rent/1000</f>
        <v>3.83026455274573</v>
      </c>
      <c r="G11104" s="6" t="n">
        <f aca="false">(Sens!F11088+Sens!G11088)/2*(1-self_build)*fac_rent/1000</f>
        <v>6.23541590972812</v>
      </c>
      <c r="H11104" s="6" t="n">
        <f aca="false">(Sens!G11088+Sens!H11088)/2*(1-self_build)*fac_rent/1000</f>
        <v>8.74275792332679</v>
      </c>
      <c r="I11104" s="6" t="n">
        <f aca="false">(Sens!H11088+Sens!I11088)/2*(1-self_build)*fac_rent/1000</f>
        <v>10.8859420438599</v>
      </c>
      <c r="J11104" s="6" t="n">
        <f aca="false">(Sens!I11088+Sens!J11088)/2*(1-self_build)*fac_rent/1000</f>
        <v>12.3186006405366</v>
      </c>
      <c r="K11104" s="6" t="n">
        <f aca="false">(Sens!J11088+Sens!K11088)/2*(1-self_build)*fac_rent/1000</f>
        <v>13.0659232089824</v>
      </c>
      <c r="L11104" s="11" t="s">
        <v>838</v>
      </c>
    </row>
    <row r="11105" customFormat="false" ht="17.15" hidden="false" customHeight="false" outlineLevel="0" collapsed="false">
      <c r="A11105" s="1" t="s">
        <v>839</v>
      </c>
      <c r="B11105" s="0" t="s">
        <v>129</v>
      </c>
      <c r="D11105" s="7" t="n">
        <f aca="false">(Sens!C11087+Sens!D11087)/(Sens!C11088+Sens!D11088)</f>
        <v>0.6</v>
      </c>
      <c r="E11105" s="7" t="n">
        <f aca="false">(Sens!D11087+Sens!E11087)/(Sens!D11088+Sens!E11088)</f>
        <v>0.6</v>
      </c>
      <c r="F11105" s="7" t="n">
        <f aca="false">(Sens!E11087+Sens!F11087)/(Sens!E11088+Sens!F11088)</f>
        <v>0.6</v>
      </c>
      <c r="G11105" s="7" t="n">
        <f aca="false">(Sens!F11087+Sens!G11087)/(Sens!F11088+Sens!G11088)</f>
        <v>0.6</v>
      </c>
      <c r="H11105" s="7" t="n">
        <f aca="false">(Sens!G11087+Sens!H11087)/(Sens!G11088+Sens!H11088)</f>
        <v>0.6</v>
      </c>
      <c r="I11105" s="7" t="n">
        <f aca="false">(Sens!H11087+Sens!I11087)/(Sens!H11088+Sens!I11088)</f>
        <v>0.6</v>
      </c>
      <c r="J11105" s="7" t="n">
        <f aca="false">(Sens!I11087+Sens!J11087)/(Sens!I11088+Sens!J11088)</f>
        <v>0.6</v>
      </c>
      <c r="K11105" s="7" t="n">
        <f aca="false">(Sens!J11087+Sens!K11087)/(Sens!J11088+Sens!K11088)</f>
        <v>0.6</v>
      </c>
    </row>
    <row r="11106" customFormat="false" ht="17.15" hidden="false" customHeight="false" outlineLevel="0" collapsed="false">
      <c r="A11106" s="0" t="s">
        <v>840</v>
      </c>
      <c r="B11106" s="0" t="s">
        <v>98</v>
      </c>
      <c r="D11106" s="6" t="n">
        <f aca="false">Sens!D11100-Sens!D11105*(Sens!D11102+Sens!D11104)-Sens!D11103</f>
        <v>8.35701406163072</v>
      </c>
      <c r="E11106" s="6" t="n">
        <f aca="false">Sens!E11100-Sens!E11105*(Sens!E11102+Sens!E11104)-Sens!E11103</f>
        <v>18.7103224860238</v>
      </c>
      <c r="F11106" s="6" t="n">
        <f aca="false">Sens!F11100-Sens!F11105*(Sens!F11102+Sens!F11104)-Sens!F11103</f>
        <v>43.1278534047371</v>
      </c>
      <c r="G11106" s="6" t="n">
        <f aca="false">Sens!G11100-Sens!G11105*(Sens!G11102+Sens!G11104)-Sens!G11103</f>
        <v>78.4713023799053</v>
      </c>
      <c r="H11106" s="6" t="n">
        <f aca="false">Sens!H11100-Sens!H11105*(Sens!H11102+Sens!H11104)-Sens!H11103</f>
        <v>120.169624261219</v>
      </c>
      <c r="I11106" s="6" t="n">
        <f aca="false">Sens!I11100-Sens!I11105*(Sens!I11102+Sens!I11104)-Sens!I11103</f>
        <v>151.932833835566</v>
      </c>
      <c r="J11106" s="6" t="n">
        <f aca="false">Sens!J11100-Sens!J11105*(Sens!J11102+Sens!J11104)-Sens!J11103</f>
        <v>174.480355829143</v>
      </c>
      <c r="K11106" s="6" t="n">
        <f aca="false">Sens!K11100-Sens!K11105*(Sens!K11102+Sens!K11104)-Sens!K11103</f>
        <v>189.578355629358</v>
      </c>
    </row>
    <row r="11107" customFormat="false" ht="17.15" hidden="false" customHeight="false" outlineLevel="0" collapsed="false">
      <c r="A11107" s="1" t="s">
        <v>841</v>
      </c>
      <c r="B11107" s="0" t="s">
        <v>98</v>
      </c>
      <c r="D11107" s="6" t="n">
        <f aca="false">(1-Sens!D11105)*(Sens!D11102+Sens!D11104)</f>
        <v>1.42281025374069</v>
      </c>
      <c r="E11107" s="6" t="n">
        <f aca="false">(1-Sens!E11105)*(Sens!E11102+Sens!E11104)</f>
        <v>3.25095598674472</v>
      </c>
      <c r="F11107" s="6" t="n">
        <f aca="false">(1-Sens!F11105)*(Sens!F11102+Sens!F11104)</f>
        <v>6.53293055050977</v>
      </c>
      <c r="G11107" s="6" t="n">
        <f aca="false">(1-Sens!G11105)*(Sens!G11102+Sens!G11104)</f>
        <v>10.7846311741651</v>
      </c>
      <c r="H11107" s="6" t="n">
        <f aca="false">(1-Sens!H11105)*(Sens!H11102+Sens!H11104)</f>
        <v>15.26343050201</v>
      </c>
      <c r="I11107" s="6" t="n">
        <f aca="false">(1-Sens!I11105)*(Sens!I11102+Sens!I11104)</f>
        <v>19.1433528317977</v>
      </c>
      <c r="J11107" s="6" t="n">
        <f aca="false">(1-Sens!J11105)*(Sens!J11102+Sens!J11104)</f>
        <v>21.7903077438073</v>
      </c>
      <c r="K11107" s="6" t="n">
        <f aca="false">(1-Sens!K11105)*(Sens!K11102+Sens!K11104)</f>
        <v>23.3028530868211</v>
      </c>
    </row>
    <row r="11108" customFormat="false" ht="17.15" hidden="false" customHeight="false" outlineLevel="0" collapsed="false">
      <c r="A11108" s="1" t="s">
        <v>842</v>
      </c>
      <c r="B11108" s="0" t="s">
        <v>357</v>
      </c>
      <c r="C11108" s="8" t="n">
        <f aca="false">cxit_open</f>
        <v>27.5918995</v>
      </c>
      <c r="D11108" s="8" t="n">
        <f aca="false">cxit_open</f>
        <v>27.5918995</v>
      </c>
      <c r="E11108" s="8" t="n">
        <f aca="false">cxit_open</f>
        <v>27.5918995</v>
      </c>
      <c r="F11108" s="8" t="n">
        <f aca="false">(a_g3_27*tk_cxit_gb300+(1-a_g3_27)*tk_cxit_vr200)</f>
        <v>33.8419624</v>
      </c>
      <c r="G11108" s="8" t="n">
        <f aca="false">(a_g3_28*tk_cxit_gb300+(1-a_g3_28)*tk_cxit_vr200)</f>
        <v>35.9816136</v>
      </c>
      <c r="H11108" s="8" t="n">
        <f aca="false">(a_g3_29*tk_cxit_gb300+(1-a_g3_29)*tk_cxit_vr200)</f>
        <v>37.0514392</v>
      </c>
      <c r="I11108" s="8" t="n">
        <f aca="false">(a_g3_29*tk_cxit_gb300+(1-a_g3_29)*tk_cxit_vr200)</f>
        <v>37.0514392</v>
      </c>
      <c r="J11108" s="8" t="n">
        <f aca="false">(a_g3_29*tk_cxit_gb300+(1-a_g3_29)*tk_cxit_vr200)</f>
        <v>37.0514392</v>
      </c>
      <c r="K11108" s="8" t="n">
        <f aca="false">(a_g3_29*tk_cxit_gb300+(1-a_g3_29)*tk_cxit_vr200)</f>
        <v>37.0514392</v>
      </c>
      <c r="L11108" s="11" t="s">
        <v>843</v>
      </c>
    </row>
    <row r="11109" customFormat="false" ht="17.15" hidden="false" customHeight="false" outlineLevel="0" collapsed="false">
      <c r="A11109" s="0" t="s">
        <v>844</v>
      </c>
      <c r="B11109" s="0" t="s">
        <v>399</v>
      </c>
      <c r="F11109" s="29" t="n">
        <f aca="false">Sens!C11090*IF(Sens!F11083-Sens!C11083=life_it,1,0)+Sens!D11090*IF(Sens!F11083-Sens!D11083=life_it,1,0)+Sens!E11090*IF(Sens!F11083-Sens!E11083=life_it,1,0)</f>
        <v>0</v>
      </c>
      <c r="G11109" s="29" t="n">
        <f aca="false">Sens!C11090*IF(Sens!G11083-Sens!C11083=life_it,1,0)+Sens!D11090*IF(Sens!G11083-Sens!D11083=life_it,1,0)+Sens!E11090*IF(Sens!G11083-Sens!E11083=life_it,1,0)+Sens!F11090*IF(Sens!G11083-Sens!F11083=life_it,1,0)</f>
        <v>0</v>
      </c>
      <c r="H11109" s="29" t="n">
        <f aca="false">Sens!C11090*IF(Sens!H11083-Sens!C11083=life_it,1,0)+Sens!D11090*IF(Sens!H11083-Sens!D11083=life_it,1,0)+Sens!E11090*IF(Sens!H11083-Sens!E11083=life_it,1,0)+Sens!F11090*IF(Sens!H11083-Sens!F11083=life_it,1,0)+Sens!G11090*IF(Sens!H11083-Sens!G11083=life_it,1,0)</f>
        <v>0</v>
      </c>
      <c r="I11109" s="29" t="n">
        <f aca="false">Sens!C11090*IF(Sens!I11083-Sens!C11083=life_it,1,0)+Sens!D11090*IF(Sens!I11083-Sens!D11083=life_it,1,0)+Sens!E11090*IF(Sens!I11083-Sens!E11083=life_it,1,0)+Sens!F11090*IF(Sens!I11083-Sens!F11083=life_it,1,0)+Sens!G11090*IF(Sens!I11083-Sens!G11083=life_it,1,0)+Sens!H11090*IF(Sens!I11083-Sens!H11083=life_it,1,0)</f>
        <v>816.666666666667</v>
      </c>
      <c r="J11109" s="29" t="n">
        <f aca="false">Sens!C11090*IF(Sens!J11083-Sens!C11083=life_it,1,0)+Sens!D11090*IF(Sens!J11083-Sens!D11083=life_it,1,0)+Sens!E11090*IF(Sens!J11083-Sens!E11083=life_it,1,0)+Sens!F11090*IF(Sens!J11083-Sens!F11083=life_it,1,0)+Sens!G11090*IF(Sens!J11083-Sens!G11083=life_it,1,0)+Sens!H11090*IF(Sens!J11083-Sens!H11083=life_it,1,0)+Sens!I11090*IF(Sens!J11083-Sens!I11083=life_it,1,0)</f>
        <v>1233.33333333333</v>
      </c>
      <c r="K11109" s="29" t="n">
        <f aca="false">Sens!C11090*IF(Sens!K11083-Sens!C11083=life_it,1,0)+Sens!D11090*IF(Sens!K11083-Sens!D11083=life_it,1,0)+Sens!E11090*IF(Sens!K11083-Sens!E11083=life_it,1,0)+Sens!F11090*IF(Sens!K11083-Sens!F11083=life_it,1,0)+Sens!G11090*IF(Sens!K11083-Sens!G11083=life_it,1,0)+Sens!H11090*IF(Sens!K11083-Sens!H11083=life_it,1,0)+Sens!I11090*IF(Sens!K11083-Sens!I11083=life_it,1,0)+Sens!J11090*IF(Sens!K11083-Sens!J11083=life_it,1,0)</f>
        <v>2450</v>
      </c>
      <c r="L11109" s="1" t="s">
        <v>845</v>
      </c>
    </row>
    <row r="11110" customFormat="false" ht="17.15" hidden="false" customHeight="false" outlineLevel="0" collapsed="false">
      <c r="A11110" s="0" t="s">
        <v>846</v>
      </c>
      <c r="B11110" s="0" t="s">
        <v>98</v>
      </c>
      <c r="C11110" s="6" t="n">
        <f aca="false">Sens!C11090*Sens!C11108/1000</f>
        <v>22.5333845916667</v>
      </c>
      <c r="D11110" s="6" t="n">
        <f aca="false">Sens!D11090*Sens!D11108/1000</f>
        <v>34.0300093833333</v>
      </c>
      <c r="E11110" s="6" t="n">
        <f aca="false">Sens!E11090*Sens!E11108/1000</f>
        <v>67.600153775</v>
      </c>
      <c r="F11110" s="6" t="n">
        <f aca="false">(Sens!F11090+Sens!F11109)*Sens!F11108/1000</f>
        <v>130.923271871467</v>
      </c>
      <c r="G11110" s="6" t="n">
        <f aca="false">(Sens!G11090+Sens!G11109)*Sens!G11108/1000</f>
        <v>151.5545564832</v>
      </c>
      <c r="H11110" s="6" t="n">
        <f aca="false">(Sens!H11090+Sens!H11109)*Sens!H11108/1000</f>
        <v>156.0606619104</v>
      </c>
      <c r="I11110" s="6" t="n">
        <f aca="false">(Sens!I11090+Sens!I11109)*Sens!I11108/1000</f>
        <v>140.987889434245</v>
      </c>
      <c r="J11110" s="6" t="n">
        <f aca="false">(Sens!J11090+Sens!J11109)*Sens!J11108/1000</f>
        <v>113.309125559842</v>
      </c>
      <c r="K11110" s="6" t="n">
        <f aca="false">(Sens!K11090+Sens!K11109)*Sens!K11108/1000</f>
        <v>116.192591420959</v>
      </c>
    </row>
    <row r="11111" customFormat="false" ht="17.15" hidden="false" customHeight="false" outlineLevel="0" collapsed="false">
      <c r="A11111" s="0" t="s">
        <v>847</v>
      </c>
      <c r="B11111" s="0" t="s">
        <v>98</v>
      </c>
      <c r="C11111" s="6" t="n">
        <f aca="false">Sens!C11090*self_build*tk_cxfac/1000</f>
        <v>6.2083</v>
      </c>
      <c r="D11111" s="6" t="n">
        <f aca="false">Sens!D11090*self_build*tk_cxfac/1000</f>
        <v>9.3758</v>
      </c>
      <c r="E11111" s="6" t="n">
        <f aca="false">Sens!E11090*self_build*tk_cxfac/1000</f>
        <v>18.6249</v>
      </c>
      <c r="F11111" s="6" t="n">
        <f aca="false">Sens!F11090*self_build*tk_cxfac/1000</f>
        <v>29.409604</v>
      </c>
      <c r="G11111" s="6" t="n">
        <f aca="false">Sens!G11090*self_build*tk_cxfac/1000</f>
        <v>32.019624</v>
      </c>
      <c r="H11111" s="6" t="n">
        <f aca="false">Sens!H11090*self_build*tk_cxfac/1000</f>
        <v>32.019624</v>
      </c>
      <c r="I11111" s="6" t="n">
        <f aca="false">Sens!I11090*self_build*tk_cxfac/1000</f>
        <v>22.71877972</v>
      </c>
      <c r="J11111" s="6" t="n">
        <f aca="false">Sens!J11090*self_build*tk_cxfac/1000</f>
        <v>13.8723110344</v>
      </c>
      <c r="K11111" s="6" t="n">
        <f aca="false">Sens!K11090*self_build*tk_cxfac/1000</f>
        <v>5.214823882632</v>
      </c>
    </row>
    <row r="11112" customFormat="false" ht="17.15" hidden="false" customHeight="false" outlineLevel="0" collapsed="false">
      <c r="A11112" s="0" t="s">
        <v>848</v>
      </c>
      <c r="B11112" s="0" t="s">
        <v>98</v>
      </c>
      <c r="F11112" s="6" t="n">
        <f aca="false">MAX(0,capex_floor27-Sens!F11110-Sens!F11111-Sens!F11206)</f>
        <v>8.13777689897088</v>
      </c>
    </row>
    <row r="11113" customFormat="false" ht="17.15" hidden="false" customHeight="false" outlineLevel="0" collapsed="false">
      <c r="A11113" s="0" t="s">
        <v>849</v>
      </c>
      <c r="B11113" s="0" t="s">
        <v>98</v>
      </c>
      <c r="C11113" s="6" t="n">
        <f aca="false">Sens!C11110</f>
        <v>22.5333845916667</v>
      </c>
      <c r="D11113" s="6" t="n">
        <f aca="false">Sens!D11110</f>
        <v>34.0300093833333</v>
      </c>
      <c r="E11113" s="6" t="n">
        <f aca="false">Sens!E11110</f>
        <v>67.600153775</v>
      </c>
      <c r="F11113" s="6" t="n">
        <f aca="false">Sens!F11110</f>
        <v>130.923271871467</v>
      </c>
      <c r="G11113" s="6" t="n">
        <f aca="false">Sens!G11110</f>
        <v>151.5545564832</v>
      </c>
      <c r="H11113" s="6" t="n">
        <f aca="false">Sens!H11110</f>
        <v>156.0606619104</v>
      </c>
      <c r="I11113" s="6" t="n">
        <f aca="false">Sens!I11110</f>
        <v>140.987889434245</v>
      </c>
      <c r="J11113" s="6" t="n">
        <f aca="false">Sens!J11110</f>
        <v>113.309125559842</v>
      </c>
      <c r="K11113" s="6" t="n">
        <f aca="false">Sens!K11110</f>
        <v>116.192591420959</v>
      </c>
    </row>
    <row r="11114" customFormat="false" ht="17.15" hidden="false" customHeight="false" outlineLevel="0" collapsed="false">
      <c r="A11114" s="0" t="s">
        <v>850</v>
      </c>
      <c r="B11114" s="0" t="s">
        <v>98</v>
      </c>
      <c r="C11114" s="6" t="n">
        <f aca="false">Sens!C11113+Sens!C11111</f>
        <v>28.7416845916667</v>
      </c>
      <c r="D11114" s="6" t="n">
        <f aca="false">Sens!D11113+Sens!D11111</f>
        <v>43.4058093833333</v>
      </c>
      <c r="E11114" s="6" t="n">
        <f aca="false">Sens!E11113+Sens!E11111</f>
        <v>86.225053775</v>
      </c>
      <c r="F11114" s="6" t="n">
        <f aca="false">Sens!F11113+Sens!F11111</f>
        <v>160.332875871467</v>
      </c>
      <c r="G11114" s="6" t="n">
        <f aca="false">Sens!G11113+Sens!G11111</f>
        <v>183.5741804832</v>
      </c>
      <c r="H11114" s="6" t="n">
        <f aca="false">Sens!H11113+Sens!H11111</f>
        <v>188.0802859104</v>
      </c>
      <c r="I11114" s="6" t="n">
        <f aca="false">Sens!I11113+Sens!I11111</f>
        <v>163.706669154245</v>
      </c>
      <c r="J11114" s="6" t="n">
        <f aca="false">Sens!J11113+Sens!J11111</f>
        <v>127.181436594242</v>
      </c>
      <c r="K11114" s="6" t="n">
        <f aca="false">Sens!K11113+Sens!K11111</f>
        <v>121.407415303591</v>
      </c>
      <c r="L11114" s="11" t="s">
        <v>851</v>
      </c>
    </row>
    <row r="11115" customFormat="false" ht="17.15" hidden="false" customHeight="false" outlineLevel="0" collapsed="false">
      <c r="A11115" s="0" t="s">
        <v>852</v>
      </c>
      <c r="B11115" s="0" t="s">
        <v>98</v>
      </c>
      <c r="E11115" s="6" t="n">
        <f aca="false">(Sens!C11113*IF(2&lt;life_it,1,IF(2=life_it,0.5,0))+Sens!D11113*IF(1&lt;life_it,1,IF(1=life_it,0.5,0))+Sens!E11113*0.5)/life_it</f>
        <v>15.0605784770833</v>
      </c>
      <c r="F11115" s="6" t="n">
        <f aca="false">(Sens!C11113*IF(3&lt;life_it,1,IF(3=life_it,0.5,0))+Sens!D11113*IF(2&lt;life_it,1,IF(2=life_it,0.5,0))+Sens!E11113*IF(1&lt;life_it,1,IF(1=life_it,0.5,0))+Sens!F11113*0.5)/life_it</f>
        <v>31.6041972809556</v>
      </c>
      <c r="G11115" s="6" t="n">
        <f aca="false">(Sens!C11113*IF(4&lt;life_it,1,IF(4=life_it,0.5,0))+Sens!D11113*IF(3&lt;life_it,1,IF(3=life_it,0.5,0))+Sens!E11113*IF(2&lt;life_it,1,IF(2=life_it,0.5,0))+Sens!F11113*IF(1&lt;life_it,1,IF(1=life_it,0.5,0))+Sens!G11113*0.5)/life_it</f>
        <v>55.1440163105111</v>
      </c>
      <c r="H11115" s="6" t="n">
        <f aca="false">(Sens!C11113*IF(5&lt;life_it,1,IF(5=life_it,0.5,0))+Sens!D11113*IF(4&lt;life_it,1,IF(4=life_it,0.5,0))+Sens!E11113*IF(3&lt;life_it,1,IF(3=life_it,0.5,0))+Sens!F11113*IF(2&lt;life_it,1,IF(2=life_it,0.5,0))+Sens!G11113*IF(1&lt;life_it,1,IF(1=life_it,0.5,0))+Sens!H11113*0.5)/life_it</f>
        <v>80.7786178433111</v>
      </c>
      <c r="I11115" s="6" t="n">
        <f aca="false">(Sens!C11113*IF(6&lt;life_it,1,IF(6=life_it,0.5,0))+Sens!D11113*IF(5&lt;life_it,1,IF(5=life_it,0.5,0))+Sens!E11113*IF(4&lt;life_it,1,IF(4=life_it,0.5,0))+Sens!F11113*IF(3&lt;life_it,1,IF(3=life_it,0.5,0))+Sens!G11113*IF(2&lt;life_it,1,IF(2=life_it,0.5,0))+Sens!H11113*IF(1&lt;life_it,1,IF(1=life_it,0.5,0))+Sens!I11113*0.5)/life_it</f>
        <v>103.654881739393</v>
      </c>
      <c r="J11115" s="6" t="n">
        <f aca="false">(Sens!C11113*IF(7&lt;life_it,1,IF(7=life_it,0.5,0))+Sens!D11113*IF(6&lt;life_it,1,IF(6=life_it,0.5,0))+Sens!E11113*IF(5&lt;life_it,1,IF(5=life_it,0.5,0))+Sens!F11113*IF(4&lt;life_it,1,IF(4=life_it,0.5,0))+Sens!G11113*IF(3&lt;life_it,1,IF(3=life_it,0.5,0))+Sens!H11113*IF(2&lt;life_it,1,IF(2=life_it,0.5,0))+Sens!I11113*IF(1&lt;life_it,1,IF(1=life_it,0.5,0))+Sens!J11113*0.5)/life_it</f>
        <v>120.132683490983</v>
      </c>
      <c r="K11115" s="6" t="n">
        <f aca="false">(Sens!C11113*IF(8&lt;life_it,1,IF(8=life_it,0.5,0))+Sens!D11113*IF(7&lt;life_it,1,IF(7=life_it,0.5,0))+Sens!E11113*IF(6&lt;life_it,1,IF(6=life_it,0.5,0))+Sens!F11113*IF(5&lt;life_it,1,IF(5=life_it,0.5,0))+Sens!G11113*IF(4&lt;life_it,1,IF(4=life_it,0.5,0))+Sens!H11113*IF(3&lt;life_it,1,IF(3=life_it,0.5,0))+Sens!I11113*IF(2&lt;life_it,1,IF(2=life_it,0.5,0))+Sens!J11113*IF(1&lt;life_it,1,IF(1=life_it,0.5,0))+Sens!K11113*0.5)/life_it</f>
        <v>130.788646309522</v>
      </c>
    </row>
    <row r="11116" customFormat="false" ht="17.15" hidden="false" customHeight="false" outlineLevel="0" collapsed="false">
      <c r="A11116" s="0" t="s">
        <v>853</v>
      </c>
      <c r="B11116" s="0" t="s">
        <v>98</v>
      </c>
      <c r="E11116" s="6" t="n">
        <f aca="false">(Sens!C11111*IF(2&lt;life_fac,1,IF(2=life_fac,0.5,0))+Sens!D11111*IF(1&lt;life_fac,1,IF(1=life_fac,0.5,0))+Sens!E11111*0.5)/life_fac</f>
        <v>1.2448275</v>
      </c>
      <c r="F11116" s="6" t="n">
        <f aca="false">(Sens!C11111*IF(3&lt;life_fac,1,IF(3=life_fac,0.5,0))+Sens!D11111*IF(2&lt;life_fac,1,IF(2=life_fac,0.5,0))+Sens!E11111*IF(1&lt;life_fac,1,IF(1=life_fac,0.5,0))+Sens!F11111*0.5)/life_fac</f>
        <v>2.4456901</v>
      </c>
      <c r="G11116" s="6" t="n">
        <f aca="false">(Sens!C11111*IF(4&lt;life_fac,1,IF(4=life_fac,0.5,0))+Sens!D11111*IF(3&lt;life_fac,1,IF(3=life_fac,0.5,0))+Sens!E11111*IF(2&lt;life_fac,1,IF(2=life_fac,0.5,0))+Sens!F11111*IF(1&lt;life_fac,1,IF(1=life_fac,0.5,0))+Sens!G11111*0.5)/life_fac</f>
        <v>3.9814208</v>
      </c>
      <c r="H11116" s="6" t="n">
        <f aca="false">(Sens!C11111*IF(5&lt;life_fac,1,IF(5=life_fac,0.5,0))+Sens!D11111*IF(4&lt;life_fac,1,IF(4=life_fac,0.5,0))+Sens!E11111*IF(3&lt;life_fac,1,IF(3=life_fac,0.5,0))+Sens!F11111*IF(2&lt;life_fac,1,IF(2=life_fac,0.5,0))+Sens!G11111*IF(1&lt;life_fac,1,IF(1=life_fac,0.5,0))+Sens!H11111*0.5)/life_fac</f>
        <v>5.582402</v>
      </c>
      <c r="I11116" s="6" t="n">
        <f aca="false">(Sens!C11111*IF(6&lt;life_fac,1,IF(6=life_fac,0.5,0))+Sens!D11111*IF(5&lt;life_fac,1,IF(5=life_fac,0.5,0))+Sens!E11111*IF(4&lt;life_fac,1,IF(4=life_fac,0.5,0))+Sens!F11111*IF(3&lt;life_fac,1,IF(3=life_fac,0.5,0))+Sens!G11111*IF(2&lt;life_fac,1,IF(2=life_fac,0.5,0))+Sens!H11111*IF(1&lt;life_fac,1,IF(1=life_fac,0.5,0))+Sens!I11111*0.5)/life_fac</f>
        <v>6.950862093</v>
      </c>
      <c r="J11116" s="6" t="n">
        <f aca="false">(Sens!C11111*IF(7&lt;life_fac,1,IF(7=life_fac,0.5,0))+Sens!D11111*IF(6&lt;life_fac,1,IF(6=life_fac,0.5,0))+Sens!E11111*IF(5&lt;life_fac,1,IF(5=life_fac,0.5,0))+Sens!F11111*IF(4&lt;life_fac,1,IF(4=life_fac,0.5,0))+Sens!G11111*IF(3&lt;life_fac,1,IF(3=life_fac,0.5,0))+Sens!H11111*IF(2&lt;life_fac,1,IF(2=life_fac,0.5,0))+Sens!I11111*IF(1&lt;life_fac,1,IF(1=life_fac,0.5,0))+Sens!J11111*0.5)/life_fac</f>
        <v>7.86563936186</v>
      </c>
      <c r="K11116" s="6" t="n">
        <f aca="false">(Sens!C11111*IF(8&lt;life_fac,1,IF(8=life_fac,0.5,0))+Sens!D11111*IF(7&lt;life_fac,1,IF(7=life_fac,0.5,0))+Sens!E11111*IF(6&lt;life_fac,1,IF(6=life_fac,0.5,0))+Sens!F11111*IF(5&lt;life_fac,1,IF(5=life_fac,0.5,0))+Sens!G11111*IF(4&lt;life_fac,1,IF(4=life_fac,0.5,0))+Sens!H11111*IF(3&lt;life_fac,1,IF(3=life_fac,0.5,0))+Sens!I11111*IF(2&lt;life_fac,1,IF(2=life_fac,0.5,0))+Sens!J11111*IF(1&lt;life_fac,1,IF(1=life_fac,0.5,0))+Sens!K11111*0.5)/life_fac</f>
        <v>8.3428177347858</v>
      </c>
    </row>
    <row r="11117" customFormat="false" ht="17.15" hidden="false" customHeight="false" outlineLevel="0" collapsed="false">
      <c r="A11117" s="0" t="s">
        <v>854</v>
      </c>
      <c r="B11117" s="0" t="s">
        <v>98</v>
      </c>
      <c r="E11117" s="6" t="n">
        <f aca="false">Sens!E11115+Sens!E11116</f>
        <v>16.3054059770833</v>
      </c>
      <c r="F11117" s="6" t="n">
        <f aca="false">Sens!F11115+Sens!F11116</f>
        <v>34.0498873809555</v>
      </c>
      <c r="G11117" s="6" t="n">
        <f aca="false">Sens!G11115+Sens!G11116</f>
        <v>59.1254371105111</v>
      </c>
      <c r="H11117" s="6" t="n">
        <f aca="false">Sens!H11115+Sens!H11116</f>
        <v>86.3610198433111</v>
      </c>
      <c r="I11117" s="6" t="n">
        <f aca="false">Sens!I11115+Sens!I11116</f>
        <v>110.605743832393</v>
      </c>
      <c r="J11117" s="6" t="n">
        <f aca="false">Sens!J11115+Sens!J11116</f>
        <v>127.998322852843</v>
      </c>
      <c r="K11117" s="6" t="n">
        <f aca="false">Sens!K11115+Sens!K11116</f>
        <v>139.131464044308</v>
      </c>
    </row>
    <row r="11118" customFormat="false" ht="17.15" hidden="false" customHeight="false" outlineLevel="0" collapsed="false">
      <c r="A11118" s="0" t="s">
        <v>855</v>
      </c>
      <c r="B11118" s="0" t="s">
        <v>98</v>
      </c>
      <c r="E11118" s="6" t="n">
        <f aca="false">Sens!E11106-Sens!E11105*Sens!E11117</f>
        <v>8.92707889977379</v>
      </c>
      <c r="F11118" s="6" t="n">
        <f aca="false">Sens!F11106-Sens!F11105*Sens!F11117</f>
        <v>22.6979209761638</v>
      </c>
      <c r="G11118" s="6" t="n">
        <f aca="false">Sens!G11106-Sens!G11105*Sens!G11117</f>
        <v>42.9960401135986</v>
      </c>
      <c r="H11118" s="6" t="n">
        <f aca="false">Sens!H11106-Sens!H11105*Sens!H11117</f>
        <v>68.3530123552322</v>
      </c>
      <c r="I11118" s="6" t="n">
        <f aca="false">Sens!I11106-Sens!I11105*Sens!I11117</f>
        <v>85.5693875361303</v>
      </c>
      <c r="J11118" s="6" t="n">
        <f aca="false">Sens!J11106-Sens!J11105*Sens!J11117</f>
        <v>97.6813621174372</v>
      </c>
      <c r="K11118" s="6" t="n">
        <f aca="false">Sens!K11106-Sens!K11105*Sens!K11117</f>
        <v>106.099477202773</v>
      </c>
    </row>
    <row r="11119" customFormat="false" ht="17.15" hidden="false" customHeight="false" outlineLevel="0" collapsed="false">
      <c r="A11119" s="3" t="s">
        <v>1548</v>
      </c>
    </row>
    <row r="11120" customFormat="false" ht="15" hidden="false" customHeight="false" outlineLevel="0" collapsed="false">
      <c r="A11120" s="4" t="s">
        <v>43</v>
      </c>
      <c r="B11120" s="4" t="s">
        <v>65</v>
      </c>
      <c r="C11120" s="20" t="s">
        <v>799</v>
      </c>
      <c r="D11120" s="20" t="s">
        <v>800</v>
      </c>
      <c r="E11120" s="20" t="s">
        <v>801</v>
      </c>
      <c r="F11120" s="20" t="s">
        <v>802</v>
      </c>
      <c r="G11120" s="20" t="s">
        <v>803</v>
      </c>
      <c r="H11120" s="20" t="s">
        <v>804</v>
      </c>
      <c r="I11120" s="20" t="s">
        <v>805</v>
      </c>
      <c r="J11120" s="20" t="s">
        <v>806</v>
      </c>
      <c r="K11120" s="20" t="s">
        <v>807</v>
      </c>
      <c r="L11120" s="4" t="s">
        <v>47</v>
      </c>
    </row>
    <row r="11121" customFormat="false" ht="17.15" hidden="false" customHeight="false" outlineLevel="0" collapsed="false">
      <c r="A11121" s="0" t="s">
        <v>874</v>
      </c>
      <c r="B11121" s="0" t="s">
        <v>98</v>
      </c>
      <c r="D11121" s="6" t="n">
        <f aca="false">Sens!D11100</f>
        <v>12.9359794422418</v>
      </c>
      <c r="E11121" s="6" t="n">
        <f aca="false">Sens!E11100</f>
        <v>27.8095064661409</v>
      </c>
      <c r="F11121" s="6" t="n">
        <f aca="false">Sens!F11100</f>
        <v>58.7324192305018</v>
      </c>
      <c r="G11121" s="6" t="n">
        <f aca="false">Sens!G11100</f>
        <v>101.369089141153</v>
      </c>
      <c r="H11121" s="6" t="n">
        <f aca="false">Sens!H11100</f>
        <v>149.785610014234</v>
      </c>
      <c r="I11121" s="6" t="n">
        <f aca="false">Sens!I11100</f>
        <v>187.368703083263</v>
      </c>
      <c r="J11121" s="6" t="n">
        <f aca="false">Sens!J11100</f>
        <v>213.886657444854</v>
      </c>
      <c r="K11121" s="6" t="n">
        <f aca="false">Sens!K11100</f>
        <v>231.253475259589</v>
      </c>
    </row>
    <row r="11122" customFormat="false" ht="17.15" hidden="false" customHeight="false" outlineLevel="0" collapsed="false">
      <c r="A11122" s="0" t="s">
        <v>875</v>
      </c>
      <c r="B11122" s="0" t="s">
        <v>98</v>
      </c>
      <c r="D11122" s="6" t="n">
        <f aca="false">Q!L6-Sens!D11121</f>
        <v>59.6740205577583</v>
      </c>
      <c r="E11122" s="6" t="n">
        <f aca="false">Q!M6-Sens!E11121</f>
        <v>74.1284935338591</v>
      </c>
      <c r="F11122" s="6" t="n">
        <f aca="false">Sens!E11122*(1+Sens!F11123)</f>
        <v>90.0799497373663</v>
      </c>
      <c r="G11122" s="6" t="n">
        <f aca="false">Sens!F11122*(1+Sens!G11123)</f>
        <v>107.02842520331</v>
      </c>
      <c r="H11122" s="6" t="n">
        <f aca="false">Sens!G11122*(1+Sens!H11123)</f>
        <v>124.271982585636</v>
      </c>
      <c r="I11122" s="6" t="n">
        <f aca="false">Sens!H11122*(1+Sens!I11123)</f>
        <v>140.933702381855</v>
      </c>
      <c r="J11122" s="6" t="n">
        <f aca="false">Sens!I11122*(1+Sens!J11123)</f>
        <v>156.018867314332</v>
      </c>
      <c r="K11122" s="6" t="n">
        <f aca="false">Sens!J11122*(1+Sens!K11123)</f>
        <v>168.500376699478</v>
      </c>
    </row>
    <row r="11123" customFormat="false" ht="15" hidden="false" customHeight="false" outlineLevel="0" collapsed="false">
      <c r="A11123" s="1" t="s">
        <v>876</v>
      </c>
      <c r="B11123" s="0" t="s">
        <v>129</v>
      </c>
      <c r="E11123" s="7" t="n">
        <f aca="false">Sens!E11122/Sens!D11122-1</f>
        <v>0.242223883039864</v>
      </c>
      <c r="F11123" s="7" t="n">
        <f aca="false">Sens!$E$11123+(glt_azo-Sens!$E$11123)*MIN(1,(Sens!F11083-base_fy)/n_conv)</f>
        <v>0.215186569199887</v>
      </c>
      <c r="G11123" s="7" t="n">
        <f aca="false">Sens!$E$11123+(glt_azo-Sens!$E$11123)*MIN(1,(Sens!G11083-base_fy)/n_conv)</f>
        <v>0.18814925535991</v>
      </c>
      <c r="H11123" s="7" t="n">
        <f aca="false">Sens!$E$11123+(glt_azo-Sens!$E$11123)*MIN(1,(Sens!H11083-base_fy)/n_conv)</f>
        <v>0.161111941519932</v>
      </c>
      <c r="I11123" s="7" t="n">
        <f aca="false">Sens!$E$11123+(glt_azo-Sens!$E$11123)*MIN(1,(Sens!I11083-base_fy)/n_conv)</f>
        <v>0.134074627679955</v>
      </c>
      <c r="J11123" s="7" t="n">
        <f aca="false">Sens!$E$11123+(glt_azo-Sens!$E$11123)*MIN(1,(Sens!J11083-base_fy)/n_conv)</f>
        <v>0.107037313839977</v>
      </c>
      <c r="K11123" s="7" t="n">
        <f aca="false">Sens!$E$11123+(glt_azo-Sens!$E$11123)*MIN(1,(Sens!K11083-base_fy)/n_conv)</f>
        <v>0.08</v>
      </c>
    </row>
    <row r="11124" customFormat="false" ht="15" hidden="false" customHeight="false" outlineLevel="0" collapsed="false">
      <c r="A11124" s="0" t="s">
        <v>877</v>
      </c>
      <c r="B11124" s="0" t="s">
        <v>98</v>
      </c>
      <c r="D11124" s="6" t="n">
        <f aca="false">Sens!D11121+Sens!D11122</f>
        <v>72.61</v>
      </c>
      <c r="E11124" s="6" t="n">
        <f aca="false">Sens!E11121+Sens!E11122</f>
        <v>101.938</v>
      </c>
      <c r="F11124" s="6" t="n">
        <f aca="false">Sens!F11121+Sens!F11122</f>
        <v>148.812368967868</v>
      </c>
      <c r="G11124" s="6" t="n">
        <f aca="false">Sens!G11121+Sens!G11122</f>
        <v>208.397514344463</v>
      </c>
      <c r="H11124" s="6" t="n">
        <f aca="false">Sens!H11121+Sens!H11122</f>
        <v>274.05759259987</v>
      </c>
      <c r="I11124" s="6" t="n">
        <f aca="false">Sens!I11121+Sens!I11122</f>
        <v>328.302405465117</v>
      </c>
      <c r="J11124" s="6" t="n">
        <f aca="false">Sens!J11121+Sens!J11122</f>
        <v>369.905524759186</v>
      </c>
      <c r="K11124" s="6" t="n">
        <f aca="false">Sens!K11121+Sens!K11122</f>
        <v>399.753851959067</v>
      </c>
    </row>
    <row r="11125" customFormat="false" ht="17.15" hidden="false" customHeight="false" outlineLevel="0" collapsed="false">
      <c r="A11125" s="0" t="s">
        <v>878</v>
      </c>
      <c r="B11125" s="1" t="s">
        <v>528</v>
      </c>
      <c r="C11125" s="29" t="n">
        <f aca="false">cop_s24</f>
        <v>1</v>
      </c>
      <c r="D11125" s="29" t="n">
        <f aca="false">cop_s25</f>
        <v>5</v>
      </c>
      <c r="E11125" s="29" t="n">
        <f aca="false">cop_s26</f>
        <v>30</v>
      </c>
      <c r="F11125" s="29" t="n">
        <f aca="false">Sens!E11125+cop_add_A</f>
        <v>60</v>
      </c>
      <c r="G11125" s="29" t="n">
        <f aca="false">Sens!F11125+cop_add_A</f>
        <v>90</v>
      </c>
      <c r="H11125" s="29" t="n">
        <f aca="false">Sens!G11125+cop_add_A</f>
        <v>120</v>
      </c>
      <c r="I11125" s="29" t="n">
        <f aca="false">Sens!H11125+cop_add_A*cop_tail</f>
        <v>135</v>
      </c>
      <c r="J11125" s="29" t="n">
        <f aca="false">Sens!I11125+cop_add_A*cop_tail</f>
        <v>150</v>
      </c>
      <c r="K11125" s="29" t="n">
        <f aca="false">Sens!J11125+cop_add_A*cop_tail</f>
        <v>165</v>
      </c>
      <c r="L11125" s="11" t="s">
        <v>879</v>
      </c>
    </row>
    <row r="11126" customFormat="false" ht="17.15" hidden="false" customHeight="false" outlineLevel="0" collapsed="false">
      <c r="A11126" s="0" t="s">
        <v>880</v>
      </c>
      <c r="B11126" s="0" t="s">
        <v>98</v>
      </c>
      <c r="D11126" s="6" t="n">
        <f aca="false">(Sens!C11125+Sens!D11125)/2*cop_px*12/1000</f>
        <v>0.9</v>
      </c>
      <c r="E11126" s="6" t="n">
        <f aca="false">(Sens!D11125+Sens!E11125)/2*cop_px*12/1000</f>
        <v>5.25</v>
      </c>
      <c r="F11126" s="6" t="n">
        <f aca="false">(Sens!E11125+Sens!F11125)/2*cop_px*12/1000</f>
        <v>13.5</v>
      </c>
      <c r="G11126" s="6" t="n">
        <f aca="false">(Sens!F11125+Sens!G11125)/2*cop_px*12/1000</f>
        <v>22.5</v>
      </c>
      <c r="H11126" s="6" t="n">
        <f aca="false">(Sens!G11125+Sens!H11125)/2*cop_px*12/1000</f>
        <v>31.5</v>
      </c>
      <c r="I11126" s="6" t="n">
        <f aca="false">(Sens!H11125+Sens!I11125)/2*cop_px*12/1000</f>
        <v>38.25</v>
      </c>
      <c r="J11126" s="6" t="n">
        <f aca="false">(Sens!I11125+Sens!J11125)/2*cop_px*12/1000</f>
        <v>42.75</v>
      </c>
      <c r="K11126" s="6" t="n">
        <f aca="false">(Sens!J11125+Sens!K11125)/2*cop_px*12/1000</f>
        <v>47.25</v>
      </c>
      <c r="L11126" s="1" t="s">
        <v>881</v>
      </c>
    </row>
    <row r="11127" customFormat="false" ht="17.15" hidden="false" customHeight="false" outlineLevel="0" collapsed="false">
      <c r="A11127" s="0" t="s">
        <v>882</v>
      </c>
      <c r="B11127" s="0" t="s">
        <v>98</v>
      </c>
      <c r="D11127" s="6" t="n">
        <f aca="false">Q!L7-Sens!D11126</f>
        <v>83.705</v>
      </c>
      <c r="E11127" s="6" t="n">
        <f aca="false">Q!M7-Sens!E11126</f>
        <v>95.049</v>
      </c>
      <c r="F11127" s="6" t="n">
        <f aca="false">Sens!E11127*(1+Sens!F11128)</f>
        <v>106.89238776686</v>
      </c>
      <c r="G11127" s="6" t="n">
        <f aca="false">Sens!F11127*(1+Sens!G11128)</f>
        <v>119.044168448684</v>
      </c>
      <c r="H11127" s="6" t="n">
        <f aca="false">Sens!G11127*(1+Sens!H11128)</f>
        <v>131.277359388781</v>
      </c>
      <c r="I11127" s="6" t="n">
        <f aca="false">Sens!H11127*(1+Sens!I11128)</f>
        <v>143.334028071957</v>
      </c>
      <c r="J11127" s="6" t="n">
        <f aca="false">Sens!I11127*(1+Sens!J11128)</f>
        <v>154.932702785465</v>
      </c>
      <c r="K11127" s="6" t="n">
        <f aca="false">Sens!J11127*(1+Sens!K11128)</f>
        <v>165.777991980448</v>
      </c>
    </row>
    <row r="11128" customFormat="false" ht="15" hidden="false" customHeight="false" outlineLevel="0" collapsed="false">
      <c r="A11128" s="1" t="s">
        <v>876</v>
      </c>
      <c r="B11128" s="0" t="s">
        <v>129</v>
      </c>
      <c r="E11128" s="7" t="n">
        <f aca="false">Sens!E11127/Sens!D11127-1</f>
        <v>0.135523564900544</v>
      </c>
      <c r="F11128" s="7" t="n">
        <f aca="false">Sens!$E$11128+(glt_m365b-Sens!$E$11128)*MIN(1,(Sens!F11083-base_fy)/n_conv)</f>
        <v>0.124602970750453</v>
      </c>
      <c r="G11128" s="7" t="n">
        <f aca="false">Sens!$E$11128+(glt_m365b-Sens!$E$11128)*MIN(1,(Sens!G11083-base_fy)/n_conv)</f>
        <v>0.113682376600363</v>
      </c>
      <c r="H11128" s="7" t="n">
        <f aca="false">Sens!$E$11128+(glt_m365b-Sens!$E$11128)*MIN(1,(Sens!H11083-base_fy)/n_conv)</f>
        <v>0.102761782450272</v>
      </c>
      <c r="I11128" s="7" t="n">
        <f aca="false">Sens!$E$11128+(glt_m365b-Sens!$E$11128)*MIN(1,(Sens!I11083-base_fy)/n_conv)</f>
        <v>0.0918411883001813</v>
      </c>
      <c r="J11128" s="7" t="n">
        <f aca="false">Sens!$E$11128+(glt_m365b-Sens!$E$11128)*MIN(1,(Sens!J11083-base_fy)/n_conv)</f>
        <v>0.0809205941500906</v>
      </c>
      <c r="K11128" s="7" t="n">
        <f aca="false">Sens!$E$11128+(glt_m365b-Sens!$E$11128)*MIN(1,(Sens!K11083-base_fy)/n_conv)</f>
        <v>0.07</v>
      </c>
    </row>
    <row r="11129" customFormat="false" ht="15" hidden="false" customHeight="false" outlineLevel="0" collapsed="false">
      <c r="A11129" s="0" t="s">
        <v>883</v>
      </c>
      <c r="B11129" s="0" t="s">
        <v>98</v>
      </c>
      <c r="D11129" s="6" t="n">
        <f aca="false">Sens!D11127+Sens!D11126</f>
        <v>84.605</v>
      </c>
      <c r="E11129" s="6" t="n">
        <f aca="false">Sens!E11127+Sens!E11126</f>
        <v>100.299</v>
      </c>
      <c r="F11129" s="6" t="n">
        <f aca="false">Sens!F11127+Sens!F11126</f>
        <v>120.39238776686</v>
      </c>
      <c r="G11129" s="6" t="n">
        <f aca="false">Sens!G11127+Sens!G11126</f>
        <v>141.544168448684</v>
      </c>
      <c r="H11129" s="6" t="n">
        <f aca="false">Sens!H11127+Sens!H11126</f>
        <v>162.777359388781</v>
      </c>
      <c r="I11129" s="6" t="n">
        <f aca="false">Sens!I11127+Sens!I11126</f>
        <v>181.584028071957</v>
      </c>
      <c r="J11129" s="6" t="n">
        <f aca="false">Sens!J11127+Sens!J11126</f>
        <v>197.682702785465</v>
      </c>
      <c r="K11129" s="6" t="n">
        <f aca="false">Sens!K11127+Sens!K11126</f>
        <v>213.027991980448</v>
      </c>
    </row>
    <row r="11130" customFormat="false" ht="15" hidden="false" customHeight="false" outlineLevel="0" collapsed="false">
      <c r="A11130" s="0" t="s">
        <v>884</v>
      </c>
      <c r="B11130" s="0" t="s">
        <v>98</v>
      </c>
      <c r="D11130" s="6" t="n">
        <f aca="false">Q!L8</f>
        <v>35.391</v>
      </c>
      <c r="E11130" s="6" t="n">
        <f aca="false">Q!M8</f>
        <v>37.285</v>
      </c>
      <c r="F11130" s="6" t="n">
        <f aca="false">Sens!E11130*(1+Sens!F11131)</f>
        <v>39.0720834331704</v>
      </c>
      <c r="G11130" s="6" t="n">
        <f aca="false">Sens!F11130*(1+Sens!G11131)</f>
        <v>40.726562953769</v>
      </c>
      <c r="H11130" s="6" t="n">
        <f aca="false">Sens!G11130*(1+Sens!H11131)</f>
        <v>42.2235987259198</v>
      </c>
      <c r="I11130" s="6" t="n">
        <f aca="false">Sens!H11130*(1+Sens!I11131)</f>
        <v>43.5397988077414</v>
      </c>
      <c r="J11130" s="6" t="n">
        <f aca="false">Sens!I11130*(1+Sens!J11131)</f>
        <v>44.653811225693</v>
      </c>
      <c r="K11130" s="6" t="n">
        <f aca="false">Sens!J11130*(1+Sens!K11131)</f>
        <v>45.5468874502068</v>
      </c>
    </row>
    <row r="11131" customFormat="false" ht="15" hidden="false" customHeight="false" outlineLevel="0" collapsed="false">
      <c r="A11131" s="1" t="s">
        <v>876</v>
      </c>
      <c r="B11131" s="0" t="s">
        <v>129</v>
      </c>
      <c r="E11131" s="7" t="n">
        <f aca="false">Sens!E11130/Sens!D11130-1</f>
        <v>0.0535164307309768</v>
      </c>
      <c r="F11131" s="7" t="n">
        <f aca="false">Sens!$E$11131+(glt_lic-Sens!$E$11131)*MIN(1,(Sens!F11083-base_fy)/n_conv)</f>
        <v>0.0479303589424807</v>
      </c>
      <c r="G11131" s="7" t="n">
        <f aca="false">Sens!$E$11131+(glt_lic-Sens!$E$11131)*MIN(1,(Sens!G11083-base_fy)/n_conv)</f>
        <v>0.0423442871539845</v>
      </c>
      <c r="H11131" s="7" t="n">
        <f aca="false">Sens!$E$11131+(glt_lic-Sens!$E$11131)*MIN(1,(Sens!H11083-base_fy)/n_conv)</f>
        <v>0.0367582153654884</v>
      </c>
      <c r="I11131" s="7" t="n">
        <f aca="false">Sens!$E$11131+(glt_lic-Sens!$E$11131)*MIN(1,(Sens!I11083-base_fy)/n_conv)</f>
        <v>0.0311721435769923</v>
      </c>
      <c r="J11131" s="7" t="n">
        <f aca="false">Sens!$E$11131+(glt_lic-Sens!$E$11131)*MIN(1,(Sens!J11083-base_fy)/n_conv)</f>
        <v>0.0255860717884961</v>
      </c>
      <c r="K11131" s="7" t="n">
        <f aca="false">Sens!$E$11131+(glt_lic-Sens!$E$11131)*MIN(1,(Sens!K11083-base_fy)/n_conv)</f>
        <v>0.02</v>
      </c>
    </row>
    <row r="11132" customFormat="false" ht="15" hidden="false" customHeight="false" outlineLevel="0" collapsed="false">
      <c r="A11132" s="0" t="s">
        <v>885</v>
      </c>
      <c r="B11132" s="0" t="s">
        <v>98</v>
      </c>
      <c r="D11132" s="6" t="n">
        <f aca="false">Q!L9</f>
        <v>18.417</v>
      </c>
      <c r="E11132" s="6" t="n">
        <f aca="false">Q!M9</f>
        <v>20.345</v>
      </c>
      <c r="F11132" s="6" t="n">
        <f aca="false">Sens!E11132*(1+Sens!F11133)</f>
        <v>22.3572203267814</v>
      </c>
      <c r="G11132" s="6" t="n">
        <f aca="false">Sens!F11132*(1+Sens!G11133)</f>
        <v>24.4392124437232</v>
      </c>
      <c r="H11132" s="6" t="n">
        <f aca="false">Sens!G11132*(1+Sens!H11133)</f>
        <v>26.5738052080665</v>
      </c>
      <c r="I11132" s="6" t="n">
        <f aca="false">Sens!H11132*(1+Sens!I11133)</f>
        <v>28.7412169166967</v>
      </c>
      <c r="J11132" s="6" t="n">
        <f aca="false">Sens!I11132*(1+Sens!J11133)</f>
        <v>30.9192545395413</v>
      </c>
      <c r="K11132" s="6" t="n">
        <f aca="false">Sens!J11132*(1+Sens!K11133)</f>
        <v>33.0836023573092</v>
      </c>
    </row>
    <row r="11133" customFormat="false" ht="15" hidden="false" customHeight="false" outlineLevel="0" collapsed="false">
      <c r="A11133" s="1" t="s">
        <v>876</v>
      </c>
      <c r="B11133" s="0" t="s">
        <v>129</v>
      </c>
      <c r="E11133" s="7" t="n">
        <f aca="false">Sens!E11132/Sens!D11132-1</f>
        <v>0.104685888038225</v>
      </c>
      <c r="F11133" s="7" t="n">
        <f aca="false">Sens!$E$11133+(glt_ind-Sens!$E$11133)*MIN(1,(Sens!F11083-base_fy)/n_conv)</f>
        <v>0.0989049066985211</v>
      </c>
      <c r="G11133" s="7" t="n">
        <f aca="false">Sens!$E$11133+(glt_ind-Sens!$E$11133)*MIN(1,(Sens!G11083-base_fy)/n_conv)</f>
        <v>0.0931239253588169</v>
      </c>
      <c r="H11133" s="7" t="n">
        <f aca="false">Sens!$E$11133+(glt_ind-Sens!$E$11133)*MIN(1,(Sens!H11083-base_fy)/n_conv)</f>
        <v>0.0873429440191127</v>
      </c>
      <c r="I11133" s="7" t="n">
        <f aca="false">Sens!$E$11133+(glt_ind-Sens!$E$11133)*MIN(1,(Sens!I11083-base_fy)/n_conv)</f>
        <v>0.0815619626794085</v>
      </c>
      <c r="J11133" s="7" t="n">
        <f aca="false">Sens!$E$11133+(glt_ind-Sens!$E$11133)*MIN(1,(Sens!J11083-base_fy)/n_conv)</f>
        <v>0.0757809813397042</v>
      </c>
      <c r="K11133" s="7" t="n">
        <f aca="false">Sens!$E$11133+(glt_ind-Sens!$E$11133)*MIN(1,(Sens!K11083-base_fy)/n_conv)</f>
        <v>0.07</v>
      </c>
    </row>
    <row r="11134" customFormat="false" ht="15" hidden="false" customHeight="false" outlineLevel="0" collapsed="false">
      <c r="A11134" s="0" t="s">
        <v>886</v>
      </c>
      <c r="B11134" s="0" t="s">
        <v>98</v>
      </c>
      <c r="D11134" s="6" t="n">
        <f aca="false">Q!L10</f>
        <v>7.76</v>
      </c>
      <c r="E11134" s="6" t="n">
        <f aca="false">Q!M10</f>
        <v>8.26</v>
      </c>
      <c r="F11134" s="6" t="n">
        <f aca="false">Sens!E11134*(1+Sens!F11135)</f>
        <v>8.79988041237113</v>
      </c>
      <c r="G11134" s="6" t="n">
        <f aca="false">Sens!F11134*(1+Sens!G11135)</f>
        <v>9.38321269125306</v>
      </c>
      <c r="H11134" s="6" t="n">
        <f aca="false">Sens!G11134*(1+Sens!H11135)</f>
        <v>10.0139193587476</v>
      </c>
      <c r="I11134" s="6" t="n">
        <f aca="false">Sens!H11134*(1+Sens!I11135)</f>
        <v>10.6963111830911</v>
      </c>
      <c r="J11134" s="6" t="n">
        <f aca="false">Sens!I11134*(1+Sens!J11135)</f>
        <v>11.4351285534696</v>
      </c>
      <c r="K11134" s="6" t="n">
        <f aca="false">Sens!J11134*(1+Sens!K11135)</f>
        <v>12.2355875522124</v>
      </c>
    </row>
    <row r="11135" customFormat="false" ht="15" hidden="false" customHeight="false" outlineLevel="0" collapsed="false">
      <c r="A11135" s="1" t="s">
        <v>876</v>
      </c>
      <c r="B11135" s="0" t="s">
        <v>129</v>
      </c>
      <c r="E11135" s="7" t="n">
        <f aca="false">Sens!E11134/Sens!D11134-1</f>
        <v>0.0644329896907216</v>
      </c>
      <c r="F11135" s="7" t="n">
        <f aca="false">Sens!$E$11135+(glt_fro-Sens!$E$11135)*MIN(1,(Sens!F11083-base_fy)/n_conv)</f>
        <v>0.065360824742268</v>
      </c>
      <c r="G11135" s="7" t="n">
        <f aca="false">Sens!$E$11135+(glt_fro-Sens!$E$11135)*MIN(1,(Sens!G11083-base_fy)/n_conv)</f>
        <v>0.0662886597938144</v>
      </c>
      <c r="H11135" s="7" t="n">
        <f aca="false">Sens!$E$11135+(glt_fro-Sens!$E$11135)*MIN(1,(Sens!H11083-base_fy)/n_conv)</f>
        <v>0.0672164948453608</v>
      </c>
      <c r="I11135" s="7" t="n">
        <f aca="false">Sens!$E$11135+(glt_fro-Sens!$E$11135)*MIN(1,(Sens!I11083-base_fy)/n_conv)</f>
        <v>0.0681443298969072</v>
      </c>
      <c r="J11135" s="7" t="n">
        <f aca="false">Sens!$E$11135+(glt_fro-Sens!$E$11135)*MIN(1,(Sens!J11083-base_fy)/n_conv)</f>
        <v>0.0690721649484536</v>
      </c>
      <c r="K11135" s="7" t="n">
        <f aca="false">Sens!$E$11135+(glt_fro-Sens!$E$11135)*MIN(1,(Sens!K11083-base_fy)/n_conv)</f>
        <v>0.07</v>
      </c>
    </row>
    <row r="11136" customFormat="false" ht="15" hidden="false" customHeight="false" outlineLevel="0" collapsed="false">
      <c r="A11136" s="0" t="s">
        <v>715</v>
      </c>
      <c r="B11136" s="0" t="s">
        <v>98</v>
      </c>
      <c r="D11136" s="6" t="n">
        <f aca="false">Sens!D11124+Sens!D11129+Sens!D11130+Sens!D11132+Sens!D11134</f>
        <v>218.783</v>
      </c>
      <c r="E11136" s="6" t="n">
        <f aca="false">Sens!E11124+Sens!E11129+Sens!E11130+Sens!E11132+Sens!E11134</f>
        <v>268.127</v>
      </c>
      <c r="F11136" s="6" t="n">
        <f aca="false">Sens!F11124+Sens!F11129+Sens!F11130+Sens!F11132+Sens!F11134</f>
        <v>339.433940907051</v>
      </c>
      <c r="G11136" s="6" t="n">
        <f aca="false">Sens!G11124+Sens!G11129+Sens!G11130+Sens!G11132+Sens!G11134</f>
        <v>424.490670881892</v>
      </c>
      <c r="H11136" s="6" t="n">
        <f aca="false">Sens!H11124+Sens!H11129+Sens!H11130+Sens!H11132+Sens!H11134</f>
        <v>515.646275281385</v>
      </c>
      <c r="I11136" s="6" t="n">
        <f aca="false">Sens!I11124+Sens!I11129+Sens!I11130+Sens!I11132+Sens!I11134</f>
        <v>592.863760444604</v>
      </c>
      <c r="J11136" s="6" t="n">
        <f aca="false">Sens!J11124+Sens!J11129+Sens!J11130+Sens!J11132+Sens!J11134</f>
        <v>654.596421863355</v>
      </c>
      <c r="K11136" s="6" t="n">
        <f aca="false">Sens!K11124+Sens!K11129+Sens!K11130+Sens!K11132+Sens!K11134</f>
        <v>703.647921299244</v>
      </c>
    </row>
    <row r="11137" customFormat="false" ht="15" hidden="false" customHeight="false" outlineLevel="0" collapsed="false">
      <c r="A11137" s="0" t="s">
        <v>887</v>
      </c>
      <c r="B11137" s="0" t="s">
        <v>98</v>
      </c>
      <c r="D11137" s="6" t="n">
        <f aca="false">Q!L13</f>
        <v>22.171</v>
      </c>
      <c r="E11137" s="6" t="n">
        <f aca="false">Q!M13</f>
        <v>24.835</v>
      </c>
      <c r="F11137" s="6" t="n">
        <f aca="false">Sens!E11137*(1+Sens!F11138)</f>
        <v>27.6114901218559</v>
      </c>
      <c r="G11137" s="6" t="n">
        <f aca="false">Sens!F11137*(1+Sens!G11138)</f>
        <v>30.4675667338515</v>
      </c>
      <c r="H11137" s="6" t="n">
        <f aca="false">Sens!G11137*(1+Sens!H11138)</f>
        <v>33.3643766955789</v>
      </c>
      <c r="I11137" s="6" t="n">
        <f aca="false">Sens!H11137*(1+Sens!I11138)</f>
        <v>36.2577016533691</v>
      </c>
      <c r="J11137" s="6" t="n">
        <f aca="false">Sens!I11137*(1+Sens!J11138)</f>
        <v>39.0988367952171</v>
      </c>
      <c r="K11137" s="6" t="n">
        <f aca="false">Sens!J11137*(1+Sens!K11138)</f>
        <v>41.8357553708823</v>
      </c>
    </row>
    <row r="11138" customFormat="false" ht="15" hidden="false" customHeight="false" outlineLevel="0" collapsed="false">
      <c r="A11138" s="1" t="s">
        <v>876</v>
      </c>
      <c r="B11138" s="0" t="s">
        <v>129</v>
      </c>
      <c r="E11138" s="7" t="n">
        <f aca="false">Sens!E11137/Sens!D11137-1</f>
        <v>0.120156961796942</v>
      </c>
      <c r="F11138" s="7" t="n">
        <f aca="false">Sens!$E$11138+(glt_srch-Sens!$E$11138)*MIN(1,(Sens!F11083-base_fy)/n_conv)</f>
        <v>0.111797468164118</v>
      </c>
      <c r="G11138" s="7" t="n">
        <f aca="false">Sens!$E$11138+(glt_srch-Sens!$E$11138)*MIN(1,(Sens!G11083-base_fy)/n_conv)</f>
        <v>0.103437974531295</v>
      </c>
      <c r="H11138" s="7" t="n">
        <f aca="false">Sens!$E$11138+(glt_srch-Sens!$E$11138)*MIN(1,(Sens!H11083-base_fy)/n_conv)</f>
        <v>0.095078480898471</v>
      </c>
      <c r="I11138" s="7" t="n">
        <f aca="false">Sens!$E$11138+(glt_srch-Sens!$E$11138)*MIN(1,(Sens!I11083-base_fy)/n_conv)</f>
        <v>0.0867189872656474</v>
      </c>
      <c r="J11138" s="7" t="n">
        <f aca="false">Sens!$E$11138+(glt_srch-Sens!$E$11138)*MIN(1,(Sens!J11083-base_fy)/n_conv)</f>
        <v>0.0783594936328237</v>
      </c>
      <c r="K11138" s="7" t="n">
        <f aca="false">Sens!$E$11138+(glt_srch-Sens!$E$11138)*MIN(1,(Sens!K11083-base_fy)/n_conv)</f>
        <v>0.07</v>
      </c>
    </row>
    <row r="11139" customFormat="false" ht="15" hidden="false" customHeight="false" outlineLevel="0" collapsed="false">
      <c r="A11139" s="0" t="s">
        <v>888</v>
      </c>
      <c r="B11139" s="0" t="s">
        <v>98</v>
      </c>
      <c r="D11139" s="6" t="n">
        <f aca="false">Q!L14</f>
        <v>23.455</v>
      </c>
      <c r="E11139" s="6" t="n">
        <f aca="false">Q!M14</f>
        <v>21.79</v>
      </c>
      <c r="F11139" s="6" t="n">
        <f aca="false">Sens!E11139*(1+Sens!F11140)</f>
        <v>20.5736277908051</v>
      </c>
      <c r="G11139" s="6" t="n">
        <f aca="false">Sens!F11139*(1+Sens!G11140)</f>
        <v>19.7371452817919</v>
      </c>
      <c r="H11139" s="6" t="n">
        <f aca="false">Sens!G11139*(1+Sens!H11140)</f>
        <v>19.2339764043138</v>
      </c>
      <c r="I11139" s="6" t="n">
        <f aca="false">Sens!H11139*(1+Sens!I11140)</f>
        <v>19.0353086852681</v>
      </c>
      <c r="J11139" s="6" t="n">
        <f aca="false">Sens!I11139*(1+Sens!J11140)</f>
        <v>19.1273539319129</v>
      </c>
      <c r="K11139" s="6" t="n">
        <f aca="false">Sens!J11139*(1+Sens!K11140)</f>
        <v>19.5099010105511</v>
      </c>
    </row>
    <row r="11140" customFormat="false" ht="15" hidden="false" customHeight="false" outlineLevel="0" collapsed="false">
      <c r="A11140" s="1" t="s">
        <v>876</v>
      </c>
      <c r="B11140" s="0" t="s">
        <v>129</v>
      </c>
      <c r="E11140" s="7" t="n">
        <f aca="false">Sens!E11139/Sens!D11139-1</f>
        <v>-0.0709869963760392</v>
      </c>
      <c r="F11140" s="7" t="n">
        <f aca="false">Sens!$E$11140+(glt_xbox-Sens!$E$11140)*MIN(1,(Sens!F11083-base_fy)/n_conv)</f>
        <v>-0.0558224969800327</v>
      </c>
      <c r="G11140" s="7" t="n">
        <f aca="false">Sens!$E$11140+(glt_xbox-Sens!$E$11140)*MIN(1,(Sens!G11083-base_fy)/n_conv)</f>
        <v>-0.0406579975840262</v>
      </c>
      <c r="H11140" s="7" t="n">
        <f aca="false">Sens!$E$11140+(glt_xbox-Sens!$E$11140)*MIN(1,(Sens!H11083-base_fy)/n_conv)</f>
        <v>-0.0254934981880196</v>
      </c>
      <c r="I11140" s="7" t="n">
        <f aca="false">Sens!$E$11140+(glt_xbox-Sens!$E$11140)*MIN(1,(Sens!I11083-base_fy)/n_conv)</f>
        <v>-0.0103289987920131</v>
      </c>
      <c r="J11140" s="7" t="n">
        <f aca="false">Sens!$E$11140+(glt_xbox-Sens!$E$11140)*MIN(1,(Sens!J11083-base_fy)/n_conv)</f>
        <v>0.00483550060399347</v>
      </c>
      <c r="K11140" s="7" t="n">
        <f aca="false">Sens!$E$11140+(glt_xbox-Sens!$E$11140)*MIN(1,(Sens!K11083-base_fy)/n_conv)</f>
        <v>0.02</v>
      </c>
    </row>
    <row r="11141" customFormat="false" ht="15" hidden="false" customHeight="false" outlineLevel="0" collapsed="false">
      <c r="A11141" s="0" t="s">
        <v>889</v>
      </c>
      <c r="B11141" s="0" t="s">
        <v>98</v>
      </c>
      <c r="D11141" s="6" t="n">
        <f aca="false">Q!L15</f>
        <v>17.315</v>
      </c>
      <c r="E11141" s="6" t="n">
        <f aca="false">Q!M15</f>
        <v>17.087</v>
      </c>
      <c r="F11141" s="6" t="n">
        <f aca="false">Sens!E11141*(1+Sens!F11142)</f>
        <v>16.9564585436519</v>
      </c>
      <c r="G11141" s="6" t="n">
        <f aca="false">Sens!F11141*(1+Sens!G11142)</f>
        <v>16.9206490624268</v>
      </c>
      <c r="H11141" s="6" t="n">
        <f aca="false">Sens!G11141*(1+Sens!H11142)</f>
        <v>16.9784519149849</v>
      </c>
      <c r="I11141" s="6" t="n">
        <f aca="false">Sens!H11141*(1+Sens!I11142)</f>
        <v>17.1303084701817</v>
      </c>
      <c r="J11141" s="6" t="n">
        <f aca="false">Sens!I11141*(1+Sens!J11142)</f>
        <v>17.3782189407267</v>
      </c>
      <c r="K11141" s="6" t="n">
        <f aca="false">Sens!J11141*(1+Sens!K11142)</f>
        <v>17.7257833195413</v>
      </c>
    </row>
    <row r="11142" customFormat="false" ht="15" hidden="false" customHeight="false" outlineLevel="0" collapsed="false">
      <c r="A11142" s="1" t="s">
        <v>876</v>
      </c>
      <c r="B11142" s="0" t="s">
        <v>129</v>
      </c>
      <c r="E11142" s="7" t="n">
        <f aca="false">Sens!E11141/Sens!D11141-1</f>
        <v>-0.0131677736066995</v>
      </c>
      <c r="F11142" s="7" t="n">
        <f aca="false">Sens!$E$11142+(glt_win-Sens!$E$11142)*MIN(1,(Sens!F11083-base_fy)/n_conv)</f>
        <v>-0.00763981133891627</v>
      </c>
      <c r="G11142" s="7" t="n">
        <f aca="false">Sens!$E$11142+(glt_win-Sens!$E$11142)*MIN(1,(Sens!G11083-base_fy)/n_conv)</f>
        <v>-0.00211184907113301</v>
      </c>
      <c r="H11142" s="7" t="n">
        <f aca="false">Sens!$E$11142+(glt_win-Sens!$E$11142)*MIN(1,(Sens!H11083-base_fy)/n_conv)</f>
        <v>0.00341611319665024</v>
      </c>
      <c r="I11142" s="7" t="n">
        <f aca="false">Sens!$E$11142+(glt_win-Sens!$E$11142)*MIN(1,(Sens!I11083-base_fy)/n_conv)</f>
        <v>0.00894407546443349</v>
      </c>
      <c r="J11142" s="7" t="n">
        <f aca="false">Sens!$E$11142+(glt_win-Sens!$E$11142)*MIN(1,(Sens!J11083-base_fy)/n_conv)</f>
        <v>0.0144720377322168</v>
      </c>
      <c r="K11142" s="7" t="n">
        <f aca="false">Sens!$E$11142+(glt_win-Sens!$E$11142)*MIN(1,(Sens!K11083-base_fy)/n_conv)</f>
        <v>0.02</v>
      </c>
    </row>
    <row r="11143" customFormat="false" ht="15" hidden="false" customHeight="false" outlineLevel="0" collapsed="false">
      <c r="A11143" s="0" t="s">
        <v>729</v>
      </c>
      <c r="B11143" s="0" t="s">
        <v>98</v>
      </c>
      <c r="D11143" s="6" t="n">
        <f aca="false">Sens!D11137+Sens!D11139+Sens!D11141</f>
        <v>62.941</v>
      </c>
      <c r="E11143" s="6" t="n">
        <f aca="false">Sens!E11137+Sens!E11139+Sens!E11141</f>
        <v>63.712</v>
      </c>
      <c r="F11143" s="6" t="n">
        <f aca="false">Sens!F11137+Sens!F11139+Sens!F11141</f>
        <v>65.1415764563129</v>
      </c>
      <c r="G11143" s="6" t="n">
        <f aca="false">Sens!G11137+Sens!G11139+Sens!G11141</f>
        <v>67.1253610780702</v>
      </c>
      <c r="H11143" s="6" t="n">
        <f aca="false">Sens!H11137+Sens!H11139+Sens!H11141</f>
        <v>69.5768050148776</v>
      </c>
      <c r="I11143" s="6" t="n">
        <f aca="false">Sens!I11137+Sens!I11139+Sens!I11141</f>
        <v>72.4233188088189</v>
      </c>
      <c r="J11143" s="6" t="n">
        <f aca="false">Sens!J11137+Sens!J11139+Sens!J11141</f>
        <v>75.6044096678567</v>
      </c>
      <c r="K11143" s="6" t="n">
        <f aca="false">Sens!K11137+Sens!K11139+Sens!K11141</f>
        <v>79.0714397009747</v>
      </c>
    </row>
    <row r="11144" customFormat="false" ht="15" hidden="false" customHeight="false" outlineLevel="0" collapsed="false">
      <c r="A11144" s="1" t="s">
        <v>890</v>
      </c>
      <c r="B11144" s="0" t="s">
        <v>98</v>
      </c>
      <c r="D11144" s="6" t="n">
        <f aca="false">Sens!D11136+Sens!D11143</f>
        <v>281.724</v>
      </c>
      <c r="E11144" s="6" t="n">
        <f aca="false">Sens!E11136+Sens!E11143</f>
        <v>331.839</v>
      </c>
      <c r="F11144" s="6" t="n">
        <f aca="false">Sens!F11136+Sens!F11143</f>
        <v>404.575517363364</v>
      </c>
      <c r="G11144" s="6" t="n">
        <f aca="false">Sens!G11136+Sens!G11143</f>
        <v>491.616031959962</v>
      </c>
      <c r="H11144" s="6" t="n">
        <f aca="false">Sens!H11136+Sens!H11143</f>
        <v>585.223080296262</v>
      </c>
      <c r="I11144" s="6" t="n">
        <f aca="false">Sens!I11136+Sens!I11143</f>
        <v>665.287079253422</v>
      </c>
      <c r="J11144" s="6" t="n">
        <f aca="false">Sens!J11136+Sens!J11143</f>
        <v>730.200831531211</v>
      </c>
      <c r="K11144" s="6" t="n">
        <f aca="false">Sens!K11136+Sens!K11143</f>
        <v>782.719361000218</v>
      </c>
    </row>
    <row r="11145" customFormat="false" ht="15" hidden="false" customHeight="false" outlineLevel="0" collapsed="false">
      <c r="A11145" s="23" t="s">
        <v>891</v>
      </c>
      <c r="B11145" s="30" t="s">
        <v>98</v>
      </c>
      <c r="C11145" s="30"/>
      <c r="D11145" s="24" t="n">
        <f aca="false">(Sens!D11124+Sens!D11129+Sens!D11130+Sens!D11132+Sens!D11134-Sens!D11136)+(Sens!D11137+Sens!D11139+Sens!D11141-Sens!D11143)+(Sens!D11136-Q!L5)+(Sens!D11143-Q!L12)+(Sens!D11124-Q!L6)+(Sens!D11129-Q!L7)</f>
        <v>0</v>
      </c>
      <c r="E11145" s="24" t="n">
        <f aca="false">(Sens!E11124+Sens!E11129+Sens!E11130+Sens!E11132+Sens!E11134-Sens!E11136)+(Sens!E11137+Sens!E11139+Sens!E11141-Sens!E11143)+(Sens!E11136-Q!M5)+(Sens!E11143-Q!M12)+(Sens!E11124-Q!M6)+(Sens!E11129-Q!M7)</f>
        <v>0</v>
      </c>
      <c r="F11145" s="24" t="n">
        <f aca="false">(Sens!F11124+Sens!F11129+Sens!F11130+Sens!F11132+Sens!F11134-Sens!F11136)+(Sens!F11137+Sens!F11139+Sens!F11141-Sens!F11143)</f>
        <v>0</v>
      </c>
      <c r="G11145" s="24" t="n">
        <f aca="false">(Sens!G11124+Sens!G11129+Sens!G11130+Sens!G11132+Sens!G11134-Sens!G11136)+(Sens!G11137+Sens!G11139+Sens!G11141-Sens!G11143)</f>
        <v>0</v>
      </c>
      <c r="H11145" s="24" t="n">
        <f aca="false">(Sens!H11124+Sens!H11129+Sens!H11130+Sens!H11132+Sens!H11134-Sens!H11136)+(Sens!H11137+Sens!H11139+Sens!H11141-Sens!H11143)</f>
        <v>0</v>
      </c>
      <c r="I11145" s="24" t="n">
        <f aca="false">(Sens!I11124+Sens!I11129+Sens!I11130+Sens!I11132+Sens!I11134-Sens!I11136)+(Sens!I11137+Sens!I11139+Sens!I11141-Sens!I11143)</f>
        <v>0</v>
      </c>
      <c r="J11145" s="24" t="n">
        <f aca="false">(Sens!J11124+Sens!J11129+Sens!J11130+Sens!J11132+Sens!J11134-Sens!J11136)+(Sens!J11137+Sens!J11139+Sens!J11141-Sens!J11143)</f>
        <v>0</v>
      </c>
      <c r="K11145" s="24" t="n">
        <f aca="false">(Sens!K11124+Sens!K11129+Sens!K11130+Sens!K11132+Sens!K11134-Sens!K11136)+(Sens!K11137+Sens!K11139+Sens!K11141-Sens!K11143)</f>
        <v>0</v>
      </c>
    </row>
    <row r="11146" customFormat="false" ht="17.15" hidden="false" customHeight="false" outlineLevel="0" collapsed="false">
      <c r="A11146" s="3" t="s">
        <v>1549</v>
      </c>
    </row>
    <row r="11147" customFormat="false" ht="15" hidden="false" customHeight="false" outlineLevel="0" collapsed="false">
      <c r="A11147" s="4" t="s">
        <v>43</v>
      </c>
      <c r="B11147" s="4" t="s">
        <v>65</v>
      </c>
      <c r="C11147" s="20" t="s">
        <v>799</v>
      </c>
      <c r="D11147" s="20" t="s">
        <v>800</v>
      </c>
      <c r="E11147" s="20" t="s">
        <v>801</v>
      </c>
      <c r="F11147" s="20" t="s">
        <v>802</v>
      </c>
      <c r="G11147" s="20" t="s">
        <v>803</v>
      </c>
      <c r="H11147" s="20" t="s">
        <v>804</v>
      </c>
      <c r="I11147" s="20" t="s">
        <v>805</v>
      </c>
      <c r="J11147" s="20" t="s">
        <v>806</v>
      </c>
      <c r="K11147" s="20" t="s">
        <v>807</v>
      </c>
      <c r="L11147" s="4" t="s">
        <v>47</v>
      </c>
    </row>
    <row r="11148" customFormat="false" ht="15" hidden="false" customHeight="false" outlineLevel="0" collapsed="false">
      <c r="A11148" s="0" t="s">
        <v>877</v>
      </c>
      <c r="B11148" s="0" t="s">
        <v>98</v>
      </c>
      <c r="D11148" s="6" t="n">
        <f aca="false">Sens!D11124</f>
        <v>72.61</v>
      </c>
      <c r="E11148" s="6" t="n">
        <f aca="false">Sens!E11124</f>
        <v>101.938</v>
      </c>
      <c r="F11148" s="6" t="n">
        <f aca="false">Sens!F11124</f>
        <v>148.812368967868</v>
      </c>
      <c r="G11148" s="6" t="n">
        <f aca="false">Sens!G11124</f>
        <v>208.397514344463</v>
      </c>
      <c r="H11148" s="6" t="n">
        <f aca="false">Sens!H11124</f>
        <v>274.05759259987</v>
      </c>
      <c r="I11148" s="6" t="n">
        <f aca="false">Sens!I11124</f>
        <v>328.302405465117</v>
      </c>
      <c r="J11148" s="6" t="n">
        <f aca="false">Sens!J11124</f>
        <v>369.905524759186</v>
      </c>
      <c r="K11148" s="6" t="n">
        <f aca="false">Sens!K11124</f>
        <v>399.753851959067</v>
      </c>
    </row>
    <row r="11149" customFormat="false" ht="17.15" hidden="false" customHeight="false" outlineLevel="0" collapsed="false">
      <c r="A11149" s="0" t="s">
        <v>874</v>
      </c>
      <c r="B11149" s="0" t="s">
        <v>98</v>
      </c>
      <c r="D11149" s="6" t="n">
        <f aca="false">Sens!D11121</f>
        <v>12.9359794422418</v>
      </c>
      <c r="E11149" s="6" t="n">
        <f aca="false">Sens!E11121</f>
        <v>27.8095064661409</v>
      </c>
      <c r="F11149" s="6" t="n">
        <f aca="false">Sens!F11121</f>
        <v>58.7324192305018</v>
      </c>
      <c r="G11149" s="6" t="n">
        <f aca="false">Sens!G11121</f>
        <v>101.369089141153</v>
      </c>
      <c r="H11149" s="6" t="n">
        <f aca="false">Sens!H11121</f>
        <v>149.785610014234</v>
      </c>
      <c r="I11149" s="6" t="n">
        <f aca="false">Sens!I11121</f>
        <v>187.368703083263</v>
      </c>
      <c r="J11149" s="6" t="n">
        <f aca="false">Sens!J11121</f>
        <v>213.886657444854</v>
      </c>
      <c r="K11149" s="6" t="n">
        <f aca="false">Sens!K11121</f>
        <v>231.253475259589</v>
      </c>
    </row>
    <row r="11150" customFormat="false" ht="17.15" hidden="false" customHeight="false" outlineLevel="0" collapsed="false">
      <c r="A11150" s="0" t="s">
        <v>902</v>
      </c>
      <c r="B11150" s="0" t="s">
        <v>98</v>
      </c>
      <c r="D11150" s="6" t="n">
        <f aca="false">Sens!D11122</f>
        <v>59.6740205577583</v>
      </c>
      <c r="E11150" s="6" t="n">
        <f aca="false">Sens!E11122</f>
        <v>74.1284935338591</v>
      </c>
      <c r="F11150" s="6" t="n">
        <f aca="false">Sens!F11122</f>
        <v>90.0799497373663</v>
      </c>
      <c r="G11150" s="6" t="n">
        <f aca="false">Sens!G11122</f>
        <v>107.02842520331</v>
      </c>
      <c r="H11150" s="6" t="n">
        <f aca="false">Sens!H11122</f>
        <v>124.271982585636</v>
      </c>
      <c r="I11150" s="6" t="n">
        <f aca="false">Sens!I11122</f>
        <v>140.933702381855</v>
      </c>
      <c r="J11150" s="6" t="n">
        <f aca="false">Sens!J11122</f>
        <v>156.018867314332</v>
      </c>
      <c r="K11150" s="6" t="n">
        <f aca="false">Sens!K11122</f>
        <v>168.500376699478</v>
      </c>
    </row>
    <row r="11151" customFormat="false" ht="15" hidden="false" customHeight="false" outlineLevel="0" collapsed="false">
      <c r="A11151" s="0" t="s">
        <v>883</v>
      </c>
      <c r="B11151" s="0" t="s">
        <v>98</v>
      </c>
      <c r="D11151" s="6" t="n">
        <f aca="false">Sens!D11129</f>
        <v>84.605</v>
      </c>
      <c r="E11151" s="6" t="n">
        <f aca="false">Sens!E11129</f>
        <v>100.299</v>
      </c>
      <c r="F11151" s="6" t="n">
        <f aca="false">Sens!F11129</f>
        <v>120.39238776686</v>
      </c>
      <c r="G11151" s="6" t="n">
        <f aca="false">Sens!G11129</f>
        <v>141.544168448684</v>
      </c>
      <c r="H11151" s="6" t="n">
        <f aca="false">Sens!H11129</f>
        <v>162.777359388781</v>
      </c>
      <c r="I11151" s="6" t="n">
        <f aca="false">Sens!I11129</f>
        <v>181.584028071957</v>
      </c>
      <c r="J11151" s="6" t="n">
        <f aca="false">Sens!J11129</f>
        <v>197.682702785465</v>
      </c>
      <c r="K11151" s="6" t="n">
        <f aca="false">Sens!K11129</f>
        <v>213.027991980448</v>
      </c>
    </row>
    <row r="11152" customFormat="false" ht="17.15" hidden="false" customHeight="false" outlineLevel="0" collapsed="false">
      <c r="A11152" s="0" t="s">
        <v>903</v>
      </c>
      <c r="B11152" s="0" t="s">
        <v>98</v>
      </c>
      <c r="D11152" s="6" t="n">
        <f aca="false">Sens!D11127</f>
        <v>83.705</v>
      </c>
      <c r="E11152" s="6" t="n">
        <f aca="false">Sens!E11127</f>
        <v>95.049</v>
      </c>
      <c r="F11152" s="6" t="n">
        <f aca="false">Sens!F11127</f>
        <v>106.89238776686</v>
      </c>
      <c r="G11152" s="6" t="n">
        <f aca="false">Sens!G11127</f>
        <v>119.044168448684</v>
      </c>
      <c r="H11152" s="6" t="n">
        <f aca="false">Sens!H11127</f>
        <v>131.277359388781</v>
      </c>
      <c r="I11152" s="6" t="n">
        <f aca="false">Sens!I11127</f>
        <v>143.334028071957</v>
      </c>
      <c r="J11152" s="6" t="n">
        <f aca="false">Sens!J11127</f>
        <v>154.932702785465</v>
      </c>
      <c r="K11152" s="6" t="n">
        <f aca="false">Sens!K11127</f>
        <v>165.777991980448</v>
      </c>
    </row>
    <row r="11153" customFormat="false" ht="17.15" hidden="false" customHeight="false" outlineLevel="0" collapsed="false">
      <c r="A11153" s="0" t="s">
        <v>904</v>
      </c>
      <c r="B11153" s="0" t="s">
        <v>98</v>
      </c>
      <c r="D11153" s="6" t="n">
        <f aca="false">Sens!D11126</f>
        <v>0.9</v>
      </c>
      <c r="E11153" s="6" t="n">
        <f aca="false">Sens!E11126</f>
        <v>5.25</v>
      </c>
      <c r="F11153" s="6" t="n">
        <f aca="false">Sens!F11126</f>
        <v>13.5</v>
      </c>
      <c r="G11153" s="6" t="n">
        <f aca="false">Sens!G11126</f>
        <v>22.5</v>
      </c>
      <c r="H11153" s="6" t="n">
        <f aca="false">Sens!H11126</f>
        <v>31.5</v>
      </c>
      <c r="I11153" s="6" t="n">
        <f aca="false">Sens!I11126</f>
        <v>38.25</v>
      </c>
      <c r="J11153" s="6" t="n">
        <f aca="false">Sens!J11126</f>
        <v>42.75</v>
      </c>
      <c r="K11153" s="6" t="n">
        <f aca="false">Sens!K11126</f>
        <v>47.25</v>
      </c>
    </row>
    <row r="11154" customFormat="false" ht="15" hidden="false" customHeight="false" outlineLevel="0" collapsed="false">
      <c r="A11154" s="0" t="s">
        <v>884</v>
      </c>
      <c r="B11154" s="0" t="s">
        <v>98</v>
      </c>
      <c r="D11154" s="6" t="n">
        <f aca="false">Sens!D11130</f>
        <v>35.391</v>
      </c>
      <c r="E11154" s="6" t="n">
        <f aca="false">Sens!E11130</f>
        <v>37.285</v>
      </c>
      <c r="F11154" s="6" t="n">
        <f aca="false">Sens!F11130</f>
        <v>39.0720834331704</v>
      </c>
      <c r="G11154" s="6" t="n">
        <f aca="false">Sens!G11130</f>
        <v>40.726562953769</v>
      </c>
      <c r="H11154" s="6" t="n">
        <f aca="false">Sens!H11130</f>
        <v>42.2235987259198</v>
      </c>
      <c r="I11154" s="6" t="n">
        <f aca="false">Sens!I11130</f>
        <v>43.5397988077414</v>
      </c>
      <c r="J11154" s="6" t="n">
        <f aca="false">Sens!J11130</f>
        <v>44.653811225693</v>
      </c>
      <c r="K11154" s="6" t="n">
        <f aca="false">Sens!K11130</f>
        <v>45.5468874502068</v>
      </c>
    </row>
    <row r="11155" customFormat="false" ht="15" hidden="false" customHeight="false" outlineLevel="0" collapsed="false">
      <c r="A11155" s="0" t="s">
        <v>885</v>
      </c>
      <c r="B11155" s="0" t="s">
        <v>98</v>
      </c>
      <c r="D11155" s="6" t="n">
        <f aca="false">Sens!D11132</f>
        <v>18.417</v>
      </c>
      <c r="E11155" s="6" t="n">
        <f aca="false">Sens!E11132</f>
        <v>20.345</v>
      </c>
      <c r="F11155" s="6" t="n">
        <f aca="false">Sens!F11132</f>
        <v>22.3572203267814</v>
      </c>
      <c r="G11155" s="6" t="n">
        <f aca="false">Sens!G11132</f>
        <v>24.4392124437232</v>
      </c>
      <c r="H11155" s="6" t="n">
        <f aca="false">Sens!H11132</f>
        <v>26.5738052080665</v>
      </c>
      <c r="I11155" s="6" t="n">
        <f aca="false">Sens!I11132</f>
        <v>28.7412169166967</v>
      </c>
      <c r="J11155" s="6" t="n">
        <f aca="false">Sens!J11132</f>
        <v>30.9192545395413</v>
      </c>
      <c r="K11155" s="6" t="n">
        <f aca="false">Sens!K11132</f>
        <v>33.0836023573092</v>
      </c>
    </row>
    <row r="11156" customFormat="false" ht="15" hidden="false" customHeight="false" outlineLevel="0" collapsed="false">
      <c r="A11156" s="0" t="s">
        <v>886</v>
      </c>
      <c r="B11156" s="0" t="s">
        <v>98</v>
      </c>
      <c r="D11156" s="6" t="n">
        <f aca="false">Sens!D11134</f>
        <v>7.76</v>
      </c>
      <c r="E11156" s="6" t="n">
        <f aca="false">Sens!E11134</f>
        <v>8.26</v>
      </c>
      <c r="F11156" s="6" t="n">
        <f aca="false">Sens!F11134</f>
        <v>8.79988041237113</v>
      </c>
      <c r="G11156" s="6" t="n">
        <f aca="false">Sens!G11134</f>
        <v>9.38321269125306</v>
      </c>
      <c r="H11156" s="6" t="n">
        <f aca="false">Sens!H11134</f>
        <v>10.0139193587476</v>
      </c>
      <c r="I11156" s="6" t="n">
        <f aca="false">Sens!I11134</f>
        <v>10.6963111830911</v>
      </c>
      <c r="J11156" s="6" t="n">
        <f aca="false">Sens!J11134</f>
        <v>11.4351285534696</v>
      </c>
      <c r="K11156" s="6" t="n">
        <f aca="false">Sens!K11134</f>
        <v>12.2355875522124</v>
      </c>
    </row>
    <row r="11157" customFormat="false" ht="15" hidden="false" customHeight="false" outlineLevel="0" collapsed="false">
      <c r="A11157" s="0" t="s">
        <v>715</v>
      </c>
      <c r="B11157" s="0" t="s">
        <v>98</v>
      </c>
      <c r="D11157" s="6" t="n">
        <f aca="false">Sens!D11136</f>
        <v>218.783</v>
      </c>
      <c r="E11157" s="6" t="n">
        <f aca="false">Sens!E11136</f>
        <v>268.127</v>
      </c>
      <c r="F11157" s="6" t="n">
        <f aca="false">Sens!F11136</f>
        <v>339.433940907051</v>
      </c>
      <c r="G11157" s="6" t="n">
        <f aca="false">Sens!G11136</f>
        <v>424.490670881892</v>
      </c>
      <c r="H11157" s="6" t="n">
        <f aca="false">Sens!H11136</f>
        <v>515.646275281385</v>
      </c>
      <c r="I11157" s="6" t="n">
        <f aca="false">Sens!I11136</f>
        <v>592.863760444604</v>
      </c>
      <c r="J11157" s="6" t="n">
        <f aca="false">Sens!J11136</f>
        <v>654.596421863355</v>
      </c>
      <c r="K11157" s="6" t="n">
        <f aca="false">Sens!K11136</f>
        <v>703.647921299244</v>
      </c>
    </row>
    <row r="11158" customFormat="false" ht="15" hidden="false" customHeight="false" outlineLevel="0" collapsed="false">
      <c r="A11158" s="0" t="s">
        <v>887</v>
      </c>
      <c r="B11158" s="0" t="s">
        <v>98</v>
      </c>
      <c r="D11158" s="6" t="n">
        <f aca="false">Sens!D11137</f>
        <v>22.171</v>
      </c>
      <c r="E11158" s="6" t="n">
        <f aca="false">Sens!E11137</f>
        <v>24.835</v>
      </c>
      <c r="F11158" s="6" t="n">
        <f aca="false">Sens!F11137</f>
        <v>27.6114901218559</v>
      </c>
      <c r="G11158" s="6" t="n">
        <f aca="false">Sens!G11137</f>
        <v>30.4675667338515</v>
      </c>
      <c r="H11158" s="6" t="n">
        <f aca="false">Sens!H11137</f>
        <v>33.3643766955789</v>
      </c>
      <c r="I11158" s="6" t="n">
        <f aca="false">Sens!I11137</f>
        <v>36.2577016533691</v>
      </c>
      <c r="J11158" s="6" t="n">
        <f aca="false">Sens!J11137</f>
        <v>39.0988367952171</v>
      </c>
      <c r="K11158" s="6" t="n">
        <f aca="false">Sens!K11137</f>
        <v>41.8357553708823</v>
      </c>
    </row>
    <row r="11159" customFormat="false" ht="15" hidden="false" customHeight="false" outlineLevel="0" collapsed="false">
      <c r="A11159" s="0" t="s">
        <v>888</v>
      </c>
      <c r="B11159" s="0" t="s">
        <v>98</v>
      </c>
      <c r="D11159" s="6" t="n">
        <f aca="false">Sens!D11139</f>
        <v>23.455</v>
      </c>
      <c r="E11159" s="6" t="n">
        <f aca="false">Sens!E11139</f>
        <v>21.79</v>
      </c>
      <c r="F11159" s="6" t="n">
        <f aca="false">Sens!F11139</f>
        <v>20.5736277908051</v>
      </c>
      <c r="G11159" s="6" t="n">
        <f aca="false">Sens!G11139</f>
        <v>19.7371452817919</v>
      </c>
      <c r="H11159" s="6" t="n">
        <f aca="false">Sens!H11139</f>
        <v>19.2339764043138</v>
      </c>
      <c r="I11159" s="6" t="n">
        <f aca="false">Sens!I11139</f>
        <v>19.0353086852681</v>
      </c>
      <c r="J11159" s="6" t="n">
        <f aca="false">Sens!J11139</f>
        <v>19.1273539319129</v>
      </c>
      <c r="K11159" s="6" t="n">
        <f aca="false">Sens!K11139</f>
        <v>19.5099010105511</v>
      </c>
    </row>
    <row r="11160" customFormat="false" ht="15" hidden="false" customHeight="false" outlineLevel="0" collapsed="false">
      <c r="A11160" s="0" t="s">
        <v>889</v>
      </c>
      <c r="B11160" s="0" t="s">
        <v>98</v>
      </c>
      <c r="D11160" s="6" t="n">
        <f aca="false">Sens!D11141</f>
        <v>17.315</v>
      </c>
      <c r="E11160" s="6" t="n">
        <f aca="false">Sens!E11141</f>
        <v>17.087</v>
      </c>
      <c r="F11160" s="6" t="n">
        <f aca="false">Sens!F11141</f>
        <v>16.9564585436519</v>
      </c>
      <c r="G11160" s="6" t="n">
        <f aca="false">Sens!G11141</f>
        <v>16.9206490624268</v>
      </c>
      <c r="H11160" s="6" t="n">
        <f aca="false">Sens!H11141</f>
        <v>16.9784519149849</v>
      </c>
      <c r="I11160" s="6" t="n">
        <f aca="false">Sens!I11141</f>
        <v>17.1303084701817</v>
      </c>
      <c r="J11160" s="6" t="n">
        <f aca="false">Sens!J11141</f>
        <v>17.3782189407267</v>
      </c>
      <c r="K11160" s="6" t="n">
        <f aca="false">Sens!K11141</f>
        <v>17.7257833195413</v>
      </c>
    </row>
    <row r="11161" customFormat="false" ht="15" hidden="false" customHeight="false" outlineLevel="0" collapsed="false">
      <c r="A11161" s="0" t="s">
        <v>729</v>
      </c>
      <c r="B11161" s="0" t="s">
        <v>98</v>
      </c>
      <c r="D11161" s="6" t="n">
        <f aca="false">Sens!D11143</f>
        <v>62.941</v>
      </c>
      <c r="E11161" s="6" t="n">
        <f aca="false">Sens!E11143</f>
        <v>63.712</v>
      </c>
      <c r="F11161" s="6" t="n">
        <f aca="false">Sens!F11143</f>
        <v>65.1415764563129</v>
      </c>
      <c r="G11161" s="6" t="n">
        <f aca="false">Sens!G11143</f>
        <v>67.1253610780702</v>
      </c>
      <c r="H11161" s="6" t="n">
        <f aca="false">Sens!H11143</f>
        <v>69.5768050148776</v>
      </c>
      <c r="I11161" s="6" t="n">
        <f aca="false">Sens!I11143</f>
        <v>72.4233188088189</v>
      </c>
      <c r="J11161" s="6" t="n">
        <f aca="false">Sens!J11143</f>
        <v>75.6044096678567</v>
      </c>
      <c r="K11161" s="6" t="n">
        <f aca="false">Sens!K11143</f>
        <v>79.0714397009747</v>
      </c>
    </row>
    <row r="11162" customFormat="false" ht="15" hidden="false" customHeight="false" outlineLevel="0" collapsed="false">
      <c r="A11162" s="1" t="s">
        <v>905</v>
      </c>
      <c r="B11162" s="0" t="s">
        <v>98</v>
      </c>
      <c r="D11162" s="6" t="n">
        <f aca="false">Sens!D11144</f>
        <v>281.724</v>
      </c>
      <c r="E11162" s="6" t="n">
        <f aca="false">Sens!E11144</f>
        <v>331.839</v>
      </c>
      <c r="F11162" s="6" t="n">
        <f aca="false">Sens!F11144</f>
        <v>404.575517363364</v>
      </c>
      <c r="G11162" s="6" t="n">
        <f aca="false">Sens!G11144</f>
        <v>491.616031959962</v>
      </c>
      <c r="H11162" s="6" t="n">
        <f aca="false">Sens!H11144</f>
        <v>585.223080296262</v>
      </c>
      <c r="I11162" s="6" t="n">
        <f aca="false">Sens!I11144</f>
        <v>665.287079253422</v>
      </c>
      <c r="J11162" s="6" t="n">
        <f aca="false">Sens!J11144</f>
        <v>730.200831531211</v>
      </c>
      <c r="K11162" s="6" t="n">
        <f aca="false">Sens!K11144</f>
        <v>782.719361000218</v>
      </c>
    </row>
    <row r="11163" customFormat="false" ht="15" hidden="false" customHeight="false" outlineLevel="0" collapsed="false">
      <c r="A11163" s="1" t="s">
        <v>906</v>
      </c>
      <c r="B11163" s="0" t="s">
        <v>129</v>
      </c>
      <c r="E11163" s="7" t="n">
        <f aca="false">Sens!E11162/Sens!D11162-1</f>
        <v>0.177886867998467</v>
      </c>
      <c r="F11163" s="7" t="n">
        <f aca="false">Sens!F11162/Sens!E11162-1</f>
        <v>0.219192190680914</v>
      </c>
      <c r="G11163" s="7" t="n">
        <f aca="false">Sens!G11162/Sens!F11162-1</f>
        <v>0.215140340581766</v>
      </c>
      <c r="H11163" s="7" t="n">
        <f aca="false">Sens!H11162/Sens!G11162-1</f>
        <v>0.19040682616291</v>
      </c>
      <c r="I11163" s="7" t="n">
        <f aca="false">Sens!I11162/Sens!H11162-1</f>
        <v>0.13680936663781</v>
      </c>
      <c r="J11163" s="7" t="n">
        <f aca="false">Sens!J11162/Sens!I11162-1</f>
        <v>0.0975725431953893</v>
      </c>
      <c r="K11163" s="7" t="n">
        <f aca="false">Sens!K11162/Sens!J11162-1</f>
        <v>0.0719234040844312</v>
      </c>
    </row>
    <row r="11164" customFormat="false" ht="17.15" hidden="false" customHeight="false" outlineLevel="0" collapsed="false">
      <c r="A11164" s="23" t="s">
        <v>907</v>
      </c>
      <c r="B11164" s="30" t="s">
        <v>98</v>
      </c>
      <c r="C11164" s="30"/>
      <c r="D11164" s="24" t="n">
        <f aca="false">(Sens!D11157+Sens!D11161-Sens!D11162)+(Sens!D11149+Sens!D11150-Sens!D11148)+(Sens!D11152+Sens!D11153-Sens!D11151)+(Sens!D11162-Q!L18)</f>
        <v>0</v>
      </c>
      <c r="E11164" s="24" t="n">
        <f aca="false">(Sens!E11157+Sens!E11161-Sens!E11162)+(Sens!E11149+Sens!E11150-Sens!E11148)+(Sens!E11152+Sens!E11153-Sens!E11151)+(Sens!E11162-Q!M18)</f>
        <v>0</v>
      </c>
      <c r="F11164" s="24" t="n">
        <f aca="false">(Sens!F11157+Sens!F11161-Sens!F11162)+(Sens!F11149+Sens!F11150-Sens!F11148)+(Sens!F11152+Sens!F11153-Sens!F11151)</f>
        <v>0</v>
      </c>
      <c r="G11164" s="24" t="n">
        <f aca="false">(Sens!G11157+Sens!G11161-Sens!G11162)+(Sens!G11149+Sens!G11150-Sens!G11148)+(Sens!G11152+Sens!G11153-Sens!G11151)</f>
        <v>0</v>
      </c>
      <c r="H11164" s="24" t="n">
        <f aca="false">(Sens!H11157+Sens!H11161-Sens!H11162)+(Sens!H11149+Sens!H11150-Sens!H11148)+(Sens!H11152+Sens!H11153-Sens!H11151)</f>
        <v>0</v>
      </c>
      <c r="I11164" s="24" t="n">
        <f aca="false">(Sens!I11157+Sens!I11161-Sens!I11162)+(Sens!I11149+Sens!I11150-Sens!I11148)+(Sens!I11152+Sens!I11153-Sens!I11151)</f>
        <v>0</v>
      </c>
      <c r="J11164" s="24" t="n">
        <f aca="false">(Sens!J11157+Sens!J11161-Sens!J11162)+(Sens!J11149+Sens!J11150-Sens!J11148)+(Sens!J11152+Sens!J11153-Sens!J11151)</f>
        <v>0</v>
      </c>
      <c r="K11164" s="24" t="n">
        <f aca="false">(Sens!K11157+Sens!K11161-Sens!K11162)+(Sens!K11149+Sens!K11150-Sens!K11148)+(Sens!K11152+Sens!K11153-Sens!K11151)</f>
        <v>0</v>
      </c>
    </row>
    <row r="11165" customFormat="false" ht="17.15" hidden="false" customHeight="false" outlineLevel="0" collapsed="false">
      <c r="A11165" s="0" t="s">
        <v>908</v>
      </c>
      <c r="B11165" s="0" t="s">
        <v>129</v>
      </c>
      <c r="E11165" s="7" t="n">
        <f aca="false">(Q!M21+Sens!E11102+Sens!E11103+Sens!E11104+Sens!E11117-Sens!E11100)/(Q!M5-Sens!E11100)</f>
        <v>0.570957350878296</v>
      </c>
      <c r="F11165" s="7" t="n">
        <f aca="false">Sens!$E$11165+dm_seg_lo</f>
        <v>0.550957350878296</v>
      </c>
      <c r="G11165" s="7" t="n">
        <f aca="false">Sens!$E$11165+dm_seg_lo</f>
        <v>0.550957350878296</v>
      </c>
      <c r="H11165" s="7" t="n">
        <f aca="false">Sens!$E$11165+dm_seg_lo</f>
        <v>0.550957350878296</v>
      </c>
      <c r="I11165" s="7" t="n">
        <f aca="false">Sens!$E$11165+dm_seg_lo</f>
        <v>0.550957350878296</v>
      </c>
      <c r="J11165" s="7" t="n">
        <f aca="false">Sens!$E$11165+dm_seg_lo</f>
        <v>0.550957350878296</v>
      </c>
      <c r="K11165" s="7" t="n">
        <f aca="false">Sens!$E$11165+dm_seg_lo</f>
        <v>0.550957350878296</v>
      </c>
      <c r="L11165" s="11" t="s">
        <v>909</v>
      </c>
    </row>
    <row r="11166" customFormat="false" ht="17.15" hidden="false" customHeight="false" outlineLevel="0" collapsed="false">
      <c r="A11166" s="0" t="s">
        <v>743</v>
      </c>
      <c r="B11166" s="0" t="s">
        <v>98</v>
      </c>
      <c r="D11166" s="6" t="n">
        <f aca="false">Q!L21</f>
        <v>110.814</v>
      </c>
      <c r="E11166" s="6" t="n">
        <f aca="false">Q!M21</f>
        <v>136.365</v>
      </c>
      <c r="F11166" s="6" t="n">
        <f aca="false">Sens!F11165*(Sens!F11136-Sens!F11100)+Sens!F11100-(Sens!F11102+Sens!F11103+Sens!F11104)-Sens!F11117-Sens!F11200</f>
        <v>156.385824553793</v>
      </c>
      <c r="G11166" s="6" t="n">
        <f aca="false">Sens!G11165*(Sens!G11136-Sens!G11100)+Sens!G11100-(Sens!G11102+Sens!G11103+Sens!G11104)-Sens!G11117-Sens!G11200</f>
        <v>185.855044861804</v>
      </c>
      <c r="H11166" s="6" t="n">
        <f aca="false">Sens!H11165*(Sens!H11136-Sens!H11100)+Sens!H11100-(Sens!H11102+Sens!H11103+Sens!H11104)-Sens!H11117-Sens!H11200</f>
        <v>219.459636913242</v>
      </c>
      <c r="I11166" s="6" t="n">
        <f aca="false">Sens!I11165*(Sens!I11136-Sens!I11100)+Sens!I11100-(Sens!I11102+Sens!I11103+Sens!I11104)-Sens!I11117-Sens!I11200</f>
        <v>245.000975833488</v>
      </c>
      <c r="J11166" s="6" t="n">
        <f aca="false">Sens!J11165*(Sens!J11136-Sens!J11100)+Sens!J11100-(Sens!J11102+Sens!J11103+Sens!J11104)-Sens!J11117-Sens!J11200</f>
        <v>266.970090000366</v>
      </c>
      <c r="K11166" s="6" t="n">
        <f aca="false">Sens!K11165*(Sens!K11136-Sens!K11100)+Sens!K11100-(Sens!K11102+Sens!K11103+Sens!K11104)-Sens!K11117-Sens!K11200</f>
        <v>286.932703469749</v>
      </c>
      <c r="L11166" s="1" t="s">
        <v>910</v>
      </c>
    </row>
    <row r="11167" customFormat="false" ht="17.15" hidden="false" customHeight="false" outlineLevel="0" collapsed="false">
      <c r="A11167" s="0" t="s">
        <v>911</v>
      </c>
      <c r="B11167" s="0" t="s">
        <v>129</v>
      </c>
      <c r="E11167" s="7" t="n">
        <f aca="false">Q!M22/Q!M12</f>
        <v>0.296207935710698</v>
      </c>
      <c r="F11167" s="7" t="n">
        <f aca="false">Sens!$E$11167+dm_seg_lo</f>
        <v>0.276207935710698</v>
      </c>
      <c r="G11167" s="7" t="n">
        <f aca="false">Sens!$E$11167+dm_seg_lo</f>
        <v>0.276207935710698</v>
      </c>
      <c r="H11167" s="7" t="n">
        <f aca="false">Sens!$E$11167+dm_seg_lo</f>
        <v>0.276207935710698</v>
      </c>
      <c r="I11167" s="7" t="n">
        <f aca="false">Sens!$E$11167+dm_seg_lo</f>
        <v>0.276207935710698</v>
      </c>
      <c r="J11167" s="7" t="n">
        <f aca="false">Sens!$E$11167+dm_seg_lo</f>
        <v>0.276207935710698</v>
      </c>
      <c r="K11167" s="7" t="n">
        <f aca="false">Sens!$E$11167+dm_seg_lo</f>
        <v>0.276207935710698</v>
      </c>
      <c r="L11167" s="11" t="s">
        <v>912</v>
      </c>
    </row>
    <row r="11168" customFormat="false" ht="17.15" hidden="false" customHeight="false" outlineLevel="0" collapsed="false">
      <c r="A11168" s="0" t="s">
        <v>745</v>
      </c>
      <c r="B11168" s="0" t="s">
        <v>98</v>
      </c>
      <c r="D11168" s="6" t="n">
        <f aca="false">Q!L22</f>
        <v>17.714</v>
      </c>
      <c r="E11168" s="6" t="n">
        <f aca="false">Q!M22</f>
        <v>18.872</v>
      </c>
      <c r="F11168" s="6" t="n">
        <f aca="false">Sens!F11143*Sens!F11167</f>
        <v>17.9926203619388</v>
      </c>
      <c r="G11168" s="6" t="n">
        <f aca="false">Sens!G11143*Sens!G11167</f>
        <v>18.540557417209</v>
      </c>
      <c r="H11168" s="6" t="n">
        <f aca="false">Sens!H11143*Sens!H11167</f>
        <v>19.2176656865051</v>
      </c>
      <c r="I11168" s="6" t="n">
        <f aca="false">Sens!I11143*Sens!I11167</f>
        <v>20.0038953855016</v>
      </c>
      <c r="J11168" s="6" t="n">
        <f aca="false">Sens!J11143*Sens!J11167</f>
        <v>20.8825379249846</v>
      </c>
      <c r="K11168" s="6" t="n">
        <f aca="false">Sens!K11143*Sens!K11167</f>
        <v>21.8401591334792</v>
      </c>
    </row>
    <row r="11169" customFormat="false" ht="15" hidden="false" customHeight="false" outlineLevel="0" collapsed="false">
      <c r="A11169" s="1" t="s">
        <v>913</v>
      </c>
      <c r="B11169" s="0" t="s">
        <v>98</v>
      </c>
      <c r="D11169" s="6" t="n">
        <f aca="false">Sens!D11166+Sens!D11168</f>
        <v>128.528</v>
      </c>
      <c r="E11169" s="6" t="n">
        <f aca="false">Sens!E11166+Sens!E11168</f>
        <v>155.237</v>
      </c>
      <c r="F11169" s="6" t="n">
        <f aca="false">Sens!F11166+Sens!F11168</f>
        <v>174.378444915732</v>
      </c>
      <c r="G11169" s="6" t="n">
        <f aca="false">Sens!G11166+Sens!G11168</f>
        <v>204.395602279013</v>
      </c>
      <c r="H11169" s="6" t="n">
        <f aca="false">Sens!H11166+Sens!H11168</f>
        <v>238.677302599747</v>
      </c>
      <c r="I11169" s="6" t="n">
        <f aca="false">Sens!I11166+Sens!I11168</f>
        <v>265.004871218989</v>
      </c>
      <c r="J11169" s="6" t="n">
        <f aca="false">Sens!J11166+Sens!J11168</f>
        <v>287.852627925351</v>
      </c>
      <c r="K11169" s="6" t="n">
        <f aca="false">Sens!K11166+Sens!K11168</f>
        <v>308.772862603228</v>
      </c>
    </row>
    <row r="11170" customFormat="false" ht="15" hidden="false" customHeight="false" outlineLevel="0" collapsed="false">
      <c r="A11170" s="23" t="s">
        <v>914</v>
      </c>
      <c r="B11170" s="30" t="s">
        <v>98</v>
      </c>
      <c r="C11170" s="30"/>
      <c r="D11170" s="24" t="n">
        <f aca="false">Sens!D11169-Q!L23</f>
        <v>0</v>
      </c>
      <c r="E11170" s="24" t="n">
        <f aca="false">Sens!E11169-Q!M23</f>
        <v>0</v>
      </c>
      <c r="F11170" s="30"/>
      <c r="G11170" s="30"/>
      <c r="H11170" s="30"/>
      <c r="I11170" s="30"/>
      <c r="J11170" s="30"/>
      <c r="K11170" s="30"/>
    </row>
    <row r="11171" customFormat="false" ht="15" hidden="false" customHeight="false" outlineLevel="0" collapsed="false">
      <c r="A11171" s="1" t="s">
        <v>915</v>
      </c>
      <c r="B11171" s="0" t="s">
        <v>129</v>
      </c>
      <c r="D11171" s="7" t="n">
        <f aca="false">Sens!D11169/Sens!D11162</f>
        <v>0.456219562408598</v>
      </c>
      <c r="E11171" s="7" t="n">
        <f aca="false">Sens!E11169/Sens!E11162</f>
        <v>0.467808184089272</v>
      </c>
      <c r="F11171" s="7" t="n">
        <f aca="false">Sens!F11169/Sens!F11162</f>
        <v>0.431015811466209</v>
      </c>
      <c r="G11171" s="7" t="n">
        <f aca="false">Sens!G11169/Sens!G11162</f>
        <v>0.415762686713316</v>
      </c>
      <c r="H11171" s="7" t="n">
        <f aca="false">Sens!H11169/Sens!H11162</f>
        <v>0.407839865917317</v>
      </c>
      <c r="I11171" s="7" t="n">
        <f aca="false">Sens!I11169/Sens!I11162</f>
        <v>0.398331606734907</v>
      </c>
      <c r="J11171" s="7" t="n">
        <f aca="false">Sens!J11169/Sens!J11162</f>
        <v>0.394210216553344</v>
      </c>
      <c r="K11171" s="7" t="n">
        <f aca="false">Sens!K11169/Sens!K11162</f>
        <v>0.394487319450812</v>
      </c>
    </row>
    <row r="11172" customFormat="false" ht="17.15" hidden="false" customHeight="false" outlineLevel="0" collapsed="false">
      <c r="A11172" s="1" t="s">
        <v>916</v>
      </c>
      <c r="B11172" s="0" t="s">
        <v>98</v>
      </c>
      <c r="F11172" s="6" t="n">
        <f aca="false">Sens!F11187</f>
        <v>8.60748444763781</v>
      </c>
      <c r="G11172" s="6" t="n">
        <f aca="false">Sens!G11187</f>
        <v>21.7103222817508</v>
      </c>
      <c r="H11172" s="6" t="n">
        <f aca="false">Sens!H11187</f>
        <v>36.3471390663856</v>
      </c>
      <c r="I11172" s="6" t="n">
        <f aca="false">Sens!I11187</f>
        <v>50.0291841492478</v>
      </c>
      <c r="J11172" s="6" t="n">
        <f aca="false">Sens!J11187</f>
        <v>59.7822720639359</v>
      </c>
      <c r="K11172" s="6" t="n">
        <f aca="false">Sens!K11187</f>
        <v>65.0595097796802</v>
      </c>
      <c r="L11172" s="1" t="s">
        <v>917</v>
      </c>
    </row>
    <row r="11173" customFormat="false" ht="17.15" hidden="false" customHeight="false" outlineLevel="0" collapsed="false">
      <c r="A11173" s="1" t="s">
        <v>918</v>
      </c>
      <c r="B11173" s="0" t="s">
        <v>98</v>
      </c>
      <c r="D11173" s="6" t="n">
        <f aca="false">Sens!D11169</f>
        <v>128.528</v>
      </c>
      <c r="E11173" s="6" t="n">
        <f aca="false">Sens!E11169</f>
        <v>155.237</v>
      </c>
      <c r="F11173" s="6" t="n">
        <f aca="false">Sens!F11169+Sens!F11172</f>
        <v>182.985929363369</v>
      </c>
      <c r="G11173" s="6" t="n">
        <f aca="false">Sens!G11169+Sens!G11172</f>
        <v>226.105924560764</v>
      </c>
      <c r="H11173" s="6" t="n">
        <f aca="false">Sens!H11169+Sens!H11172</f>
        <v>275.024441666132</v>
      </c>
      <c r="I11173" s="6" t="n">
        <f aca="false">Sens!I11169+Sens!I11172</f>
        <v>315.034055368237</v>
      </c>
      <c r="J11173" s="6" t="n">
        <f aca="false">Sens!J11169+Sens!J11172</f>
        <v>347.634899989287</v>
      </c>
      <c r="K11173" s="6" t="n">
        <f aca="false">Sens!K11169+Sens!K11172</f>
        <v>373.832372382909</v>
      </c>
    </row>
    <row r="11174" customFormat="false" ht="17.15" hidden="false" customHeight="false" outlineLevel="0" collapsed="false">
      <c r="A11174" s="1" t="s">
        <v>919</v>
      </c>
      <c r="B11174" s="0" t="s">
        <v>98</v>
      </c>
      <c r="E11174" s="6" t="n">
        <f aca="false">Sens!E11117</f>
        <v>16.3054059770833</v>
      </c>
      <c r="F11174" s="6" t="n">
        <f aca="false">Sens!F11117</f>
        <v>34.0498873809555</v>
      </c>
      <c r="G11174" s="6" t="n">
        <f aca="false">Sens!G11117</f>
        <v>59.1254371105111</v>
      </c>
      <c r="H11174" s="6" t="n">
        <f aca="false">Sens!H11117</f>
        <v>86.3610198433111</v>
      </c>
      <c r="I11174" s="6" t="n">
        <f aca="false">Sens!I11117</f>
        <v>110.605743832393</v>
      </c>
      <c r="J11174" s="6" t="n">
        <f aca="false">Sens!J11117</f>
        <v>127.998322852843</v>
      </c>
      <c r="K11174" s="6" t="n">
        <f aca="false">Sens!K11117</f>
        <v>139.131464044308</v>
      </c>
    </row>
    <row r="11175" customFormat="false" ht="17.15" hidden="false" customHeight="false" outlineLevel="0" collapsed="false">
      <c r="A11175" s="1" t="s">
        <v>920</v>
      </c>
      <c r="B11175" s="0" t="s">
        <v>98</v>
      </c>
      <c r="E11175" s="6" t="n">
        <f aca="false">Sens!E11199</f>
        <v>22.2285940229167</v>
      </c>
      <c r="F11175" s="6" t="n">
        <f aca="false">Sens!F11199</f>
        <v>24.3924470334783</v>
      </c>
      <c r="G11175" s="6" t="n">
        <f aca="false">Sens!G11199</f>
        <v>26.1134916871694</v>
      </c>
      <c r="H11175" s="6" t="n">
        <f aca="false">Sens!H11199</f>
        <v>28.2582938828615</v>
      </c>
      <c r="I11175" s="6" t="n">
        <f aca="false">Sens!I11199</f>
        <v>30.7498045257397</v>
      </c>
      <c r="J11175" s="6" t="n">
        <f aca="false">Sens!J11199</f>
        <v>33.4954153982031</v>
      </c>
      <c r="K11175" s="6" t="n">
        <f aca="false">Sens!K11199</f>
        <v>36.4102441325822</v>
      </c>
    </row>
    <row r="11176" customFormat="false" ht="17.15" hidden="false" customHeight="false" outlineLevel="0" collapsed="false">
      <c r="A11176" s="1" t="s">
        <v>921</v>
      </c>
      <c r="B11176" s="0" t="s">
        <v>98</v>
      </c>
      <c r="D11176" s="6" t="n">
        <f aca="false">Q!L27</f>
        <v>-4.901</v>
      </c>
      <c r="E11176" s="6" t="n">
        <f aca="false">Q!M27</f>
        <v>10.697</v>
      </c>
      <c r="F11176" s="6" t="n">
        <f aca="false">oie_f</f>
        <v>-0.4</v>
      </c>
      <c r="G11176" s="6" t="n">
        <f aca="false">oie_f</f>
        <v>-0.4</v>
      </c>
      <c r="H11176" s="6" t="n">
        <f aca="false">oie_f</f>
        <v>-0.4</v>
      </c>
      <c r="I11176" s="6" t="n">
        <f aca="false">oie_f</f>
        <v>-0.4</v>
      </c>
      <c r="J11176" s="6" t="n">
        <f aca="false">oie_f</f>
        <v>-0.4</v>
      </c>
      <c r="K11176" s="6" t="n">
        <f aca="false">oie_f</f>
        <v>-0.4</v>
      </c>
      <c r="L11176" s="11" t="s">
        <v>922</v>
      </c>
    </row>
    <row r="11177" customFormat="false" ht="15" hidden="false" customHeight="false" outlineLevel="0" collapsed="false">
      <c r="A11177" s="1" t="s">
        <v>923</v>
      </c>
      <c r="B11177" s="0" t="s">
        <v>98</v>
      </c>
      <c r="D11177" s="6" t="n">
        <f aca="false">Sens!D11169+Sens!D11176</f>
        <v>123.627</v>
      </c>
      <c r="E11177" s="6" t="n">
        <f aca="false">Sens!E11169+Sens!E11176</f>
        <v>165.934</v>
      </c>
      <c r="F11177" s="6" t="n">
        <f aca="false">Sens!F11169+Sens!F11176</f>
        <v>173.978444915732</v>
      </c>
      <c r="G11177" s="6" t="n">
        <f aca="false">Sens!G11169+Sens!G11176</f>
        <v>203.995602279013</v>
      </c>
      <c r="H11177" s="6" t="n">
        <f aca="false">Sens!H11169+Sens!H11176</f>
        <v>238.277302599747</v>
      </c>
      <c r="I11177" s="6" t="n">
        <f aca="false">Sens!I11169+Sens!I11176</f>
        <v>264.604871218989</v>
      </c>
      <c r="J11177" s="6" t="n">
        <f aca="false">Sens!J11169+Sens!J11176</f>
        <v>287.452627925351</v>
      </c>
      <c r="K11177" s="6" t="n">
        <f aca="false">Sens!K11169+Sens!K11176</f>
        <v>308.372862603228</v>
      </c>
    </row>
    <row r="11178" customFormat="false" ht="15" hidden="false" customHeight="false" outlineLevel="0" collapsed="false">
      <c r="A11178" s="1" t="s">
        <v>924</v>
      </c>
      <c r="B11178" s="0" t="s">
        <v>98</v>
      </c>
      <c r="D11178" s="6" t="n">
        <f aca="false">Q!L29</f>
        <v>21.795</v>
      </c>
      <c r="E11178" s="6" t="n">
        <f aca="false">Q!M29</f>
        <v>32.185</v>
      </c>
      <c r="F11178" s="6" t="n">
        <f aca="false">Sens!F11177*tax_f</f>
        <v>34.7956889831463</v>
      </c>
      <c r="G11178" s="6" t="n">
        <f aca="false">Sens!G11177*tax_f</f>
        <v>40.7991204558026</v>
      </c>
      <c r="H11178" s="6" t="n">
        <f aca="false">Sens!H11177*tax_f</f>
        <v>47.6554605199494</v>
      </c>
      <c r="I11178" s="6" t="n">
        <f aca="false">Sens!I11177*tax_f</f>
        <v>52.9209742437979</v>
      </c>
      <c r="J11178" s="6" t="n">
        <f aca="false">Sens!J11177*tax_f</f>
        <v>57.4905255850701</v>
      </c>
      <c r="K11178" s="6" t="n">
        <f aca="false">Sens!K11177*tax_f</f>
        <v>61.6745725206457</v>
      </c>
    </row>
    <row r="11179" customFormat="false" ht="15" hidden="false" customHeight="false" outlineLevel="0" collapsed="false">
      <c r="A11179" s="1" t="s">
        <v>925</v>
      </c>
      <c r="B11179" s="0" t="s">
        <v>98</v>
      </c>
      <c r="D11179" s="6" t="n">
        <f aca="false">Sens!D11177-Sens!D11178</f>
        <v>101.832</v>
      </c>
      <c r="E11179" s="6" t="n">
        <f aca="false">Sens!E11177-Sens!E11178</f>
        <v>133.749</v>
      </c>
      <c r="F11179" s="6" t="n">
        <f aca="false">Sens!F11177-Sens!F11178</f>
        <v>139.182755932585</v>
      </c>
      <c r="G11179" s="6" t="n">
        <f aca="false">Sens!G11177-Sens!G11178</f>
        <v>163.19648182321</v>
      </c>
      <c r="H11179" s="6" t="n">
        <f aca="false">Sens!H11177-Sens!H11178</f>
        <v>190.621842079797</v>
      </c>
      <c r="I11179" s="6" t="n">
        <f aca="false">Sens!I11177-Sens!I11178</f>
        <v>211.683896975191</v>
      </c>
      <c r="J11179" s="6" t="n">
        <f aca="false">Sens!J11177-Sens!J11178</f>
        <v>229.962102340281</v>
      </c>
      <c r="K11179" s="6" t="n">
        <f aca="false">Sens!K11177-Sens!K11178</f>
        <v>246.698290082583</v>
      </c>
    </row>
    <row r="11180" customFormat="false" ht="17.15" hidden="false" customHeight="false" outlineLevel="0" collapsed="false">
      <c r="A11180" s="1" t="s">
        <v>926</v>
      </c>
      <c r="B11180" s="1" t="s">
        <v>81</v>
      </c>
      <c r="D11180" s="14" t="n">
        <f aca="false">Q!L31</f>
        <v>7.465</v>
      </c>
      <c r="E11180" s="14" t="n">
        <f aca="false">Q!M31</f>
        <v>7.453</v>
      </c>
      <c r="F11180" s="14" t="n">
        <f aca="false">Sens!F11223</f>
        <v>7.4735</v>
      </c>
      <c r="G11180" s="14" t="n">
        <f aca="false">Sens!G11223</f>
        <v>7.51341046762909</v>
      </c>
      <c r="H11180" s="14" t="n">
        <f aca="false">Sens!H11223</f>
        <v>7.53607252110814</v>
      </c>
      <c r="I11180" s="14" t="n">
        <f aca="false">Sens!I11223</f>
        <v>7.54785335311545</v>
      </c>
      <c r="J11180" s="14" t="n">
        <f aca="false">Sens!J11223</f>
        <v>7.56209486423334</v>
      </c>
      <c r="K11180" s="14" t="n">
        <f aca="false">Sens!K11223</f>
        <v>7.57861478193508</v>
      </c>
    </row>
    <row r="11181" customFormat="false" ht="17.15" hidden="false" customHeight="false" outlineLevel="0" collapsed="false">
      <c r="A11181" s="0" t="s">
        <v>927</v>
      </c>
      <c r="B11181" s="0" t="s">
        <v>75</v>
      </c>
      <c r="D11181" s="8" t="n">
        <f aca="false">Sens!D11179/Sens!D11180</f>
        <v>13.641259209645</v>
      </c>
      <c r="E11181" s="8" t="n">
        <f aca="false">Sens!E11179/Sens!E11180</f>
        <v>17.9456594659869</v>
      </c>
      <c r="F11181" s="8" t="n">
        <f aca="false">Sens!F11179/Sens!F11180</f>
        <v>18.6235038379053</v>
      </c>
      <c r="G11181" s="8" t="n">
        <f aca="false">Sens!G11179/Sens!G11180</f>
        <v>21.7206929564582</v>
      </c>
      <c r="H11181" s="8" t="n">
        <f aca="false">Sens!H11179/Sens!H11180</f>
        <v>25.2945870074732</v>
      </c>
      <c r="I11181" s="8" t="n">
        <f aca="false">Sens!I11179/Sens!I11180</f>
        <v>28.0455762813432</v>
      </c>
      <c r="J11181" s="8" t="n">
        <f aca="false">Sens!J11179/Sens!J11180</f>
        <v>30.409840985722</v>
      </c>
      <c r="K11181" s="8" t="n">
        <f aca="false">Sens!K11179/Sens!K11180</f>
        <v>32.5518973032684</v>
      </c>
      <c r="L11181" s="1" t="s">
        <v>928</v>
      </c>
    </row>
    <row r="11182" customFormat="false" ht="17.15" hidden="false" customHeight="false" outlineLevel="0" collapsed="false">
      <c r="A11182" s="1" t="s">
        <v>929</v>
      </c>
      <c r="B11182" s="0" t="s">
        <v>98</v>
      </c>
      <c r="D11182" s="6" t="n">
        <f aca="false">Sens!D11179</f>
        <v>101.832</v>
      </c>
      <c r="E11182" s="6" t="n">
        <f aca="false">Sens!E11179</f>
        <v>133.749</v>
      </c>
      <c r="F11182" s="6" t="n">
        <f aca="false">Sens!F11179+Sens!F11172*(1-tax_f)</f>
        <v>146.068743490696</v>
      </c>
      <c r="G11182" s="6" t="n">
        <f aca="false">Sens!G11179+Sens!G11172*(1-tax_f)</f>
        <v>180.564739648611</v>
      </c>
      <c r="H11182" s="6" t="n">
        <f aca="false">Sens!H11179+Sens!H11172*(1-tax_f)</f>
        <v>219.699553332906</v>
      </c>
      <c r="I11182" s="6" t="n">
        <f aca="false">Sens!I11179+Sens!I11172*(1-tax_f)</f>
        <v>251.70724429459</v>
      </c>
      <c r="J11182" s="6" t="n">
        <f aca="false">Sens!J11179+Sens!J11172*(1-tax_f)</f>
        <v>277.787919991429</v>
      </c>
      <c r="K11182" s="6" t="n">
        <f aca="false">Sens!K11179+Sens!K11172*(1-tax_f)</f>
        <v>298.745897906327</v>
      </c>
    </row>
    <row r="11183" customFormat="false" ht="17.15" hidden="false" customHeight="false" outlineLevel="0" collapsed="false">
      <c r="A11183" s="0" t="s">
        <v>930</v>
      </c>
      <c r="B11183" s="0" t="s">
        <v>75</v>
      </c>
      <c r="D11183" s="8" t="n">
        <f aca="false">Sens!D11182/Sens!D11180</f>
        <v>13.641259209645</v>
      </c>
      <c r="E11183" s="8" t="n">
        <f aca="false">Sens!E11182/Sens!E11180</f>
        <v>17.9456594659869</v>
      </c>
      <c r="F11183" s="8" t="n">
        <f aca="false">Sens!F11182/Sens!F11180</f>
        <v>19.5448910805774</v>
      </c>
      <c r="G11183" s="8" t="n">
        <f aca="false">Sens!G11182/Sens!G11180</f>
        <v>24.0323273201377</v>
      </c>
      <c r="H11183" s="8" t="n">
        <f aca="false">Sens!H11182/Sens!H11180</f>
        <v>29.1530572081862</v>
      </c>
      <c r="I11183" s="8" t="n">
        <f aca="false">Sens!I11182/Sens!I11180</f>
        <v>33.3481895472565</v>
      </c>
      <c r="J11183" s="8" t="n">
        <f aca="false">Sens!J11182/Sens!J11180</f>
        <v>36.734254856454</v>
      </c>
      <c r="K11183" s="8" t="n">
        <f aca="false">Sens!K11182/Sens!K11180</f>
        <v>39.4195913768356</v>
      </c>
      <c r="L11183" s="1" t="s">
        <v>931</v>
      </c>
    </row>
    <row r="11184" customFormat="false" ht="17.15" hidden="false" customHeight="false" outlineLevel="0" collapsed="false">
      <c r="A11184" s="0" t="s">
        <v>932</v>
      </c>
      <c r="B11184" s="0" t="s">
        <v>129</v>
      </c>
      <c r="E11184" s="7" t="n">
        <f aca="false">Sens!E11183/Sens!D11183-1</f>
        <v>0.315542736208578</v>
      </c>
      <c r="F11184" s="7" t="n">
        <f aca="false">Sens!F11183/Sens!E11183-1</f>
        <v>0.0891152324394477</v>
      </c>
      <c r="G11184" s="7" t="n">
        <f aca="false">Sens!G11183/Sens!F11183-1</f>
        <v>0.229596379998228</v>
      </c>
      <c r="H11184" s="7" t="n">
        <f aca="false">Sens!H11183/Sens!G11183-1</f>
        <v>0.21307673700656</v>
      </c>
      <c r="I11184" s="7" t="n">
        <f aca="false">Sens!I11183/Sens!H11183-1</f>
        <v>0.143900254066399</v>
      </c>
      <c r="J11184" s="7" t="n">
        <f aca="false">Sens!J11183/Sens!I11183-1</f>
        <v>0.101536705745277</v>
      </c>
      <c r="K11184" s="7" t="n">
        <f aca="false">Sens!K11183/Sens!J11183-1</f>
        <v>0.0731017011472008</v>
      </c>
    </row>
    <row r="11185" customFormat="false" ht="17.15" hidden="false" customHeight="false" outlineLevel="0" collapsed="false">
      <c r="A11185" s="0" t="s">
        <v>856</v>
      </c>
      <c r="B11185" s="0" t="s">
        <v>98</v>
      </c>
      <c r="E11185" s="6" t="n">
        <f aca="false">Sens!E11126</f>
        <v>5.25</v>
      </c>
      <c r="F11185" s="6" t="n">
        <f aca="false">Sens!F11126</f>
        <v>13.5</v>
      </c>
      <c r="G11185" s="6" t="n">
        <f aca="false">Sens!G11126</f>
        <v>22.5</v>
      </c>
      <c r="H11185" s="6" t="n">
        <f aca="false">Sens!H11126</f>
        <v>31.5</v>
      </c>
      <c r="I11185" s="6" t="n">
        <f aca="false">Sens!I11126</f>
        <v>38.25</v>
      </c>
      <c r="J11185" s="6" t="n">
        <f aca="false">Sens!J11126</f>
        <v>42.75</v>
      </c>
      <c r="K11185" s="6" t="n">
        <f aca="false">Sens!K11126</f>
        <v>47.25</v>
      </c>
    </row>
    <row r="11186" customFormat="false" ht="17.15" hidden="false" customHeight="false" outlineLevel="0" collapsed="false">
      <c r="A11186" s="1" t="s">
        <v>857</v>
      </c>
      <c r="B11186" s="0" t="s">
        <v>98</v>
      </c>
      <c r="F11186" s="6" t="n">
        <f aca="false">MAX(0,((Sens!E11089+Sens!F11089)/2-(shadow_base*(Sens!$D$11089+Sens!$E$11089)/2+(1-shadow_base)*Sens!$E$11089))*Sens!F11097/1000-(Sens!F11185-Sens!$E$11185)*Sens!F11165)</f>
        <v>8.60748444763781</v>
      </c>
      <c r="G11186" s="6" t="n">
        <f aca="false">MAX(0,((Sens!F11089+Sens!G11089)/2-(shadow_base*(Sens!$D$11089+Sens!$E$11089)/2+(1-shadow_base)*Sens!$E$11089))*Sens!G11097/1000-(Sens!G11185-Sens!$E$11185)*Sens!G11165)</f>
        <v>21.7103222817508</v>
      </c>
      <c r="H11186" s="6" t="n">
        <f aca="false">MAX(0,((Sens!G11089+Sens!H11089)/2-(shadow_base*(Sens!$D$11089+Sens!$E$11089)/2+(1-shadow_base)*Sens!$E$11089))*Sens!H11097/1000-(Sens!H11185-Sens!$E$11185)*Sens!H11165)</f>
        <v>36.3471390663856</v>
      </c>
      <c r="I11186" s="6" t="n">
        <f aca="false">MAX(0,((Sens!H11089+Sens!I11089)/2-(shadow_base*(Sens!$D$11089+Sens!$E$11089)/2+(1-shadow_base)*Sens!$E$11089))*Sens!I11097/1000-(Sens!I11185-Sens!$E$11185)*Sens!I11165)</f>
        <v>50.0291841492478</v>
      </c>
      <c r="J11186" s="6" t="n">
        <f aca="false">MAX(0,((Sens!I11089+Sens!J11089)/2-(shadow_base*(Sens!$D$11089+Sens!$E$11089)/2+(1-shadow_base)*Sens!$E$11089))*Sens!J11097/1000-(Sens!J11185-Sens!$E$11185)*Sens!J11165)</f>
        <v>59.7822720639359</v>
      </c>
      <c r="K11186" s="6" t="n">
        <f aca="false">MAX(0,((Sens!J11089+Sens!K11089)/2-(shadow_base*(Sens!$D$11089+Sens!$E$11089)/2+(1-shadow_base)*Sens!$E$11089))*Sens!K11097/1000-(Sens!K11185-Sens!$E$11185)*Sens!K11165)</f>
        <v>65.0595097796802</v>
      </c>
      <c r="L11186" s="1" t="s">
        <v>858</v>
      </c>
    </row>
    <row r="11187" customFormat="false" ht="17.15" hidden="false" customHeight="false" outlineLevel="0" collapsed="false">
      <c r="A11187" s="1" t="s">
        <v>859</v>
      </c>
      <c r="B11187" s="0" t="s">
        <v>98</v>
      </c>
      <c r="F11187" s="6" t="n">
        <f aca="false">IF(internal_ai_reading=2,1,0)*Sens!F11186</f>
        <v>8.60748444763781</v>
      </c>
      <c r="G11187" s="6" t="n">
        <f aca="false">IF(internal_ai_reading=2,1,0)*Sens!G11186</f>
        <v>21.7103222817508</v>
      </c>
      <c r="H11187" s="6" t="n">
        <f aca="false">IF(internal_ai_reading=2,1,0)*Sens!H11186</f>
        <v>36.3471390663856</v>
      </c>
      <c r="I11187" s="6" t="n">
        <f aca="false">IF(internal_ai_reading=2,1,0)*Sens!I11186</f>
        <v>50.0291841492478</v>
      </c>
      <c r="J11187" s="6" t="n">
        <f aca="false">IF(internal_ai_reading=2,1,0)*Sens!J11186</f>
        <v>59.7822720639359</v>
      </c>
      <c r="K11187" s="6" t="n">
        <f aca="false">IF(internal_ai_reading=2,1,0)*Sens!K11186</f>
        <v>65.0595097796802</v>
      </c>
    </row>
    <row r="11188" customFormat="false" ht="17.15" hidden="false" customHeight="false" outlineLevel="0" collapsed="false">
      <c r="A11188" s="0" t="s">
        <v>860</v>
      </c>
      <c r="B11188" s="0" t="s">
        <v>98</v>
      </c>
      <c r="F11188" s="6" t="n">
        <f aca="false">Sens!F11106+Sens!F11185*Sens!F11165+Sens!F11187-Sens!F11107-Sens!F11117</f>
        <v>18.5904441577666</v>
      </c>
      <c r="G11188" s="6" t="n">
        <f aca="false">Sens!G11106+Sens!G11185*Sens!G11165+Sens!G11187-Sens!G11107-Sens!G11117</f>
        <v>42.6680967717415</v>
      </c>
      <c r="H11188" s="6" t="n">
        <f aca="false">Sens!H11106+Sens!H11185*Sens!H11165+Sens!H11187-Sens!H11107-Sens!H11117</f>
        <v>72.2474695349497</v>
      </c>
      <c r="I11188" s="6" t="n">
        <f aca="false">Sens!I11106+Sens!I11185*Sens!I11165+Sens!I11187-Sens!I11107-Sens!I11117</f>
        <v>93.2870399917181</v>
      </c>
      <c r="J11188" s="6" t="n">
        <f aca="false">Sens!J11106+Sens!J11185*Sens!J11165+Sens!J11187-Sens!J11107-Sens!J11117</f>
        <v>108.027424046476</v>
      </c>
      <c r="K11188" s="6" t="n">
        <f aca="false">Sens!K11106+Sens!K11185*Sens!K11165+Sens!K11187-Sens!K11107-Sens!K11117</f>
        <v>118.236283106908</v>
      </c>
    </row>
    <row r="11189" customFormat="false" ht="17.15" hidden="false" customHeight="false" outlineLevel="0" collapsed="false">
      <c r="A11189" s="0" t="s">
        <v>861</v>
      </c>
      <c r="B11189" s="0" t="s">
        <v>98</v>
      </c>
      <c r="E11189" s="6" t="n">
        <f aca="false">Sens!E11088*(cxit_open+self_build*tk_cxfac)/1000*ai_net_open</f>
        <v>126.6980382</v>
      </c>
      <c r="F11189" s="6" t="n">
        <f aca="false">Sens!E11189+Sens!F11114-Sens!F11117</f>
        <v>252.981026690511</v>
      </c>
      <c r="G11189" s="6" t="n">
        <f aca="false">Sens!F11189+Sens!G11114-Sens!G11117</f>
        <v>377.4297700632</v>
      </c>
      <c r="H11189" s="6" t="n">
        <f aca="false">Sens!G11189+Sens!H11114-Sens!H11117</f>
        <v>479.149036130289</v>
      </c>
      <c r="I11189" s="6" t="n">
        <f aca="false">Sens!H11189+Sens!I11114-Sens!I11117</f>
        <v>532.249961452141</v>
      </c>
      <c r="J11189" s="6" t="n">
        <f aca="false">Sens!I11189+Sens!J11114-Sens!J11117</f>
        <v>531.43307519354</v>
      </c>
      <c r="K11189" s="6" t="n">
        <f aca="false">Sens!J11189+Sens!K11114-Sens!K11117</f>
        <v>513.709026452823</v>
      </c>
      <c r="L11189" s="1" t="s">
        <v>862</v>
      </c>
    </row>
    <row r="11190" customFormat="false" ht="17.15" hidden="false" customHeight="false" outlineLevel="0" collapsed="false">
      <c r="A11190" s="0" t="s">
        <v>863</v>
      </c>
      <c r="B11190" s="0" t="s">
        <v>129</v>
      </c>
      <c r="F11190" s="7" t="n">
        <f aca="false">Sens!F11188*(1-tax_f)/((Sens!E11189+Sens!F11189)/2)</f>
        <v>0.0783417191069097</v>
      </c>
      <c r="G11190" s="7" t="n">
        <f aca="false">Sens!G11188*(1-tax_f)/((Sens!F11189+Sens!G11189)/2)</f>
        <v>0.1082928071447</v>
      </c>
      <c r="H11190" s="7" t="n">
        <f aca="false">Sens!H11188*(1-tax_f)/((Sens!G11189+Sens!H11189)/2)</f>
        <v>0.134950748746179</v>
      </c>
      <c r="I11190" s="7" t="n">
        <f aca="false">Sens!I11188*(1-tax_f)/((Sens!H11189+Sens!I11189)/2)</f>
        <v>0.14757703373597</v>
      </c>
      <c r="J11190" s="7" t="n">
        <f aca="false">Sens!J11188*(1-tax_f)/((Sens!I11189+Sens!J11189)/2)</f>
        <v>0.16249566131977</v>
      </c>
      <c r="K11190" s="7" t="n">
        <f aca="false">Sens!K11188*(1-tax_f)/((Sens!J11189+Sens!K11189)/2)</f>
        <v>0.181007015862293</v>
      </c>
    </row>
    <row r="11191" customFormat="false" ht="17.15" hidden="false" customHeight="false" outlineLevel="0" collapsed="false">
      <c r="A11191" s="1" t="s">
        <v>864</v>
      </c>
      <c r="B11191" s="0" t="s">
        <v>129</v>
      </c>
      <c r="F11191" s="7" t="n">
        <f aca="false">(Sens!F11188-Sens!F11187)*(1-tax_f)/((Sens!E11189+Sens!F11189)/2)</f>
        <v>0.0420690446569977</v>
      </c>
      <c r="G11191" s="7" t="n">
        <f aca="false">(Sens!G11188-Sens!G11187)*(1-tax_f)/((Sens!F11189+Sens!G11189)/2)</f>
        <v>0.0531914100403416</v>
      </c>
      <c r="H11191" s="7" t="n">
        <f aca="false">(Sens!H11188-Sens!H11187)*(1-tax_f)/((Sens!G11189+Sens!H11189)/2)</f>
        <v>0.0670580784095744</v>
      </c>
      <c r="I11191" s="7" t="n">
        <f aca="false">(Sens!I11188-Sens!I11187)*(1-tax_f)/((Sens!H11189+Sens!I11189)/2)</f>
        <v>0.0684325073619737</v>
      </c>
      <c r="J11191" s="7" t="n">
        <f aca="false">(Sens!J11188-Sens!J11187)*(1-tax_f)/((Sens!I11189+Sens!J11189)/2)</f>
        <v>0.0725707193897619</v>
      </c>
      <c r="K11191" s="7" t="n">
        <f aca="false">(Sens!K11188-Sens!K11187)*(1-tax_f)/((Sens!J11189+Sens!K11189)/2)</f>
        <v>0.0814079130383684</v>
      </c>
    </row>
    <row r="11192" customFormat="false" ht="17.15" hidden="false" customHeight="false" outlineLevel="0" collapsed="false">
      <c r="A11192" s="1" t="s">
        <v>865</v>
      </c>
      <c r="B11192" s="0" t="s">
        <v>129</v>
      </c>
      <c r="F11192" s="7" t="n">
        <f aca="false">(Sens!F11188-Sens!F11187+Sens!F11186)*(1-tax_f)/((Sens!E11189+Sens!F11189)/2)</f>
        <v>0.0783417191069097</v>
      </c>
      <c r="G11192" s="7" t="n">
        <f aca="false">(Sens!G11188-Sens!G11187+Sens!G11186)*(1-tax_f)/((Sens!F11189+Sens!G11189)/2)</f>
        <v>0.1082928071447</v>
      </c>
      <c r="H11192" s="7" t="n">
        <f aca="false">(Sens!H11188-Sens!H11187+Sens!H11186)*(1-tax_f)/((Sens!G11189+Sens!H11189)/2)</f>
        <v>0.134950748746179</v>
      </c>
      <c r="I11192" s="7" t="n">
        <f aca="false">(Sens!I11188-Sens!I11187+Sens!I11186)*(1-tax_f)/((Sens!H11189+Sens!I11189)/2)</f>
        <v>0.14757703373597</v>
      </c>
      <c r="J11192" s="7" t="n">
        <f aca="false">(Sens!J11188-Sens!J11187+Sens!J11186)*(1-tax_f)/((Sens!I11189+Sens!J11189)/2)</f>
        <v>0.16249566131977</v>
      </c>
      <c r="K11192" s="7" t="n">
        <f aca="false">(Sens!K11188-Sens!K11187+Sens!K11186)*(1-tax_f)/((Sens!J11189+Sens!K11189)/2)</f>
        <v>0.181007015862293</v>
      </c>
    </row>
    <row r="11193" customFormat="false" ht="17.15" hidden="false" customHeight="false" outlineLevel="0" collapsed="false">
      <c r="A11193" s="1" t="s">
        <v>866</v>
      </c>
      <c r="B11193" s="0" t="s">
        <v>129</v>
      </c>
      <c r="F11193" s="7" t="n">
        <f aca="false">Sens!F11118*(1-tax_f)/(Sens!F11105*(Sens!E11189+Sens!F11189)/2)</f>
        <v>0.159418295257403</v>
      </c>
      <c r="G11193" s="7" t="n">
        <f aca="false">Sens!G11118*(1-tax_f)/(Sens!G11105*(Sens!F11189+Sens!G11189)/2)</f>
        <v>0.181875227327983</v>
      </c>
      <c r="H11193" s="7" t="n">
        <f aca="false">Sens!H11118*(1-tax_f)/(Sens!H11105*(Sens!G11189+Sens!H11189)/2)</f>
        <v>0.212793847216411</v>
      </c>
      <c r="I11193" s="7" t="n">
        <f aca="false">Sens!I11118*(1-tax_f)/(Sens!I11105*(Sens!H11189+Sens!I11189)/2)</f>
        <v>0.225613268329429</v>
      </c>
      <c r="J11193" s="7" t="n">
        <f aca="false">Sens!J11118*(1-tax_f)/(Sens!J11105*(Sens!I11189+Sens!J11189)/2)</f>
        <v>0.24488839563955</v>
      </c>
      <c r="K11193" s="7" t="n">
        <f aca="false">Sens!K11118*(1-tax_f)/(Sens!K11105*(Sens!J11189+Sens!K11189)/2)</f>
        <v>0.270711455180788</v>
      </c>
    </row>
    <row r="11194" customFormat="false" ht="17.15" hidden="false" customHeight="false" outlineLevel="0" collapsed="false">
      <c r="A11194" s="0" t="s">
        <v>867</v>
      </c>
      <c r="B11194" s="0" t="s">
        <v>209</v>
      </c>
      <c r="F11194" s="7" t="n">
        <f aca="false">Sens!F11190-wacc</f>
        <v>-0.0245927009859661</v>
      </c>
      <c r="G11194" s="7" t="n">
        <f aca="false">Sens!G11190-wacc</f>
        <v>0.0053583870518244</v>
      </c>
      <c r="H11194" s="7" t="n">
        <f aca="false">Sens!H11190-wacc</f>
        <v>0.0320163286533034</v>
      </c>
      <c r="I11194" s="7" t="n">
        <f aca="false">Sens!I11190-wacc</f>
        <v>0.0446426136430946</v>
      </c>
      <c r="J11194" s="7" t="n">
        <f aca="false">Sens!J11190-wacc</f>
        <v>0.0595612412268942</v>
      </c>
      <c r="K11194" s="7" t="n">
        <f aca="false">Sens!K11190-wacc</f>
        <v>0.0780725957694168</v>
      </c>
    </row>
    <row r="11195" customFormat="false" ht="17.15" hidden="false" customHeight="false" outlineLevel="0" collapsed="false">
      <c r="A11195" s="0" t="s">
        <v>868</v>
      </c>
      <c r="B11195" s="0" t="s">
        <v>98</v>
      </c>
      <c r="F11195" s="6" t="n">
        <f aca="false">Sens!F11188*(1-tax_f)-wacc*(Sens!E11189+Sens!F11189)/2</f>
        <v>-4.66866685674177</v>
      </c>
      <c r="G11195" s="6" t="n">
        <f aca="false">Sens!G11188*(1-tax_f)-wacc*(Sens!F11189+Sens!G11189)/2</f>
        <v>1.68899252532769</v>
      </c>
      <c r="H11195" s="6" t="n">
        <f aca="false">Sens!H11188*(1-tax_f)-wacc*(Sens!G11189+Sens!H11189)/2</f>
        <v>13.7122542882725</v>
      </c>
      <c r="I11195" s="6" t="n">
        <f aca="false">Sens!I11188*(1-tax_f)-wacc*(Sens!H11189+Sens!I11189)/2</f>
        <v>22.5757473440428</v>
      </c>
      <c r="J11195" s="6" t="n">
        <f aca="false">Sens!J11188*(1-tax_f)-wacc*(Sens!I11189+Sens!J11189)/2</f>
        <v>31.6771409673044</v>
      </c>
      <c r="K11195" s="6" t="n">
        <f aca="false">Sens!K11188*(1-tax_f)-wacc*(Sens!J11189+Sens!K11189)/2</f>
        <v>40.7984784117176</v>
      </c>
    </row>
    <row r="11196" customFormat="false" ht="17.15" hidden="false" customHeight="false" outlineLevel="0" collapsed="false">
      <c r="A11196" s="3" t="s">
        <v>1550</v>
      </c>
    </row>
    <row r="11197" customFormat="false" ht="15" hidden="false" customHeight="false" outlineLevel="0" collapsed="false">
      <c r="A11197" s="4" t="s">
        <v>43</v>
      </c>
      <c r="B11197" s="4" t="s">
        <v>65</v>
      </c>
      <c r="C11197" s="20" t="s">
        <v>799</v>
      </c>
      <c r="D11197" s="20" t="s">
        <v>800</v>
      </c>
      <c r="E11197" s="20" t="s">
        <v>801</v>
      </c>
      <c r="F11197" s="20" t="s">
        <v>802</v>
      </c>
      <c r="G11197" s="20" t="s">
        <v>803</v>
      </c>
      <c r="H11197" s="20" t="s">
        <v>804</v>
      </c>
      <c r="I11197" s="20" t="s">
        <v>805</v>
      </c>
      <c r="J11197" s="20" t="s">
        <v>806</v>
      </c>
      <c r="K11197" s="20" t="s">
        <v>807</v>
      </c>
      <c r="L11197" s="4" t="s">
        <v>47</v>
      </c>
    </row>
    <row r="11198" customFormat="false" ht="15" hidden="false" customHeight="false" outlineLevel="0" collapsed="false">
      <c r="A11198" s="1" t="s">
        <v>925</v>
      </c>
      <c r="B11198" s="0" t="s">
        <v>98</v>
      </c>
      <c r="F11198" s="6" t="n">
        <f aca="false">Sens!F11179</f>
        <v>139.182755932585</v>
      </c>
      <c r="G11198" s="6" t="n">
        <f aca="false">Sens!G11179</f>
        <v>163.19648182321</v>
      </c>
      <c r="H11198" s="6" t="n">
        <f aca="false">Sens!H11179</f>
        <v>190.621842079797</v>
      </c>
      <c r="I11198" s="6" t="n">
        <f aca="false">Sens!I11179</f>
        <v>211.683896975191</v>
      </c>
      <c r="J11198" s="6" t="n">
        <f aca="false">Sens!J11179</f>
        <v>229.962102340281</v>
      </c>
      <c r="K11198" s="6" t="n">
        <f aca="false">Sens!K11179</f>
        <v>246.698290082583</v>
      </c>
    </row>
    <row r="11199" customFormat="false" ht="17.15" hidden="false" customHeight="false" outlineLevel="0" collapsed="false">
      <c r="A11199" s="1" t="s">
        <v>947</v>
      </c>
      <c r="B11199" s="0" t="s">
        <v>98</v>
      </c>
      <c r="E11199" s="6" t="n">
        <f aca="false">Q!M38-Sens!E11117</f>
        <v>22.2285940229167</v>
      </c>
      <c r="F11199" s="6" t="n">
        <f aca="false">Sens!E11199*(1-1/life_nonai)+(Sens!F11206+Sens!F11207)/life_nonai</f>
        <v>24.3924470334783</v>
      </c>
      <c r="G11199" s="6" t="n">
        <f aca="false">Sens!F11199*(1-1/life_nonai)+(Sens!G11206)/life_nonai</f>
        <v>26.1134916871694</v>
      </c>
      <c r="H11199" s="6" t="n">
        <f aca="false">Sens!G11199*(1-1/life_nonai)+(Sens!H11206)/life_nonai</f>
        <v>28.2582938828615</v>
      </c>
      <c r="I11199" s="6" t="n">
        <f aca="false">Sens!H11199*(1-1/life_nonai)+(Sens!I11206)/life_nonai</f>
        <v>30.7498045257397</v>
      </c>
      <c r="J11199" s="6" t="n">
        <f aca="false">Sens!I11199*(1-1/life_nonai)+(Sens!J11206)/life_nonai</f>
        <v>33.4954153982031</v>
      </c>
      <c r="K11199" s="6" t="n">
        <f aca="false">Sens!J11199*(1-1/life_nonai)+(Sens!K11206)/life_nonai</f>
        <v>36.4102441325822</v>
      </c>
      <c r="L11199" s="11" t="s">
        <v>948</v>
      </c>
    </row>
    <row r="11200" customFormat="false" ht="17.15" hidden="false" customHeight="false" outlineLevel="0" collapsed="false">
      <c r="A11200" s="1" t="s">
        <v>949</v>
      </c>
      <c r="B11200" s="0" t="s">
        <v>98</v>
      </c>
      <c r="F11200" s="6" t="n">
        <f aca="false">Sens!$F$11207/life_nonai*(1-1/life_nonai)^(Sens!F11083-2027)</f>
        <v>0.813777689897088</v>
      </c>
      <c r="G11200" s="6" t="n">
        <f aca="false">Sens!$F$11207/life_nonai*(1-1/life_nonai)^(Sens!G11083-2027)</f>
        <v>0.73239992090738</v>
      </c>
      <c r="H11200" s="6" t="n">
        <f aca="false">Sens!$F$11207/life_nonai*(1-1/life_nonai)^(Sens!H11083-2027)</f>
        <v>0.659159928816642</v>
      </c>
      <c r="I11200" s="6" t="n">
        <f aca="false">Sens!$F$11207/life_nonai*(1-1/life_nonai)^(Sens!I11083-2027)</f>
        <v>0.593243935934978</v>
      </c>
      <c r="J11200" s="6" t="n">
        <f aca="false">Sens!$F$11207/life_nonai*(1-1/life_nonai)^(Sens!J11083-2027)</f>
        <v>0.53391954234148</v>
      </c>
      <c r="K11200" s="6" t="n">
        <f aca="false">Sens!$F$11207/life_nonai*(1-1/life_nonai)^(Sens!K11083-2027)</f>
        <v>0.480527588107332</v>
      </c>
      <c r="L11200" s="1" t="s">
        <v>950</v>
      </c>
    </row>
    <row r="11201" customFormat="false" ht="17.15" hidden="false" customHeight="false" outlineLevel="0" collapsed="false">
      <c r="A11201" s="1" t="s">
        <v>951</v>
      </c>
      <c r="B11201" s="0" t="s">
        <v>98</v>
      </c>
      <c r="E11201" s="6" t="n">
        <f aca="false">Sens!E11117+Sens!E11199</f>
        <v>38.534</v>
      </c>
      <c r="F11201" s="6" t="n">
        <f aca="false">Sens!F11117+Sens!F11199</f>
        <v>58.4423344144339</v>
      </c>
      <c r="G11201" s="6" t="n">
        <f aca="false">Sens!G11117+Sens!G11199</f>
        <v>85.2389287976805</v>
      </c>
      <c r="H11201" s="6" t="n">
        <f aca="false">Sens!H11117+Sens!H11199</f>
        <v>114.619313726173</v>
      </c>
      <c r="I11201" s="6" t="n">
        <f aca="false">Sens!I11117+Sens!I11199</f>
        <v>141.355548358132</v>
      </c>
      <c r="J11201" s="6" t="n">
        <f aca="false">Sens!J11117+Sens!J11199</f>
        <v>161.493738251046</v>
      </c>
      <c r="K11201" s="6" t="n">
        <f aca="false">Sens!K11117+Sens!K11199</f>
        <v>175.54170817689</v>
      </c>
    </row>
    <row r="11202" customFormat="false" ht="17.15" hidden="false" customHeight="false" outlineLevel="0" collapsed="false">
      <c r="A11202" s="1" t="s">
        <v>952</v>
      </c>
      <c r="B11202" s="0" t="s">
        <v>98</v>
      </c>
      <c r="F11202" s="6" t="n">
        <f aca="false">Sens!F11144*sbc_r</f>
        <v>15.1240791253967</v>
      </c>
      <c r="G11202" s="6" t="n">
        <f aca="false">Sens!G11144*sbc_r</f>
        <v>18.3778786594202</v>
      </c>
      <c r="H11202" s="6" t="n">
        <f aca="false">Sens!H11144*sbc_r</f>
        <v>21.8771522065674</v>
      </c>
      <c r="I11202" s="6" t="n">
        <f aca="false">Sens!I11144*sbc_r</f>
        <v>24.8701515437869</v>
      </c>
      <c r="J11202" s="6" t="n">
        <f aca="false">Sens!J11144*sbc_r</f>
        <v>27.2967954795689</v>
      </c>
      <c r="K11202" s="6" t="n">
        <f aca="false">Sens!K11144*sbc_r</f>
        <v>29.260073931056</v>
      </c>
    </row>
    <row r="11203" customFormat="false" ht="17.15" hidden="false" customHeight="false" outlineLevel="0" collapsed="false">
      <c r="A11203" s="1" t="s">
        <v>953</v>
      </c>
      <c r="B11203" s="0" t="s">
        <v>98</v>
      </c>
      <c r="F11203" s="6" t="n">
        <f aca="false">wc27</f>
        <v>-4.895</v>
      </c>
      <c r="G11203" s="6" t="n">
        <f aca="false">wc_f</f>
        <v>0</v>
      </c>
      <c r="H11203" s="6" t="n">
        <f aca="false">wc_f</f>
        <v>0</v>
      </c>
      <c r="I11203" s="6" t="n">
        <f aca="false">wc_f</f>
        <v>0</v>
      </c>
      <c r="J11203" s="6" t="n">
        <f aca="false">wc_f</f>
        <v>0</v>
      </c>
      <c r="K11203" s="6" t="n">
        <f aca="false">wc_f</f>
        <v>0</v>
      </c>
      <c r="L11203" s="11" t="s">
        <v>954</v>
      </c>
    </row>
    <row r="11204" customFormat="false" ht="15" hidden="false" customHeight="false" outlineLevel="0" collapsed="false">
      <c r="A11204" s="1" t="s">
        <v>767</v>
      </c>
      <c r="B11204" s="0" t="s">
        <v>98</v>
      </c>
      <c r="E11204" s="6" t="n">
        <f aca="false">Q!M35</f>
        <v>182.935</v>
      </c>
      <c r="F11204" s="6" t="n">
        <f aca="false">Sens!F11198+Sens!F11201+Sens!F11202+Sens!F11203</f>
        <v>207.854169472416</v>
      </c>
      <c r="G11204" s="6" t="n">
        <f aca="false">Sens!G11198+Sens!G11201+Sens!G11202+Sens!G11203</f>
        <v>266.813289280311</v>
      </c>
      <c r="H11204" s="6" t="n">
        <f aca="false">Sens!H11198+Sens!H11201+Sens!H11202+Sens!H11203</f>
        <v>327.118308012537</v>
      </c>
      <c r="I11204" s="6" t="n">
        <f aca="false">Sens!I11198+Sens!I11201+Sens!I11202+Sens!I11203</f>
        <v>377.909596877111</v>
      </c>
      <c r="J11204" s="6" t="n">
        <f aca="false">Sens!J11198+Sens!J11201+Sens!J11202+Sens!J11203</f>
        <v>418.752636070896</v>
      </c>
      <c r="K11204" s="6" t="n">
        <f aca="false">Sens!K11198+Sens!K11201+Sens!K11202+Sens!K11203</f>
        <v>451.500072190529</v>
      </c>
    </row>
    <row r="11205" customFormat="false" ht="17.15" hidden="false" customHeight="false" outlineLevel="0" collapsed="false">
      <c r="A11205" s="0" t="s">
        <v>955</v>
      </c>
      <c r="B11205" s="0" t="s">
        <v>98</v>
      </c>
      <c r="F11205" s="6" t="n">
        <f aca="false">Sens!F11114</f>
        <v>160.332875871467</v>
      </c>
      <c r="G11205" s="6" t="n">
        <f aca="false">Sens!G11114</f>
        <v>183.5741804832</v>
      </c>
      <c r="H11205" s="6" t="n">
        <f aca="false">Sens!H11114</f>
        <v>188.0802859104</v>
      </c>
      <c r="I11205" s="6" t="n">
        <f aca="false">Sens!I11114</f>
        <v>163.706669154245</v>
      </c>
      <c r="J11205" s="6" t="n">
        <f aca="false">Sens!J11114</f>
        <v>127.181436594242</v>
      </c>
      <c r="K11205" s="6" t="n">
        <f aca="false">Sens!K11114</f>
        <v>121.407415303591</v>
      </c>
    </row>
    <row r="11206" customFormat="false" ht="17.15" hidden="false" customHeight="false" outlineLevel="0" collapsed="false">
      <c r="A11206" s="1" t="s">
        <v>956</v>
      </c>
      <c r="B11206" s="0" t="s">
        <v>98</v>
      </c>
      <c r="E11206" s="6" t="n">
        <f aca="false">Sens!E11122*cx_azo+Sens!E11129*cx_m365+Sens!E11130*cx_lic+(Sens!E11132+Sens!E11134)*cx_ind+Sens!E11137*cx_srch+(Sens!E11139+Sens!E11141)*cx_dev</f>
        <v>30.1846587067718</v>
      </c>
      <c r="F11206" s="6" t="n">
        <f aca="false">Sens!F11122*cx_azo+Sens!F11129*cx_m365+Sens!F11130*cx_lic+(Sens!F11132+Sens!F11134)*cx_ind+Sens!F11137*cx_srch+(Sens!F11139+Sens!F11141)*cx_dev</f>
        <v>35.7293472295625</v>
      </c>
      <c r="G11206" s="6" t="n">
        <f aca="false">Sens!G11122*cx_azo+Sens!G11129*cx_m365+Sens!G11130*cx_lic+(Sens!G11132+Sens!G11134)*cx_ind+Sens!G11137*cx_srch+(Sens!G11139+Sens!G11141)*cx_dev</f>
        <v>41.6028935703892</v>
      </c>
      <c r="H11206" s="6" t="n">
        <f aca="false">Sens!H11122*cx_azo+Sens!H11129*cx_m365+Sens!H11130*cx_lic+(Sens!H11132+Sens!H11134)*cx_ind+Sens!H11137*cx_srch+(Sens!H11139+Sens!H11141)*cx_dev</f>
        <v>47.5615136440897</v>
      </c>
      <c r="I11206" s="6" t="n">
        <f aca="false">Sens!I11122*cx_azo+Sens!I11129*cx_m365+Sens!I11130*cx_lic+(Sens!I11132+Sens!I11134)*cx_ind+Sens!I11137*cx_srch+(Sens!I11139+Sens!I11141)*cx_dev</f>
        <v>53.1734003116439</v>
      </c>
      <c r="J11206" s="6" t="n">
        <f aca="false">Sens!J11122*cx_azo+Sens!J11129*cx_m365+Sens!J11130*cx_lic+(Sens!J11132+Sens!J11134)*cx_ind+Sens!J11137*cx_srch+(Sens!J11139+Sens!J11141)*cx_dev</f>
        <v>58.2059132503738</v>
      </c>
      <c r="K11206" s="6" t="n">
        <f aca="false">Sens!K11122*cx_azo+Sens!K11129*cx_m365+Sens!K11130*cx_lic+(Sens!K11132+Sens!K11134)*cx_ind+Sens!K11137*cx_srch+(Sens!K11139+Sens!K11141)*cx_dev</f>
        <v>62.643702741994</v>
      </c>
    </row>
    <row r="11207" customFormat="false" ht="17.15" hidden="false" customHeight="false" outlineLevel="0" collapsed="false">
      <c r="A11207" s="0" t="s">
        <v>957</v>
      </c>
      <c r="B11207" s="0" t="s">
        <v>98</v>
      </c>
      <c r="F11207" s="6" t="n">
        <f aca="false">Sens!F11112</f>
        <v>8.13777689897088</v>
      </c>
      <c r="L11207" s="1" t="s">
        <v>958</v>
      </c>
    </row>
    <row r="11208" customFormat="false" ht="17.15" hidden="false" customHeight="false" outlineLevel="0" collapsed="false">
      <c r="A11208" s="1" t="s">
        <v>959</v>
      </c>
      <c r="B11208" s="0" t="s">
        <v>98</v>
      </c>
      <c r="E11208" s="6" t="n">
        <f aca="false">Q!M42</f>
        <v>145.3</v>
      </c>
      <c r="F11208" s="6" t="n">
        <f aca="false">Sens!F11205+Sens!F11206+Sens!F11207</f>
        <v>204.2</v>
      </c>
      <c r="G11208" s="6" t="n">
        <f aca="false">Sens!G11205+Sens!G11206</f>
        <v>225.177074053589</v>
      </c>
      <c r="H11208" s="6" t="n">
        <f aca="false">Sens!H11205+Sens!H11206</f>
        <v>235.64179955449</v>
      </c>
      <c r="I11208" s="6" t="n">
        <f aca="false">Sens!I11205+Sens!I11206</f>
        <v>216.880069465889</v>
      </c>
      <c r="J11208" s="6" t="n">
        <f aca="false">Sens!J11205+Sens!J11206</f>
        <v>185.387349844616</v>
      </c>
      <c r="K11208" s="6" t="n">
        <f aca="false">Sens!K11205+Sens!K11206</f>
        <v>184.051118045585</v>
      </c>
      <c r="L11208" s="1" t="s">
        <v>960</v>
      </c>
    </row>
    <row r="11209" customFormat="false" ht="15" hidden="false" customHeight="false" outlineLevel="0" collapsed="false">
      <c r="A11209" s="1" t="s">
        <v>961</v>
      </c>
      <c r="B11209" s="0" t="s">
        <v>98</v>
      </c>
      <c r="E11209" s="6" t="n">
        <f aca="false">fl_liab</f>
        <v>66.594</v>
      </c>
      <c r="F11209" s="6" t="n">
        <f aca="false">Sens!E11209-Sens!F11210</f>
        <v>62.46973</v>
      </c>
      <c r="G11209" s="6" t="n">
        <f aca="false">Sens!F11209-Sens!G11210</f>
        <v>57.98686785</v>
      </c>
      <c r="H11209" s="6" t="n">
        <f aca="false">Sens!G11209-Sens!H11210</f>
        <v>53.92827690325</v>
      </c>
      <c r="I11209" s="6" t="n">
        <f aca="false">Sens!H11209-Sens!I11210</f>
        <v>49.7850493638962</v>
      </c>
      <c r="J11209" s="6" t="n">
        <f aca="false">Sens!I11209-Sens!J11210</f>
        <v>45.4823765852716</v>
      </c>
      <c r="K11209" s="6" t="n">
        <f aca="false">Sens!J11209-Sens!K11210</f>
        <v>40.9860835316088</v>
      </c>
    </row>
    <row r="11210" customFormat="false" ht="15" hidden="false" customHeight="false" outlineLevel="0" collapsed="false">
      <c r="A11210" s="1" t="s">
        <v>962</v>
      </c>
      <c r="B11210" s="0" t="s">
        <v>98</v>
      </c>
      <c r="F11210" s="6" t="n">
        <f aca="false">fl_pay_27-Sens!E11209*fl_rate</f>
        <v>4.12427</v>
      </c>
      <c r="G11210" s="6" t="n">
        <f aca="false">fl_pay_28-Sens!F11209*fl_rate</f>
        <v>4.48286215</v>
      </c>
      <c r="H11210" s="6" t="n">
        <f aca="false">fl_pay_29-Sens!G11209*fl_rate</f>
        <v>4.05859094675</v>
      </c>
      <c r="I11210" s="6" t="n">
        <f aca="false">fl_pay_30-Sens!H11209*fl_rate</f>
        <v>4.14322753935375</v>
      </c>
      <c r="J11210" s="6" t="n">
        <f aca="false">fl_pay_31-Sens!I11209*fl_rate</f>
        <v>4.30267277862467</v>
      </c>
      <c r="K11210" s="6" t="n">
        <f aca="false">fl_pay_32-Sens!J11209*fl_rate</f>
        <v>4.49629305366278</v>
      </c>
    </row>
    <row r="11211" customFormat="false" ht="17.15" hidden="false" customHeight="false" outlineLevel="0" collapsed="false">
      <c r="A11211" s="1" t="s">
        <v>963</v>
      </c>
      <c r="B11211" s="0" t="s">
        <v>98</v>
      </c>
      <c r="E11211" s="6" t="n">
        <f aca="false">Q!M35-Q!M36-Q!M43</f>
        <v>63.886</v>
      </c>
      <c r="F11211" s="6" t="n">
        <f aca="false">Sens!F11204-Sens!F11208-Sens!F11210</f>
        <v>-0.4701005275841</v>
      </c>
      <c r="G11211" s="6" t="n">
        <f aca="false">Sens!G11204-Sens!G11208-Sens!G11210</f>
        <v>37.1533530767219</v>
      </c>
      <c r="H11211" s="6" t="n">
        <f aca="false">Sens!H11204-Sens!H11208-Sens!H11210</f>
        <v>87.4179175112978</v>
      </c>
      <c r="I11211" s="6" t="n">
        <f aca="false">Sens!I11204-Sens!I11208-Sens!I11210</f>
        <v>156.886299871868</v>
      </c>
      <c r="J11211" s="6" t="n">
        <f aca="false">Sens!J11204-Sens!J11208-Sens!J11210</f>
        <v>229.062613447655</v>
      </c>
      <c r="K11211" s="6" t="n">
        <f aca="false">Sens!K11204-Sens!K11208-Sens!K11210</f>
        <v>262.952661091282</v>
      </c>
      <c r="L11211" s="11" t="s">
        <v>964</v>
      </c>
    </row>
    <row r="11212" customFormat="false" ht="15" hidden="false" customHeight="false" outlineLevel="0" collapsed="false">
      <c r="A11212" s="1" t="s">
        <v>965</v>
      </c>
      <c r="B11212" s="0" t="s">
        <v>75</v>
      </c>
      <c r="F11212" s="8" t="n">
        <f aca="false">dps_27</f>
        <v>3.85</v>
      </c>
      <c r="G11212" s="8" t="n">
        <f aca="false">Sens!F11212*(1+dps_g)</f>
        <v>4.158</v>
      </c>
      <c r="H11212" s="8" t="n">
        <f aca="false">Sens!G11212*(1+dps_g)</f>
        <v>4.49064</v>
      </c>
      <c r="I11212" s="8" t="n">
        <f aca="false">Sens!H11212*(1+dps_g)</f>
        <v>4.8498912</v>
      </c>
      <c r="J11212" s="8" t="n">
        <f aca="false">Sens!I11212*(1+dps_g)</f>
        <v>5.237882496</v>
      </c>
      <c r="K11212" s="8" t="n">
        <f aca="false">Sens!J11212*(1+dps_g)</f>
        <v>5.65691309568</v>
      </c>
    </row>
    <row r="11213" customFormat="false" ht="17.15" hidden="false" customHeight="false" outlineLevel="0" collapsed="false">
      <c r="A11213" s="1" t="s">
        <v>966</v>
      </c>
      <c r="B11213" s="0" t="s">
        <v>98</v>
      </c>
      <c r="E11213" s="6" t="n">
        <f aca="false">Q!M41</f>
        <v>26.445</v>
      </c>
      <c r="F11213" s="6" t="n">
        <f aca="false">Sens!F11212*Sens!E11222</f>
        <v>28.59395</v>
      </c>
      <c r="G11213" s="6" t="n">
        <f aca="false">Sens!G11212*Sens!F11222</f>
        <v>31.068576</v>
      </c>
      <c r="H11213" s="6" t="n">
        <f aca="false">Sens!H11212*Sens!G11222</f>
        <v>33.7104303647078</v>
      </c>
      <c r="I11213" s="6" t="n">
        <f aca="false">Sens!I11212*Sens!H11222</f>
        <v>36.4582040338839</v>
      </c>
      <c r="J11213" s="6" t="n">
        <f aca="false">Sens!J11212*Sens!I11222</f>
        <v>39.4432592049141</v>
      </c>
      <c r="K11213" s="6" t="n">
        <f aca="false">Sens!K11212*Sens!J11222</f>
        <v>42.6859751666122</v>
      </c>
      <c r="L11213" s="1" t="s">
        <v>967</v>
      </c>
    </row>
    <row r="11214" customFormat="false" ht="15" hidden="false" customHeight="false" outlineLevel="0" collapsed="false">
      <c r="A11214" s="1" t="s">
        <v>968</v>
      </c>
      <c r="B11214" s="0" t="s">
        <v>98</v>
      </c>
      <c r="E11214" s="6" t="n">
        <f aca="false">Sens!E11211-Sens!E11213</f>
        <v>37.441</v>
      </c>
      <c r="F11214" s="6" t="n">
        <f aca="false">Sens!F11211-Sens!F11213</f>
        <v>-29.0640505275841</v>
      </c>
      <c r="G11214" s="6" t="n">
        <f aca="false">Sens!G11211-Sens!G11213</f>
        <v>6.0847770767219</v>
      </c>
      <c r="H11214" s="6" t="n">
        <f aca="false">Sens!H11211-Sens!H11213</f>
        <v>53.7074871465899</v>
      </c>
      <c r="I11214" s="6" t="n">
        <f aca="false">Sens!I11211-Sens!I11213</f>
        <v>120.428095837984</v>
      </c>
      <c r="J11214" s="6" t="n">
        <f aca="false">Sens!J11211-Sens!J11213</f>
        <v>189.619354242741</v>
      </c>
      <c r="K11214" s="6" t="n">
        <f aca="false">Sens!K11211-Sens!K11213</f>
        <v>220.26668592467</v>
      </c>
    </row>
    <row r="11215" customFormat="false" ht="15" hidden="false" customHeight="false" outlineLevel="0" collapsed="false">
      <c r="A11215" s="1" t="s">
        <v>969</v>
      </c>
      <c r="B11215" s="0" t="s">
        <v>98</v>
      </c>
      <c r="F11215" s="6" t="n">
        <f aca="false">debt_mat_27</f>
        <v>9.25</v>
      </c>
      <c r="G11215" s="6" t="n">
        <f aca="false">debt_mat_28</f>
        <v>0</v>
      </c>
      <c r="H11215" s="6" t="n">
        <f aca="false">debt_mat_29</f>
        <v>2.001</v>
      </c>
      <c r="I11215" s="6" t="n">
        <f aca="false">debt_mat_30</f>
        <v>0</v>
      </c>
      <c r="J11215" s="6" t="n">
        <f aca="false">debt_mat_31</f>
        <v>0.5</v>
      </c>
      <c r="K11215" s="6" t="n">
        <f aca="false">debt_mat_32</f>
        <v>0</v>
      </c>
    </row>
    <row r="11216" customFormat="false" ht="15" hidden="false" customHeight="false" outlineLevel="0" collapsed="false">
      <c r="A11216" s="1" t="s">
        <v>970</v>
      </c>
      <c r="B11216" s="0" t="s">
        <v>98</v>
      </c>
      <c r="E11216" s="6" t="n">
        <f aca="false">Q!M40</f>
        <v>22.271</v>
      </c>
      <c r="F11216" s="6" t="n">
        <f aca="false">MAX(0,MIN(bb_target,Sens!E11218+Sens!F11214-Sens!F11215-min_cash))</f>
        <v>0</v>
      </c>
      <c r="G11216" s="6" t="n">
        <f aca="false">MAX(0,MIN(bb_target,Sens!F11218+Sens!G11214-Sens!G11215-min_cash))</f>
        <v>6.0847770767219</v>
      </c>
      <c r="H11216" s="6" t="n">
        <f aca="false">MAX(0,MIN(bb_target,Sens!G11218+Sens!H11214-Sens!H11215-min_cash))</f>
        <v>22.271</v>
      </c>
      <c r="I11216" s="6" t="n">
        <f aca="false">MAX(0,MIN(bb_target,Sens!H11218+Sens!I11214-Sens!I11215-min_cash))</f>
        <v>22.271</v>
      </c>
      <c r="J11216" s="6" t="n">
        <f aca="false">MAX(0,MIN(bb_target,Sens!I11218+Sens!J11214-Sens!J11215-min_cash))</f>
        <v>22.271</v>
      </c>
      <c r="K11216" s="6" t="n">
        <f aca="false">MAX(0,MIN(bb_target,Sens!J11218+Sens!K11214-Sens!K11215-min_cash))</f>
        <v>22.271</v>
      </c>
    </row>
    <row r="11217" customFormat="false" ht="15" hidden="false" customHeight="false" outlineLevel="0" collapsed="false">
      <c r="A11217" s="1" t="s">
        <v>971</v>
      </c>
      <c r="B11217" s="0" t="s">
        <v>98</v>
      </c>
      <c r="F11217" s="6" t="n">
        <f aca="false">MAX(0,min_cash-(Sens!E11218+Sens!F11214-Sens!F11215-Sens!F11216))</f>
        <v>11.4710505275841</v>
      </c>
      <c r="G11217" s="6" t="n">
        <f aca="false">MAX(0,min_cash-(Sens!F11218+Sens!G11214-Sens!G11215-Sens!G11216))</f>
        <v>0</v>
      </c>
      <c r="H11217" s="6" t="n">
        <f aca="false">MAX(0,min_cash-(Sens!G11218+Sens!H11214-Sens!H11215-Sens!H11216))</f>
        <v>0</v>
      </c>
      <c r="I11217" s="6" t="n">
        <f aca="false">MAX(0,min_cash-(Sens!H11218+Sens!I11214-Sens!I11215-Sens!I11216))</f>
        <v>0</v>
      </c>
      <c r="J11217" s="6" t="n">
        <f aca="false">MAX(0,min_cash-(Sens!I11218+Sens!J11214-Sens!J11215-Sens!J11216))</f>
        <v>0</v>
      </c>
      <c r="K11217" s="6" t="n">
        <f aca="false">MAX(0,min_cash-(Sens!J11218+Sens!K11214-Sens!K11215-Sens!K11216))</f>
        <v>0</v>
      </c>
    </row>
    <row r="11218" customFormat="false" ht="15" hidden="false" customHeight="false" outlineLevel="0" collapsed="false">
      <c r="A11218" s="1" t="s">
        <v>972</v>
      </c>
      <c r="B11218" s="0" t="s">
        <v>98</v>
      </c>
      <c r="E11218" s="6" t="n">
        <f aca="false">cash_open</f>
        <v>76.843</v>
      </c>
      <c r="F11218" s="6" t="n">
        <f aca="false">Sens!E11218+Sens!F11214-Sens!F11215-Sens!F11216+Sens!F11217</f>
        <v>50</v>
      </c>
      <c r="G11218" s="6" t="n">
        <f aca="false">Sens!F11218+Sens!G11214-Sens!G11215-Sens!G11216+Sens!G11217</f>
        <v>50</v>
      </c>
      <c r="H11218" s="6" t="n">
        <f aca="false">Sens!G11218+Sens!H11214-Sens!H11215-Sens!H11216+Sens!H11217</f>
        <v>79.4354871465899</v>
      </c>
      <c r="I11218" s="6" t="n">
        <f aca="false">Sens!H11218+Sens!I11214-Sens!I11215-Sens!I11216+Sens!I11217</f>
        <v>177.592582984574</v>
      </c>
      <c r="J11218" s="6" t="n">
        <f aca="false">Sens!I11218+Sens!J11214-Sens!J11215-Sens!J11216+Sens!J11217</f>
        <v>344.440937227315</v>
      </c>
      <c r="K11218" s="6" t="n">
        <f aca="false">Sens!J11218+Sens!K11214-Sens!K11215-Sens!K11216+Sens!K11217</f>
        <v>542.436623151984</v>
      </c>
    </row>
    <row r="11219" customFormat="false" ht="15" hidden="false" customHeight="false" outlineLevel="0" collapsed="false">
      <c r="A11219" s="1" t="s">
        <v>973</v>
      </c>
      <c r="B11219" s="0" t="s">
        <v>98</v>
      </c>
      <c r="E11219" s="6" t="n">
        <f aca="false">debt_face</f>
        <v>46.136</v>
      </c>
      <c r="F11219" s="6" t="n">
        <f aca="false">Sens!E11219-Sens!F11215+Sens!F11217</f>
        <v>48.3570505275841</v>
      </c>
      <c r="G11219" s="6" t="n">
        <f aca="false">Sens!F11219-Sens!G11215+Sens!G11217</f>
        <v>48.3570505275841</v>
      </c>
      <c r="H11219" s="6" t="n">
        <f aca="false">Sens!G11219-Sens!H11215+Sens!H11217</f>
        <v>46.3560505275841</v>
      </c>
      <c r="I11219" s="6" t="n">
        <f aca="false">Sens!H11219-Sens!I11215+Sens!I11217</f>
        <v>46.3560505275841</v>
      </c>
      <c r="J11219" s="6" t="n">
        <f aca="false">Sens!I11219-Sens!J11215+Sens!J11217</f>
        <v>45.8560505275841</v>
      </c>
      <c r="K11219" s="6" t="n">
        <f aca="false">Sens!J11219-Sens!K11215+Sens!K11217</f>
        <v>45.8560505275841</v>
      </c>
    </row>
    <row r="11220" customFormat="false" ht="15" hidden="false" customHeight="false" outlineLevel="0" collapsed="false">
      <c r="A11220" s="1" t="s">
        <v>974</v>
      </c>
      <c r="B11220" s="0" t="s">
        <v>98</v>
      </c>
      <c r="E11220" s="6" t="n">
        <f aca="false">Sens!E11218-Sens!E11219</f>
        <v>30.707</v>
      </c>
      <c r="F11220" s="6" t="n">
        <f aca="false">Sens!F11218-Sens!F11219</f>
        <v>1.6429494724159</v>
      </c>
      <c r="G11220" s="6" t="n">
        <f aca="false">Sens!G11218-Sens!G11219</f>
        <v>1.6429494724159</v>
      </c>
      <c r="H11220" s="6" t="n">
        <f aca="false">Sens!H11218-Sens!H11219</f>
        <v>33.0794366190058</v>
      </c>
      <c r="I11220" s="6" t="n">
        <f aca="false">Sens!I11218-Sens!I11219</f>
        <v>131.23653245699</v>
      </c>
      <c r="J11220" s="6" t="n">
        <f aca="false">Sens!J11218-Sens!J11219</f>
        <v>298.584886699731</v>
      </c>
      <c r="K11220" s="6" t="n">
        <f aca="false">Sens!K11218-Sens!K11219</f>
        <v>496.5805726244</v>
      </c>
    </row>
    <row r="11221" customFormat="false" ht="15" hidden="false" customHeight="false" outlineLevel="0" collapsed="false">
      <c r="A11221" s="1" t="s">
        <v>975</v>
      </c>
      <c r="B11221" s="0" t="s">
        <v>75</v>
      </c>
      <c r="F11221" s="29" t="n">
        <f aca="false">px*(1+bb_g)^(Sens!F11083-base_fy-mid_yr)</f>
        <v>553.494156066711</v>
      </c>
      <c r="G11221" s="29" t="n">
        <f aca="false">px*(1+bb_g)^(Sens!G11083-base_fy-mid_yr)</f>
        <v>597.773688552047</v>
      </c>
      <c r="H11221" s="29" t="n">
        <f aca="false">px*(1+bb_g)^(Sens!H11083-base_fy-mid_yr)</f>
        <v>645.595583636211</v>
      </c>
      <c r="I11221" s="29" t="n">
        <f aca="false">px*(1+bb_g)^(Sens!I11083-base_fy-mid_yr)</f>
        <v>697.243230327108</v>
      </c>
      <c r="J11221" s="29" t="n">
        <f aca="false">px*(1+bb_g)^(Sens!J11083-base_fy-mid_yr)</f>
        <v>753.022688753277</v>
      </c>
      <c r="K11221" s="29" t="n">
        <f aca="false">px*(1+bb_g)^(Sens!K11083-base_fy-mid_yr)</f>
        <v>813.264503853539</v>
      </c>
    </row>
    <row r="11222" customFormat="false" ht="15" hidden="false" customHeight="false" outlineLevel="0" collapsed="false">
      <c r="A11222" s="1" t="s">
        <v>976</v>
      </c>
      <c r="B11222" s="1" t="s">
        <v>81</v>
      </c>
      <c r="E11222" s="14" t="n">
        <f aca="false">sh_out26</f>
        <v>7.427</v>
      </c>
      <c r="F11222" s="14" t="n">
        <f aca="false">Sens!E11222+sh_iss-Sens!F11216/Sens!F11221</f>
        <v>7.472</v>
      </c>
      <c r="G11222" s="14" t="n">
        <f aca="false">Sens!F11222+sh_iss-Sens!G11216/Sens!G11221</f>
        <v>7.50682093525819</v>
      </c>
      <c r="H11222" s="14" t="n">
        <f aca="false">Sens!G11222+sh_iss-Sens!H11216/Sens!H11221</f>
        <v>7.51732410695809</v>
      </c>
      <c r="I11222" s="14" t="n">
        <f aca="false">Sens!H11222+sh_iss-Sens!I11216/Sens!I11221</f>
        <v>7.53038259927282</v>
      </c>
      <c r="J11222" s="14" t="n">
        <f aca="false">Sens!I11222+sh_iss-Sens!J11216/Sens!J11221</f>
        <v>7.54580712919386</v>
      </c>
      <c r="K11222" s="14" t="n">
        <f aca="false">Sens!J11222+sh_iss-Sens!K11216/Sens!K11221</f>
        <v>7.5634224346763</v>
      </c>
    </row>
    <row r="11223" customFormat="false" ht="15" hidden="false" customHeight="false" outlineLevel="0" collapsed="false">
      <c r="A11223" s="1" t="s">
        <v>977</v>
      </c>
      <c r="B11223" s="1" t="s">
        <v>81</v>
      </c>
      <c r="E11223" s="14" t="n">
        <f aca="false">sh_dil26</f>
        <v>7.453</v>
      </c>
      <c r="F11223" s="14" t="n">
        <f aca="false">(Sens!E11222+Sens!F11222)/2+dil_gap</f>
        <v>7.4735</v>
      </c>
      <c r="G11223" s="14" t="n">
        <f aca="false">(Sens!F11222+Sens!G11222)/2+dil_gap</f>
        <v>7.51341046762909</v>
      </c>
      <c r="H11223" s="14" t="n">
        <f aca="false">(Sens!G11222+Sens!H11222)/2+dil_gap</f>
        <v>7.53607252110814</v>
      </c>
      <c r="I11223" s="14" t="n">
        <f aca="false">(Sens!H11222+Sens!I11222)/2+dil_gap</f>
        <v>7.54785335311545</v>
      </c>
      <c r="J11223" s="14" t="n">
        <f aca="false">(Sens!I11222+Sens!J11222)/2+dil_gap</f>
        <v>7.56209486423334</v>
      </c>
      <c r="K11223" s="14" t="n">
        <f aca="false">(Sens!J11222+Sens!K11222)/2+dil_gap</f>
        <v>7.57861478193508</v>
      </c>
    </row>
    <row r="11224" customFormat="false" ht="17.15" hidden="false" customHeight="false" outlineLevel="0" collapsed="false">
      <c r="A11224" s="1" t="s">
        <v>978</v>
      </c>
      <c r="B11224" s="0" t="s">
        <v>98</v>
      </c>
      <c r="C11224" s="6" t="n">
        <f aca="false">SUM(Sens!F11214:J11214)</f>
        <v>340.775663776453</v>
      </c>
    </row>
    <row r="11225" customFormat="false" ht="15" hidden="false" customHeight="false" outlineLevel="0" collapsed="false">
      <c r="A11225" s="23" t="s">
        <v>945</v>
      </c>
      <c r="B11225" s="30" t="s">
        <v>98</v>
      </c>
      <c r="C11225" s="24" t="n">
        <f aca="false">Sens!$C$11224-(Sens!F11214+Sens!G11214+Sens!H11214+Sens!I11214+Sens!J11214)</f>
        <v>0</v>
      </c>
      <c r="D11225" s="30"/>
      <c r="E11225" s="30"/>
      <c r="F11225" s="30"/>
      <c r="G11225" s="30"/>
      <c r="H11225" s="30"/>
      <c r="I11225" s="30"/>
      <c r="J11225" s="30"/>
      <c r="K11225" s="30"/>
    </row>
    <row r="11226" customFormat="false" ht="17.15" hidden="false" customHeight="false" outlineLevel="0" collapsed="false">
      <c r="A11226" s="1" t="s">
        <v>939</v>
      </c>
      <c r="B11226" s="1" t="s">
        <v>979</v>
      </c>
      <c r="C11226" s="32" t="str">
        <f aca="false">IF(SUM(Sens!F11217:J11217)&gt;0.05,"需要舉債 "&amp;TEXT(SUM(Sens!F11217:J11217),"0.0")&amp;" 十億美元","不需舉債")&amp;"；"&amp;IF(SUM(Sens!F11216:J11216)&lt;COUNT(Sens!F11216:J11216)*bb_target-0.05,"回購較每年 "&amp;TEXT(bb_target,"0.0")&amp;" 的目標少 "&amp;TEXT(COUNT(Sens!F11216:J11216)*bb_target-SUM(Sens!F11216:J11216),"0.0")&amp;" 十億美元（"&amp;TEXT(COUNTIF(Sens!F11216:J11216,"&lt;"&amp;(bb_target-0.05)),"0")&amp;" 年減少）","回購不減")</f>
        <v>需要舉債 11.5 十億美元；回購較每年 22.3 的目標少 38.5 十億美元（2 年減少）</v>
      </c>
    </row>
    <row r="11227" customFormat="false" ht="17.15" hidden="false" customHeight="false" outlineLevel="0" collapsed="false">
      <c r="A11227" s="3" t="s">
        <v>1551</v>
      </c>
    </row>
    <row r="11228" customFormat="false" ht="15" hidden="false" customHeight="false" outlineLevel="0" collapsed="false">
      <c r="A11228" s="4" t="s">
        <v>43</v>
      </c>
      <c r="B11228" s="4" t="s">
        <v>65</v>
      </c>
      <c r="C11228" s="20" t="s">
        <v>799</v>
      </c>
      <c r="D11228" s="20" t="s">
        <v>800</v>
      </c>
      <c r="E11228" s="20" t="s">
        <v>801</v>
      </c>
      <c r="F11228" s="20" t="s">
        <v>802</v>
      </c>
      <c r="G11228" s="20" t="s">
        <v>803</v>
      </c>
      <c r="H11228" s="20" t="s">
        <v>804</v>
      </c>
      <c r="I11228" s="20" t="s">
        <v>805</v>
      </c>
      <c r="J11228" s="20" t="s">
        <v>806</v>
      </c>
      <c r="K11228" s="20" t="s">
        <v>807</v>
      </c>
      <c r="L11228" s="4" t="s">
        <v>47</v>
      </c>
    </row>
    <row r="11229" customFormat="false" ht="15" hidden="false" customHeight="false" outlineLevel="0" collapsed="false">
      <c r="A11229" s="1" t="s">
        <v>1057</v>
      </c>
      <c r="B11229" s="1" t="s">
        <v>235</v>
      </c>
      <c r="F11229" s="36" t="n">
        <f aca="false">Sens!F11083-base_fy-mid_yr</f>
        <v>0.5</v>
      </c>
      <c r="G11229" s="36" t="n">
        <f aca="false">Sens!G11083-base_fy-mid_yr</f>
        <v>1.5</v>
      </c>
      <c r="H11229" s="36" t="n">
        <f aca="false">Sens!H11083-base_fy-mid_yr</f>
        <v>2.5</v>
      </c>
      <c r="I11229" s="36" t="n">
        <f aca="false">Sens!I11083-base_fy-mid_yr</f>
        <v>3.5</v>
      </c>
      <c r="J11229" s="36" t="n">
        <f aca="false">Sens!J11083-base_fy-mid_yr</f>
        <v>4.5</v>
      </c>
      <c r="K11229" s="36" t="n">
        <f aca="false">Sens!K11083-base_fy-mid_yr</f>
        <v>5.5</v>
      </c>
    </row>
    <row r="11230" customFormat="false" ht="15" hidden="false" customHeight="false" outlineLevel="0" collapsed="false">
      <c r="A11230" s="1" t="s">
        <v>1058</v>
      </c>
      <c r="B11230" s="0" t="s">
        <v>185</v>
      </c>
      <c r="F11230" s="14" t="n">
        <f aca="false">1/(1+wacc)^Sens!F11229</f>
        <v>0.952193373608246</v>
      </c>
      <c r="G11230" s="14" t="n">
        <f aca="false">1/(1+wacc)^Sens!G11229</f>
        <v>0.863327280626589</v>
      </c>
      <c r="H11230" s="14" t="n">
        <f aca="false">1/(1+wacc)^Sens!H11229</f>
        <v>0.782754862754115</v>
      </c>
      <c r="I11230" s="14" t="n">
        <f aca="false">1/(1+wacc)^Sens!I11229</f>
        <v>0.709702089711011</v>
      </c>
      <c r="J11230" s="14" t="n">
        <f aca="false">1/(1+wacc)^Sens!J11229</f>
        <v>0.643467169744551</v>
      </c>
      <c r="K11230" s="14" t="n">
        <f aca="false">1/(1+wacc)^Sens!K11229</f>
        <v>0.583413807767797</v>
      </c>
    </row>
    <row r="11231" customFormat="false" ht="17.15" hidden="false" customHeight="false" outlineLevel="0" collapsed="false">
      <c r="A11231" s="1" t="s">
        <v>1059</v>
      </c>
      <c r="B11231" s="0" t="s">
        <v>98</v>
      </c>
      <c r="F11231" s="6" t="n">
        <f aca="false">Sens!F11204-Sens!F11202-Sens!F11208+Sens!F11187*(1-tax_f)</f>
        <v>-4.58392209487057</v>
      </c>
      <c r="G11231" s="6" t="n">
        <f aca="false">Sens!G11204-Sens!G11202-Sens!G11208+Sens!G11187*(1-tax_f)</f>
        <v>40.6265943927024</v>
      </c>
      <c r="H11231" s="6" t="n">
        <f aca="false">Sens!H11204-Sens!H11202-Sens!H11208+Sens!H11187*(1-tax_f)</f>
        <v>98.6770675045888</v>
      </c>
      <c r="I11231" s="6" t="n">
        <f aca="false">Sens!I11204-Sens!I11202-Sens!I11208+Sens!I11187*(1-tax_f)</f>
        <v>176.182723186833</v>
      </c>
      <c r="J11231" s="6" t="n">
        <f aca="false">Sens!J11204-Sens!J11202-Sens!J11208+Sens!J11187*(1-tax_f)</f>
        <v>253.89430839786</v>
      </c>
      <c r="K11231" s="6" t="n">
        <f aca="false">Sens!K11204-Sens!K11202-Sens!K11208+Sens!K11187*(1-tax_f)</f>
        <v>290.236488037633</v>
      </c>
      <c r="L11231" s="1" t="s">
        <v>1060</v>
      </c>
    </row>
    <row r="11232" customFormat="false" ht="15" hidden="false" customHeight="false" outlineLevel="0" collapsed="false">
      <c r="A11232" s="1" t="s">
        <v>1061</v>
      </c>
      <c r="B11232" s="0" t="s">
        <v>98</v>
      </c>
      <c r="F11232" s="6" t="n">
        <f aca="false">Sens!F11231*Sens!F11230</f>
        <v>-4.36478024387218</v>
      </c>
      <c r="G11232" s="6" t="n">
        <f aca="false">Sens!G11231*Sens!G11230</f>
        <v>35.0740472581712</v>
      </c>
      <c r="H11232" s="6" t="n">
        <f aca="false">Sens!H11231*Sens!H11230</f>
        <v>77.239954431533</v>
      </c>
      <c r="I11232" s="6" t="n">
        <f aca="false">Sens!I11231*Sens!I11230</f>
        <v>125.037246816672</v>
      </c>
      <c r="J11232" s="6" t="n">
        <f aca="false">Sens!J11231*Sens!J11230</f>
        <v>163.372652039021</v>
      </c>
      <c r="K11232" s="6" t="n">
        <f aca="false">Sens!K11231*Sens!K11230</f>
        <v>169.327974639188</v>
      </c>
    </row>
    <row r="11233" customFormat="false" ht="17.15" hidden="false" customHeight="false" outlineLevel="0" collapsed="false">
      <c r="A11233" s="1" t="s">
        <v>1062</v>
      </c>
      <c r="B11233" s="0" t="s">
        <v>98</v>
      </c>
      <c r="C11233" s="6" t="n">
        <f aca="false">SUM(Sens!F11232:K11232)</f>
        <v>565.687094940713</v>
      </c>
    </row>
    <row r="11234" customFormat="false" ht="17.15" hidden="false" customHeight="false" outlineLevel="0" collapsed="false">
      <c r="A11234" s="1" t="s">
        <v>1063</v>
      </c>
      <c r="B11234" s="0" t="s">
        <v>98</v>
      </c>
      <c r="C11234" s="6" t="n">
        <f aca="false">Sens!K11173*(1+g_tv)*(1-tax_f)</f>
        <v>308.037874843517</v>
      </c>
    </row>
    <row r="11235" customFormat="false" ht="17.15" hidden="false" customHeight="false" outlineLevel="0" collapsed="false">
      <c r="A11235" s="1" t="s">
        <v>1064</v>
      </c>
      <c r="B11235" s="0" t="s">
        <v>98</v>
      </c>
      <c r="C11235" s="6" t="n">
        <f aca="false">Sens!$C$11234*(1-g_tv/(wacc+ronic_prem))</f>
        <v>218.260944668291</v>
      </c>
    </row>
    <row r="11236" customFormat="false" ht="17.15" hidden="false" customHeight="false" outlineLevel="0" collapsed="false">
      <c r="A11236" s="1" t="s">
        <v>1065</v>
      </c>
      <c r="B11236" s="0" t="s">
        <v>98</v>
      </c>
      <c r="C11236" s="6" t="n">
        <f aca="false">Sens!$C$11235/(wacc-g_tv)</f>
        <v>2992.56433917421</v>
      </c>
    </row>
    <row r="11237" customFormat="false" ht="15" hidden="false" customHeight="false" outlineLevel="0" collapsed="false">
      <c r="A11237" s="1" t="s">
        <v>1066</v>
      </c>
      <c r="B11237" s="0" t="s">
        <v>98</v>
      </c>
      <c r="C11237" s="6" t="n">
        <f aca="false">Sens!$C$11236/(1+wacc)^(Sens!K11229+mid_yr)</f>
        <v>1662.43760664619</v>
      </c>
    </row>
    <row r="11238" customFormat="false" ht="17.15" hidden="false" customHeight="false" outlineLevel="0" collapsed="false">
      <c r="A11238" s="0" t="s">
        <v>986</v>
      </c>
      <c r="B11238" s="0" t="s">
        <v>98</v>
      </c>
      <c r="C11238" s="6" t="n">
        <f aca="false">Sens!$C$11233+Sens!$C$11237</f>
        <v>2228.1247015869</v>
      </c>
    </row>
    <row r="11239" customFormat="false" ht="15" hidden="false" customHeight="false" outlineLevel="0" collapsed="false">
      <c r="A11239" s="1" t="s">
        <v>987</v>
      </c>
      <c r="B11239" s="0" t="s">
        <v>129</v>
      </c>
      <c r="C11239" s="7" t="n">
        <f aca="false">Sens!$C$11237/Sens!$C$11238</f>
        <v>0.746115154803579</v>
      </c>
    </row>
    <row r="11240" customFormat="false" ht="17.15" hidden="false" customHeight="false" outlineLevel="0" collapsed="false">
      <c r="A11240" s="1" t="s">
        <v>1067</v>
      </c>
      <c r="B11240" s="0" t="s">
        <v>98</v>
      </c>
      <c r="C11240" s="6" t="n">
        <f aca="false">Sens!$C$11238+Sens!E11220-Sens!E11209+oai_v</f>
        <v>2362.6377015869</v>
      </c>
    </row>
    <row r="11241" customFormat="false" ht="17.15" hidden="false" customHeight="false" outlineLevel="0" collapsed="false">
      <c r="A11241" s="0" t="s">
        <v>994</v>
      </c>
      <c r="B11241" s="0" t="s">
        <v>75</v>
      </c>
      <c r="C11241" s="5" t="n">
        <f aca="false">Sens!$C$11240/sh_dil26</f>
        <v>317.004924404522</v>
      </c>
    </row>
    <row r="11242" customFormat="false" ht="15" hidden="false" customHeight="false" outlineLevel="0" collapsed="false">
      <c r="A11242" s="1" t="s">
        <v>1068</v>
      </c>
      <c r="B11242" s="0" t="s">
        <v>75</v>
      </c>
      <c r="C11242" s="8" t="n">
        <f aca="false">dps_27+Sens!G11212*roll_div_q/q_per_yr</f>
        <v>4.8895</v>
      </c>
    </row>
    <row r="11243" customFormat="false" ht="17.15" hidden="false" customHeight="false" outlineLevel="0" collapsed="false">
      <c r="A11243" s="0" t="s">
        <v>1069</v>
      </c>
      <c r="B11243" s="0" t="s">
        <v>75</v>
      </c>
      <c r="C11243" s="5" t="n">
        <f aca="false">Sens!$C$11241*(1+wacc)^t_roll-Sens!$C$11242</f>
        <v>356.094592063513</v>
      </c>
    </row>
    <row r="11244" customFormat="false" ht="17.15" hidden="false" customHeight="false" outlineLevel="0" collapsed="false">
      <c r="A11244" s="1" t="s">
        <v>1070</v>
      </c>
      <c r="B11244" s="0" t="s">
        <v>129</v>
      </c>
      <c r="F11244" s="7" t="n">
        <f aca="false">Sens!F11199/(Sens!F11144-Sens!F11100)</f>
        <v>0.0705303854989974</v>
      </c>
      <c r="G11244" s="7" t="n">
        <f aca="false">Sens!G11199/(Sens!G11144-Sens!G11100)</f>
        <v>0.0669153011130541</v>
      </c>
      <c r="H11244" s="7" t="n">
        <f aca="false">Sens!H11199/(Sens!H11144-Sens!H11100)</f>
        <v>0.0648963302688647</v>
      </c>
      <c r="I11244" s="7" t="n">
        <f aca="false">Sens!I11199/(Sens!I11144-Sens!I11100)</f>
        <v>0.0643411219550834</v>
      </c>
      <c r="J11244" s="7" t="n">
        <f aca="false">Sens!J11199/(Sens!J11144-Sens!J11100)</f>
        <v>0.0648740961982593</v>
      </c>
      <c r="K11244" s="7" t="n">
        <f aca="false">Sens!K11199/(Sens!K11144-Sens!K11100)</f>
        <v>0.0660244723636577</v>
      </c>
    </row>
    <row r="11245" customFormat="false" ht="17.15" hidden="false" customHeight="false" outlineLevel="0" collapsed="false">
      <c r="A11245" s="0" t="s">
        <v>1071</v>
      </c>
      <c r="B11245" s="0" t="s">
        <v>98</v>
      </c>
      <c r="F11245" s="6" t="n">
        <f aca="false">Sens!F11129*(al_m365+Sens!F11244+sbc_r)</f>
        <v>85.2273329859862</v>
      </c>
      <c r="G11245" s="6" t="n">
        <f aca="false">Sens!G11129*(al_m365+Sens!G11244+sbc_r)</f>
        <v>99.6892587904979</v>
      </c>
      <c r="H11245" s="6" t="n">
        <f aca="false">Sens!H11129*(al_m365+Sens!H11244+sbc_r)</f>
        <v>114.315107566414</v>
      </c>
      <c r="I11245" s="6" t="n">
        <f aca="false">Sens!I11129*(al_m365+Sens!I11244+sbc_r)</f>
        <v>127.42181750834</v>
      </c>
      <c r="J11245" s="6" t="n">
        <f aca="false">Sens!J11129*(al_m365+Sens!J11244+sbc_r)</f>
        <v>138.823999012523</v>
      </c>
      <c r="K11245" s="6" t="n">
        <f aca="false">Sens!K11129*(al_m365+Sens!K11244+sbc_r)</f>
        <v>149.845393216552</v>
      </c>
      <c r="L11245" s="11" t="s">
        <v>1072</v>
      </c>
    </row>
    <row r="11246" customFormat="false" ht="17.15" hidden="false" customHeight="false" outlineLevel="0" collapsed="false">
      <c r="A11246" s="0" t="s">
        <v>1073</v>
      </c>
      <c r="B11246" s="0" t="s">
        <v>98</v>
      </c>
      <c r="F11246" s="6" t="n">
        <f aca="false">Sens!F11130*(al_lic+Sens!F11244+sbc_r)</f>
        <v>33.5204472060294</v>
      </c>
      <c r="G11246" s="6" t="n">
        <f aca="false">Sens!G11130*(al_lic+Sens!G11244+sbc_r)</f>
        <v>34.7926166862242</v>
      </c>
      <c r="H11246" s="6" t="n">
        <f aca="false">Sens!H11130*(al_lic+Sens!H11244+sbc_r)</f>
        <v>35.9862829687409</v>
      </c>
      <c r="I11246" s="6" t="n">
        <f aca="false">Sens!I11130*(al_lic+Sens!I11244+sbc_r)</f>
        <v>37.0838788899664</v>
      </c>
      <c r="J11246" s="6" t="n">
        <f aca="false">Sens!J11130*(al_lic+Sens!J11244+sbc_r)</f>
        <v>38.0565090086839</v>
      </c>
      <c r="K11246" s="6" t="n">
        <f aca="false">Sens!K11130*(al_lic+Sens!K11244+sbc_r)</f>
        <v>38.8700352425884</v>
      </c>
    </row>
    <row r="11247" customFormat="false" ht="17.15" hidden="false" customHeight="false" outlineLevel="0" collapsed="false">
      <c r="A11247" s="0" t="s">
        <v>1074</v>
      </c>
      <c r="B11247" s="0" t="s">
        <v>98</v>
      </c>
      <c r="F11247" s="6" t="n">
        <f aca="false">Sens!F11132*(al_ind+Sens!F11244+sbc_r)</f>
        <v>9.11980018094294</v>
      </c>
      <c r="G11247" s="6" t="n">
        <f aca="false">Sens!G11132*(al_ind+Sens!G11244+sbc_r)</f>
        <v>9.88072195697034</v>
      </c>
      <c r="H11247" s="6" t="n">
        <f aca="false">Sens!H11132*(al_ind+Sens!H11244+sbc_r)</f>
        <v>10.6900815637922</v>
      </c>
      <c r="I11247" s="6" t="n">
        <f aca="false">Sens!I11132*(al_ind+Sens!I11244+sbc_r)</f>
        <v>11.5460282347577</v>
      </c>
      <c r="J11247" s="6" t="n">
        <f aca="false">Sens!J11132*(al_ind+Sens!J11244+sbc_r)</f>
        <v>12.4374767512513</v>
      </c>
      <c r="K11247" s="6" t="n">
        <f aca="false">Sens!K11132*(al_ind+Sens!K11244+sbc_r)</f>
        <v>13.3461587114563</v>
      </c>
    </row>
    <row r="11248" customFormat="false" ht="17.15" hidden="false" customHeight="false" outlineLevel="0" collapsed="false">
      <c r="A11248" s="0" t="s">
        <v>1075</v>
      </c>
      <c r="B11248" s="0" t="s">
        <v>98</v>
      </c>
      <c r="F11248" s="6" t="n">
        <f aca="false">Sens!F11134*(al_fro+Sens!F11244+sbc_r)</f>
        <v>3.58958536902212</v>
      </c>
      <c r="G11248" s="6" t="n">
        <f aca="false">Sens!G11134*(al_fro+Sens!G11244+sbc_r)</f>
        <v>3.79361306665995</v>
      </c>
      <c r="H11248" s="6" t="n">
        <f aca="false">Sens!H11134*(al_fro+Sens!H11244+sbc_r)</f>
        <v>4.02838862857902</v>
      </c>
      <c r="I11248" s="6" t="n">
        <f aca="false">Sens!I11134*(al_fro+Sens!I11244+sbc_r)</f>
        <v>4.29696179134221</v>
      </c>
      <c r="J11248" s="6" t="n">
        <f aca="false">Sens!J11134*(al_fro+Sens!J11244+sbc_r)</f>
        <v>4.59985687395741</v>
      </c>
      <c r="K11248" s="6" t="n">
        <f aca="false">Sens!K11134*(al_fro+Sens!K11244+sbc_r)</f>
        <v>4.93592238342414</v>
      </c>
    </row>
    <row r="11249" customFormat="false" ht="17.15" hidden="false" customHeight="false" outlineLevel="0" collapsed="false">
      <c r="A11249" s="0" t="s">
        <v>1076</v>
      </c>
      <c r="B11249" s="0" t="s">
        <v>98</v>
      </c>
      <c r="F11249" s="6" t="n">
        <f aca="false">Sens!F11137*(al_srch+Sens!F11244+sbc_r)</f>
        <v>11.2630849868114</v>
      </c>
      <c r="G11249" s="6" t="n">
        <f aca="false">Sens!G11137*(al_srch+Sens!G11244+sbc_r)</f>
        <v>12.3179728600437</v>
      </c>
      <c r="H11249" s="6" t="n">
        <f aca="false">Sens!H11137*(al_srch+Sens!H11244+sbc_r)</f>
        <v>13.4217853035424</v>
      </c>
      <c r="I11249" s="6" t="n">
        <f aca="false">Sens!I11137*(al_srch+Sens!I11244+sbc_r)</f>
        <v>14.565578354966</v>
      </c>
      <c r="J11249" s="6" t="n">
        <f aca="false">Sens!J11137*(al_srch+Sens!J11244+sbc_r)</f>
        <v>15.7277683722803</v>
      </c>
      <c r="K11249" s="6" t="n">
        <f aca="false">Sens!K11137*(al_srch+Sens!K11244+sbc_r)</f>
        <v>16.87683901418</v>
      </c>
    </row>
    <row r="11250" customFormat="false" ht="17.15" hidden="false" customHeight="false" outlineLevel="0" collapsed="false">
      <c r="A11250" s="0" t="s">
        <v>1077</v>
      </c>
      <c r="B11250" s="0" t="s">
        <v>98</v>
      </c>
      <c r="F11250" s="6" t="n">
        <f aca="false">Sens!F11106-Sens!F11107+Sens!F11187</f>
        <v>45.2024073018652</v>
      </c>
      <c r="G11250" s="6" t="n">
        <f aca="false">Sens!G11106-Sens!G11107+Sens!G11187</f>
        <v>89.396993487491</v>
      </c>
      <c r="H11250" s="6" t="n">
        <f aca="false">Sens!H11106-Sens!H11107+Sens!H11187</f>
        <v>141.253332825594</v>
      </c>
      <c r="I11250" s="6" t="n">
        <f aca="false">Sens!I11106-Sens!I11107+Sens!I11187</f>
        <v>182.818665153016</v>
      </c>
      <c r="J11250" s="6" t="n">
        <f aca="false">Sens!J11106-Sens!J11107+Sens!J11187</f>
        <v>212.472320149272</v>
      </c>
      <c r="K11250" s="6" t="n">
        <f aca="false">Sens!K11106-Sens!K11107+Sens!K11187</f>
        <v>231.335012322217</v>
      </c>
    </row>
    <row r="11251" customFormat="false" ht="17.15" hidden="false" customHeight="false" outlineLevel="0" collapsed="false">
      <c r="A11251" s="0" t="s">
        <v>1078</v>
      </c>
      <c r="B11251" s="0" t="s">
        <v>98</v>
      </c>
      <c r="F11251" s="6" t="n">
        <f aca="false">Sens!F11166+Sens!F11187+Sens!F11117+Sens!F11244*(Sens!F11136-Sens!F11100)+sbc_r*Sens!F11136</f>
        <v>231.530101449026</v>
      </c>
      <c r="G11251" s="6" t="n">
        <f aca="false">Sens!G11166+Sens!G11187+Sens!G11117+Sens!G11244*(Sens!G11136-Sens!G11100)+sbc_r*Sens!G11136</f>
        <v>304.181141259542</v>
      </c>
      <c r="H11251" s="6" t="n">
        <f aca="false">Sens!H11166+Sens!H11187+Sens!H11117+Sens!H11244*(Sens!H11136-Sens!H11100)+sbc_r*Sens!H11136</f>
        <v>385.187001688697</v>
      </c>
      <c r="I11251" s="6" t="n">
        <f aca="false">Sens!I11166+Sens!I11187+Sens!I11117+Sens!I11244*(Sens!I11136-Sens!I11100)+sbc_r*Sens!I11136</f>
        <v>453.88869134333</v>
      </c>
      <c r="J11251" s="6" t="n">
        <f aca="false">Sens!J11166+Sens!J11187+Sens!J11117+Sens!J11244*(Sens!J11136-Sens!J11100)+sbc_r*Sens!J11136</f>
        <v>507.811839692621</v>
      </c>
      <c r="K11251" s="6" t="n">
        <f aca="false">Sens!K11166+Sens!K11187+Sens!K11117+Sens!K11244*(Sens!K11136-Sens!K11100)+sbc_r*Sens!K11136</f>
        <v>548.617450366752</v>
      </c>
    </row>
    <row r="11252" customFormat="false" ht="17.15" hidden="false" customHeight="false" outlineLevel="0" collapsed="false">
      <c r="A11252" s="0" t="s">
        <v>1079</v>
      </c>
      <c r="B11252" s="0" t="s">
        <v>98</v>
      </c>
      <c r="F11252" s="6" t="n">
        <f aca="false">Sens!F11251-Sens!F11245-Sens!F11246-Sens!F11247-Sens!F11248-Sens!F11250</f>
        <v>54.8705284051802</v>
      </c>
      <c r="G11252" s="6" t="n">
        <f aca="false">Sens!G11251-Sens!G11245-Sens!G11246-Sens!G11247-Sens!G11248-Sens!G11250</f>
        <v>66.6279372716982</v>
      </c>
      <c r="H11252" s="6" t="n">
        <f aca="false">Sens!H11251-Sens!H11245-Sens!H11246-Sens!H11247-Sens!H11248-Sens!H11250</f>
        <v>78.9138081355769</v>
      </c>
      <c r="I11252" s="6" t="n">
        <f aca="false">Sens!I11251-Sens!I11245-Sens!I11246-Sens!I11247-Sens!I11248-Sens!I11250</f>
        <v>90.7213397659081</v>
      </c>
      <c r="J11252" s="6" t="n">
        <f aca="false">Sens!J11251-Sens!J11245-Sens!J11246-Sens!J11247-Sens!J11248-Sens!J11250</f>
        <v>101.421677896933</v>
      </c>
      <c r="K11252" s="6" t="n">
        <f aca="false">Sens!K11251-Sens!K11245-Sens!K11246-Sens!K11247-Sens!K11248-Sens!K11250</f>
        <v>110.284928490514</v>
      </c>
    </row>
    <row r="11253" customFormat="false" ht="17.15" hidden="false" customHeight="false" outlineLevel="0" collapsed="false">
      <c r="A11253" s="0" t="s">
        <v>1080</v>
      </c>
      <c r="B11253" s="0" t="s">
        <v>98</v>
      </c>
      <c r="F11253" s="6" t="n">
        <f aca="false">Sens!F11168+Sens!F11244*Sens!F11143+sbc_r*Sens!F11143</f>
        <v>25.022241454174</v>
      </c>
      <c r="G11253" s="6" t="n">
        <f aca="false">Sens!G11168+Sens!G11244*Sens!G11143+sbc_r*Sens!G11143</f>
        <v>25.541590758323</v>
      </c>
      <c r="H11253" s="6" t="n">
        <f aca="false">Sens!H11168+Sens!H11244*Sens!H11143+sbc_r*Sens!H11143</f>
        <v>26.3339059101749</v>
      </c>
      <c r="I11253" s="6" t="n">
        <f aca="false">Sens!I11168+Sens!I11244*Sens!I11143+sbc_r*Sens!I11143</f>
        <v>27.3710639268263</v>
      </c>
      <c r="J11253" s="6" t="n">
        <f aca="false">Sens!J11168+Sens!J11244*Sens!J11143+sbc_r*Sens!J11143</f>
        <v>28.6135940272812</v>
      </c>
      <c r="K11253" s="6" t="n">
        <f aca="false">Sens!K11168+Sens!K11244*Sens!K11143+sbc_r*Sens!K11143</f>
        <v>30.0167041241032</v>
      </c>
    </row>
    <row r="11254" customFormat="false" ht="17.15" hidden="false" customHeight="false" outlineLevel="0" collapsed="false">
      <c r="A11254" s="0" t="s">
        <v>1081</v>
      </c>
      <c r="B11254" s="0" t="s">
        <v>98</v>
      </c>
      <c r="F11254" s="6" t="n">
        <f aca="false">(Sens!F11253-Sens!F11249)*Sens!F11139/(Sens!F11139+Sens!F11141)</f>
        <v>7.54263556316603</v>
      </c>
      <c r="G11254" s="6" t="n">
        <f aca="false">(Sens!G11253-Sens!G11249)*Sens!G11139/(Sens!G11139+Sens!G11141)</f>
        <v>7.11980827756494</v>
      </c>
      <c r="H11254" s="6" t="n">
        <f aca="false">(Sens!H11253-Sens!H11249)*Sens!H11139/(Sens!H11139+Sens!H11141)</f>
        <v>6.85818197243821</v>
      </c>
      <c r="I11254" s="6" t="n">
        <f aca="false">(Sens!I11253-Sens!I11249)*Sens!I11139/(Sens!I11139+Sens!I11141)</f>
        <v>6.74000307190599</v>
      </c>
      <c r="J11254" s="6" t="n">
        <f aca="false">(Sens!J11253-Sens!J11249)*Sens!J11139/(Sens!J11139+Sens!J11141)</f>
        <v>6.75161978331404</v>
      </c>
      <c r="K11254" s="6" t="n">
        <f aca="false">(Sens!K11253-Sens!K11249)*Sens!K11139/(Sens!K11139+Sens!K11141)</f>
        <v>6.8847255582575</v>
      </c>
    </row>
    <row r="11255" customFormat="false" ht="17.15" hidden="false" customHeight="false" outlineLevel="0" collapsed="false">
      <c r="A11255" s="0" t="s">
        <v>1082</v>
      </c>
      <c r="B11255" s="0" t="s">
        <v>98</v>
      </c>
      <c r="F11255" s="6" t="n">
        <f aca="false">Sens!F11253-Sens!F11249-Sens!F11254</f>
        <v>6.21652090419658</v>
      </c>
      <c r="G11255" s="6" t="n">
        <f aca="false">Sens!G11253-Sens!G11249-Sens!G11254</f>
        <v>6.10380962071434</v>
      </c>
      <c r="H11255" s="6" t="n">
        <f aca="false">Sens!H11253-Sens!H11249-Sens!H11254</f>
        <v>6.05393863419435</v>
      </c>
      <c r="I11255" s="6" t="n">
        <f aca="false">Sens!I11253-Sens!I11249-Sens!I11254</f>
        <v>6.06548249995433</v>
      </c>
      <c r="J11255" s="6" t="n">
        <f aca="false">Sens!J11253-Sens!J11249-Sens!J11254</f>
        <v>6.13420587168689</v>
      </c>
      <c r="K11255" s="6" t="n">
        <f aca="false">Sens!K11253-Sens!K11249-Sens!K11254</f>
        <v>6.25513955166565</v>
      </c>
    </row>
    <row r="11256" customFormat="false" ht="17.15" hidden="false" customHeight="false" outlineLevel="0" collapsed="false">
      <c r="A11256" s="0" t="s">
        <v>1083</v>
      </c>
      <c r="B11256" s="0" t="s">
        <v>98</v>
      </c>
      <c r="F11256" s="6" t="n">
        <f aca="false">Sens!F11250-tax_f*(Sens!F11250-Sens!F11117)-Sens!F11114</f>
        <v>-117.360972553783</v>
      </c>
      <c r="G11256" s="6" t="n">
        <f aca="false">Sens!G11250-tax_f*(Sens!G11250-Sens!G11117)-Sens!G11114</f>
        <v>-100.231498271105</v>
      </c>
      <c r="H11256" s="6" t="n">
        <f aca="false">Sens!H11250-tax_f*(Sens!H11250-Sens!H11117)-Sens!H11114</f>
        <v>-57.8054156812621</v>
      </c>
      <c r="I11256" s="6" t="n">
        <f aca="false">Sens!I11250-tax_f*(Sens!I11250-Sens!I11117)-Sens!I11114</f>
        <v>4.66941173464585</v>
      </c>
      <c r="J11256" s="6" t="n">
        <f aca="false">Sens!J11250-tax_f*(Sens!J11250-Sens!J11117)-Sens!J11114</f>
        <v>68.3960840957439</v>
      </c>
      <c r="K11256" s="6" t="n">
        <f aca="false">Sens!K11250-tax_f*(Sens!K11250-Sens!K11117)-Sens!K11114</f>
        <v>91.4868873630444</v>
      </c>
    </row>
    <row r="11257" customFormat="false" ht="17.15" hidden="false" customHeight="false" outlineLevel="0" collapsed="false">
      <c r="A11257" s="0" t="s">
        <v>1084</v>
      </c>
      <c r="B11257" s="0" t="s">
        <v>98</v>
      </c>
      <c r="G11257" s="6" t="n">
        <f aca="false">Sens!G11256/(1+wacc)^(Sens!G11229-(Sens!F11229+mid_yr))</f>
        <v>-95.4397684805726</v>
      </c>
      <c r="H11257" s="6" t="n">
        <f aca="false">Sens!H11256/(1+wacc)^(Sens!H11229-(Sens!F11229+mid_yr))</f>
        <v>-49.9049923255936</v>
      </c>
      <c r="I11257" s="6" t="n">
        <f aca="false">Sens!I11256/(1+wacc)^(Sens!I11229-(Sens!F11229+mid_yr))</f>
        <v>3.65500474149517</v>
      </c>
      <c r="J11257" s="6" t="n">
        <f aca="false">Sens!J11256/(1+wacc)^(Sens!J11229-(Sens!F11229+mid_yr))</f>
        <v>48.5408438107995</v>
      </c>
      <c r="K11257" s="6" t="n">
        <f aca="false">Sens!K11256/(1+wacc)^(Sens!K11229-(Sens!F11229+mid_yr))</f>
        <v>58.8688084802367</v>
      </c>
      <c r="L11257" s="1" t="s">
        <v>1085</v>
      </c>
    </row>
    <row r="11258" customFormat="false" ht="17.15" hidden="false" customHeight="false" outlineLevel="0" collapsed="false">
      <c r="A11258" s="0" t="s">
        <v>1086</v>
      </c>
      <c r="B11258" s="0" t="s">
        <v>98</v>
      </c>
      <c r="C11258" s="6" t="n">
        <f aca="false">(Sens!K11250-Sens!K11117)*(1-tax_f)*(1+g_tv)*(1-g_tv/(wacc+ronic_prem))/(wacc-g_tv)/(1+wacc)^(Sens!K11229+mid_yr-(Sens!F11229+mid_yr))</f>
        <v>452.236667827319</v>
      </c>
    </row>
    <row r="11259" customFormat="false" ht="17.15" hidden="false" customHeight="false" outlineLevel="0" collapsed="false">
      <c r="A11259" s="1" t="s">
        <v>1087</v>
      </c>
      <c r="B11259" s="0" t="s">
        <v>98</v>
      </c>
      <c r="C11259" s="6" t="n">
        <f aca="false">(SUM(Sens!G11257:K11257)+Sens!$C$11258)*(1+wacc)^(t_roll-(Sens!F11229+mid_yr))</f>
        <v>431.522569419229</v>
      </c>
      <c r="L11259" s="11" t="s">
        <v>1088</v>
      </c>
    </row>
    <row r="11260" customFormat="false" ht="17.15" hidden="false" customHeight="false" outlineLevel="0" collapsed="false">
      <c r="A11260" s="1" t="s">
        <v>1089</v>
      </c>
      <c r="B11260" s="0" t="s">
        <v>98</v>
      </c>
      <c r="C11260" s="6" t="n">
        <f aca="false">(w_ntm28*Sens!G11106+(1-w_ntm28)*Sens!H11106)*m_ai</f>
        <v>551.711134531404</v>
      </c>
    </row>
    <row r="11261" customFormat="false" ht="17.15" hidden="false" customHeight="false" outlineLevel="0" collapsed="false">
      <c r="A11261" s="1" t="s">
        <v>1090</v>
      </c>
      <c r="B11261" s="0" t="s">
        <v>98</v>
      </c>
      <c r="C11261" s="6" t="n">
        <f aca="false">(w_ntm28*Sens!G11252+(1-w_ntm28)*Sens!H11252)*m_cloud</f>
        <v>975.689344519469</v>
      </c>
    </row>
    <row r="11262" customFormat="false" ht="17.15" hidden="false" customHeight="false" outlineLevel="0" collapsed="false">
      <c r="A11262" s="1" t="s">
        <v>1091</v>
      </c>
      <c r="B11262" s="0" t="s">
        <v>98</v>
      </c>
      <c r="C11262" s="6" t="n">
        <f aca="false">(w_ntm28*Sens!G11245+(1-w_ntm28)*Sens!H11245)*m_sw</f>
        <v>1127.71024611553</v>
      </c>
    </row>
    <row r="11263" customFormat="false" ht="17.15" hidden="false" customHeight="false" outlineLevel="0" collapsed="false">
      <c r="A11263" s="1" t="s">
        <v>1092</v>
      </c>
      <c r="B11263" s="0" t="s">
        <v>98</v>
      </c>
      <c r="C11263" s="6" t="n">
        <f aca="false">(w_ntm28*Sens!G11246+(1-w_ntm28)*Sens!H11246)*m_sw</f>
        <v>379.927954212425</v>
      </c>
    </row>
    <row r="11264" customFormat="false" ht="17.15" hidden="false" customHeight="false" outlineLevel="0" collapsed="false">
      <c r="A11264" s="1" t="s">
        <v>1093</v>
      </c>
      <c r="B11264" s="0" t="s">
        <v>98</v>
      </c>
      <c r="C11264" s="6" t="n">
        <f aca="false">(w_ntm28*Sens!G11247+(1-w_ntm28)*Sens!H11247)*m_sw</f>
        <v>109.537681746057</v>
      </c>
    </row>
    <row r="11265" customFormat="false" ht="17.15" hidden="false" customHeight="false" outlineLevel="0" collapsed="false">
      <c r="A11265" s="1" t="s">
        <v>1094</v>
      </c>
      <c r="B11265" s="0" t="s">
        <v>98</v>
      </c>
      <c r="C11265" s="6" t="n">
        <f aca="false">(w_ntm28*Sens!G11248+(1-w_ntm28)*Sens!H11248)*m_sw</f>
        <v>41.7907416024197</v>
      </c>
    </row>
    <row r="11266" customFormat="false" ht="17.15" hidden="false" customHeight="false" outlineLevel="0" collapsed="false">
      <c r="A11266" s="1" t="s">
        <v>1095</v>
      </c>
      <c r="B11266" s="0" t="s">
        <v>98</v>
      </c>
      <c r="C11266" s="6" t="n">
        <f aca="false">(w_ntm28*Sens!G11249+(1-w_ntm28)*Sens!H11249)*m_ads</f>
        <v>115.467626729004</v>
      </c>
    </row>
    <row r="11267" customFormat="false" ht="17.15" hidden="false" customHeight="false" outlineLevel="0" collapsed="false">
      <c r="A11267" s="1" t="s">
        <v>1096</v>
      </c>
      <c r="B11267" s="0" t="s">
        <v>98</v>
      </c>
      <c r="C11267" s="6" t="n">
        <f aca="false">(w_ntm28*Sens!G11254+(1-w_ntm28)*Sens!H11254)*m_game</f>
        <v>88.8549260865149</v>
      </c>
    </row>
    <row r="11268" customFormat="false" ht="17.15" hidden="false" customHeight="false" outlineLevel="0" collapsed="false">
      <c r="A11268" s="1" t="s">
        <v>1097</v>
      </c>
      <c r="B11268" s="0" t="s">
        <v>98</v>
      </c>
      <c r="C11268" s="6" t="n">
        <f aca="false">(w_ntm28*Sens!G11255+(1-w_ntm28)*Sens!H11255)*m_pc</f>
        <v>88.0888301031244</v>
      </c>
    </row>
    <row r="11269" customFormat="false" ht="17.15" hidden="false" customHeight="false" outlineLevel="0" collapsed="false">
      <c r="A11269" s="1" t="s">
        <v>1098</v>
      </c>
      <c r="B11269" s="0" t="s">
        <v>98</v>
      </c>
      <c r="C11269" s="6" t="n">
        <f aca="false">Sens!$C$11259+Sens!$C$11261+Sens!$C$11262+Sens!$C$11263+Sens!$C$11264+Sens!$C$11265+Sens!$C$11266+Sens!$C$11267+Sens!$C$11268</f>
        <v>3358.58992053378</v>
      </c>
    </row>
    <row r="11270" customFormat="false" ht="17.15" hidden="false" customHeight="false" outlineLevel="0" collapsed="false">
      <c r="A11270" s="1" t="s">
        <v>1099</v>
      </c>
      <c r="B11270" s="0" t="s">
        <v>98</v>
      </c>
      <c r="C11270" s="6" t="n">
        <f aca="false">(Sens!G11231-Sens!G11256)*t_stub</f>
        <v>45.9235973342276</v>
      </c>
      <c r="L11270" s="1" t="s">
        <v>1100</v>
      </c>
    </row>
    <row r="11271" customFormat="false" ht="17.15" hidden="false" customHeight="false" outlineLevel="0" collapsed="false">
      <c r="A11271" s="1" t="s">
        <v>1014</v>
      </c>
      <c r="B11271" s="0" t="s">
        <v>98</v>
      </c>
      <c r="C11271" s="6" t="n">
        <f aca="false">Sens!F11220+oai_v-Sens!F11209+Sens!$C$11270</f>
        <v>155.496816806644</v>
      </c>
      <c r="L11271" s="1" t="s">
        <v>1101</v>
      </c>
    </row>
    <row r="11272" customFormat="false" ht="17.15" hidden="false" customHeight="false" outlineLevel="0" collapsed="false">
      <c r="A11272" s="1" t="s">
        <v>1102</v>
      </c>
      <c r="B11272" s="0" t="s">
        <v>75</v>
      </c>
      <c r="C11272" s="5" t="n">
        <f aca="false">(Sens!$C$11269+Sens!$C$11271)/(Sens!F11222+dil_gap)-Sens!G11212*roll_div_q/q_per_yr</f>
        <v>467.7554222706</v>
      </c>
      <c r="L11272" s="1" t="s">
        <v>1103</v>
      </c>
    </row>
    <row r="11273" customFormat="false" ht="17.15" hidden="false" customHeight="false" outlineLevel="0" collapsed="false">
      <c r="A11273" s="1" t="s">
        <v>1104</v>
      </c>
      <c r="B11273" s="0" t="s">
        <v>75</v>
      </c>
      <c r="C11273" s="5" t="n">
        <f aca="false">w_dcf*Sens!$C$11243+(1-w_dcf)*Sens!$C$11272</f>
        <v>411.925007167057</v>
      </c>
    </row>
    <row r="11274" customFormat="false" ht="17.15" hidden="false" customHeight="false" outlineLevel="0" collapsed="false">
      <c r="A11274" s="3" t="s">
        <v>1552</v>
      </c>
    </row>
    <row r="11275" customFormat="false" ht="15" hidden="false" customHeight="false" outlineLevel="0" collapsed="false">
      <c r="A11275" s="4" t="s">
        <v>43</v>
      </c>
      <c r="B11275" s="4" t="s">
        <v>65</v>
      </c>
      <c r="C11275" s="20" t="s">
        <v>799</v>
      </c>
      <c r="D11275" s="20" t="s">
        <v>800</v>
      </c>
      <c r="E11275" s="20" t="s">
        <v>801</v>
      </c>
      <c r="F11275" s="20" t="s">
        <v>802</v>
      </c>
      <c r="G11275" s="20" t="s">
        <v>803</v>
      </c>
      <c r="H11275" s="20" t="s">
        <v>804</v>
      </c>
      <c r="I11275" s="20" t="s">
        <v>805</v>
      </c>
      <c r="J11275" s="20" t="s">
        <v>806</v>
      </c>
      <c r="K11275" s="20" t="s">
        <v>807</v>
      </c>
      <c r="L11275" s="4" t="s">
        <v>47</v>
      </c>
    </row>
    <row r="11276" customFormat="false" ht="17.15" hidden="false" customHeight="false" outlineLevel="0" collapsed="false">
      <c r="A11276" s="1" t="s">
        <v>808</v>
      </c>
      <c r="B11276" s="1" t="s">
        <v>235</v>
      </c>
      <c r="C11276" s="28" t="n">
        <v>2024</v>
      </c>
      <c r="D11276" s="28" t="n">
        <v>2025</v>
      </c>
      <c r="E11276" s="28" t="n">
        <v>2026</v>
      </c>
      <c r="F11276" s="28" t="n">
        <v>2027</v>
      </c>
      <c r="G11276" s="28" t="n">
        <v>2028</v>
      </c>
      <c r="H11276" s="28" t="n">
        <v>2029</v>
      </c>
      <c r="I11276" s="28" t="n">
        <v>2030</v>
      </c>
      <c r="J11276" s="28" t="n">
        <v>2031</v>
      </c>
      <c r="K11276" s="28" t="n">
        <v>2032</v>
      </c>
    </row>
    <row r="11277" customFormat="false" ht="17.15" hidden="false" customHeight="false" outlineLevel="0" collapsed="false">
      <c r="A11277" s="1" t="s">
        <v>809</v>
      </c>
      <c r="B11277" s="0" t="s">
        <v>399</v>
      </c>
      <c r="F11277" s="29" t="n">
        <f aca="false">pace</f>
        <v>2527.2</v>
      </c>
      <c r="G11277" s="29" t="n">
        <f aca="false">pace</f>
        <v>2527.2</v>
      </c>
      <c r="H11277" s="29" t="n">
        <f aca="false">pace</f>
        <v>2527.2</v>
      </c>
      <c r="I11277" s="29" t="n">
        <f aca="false">pace+(g_tv*Sens!H11278-pace)*MIN(1,(Sens!I11276-pace_y0)/(pace_y1-pace_y0))</f>
        <v>1793.116</v>
      </c>
      <c r="J11277" s="29" t="n">
        <f aca="false">pace+(g_tv*Sens!I11278-pace)*MIN(1,(Sens!J11276-pace_y0)/(pace_y1-pace_y0))</f>
        <v>1094.89432</v>
      </c>
      <c r="K11277" s="29" t="n">
        <f aca="false">pace+(g_tv*Sens!J11278-pace)*MIN(1,(Sens!K11276-pace_y0)/(pace_y1-pace_y0))</f>
        <v>411.5883096</v>
      </c>
      <c r="L11277" s="11" t="s">
        <v>810</v>
      </c>
    </row>
    <row r="11278" customFormat="false" ht="17.15" hidden="false" customHeight="false" outlineLevel="0" collapsed="false">
      <c r="A11278" s="1" t="s">
        <v>811</v>
      </c>
      <c r="B11278" s="0" t="s">
        <v>399</v>
      </c>
      <c r="C11278" s="29" t="n">
        <f aca="false">mw_ext_24</f>
        <v>640</v>
      </c>
      <c r="D11278" s="29" t="n">
        <f aca="false">mw_ext_25</f>
        <v>1630</v>
      </c>
      <c r="E11278" s="29" t="n">
        <f aca="false">mw_ext_26</f>
        <v>3250</v>
      </c>
      <c r="F11278" s="29" t="n">
        <f aca="false">Sens!E11278+Sens!F11277</f>
        <v>5777.2</v>
      </c>
      <c r="G11278" s="29" t="n">
        <f aca="false">Sens!F11278+Sens!G11277</f>
        <v>8304.4</v>
      </c>
      <c r="H11278" s="29" t="n">
        <f aca="false">Sens!G11278+Sens!H11277</f>
        <v>10831.6</v>
      </c>
      <c r="I11278" s="29" t="n">
        <f aca="false">Sens!H11278+Sens!I11277</f>
        <v>12624.716</v>
      </c>
      <c r="J11278" s="29" t="n">
        <f aca="false">Sens!I11278+Sens!J11277</f>
        <v>13719.61032</v>
      </c>
      <c r="K11278" s="29" t="n">
        <f aca="false">Sens!J11278+Sens!K11277</f>
        <v>14131.1986296</v>
      </c>
      <c r="L11278" s="1" t="s">
        <v>812</v>
      </c>
    </row>
    <row r="11279" customFormat="false" ht="17.15" hidden="false" customHeight="false" outlineLevel="0" collapsed="false">
      <c r="A11279" s="1" t="s">
        <v>813</v>
      </c>
      <c r="B11279" s="0" t="s">
        <v>399</v>
      </c>
      <c r="C11279" s="29" t="n">
        <f aca="false">rent_ext_24</f>
        <v>150</v>
      </c>
      <c r="D11279" s="29" t="n">
        <f aca="false">rent_ext_25</f>
        <v>400</v>
      </c>
      <c r="E11279" s="29" t="n">
        <f aca="false">rent_ext_26</f>
        <v>550</v>
      </c>
      <c r="F11279" s="29" t="n">
        <f aca="false">rent_ext_f</f>
        <v>756</v>
      </c>
      <c r="G11279" s="29" t="n">
        <f aca="false">rent_ext_f</f>
        <v>756</v>
      </c>
      <c r="H11279" s="29" t="n">
        <f aca="false">rent_ext_f</f>
        <v>756</v>
      </c>
      <c r="I11279" s="29" t="n">
        <f aca="false">rent_ext_f</f>
        <v>756</v>
      </c>
      <c r="J11279" s="29" t="n">
        <f aca="false">rent_ext_f</f>
        <v>756</v>
      </c>
      <c r="K11279" s="29" t="n">
        <f aca="false">rent_ext_f</f>
        <v>756</v>
      </c>
      <c r="L11279" s="1" t="s">
        <v>814</v>
      </c>
    </row>
    <row r="11280" customFormat="false" ht="17.15" hidden="false" customHeight="false" outlineLevel="0" collapsed="false">
      <c r="A11280" s="1" t="s">
        <v>815</v>
      </c>
      <c r="B11280" s="0" t="s">
        <v>399</v>
      </c>
      <c r="C11280" s="29" t="n">
        <f aca="false">Sens!C11278-Sens!C11279</f>
        <v>490</v>
      </c>
      <c r="D11280" s="29" t="n">
        <f aca="false">Sens!D11278-Sens!D11279</f>
        <v>1230</v>
      </c>
      <c r="E11280" s="29" t="n">
        <f aca="false">Sens!E11278-Sens!E11279</f>
        <v>2700</v>
      </c>
      <c r="F11280" s="29" t="n">
        <f aca="false">Sens!F11278-Sens!F11279</f>
        <v>5021.2</v>
      </c>
      <c r="G11280" s="29" t="n">
        <f aca="false">Sens!G11278-Sens!G11279</f>
        <v>7548.4</v>
      </c>
      <c r="H11280" s="29" t="n">
        <f aca="false">Sens!H11278-Sens!H11279</f>
        <v>10075.6</v>
      </c>
      <c r="I11280" s="29" t="n">
        <f aca="false">Sens!I11278-Sens!I11279</f>
        <v>11868.716</v>
      </c>
      <c r="J11280" s="29" t="n">
        <f aca="false">Sens!J11278-Sens!J11279</f>
        <v>12963.61032</v>
      </c>
      <c r="K11280" s="29" t="n">
        <f aca="false">Sens!K11278-Sens!K11279</f>
        <v>13375.1986296</v>
      </c>
    </row>
    <row r="11281" customFormat="false" ht="17.15" hidden="false" customHeight="false" outlineLevel="0" collapsed="false">
      <c r="A11281" s="1" t="s">
        <v>816</v>
      </c>
      <c r="B11281" s="0" t="s">
        <v>399</v>
      </c>
      <c r="C11281" s="29" t="n">
        <f aca="false">Sens!C11280/ext_sh</f>
        <v>816.666666666667</v>
      </c>
      <c r="D11281" s="29" t="n">
        <f aca="false">Sens!D11280/ext_sh</f>
        <v>2050</v>
      </c>
      <c r="E11281" s="29" t="n">
        <f aca="false">Sens!E11280/ext_sh</f>
        <v>4500</v>
      </c>
      <c r="F11281" s="29" t="n">
        <f aca="false">Sens!F11280/ext_sh</f>
        <v>8368.66666666667</v>
      </c>
      <c r="G11281" s="29" t="n">
        <f aca="false">Sens!G11280/ext_sh</f>
        <v>12580.6666666667</v>
      </c>
      <c r="H11281" s="29" t="n">
        <f aca="false">Sens!H11280/ext_sh</f>
        <v>16792.6666666667</v>
      </c>
      <c r="I11281" s="29" t="n">
        <f aca="false">Sens!I11280/ext_sh</f>
        <v>19781.1933333333</v>
      </c>
      <c r="J11281" s="29" t="n">
        <f aca="false">Sens!J11280/ext_sh</f>
        <v>21606.0172</v>
      </c>
      <c r="K11281" s="29" t="n">
        <f aca="false">Sens!K11280/ext_sh</f>
        <v>22291.997716</v>
      </c>
      <c r="L11281" s="1" t="s">
        <v>817</v>
      </c>
    </row>
    <row r="11282" customFormat="false" ht="17.15" hidden="false" customHeight="false" outlineLevel="0" collapsed="false">
      <c r="A11282" s="1" t="s">
        <v>818</v>
      </c>
      <c r="B11282" s="0" t="s">
        <v>399</v>
      </c>
      <c r="C11282" s="29" t="n">
        <f aca="false">Sens!C11281-Sens!C11280</f>
        <v>326.666666666667</v>
      </c>
      <c r="D11282" s="29" t="n">
        <f aca="false">Sens!D11281-Sens!D11280</f>
        <v>820</v>
      </c>
      <c r="E11282" s="29" t="n">
        <f aca="false">Sens!E11281-Sens!E11280</f>
        <v>1800</v>
      </c>
      <c r="F11282" s="29" t="n">
        <f aca="false">Sens!F11281-Sens!F11280</f>
        <v>3347.46666666667</v>
      </c>
      <c r="G11282" s="29" t="n">
        <f aca="false">Sens!G11281-Sens!G11280</f>
        <v>5032.26666666667</v>
      </c>
      <c r="H11282" s="29" t="n">
        <f aca="false">Sens!H11281-Sens!H11280</f>
        <v>6717.06666666667</v>
      </c>
      <c r="I11282" s="29" t="n">
        <f aca="false">Sens!I11281-Sens!I11280</f>
        <v>7912.47733333333</v>
      </c>
      <c r="J11282" s="29" t="n">
        <f aca="false">Sens!J11281-Sens!J11280</f>
        <v>8642.40688</v>
      </c>
      <c r="K11282" s="29" t="n">
        <f aca="false">Sens!K11281-Sens!K11280</f>
        <v>8916.7990864</v>
      </c>
    </row>
    <row r="11283" customFormat="false" ht="17.15" hidden="false" customHeight="false" outlineLevel="0" collapsed="false">
      <c r="A11283" s="1" t="s">
        <v>819</v>
      </c>
      <c r="B11283" s="0" t="s">
        <v>399</v>
      </c>
      <c r="C11283" s="29" t="n">
        <f aca="false">Sens!C11281</f>
        <v>816.666666666667</v>
      </c>
      <c r="D11283" s="29" t="n">
        <f aca="false">Sens!D11281-Sens!C11281</f>
        <v>1233.33333333333</v>
      </c>
      <c r="E11283" s="29" t="n">
        <f aca="false">Sens!E11281-Sens!D11281</f>
        <v>2450</v>
      </c>
      <c r="F11283" s="29" t="n">
        <f aca="false">Sens!F11281-Sens!E11281</f>
        <v>3868.66666666667</v>
      </c>
      <c r="G11283" s="29" t="n">
        <f aca="false">Sens!G11281-Sens!F11281</f>
        <v>4212</v>
      </c>
      <c r="H11283" s="29" t="n">
        <f aca="false">Sens!H11281-Sens!G11281</f>
        <v>4212</v>
      </c>
      <c r="I11283" s="29" t="n">
        <f aca="false">Sens!I11281-Sens!H11281</f>
        <v>2988.52666666667</v>
      </c>
      <c r="J11283" s="29" t="n">
        <f aca="false">Sens!J11281-Sens!I11281</f>
        <v>1824.82386666667</v>
      </c>
      <c r="K11283" s="29" t="n">
        <f aca="false">Sens!K11281-Sens!J11281</f>
        <v>685.980516</v>
      </c>
    </row>
    <row r="11284" customFormat="false" ht="17.15" hidden="false" customHeight="false" outlineLevel="0" collapsed="false">
      <c r="A11284" s="1" t="s">
        <v>820</v>
      </c>
      <c r="B11284" s="0" t="s">
        <v>399</v>
      </c>
      <c r="D11284" s="29" t="n">
        <f aca="false">Sens!D11278-Sens!C11278</f>
        <v>990</v>
      </c>
      <c r="E11284" s="29" t="n">
        <f aca="false">Sens!E11278-Sens!D11278</f>
        <v>1620</v>
      </c>
      <c r="F11284" s="29" t="n">
        <f aca="false">Sens!F11278-Sens!E11278</f>
        <v>2527.2</v>
      </c>
      <c r="G11284" s="29" t="n">
        <f aca="false">Sens!G11278-Sens!F11278</f>
        <v>2527.2</v>
      </c>
      <c r="H11284" s="29" t="n">
        <f aca="false">Sens!H11278-Sens!G11278</f>
        <v>2527.2</v>
      </c>
      <c r="I11284" s="29" t="n">
        <f aca="false">Sens!I11278-Sens!H11278</f>
        <v>1793.116</v>
      </c>
      <c r="J11284" s="29" t="n">
        <f aca="false">Sens!J11278-Sens!I11278</f>
        <v>1094.89432</v>
      </c>
      <c r="K11284" s="29" t="n">
        <f aca="false">Sens!K11278-Sens!J11278</f>
        <v>411.5883096</v>
      </c>
    </row>
    <row r="11285" customFormat="false" ht="17.15" hidden="false" customHeight="false" outlineLevel="0" collapsed="false">
      <c r="A11285" s="1" t="s">
        <v>821</v>
      </c>
      <c r="B11285" s="0" t="s">
        <v>399</v>
      </c>
      <c r="F11285" s="29" t="n">
        <f aca="false">Sens!F11302*ext_sh</f>
        <v>0</v>
      </c>
      <c r="G11285" s="29" t="n">
        <f aca="false">Sens!G11302*ext_sh</f>
        <v>0</v>
      </c>
      <c r="H11285" s="29" t="n">
        <f aca="false">Sens!H11302*ext_sh</f>
        <v>0</v>
      </c>
      <c r="I11285" s="29" t="n">
        <f aca="false">Sens!I11302*ext_sh</f>
        <v>490</v>
      </c>
      <c r="J11285" s="29" t="n">
        <f aca="false">Sens!J11302*ext_sh</f>
        <v>740</v>
      </c>
      <c r="K11285" s="29" t="n">
        <f aca="false">Sens!K11302*ext_sh</f>
        <v>1470</v>
      </c>
      <c r="L11285" s="1" t="s">
        <v>822</v>
      </c>
    </row>
    <row r="11286" customFormat="false" ht="17.15" hidden="false" customHeight="false" outlineLevel="0" collapsed="false">
      <c r="A11286" s="1" t="s">
        <v>823</v>
      </c>
      <c r="B11286" s="0" t="s">
        <v>399</v>
      </c>
      <c r="C11286" s="29" t="n">
        <f aca="false">mix_h*Sens!C11278</f>
        <v>128</v>
      </c>
      <c r="D11286" s="29" t="n">
        <f aca="false">mix_h*Sens!D11278</f>
        <v>326</v>
      </c>
      <c r="E11286" s="29" t="n">
        <f aca="false">mix_h*Sens!E11278</f>
        <v>650</v>
      </c>
      <c r="F11286" s="29" t="n">
        <f aca="false">Sens!E11286-Sens!F11285*mix_h</f>
        <v>650</v>
      </c>
      <c r="G11286" s="29" t="n">
        <f aca="false">Sens!F11286-Sens!G11285*mix_h</f>
        <v>650</v>
      </c>
      <c r="H11286" s="29" t="n">
        <f aca="false">Sens!G11286-Sens!H11285*mix_h</f>
        <v>650</v>
      </c>
      <c r="I11286" s="29" t="n">
        <f aca="false">Sens!H11286-Sens!I11285*mix_h</f>
        <v>552</v>
      </c>
      <c r="J11286" s="29" t="n">
        <f aca="false">Sens!I11286-Sens!J11285*mix_h</f>
        <v>404</v>
      </c>
      <c r="K11286" s="29" t="n">
        <f aca="false">Sens!J11286-Sens!K11285*mix_h</f>
        <v>110</v>
      </c>
    </row>
    <row r="11287" customFormat="false" ht="17.15" hidden="false" customHeight="false" outlineLevel="0" collapsed="false">
      <c r="A11287" s="1" t="s">
        <v>824</v>
      </c>
      <c r="B11287" s="0" t="s">
        <v>399</v>
      </c>
      <c r="C11287" s="29" t="n">
        <f aca="false">mix_g2*Sens!C11278</f>
        <v>288</v>
      </c>
      <c r="D11287" s="29" t="n">
        <f aca="false">mix_g2*Sens!D11278</f>
        <v>733.5</v>
      </c>
      <c r="E11287" s="29" t="n">
        <f aca="false">mix_g2*Sens!E11278</f>
        <v>1462.5</v>
      </c>
      <c r="F11287" s="29" t="n">
        <f aca="false">Sens!E11287-Sens!F11285*mix_g2</f>
        <v>1462.5</v>
      </c>
      <c r="G11287" s="29" t="n">
        <f aca="false">Sens!F11287-Sens!G11285*mix_g2</f>
        <v>1462.5</v>
      </c>
      <c r="H11287" s="29" t="n">
        <f aca="false">Sens!G11287-Sens!H11285*mix_g2</f>
        <v>1462.5</v>
      </c>
      <c r="I11287" s="29" t="n">
        <f aca="false">Sens!H11287-Sens!I11285*mix_g2</f>
        <v>1242</v>
      </c>
      <c r="J11287" s="29" t="n">
        <f aca="false">Sens!I11287-Sens!J11285*mix_g2</f>
        <v>909</v>
      </c>
      <c r="K11287" s="29" t="n">
        <f aca="false">Sens!J11287-Sens!K11285*mix_g2</f>
        <v>247.5</v>
      </c>
    </row>
    <row r="11288" customFormat="false" ht="17.15" hidden="false" customHeight="false" outlineLevel="0" collapsed="false">
      <c r="A11288" s="1" t="s">
        <v>825</v>
      </c>
      <c r="B11288" s="0" t="s">
        <v>399</v>
      </c>
      <c r="C11288" s="29" t="n">
        <f aca="false">mix_g3*Sens!C11278</f>
        <v>224</v>
      </c>
      <c r="D11288" s="29" t="n">
        <f aca="false">mix_g3*Sens!D11278</f>
        <v>570.5</v>
      </c>
      <c r="E11288" s="29" t="n">
        <f aca="false">mix_g3*Sens!E11278</f>
        <v>1137.5</v>
      </c>
      <c r="F11288" s="29" t="n">
        <f aca="false">Sens!E11288+(Sens!F11284+Sens!F11285)*a_g3_27-Sens!F11285*mix_g3</f>
        <v>2906.54</v>
      </c>
      <c r="G11288" s="29" t="n">
        <f aca="false">Sens!F11288+(Sens!G11284+Sens!G11285)*a_g3_28-Sens!G11285*mix_g3</f>
        <v>3664.7</v>
      </c>
      <c r="H11288" s="29" t="n">
        <f aca="false">Sens!G11288+(Sens!H11284+Sens!H11285)*a_g3_29-Sens!H11285*mix_g3</f>
        <v>3917.42</v>
      </c>
      <c r="I11288" s="29" t="n">
        <f aca="false">Sens!H11288+(Sens!I11284+Sens!I11285)*a_g3_29-Sens!I11285*mix_g3</f>
        <v>3974.2316</v>
      </c>
      <c r="J11288" s="29" t="n">
        <f aca="false">Sens!I11288+(Sens!J11284+Sens!J11285)*a_g3_29-Sens!J11285*mix_g3</f>
        <v>3898.721032</v>
      </c>
      <c r="K11288" s="29" t="n">
        <f aca="false">Sens!J11288+(Sens!K11284+Sens!K11285)*a_g3_29-Sens!K11285*mix_g3</f>
        <v>3572.37986296</v>
      </c>
    </row>
    <row r="11289" customFormat="false" ht="17.15" hidden="false" customHeight="false" outlineLevel="0" collapsed="false">
      <c r="A11289" s="1" t="s">
        <v>826</v>
      </c>
      <c r="B11289" s="0" t="s">
        <v>399</v>
      </c>
      <c r="C11289" s="29" t="n">
        <v>0</v>
      </c>
      <c r="D11289" s="29" t="n">
        <v>0</v>
      </c>
      <c r="E11289" s="29" t="n">
        <v>0</v>
      </c>
      <c r="F11289" s="29" t="n">
        <f aca="false">Sens!E11289+(Sens!F11284+Sens!F11285)*(1-a_g3_27)</f>
        <v>758.16</v>
      </c>
      <c r="G11289" s="29" t="n">
        <f aca="false">Sens!F11289+(Sens!G11284+Sens!G11285)*(1-a_g3_28)</f>
        <v>2527.2</v>
      </c>
      <c r="H11289" s="29" t="n">
        <f aca="false">Sens!G11289+(Sens!H11284+Sens!H11285)*(1-a_g3_29)</f>
        <v>4801.68</v>
      </c>
      <c r="I11289" s="29" t="n">
        <f aca="false">Sens!H11289+(Sens!I11284+Sens!I11285)*(1-a_g3_29)</f>
        <v>6856.4844</v>
      </c>
      <c r="J11289" s="29" t="n">
        <f aca="false">Sens!I11289+(Sens!J11284+Sens!J11285)*(1-a_g3_29)</f>
        <v>8507.889288</v>
      </c>
      <c r="K11289" s="29" t="n">
        <f aca="false">Sens!J11289+(Sens!K11284+Sens!K11285)*(1-a_g3_29)</f>
        <v>10201.31876664</v>
      </c>
    </row>
    <row r="11290" customFormat="false" ht="17.15" hidden="false" customHeight="false" outlineLevel="0" collapsed="false">
      <c r="A11290" s="1" t="s">
        <v>827</v>
      </c>
      <c r="B11290" s="0" t="s">
        <v>346</v>
      </c>
      <c r="C11290" s="14" t="n">
        <f aca="false">(Sens!C11286*tk_hold_h100+Sens!C11287*tk_hold_gb200+Sens!C11288*tk_hold_gb300+Sens!C11289*tk_hold_vr200)/Sens!C11278</f>
        <v>9.7235358126469</v>
      </c>
      <c r="D11290" s="14" t="n">
        <f aca="false">(Sens!D11286*tk_hold_h100+Sens!D11287*tk_hold_gb200+Sens!D11288*tk_hold_gb300+Sens!D11289*tk_hold_vr200)/Sens!D11278</f>
        <v>9.7235358126469</v>
      </c>
      <c r="E11290" s="14" t="n">
        <f aca="false">(Sens!E11286*tk_hold_h100+Sens!E11287*tk_hold_gb200+Sens!E11288*tk_hold_gb300+Sens!E11289*tk_hold_vr200)/Sens!E11278</f>
        <v>9.7235358126469</v>
      </c>
      <c r="F11290" s="14" t="n">
        <f aca="false">(Sens!F11286*tk_hold_h100+Sens!F11287*tk_hold_gb200+Sens!F11288*tk_hold_gb300+Sens!F11289*tk_hold_vr200)/Sens!F11278</f>
        <v>10.4079573161931</v>
      </c>
      <c r="G11290" s="14" t="n">
        <f aca="false">(Sens!G11286*tk_hold_h100+Sens!G11287*tk_hold_gb200+Sens!G11288*tk_hold_gb300+Sens!G11289*tk_hold_vr200)/Sens!G11278</f>
        <v>10.8388131109316</v>
      </c>
      <c r="H11290" s="14" t="n">
        <f aca="false">(Sens!H11286*tk_hold_h100+Sens!H11287*tk_hold_gb200+Sens!H11288*tk_hold_gb300+Sens!H11289*tk_hold_vr200)/Sens!H11278</f>
        <v>11.1311018388216</v>
      </c>
      <c r="I11290" s="14" t="n">
        <f aca="false">(Sens!I11286*tk_hold_h100+Sens!I11287*tk_hold_gb200+Sens!I11288*tk_hold_gb300+Sens!I11289*tk_hold_vr200)/Sens!I11278</f>
        <v>11.3594282560989</v>
      </c>
      <c r="J11290" s="14" t="n">
        <f aca="false">(Sens!J11286*tk_hold_h100+Sens!J11287*tk_hold_gb200+Sens!J11288*tk_hold_gb300+Sens!J11289*tk_hold_vr200)/Sens!J11278</f>
        <v>11.5455817917599</v>
      </c>
      <c r="K11290" s="14" t="n">
        <f aca="false">(Sens!K11286*tk_hold_h100+Sens!K11287*tk_hold_gb200+Sens!K11288*tk_hold_gb300+Sens!K11289*tk_hold_vr200)/Sens!K11278</f>
        <v>11.8078187977246</v>
      </c>
    </row>
    <row r="11291" customFormat="false" ht="17.15" hidden="false" customHeight="false" outlineLevel="0" collapsed="false">
      <c r="A11291" s="0" t="s">
        <v>828</v>
      </c>
      <c r="B11291" s="0" t="s">
        <v>185</v>
      </c>
      <c r="C11291" s="14" t="n">
        <f aca="false">k_B</f>
        <v>1.17213932619116</v>
      </c>
      <c r="D11291" s="14" t="n">
        <f aca="false">k_B</f>
        <v>1.17213932619116</v>
      </c>
      <c r="E11291" s="14" t="n">
        <f aca="false">k_B</f>
        <v>1.17213932619116</v>
      </c>
      <c r="F11291" s="14" t="n">
        <f aca="false">(k_B+((ls_B*k_long+(1-ls_B)*k_spot)-k_B)*MIN(1,(Sens!F11276-base_fy)/k_ramp))</f>
        <v>1.17213932619116</v>
      </c>
      <c r="G11291" s="14" t="n">
        <f aca="false">(k_B+((ls_B*k_long+(1-ls_B)*k_spot)-k_B)*MIN(1,(Sens!G11276-base_fy)/k_ramp))</f>
        <v>1.17213932619116</v>
      </c>
      <c r="H11291" s="14" t="n">
        <f aca="false">(k_B+((ls_B*k_long+(1-ls_B)*k_spot)-k_B)*MIN(1,(Sens!H11276-base_fy)/k_ramp))</f>
        <v>1.17213932619116</v>
      </c>
      <c r="I11291" s="14" t="n">
        <f aca="false">(k_B+((ls_B*k_long+(1-ls_B)*k_spot)-k_B)*MIN(1,(Sens!I11276-base_fy)/k_ramp))</f>
        <v>1.17213932619116</v>
      </c>
      <c r="J11291" s="14" t="n">
        <f aca="false">(k_B+((ls_B*k_long+(1-ls_B)*k_spot)-k_B)*MIN(1,(Sens!J11276-base_fy)/k_ramp))</f>
        <v>1.17213932619116</v>
      </c>
      <c r="K11291" s="14" t="n">
        <f aca="false">(k_B+((ls_B*k_long+(1-ls_B)*k_spot)-k_B)*MIN(1,(Sens!K11276-base_fy)/k_ramp))</f>
        <v>1.17213932619116</v>
      </c>
      <c r="L11291" s="1" t="s">
        <v>829</v>
      </c>
    </row>
    <row r="11292" customFormat="false" ht="17.15" hidden="false" customHeight="false" outlineLevel="0" collapsed="false">
      <c r="A11292" s="1" t="s">
        <v>830</v>
      </c>
      <c r="B11292" s="0" t="s">
        <v>346</v>
      </c>
      <c r="C11292" s="14" t="n">
        <f aca="false">Sens!C11290*Sens!C11291*chip_f</f>
        <v>11.3973387156315</v>
      </c>
      <c r="D11292" s="14" t="n">
        <f aca="false">Sens!D11290*Sens!D11291*chip_f</f>
        <v>11.3973387156315</v>
      </c>
      <c r="E11292" s="14" t="n">
        <f aca="false">Sens!E11290*Sens!E11291*chip_f</f>
        <v>11.3973387156315</v>
      </c>
      <c r="F11292" s="14" t="n">
        <f aca="false">Sens!F11290*Sens!F11291*chip_f</f>
        <v>12.1995760756289</v>
      </c>
      <c r="G11292" s="14" t="n">
        <f aca="false">Sens!G11290*Sens!G11291*chip_f</f>
        <v>12.7045990965592</v>
      </c>
      <c r="H11292" s="14" t="n">
        <f aca="false">Sens!H11290*Sens!H11291*chip_f</f>
        <v>13.0472022091214</v>
      </c>
      <c r="I11292" s="14" t="n">
        <f aca="false">Sens!I11290*Sens!I11291*chip_f</f>
        <v>13.3148325820205</v>
      </c>
      <c r="J11292" s="14" t="n">
        <f aca="false">Sens!J11290*Sens!J11291*chip_f</f>
        <v>13.5330304618783</v>
      </c>
      <c r="K11292" s="14" t="n">
        <f aca="false">Sens!K11290*Sens!K11291*chip_f</f>
        <v>13.8404087693522</v>
      </c>
      <c r="L11292" s="1" t="s">
        <v>831</v>
      </c>
    </row>
    <row r="11293" customFormat="false" ht="17.15" hidden="false" customHeight="false" outlineLevel="0" collapsed="false">
      <c r="A11293" s="0" t="s">
        <v>832</v>
      </c>
      <c r="B11293" s="0" t="s">
        <v>98</v>
      </c>
      <c r="D11293" s="6" t="n">
        <f aca="false">(Sens!C11278+Sens!D11278)/2*Sens!D11292/1000</f>
        <v>12.9359794422418</v>
      </c>
      <c r="E11293" s="6" t="n">
        <f aca="false">(Sens!D11278+Sens!E11278)/2*Sens!E11292/1000</f>
        <v>27.8095064661409</v>
      </c>
      <c r="F11293" s="6" t="n">
        <f aca="false">(Sens!E11278+Sens!F11278)/2*Sens!F11292/1000</f>
        <v>55.0640065749585</v>
      </c>
      <c r="G11293" s="6" t="n">
        <f aca="false">(Sens!F11278+Sens!G11278)/2*Sens!G11292/1000</f>
        <v>89.4505413190538</v>
      </c>
      <c r="H11293" s="6" t="n">
        <f aca="false">(Sens!G11278+Sens!H11278)/2*Sens!H11292/1000</f>
        <v>124.835630736874</v>
      </c>
      <c r="I11293" s="6" t="n">
        <f aca="false">(Sens!H11278+Sens!I11278)/2*Sens!I11292/1000</f>
        <v>156.158460265485</v>
      </c>
      <c r="J11293" s="6" t="n">
        <f aca="false">(Sens!I11278+Sens!J11278)/2*Sens!J11292/1000</f>
        <v>178.259285293112</v>
      </c>
      <c r="K11293" s="6" t="n">
        <f aca="false">(Sens!J11278+Sens!K11278)/2*Sens!K11292/1000</f>
        <v>192.733290209798</v>
      </c>
      <c r="L11293" s="11" t="s">
        <v>833</v>
      </c>
    </row>
    <row r="11294" customFormat="false" ht="17.15" hidden="false" customHeight="false" outlineLevel="0" collapsed="false">
      <c r="A11294" s="1" t="s">
        <v>834</v>
      </c>
      <c r="B11294" s="0" t="s">
        <v>346</v>
      </c>
      <c r="C11294" s="14" t="n">
        <f aca="false">(Sens!C11286*tk_opex_h100+Sens!C11287*tk_opex_gb200+Sens!C11288*tk_opex_gb300+Sens!C11289*tk_opex_vr200)/Sens!C11278</f>
        <v>1.88636041306092</v>
      </c>
      <c r="D11294" s="14" t="n">
        <f aca="false">(Sens!D11286*tk_opex_h100+Sens!D11287*tk_opex_gb200+Sens!D11288*tk_opex_gb300+Sens!D11289*tk_opex_vr200)/Sens!D11278</f>
        <v>1.88636041306092</v>
      </c>
      <c r="E11294" s="14" t="n">
        <f aca="false">(Sens!E11286*tk_opex_h100+Sens!E11287*tk_opex_gb200+Sens!E11288*tk_opex_gb300+Sens!E11289*tk_opex_vr200)/Sens!E11278</f>
        <v>1.88636041306092</v>
      </c>
      <c r="F11294" s="14" t="n">
        <f aca="false">(Sens!F11286*tk_opex_h100+Sens!F11287*tk_opex_gb200+Sens!F11288*tk_opex_gb300+Sens!F11289*tk_opex_vr200)/Sens!F11278</f>
        <v>1.9430236476499</v>
      </c>
      <c r="G11294" s="14" t="n">
        <f aca="false">(Sens!G11286*tk_opex_h100+Sens!G11287*tk_opex_gb200+Sens!G11288*tk_opex_gb300+Sens!G11289*tk_opex_vr200)/Sens!G11278</f>
        <v>1.9786941852423</v>
      </c>
      <c r="H11294" s="14" t="n">
        <f aca="false">(Sens!H11286*tk_opex_h100+Sens!H11287*tk_opex_gb200+Sens!H11288*tk_opex_gb300+Sens!H11289*tk_opex_vr200)/Sens!H11278</f>
        <v>2.00289275976156</v>
      </c>
      <c r="I11294" s="14" t="n">
        <f aca="false">(Sens!I11286*tk_opex_h100+Sens!I11287*tk_opex_gb200+Sens!I11288*tk_opex_gb300+Sens!I11289*tk_opex_vr200)/Sens!I11278</f>
        <v>2.02179589661219</v>
      </c>
      <c r="J11294" s="14" t="n">
        <f aca="false">(Sens!J11286*tk_opex_h100+Sens!J11287*tk_opex_gb200+Sens!J11288*tk_opex_gb300+Sens!J11289*tk_opex_vr200)/Sens!J11278</f>
        <v>2.03720754193029</v>
      </c>
      <c r="K11294" s="14" t="n">
        <f aca="false">(Sens!K11286*tk_opex_h100+Sens!K11287*tk_opex_gb200+Sens!K11288*tk_opex_gb300+Sens!K11289*tk_opex_vr200)/Sens!K11278</f>
        <v>2.0589181353437</v>
      </c>
    </row>
    <row r="11295" customFormat="false" ht="17.15" hidden="false" customHeight="false" outlineLevel="0" collapsed="false">
      <c r="A11295" s="0" t="s">
        <v>835</v>
      </c>
      <c r="B11295" s="0" t="s">
        <v>98</v>
      </c>
      <c r="D11295" s="6" t="n">
        <f aca="false">(Sens!C11281+Sens!D11281)/2*Sens!D11294/1000</f>
        <v>2.70378325872065</v>
      </c>
      <c r="E11295" s="6" t="n">
        <f aca="false">(Sens!D11281+Sens!E11281)/2*Sens!E11294/1000</f>
        <v>6.17783035277451</v>
      </c>
      <c r="F11295" s="6" t="n">
        <f aca="false">(Sens!E11281+Sens!F11281)/2*Sens!F11294/1000</f>
        <v>12.5020618235287</v>
      </c>
      <c r="G11295" s="6" t="n">
        <f aca="false">(Sens!F11281+Sens!G11281)/2*Sens!G11294/1000</f>
        <v>20.7261620256847</v>
      </c>
      <c r="H11295" s="6" t="n">
        <f aca="false">(Sens!G11281+Sens!H11281)/2*Sens!H11294/1000</f>
        <v>29.4158183316982</v>
      </c>
      <c r="I11295" s="6" t="n">
        <f aca="false">(Sens!H11281+Sens!I11281)/2*Sens!I11294/1000</f>
        <v>36.9724400356344</v>
      </c>
      <c r="J11295" s="6" t="n">
        <f aca="false">(Sens!I11281+Sens!J11281)/2*Sens!J11294/1000</f>
        <v>42.1571687189816</v>
      </c>
      <c r="K11295" s="6" t="n">
        <f aca="false">(Sens!J11281+Sens!K11281)/2*Sens!K11294/1000</f>
        <v>45.1912095080704</v>
      </c>
    </row>
    <row r="11296" customFormat="false" ht="17.15" hidden="false" customHeight="false" outlineLevel="0" collapsed="false">
      <c r="A11296" s="0" t="s">
        <v>836</v>
      </c>
      <c r="B11296" s="0" t="s">
        <v>98</v>
      </c>
      <c r="D11296" s="6" t="n">
        <f aca="false">(Sens!C11279+Sens!D11279)/2*rent_mw/1000</f>
        <v>2.44475</v>
      </c>
      <c r="E11296" s="6" t="n">
        <f aca="false">(Sens!D11279+Sens!E11279)/2*rent_mw/1000</f>
        <v>4.22275</v>
      </c>
      <c r="F11296" s="6" t="n">
        <f aca="false">(Sens!E11279+Sens!F11279)/2*rent_mw/1000</f>
        <v>5.80517</v>
      </c>
      <c r="G11296" s="6" t="n">
        <f aca="false">(Sens!F11279+Sens!G11279)/2*rent_mw/1000</f>
        <v>6.72084</v>
      </c>
      <c r="H11296" s="6" t="n">
        <f aca="false">(Sens!G11279+Sens!H11279)/2*rent_mw/1000</f>
        <v>6.72084</v>
      </c>
      <c r="I11296" s="6" t="n">
        <f aca="false">(Sens!H11279+Sens!I11279)/2*rent_mw/1000</f>
        <v>6.72084</v>
      </c>
      <c r="J11296" s="6" t="n">
        <f aca="false">(Sens!I11279+Sens!J11279)/2*rent_mw/1000</f>
        <v>6.72084</v>
      </c>
      <c r="K11296" s="6" t="n">
        <f aca="false">(Sens!J11279+Sens!K11279)/2*rent_mw/1000</f>
        <v>6.72084</v>
      </c>
    </row>
    <row r="11297" customFormat="false" ht="17.15" hidden="false" customHeight="false" outlineLevel="0" collapsed="false">
      <c r="A11297" s="0" t="s">
        <v>837</v>
      </c>
      <c r="B11297" s="0" t="s">
        <v>98</v>
      </c>
      <c r="D11297" s="6" t="n">
        <f aca="false">(Sens!C11281+Sens!D11281)/2*(1-self_build)*fac_rent/1000</f>
        <v>0.853242375631075</v>
      </c>
      <c r="E11297" s="6" t="n">
        <f aca="false">(Sens!D11281+Sens!E11281)/2*(1-self_build)*fac_rent/1000</f>
        <v>1.94955961408728</v>
      </c>
      <c r="F11297" s="6" t="n">
        <f aca="false">(Sens!E11281+Sens!F11281)/2*(1-self_build)*fac_rent/1000</f>
        <v>3.83026455274573</v>
      </c>
      <c r="G11297" s="6" t="n">
        <f aca="false">(Sens!F11281+Sens!G11281)/2*(1-self_build)*fac_rent/1000</f>
        <v>6.23541590972812</v>
      </c>
      <c r="H11297" s="6" t="n">
        <f aca="false">(Sens!G11281+Sens!H11281)/2*(1-self_build)*fac_rent/1000</f>
        <v>8.74275792332679</v>
      </c>
      <c r="I11297" s="6" t="n">
        <f aca="false">(Sens!H11281+Sens!I11281)/2*(1-self_build)*fac_rent/1000</f>
        <v>10.8859420438599</v>
      </c>
      <c r="J11297" s="6" t="n">
        <f aca="false">(Sens!I11281+Sens!J11281)/2*(1-self_build)*fac_rent/1000</f>
        <v>12.3186006405366</v>
      </c>
      <c r="K11297" s="6" t="n">
        <f aca="false">(Sens!J11281+Sens!K11281)/2*(1-self_build)*fac_rent/1000</f>
        <v>13.0659232089824</v>
      </c>
      <c r="L11297" s="11" t="s">
        <v>838</v>
      </c>
    </row>
    <row r="11298" customFormat="false" ht="17.15" hidden="false" customHeight="false" outlineLevel="0" collapsed="false">
      <c r="A11298" s="1" t="s">
        <v>839</v>
      </c>
      <c r="B11298" s="0" t="s">
        <v>129</v>
      </c>
      <c r="D11298" s="7" t="n">
        <f aca="false">(Sens!C11280+Sens!D11280)/(Sens!C11281+Sens!D11281)</f>
        <v>0.6</v>
      </c>
      <c r="E11298" s="7" t="n">
        <f aca="false">(Sens!D11280+Sens!E11280)/(Sens!D11281+Sens!E11281)</f>
        <v>0.6</v>
      </c>
      <c r="F11298" s="7" t="n">
        <f aca="false">(Sens!E11280+Sens!F11280)/(Sens!E11281+Sens!F11281)</f>
        <v>0.6</v>
      </c>
      <c r="G11298" s="7" t="n">
        <f aca="false">(Sens!F11280+Sens!G11280)/(Sens!F11281+Sens!G11281)</f>
        <v>0.6</v>
      </c>
      <c r="H11298" s="7" t="n">
        <f aca="false">(Sens!G11280+Sens!H11280)/(Sens!G11281+Sens!H11281)</f>
        <v>0.6</v>
      </c>
      <c r="I11298" s="7" t="n">
        <f aca="false">(Sens!H11280+Sens!I11280)/(Sens!H11281+Sens!I11281)</f>
        <v>0.6</v>
      </c>
      <c r="J11298" s="7" t="n">
        <f aca="false">(Sens!I11280+Sens!J11280)/(Sens!I11281+Sens!J11281)</f>
        <v>0.6</v>
      </c>
      <c r="K11298" s="7" t="n">
        <f aca="false">(Sens!J11280+Sens!K11280)/(Sens!J11281+Sens!K11281)</f>
        <v>0.6</v>
      </c>
    </row>
    <row r="11299" customFormat="false" ht="17.15" hidden="false" customHeight="false" outlineLevel="0" collapsed="false">
      <c r="A11299" s="0" t="s">
        <v>840</v>
      </c>
      <c r="B11299" s="0" t="s">
        <v>98</v>
      </c>
      <c r="D11299" s="6" t="n">
        <f aca="false">Sens!D11293-Sens!D11298*(Sens!D11295+Sens!D11297)-Sens!D11296</f>
        <v>8.35701406163072</v>
      </c>
      <c r="E11299" s="6" t="n">
        <f aca="false">Sens!E11293-Sens!E11298*(Sens!E11295+Sens!E11297)-Sens!E11296</f>
        <v>18.7103224860238</v>
      </c>
      <c r="F11299" s="6" t="n">
        <f aca="false">Sens!F11293-Sens!F11298*(Sens!F11295+Sens!F11297)-Sens!F11296</f>
        <v>39.4594407491938</v>
      </c>
      <c r="G11299" s="6" t="n">
        <f aca="false">Sens!G11293-Sens!G11298*(Sens!G11295+Sens!G11297)-Sens!G11296</f>
        <v>66.5527545578061</v>
      </c>
      <c r="H11299" s="6" t="n">
        <f aca="false">Sens!H11293-Sens!H11298*(Sens!H11295+Sens!H11297)-Sens!H11296</f>
        <v>95.219644983859</v>
      </c>
      <c r="I11299" s="6" t="n">
        <f aca="false">Sens!I11293-Sens!I11298*(Sens!I11295+Sens!I11297)-Sens!I11296</f>
        <v>120.722591017788</v>
      </c>
      <c r="J11299" s="6" t="n">
        <f aca="false">Sens!J11293-Sens!J11298*(Sens!J11295+Sens!J11297)-Sens!J11296</f>
        <v>138.852983677401</v>
      </c>
      <c r="K11299" s="6" t="n">
        <f aca="false">Sens!K11293-Sens!K11298*(Sens!K11295+Sens!K11297)-Sens!K11296</f>
        <v>151.058170579566</v>
      </c>
    </row>
    <row r="11300" customFormat="false" ht="17.15" hidden="false" customHeight="false" outlineLevel="0" collapsed="false">
      <c r="A11300" s="1" t="s">
        <v>841</v>
      </c>
      <c r="B11300" s="0" t="s">
        <v>98</v>
      </c>
      <c r="D11300" s="6" t="n">
        <f aca="false">(1-Sens!D11298)*(Sens!D11295+Sens!D11297)</f>
        <v>1.42281025374069</v>
      </c>
      <c r="E11300" s="6" t="n">
        <f aca="false">(1-Sens!E11298)*(Sens!E11295+Sens!E11297)</f>
        <v>3.25095598674472</v>
      </c>
      <c r="F11300" s="6" t="n">
        <f aca="false">(1-Sens!F11298)*(Sens!F11295+Sens!F11297)</f>
        <v>6.53293055050977</v>
      </c>
      <c r="G11300" s="6" t="n">
        <f aca="false">(1-Sens!G11298)*(Sens!G11295+Sens!G11297)</f>
        <v>10.7846311741651</v>
      </c>
      <c r="H11300" s="6" t="n">
        <f aca="false">(1-Sens!H11298)*(Sens!H11295+Sens!H11297)</f>
        <v>15.26343050201</v>
      </c>
      <c r="I11300" s="6" t="n">
        <f aca="false">(1-Sens!I11298)*(Sens!I11295+Sens!I11297)</f>
        <v>19.1433528317977</v>
      </c>
      <c r="J11300" s="6" t="n">
        <f aca="false">(1-Sens!J11298)*(Sens!J11295+Sens!J11297)</f>
        <v>21.7903077438073</v>
      </c>
      <c r="K11300" s="6" t="n">
        <f aca="false">(1-Sens!K11298)*(Sens!K11295+Sens!K11297)</f>
        <v>23.3028530868211</v>
      </c>
    </row>
    <row r="11301" customFormat="false" ht="17.15" hidden="false" customHeight="false" outlineLevel="0" collapsed="false">
      <c r="A11301" s="1" t="s">
        <v>842</v>
      </c>
      <c r="B11301" s="0" t="s">
        <v>357</v>
      </c>
      <c r="C11301" s="8" t="n">
        <f aca="false">cxit_open</f>
        <v>27.5918995</v>
      </c>
      <c r="D11301" s="8" t="n">
        <f aca="false">cxit_open</f>
        <v>27.5918995</v>
      </c>
      <c r="E11301" s="8" t="n">
        <f aca="false">cxit_open</f>
        <v>27.5918995</v>
      </c>
      <c r="F11301" s="8" t="n">
        <f aca="false">(a_g3_27*tk_cxit_gb300+(1-a_g3_27)*tk_cxit_vr200)</f>
        <v>33.8419624</v>
      </c>
      <c r="G11301" s="8" t="n">
        <f aca="false">(a_g3_28*tk_cxit_gb300+(1-a_g3_28)*tk_cxit_vr200)</f>
        <v>35.9816136</v>
      </c>
      <c r="H11301" s="8" t="n">
        <f aca="false">(a_g3_29*tk_cxit_gb300+(1-a_g3_29)*tk_cxit_vr200)</f>
        <v>37.0514392</v>
      </c>
      <c r="I11301" s="8" t="n">
        <f aca="false">(a_g3_29*tk_cxit_gb300+(1-a_g3_29)*tk_cxit_vr200)</f>
        <v>37.0514392</v>
      </c>
      <c r="J11301" s="8" t="n">
        <f aca="false">(a_g3_29*tk_cxit_gb300+(1-a_g3_29)*tk_cxit_vr200)</f>
        <v>37.0514392</v>
      </c>
      <c r="K11301" s="8" t="n">
        <f aca="false">(a_g3_29*tk_cxit_gb300+(1-a_g3_29)*tk_cxit_vr200)</f>
        <v>37.0514392</v>
      </c>
      <c r="L11301" s="11" t="s">
        <v>843</v>
      </c>
    </row>
    <row r="11302" customFormat="false" ht="17.15" hidden="false" customHeight="false" outlineLevel="0" collapsed="false">
      <c r="A11302" s="0" t="s">
        <v>844</v>
      </c>
      <c r="B11302" s="0" t="s">
        <v>399</v>
      </c>
      <c r="F11302" s="29" t="n">
        <f aca="false">Sens!C11283*IF(Sens!F11276-Sens!C11276=life_it,1,0)+Sens!D11283*IF(Sens!F11276-Sens!D11276=life_it,1,0)+Sens!E11283*IF(Sens!F11276-Sens!E11276=life_it,1,0)</f>
        <v>0</v>
      </c>
      <c r="G11302" s="29" t="n">
        <f aca="false">Sens!C11283*IF(Sens!G11276-Sens!C11276=life_it,1,0)+Sens!D11283*IF(Sens!G11276-Sens!D11276=life_it,1,0)+Sens!E11283*IF(Sens!G11276-Sens!E11276=life_it,1,0)+Sens!F11283*IF(Sens!G11276-Sens!F11276=life_it,1,0)</f>
        <v>0</v>
      </c>
      <c r="H11302" s="29" t="n">
        <f aca="false">Sens!C11283*IF(Sens!H11276-Sens!C11276=life_it,1,0)+Sens!D11283*IF(Sens!H11276-Sens!D11276=life_it,1,0)+Sens!E11283*IF(Sens!H11276-Sens!E11276=life_it,1,0)+Sens!F11283*IF(Sens!H11276-Sens!F11276=life_it,1,0)+Sens!G11283*IF(Sens!H11276-Sens!G11276=life_it,1,0)</f>
        <v>0</v>
      </c>
      <c r="I11302" s="29" t="n">
        <f aca="false">Sens!C11283*IF(Sens!I11276-Sens!C11276=life_it,1,0)+Sens!D11283*IF(Sens!I11276-Sens!D11276=life_it,1,0)+Sens!E11283*IF(Sens!I11276-Sens!E11276=life_it,1,0)+Sens!F11283*IF(Sens!I11276-Sens!F11276=life_it,1,0)+Sens!G11283*IF(Sens!I11276-Sens!G11276=life_it,1,0)+Sens!H11283*IF(Sens!I11276-Sens!H11276=life_it,1,0)</f>
        <v>816.666666666667</v>
      </c>
      <c r="J11302" s="29" t="n">
        <f aca="false">Sens!C11283*IF(Sens!J11276-Sens!C11276=life_it,1,0)+Sens!D11283*IF(Sens!J11276-Sens!D11276=life_it,1,0)+Sens!E11283*IF(Sens!J11276-Sens!E11276=life_it,1,0)+Sens!F11283*IF(Sens!J11276-Sens!F11276=life_it,1,0)+Sens!G11283*IF(Sens!J11276-Sens!G11276=life_it,1,0)+Sens!H11283*IF(Sens!J11276-Sens!H11276=life_it,1,0)+Sens!I11283*IF(Sens!J11276-Sens!I11276=life_it,1,0)</f>
        <v>1233.33333333333</v>
      </c>
      <c r="K11302" s="29" t="n">
        <f aca="false">Sens!C11283*IF(Sens!K11276-Sens!C11276=life_it,1,0)+Sens!D11283*IF(Sens!K11276-Sens!D11276=life_it,1,0)+Sens!E11283*IF(Sens!K11276-Sens!E11276=life_it,1,0)+Sens!F11283*IF(Sens!K11276-Sens!F11276=life_it,1,0)+Sens!G11283*IF(Sens!K11276-Sens!G11276=life_it,1,0)+Sens!H11283*IF(Sens!K11276-Sens!H11276=life_it,1,0)+Sens!I11283*IF(Sens!K11276-Sens!I11276=life_it,1,0)+Sens!J11283*IF(Sens!K11276-Sens!J11276=life_it,1,0)</f>
        <v>2450</v>
      </c>
      <c r="L11302" s="1" t="s">
        <v>845</v>
      </c>
    </row>
    <row r="11303" customFormat="false" ht="17.15" hidden="false" customHeight="false" outlineLevel="0" collapsed="false">
      <c r="A11303" s="0" t="s">
        <v>846</v>
      </c>
      <c r="B11303" s="0" t="s">
        <v>98</v>
      </c>
      <c r="C11303" s="6" t="n">
        <f aca="false">Sens!C11283*Sens!C11301/1000</f>
        <v>22.5333845916667</v>
      </c>
      <c r="D11303" s="6" t="n">
        <f aca="false">Sens!D11283*Sens!D11301/1000</f>
        <v>34.0300093833333</v>
      </c>
      <c r="E11303" s="6" t="n">
        <f aca="false">Sens!E11283*Sens!E11301/1000</f>
        <v>67.600153775</v>
      </c>
      <c r="F11303" s="6" t="n">
        <f aca="false">(Sens!F11283+Sens!F11302)*Sens!F11301/1000</f>
        <v>130.923271871467</v>
      </c>
      <c r="G11303" s="6" t="n">
        <f aca="false">(Sens!G11283+Sens!G11302)*Sens!G11301/1000</f>
        <v>151.5545564832</v>
      </c>
      <c r="H11303" s="6" t="n">
        <f aca="false">(Sens!H11283+Sens!H11302)*Sens!H11301/1000</f>
        <v>156.0606619104</v>
      </c>
      <c r="I11303" s="6" t="n">
        <f aca="false">(Sens!I11283+Sens!I11302)*Sens!I11301/1000</f>
        <v>140.987889434245</v>
      </c>
      <c r="J11303" s="6" t="n">
        <f aca="false">(Sens!J11283+Sens!J11302)*Sens!J11301/1000</f>
        <v>113.309125559842</v>
      </c>
      <c r="K11303" s="6" t="n">
        <f aca="false">(Sens!K11283+Sens!K11302)*Sens!K11301/1000</f>
        <v>116.192591420959</v>
      </c>
    </row>
    <row r="11304" customFormat="false" ht="17.15" hidden="false" customHeight="false" outlineLevel="0" collapsed="false">
      <c r="A11304" s="0" t="s">
        <v>847</v>
      </c>
      <c r="B11304" s="0" t="s">
        <v>98</v>
      </c>
      <c r="C11304" s="6" t="n">
        <f aca="false">Sens!C11283*self_build*tk_cxfac/1000</f>
        <v>6.2083</v>
      </c>
      <c r="D11304" s="6" t="n">
        <f aca="false">Sens!D11283*self_build*tk_cxfac/1000</f>
        <v>9.3758</v>
      </c>
      <c r="E11304" s="6" t="n">
        <f aca="false">Sens!E11283*self_build*tk_cxfac/1000</f>
        <v>18.6249</v>
      </c>
      <c r="F11304" s="6" t="n">
        <f aca="false">Sens!F11283*self_build*tk_cxfac/1000</f>
        <v>29.409604</v>
      </c>
      <c r="G11304" s="6" t="n">
        <f aca="false">Sens!G11283*self_build*tk_cxfac/1000</f>
        <v>32.019624</v>
      </c>
      <c r="H11304" s="6" t="n">
        <f aca="false">Sens!H11283*self_build*tk_cxfac/1000</f>
        <v>32.019624</v>
      </c>
      <c r="I11304" s="6" t="n">
        <f aca="false">Sens!I11283*self_build*tk_cxfac/1000</f>
        <v>22.71877972</v>
      </c>
      <c r="J11304" s="6" t="n">
        <f aca="false">Sens!J11283*self_build*tk_cxfac/1000</f>
        <v>13.8723110344</v>
      </c>
      <c r="K11304" s="6" t="n">
        <f aca="false">Sens!K11283*self_build*tk_cxfac/1000</f>
        <v>5.214823882632</v>
      </c>
    </row>
    <row r="11305" customFormat="false" ht="17.15" hidden="false" customHeight="false" outlineLevel="0" collapsed="false">
      <c r="A11305" s="0" t="s">
        <v>848</v>
      </c>
      <c r="B11305" s="0" t="s">
        <v>98</v>
      </c>
      <c r="F11305" s="6" t="n">
        <f aca="false">MAX(0,capex_floor27-Sens!F11303-Sens!F11304-Sens!F11399)</f>
        <v>8.28777689897088</v>
      </c>
    </row>
    <row r="11306" customFormat="false" ht="17.15" hidden="false" customHeight="false" outlineLevel="0" collapsed="false">
      <c r="A11306" s="0" t="s">
        <v>849</v>
      </c>
      <c r="B11306" s="0" t="s">
        <v>98</v>
      </c>
      <c r="C11306" s="6" t="n">
        <f aca="false">Sens!C11303</f>
        <v>22.5333845916667</v>
      </c>
      <c r="D11306" s="6" t="n">
        <f aca="false">Sens!D11303</f>
        <v>34.0300093833333</v>
      </c>
      <c r="E11306" s="6" t="n">
        <f aca="false">Sens!E11303</f>
        <v>67.600153775</v>
      </c>
      <c r="F11306" s="6" t="n">
        <f aca="false">Sens!F11303</f>
        <v>130.923271871467</v>
      </c>
      <c r="G11306" s="6" t="n">
        <f aca="false">Sens!G11303</f>
        <v>151.5545564832</v>
      </c>
      <c r="H11306" s="6" t="n">
        <f aca="false">Sens!H11303</f>
        <v>156.0606619104</v>
      </c>
      <c r="I11306" s="6" t="n">
        <f aca="false">Sens!I11303</f>
        <v>140.987889434245</v>
      </c>
      <c r="J11306" s="6" t="n">
        <f aca="false">Sens!J11303</f>
        <v>113.309125559842</v>
      </c>
      <c r="K11306" s="6" t="n">
        <f aca="false">Sens!K11303</f>
        <v>116.192591420959</v>
      </c>
    </row>
    <row r="11307" customFormat="false" ht="17.15" hidden="false" customHeight="false" outlineLevel="0" collapsed="false">
      <c r="A11307" s="0" t="s">
        <v>850</v>
      </c>
      <c r="B11307" s="0" t="s">
        <v>98</v>
      </c>
      <c r="C11307" s="6" t="n">
        <f aca="false">Sens!C11306+Sens!C11304</f>
        <v>28.7416845916667</v>
      </c>
      <c r="D11307" s="6" t="n">
        <f aca="false">Sens!D11306+Sens!D11304</f>
        <v>43.4058093833333</v>
      </c>
      <c r="E11307" s="6" t="n">
        <f aca="false">Sens!E11306+Sens!E11304</f>
        <v>86.225053775</v>
      </c>
      <c r="F11307" s="6" t="n">
        <f aca="false">Sens!F11306+Sens!F11304</f>
        <v>160.332875871467</v>
      </c>
      <c r="G11307" s="6" t="n">
        <f aca="false">Sens!G11306+Sens!G11304</f>
        <v>183.5741804832</v>
      </c>
      <c r="H11307" s="6" t="n">
        <f aca="false">Sens!H11306+Sens!H11304</f>
        <v>188.0802859104</v>
      </c>
      <c r="I11307" s="6" t="n">
        <f aca="false">Sens!I11306+Sens!I11304</f>
        <v>163.706669154245</v>
      </c>
      <c r="J11307" s="6" t="n">
        <f aca="false">Sens!J11306+Sens!J11304</f>
        <v>127.181436594242</v>
      </c>
      <c r="K11307" s="6" t="n">
        <f aca="false">Sens!K11306+Sens!K11304</f>
        <v>121.407415303591</v>
      </c>
      <c r="L11307" s="11" t="s">
        <v>851</v>
      </c>
    </row>
    <row r="11308" customFormat="false" ht="17.15" hidden="false" customHeight="false" outlineLevel="0" collapsed="false">
      <c r="A11308" s="0" t="s">
        <v>852</v>
      </c>
      <c r="B11308" s="0" t="s">
        <v>98</v>
      </c>
      <c r="E11308" s="6" t="n">
        <f aca="false">(Sens!C11306*IF(2&lt;life_it,1,IF(2=life_it,0.5,0))+Sens!D11306*IF(1&lt;life_it,1,IF(1=life_it,0.5,0))+Sens!E11306*0.5)/life_it</f>
        <v>15.0605784770833</v>
      </c>
      <c r="F11308" s="6" t="n">
        <f aca="false">(Sens!C11306*IF(3&lt;life_it,1,IF(3=life_it,0.5,0))+Sens!D11306*IF(2&lt;life_it,1,IF(2=life_it,0.5,0))+Sens!E11306*IF(1&lt;life_it,1,IF(1=life_it,0.5,0))+Sens!F11306*0.5)/life_it</f>
        <v>31.6041972809556</v>
      </c>
      <c r="G11308" s="6" t="n">
        <f aca="false">(Sens!C11306*IF(4&lt;life_it,1,IF(4=life_it,0.5,0))+Sens!D11306*IF(3&lt;life_it,1,IF(3=life_it,0.5,0))+Sens!E11306*IF(2&lt;life_it,1,IF(2=life_it,0.5,0))+Sens!F11306*IF(1&lt;life_it,1,IF(1=life_it,0.5,0))+Sens!G11306*0.5)/life_it</f>
        <v>55.1440163105111</v>
      </c>
      <c r="H11308" s="6" t="n">
        <f aca="false">(Sens!C11306*IF(5&lt;life_it,1,IF(5=life_it,0.5,0))+Sens!D11306*IF(4&lt;life_it,1,IF(4=life_it,0.5,0))+Sens!E11306*IF(3&lt;life_it,1,IF(3=life_it,0.5,0))+Sens!F11306*IF(2&lt;life_it,1,IF(2=life_it,0.5,0))+Sens!G11306*IF(1&lt;life_it,1,IF(1=life_it,0.5,0))+Sens!H11306*0.5)/life_it</f>
        <v>80.7786178433111</v>
      </c>
      <c r="I11308" s="6" t="n">
        <f aca="false">(Sens!C11306*IF(6&lt;life_it,1,IF(6=life_it,0.5,0))+Sens!D11306*IF(5&lt;life_it,1,IF(5=life_it,0.5,0))+Sens!E11306*IF(4&lt;life_it,1,IF(4=life_it,0.5,0))+Sens!F11306*IF(3&lt;life_it,1,IF(3=life_it,0.5,0))+Sens!G11306*IF(2&lt;life_it,1,IF(2=life_it,0.5,0))+Sens!H11306*IF(1&lt;life_it,1,IF(1=life_it,0.5,0))+Sens!I11306*0.5)/life_it</f>
        <v>103.654881739393</v>
      </c>
      <c r="J11308" s="6" t="n">
        <f aca="false">(Sens!C11306*IF(7&lt;life_it,1,IF(7=life_it,0.5,0))+Sens!D11306*IF(6&lt;life_it,1,IF(6=life_it,0.5,0))+Sens!E11306*IF(5&lt;life_it,1,IF(5=life_it,0.5,0))+Sens!F11306*IF(4&lt;life_it,1,IF(4=life_it,0.5,0))+Sens!G11306*IF(3&lt;life_it,1,IF(3=life_it,0.5,0))+Sens!H11306*IF(2&lt;life_it,1,IF(2=life_it,0.5,0))+Sens!I11306*IF(1&lt;life_it,1,IF(1=life_it,0.5,0))+Sens!J11306*0.5)/life_it</f>
        <v>120.132683490983</v>
      </c>
      <c r="K11308" s="6" t="n">
        <f aca="false">(Sens!C11306*IF(8&lt;life_it,1,IF(8=life_it,0.5,0))+Sens!D11306*IF(7&lt;life_it,1,IF(7=life_it,0.5,0))+Sens!E11306*IF(6&lt;life_it,1,IF(6=life_it,0.5,0))+Sens!F11306*IF(5&lt;life_it,1,IF(5=life_it,0.5,0))+Sens!G11306*IF(4&lt;life_it,1,IF(4=life_it,0.5,0))+Sens!H11306*IF(3&lt;life_it,1,IF(3=life_it,0.5,0))+Sens!I11306*IF(2&lt;life_it,1,IF(2=life_it,0.5,0))+Sens!J11306*IF(1&lt;life_it,1,IF(1=life_it,0.5,0))+Sens!K11306*0.5)/life_it</f>
        <v>130.788646309522</v>
      </c>
    </row>
    <row r="11309" customFormat="false" ht="17.15" hidden="false" customHeight="false" outlineLevel="0" collapsed="false">
      <c r="A11309" s="0" t="s">
        <v>853</v>
      </c>
      <c r="B11309" s="0" t="s">
        <v>98</v>
      </c>
      <c r="E11309" s="6" t="n">
        <f aca="false">(Sens!C11304*IF(2&lt;life_fac,1,IF(2=life_fac,0.5,0))+Sens!D11304*IF(1&lt;life_fac,1,IF(1=life_fac,0.5,0))+Sens!E11304*0.5)/life_fac</f>
        <v>1.2448275</v>
      </c>
      <c r="F11309" s="6" t="n">
        <f aca="false">(Sens!C11304*IF(3&lt;life_fac,1,IF(3=life_fac,0.5,0))+Sens!D11304*IF(2&lt;life_fac,1,IF(2=life_fac,0.5,0))+Sens!E11304*IF(1&lt;life_fac,1,IF(1=life_fac,0.5,0))+Sens!F11304*0.5)/life_fac</f>
        <v>2.4456901</v>
      </c>
      <c r="G11309" s="6" t="n">
        <f aca="false">(Sens!C11304*IF(4&lt;life_fac,1,IF(4=life_fac,0.5,0))+Sens!D11304*IF(3&lt;life_fac,1,IF(3=life_fac,0.5,0))+Sens!E11304*IF(2&lt;life_fac,1,IF(2=life_fac,0.5,0))+Sens!F11304*IF(1&lt;life_fac,1,IF(1=life_fac,0.5,0))+Sens!G11304*0.5)/life_fac</f>
        <v>3.9814208</v>
      </c>
      <c r="H11309" s="6" t="n">
        <f aca="false">(Sens!C11304*IF(5&lt;life_fac,1,IF(5=life_fac,0.5,0))+Sens!D11304*IF(4&lt;life_fac,1,IF(4=life_fac,0.5,0))+Sens!E11304*IF(3&lt;life_fac,1,IF(3=life_fac,0.5,0))+Sens!F11304*IF(2&lt;life_fac,1,IF(2=life_fac,0.5,0))+Sens!G11304*IF(1&lt;life_fac,1,IF(1=life_fac,0.5,0))+Sens!H11304*0.5)/life_fac</f>
        <v>5.582402</v>
      </c>
      <c r="I11309" s="6" t="n">
        <f aca="false">(Sens!C11304*IF(6&lt;life_fac,1,IF(6=life_fac,0.5,0))+Sens!D11304*IF(5&lt;life_fac,1,IF(5=life_fac,0.5,0))+Sens!E11304*IF(4&lt;life_fac,1,IF(4=life_fac,0.5,0))+Sens!F11304*IF(3&lt;life_fac,1,IF(3=life_fac,0.5,0))+Sens!G11304*IF(2&lt;life_fac,1,IF(2=life_fac,0.5,0))+Sens!H11304*IF(1&lt;life_fac,1,IF(1=life_fac,0.5,0))+Sens!I11304*0.5)/life_fac</f>
        <v>6.950862093</v>
      </c>
      <c r="J11309" s="6" t="n">
        <f aca="false">(Sens!C11304*IF(7&lt;life_fac,1,IF(7=life_fac,0.5,0))+Sens!D11304*IF(6&lt;life_fac,1,IF(6=life_fac,0.5,0))+Sens!E11304*IF(5&lt;life_fac,1,IF(5=life_fac,0.5,0))+Sens!F11304*IF(4&lt;life_fac,1,IF(4=life_fac,0.5,0))+Sens!G11304*IF(3&lt;life_fac,1,IF(3=life_fac,0.5,0))+Sens!H11304*IF(2&lt;life_fac,1,IF(2=life_fac,0.5,0))+Sens!I11304*IF(1&lt;life_fac,1,IF(1=life_fac,0.5,0))+Sens!J11304*0.5)/life_fac</f>
        <v>7.86563936186</v>
      </c>
      <c r="K11309" s="6" t="n">
        <f aca="false">(Sens!C11304*IF(8&lt;life_fac,1,IF(8=life_fac,0.5,0))+Sens!D11304*IF(7&lt;life_fac,1,IF(7=life_fac,0.5,0))+Sens!E11304*IF(6&lt;life_fac,1,IF(6=life_fac,0.5,0))+Sens!F11304*IF(5&lt;life_fac,1,IF(5=life_fac,0.5,0))+Sens!G11304*IF(4&lt;life_fac,1,IF(4=life_fac,0.5,0))+Sens!H11304*IF(3&lt;life_fac,1,IF(3=life_fac,0.5,0))+Sens!I11304*IF(2&lt;life_fac,1,IF(2=life_fac,0.5,0))+Sens!J11304*IF(1&lt;life_fac,1,IF(1=life_fac,0.5,0))+Sens!K11304*0.5)/life_fac</f>
        <v>8.3428177347858</v>
      </c>
    </row>
    <row r="11310" customFormat="false" ht="17.15" hidden="false" customHeight="false" outlineLevel="0" collapsed="false">
      <c r="A11310" s="0" t="s">
        <v>854</v>
      </c>
      <c r="B11310" s="0" t="s">
        <v>98</v>
      </c>
      <c r="E11310" s="6" t="n">
        <f aca="false">Sens!E11308+Sens!E11309</f>
        <v>16.3054059770833</v>
      </c>
      <c r="F11310" s="6" t="n">
        <f aca="false">Sens!F11308+Sens!F11309</f>
        <v>34.0498873809555</v>
      </c>
      <c r="G11310" s="6" t="n">
        <f aca="false">Sens!G11308+Sens!G11309</f>
        <v>59.1254371105111</v>
      </c>
      <c r="H11310" s="6" t="n">
        <f aca="false">Sens!H11308+Sens!H11309</f>
        <v>86.3610198433111</v>
      </c>
      <c r="I11310" s="6" t="n">
        <f aca="false">Sens!I11308+Sens!I11309</f>
        <v>110.605743832393</v>
      </c>
      <c r="J11310" s="6" t="n">
        <f aca="false">Sens!J11308+Sens!J11309</f>
        <v>127.998322852843</v>
      </c>
      <c r="K11310" s="6" t="n">
        <f aca="false">Sens!K11308+Sens!K11309</f>
        <v>139.131464044308</v>
      </c>
    </row>
    <row r="11311" customFormat="false" ht="17.15" hidden="false" customHeight="false" outlineLevel="0" collapsed="false">
      <c r="A11311" s="0" t="s">
        <v>855</v>
      </c>
      <c r="B11311" s="0" t="s">
        <v>98</v>
      </c>
      <c r="E11311" s="6" t="n">
        <f aca="false">Sens!E11299-Sens!E11298*Sens!E11310</f>
        <v>8.92707889977379</v>
      </c>
      <c r="F11311" s="6" t="n">
        <f aca="false">Sens!F11299-Sens!F11298*Sens!F11310</f>
        <v>19.0295083206205</v>
      </c>
      <c r="G11311" s="6" t="n">
        <f aca="false">Sens!G11299-Sens!G11298*Sens!G11310</f>
        <v>31.0774922914994</v>
      </c>
      <c r="H11311" s="6" t="n">
        <f aca="false">Sens!H11299-Sens!H11298*Sens!H11310</f>
        <v>43.4030330778723</v>
      </c>
      <c r="I11311" s="6" t="n">
        <f aca="false">Sens!I11299-Sens!I11298*Sens!I11310</f>
        <v>54.3591447183526</v>
      </c>
      <c r="J11311" s="6" t="n">
        <f aca="false">Sens!J11299-Sens!J11298*Sens!J11310</f>
        <v>62.0539899656947</v>
      </c>
      <c r="K11311" s="6" t="n">
        <f aca="false">Sens!K11299-Sens!K11298*Sens!K11310</f>
        <v>67.5792921529812</v>
      </c>
    </row>
    <row r="11312" customFormat="false" ht="17.15" hidden="false" customHeight="false" outlineLevel="0" collapsed="false">
      <c r="A11312" s="3" t="s">
        <v>1553</v>
      </c>
    </row>
    <row r="11313" customFormat="false" ht="15" hidden="false" customHeight="false" outlineLevel="0" collapsed="false">
      <c r="A11313" s="4" t="s">
        <v>43</v>
      </c>
      <c r="B11313" s="4" t="s">
        <v>65</v>
      </c>
      <c r="C11313" s="20" t="s">
        <v>799</v>
      </c>
      <c r="D11313" s="20" t="s">
        <v>800</v>
      </c>
      <c r="E11313" s="20" t="s">
        <v>801</v>
      </c>
      <c r="F11313" s="20" t="s">
        <v>802</v>
      </c>
      <c r="G11313" s="20" t="s">
        <v>803</v>
      </c>
      <c r="H11313" s="20" t="s">
        <v>804</v>
      </c>
      <c r="I11313" s="20" t="s">
        <v>805</v>
      </c>
      <c r="J11313" s="20" t="s">
        <v>806</v>
      </c>
      <c r="K11313" s="20" t="s">
        <v>807</v>
      </c>
      <c r="L11313" s="4" t="s">
        <v>47</v>
      </c>
    </row>
    <row r="11314" customFormat="false" ht="17.15" hidden="false" customHeight="false" outlineLevel="0" collapsed="false">
      <c r="A11314" s="0" t="s">
        <v>874</v>
      </c>
      <c r="B11314" s="0" t="s">
        <v>98</v>
      </c>
      <c r="D11314" s="6" t="n">
        <f aca="false">Sens!D11293</f>
        <v>12.9359794422418</v>
      </c>
      <c r="E11314" s="6" t="n">
        <f aca="false">Sens!E11293</f>
        <v>27.8095064661409</v>
      </c>
      <c r="F11314" s="6" t="n">
        <f aca="false">Sens!F11293</f>
        <v>55.0640065749585</v>
      </c>
      <c r="G11314" s="6" t="n">
        <f aca="false">Sens!G11293</f>
        <v>89.4505413190538</v>
      </c>
      <c r="H11314" s="6" t="n">
        <f aca="false">Sens!H11293</f>
        <v>124.835630736874</v>
      </c>
      <c r="I11314" s="6" t="n">
        <f aca="false">Sens!I11293</f>
        <v>156.158460265485</v>
      </c>
      <c r="J11314" s="6" t="n">
        <f aca="false">Sens!J11293</f>
        <v>178.259285293112</v>
      </c>
      <c r="K11314" s="6" t="n">
        <f aca="false">Sens!K11293</f>
        <v>192.733290209798</v>
      </c>
    </row>
    <row r="11315" customFormat="false" ht="17.15" hidden="false" customHeight="false" outlineLevel="0" collapsed="false">
      <c r="A11315" s="0" t="s">
        <v>875</v>
      </c>
      <c r="B11315" s="0" t="s">
        <v>98</v>
      </c>
      <c r="D11315" s="6" t="n">
        <f aca="false">Q!L6-Sens!D11314</f>
        <v>59.6740205577583</v>
      </c>
      <c r="E11315" s="6" t="n">
        <f aca="false">Q!M6-Sens!E11314</f>
        <v>74.1284935338591</v>
      </c>
      <c r="F11315" s="6" t="n">
        <f aca="false">Sens!E11315*(1+Sens!F11316)</f>
        <v>90.0799497373663</v>
      </c>
      <c r="G11315" s="6" t="n">
        <f aca="false">Sens!F11315*(1+Sens!G11316)</f>
        <v>107.02842520331</v>
      </c>
      <c r="H11315" s="6" t="n">
        <f aca="false">Sens!G11315*(1+Sens!H11316)</f>
        <v>124.271982585636</v>
      </c>
      <c r="I11315" s="6" t="n">
        <f aca="false">Sens!H11315*(1+Sens!I11316)</f>
        <v>140.933702381855</v>
      </c>
      <c r="J11315" s="6" t="n">
        <f aca="false">Sens!I11315*(1+Sens!J11316)</f>
        <v>156.018867314332</v>
      </c>
      <c r="K11315" s="6" t="n">
        <f aca="false">Sens!J11315*(1+Sens!K11316)</f>
        <v>168.500376699478</v>
      </c>
    </row>
    <row r="11316" customFormat="false" ht="15" hidden="false" customHeight="false" outlineLevel="0" collapsed="false">
      <c r="A11316" s="1" t="s">
        <v>876</v>
      </c>
      <c r="B11316" s="0" t="s">
        <v>129</v>
      </c>
      <c r="E11316" s="7" t="n">
        <f aca="false">Sens!E11315/Sens!D11315-1</f>
        <v>0.242223883039864</v>
      </c>
      <c r="F11316" s="7" t="n">
        <f aca="false">Sens!$E$11316+(glt_azo-Sens!$E$11316)*MIN(1,(Sens!F11276-base_fy)/n_conv)</f>
        <v>0.215186569199887</v>
      </c>
      <c r="G11316" s="7" t="n">
        <f aca="false">Sens!$E$11316+(glt_azo-Sens!$E$11316)*MIN(1,(Sens!G11276-base_fy)/n_conv)</f>
        <v>0.18814925535991</v>
      </c>
      <c r="H11316" s="7" t="n">
        <f aca="false">Sens!$E$11316+(glt_azo-Sens!$E$11316)*MIN(1,(Sens!H11276-base_fy)/n_conv)</f>
        <v>0.161111941519932</v>
      </c>
      <c r="I11316" s="7" t="n">
        <f aca="false">Sens!$E$11316+(glt_azo-Sens!$E$11316)*MIN(1,(Sens!I11276-base_fy)/n_conv)</f>
        <v>0.134074627679955</v>
      </c>
      <c r="J11316" s="7" t="n">
        <f aca="false">Sens!$E$11316+(glt_azo-Sens!$E$11316)*MIN(1,(Sens!J11276-base_fy)/n_conv)</f>
        <v>0.107037313839977</v>
      </c>
      <c r="K11316" s="7" t="n">
        <f aca="false">Sens!$E$11316+(glt_azo-Sens!$E$11316)*MIN(1,(Sens!K11276-base_fy)/n_conv)</f>
        <v>0.08</v>
      </c>
    </row>
    <row r="11317" customFormat="false" ht="15" hidden="false" customHeight="false" outlineLevel="0" collapsed="false">
      <c r="A11317" s="0" t="s">
        <v>877</v>
      </c>
      <c r="B11317" s="0" t="s">
        <v>98</v>
      </c>
      <c r="D11317" s="6" t="n">
        <f aca="false">Sens!D11314+Sens!D11315</f>
        <v>72.61</v>
      </c>
      <c r="E11317" s="6" t="n">
        <f aca="false">Sens!E11314+Sens!E11315</f>
        <v>101.938</v>
      </c>
      <c r="F11317" s="6" t="n">
        <f aca="false">Sens!F11314+Sens!F11315</f>
        <v>145.143956312325</v>
      </c>
      <c r="G11317" s="6" t="n">
        <f aca="false">Sens!G11314+Sens!G11315</f>
        <v>196.478966522364</v>
      </c>
      <c r="H11317" s="6" t="n">
        <f aca="false">Sens!H11314+Sens!H11315</f>
        <v>249.10761332251</v>
      </c>
      <c r="I11317" s="6" t="n">
        <f aca="false">Sens!I11314+Sens!I11315</f>
        <v>297.09216264734</v>
      </c>
      <c r="J11317" s="6" t="n">
        <f aca="false">Sens!J11314+Sens!J11315</f>
        <v>334.278152607443</v>
      </c>
      <c r="K11317" s="6" t="n">
        <f aca="false">Sens!K11314+Sens!K11315</f>
        <v>361.233666909276</v>
      </c>
    </row>
    <row r="11318" customFormat="false" ht="17.15" hidden="false" customHeight="false" outlineLevel="0" collapsed="false">
      <c r="A11318" s="0" t="s">
        <v>878</v>
      </c>
      <c r="B11318" s="1" t="s">
        <v>528</v>
      </c>
      <c r="C11318" s="29" t="n">
        <f aca="false">cop_s24</f>
        <v>1</v>
      </c>
      <c r="D11318" s="29" t="n">
        <f aca="false">cop_s25</f>
        <v>5</v>
      </c>
      <c r="E11318" s="29" t="n">
        <f aca="false">cop_s26</f>
        <v>30</v>
      </c>
      <c r="F11318" s="29" t="n">
        <f aca="false">Sens!E11318+cop_add_B</f>
        <v>50</v>
      </c>
      <c r="G11318" s="29" t="n">
        <f aca="false">Sens!F11318+cop_add_B</f>
        <v>70</v>
      </c>
      <c r="H11318" s="29" t="n">
        <f aca="false">Sens!G11318+cop_add_B</f>
        <v>90</v>
      </c>
      <c r="I11318" s="29" t="n">
        <f aca="false">Sens!H11318+cop_add_B*cop_tail</f>
        <v>100</v>
      </c>
      <c r="J11318" s="29" t="n">
        <f aca="false">Sens!I11318+cop_add_B*cop_tail</f>
        <v>110</v>
      </c>
      <c r="K11318" s="29" t="n">
        <f aca="false">Sens!J11318+cop_add_B*cop_tail</f>
        <v>120</v>
      </c>
      <c r="L11318" s="11" t="s">
        <v>879</v>
      </c>
    </row>
    <row r="11319" customFormat="false" ht="17.15" hidden="false" customHeight="false" outlineLevel="0" collapsed="false">
      <c r="A11319" s="0" t="s">
        <v>880</v>
      </c>
      <c r="B11319" s="0" t="s">
        <v>98</v>
      </c>
      <c r="D11319" s="6" t="n">
        <f aca="false">(Sens!C11318+Sens!D11318)/2*cop_px*12/1000</f>
        <v>0.9</v>
      </c>
      <c r="E11319" s="6" t="n">
        <f aca="false">(Sens!D11318+Sens!E11318)/2*cop_px*12/1000</f>
        <v>5.25</v>
      </c>
      <c r="F11319" s="6" t="n">
        <f aca="false">(Sens!E11318+Sens!F11318)/2*cop_px*12/1000</f>
        <v>12</v>
      </c>
      <c r="G11319" s="6" t="n">
        <f aca="false">(Sens!F11318+Sens!G11318)/2*cop_px*12/1000</f>
        <v>18</v>
      </c>
      <c r="H11319" s="6" t="n">
        <f aca="false">(Sens!G11318+Sens!H11318)/2*cop_px*12/1000</f>
        <v>24</v>
      </c>
      <c r="I11319" s="6" t="n">
        <f aca="false">(Sens!H11318+Sens!I11318)/2*cop_px*12/1000</f>
        <v>28.5</v>
      </c>
      <c r="J11319" s="6" t="n">
        <f aca="false">(Sens!I11318+Sens!J11318)/2*cop_px*12/1000</f>
        <v>31.5</v>
      </c>
      <c r="K11319" s="6" t="n">
        <f aca="false">(Sens!J11318+Sens!K11318)/2*cop_px*12/1000</f>
        <v>34.5</v>
      </c>
      <c r="L11319" s="1" t="s">
        <v>881</v>
      </c>
    </row>
    <row r="11320" customFormat="false" ht="17.15" hidden="false" customHeight="false" outlineLevel="0" collapsed="false">
      <c r="A11320" s="0" t="s">
        <v>882</v>
      </c>
      <c r="B11320" s="0" t="s">
        <v>98</v>
      </c>
      <c r="D11320" s="6" t="n">
        <f aca="false">Q!L7-Sens!D11319</f>
        <v>83.705</v>
      </c>
      <c r="E11320" s="6" t="n">
        <f aca="false">Q!M7-Sens!E11319</f>
        <v>95.049</v>
      </c>
      <c r="F11320" s="6" t="n">
        <f aca="false">Sens!E11320*(1+Sens!F11321)</f>
        <v>106.89238776686</v>
      </c>
      <c r="G11320" s="6" t="n">
        <f aca="false">Sens!F11320*(1+Sens!G11321)</f>
        <v>119.044168448684</v>
      </c>
      <c r="H11320" s="6" t="n">
        <f aca="false">Sens!G11320*(1+Sens!H11321)</f>
        <v>131.277359388781</v>
      </c>
      <c r="I11320" s="6" t="n">
        <f aca="false">Sens!H11320*(1+Sens!I11321)</f>
        <v>143.334028071957</v>
      </c>
      <c r="J11320" s="6" t="n">
        <f aca="false">Sens!I11320*(1+Sens!J11321)</f>
        <v>154.932702785465</v>
      </c>
      <c r="K11320" s="6" t="n">
        <f aca="false">Sens!J11320*(1+Sens!K11321)</f>
        <v>165.777991980448</v>
      </c>
    </row>
    <row r="11321" customFormat="false" ht="15" hidden="false" customHeight="false" outlineLevel="0" collapsed="false">
      <c r="A11321" s="1" t="s">
        <v>876</v>
      </c>
      <c r="B11321" s="0" t="s">
        <v>129</v>
      </c>
      <c r="E11321" s="7" t="n">
        <f aca="false">Sens!E11320/Sens!D11320-1</f>
        <v>0.135523564900544</v>
      </c>
      <c r="F11321" s="7" t="n">
        <f aca="false">Sens!$E$11321+(glt_m365b-Sens!$E$11321)*MIN(1,(Sens!F11276-base_fy)/n_conv)</f>
        <v>0.124602970750453</v>
      </c>
      <c r="G11321" s="7" t="n">
        <f aca="false">Sens!$E$11321+(glt_m365b-Sens!$E$11321)*MIN(1,(Sens!G11276-base_fy)/n_conv)</f>
        <v>0.113682376600363</v>
      </c>
      <c r="H11321" s="7" t="n">
        <f aca="false">Sens!$E$11321+(glt_m365b-Sens!$E$11321)*MIN(1,(Sens!H11276-base_fy)/n_conv)</f>
        <v>0.102761782450272</v>
      </c>
      <c r="I11321" s="7" t="n">
        <f aca="false">Sens!$E$11321+(glt_m365b-Sens!$E$11321)*MIN(1,(Sens!I11276-base_fy)/n_conv)</f>
        <v>0.0918411883001813</v>
      </c>
      <c r="J11321" s="7" t="n">
        <f aca="false">Sens!$E$11321+(glt_m365b-Sens!$E$11321)*MIN(1,(Sens!J11276-base_fy)/n_conv)</f>
        <v>0.0809205941500906</v>
      </c>
      <c r="K11321" s="7" t="n">
        <f aca="false">Sens!$E$11321+(glt_m365b-Sens!$E$11321)*MIN(1,(Sens!K11276-base_fy)/n_conv)</f>
        <v>0.07</v>
      </c>
    </row>
    <row r="11322" customFormat="false" ht="15" hidden="false" customHeight="false" outlineLevel="0" collapsed="false">
      <c r="A11322" s="0" t="s">
        <v>883</v>
      </c>
      <c r="B11322" s="0" t="s">
        <v>98</v>
      </c>
      <c r="D11322" s="6" t="n">
        <f aca="false">Sens!D11320+Sens!D11319</f>
        <v>84.605</v>
      </c>
      <c r="E11322" s="6" t="n">
        <f aca="false">Sens!E11320+Sens!E11319</f>
        <v>100.299</v>
      </c>
      <c r="F11322" s="6" t="n">
        <f aca="false">Sens!F11320+Sens!F11319</f>
        <v>118.89238776686</v>
      </c>
      <c r="G11322" s="6" t="n">
        <f aca="false">Sens!G11320+Sens!G11319</f>
        <v>137.044168448684</v>
      </c>
      <c r="H11322" s="6" t="n">
        <f aca="false">Sens!H11320+Sens!H11319</f>
        <v>155.277359388781</v>
      </c>
      <c r="I11322" s="6" t="n">
        <f aca="false">Sens!I11320+Sens!I11319</f>
        <v>171.834028071957</v>
      </c>
      <c r="J11322" s="6" t="n">
        <f aca="false">Sens!J11320+Sens!J11319</f>
        <v>186.432702785465</v>
      </c>
      <c r="K11322" s="6" t="n">
        <f aca="false">Sens!K11320+Sens!K11319</f>
        <v>200.277991980448</v>
      </c>
    </row>
    <row r="11323" customFormat="false" ht="15" hidden="false" customHeight="false" outlineLevel="0" collapsed="false">
      <c r="A11323" s="0" t="s">
        <v>884</v>
      </c>
      <c r="B11323" s="0" t="s">
        <v>98</v>
      </c>
      <c r="D11323" s="6" t="n">
        <f aca="false">Q!L8</f>
        <v>35.391</v>
      </c>
      <c r="E11323" s="6" t="n">
        <f aca="false">Q!M8</f>
        <v>37.285</v>
      </c>
      <c r="F11323" s="6" t="n">
        <f aca="false">Sens!E11323*(1+Sens!F11324)</f>
        <v>39.0720834331704</v>
      </c>
      <c r="G11323" s="6" t="n">
        <f aca="false">Sens!F11323*(1+Sens!G11324)</f>
        <v>40.726562953769</v>
      </c>
      <c r="H11323" s="6" t="n">
        <f aca="false">Sens!G11323*(1+Sens!H11324)</f>
        <v>42.2235987259198</v>
      </c>
      <c r="I11323" s="6" t="n">
        <f aca="false">Sens!H11323*(1+Sens!I11324)</f>
        <v>43.5397988077414</v>
      </c>
      <c r="J11323" s="6" t="n">
        <f aca="false">Sens!I11323*(1+Sens!J11324)</f>
        <v>44.653811225693</v>
      </c>
      <c r="K11323" s="6" t="n">
        <f aca="false">Sens!J11323*(1+Sens!K11324)</f>
        <v>45.5468874502068</v>
      </c>
    </row>
    <row r="11324" customFormat="false" ht="15" hidden="false" customHeight="false" outlineLevel="0" collapsed="false">
      <c r="A11324" s="1" t="s">
        <v>876</v>
      </c>
      <c r="B11324" s="0" t="s">
        <v>129</v>
      </c>
      <c r="E11324" s="7" t="n">
        <f aca="false">Sens!E11323/Sens!D11323-1</f>
        <v>0.0535164307309768</v>
      </c>
      <c r="F11324" s="7" t="n">
        <f aca="false">Sens!$E$11324+(glt_lic-Sens!$E$11324)*MIN(1,(Sens!F11276-base_fy)/n_conv)</f>
        <v>0.0479303589424807</v>
      </c>
      <c r="G11324" s="7" t="n">
        <f aca="false">Sens!$E$11324+(glt_lic-Sens!$E$11324)*MIN(1,(Sens!G11276-base_fy)/n_conv)</f>
        <v>0.0423442871539845</v>
      </c>
      <c r="H11324" s="7" t="n">
        <f aca="false">Sens!$E$11324+(glt_lic-Sens!$E$11324)*MIN(1,(Sens!H11276-base_fy)/n_conv)</f>
        <v>0.0367582153654884</v>
      </c>
      <c r="I11324" s="7" t="n">
        <f aca="false">Sens!$E$11324+(glt_lic-Sens!$E$11324)*MIN(1,(Sens!I11276-base_fy)/n_conv)</f>
        <v>0.0311721435769923</v>
      </c>
      <c r="J11324" s="7" t="n">
        <f aca="false">Sens!$E$11324+(glt_lic-Sens!$E$11324)*MIN(1,(Sens!J11276-base_fy)/n_conv)</f>
        <v>0.0255860717884961</v>
      </c>
      <c r="K11324" s="7" t="n">
        <f aca="false">Sens!$E$11324+(glt_lic-Sens!$E$11324)*MIN(1,(Sens!K11276-base_fy)/n_conv)</f>
        <v>0.02</v>
      </c>
    </row>
    <row r="11325" customFormat="false" ht="15" hidden="false" customHeight="false" outlineLevel="0" collapsed="false">
      <c r="A11325" s="0" t="s">
        <v>885</v>
      </c>
      <c r="B11325" s="0" t="s">
        <v>98</v>
      </c>
      <c r="D11325" s="6" t="n">
        <f aca="false">Q!L9</f>
        <v>18.417</v>
      </c>
      <c r="E11325" s="6" t="n">
        <f aca="false">Q!M9</f>
        <v>20.345</v>
      </c>
      <c r="F11325" s="6" t="n">
        <f aca="false">Sens!E11325*(1+Sens!F11326)</f>
        <v>22.3572203267814</v>
      </c>
      <c r="G11325" s="6" t="n">
        <f aca="false">Sens!F11325*(1+Sens!G11326)</f>
        <v>24.4392124437232</v>
      </c>
      <c r="H11325" s="6" t="n">
        <f aca="false">Sens!G11325*(1+Sens!H11326)</f>
        <v>26.5738052080665</v>
      </c>
      <c r="I11325" s="6" t="n">
        <f aca="false">Sens!H11325*(1+Sens!I11326)</f>
        <v>28.7412169166967</v>
      </c>
      <c r="J11325" s="6" t="n">
        <f aca="false">Sens!I11325*(1+Sens!J11326)</f>
        <v>30.9192545395413</v>
      </c>
      <c r="K11325" s="6" t="n">
        <f aca="false">Sens!J11325*(1+Sens!K11326)</f>
        <v>33.0836023573092</v>
      </c>
    </row>
    <row r="11326" customFormat="false" ht="15" hidden="false" customHeight="false" outlineLevel="0" collapsed="false">
      <c r="A11326" s="1" t="s">
        <v>876</v>
      </c>
      <c r="B11326" s="0" t="s">
        <v>129</v>
      </c>
      <c r="E11326" s="7" t="n">
        <f aca="false">Sens!E11325/Sens!D11325-1</f>
        <v>0.104685888038225</v>
      </c>
      <c r="F11326" s="7" t="n">
        <f aca="false">Sens!$E$11326+(glt_ind-Sens!$E$11326)*MIN(1,(Sens!F11276-base_fy)/n_conv)</f>
        <v>0.0989049066985211</v>
      </c>
      <c r="G11326" s="7" t="n">
        <f aca="false">Sens!$E$11326+(glt_ind-Sens!$E$11326)*MIN(1,(Sens!G11276-base_fy)/n_conv)</f>
        <v>0.0931239253588169</v>
      </c>
      <c r="H11326" s="7" t="n">
        <f aca="false">Sens!$E$11326+(glt_ind-Sens!$E$11326)*MIN(1,(Sens!H11276-base_fy)/n_conv)</f>
        <v>0.0873429440191127</v>
      </c>
      <c r="I11326" s="7" t="n">
        <f aca="false">Sens!$E$11326+(glt_ind-Sens!$E$11326)*MIN(1,(Sens!I11276-base_fy)/n_conv)</f>
        <v>0.0815619626794085</v>
      </c>
      <c r="J11326" s="7" t="n">
        <f aca="false">Sens!$E$11326+(glt_ind-Sens!$E$11326)*MIN(1,(Sens!J11276-base_fy)/n_conv)</f>
        <v>0.0757809813397042</v>
      </c>
      <c r="K11326" s="7" t="n">
        <f aca="false">Sens!$E$11326+(glt_ind-Sens!$E$11326)*MIN(1,(Sens!K11276-base_fy)/n_conv)</f>
        <v>0.07</v>
      </c>
    </row>
    <row r="11327" customFormat="false" ht="15" hidden="false" customHeight="false" outlineLevel="0" collapsed="false">
      <c r="A11327" s="0" t="s">
        <v>886</v>
      </c>
      <c r="B11327" s="0" t="s">
        <v>98</v>
      </c>
      <c r="D11327" s="6" t="n">
        <f aca="false">Q!L10</f>
        <v>7.76</v>
      </c>
      <c r="E11327" s="6" t="n">
        <f aca="false">Q!M10</f>
        <v>8.26</v>
      </c>
      <c r="F11327" s="6" t="n">
        <f aca="false">Sens!E11327*(1+Sens!F11328)</f>
        <v>8.79988041237113</v>
      </c>
      <c r="G11327" s="6" t="n">
        <f aca="false">Sens!F11327*(1+Sens!G11328)</f>
        <v>9.38321269125306</v>
      </c>
      <c r="H11327" s="6" t="n">
        <f aca="false">Sens!G11327*(1+Sens!H11328)</f>
        <v>10.0139193587476</v>
      </c>
      <c r="I11327" s="6" t="n">
        <f aca="false">Sens!H11327*(1+Sens!I11328)</f>
        <v>10.6963111830911</v>
      </c>
      <c r="J11327" s="6" t="n">
        <f aca="false">Sens!I11327*(1+Sens!J11328)</f>
        <v>11.4351285534696</v>
      </c>
      <c r="K11327" s="6" t="n">
        <f aca="false">Sens!J11327*(1+Sens!K11328)</f>
        <v>12.2355875522124</v>
      </c>
    </row>
    <row r="11328" customFormat="false" ht="15" hidden="false" customHeight="false" outlineLevel="0" collapsed="false">
      <c r="A11328" s="1" t="s">
        <v>876</v>
      </c>
      <c r="B11328" s="0" t="s">
        <v>129</v>
      </c>
      <c r="E11328" s="7" t="n">
        <f aca="false">Sens!E11327/Sens!D11327-1</f>
        <v>0.0644329896907216</v>
      </c>
      <c r="F11328" s="7" t="n">
        <f aca="false">Sens!$E$11328+(glt_fro-Sens!$E$11328)*MIN(1,(Sens!F11276-base_fy)/n_conv)</f>
        <v>0.065360824742268</v>
      </c>
      <c r="G11328" s="7" t="n">
        <f aca="false">Sens!$E$11328+(glt_fro-Sens!$E$11328)*MIN(1,(Sens!G11276-base_fy)/n_conv)</f>
        <v>0.0662886597938144</v>
      </c>
      <c r="H11328" s="7" t="n">
        <f aca="false">Sens!$E$11328+(glt_fro-Sens!$E$11328)*MIN(1,(Sens!H11276-base_fy)/n_conv)</f>
        <v>0.0672164948453608</v>
      </c>
      <c r="I11328" s="7" t="n">
        <f aca="false">Sens!$E$11328+(glt_fro-Sens!$E$11328)*MIN(1,(Sens!I11276-base_fy)/n_conv)</f>
        <v>0.0681443298969072</v>
      </c>
      <c r="J11328" s="7" t="n">
        <f aca="false">Sens!$E$11328+(glt_fro-Sens!$E$11328)*MIN(1,(Sens!J11276-base_fy)/n_conv)</f>
        <v>0.0690721649484536</v>
      </c>
      <c r="K11328" s="7" t="n">
        <f aca="false">Sens!$E$11328+(glt_fro-Sens!$E$11328)*MIN(1,(Sens!K11276-base_fy)/n_conv)</f>
        <v>0.07</v>
      </c>
    </row>
    <row r="11329" customFormat="false" ht="15" hidden="false" customHeight="false" outlineLevel="0" collapsed="false">
      <c r="A11329" s="0" t="s">
        <v>715</v>
      </c>
      <c r="B11329" s="0" t="s">
        <v>98</v>
      </c>
      <c r="D11329" s="6" t="n">
        <f aca="false">Sens!D11317+Sens!D11322+Sens!D11323+Sens!D11325+Sens!D11327</f>
        <v>218.783</v>
      </c>
      <c r="E11329" s="6" t="n">
        <f aca="false">Sens!E11317+Sens!E11322+Sens!E11323+Sens!E11325+Sens!E11327</f>
        <v>268.127</v>
      </c>
      <c r="F11329" s="6" t="n">
        <f aca="false">Sens!F11317+Sens!F11322+Sens!F11323+Sens!F11325+Sens!F11327</f>
        <v>334.265528251508</v>
      </c>
      <c r="G11329" s="6" t="n">
        <f aca="false">Sens!G11317+Sens!G11322+Sens!G11323+Sens!G11325+Sens!G11327</f>
        <v>408.072123059793</v>
      </c>
      <c r="H11329" s="6" t="n">
        <f aca="false">Sens!H11317+Sens!H11322+Sens!H11323+Sens!H11325+Sens!H11327</f>
        <v>483.196296004025</v>
      </c>
      <c r="I11329" s="6" t="n">
        <f aca="false">Sens!I11317+Sens!I11322+Sens!I11323+Sens!I11325+Sens!I11327</f>
        <v>551.903517626826</v>
      </c>
      <c r="J11329" s="6" t="n">
        <f aca="false">Sens!J11317+Sens!J11322+Sens!J11323+Sens!J11325+Sens!J11327</f>
        <v>607.719049711612</v>
      </c>
      <c r="K11329" s="6" t="n">
        <f aca="false">Sens!K11317+Sens!K11322+Sens!K11323+Sens!K11325+Sens!K11327</f>
        <v>652.377736249452</v>
      </c>
    </row>
    <row r="11330" customFormat="false" ht="15" hidden="false" customHeight="false" outlineLevel="0" collapsed="false">
      <c r="A11330" s="0" t="s">
        <v>887</v>
      </c>
      <c r="B11330" s="0" t="s">
        <v>98</v>
      </c>
      <c r="D11330" s="6" t="n">
        <f aca="false">Q!L13</f>
        <v>22.171</v>
      </c>
      <c r="E11330" s="6" t="n">
        <f aca="false">Q!M13</f>
        <v>24.835</v>
      </c>
      <c r="F11330" s="6" t="n">
        <f aca="false">Sens!E11330*(1+Sens!F11331)</f>
        <v>27.6114901218559</v>
      </c>
      <c r="G11330" s="6" t="n">
        <f aca="false">Sens!F11330*(1+Sens!G11331)</f>
        <v>30.4675667338515</v>
      </c>
      <c r="H11330" s="6" t="n">
        <f aca="false">Sens!G11330*(1+Sens!H11331)</f>
        <v>33.3643766955789</v>
      </c>
      <c r="I11330" s="6" t="n">
        <f aca="false">Sens!H11330*(1+Sens!I11331)</f>
        <v>36.2577016533691</v>
      </c>
      <c r="J11330" s="6" t="n">
        <f aca="false">Sens!I11330*(1+Sens!J11331)</f>
        <v>39.0988367952171</v>
      </c>
      <c r="K11330" s="6" t="n">
        <f aca="false">Sens!J11330*(1+Sens!K11331)</f>
        <v>41.8357553708823</v>
      </c>
    </row>
    <row r="11331" customFormat="false" ht="15" hidden="false" customHeight="false" outlineLevel="0" collapsed="false">
      <c r="A11331" s="1" t="s">
        <v>876</v>
      </c>
      <c r="B11331" s="0" t="s">
        <v>129</v>
      </c>
      <c r="E11331" s="7" t="n">
        <f aca="false">Sens!E11330/Sens!D11330-1</f>
        <v>0.120156961796942</v>
      </c>
      <c r="F11331" s="7" t="n">
        <f aca="false">Sens!$E$11331+(glt_srch-Sens!$E$11331)*MIN(1,(Sens!F11276-base_fy)/n_conv)</f>
        <v>0.111797468164118</v>
      </c>
      <c r="G11331" s="7" t="n">
        <f aca="false">Sens!$E$11331+(glt_srch-Sens!$E$11331)*MIN(1,(Sens!G11276-base_fy)/n_conv)</f>
        <v>0.103437974531295</v>
      </c>
      <c r="H11331" s="7" t="n">
        <f aca="false">Sens!$E$11331+(glt_srch-Sens!$E$11331)*MIN(1,(Sens!H11276-base_fy)/n_conv)</f>
        <v>0.095078480898471</v>
      </c>
      <c r="I11331" s="7" t="n">
        <f aca="false">Sens!$E$11331+(glt_srch-Sens!$E$11331)*MIN(1,(Sens!I11276-base_fy)/n_conv)</f>
        <v>0.0867189872656474</v>
      </c>
      <c r="J11331" s="7" t="n">
        <f aca="false">Sens!$E$11331+(glt_srch-Sens!$E$11331)*MIN(1,(Sens!J11276-base_fy)/n_conv)</f>
        <v>0.0783594936328237</v>
      </c>
      <c r="K11331" s="7" t="n">
        <f aca="false">Sens!$E$11331+(glt_srch-Sens!$E$11331)*MIN(1,(Sens!K11276-base_fy)/n_conv)</f>
        <v>0.07</v>
      </c>
    </row>
    <row r="11332" customFormat="false" ht="15" hidden="false" customHeight="false" outlineLevel="0" collapsed="false">
      <c r="A11332" s="0" t="s">
        <v>888</v>
      </c>
      <c r="B11332" s="0" t="s">
        <v>98</v>
      </c>
      <c r="D11332" s="6" t="n">
        <f aca="false">Q!L14</f>
        <v>23.455</v>
      </c>
      <c r="E11332" s="6" t="n">
        <f aca="false">Q!M14</f>
        <v>21.79</v>
      </c>
      <c r="F11332" s="6" t="n">
        <f aca="false">Sens!E11332*(1+Sens!F11333)</f>
        <v>20.5736277908051</v>
      </c>
      <c r="G11332" s="6" t="n">
        <f aca="false">Sens!F11332*(1+Sens!G11333)</f>
        <v>19.7371452817919</v>
      </c>
      <c r="H11332" s="6" t="n">
        <f aca="false">Sens!G11332*(1+Sens!H11333)</f>
        <v>19.2339764043138</v>
      </c>
      <c r="I11332" s="6" t="n">
        <f aca="false">Sens!H11332*(1+Sens!I11333)</f>
        <v>19.0353086852681</v>
      </c>
      <c r="J11332" s="6" t="n">
        <f aca="false">Sens!I11332*(1+Sens!J11333)</f>
        <v>19.1273539319129</v>
      </c>
      <c r="K11332" s="6" t="n">
        <f aca="false">Sens!J11332*(1+Sens!K11333)</f>
        <v>19.5099010105511</v>
      </c>
    </row>
    <row r="11333" customFormat="false" ht="15" hidden="false" customHeight="false" outlineLevel="0" collapsed="false">
      <c r="A11333" s="1" t="s">
        <v>876</v>
      </c>
      <c r="B11333" s="0" t="s">
        <v>129</v>
      </c>
      <c r="E11333" s="7" t="n">
        <f aca="false">Sens!E11332/Sens!D11332-1</f>
        <v>-0.0709869963760392</v>
      </c>
      <c r="F11333" s="7" t="n">
        <f aca="false">Sens!$E$11333+(glt_xbox-Sens!$E$11333)*MIN(1,(Sens!F11276-base_fy)/n_conv)</f>
        <v>-0.0558224969800327</v>
      </c>
      <c r="G11333" s="7" t="n">
        <f aca="false">Sens!$E$11333+(glt_xbox-Sens!$E$11333)*MIN(1,(Sens!G11276-base_fy)/n_conv)</f>
        <v>-0.0406579975840262</v>
      </c>
      <c r="H11333" s="7" t="n">
        <f aca="false">Sens!$E$11333+(glt_xbox-Sens!$E$11333)*MIN(1,(Sens!H11276-base_fy)/n_conv)</f>
        <v>-0.0254934981880196</v>
      </c>
      <c r="I11333" s="7" t="n">
        <f aca="false">Sens!$E$11333+(glt_xbox-Sens!$E$11333)*MIN(1,(Sens!I11276-base_fy)/n_conv)</f>
        <v>-0.0103289987920131</v>
      </c>
      <c r="J11333" s="7" t="n">
        <f aca="false">Sens!$E$11333+(glt_xbox-Sens!$E$11333)*MIN(1,(Sens!J11276-base_fy)/n_conv)</f>
        <v>0.00483550060399347</v>
      </c>
      <c r="K11333" s="7" t="n">
        <f aca="false">Sens!$E$11333+(glt_xbox-Sens!$E$11333)*MIN(1,(Sens!K11276-base_fy)/n_conv)</f>
        <v>0.02</v>
      </c>
    </row>
    <row r="11334" customFormat="false" ht="15" hidden="false" customHeight="false" outlineLevel="0" collapsed="false">
      <c r="A11334" s="0" t="s">
        <v>889</v>
      </c>
      <c r="B11334" s="0" t="s">
        <v>98</v>
      </c>
      <c r="D11334" s="6" t="n">
        <f aca="false">Q!L15</f>
        <v>17.315</v>
      </c>
      <c r="E11334" s="6" t="n">
        <f aca="false">Q!M15</f>
        <v>17.087</v>
      </c>
      <c r="F11334" s="6" t="n">
        <f aca="false">Sens!E11334*(1+Sens!F11335)</f>
        <v>16.9564585436519</v>
      </c>
      <c r="G11334" s="6" t="n">
        <f aca="false">Sens!F11334*(1+Sens!G11335)</f>
        <v>16.9206490624268</v>
      </c>
      <c r="H11334" s="6" t="n">
        <f aca="false">Sens!G11334*(1+Sens!H11335)</f>
        <v>16.9784519149849</v>
      </c>
      <c r="I11334" s="6" t="n">
        <f aca="false">Sens!H11334*(1+Sens!I11335)</f>
        <v>17.1303084701817</v>
      </c>
      <c r="J11334" s="6" t="n">
        <f aca="false">Sens!I11334*(1+Sens!J11335)</f>
        <v>17.3782189407267</v>
      </c>
      <c r="K11334" s="6" t="n">
        <f aca="false">Sens!J11334*(1+Sens!K11335)</f>
        <v>17.7257833195413</v>
      </c>
    </row>
    <row r="11335" customFormat="false" ht="15" hidden="false" customHeight="false" outlineLevel="0" collapsed="false">
      <c r="A11335" s="1" t="s">
        <v>876</v>
      </c>
      <c r="B11335" s="0" t="s">
        <v>129</v>
      </c>
      <c r="E11335" s="7" t="n">
        <f aca="false">Sens!E11334/Sens!D11334-1</f>
        <v>-0.0131677736066995</v>
      </c>
      <c r="F11335" s="7" t="n">
        <f aca="false">Sens!$E$11335+(glt_win-Sens!$E$11335)*MIN(1,(Sens!F11276-base_fy)/n_conv)</f>
        <v>-0.00763981133891627</v>
      </c>
      <c r="G11335" s="7" t="n">
        <f aca="false">Sens!$E$11335+(glt_win-Sens!$E$11335)*MIN(1,(Sens!G11276-base_fy)/n_conv)</f>
        <v>-0.00211184907113301</v>
      </c>
      <c r="H11335" s="7" t="n">
        <f aca="false">Sens!$E$11335+(glt_win-Sens!$E$11335)*MIN(1,(Sens!H11276-base_fy)/n_conv)</f>
        <v>0.00341611319665024</v>
      </c>
      <c r="I11335" s="7" t="n">
        <f aca="false">Sens!$E$11335+(glt_win-Sens!$E$11335)*MIN(1,(Sens!I11276-base_fy)/n_conv)</f>
        <v>0.00894407546443349</v>
      </c>
      <c r="J11335" s="7" t="n">
        <f aca="false">Sens!$E$11335+(glt_win-Sens!$E$11335)*MIN(1,(Sens!J11276-base_fy)/n_conv)</f>
        <v>0.0144720377322168</v>
      </c>
      <c r="K11335" s="7" t="n">
        <f aca="false">Sens!$E$11335+(glt_win-Sens!$E$11335)*MIN(1,(Sens!K11276-base_fy)/n_conv)</f>
        <v>0.02</v>
      </c>
    </row>
    <row r="11336" customFormat="false" ht="15" hidden="false" customHeight="false" outlineLevel="0" collapsed="false">
      <c r="A11336" s="0" t="s">
        <v>729</v>
      </c>
      <c r="B11336" s="0" t="s">
        <v>98</v>
      </c>
      <c r="D11336" s="6" t="n">
        <f aca="false">Sens!D11330+Sens!D11332+Sens!D11334</f>
        <v>62.941</v>
      </c>
      <c r="E11336" s="6" t="n">
        <f aca="false">Sens!E11330+Sens!E11332+Sens!E11334</f>
        <v>63.712</v>
      </c>
      <c r="F11336" s="6" t="n">
        <f aca="false">Sens!F11330+Sens!F11332+Sens!F11334</f>
        <v>65.1415764563129</v>
      </c>
      <c r="G11336" s="6" t="n">
        <f aca="false">Sens!G11330+Sens!G11332+Sens!G11334</f>
        <v>67.1253610780702</v>
      </c>
      <c r="H11336" s="6" t="n">
        <f aca="false">Sens!H11330+Sens!H11332+Sens!H11334</f>
        <v>69.5768050148776</v>
      </c>
      <c r="I11336" s="6" t="n">
        <f aca="false">Sens!I11330+Sens!I11332+Sens!I11334</f>
        <v>72.4233188088189</v>
      </c>
      <c r="J11336" s="6" t="n">
        <f aca="false">Sens!J11330+Sens!J11332+Sens!J11334</f>
        <v>75.6044096678567</v>
      </c>
      <c r="K11336" s="6" t="n">
        <f aca="false">Sens!K11330+Sens!K11332+Sens!K11334</f>
        <v>79.0714397009747</v>
      </c>
    </row>
    <row r="11337" customFormat="false" ht="15" hidden="false" customHeight="false" outlineLevel="0" collapsed="false">
      <c r="A11337" s="1" t="s">
        <v>890</v>
      </c>
      <c r="B11337" s="0" t="s">
        <v>98</v>
      </c>
      <c r="D11337" s="6" t="n">
        <f aca="false">Sens!D11329+Sens!D11336</f>
        <v>281.724</v>
      </c>
      <c r="E11337" s="6" t="n">
        <f aca="false">Sens!E11329+Sens!E11336</f>
        <v>331.839</v>
      </c>
      <c r="F11337" s="6" t="n">
        <f aca="false">Sens!F11329+Sens!F11336</f>
        <v>399.407104707821</v>
      </c>
      <c r="G11337" s="6" t="n">
        <f aca="false">Sens!G11329+Sens!G11336</f>
        <v>475.197484137863</v>
      </c>
      <c r="H11337" s="6" t="n">
        <f aca="false">Sens!H11329+Sens!H11336</f>
        <v>552.773101018903</v>
      </c>
      <c r="I11337" s="6" t="n">
        <f aca="false">Sens!I11329+Sens!I11336</f>
        <v>624.326836435645</v>
      </c>
      <c r="J11337" s="6" t="n">
        <f aca="false">Sens!J11329+Sens!J11336</f>
        <v>683.323459379469</v>
      </c>
      <c r="K11337" s="6" t="n">
        <f aca="false">Sens!K11329+Sens!K11336</f>
        <v>731.449175950427</v>
      </c>
    </row>
    <row r="11338" customFormat="false" ht="15" hidden="false" customHeight="false" outlineLevel="0" collapsed="false">
      <c r="A11338" s="23" t="s">
        <v>891</v>
      </c>
      <c r="B11338" s="30" t="s">
        <v>98</v>
      </c>
      <c r="C11338" s="30"/>
      <c r="D11338" s="24" t="n">
        <f aca="false">(Sens!D11317+Sens!D11322+Sens!D11323+Sens!D11325+Sens!D11327-Sens!D11329)+(Sens!D11330+Sens!D11332+Sens!D11334-Sens!D11336)+(Sens!D11329-Q!L5)+(Sens!D11336-Q!L12)+(Sens!D11317-Q!L6)+(Sens!D11322-Q!L7)</f>
        <v>0</v>
      </c>
      <c r="E11338" s="24" t="n">
        <f aca="false">(Sens!E11317+Sens!E11322+Sens!E11323+Sens!E11325+Sens!E11327-Sens!E11329)+(Sens!E11330+Sens!E11332+Sens!E11334-Sens!E11336)+(Sens!E11329-Q!M5)+(Sens!E11336-Q!M12)+(Sens!E11317-Q!M6)+(Sens!E11322-Q!M7)</f>
        <v>0</v>
      </c>
      <c r="F11338" s="24" t="n">
        <f aca="false">(Sens!F11317+Sens!F11322+Sens!F11323+Sens!F11325+Sens!F11327-Sens!F11329)+(Sens!F11330+Sens!F11332+Sens!F11334-Sens!F11336)</f>
        <v>0</v>
      </c>
      <c r="G11338" s="24" t="n">
        <f aca="false">(Sens!G11317+Sens!G11322+Sens!G11323+Sens!G11325+Sens!G11327-Sens!G11329)+(Sens!G11330+Sens!G11332+Sens!G11334-Sens!G11336)</f>
        <v>0</v>
      </c>
      <c r="H11338" s="24" t="n">
        <f aca="false">(Sens!H11317+Sens!H11322+Sens!H11323+Sens!H11325+Sens!H11327-Sens!H11329)+(Sens!H11330+Sens!H11332+Sens!H11334-Sens!H11336)</f>
        <v>0</v>
      </c>
      <c r="I11338" s="24" t="n">
        <f aca="false">(Sens!I11317+Sens!I11322+Sens!I11323+Sens!I11325+Sens!I11327-Sens!I11329)+(Sens!I11330+Sens!I11332+Sens!I11334-Sens!I11336)</f>
        <v>0</v>
      </c>
      <c r="J11338" s="24" t="n">
        <f aca="false">(Sens!J11317+Sens!J11322+Sens!J11323+Sens!J11325+Sens!J11327-Sens!J11329)+(Sens!J11330+Sens!J11332+Sens!J11334-Sens!J11336)</f>
        <v>0</v>
      </c>
      <c r="K11338" s="24" t="n">
        <f aca="false">(Sens!K11317+Sens!K11322+Sens!K11323+Sens!K11325+Sens!K11327-Sens!K11329)+(Sens!K11330+Sens!K11332+Sens!K11334-Sens!K11336)</f>
        <v>0</v>
      </c>
    </row>
    <row r="11339" customFormat="false" ht="17.15" hidden="false" customHeight="false" outlineLevel="0" collapsed="false">
      <c r="A11339" s="3" t="s">
        <v>1554</v>
      </c>
    </row>
    <row r="11340" customFormat="false" ht="15" hidden="false" customHeight="false" outlineLevel="0" collapsed="false">
      <c r="A11340" s="4" t="s">
        <v>43</v>
      </c>
      <c r="B11340" s="4" t="s">
        <v>65</v>
      </c>
      <c r="C11340" s="20" t="s">
        <v>799</v>
      </c>
      <c r="D11340" s="20" t="s">
        <v>800</v>
      </c>
      <c r="E11340" s="20" t="s">
        <v>801</v>
      </c>
      <c r="F11340" s="20" t="s">
        <v>802</v>
      </c>
      <c r="G11340" s="20" t="s">
        <v>803</v>
      </c>
      <c r="H11340" s="20" t="s">
        <v>804</v>
      </c>
      <c r="I11340" s="20" t="s">
        <v>805</v>
      </c>
      <c r="J11340" s="20" t="s">
        <v>806</v>
      </c>
      <c r="K11340" s="20" t="s">
        <v>807</v>
      </c>
      <c r="L11340" s="4" t="s">
        <v>47</v>
      </c>
    </row>
    <row r="11341" customFormat="false" ht="15" hidden="false" customHeight="false" outlineLevel="0" collapsed="false">
      <c r="A11341" s="0" t="s">
        <v>877</v>
      </c>
      <c r="B11341" s="0" t="s">
        <v>98</v>
      </c>
      <c r="D11341" s="6" t="n">
        <f aca="false">Sens!D11317</f>
        <v>72.61</v>
      </c>
      <c r="E11341" s="6" t="n">
        <f aca="false">Sens!E11317</f>
        <v>101.938</v>
      </c>
      <c r="F11341" s="6" t="n">
        <f aca="false">Sens!F11317</f>
        <v>145.143956312325</v>
      </c>
      <c r="G11341" s="6" t="n">
        <f aca="false">Sens!G11317</f>
        <v>196.478966522364</v>
      </c>
      <c r="H11341" s="6" t="n">
        <f aca="false">Sens!H11317</f>
        <v>249.10761332251</v>
      </c>
      <c r="I11341" s="6" t="n">
        <f aca="false">Sens!I11317</f>
        <v>297.09216264734</v>
      </c>
      <c r="J11341" s="6" t="n">
        <f aca="false">Sens!J11317</f>
        <v>334.278152607443</v>
      </c>
      <c r="K11341" s="6" t="n">
        <f aca="false">Sens!K11317</f>
        <v>361.233666909276</v>
      </c>
    </row>
    <row r="11342" customFormat="false" ht="17.15" hidden="false" customHeight="false" outlineLevel="0" collapsed="false">
      <c r="A11342" s="0" t="s">
        <v>874</v>
      </c>
      <c r="B11342" s="0" t="s">
        <v>98</v>
      </c>
      <c r="D11342" s="6" t="n">
        <f aca="false">Sens!D11314</f>
        <v>12.9359794422418</v>
      </c>
      <c r="E11342" s="6" t="n">
        <f aca="false">Sens!E11314</f>
        <v>27.8095064661409</v>
      </c>
      <c r="F11342" s="6" t="n">
        <f aca="false">Sens!F11314</f>
        <v>55.0640065749585</v>
      </c>
      <c r="G11342" s="6" t="n">
        <f aca="false">Sens!G11314</f>
        <v>89.4505413190538</v>
      </c>
      <c r="H11342" s="6" t="n">
        <f aca="false">Sens!H11314</f>
        <v>124.835630736874</v>
      </c>
      <c r="I11342" s="6" t="n">
        <f aca="false">Sens!I11314</f>
        <v>156.158460265485</v>
      </c>
      <c r="J11342" s="6" t="n">
        <f aca="false">Sens!J11314</f>
        <v>178.259285293112</v>
      </c>
      <c r="K11342" s="6" t="n">
        <f aca="false">Sens!K11314</f>
        <v>192.733290209798</v>
      </c>
    </row>
    <row r="11343" customFormat="false" ht="17.15" hidden="false" customHeight="false" outlineLevel="0" collapsed="false">
      <c r="A11343" s="0" t="s">
        <v>902</v>
      </c>
      <c r="B11343" s="0" t="s">
        <v>98</v>
      </c>
      <c r="D11343" s="6" t="n">
        <f aca="false">Sens!D11315</f>
        <v>59.6740205577583</v>
      </c>
      <c r="E11343" s="6" t="n">
        <f aca="false">Sens!E11315</f>
        <v>74.1284935338591</v>
      </c>
      <c r="F11343" s="6" t="n">
        <f aca="false">Sens!F11315</f>
        <v>90.0799497373663</v>
      </c>
      <c r="G11343" s="6" t="n">
        <f aca="false">Sens!G11315</f>
        <v>107.02842520331</v>
      </c>
      <c r="H11343" s="6" t="n">
        <f aca="false">Sens!H11315</f>
        <v>124.271982585636</v>
      </c>
      <c r="I11343" s="6" t="n">
        <f aca="false">Sens!I11315</f>
        <v>140.933702381855</v>
      </c>
      <c r="J11343" s="6" t="n">
        <f aca="false">Sens!J11315</f>
        <v>156.018867314332</v>
      </c>
      <c r="K11343" s="6" t="n">
        <f aca="false">Sens!K11315</f>
        <v>168.500376699478</v>
      </c>
    </row>
    <row r="11344" customFormat="false" ht="15" hidden="false" customHeight="false" outlineLevel="0" collapsed="false">
      <c r="A11344" s="0" t="s">
        <v>883</v>
      </c>
      <c r="B11344" s="0" t="s">
        <v>98</v>
      </c>
      <c r="D11344" s="6" t="n">
        <f aca="false">Sens!D11322</f>
        <v>84.605</v>
      </c>
      <c r="E11344" s="6" t="n">
        <f aca="false">Sens!E11322</f>
        <v>100.299</v>
      </c>
      <c r="F11344" s="6" t="n">
        <f aca="false">Sens!F11322</f>
        <v>118.89238776686</v>
      </c>
      <c r="G11344" s="6" t="n">
        <f aca="false">Sens!G11322</f>
        <v>137.044168448684</v>
      </c>
      <c r="H11344" s="6" t="n">
        <f aca="false">Sens!H11322</f>
        <v>155.277359388781</v>
      </c>
      <c r="I11344" s="6" t="n">
        <f aca="false">Sens!I11322</f>
        <v>171.834028071957</v>
      </c>
      <c r="J11344" s="6" t="n">
        <f aca="false">Sens!J11322</f>
        <v>186.432702785465</v>
      </c>
      <c r="K11344" s="6" t="n">
        <f aca="false">Sens!K11322</f>
        <v>200.277991980448</v>
      </c>
    </row>
    <row r="11345" customFormat="false" ht="17.15" hidden="false" customHeight="false" outlineLevel="0" collapsed="false">
      <c r="A11345" s="0" t="s">
        <v>903</v>
      </c>
      <c r="B11345" s="0" t="s">
        <v>98</v>
      </c>
      <c r="D11345" s="6" t="n">
        <f aca="false">Sens!D11320</f>
        <v>83.705</v>
      </c>
      <c r="E11345" s="6" t="n">
        <f aca="false">Sens!E11320</f>
        <v>95.049</v>
      </c>
      <c r="F11345" s="6" t="n">
        <f aca="false">Sens!F11320</f>
        <v>106.89238776686</v>
      </c>
      <c r="G11345" s="6" t="n">
        <f aca="false">Sens!G11320</f>
        <v>119.044168448684</v>
      </c>
      <c r="H11345" s="6" t="n">
        <f aca="false">Sens!H11320</f>
        <v>131.277359388781</v>
      </c>
      <c r="I11345" s="6" t="n">
        <f aca="false">Sens!I11320</f>
        <v>143.334028071957</v>
      </c>
      <c r="J11345" s="6" t="n">
        <f aca="false">Sens!J11320</f>
        <v>154.932702785465</v>
      </c>
      <c r="K11345" s="6" t="n">
        <f aca="false">Sens!K11320</f>
        <v>165.777991980448</v>
      </c>
    </row>
    <row r="11346" customFormat="false" ht="17.15" hidden="false" customHeight="false" outlineLevel="0" collapsed="false">
      <c r="A11346" s="0" t="s">
        <v>904</v>
      </c>
      <c r="B11346" s="0" t="s">
        <v>98</v>
      </c>
      <c r="D11346" s="6" t="n">
        <f aca="false">Sens!D11319</f>
        <v>0.9</v>
      </c>
      <c r="E11346" s="6" t="n">
        <f aca="false">Sens!E11319</f>
        <v>5.25</v>
      </c>
      <c r="F11346" s="6" t="n">
        <f aca="false">Sens!F11319</f>
        <v>12</v>
      </c>
      <c r="G11346" s="6" t="n">
        <f aca="false">Sens!G11319</f>
        <v>18</v>
      </c>
      <c r="H11346" s="6" t="n">
        <f aca="false">Sens!H11319</f>
        <v>24</v>
      </c>
      <c r="I11346" s="6" t="n">
        <f aca="false">Sens!I11319</f>
        <v>28.5</v>
      </c>
      <c r="J11346" s="6" t="n">
        <f aca="false">Sens!J11319</f>
        <v>31.5</v>
      </c>
      <c r="K11346" s="6" t="n">
        <f aca="false">Sens!K11319</f>
        <v>34.5</v>
      </c>
    </row>
    <row r="11347" customFormat="false" ht="15" hidden="false" customHeight="false" outlineLevel="0" collapsed="false">
      <c r="A11347" s="0" t="s">
        <v>884</v>
      </c>
      <c r="B11347" s="0" t="s">
        <v>98</v>
      </c>
      <c r="D11347" s="6" t="n">
        <f aca="false">Sens!D11323</f>
        <v>35.391</v>
      </c>
      <c r="E11347" s="6" t="n">
        <f aca="false">Sens!E11323</f>
        <v>37.285</v>
      </c>
      <c r="F11347" s="6" t="n">
        <f aca="false">Sens!F11323</f>
        <v>39.0720834331704</v>
      </c>
      <c r="G11347" s="6" t="n">
        <f aca="false">Sens!G11323</f>
        <v>40.726562953769</v>
      </c>
      <c r="H11347" s="6" t="n">
        <f aca="false">Sens!H11323</f>
        <v>42.2235987259198</v>
      </c>
      <c r="I11347" s="6" t="n">
        <f aca="false">Sens!I11323</f>
        <v>43.5397988077414</v>
      </c>
      <c r="J11347" s="6" t="n">
        <f aca="false">Sens!J11323</f>
        <v>44.653811225693</v>
      </c>
      <c r="K11347" s="6" t="n">
        <f aca="false">Sens!K11323</f>
        <v>45.5468874502068</v>
      </c>
    </row>
    <row r="11348" customFormat="false" ht="15" hidden="false" customHeight="false" outlineLevel="0" collapsed="false">
      <c r="A11348" s="0" t="s">
        <v>885</v>
      </c>
      <c r="B11348" s="0" t="s">
        <v>98</v>
      </c>
      <c r="D11348" s="6" t="n">
        <f aca="false">Sens!D11325</f>
        <v>18.417</v>
      </c>
      <c r="E11348" s="6" t="n">
        <f aca="false">Sens!E11325</f>
        <v>20.345</v>
      </c>
      <c r="F11348" s="6" t="n">
        <f aca="false">Sens!F11325</f>
        <v>22.3572203267814</v>
      </c>
      <c r="G11348" s="6" t="n">
        <f aca="false">Sens!G11325</f>
        <v>24.4392124437232</v>
      </c>
      <c r="H11348" s="6" t="n">
        <f aca="false">Sens!H11325</f>
        <v>26.5738052080665</v>
      </c>
      <c r="I11348" s="6" t="n">
        <f aca="false">Sens!I11325</f>
        <v>28.7412169166967</v>
      </c>
      <c r="J11348" s="6" t="n">
        <f aca="false">Sens!J11325</f>
        <v>30.9192545395413</v>
      </c>
      <c r="K11348" s="6" t="n">
        <f aca="false">Sens!K11325</f>
        <v>33.0836023573092</v>
      </c>
    </row>
    <row r="11349" customFormat="false" ht="15" hidden="false" customHeight="false" outlineLevel="0" collapsed="false">
      <c r="A11349" s="0" t="s">
        <v>886</v>
      </c>
      <c r="B11349" s="0" t="s">
        <v>98</v>
      </c>
      <c r="D11349" s="6" t="n">
        <f aca="false">Sens!D11327</f>
        <v>7.76</v>
      </c>
      <c r="E11349" s="6" t="n">
        <f aca="false">Sens!E11327</f>
        <v>8.26</v>
      </c>
      <c r="F11349" s="6" t="n">
        <f aca="false">Sens!F11327</f>
        <v>8.79988041237113</v>
      </c>
      <c r="G11349" s="6" t="n">
        <f aca="false">Sens!G11327</f>
        <v>9.38321269125306</v>
      </c>
      <c r="H11349" s="6" t="n">
        <f aca="false">Sens!H11327</f>
        <v>10.0139193587476</v>
      </c>
      <c r="I11349" s="6" t="n">
        <f aca="false">Sens!I11327</f>
        <v>10.6963111830911</v>
      </c>
      <c r="J11349" s="6" t="n">
        <f aca="false">Sens!J11327</f>
        <v>11.4351285534696</v>
      </c>
      <c r="K11349" s="6" t="n">
        <f aca="false">Sens!K11327</f>
        <v>12.2355875522124</v>
      </c>
    </row>
    <row r="11350" customFormat="false" ht="15" hidden="false" customHeight="false" outlineLevel="0" collapsed="false">
      <c r="A11350" s="0" t="s">
        <v>715</v>
      </c>
      <c r="B11350" s="0" t="s">
        <v>98</v>
      </c>
      <c r="D11350" s="6" t="n">
        <f aca="false">Sens!D11329</f>
        <v>218.783</v>
      </c>
      <c r="E11350" s="6" t="n">
        <f aca="false">Sens!E11329</f>
        <v>268.127</v>
      </c>
      <c r="F11350" s="6" t="n">
        <f aca="false">Sens!F11329</f>
        <v>334.265528251508</v>
      </c>
      <c r="G11350" s="6" t="n">
        <f aca="false">Sens!G11329</f>
        <v>408.072123059793</v>
      </c>
      <c r="H11350" s="6" t="n">
        <f aca="false">Sens!H11329</f>
        <v>483.196296004025</v>
      </c>
      <c r="I11350" s="6" t="n">
        <f aca="false">Sens!I11329</f>
        <v>551.903517626826</v>
      </c>
      <c r="J11350" s="6" t="n">
        <f aca="false">Sens!J11329</f>
        <v>607.719049711612</v>
      </c>
      <c r="K11350" s="6" t="n">
        <f aca="false">Sens!K11329</f>
        <v>652.377736249452</v>
      </c>
    </row>
    <row r="11351" customFormat="false" ht="15" hidden="false" customHeight="false" outlineLevel="0" collapsed="false">
      <c r="A11351" s="0" t="s">
        <v>887</v>
      </c>
      <c r="B11351" s="0" t="s">
        <v>98</v>
      </c>
      <c r="D11351" s="6" t="n">
        <f aca="false">Sens!D11330</f>
        <v>22.171</v>
      </c>
      <c r="E11351" s="6" t="n">
        <f aca="false">Sens!E11330</f>
        <v>24.835</v>
      </c>
      <c r="F11351" s="6" t="n">
        <f aca="false">Sens!F11330</f>
        <v>27.6114901218559</v>
      </c>
      <c r="G11351" s="6" t="n">
        <f aca="false">Sens!G11330</f>
        <v>30.4675667338515</v>
      </c>
      <c r="H11351" s="6" t="n">
        <f aca="false">Sens!H11330</f>
        <v>33.3643766955789</v>
      </c>
      <c r="I11351" s="6" t="n">
        <f aca="false">Sens!I11330</f>
        <v>36.2577016533691</v>
      </c>
      <c r="J11351" s="6" t="n">
        <f aca="false">Sens!J11330</f>
        <v>39.0988367952171</v>
      </c>
      <c r="K11351" s="6" t="n">
        <f aca="false">Sens!K11330</f>
        <v>41.8357553708823</v>
      </c>
    </row>
    <row r="11352" customFormat="false" ht="15" hidden="false" customHeight="false" outlineLevel="0" collapsed="false">
      <c r="A11352" s="0" t="s">
        <v>888</v>
      </c>
      <c r="B11352" s="0" t="s">
        <v>98</v>
      </c>
      <c r="D11352" s="6" t="n">
        <f aca="false">Sens!D11332</f>
        <v>23.455</v>
      </c>
      <c r="E11352" s="6" t="n">
        <f aca="false">Sens!E11332</f>
        <v>21.79</v>
      </c>
      <c r="F11352" s="6" t="n">
        <f aca="false">Sens!F11332</f>
        <v>20.5736277908051</v>
      </c>
      <c r="G11352" s="6" t="n">
        <f aca="false">Sens!G11332</f>
        <v>19.7371452817919</v>
      </c>
      <c r="H11352" s="6" t="n">
        <f aca="false">Sens!H11332</f>
        <v>19.2339764043138</v>
      </c>
      <c r="I11352" s="6" t="n">
        <f aca="false">Sens!I11332</f>
        <v>19.0353086852681</v>
      </c>
      <c r="J11352" s="6" t="n">
        <f aca="false">Sens!J11332</f>
        <v>19.1273539319129</v>
      </c>
      <c r="K11352" s="6" t="n">
        <f aca="false">Sens!K11332</f>
        <v>19.5099010105511</v>
      </c>
    </row>
    <row r="11353" customFormat="false" ht="15" hidden="false" customHeight="false" outlineLevel="0" collapsed="false">
      <c r="A11353" s="0" t="s">
        <v>889</v>
      </c>
      <c r="B11353" s="0" t="s">
        <v>98</v>
      </c>
      <c r="D11353" s="6" t="n">
        <f aca="false">Sens!D11334</f>
        <v>17.315</v>
      </c>
      <c r="E11353" s="6" t="n">
        <f aca="false">Sens!E11334</f>
        <v>17.087</v>
      </c>
      <c r="F11353" s="6" t="n">
        <f aca="false">Sens!F11334</f>
        <v>16.9564585436519</v>
      </c>
      <c r="G11353" s="6" t="n">
        <f aca="false">Sens!G11334</f>
        <v>16.9206490624268</v>
      </c>
      <c r="H11353" s="6" t="n">
        <f aca="false">Sens!H11334</f>
        <v>16.9784519149849</v>
      </c>
      <c r="I11353" s="6" t="n">
        <f aca="false">Sens!I11334</f>
        <v>17.1303084701817</v>
      </c>
      <c r="J11353" s="6" t="n">
        <f aca="false">Sens!J11334</f>
        <v>17.3782189407267</v>
      </c>
      <c r="K11353" s="6" t="n">
        <f aca="false">Sens!K11334</f>
        <v>17.7257833195413</v>
      </c>
    </row>
    <row r="11354" customFormat="false" ht="15" hidden="false" customHeight="false" outlineLevel="0" collapsed="false">
      <c r="A11354" s="0" t="s">
        <v>729</v>
      </c>
      <c r="B11354" s="0" t="s">
        <v>98</v>
      </c>
      <c r="D11354" s="6" t="n">
        <f aca="false">Sens!D11336</f>
        <v>62.941</v>
      </c>
      <c r="E11354" s="6" t="n">
        <f aca="false">Sens!E11336</f>
        <v>63.712</v>
      </c>
      <c r="F11354" s="6" t="n">
        <f aca="false">Sens!F11336</f>
        <v>65.1415764563129</v>
      </c>
      <c r="G11354" s="6" t="n">
        <f aca="false">Sens!G11336</f>
        <v>67.1253610780702</v>
      </c>
      <c r="H11354" s="6" t="n">
        <f aca="false">Sens!H11336</f>
        <v>69.5768050148776</v>
      </c>
      <c r="I11354" s="6" t="n">
        <f aca="false">Sens!I11336</f>
        <v>72.4233188088189</v>
      </c>
      <c r="J11354" s="6" t="n">
        <f aca="false">Sens!J11336</f>
        <v>75.6044096678567</v>
      </c>
      <c r="K11354" s="6" t="n">
        <f aca="false">Sens!K11336</f>
        <v>79.0714397009747</v>
      </c>
    </row>
    <row r="11355" customFormat="false" ht="15" hidden="false" customHeight="false" outlineLevel="0" collapsed="false">
      <c r="A11355" s="1" t="s">
        <v>905</v>
      </c>
      <c r="B11355" s="0" t="s">
        <v>98</v>
      </c>
      <c r="D11355" s="6" t="n">
        <f aca="false">Sens!D11337</f>
        <v>281.724</v>
      </c>
      <c r="E11355" s="6" t="n">
        <f aca="false">Sens!E11337</f>
        <v>331.839</v>
      </c>
      <c r="F11355" s="6" t="n">
        <f aca="false">Sens!F11337</f>
        <v>399.407104707821</v>
      </c>
      <c r="G11355" s="6" t="n">
        <f aca="false">Sens!G11337</f>
        <v>475.197484137863</v>
      </c>
      <c r="H11355" s="6" t="n">
        <f aca="false">Sens!H11337</f>
        <v>552.773101018903</v>
      </c>
      <c r="I11355" s="6" t="n">
        <f aca="false">Sens!I11337</f>
        <v>624.326836435645</v>
      </c>
      <c r="J11355" s="6" t="n">
        <f aca="false">Sens!J11337</f>
        <v>683.323459379469</v>
      </c>
      <c r="K11355" s="6" t="n">
        <f aca="false">Sens!K11337</f>
        <v>731.449175950427</v>
      </c>
    </row>
    <row r="11356" customFormat="false" ht="15" hidden="false" customHeight="false" outlineLevel="0" collapsed="false">
      <c r="A11356" s="1" t="s">
        <v>906</v>
      </c>
      <c r="B11356" s="0" t="s">
        <v>129</v>
      </c>
      <c r="E11356" s="7" t="n">
        <f aca="false">Sens!E11355/Sens!D11355-1</f>
        <v>0.177886867998467</v>
      </c>
      <c r="F11356" s="7" t="n">
        <f aca="false">Sens!F11355/Sens!E11355-1</f>
        <v>0.203617129715978</v>
      </c>
      <c r="G11356" s="7" t="n">
        <f aca="false">Sens!G11355/Sens!F11355-1</f>
        <v>0.189757213972159</v>
      </c>
      <c r="H11356" s="7" t="n">
        <f aca="false">Sens!H11355/Sens!G11355-1</f>
        <v>0.163249216316418</v>
      </c>
      <c r="I11356" s="7" t="n">
        <f aca="false">Sens!I11355/Sens!H11355-1</f>
        <v>0.129445038633121</v>
      </c>
      <c r="J11356" s="7" t="n">
        <f aca="false">Sens!J11355/Sens!I11355-1</f>
        <v>0.0944963751368479</v>
      </c>
      <c r="K11356" s="7" t="n">
        <f aca="false">Sens!K11355/Sens!J11355-1</f>
        <v>0.0704288955843271</v>
      </c>
    </row>
    <row r="11357" customFormat="false" ht="17.15" hidden="false" customHeight="false" outlineLevel="0" collapsed="false">
      <c r="A11357" s="23" t="s">
        <v>907</v>
      </c>
      <c r="B11357" s="30" t="s">
        <v>98</v>
      </c>
      <c r="C11357" s="30"/>
      <c r="D11357" s="24" t="n">
        <f aca="false">(Sens!D11350+Sens!D11354-Sens!D11355)+(Sens!D11342+Sens!D11343-Sens!D11341)+(Sens!D11345+Sens!D11346-Sens!D11344)+(Sens!D11355-Q!L18)</f>
        <v>0</v>
      </c>
      <c r="E11357" s="24" t="n">
        <f aca="false">(Sens!E11350+Sens!E11354-Sens!E11355)+(Sens!E11342+Sens!E11343-Sens!E11341)+(Sens!E11345+Sens!E11346-Sens!E11344)+(Sens!E11355-Q!M18)</f>
        <v>0</v>
      </c>
      <c r="F11357" s="24" t="n">
        <f aca="false">(Sens!F11350+Sens!F11354-Sens!F11355)+(Sens!F11342+Sens!F11343-Sens!F11341)+(Sens!F11345+Sens!F11346-Sens!F11344)</f>
        <v>0</v>
      </c>
      <c r="G11357" s="24" t="n">
        <f aca="false">(Sens!G11350+Sens!G11354-Sens!G11355)+(Sens!G11342+Sens!G11343-Sens!G11341)+(Sens!G11345+Sens!G11346-Sens!G11344)</f>
        <v>0</v>
      </c>
      <c r="H11357" s="24" t="n">
        <f aca="false">(Sens!H11350+Sens!H11354-Sens!H11355)+(Sens!H11342+Sens!H11343-Sens!H11341)+(Sens!H11345+Sens!H11346-Sens!H11344)</f>
        <v>0</v>
      </c>
      <c r="I11357" s="24" t="n">
        <f aca="false">(Sens!I11350+Sens!I11354-Sens!I11355)+(Sens!I11342+Sens!I11343-Sens!I11341)+(Sens!I11345+Sens!I11346-Sens!I11344)</f>
        <v>0</v>
      </c>
      <c r="J11357" s="24" t="n">
        <f aca="false">(Sens!J11350+Sens!J11354-Sens!J11355)+(Sens!J11342+Sens!J11343-Sens!J11341)+(Sens!J11345+Sens!J11346-Sens!J11344)</f>
        <v>0</v>
      </c>
      <c r="K11357" s="24" t="n">
        <f aca="false">(Sens!K11350+Sens!K11354-Sens!K11355)+(Sens!K11342+Sens!K11343-Sens!K11341)+(Sens!K11345+Sens!K11346-Sens!K11344)</f>
        <v>0</v>
      </c>
    </row>
    <row r="11358" customFormat="false" ht="17.15" hidden="false" customHeight="false" outlineLevel="0" collapsed="false">
      <c r="A11358" s="0" t="s">
        <v>908</v>
      </c>
      <c r="B11358" s="0" t="s">
        <v>129</v>
      </c>
      <c r="E11358" s="7" t="n">
        <f aca="false">(Q!M21+Sens!E11295+Sens!E11296+Sens!E11297+Sens!E11310-Sens!E11293)/(Q!M5-Sens!E11293)</f>
        <v>0.570957350878296</v>
      </c>
      <c r="F11358" s="7" t="n">
        <f aca="false">Sens!$E$11358+dm_seg_lo</f>
        <v>0.550957350878296</v>
      </c>
      <c r="G11358" s="7" t="n">
        <f aca="false">Sens!$E$11358+dm_seg_lo</f>
        <v>0.550957350878296</v>
      </c>
      <c r="H11358" s="7" t="n">
        <f aca="false">Sens!$E$11358+dm_seg_lo</f>
        <v>0.550957350878296</v>
      </c>
      <c r="I11358" s="7" t="n">
        <f aca="false">Sens!$E$11358+dm_seg_lo</f>
        <v>0.550957350878296</v>
      </c>
      <c r="J11358" s="7" t="n">
        <f aca="false">Sens!$E$11358+dm_seg_lo</f>
        <v>0.550957350878296</v>
      </c>
      <c r="K11358" s="7" t="n">
        <f aca="false">Sens!$E$11358+dm_seg_lo</f>
        <v>0.550957350878296</v>
      </c>
      <c r="L11358" s="11" t="s">
        <v>909</v>
      </c>
    </row>
    <row r="11359" customFormat="false" ht="17.15" hidden="false" customHeight="false" outlineLevel="0" collapsed="false">
      <c r="A11359" s="0" t="s">
        <v>743</v>
      </c>
      <c r="B11359" s="0" t="s">
        <v>98</v>
      </c>
      <c r="D11359" s="6" t="n">
        <f aca="false">Q!L21</f>
        <v>110.814</v>
      </c>
      <c r="E11359" s="6" t="n">
        <f aca="false">Q!M21</f>
        <v>136.365</v>
      </c>
      <c r="F11359" s="6" t="n">
        <f aca="false">Sens!F11358*(Sens!F11329-Sens!F11293)+Sens!F11293-(Sens!F11295+Sens!F11296+Sens!F11297)-Sens!F11310-Sens!F11393</f>
        <v>151.875975871932</v>
      </c>
      <c r="G11359" s="6" t="n">
        <f aca="false">Sens!G11358*(Sens!G11329-Sens!G11293)+Sens!G11293-(Sens!G11295+Sens!G11296+Sens!G11297)-Sens!G11310-Sens!G11393</f>
        <v>171.443688960753</v>
      </c>
      <c r="H11359" s="6" t="n">
        <f aca="false">Sens!H11358*(Sens!H11329-Sens!H11293)+Sens!H11293-(Sens!H11295+Sens!H11296+Sens!H11297)-Sens!H11310-Sens!H11393</f>
        <v>190.365327504295</v>
      </c>
      <c r="I11359" s="6" t="n">
        <f aca="false">Sens!I11358*(Sens!I11329-Sens!I11293)+Sens!I11293-(Sens!I11295+Sens!I11296+Sens!I11297)-Sens!I11310-Sens!I11393</f>
        <v>208.407963844647</v>
      </c>
      <c r="J11359" s="6" t="n">
        <f aca="false">Sens!J11358*(Sens!J11329-Sens!J11293)+Sens!J11293-(Sens!J11295+Sens!J11296+Sens!J11297)-Sens!J11310-Sens!J11393</f>
        <v>225.134606151243</v>
      </c>
      <c r="K11359" s="6" t="n">
        <f aca="false">Sens!K11358*(Sens!K11329-Sens!K11293)+Sens!K11293-(Sens!K11295+Sens!K11296+Sens!K11297)-Sens!K11310-Sens!K11393</f>
        <v>241.378954846259</v>
      </c>
      <c r="L11359" s="1" t="s">
        <v>910</v>
      </c>
    </row>
    <row r="11360" customFormat="false" ht="17.15" hidden="false" customHeight="false" outlineLevel="0" collapsed="false">
      <c r="A11360" s="0" t="s">
        <v>911</v>
      </c>
      <c r="B11360" s="0" t="s">
        <v>129</v>
      </c>
      <c r="E11360" s="7" t="n">
        <f aca="false">Q!M22/Q!M12</f>
        <v>0.296207935710698</v>
      </c>
      <c r="F11360" s="7" t="n">
        <f aca="false">Sens!$E$11360+dm_seg_lo</f>
        <v>0.276207935710698</v>
      </c>
      <c r="G11360" s="7" t="n">
        <f aca="false">Sens!$E$11360+dm_seg_lo</f>
        <v>0.276207935710698</v>
      </c>
      <c r="H11360" s="7" t="n">
        <f aca="false">Sens!$E$11360+dm_seg_lo</f>
        <v>0.276207935710698</v>
      </c>
      <c r="I11360" s="7" t="n">
        <f aca="false">Sens!$E$11360+dm_seg_lo</f>
        <v>0.276207935710698</v>
      </c>
      <c r="J11360" s="7" t="n">
        <f aca="false">Sens!$E$11360+dm_seg_lo</f>
        <v>0.276207935710698</v>
      </c>
      <c r="K11360" s="7" t="n">
        <f aca="false">Sens!$E$11360+dm_seg_lo</f>
        <v>0.276207935710698</v>
      </c>
      <c r="L11360" s="11" t="s">
        <v>912</v>
      </c>
    </row>
    <row r="11361" customFormat="false" ht="17.15" hidden="false" customHeight="false" outlineLevel="0" collapsed="false">
      <c r="A11361" s="0" t="s">
        <v>745</v>
      </c>
      <c r="B11361" s="0" t="s">
        <v>98</v>
      </c>
      <c r="D11361" s="6" t="n">
        <f aca="false">Q!L22</f>
        <v>17.714</v>
      </c>
      <c r="E11361" s="6" t="n">
        <f aca="false">Q!M22</f>
        <v>18.872</v>
      </c>
      <c r="F11361" s="6" t="n">
        <f aca="false">Sens!F11336*Sens!F11360</f>
        <v>17.9926203619388</v>
      </c>
      <c r="G11361" s="6" t="n">
        <f aca="false">Sens!G11336*Sens!G11360</f>
        <v>18.540557417209</v>
      </c>
      <c r="H11361" s="6" t="n">
        <f aca="false">Sens!H11336*Sens!H11360</f>
        <v>19.2176656865051</v>
      </c>
      <c r="I11361" s="6" t="n">
        <f aca="false">Sens!I11336*Sens!I11360</f>
        <v>20.0038953855016</v>
      </c>
      <c r="J11361" s="6" t="n">
        <f aca="false">Sens!J11336*Sens!J11360</f>
        <v>20.8825379249846</v>
      </c>
      <c r="K11361" s="6" t="n">
        <f aca="false">Sens!K11336*Sens!K11360</f>
        <v>21.8401591334792</v>
      </c>
    </row>
    <row r="11362" customFormat="false" ht="15" hidden="false" customHeight="false" outlineLevel="0" collapsed="false">
      <c r="A11362" s="1" t="s">
        <v>913</v>
      </c>
      <c r="B11362" s="0" t="s">
        <v>98</v>
      </c>
      <c r="D11362" s="6" t="n">
        <f aca="false">Sens!D11359+Sens!D11361</f>
        <v>128.528</v>
      </c>
      <c r="E11362" s="6" t="n">
        <f aca="false">Sens!E11359+Sens!E11361</f>
        <v>155.237</v>
      </c>
      <c r="F11362" s="6" t="n">
        <f aca="false">Sens!F11359+Sens!F11361</f>
        <v>169.868596233871</v>
      </c>
      <c r="G11362" s="6" t="n">
        <f aca="false">Sens!G11359+Sens!G11361</f>
        <v>189.984246377962</v>
      </c>
      <c r="H11362" s="6" t="n">
        <f aca="false">Sens!H11359+Sens!H11361</f>
        <v>209.5829931908</v>
      </c>
      <c r="I11362" s="6" t="n">
        <f aca="false">Sens!I11359+Sens!I11361</f>
        <v>228.411859230148</v>
      </c>
      <c r="J11362" s="6" t="n">
        <f aca="false">Sens!J11359+Sens!J11361</f>
        <v>246.017144076227</v>
      </c>
      <c r="K11362" s="6" t="n">
        <f aca="false">Sens!K11359+Sens!K11361</f>
        <v>263.219113979738</v>
      </c>
    </row>
    <row r="11363" customFormat="false" ht="15" hidden="false" customHeight="false" outlineLevel="0" collapsed="false">
      <c r="A11363" s="23" t="s">
        <v>914</v>
      </c>
      <c r="B11363" s="30" t="s">
        <v>98</v>
      </c>
      <c r="C11363" s="30"/>
      <c r="D11363" s="24" t="n">
        <f aca="false">Sens!D11362-Q!L23</f>
        <v>0</v>
      </c>
      <c r="E11363" s="24" t="n">
        <f aca="false">Sens!E11362-Q!M23</f>
        <v>0</v>
      </c>
      <c r="F11363" s="30"/>
      <c r="G11363" s="30"/>
      <c r="H11363" s="30"/>
      <c r="I11363" s="30"/>
      <c r="J11363" s="30"/>
      <c r="K11363" s="30"/>
    </row>
    <row r="11364" customFormat="false" ht="15" hidden="false" customHeight="false" outlineLevel="0" collapsed="false">
      <c r="A11364" s="1" t="s">
        <v>915</v>
      </c>
      <c r="B11364" s="0" t="s">
        <v>129</v>
      </c>
      <c r="D11364" s="7" t="n">
        <f aca="false">Sens!D11362/Sens!D11355</f>
        <v>0.456219562408598</v>
      </c>
      <c r="E11364" s="7" t="n">
        <f aca="false">Sens!E11362/Sens!E11355</f>
        <v>0.467808184089272</v>
      </c>
      <c r="F11364" s="7" t="n">
        <f aca="false">Sens!F11362/Sens!F11355</f>
        <v>0.425301889304486</v>
      </c>
      <c r="G11364" s="7" t="n">
        <f aca="false">Sens!G11362/Sens!G11355</f>
        <v>0.399800614943584</v>
      </c>
      <c r="H11364" s="7" t="n">
        <f aca="false">Sens!H11362/Sens!H11355</f>
        <v>0.379148321082347</v>
      </c>
      <c r="I11364" s="7" t="n">
        <f aca="false">Sens!I11362/Sens!I11355</f>
        <v>0.365853021046121</v>
      </c>
      <c r="J11364" s="7" t="n">
        <f aca="false">Sens!J11362/Sens!J11355</f>
        <v>0.360030291217628</v>
      </c>
      <c r="K11364" s="7" t="n">
        <f aca="false">Sens!K11362/Sens!K11355</f>
        <v>0.359859745057089</v>
      </c>
    </row>
    <row r="11365" customFormat="false" ht="17.15" hidden="false" customHeight="false" outlineLevel="0" collapsed="false">
      <c r="A11365" s="1" t="s">
        <v>916</v>
      </c>
      <c r="B11365" s="0" t="s">
        <v>98</v>
      </c>
      <c r="F11365" s="6" t="n">
        <f aca="false">Sens!F11380</f>
        <v>9.43392047395526</v>
      </c>
      <c r="G11365" s="6" t="n">
        <f aca="false">Sens!G11380</f>
        <v>24.1896303607031</v>
      </c>
      <c r="H11365" s="6" t="n">
        <f aca="false">Sens!H11380</f>
        <v>40.4793191979728</v>
      </c>
      <c r="I11365" s="6" t="n">
        <f aca="false">Sens!I11380</f>
        <v>55.4010183203111</v>
      </c>
      <c r="J11365" s="6" t="n">
        <f aca="false">Sens!J11380</f>
        <v>65.9805422613167</v>
      </c>
      <c r="K11365" s="6" t="n">
        <f aca="false">Sens!K11380</f>
        <v>72.0842160033785</v>
      </c>
      <c r="L11365" s="1" t="s">
        <v>917</v>
      </c>
    </row>
    <row r="11366" customFormat="false" ht="17.15" hidden="false" customHeight="false" outlineLevel="0" collapsed="false">
      <c r="A11366" s="1" t="s">
        <v>918</v>
      </c>
      <c r="B11366" s="0" t="s">
        <v>98</v>
      </c>
      <c r="D11366" s="6" t="n">
        <f aca="false">Sens!D11362</f>
        <v>128.528</v>
      </c>
      <c r="E11366" s="6" t="n">
        <f aca="false">Sens!E11362</f>
        <v>155.237</v>
      </c>
      <c r="F11366" s="6" t="n">
        <f aca="false">Sens!F11362+Sens!F11365</f>
        <v>179.302516707826</v>
      </c>
      <c r="G11366" s="6" t="n">
        <f aca="false">Sens!G11362+Sens!G11365</f>
        <v>214.173876738665</v>
      </c>
      <c r="H11366" s="6" t="n">
        <f aca="false">Sens!H11362+Sens!H11365</f>
        <v>250.062312388772</v>
      </c>
      <c r="I11366" s="6" t="n">
        <f aca="false">Sens!I11362+Sens!I11365</f>
        <v>283.812877550459</v>
      </c>
      <c r="J11366" s="6" t="n">
        <f aca="false">Sens!J11362+Sens!J11365</f>
        <v>311.997686337544</v>
      </c>
      <c r="K11366" s="6" t="n">
        <f aca="false">Sens!K11362+Sens!K11365</f>
        <v>335.303329983117</v>
      </c>
    </row>
    <row r="11367" customFormat="false" ht="17.15" hidden="false" customHeight="false" outlineLevel="0" collapsed="false">
      <c r="A11367" s="1" t="s">
        <v>919</v>
      </c>
      <c r="B11367" s="0" t="s">
        <v>98</v>
      </c>
      <c r="E11367" s="6" t="n">
        <f aca="false">Sens!E11310</f>
        <v>16.3054059770833</v>
      </c>
      <c r="F11367" s="6" t="n">
        <f aca="false">Sens!F11310</f>
        <v>34.0498873809555</v>
      </c>
      <c r="G11367" s="6" t="n">
        <f aca="false">Sens!G11310</f>
        <v>59.1254371105111</v>
      </c>
      <c r="H11367" s="6" t="n">
        <f aca="false">Sens!H11310</f>
        <v>86.3610198433111</v>
      </c>
      <c r="I11367" s="6" t="n">
        <f aca="false">Sens!I11310</f>
        <v>110.605743832393</v>
      </c>
      <c r="J11367" s="6" t="n">
        <f aca="false">Sens!J11310</f>
        <v>127.998322852843</v>
      </c>
      <c r="K11367" s="6" t="n">
        <f aca="false">Sens!K11310</f>
        <v>139.131464044308</v>
      </c>
    </row>
    <row r="11368" customFormat="false" ht="17.15" hidden="false" customHeight="false" outlineLevel="0" collapsed="false">
      <c r="A11368" s="1" t="s">
        <v>920</v>
      </c>
      <c r="B11368" s="0" t="s">
        <v>98</v>
      </c>
      <c r="E11368" s="6" t="n">
        <f aca="false">Sens!E11392</f>
        <v>22.2285940229167</v>
      </c>
      <c r="F11368" s="6" t="n">
        <f aca="false">Sens!F11392</f>
        <v>24.3924470334783</v>
      </c>
      <c r="G11368" s="6" t="n">
        <f aca="false">Sens!G11392</f>
        <v>26.0684916871694</v>
      </c>
      <c r="H11368" s="6" t="n">
        <f aca="false">Sens!H11392</f>
        <v>28.1427938828615</v>
      </c>
      <c r="I11368" s="6" t="n">
        <f aca="false">Sens!I11392</f>
        <v>30.5483545257397</v>
      </c>
      <c r="J11368" s="6" t="n">
        <f aca="false">Sens!J11392</f>
        <v>33.2016103982031</v>
      </c>
      <c r="K11368" s="6" t="n">
        <f aca="false">Sens!K11392</f>
        <v>36.0183196325822</v>
      </c>
    </row>
    <row r="11369" customFormat="false" ht="17.15" hidden="false" customHeight="false" outlineLevel="0" collapsed="false">
      <c r="A11369" s="1" t="s">
        <v>921</v>
      </c>
      <c r="B11369" s="0" t="s">
        <v>98</v>
      </c>
      <c r="D11369" s="6" t="n">
        <f aca="false">Q!L27</f>
        <v>-4.901</v>
      </c>
      <c r="E11369" s="6" t="n">
        <f aca="false">Q!M27</f>
        <v>10.697</v>
      </c>
      <c r="F11369" s="6" t="n">
        <f aca="false">oie_f</f>
        <v>-0.4</v>
      </c>
      <c r="G11369" s="6" t="n">
        <f aca="false">oie_f</f>
        <v>-0.4</v>
      </c>
      <c r="H11369" s="6" t="n">
        <f aca="false">oie_f</f>
        <v>-0.4</v>
      </c>
      <c r="I11369" s="6" t="n">
        <f aca="false">oie_f</f>
        <v>-0.4</v>
      </c>
      <c r="J11369" s="6" t="n">
        <f aca="false">oie_f</f>
        <v>-0.4</v>
      </c>
      <c r="K11369" s="6" t="n">
        <f aca="false">oie_f</f>
        <v>-0.4</v>
      </c>
      <c r="L11369" s="11" t="s">
        <v>922</v>
      </c>
    </row>
    <row r="11370" customFormat="false" ht="15" hidden="false" customHeight="false" outlineLevel="0" collapsed="false">
      <c r="A11370" s="1" t="s">
        <v>923</v>
      </c>
      <c r="B11370" s="0" t="s">
        <v>98</v>
      </c>
      <c r="D11370" s="6" t="n">
        <f aca="false">Sens!D11362+Sens!D11369</f>
        <v>123.627</v>
      </c>
      <c r="E11370" s="6" t="n">
        <f aca="false">Sens!E11362+Sens!E11369</f>
        <v>165.934</v>
      </c>
      <c r="F11370" s="6" t="n">
        <f aca="false">Sens!F11362+Sens!F11369</f>
        <v>169.468596233871</v>
      </c>
      <c r="G11370" s="6" t="n">
        <f aca="false">Sens!G11362+Sens!G11369</f>
        <v>189.584246377962</v>
      </c>
      <c r="H11370" s="6" t="n">
        <f aca="false">Sens!H11362+Sens!H11369</f>
        <v>209.1829931908</v>
      </c>
      <c r="I11370" s="6" t="n">
        <f aca="false">Sens!I11362+Sens!I11369</f>
        <v>228.011859230148</v>
      </c>
      <c r="J11370" s="6" t="n">
        <f aca="false">Sens!J11362+Sens!J11369</f>
        <v>245.617144076227</v>
      </c>
      <c r="K11370" s="6" t="n">
        <f aca="false">Sens!K11362+Sens!K11369</f>
        <v>262.819113979738</v>
      </c>
    </row>
    <row r="11371" customFormat="false" ht="15" hidden="false" customHeight="false" outlineLevel="0" collapsed="false">
      <c r="A11371" s="1" t="s">
        <v>924</v>
      </c>
      <c r="B11371" s="0" t="s">
        <v>98</v>
      </c>
      <c r="D11371" s="6" t="n">
        <f aca="false">Q!L29</f>
        <v>21.795</v>
      </c>
      <c r="E11371" s="6" t="n">
        <f aca="false">Q!M29</f>
        <v>32.185</v>
      </c>
      <c r="F11371" s="6" t="n">
        <f aca="false">Sens!F11370*tax_f</f>
        <v>33.8937192467742</v>
      </c>
      <c r="G11371" s="6" t="n">
        <f aca="false">Sens!G11370*tax_f</f>
        <v>37.9168492755923</v>
      </c>
      <c r="H11371" s="6" t="n">
        <f aca="false">Sens!H11370*tax_f</f>
        <v>41.8365986381599</v>
      </c>
      <c r="I11371" s="6" t="n">
        <f aca="false">Sens!I11370*tax_f</f>
        <v>45.6023718460296</v>
      </c>
      <c r="J11371" s="6" t="n">
        <f aca="false">Sens!J11370*tax_f</f>
        <v>49.1234288152455</v>
      </c>
      <c r="K11371" s="6" t="n">
        <f aca="false">Sens!K11370*tax_f</f>
        <v>52.5638227959477</v>
      </c>
    </row>
    <row r="11372" customFormat="false" ht="15" hidden="false" customHeight="false" outlineLevel="0" collapsed="false">
      <c r="A11372" s="1" t="s">
        <v>925</v>
      </c>
      <c r="B11372" s="0" t="s">
        <v>98</v>
      </c>
      <c r="D11372" s="6" t="n">
        <f aca="false">Sens!D11370-Sens!D11371</f>
        <v>101.832</v>
      </c>
      <c r="E11372" s="6" t="n">
        <f aca="false">Sens!E11370-Sens!E11371</f>
        <v>133.749</v>
      </c>
      <c r="F11372" s="6" t="n">
        <f aca="false">Sens!F11370-Sens!F11371</f>
        <v>135.574876987097</v>
      </c>
      <c r="G11372" s="6" t="n">
        <f aca="false">Sens!G11370-Sens!G11371</f>
        <v>151.667397102369</v>
      </c>
      <c r="H11372" s="6" t="n">
        <f aca="false">Sens!H11370-Sens!H11371</f>
        <v>167.34639455264</v>
      </c>
      <c r="I11372" s="6" t="n">
        <f aca="false">Sens!I11370-Sens!I11371</f>
        <v>182.409487384119</v>
      </c>
      <c r="J11372" s="6" t="n">
        <f aca="false">Sens!J11370-Sens!J11371</f>
        <v>196.493715260982</v>
      </c>
      <c r="K11372" s="6" t="n">
        <f aca="false">Sens!K11370-Sens!K11371</f>
        <v>210.255291183791</v>
      </c>
    </row>
    <row r="11373" customFormat="false" ht="17.15" hidden="false" customHeight="false" outlineLevel="0" collapsed="false">
      <c r="A11373" s="1" t="s">
        <v>926</v>
      </c>
      <c r="B11373" s="1" t="s">
        <v>81</v>
      </c>
      <c r="D11373" s="14" t="n">
        <f aca="false">Q!L31</f>
        <v>7.465</v>
      </c>
      <c r="E11373" s="14" t="n">
        <f aca="false">Q!M31</f>
        <v>7.453</v>
      </c>
      <c r="F11373" s="14" t="n">
        <f aca="false">Sens!F11416</f>
        <v>7.4735</v>
      </c>
      <c r="G11373" s="14" t="n">
        <f aca="false">Sens!G11416</f>
        <v>7.5185</v>
      </c>
      <c r="H11373" s="14" t="n">
        <f aca="false">Sens!H11416</f>
        <v>7.54625158584995</v>
      </c>
      <c r="I11373" s="14" t="n">
        <f aca="false">Sens!I11416</f>
        <v>7.55803241785726</v>
      </c>
      <c r="J11373" s="14" t="n">
        <f aca="false">Sens!J11416</f>
        <v>7.57227392897515</v>
      </c>
      <c r="K11373" s="14" t="n">
        <f aca="false">Sens!K11416</f>
        <v>7.58879384667689</v>
      </c>
    </row>
    <row r="11374" customFormat="false" ht="17.15" hidden="false" customHeight="false" outlineLevel="0" collapsed="false">
      <c r="A11374" s="0" t="s">
        <v>927</v>
      </c>
      <c r="B11374" s="0" t="s">
        <v>75</v>
      </c>
      <c r="D11374" s="8" t="n">
        <f aca="false">Sens!D11372/Sens!D11373</f>
        <v>13.641259209645</v>
      </c>
      <c r="E11374" s="8" t="n">
        <f aca="false">Sens!E11372/Sens!E11373</f>
        <v>17.9456594659869</v>
      </c>
      <c r="F11374" s="8" t="n">
        <f aca="false">Sens!F11372/Sens!F11373</f>
        <v>18.1407475730376</v>
      </c>
      <c r="G11374" s="8" t="n">
        <f aca="false">Sens!G11372/Sens!G11373</f>
        <v>20.17256063076</v>
      </c>
      <c r="H11374" s="8" t="n">
        <f aca="false">Sens!H11372/Sens!H11373</f>
        <v>22.1760953300885</v>
      </c>
      <c r="I11374" s="8" t="n">
        <f aca="false">Sens!I11372/Sens!I11373</f>
        <v>24.1345203750571</v>
      </c>
      <c r="J11374" s="8" t="n">
        <f aca="false">Sens!J11372/Sens!J11373</f>
        <v>25.9491028856078</v>
      </c>
      <c r="K11374" s="8" t="n">
        <f aca="false">Sens!K11372/Sens!K11373</f>
        <v>27.706022252253</v>
      </c>
      <c r="L11374" s="1" t="s">
        <v>928</v>
      </c>
    </row>
    <row r="11375" customFormat="false" ht="17.15" hidden="false" customHeight="false" outlineLevel="0" collapsed="false">
      <c r="A11375" s="1" t="s">
        <v>929</v>
      </c>
      <c r="B11375" s="0" t="s">
        <v>98</v>
      </c>
      <c r="D11375" s="6" t="n">
        <f aca="false">Sens!D11372</f>
        <v>101.832</v>
      </c>
      <c r="E11375" s="6" t="n">
        <f aca="false">Sens!E11372</f>
        <v>133.749</v>
      </c>
      <c r="F11375" s="6" t="n">
        <f aca="false">Sens!F11372+Sens!F11365*(1-tax_f)</f>
        <v>143.122013366261</v>
      </c>
      <c r="G11375" s="6" t="n">
        <f aca="false">Sens!G11372+Sens!G11365*(1-tax_f)</f>
        <v>171.019101390932</v>
      </c>
      <c r="H11375" s="6" t="n">
        <f aca="false">Sens!H11372+Sens!H11365*(1-tax_f)</f>
        <v>199.729849911018</v>
      </c>
      <c r="I11375" s="6" t="n">
        <f aca="false">Sens!I11372+Sens!I11365*(1-tax_f)</f>
        <v>226.730302040367</v>
      </c>
      <c r="J11375" s="6" t="n">
        <f aca="false">Sens!J11372+Sens!J11365*(1-tax_f)</f>
        <v>249.278149070035</v>
      </c>
      <c r="K11375" s="6" t="n">
        <f aca="false">Sens!K11372+Sens!K11365*(1-tax_f)</f>
        <v>267.922663986494</v>
      </c>
    </row>
    <row r="11376" customFormat="false" ht="17.15" hidden="false" customHeight="false" outlineLevel="0" collapsed="false">
      <c r="A11376" s="0" t="s">
        <v>930</v>
      </c>
      <c r="B11376" s="0" t="s">
        <v>75</v>
      </c>
      <c r="D11376" s="8" t="n">
        <f aca="false">Sens!D11375/Sens!D11373</f>
        <v>13.641259209645</v>
      </c>
      <c r="E11376" s="8" t="n">
        <f aca="false">Sens!E11375/Sens!E11373</f>
        <v>17.9456594659869</v>
      </c>
      <c r="F11376" s="8" t="n">
        <f aca="false">Sens!F11375/Sens!F11373</f>
        <v>19.1506005708518</v>
      </c>
      <c r="G11376" s="8" t="n">
        <f aca="false">Sens!G11375/Sens!G11373</f>
        <v>22.7464389693332</v>
      </c>
      <c r="H11376" s="8" t="n">
        <f aca="false">Sens!H11375/Sens!H11373</f>
        <v>26.4674252691937</v>
      </c>
      <c r="I11376" s="8" t="n">
        <f aca="false">Sens!I11375/Sens!I11373</f>
        <v>29.9985881913757</v>
      </c>
      <c r="J11376" s="8" t="n">
        <f aca="false">Sens!J11375/Sens!J11373</f>
        <v>32.9198535879926</v>
      </c>
      <c r="K11376" s="8" t="n">
        <f aca="false">Sens!K11375/Sens!K11373</f>
        <v>35.3050391669048</v>
      </c>
      <c r="L11376" s="1" t="s">
        <v>931</v>
      </c>
    </row>
    <row r="11377" customFormat="false" ht="17.15" hidden="false" customHeight="false" outlineLevel="0" collapsed="false">
      <c r="A11377" s="0" t="s">
        <v>932</v>
      </c>
      <c r="B11377" s="0" t="s">
        <v>129</v>
      </c>
      <c r="E11377" s="7" t="n">
        <f aca="false">Sens!E11376/Sens!D11376-1</f>
        <v>0.315542736208578</v>
      </c>
      <c r="F11377" s="7" t="n">
        <f aca="false">Sens!F11376/Sens!E11376-1</f>
        <v>0.0671438743808062</v>
      </c>
      <c r="G11377" s="7" t="n">
        <f aca="false">Sens!G11376/Sens!F11376-1</f>
        <v>0.187766351513512</v>
      </c>
      <c r="H11377" s="7" t="n">
        <f aca="false">Sens!H11376/Sens!G11376-1</f>
        <v>0.163585443192981</v>
      </c>
      <c r="I11377" s="7" t="n">
        <f aca="false">Sens!I11376/Sens!H11376-1</f>
        <v>0.133415429958426</v>
      </c>
      <c r="J11377" s="7" t="n">
        <f aca="false">Sens!J11376/Sens!I11376-1</f>
        <v>0.0973800959558739</v>
      </c>
      <c r="K11377" s="7" t="n">
        <f aca="false">Sens!K11376/Sens!J11376-1</f>
        <v>0.07245431917055</v>
      </c>
    </row>
    <row r="11378" customFormat="false" ht="17.15" hidden="false" customHeight="false" outlineLevel="0" collapsed="false">
      <c r="A11378" s="0" t="s">
        <v>856</v>
      </c>
      <c r="B11378" s="0" t="s">
        <v>98</v>
      </c>
      <c r="E11378" s="6" t="n">
        <f aca="false">Sens!E11319</f>
        <v>5.25</v>
      </c>
      <c r="F11378" s="6" t="n">
        <f aca="false">Sens!F11319</f>
        <v>12</v>
      </c>
      <c r="G11378" s="6" t="n">
        <f aca="false">Sens!G11319</f>
        <v>18</v>
      </c>
      <c r="H11378" s="6" t="n">
        <f aca="false">Sens!H11319</f>
        <v>24</v>
      </c>
      <c r="I11378" s="6" t="n">
        <f aca="false">Sens!I11319</f>
        <v>28.5</v>
      </c>
      <c r="J11378" s="6" t="n">
        <f aca="false">Sens!J11319</f>
        <v>31.5</v>
      </c>
      <c r="K11378" s="6" t="n">
        <f aca="false">Sens!K11319</f>
        <v>34.5</v>
      </c>
    </row>
    <row r="11379" customFormat="false" ht="17.15" hidden="false" customHeight="false" outlineLevel="0" collapsed="false">
      <c r="A11379" s="1" t="s">
        <v>857</v>
      </c>
      <c r="B11379" s="0" t="s">
        <v>98</v>
      </c>
      <c r="F11379" s="6" t="n">
        <f aca="false">MAX(0,((Sens!E11282+Sens!F11282)/2-(shadow_base*(Sens!$D$11282+Sens!$E$11282)/2+(1-shadow_base)*Sens!$E$11282))*Sens!F11290/1000-(Sens!F11378-Sens!$E$11378)*Sens!F11358)</f>
        <v>9.43392047395526</v>
      </c>
      <c r="G11379" s="6" t="n">
        <f aca="false">MAX(0,((Sens!F11282+Sens!G11282)/2-(shadow_base*(Sens!$D$11282+Sens!$E$11282)/2+(1-shadow_base)*Sens!$E$11282))*Sens!G11290/1000-(Sens!G11378-Sens!$E$11378)*Sens!G11358)</f>
        <v>24.1896303607031</v>
      </c>
      <c r="H11379" s="6" t="n">
        <f aca="false">MAX(0,((Sens!G11282+Sens!H11282)/2-(shadow_base*(Sens!$D$11282+Sens!$E$11282)/2+(1-shadow_base)*Sens!$E$11282))*Sens!H11290/1000-(Sens!H11378-Sens!$E$11378)*Sens!H11358)</f>
        <v>40.4793191979728</v>
      </c>
      <c r="I11379" s="6" t="n">
        <f aca="false">MAX(0,((Sens!H11282+Sens!I11282)/2-(shadow_base*(Sens!$D$11282+Sens!$E$11282)/2+(1-shadow_base)*Sens!$E$11282))*Sens!I11290/1000-(Sens!I11378-Sens!$E$11378)*Sens!I11358)</f>
        <v>55.4010183203111</v>
      </c>
      <c r="J11379" s="6" t="n">
        <f aca="false">MAX(0,((Sens!I11282+Sens!J11282)/2-(shadow_base*(Sens!$D$11282+Sens!$E$11282)/2+(1-shadow_base)*Sens!$E$11282))*Sens!J11290/1000-(Sens!J11378-Sens!$E$11378)*Sens!J11358)</f>
        <v>65.9805422613167</v>
      </c>
      <c r="K11379" s="6" t="n">
        <f aca="false">MAX(0,((Sens!J11282+Sens!K11282)/2-(shadow_base*(Sens!$D$11282+Sens!$E$11282)/2+(1-shadow_base)*Sens!$E$11282))*Sens!K11290/1000-(Sens!K11378-Sens!$E$11378)*Sens!K11358)</f>
        <v>72.0842160033785</v>
      </c>
      <c r="L11379" s="1" t="s">
        <v>858</v>
      </c>
    </row>
    <row r="11380" customFormat="false" ht="17.15" hidden="false" customHeight="false" outlineLevel="0" collapsed="false">
      <c r="A11380" s="1" t="s">
        <v>859</v>
      </c>
      <c r="B11380" s="0" t="s">
        <v>98</v>
      </c>
      <c r="F11380" s="6" t="n">
        <f aca="false">IF(internal_ai_reading=2,1,0)*Sens!F11379</f>
        <v>9.43392047395526</v>
      </c>
      <c r="G11380" s="6" t="n">
        <f aca="false">IF(internal_ai_reading=2,1,0)*Sens!G11379</f>
        <v>24.1896303607031</v>
      </c>
      <c r="H11380" s="6" t="n">
        <f aca="false">IF(internal_ai_reading=2,1,0)*Sens!H11379</f>
        <v>40.4793191979728</v>
      </c>
      <c r="I11380" s="6" t="n">
        <f aca="false">IF(internal_ai_reading=2,1,0)*Sens!I11379</f>
        <v>55.4010183203111</v>
      </c>
      <c r="J11380" s="6" t="n">
        <f aca="false">IF(internal_ai_reading=2,1,0)*Sens!J11379</f>
        <v>65.9805422613167</v>
      </c>
      <c r="K11380" s="6" t="n">
        <f aca="false">IF(internal_ai_reading=2,1,0)*Sens!K11379</f>
        <v>72.0842160033785</v>
      </c>
    </row>
    <row r="11381" customFormat="false" ht="17.15" hidden="false" customHeight="false" outlineLevel="0" collapsed="false">
      <c r="A11381" s="0" t="s">
        <v>860</v>
      </c>
      <c r="B11381" s="0" t="s">
        <v>98</v>
      </c>
      <c r="F11381" s="6" t="n">
        <f aca="false">Sens!F11299+Sens!F11378*Sens!F11358+Sens!F11380-Sens!F11300-Sens!F11310</f>
        <v>14.9220315022233</v>
      </c>
      <c r="G11381" s="6" t="n">
        <f aca="false">Sens!G11299+Sens!G11378*Sens!G11358+Sens!G11380-Sens!G11300-Sens!G11310</f>
        <v>30.7495489496424</v>
      </c>
      <c r="H11381" s="6" t="n">
        <f aca="false">Sens!H11299+Sens!H11378*Sens!H11358+Sens!H11380-Sens!H11300-Sens!H11310</f>
        <v>47.2974902575898</v>
      </c>
      <c r="I11381" s="6" t="n">
        <f aca="false">Sens!I11299+Sens!I11378*Sens!I11358+Sens!I11380-Sens!I11300-Sens!I11310</f>
        <v>62.0767971739404</v>
      </c>
      <c r="J11381" s="6" t="n">
        <f aca="false">Sens!J11299+Sens!J11378*Sens!J11358+Sens!J11380-Sens!J11300-Sens!J11310</f>
        <v>72.4000518947331</v>
      </c>
      <c r="K11381" s="6" t="n">
        <f aca="false">Sens!K11299+Sens!K11378*Sens!K11358+Sens!K11380-Sens!K11300-Sens!K11310</f>
        <v>79.7160980571165</v>
      </c>
    </row>
    <row r="11382" customFormat="false" ht="17.15" hidden="false" customHeight="false" outlineLevel="0" collapsed="false">
      <c r="A11382" s="0" t="s">
        <v>861</v>
      </c>
      <c r="B11382" s="0" t="s">
        <v>98</v>
      </c>
      <c r="E11382" s="6" t="n">
        <f aca="false">Sens!E11281*(cxit_open+self_build*tk_cxfac)/1000*ai_net_open</f>
        <v>126.6980382</v>
      </c>
      <c r="F11382" s="6" t="n">
        <f aca="false">Sens!E11382+Sens!F11307-Sens!F11310</f>
        <v>252.981026690511</v>
      </c>
      <c r="G11382" s="6" t="n">
        <f aca="false">Sens!F11382+Sens!G11307-Sens!G11310</f>
        <v>377.4297700632</v>
      </c>
      <c r="H11382" s="6" t="n">
        <f aca="false">Sens!G11382+Sens!H11307-Sens!H11310</f>
        <v>479.149036130289</v>
      </c>
      <c r="I11382" s="6" t="n">
        <f aca="false">Sens!H11382+Sens!I11307-Sens!I11310</f>
        <v>532.249961452141</v>
      </c>
      <c r="J11382" s="6" t="n">
        <f aca="false">Sens!I11382+Sens!J11307-Sens!J11310</f>
        <v>531.43307519354</v>
      </c>
      <c r="K11382" s="6" t="n">
        <f aca="false">Sens!J11382+Sens!K11307-Sens!K11310</f>
        <v>513.709026452823</v>
      </c>
      <c r="L11382" s="1" t="s">
        <v>862</v>
      </c>
    </row>
    <row r="11383" customFormat="false" ht="17.15" hidden="false" customHeight="false" outlineLevel="0" collapsed="false">
      <c r="A11383" s="0" t="s">
        <v>863</v>
      </c>
      <c r="B11383" s="0" t="s">
        <v>129</v>
      </c>
      <c r="F11383" s="7" t="n">
        <f aca="false">Sens!F11381*(1-tax_f)/((Sens!E11382+Sens!F11382)/2)</f>
        <v>0.0628827149330509</v>
      </c>
      <c r="G11383" s="7" t="n">
        <f aca="false">Sens!G11381*(1-tax_f)/((Sens!F11382+Sens!G11382)/2)</f>
        <v>0.078043203848631</v>
      </c>
      <c r="H11383" s="7" t="n">
        <f aca="false">Sens!H11381*(1-tax_f)/((Sens!G11382+Sens!H11382)/2)</f>
        <v>0.088346785917383</v>
      </c>
      <c r="I11383" s="7" t="n">
        <f aca="false">Sens!I11381*(1-tax_f)/((Sens!H11382+Sens!I11382)/2)</f>
        <v>0.0982034545374459</v>
      </c>
      <c r="J11383" s="7" t="n">
        <f aca="false">Sens!J11381*(1-tax_f)/((Sens!I11382+Sens!J11382)/2)</f>
        <v>0.108904700968885</v>
      </c>
      <c r="K11383" s="7" t="n">
        <f aca="false">Sens!K11381*(1-tax_f)/((Sens!J11382+Sens!K11382)/2)</f>
        <v>0.122036761020793</v>
      </c>
    </row>
    <row r="11384" customFormat="false" ht="17.15" hidden="false" customHeight="false" outlineLevel="0" collapsed="false">
      <c r="A11384" s="1" t="s">
        <v>864</v>
      </c>
      <c r="B11384" s="0" t="s">
        <v>129</v>
      </c>
      <c r="F11384" s="7" t="n">
        <f aca="false">(Sens!F11381-Sens!F11380)*(1-tax_f)/((Sens!E11382+Sens!F11382)/2)</f>
        <v>0.023127368499396</v>
      </c>
      <c r="G11384" s="7" t="n">
        <f aca="false">(Sens!G11381-Sens!G11380)*(1-tax_f)/((Sens!F11382+Sens!G11382)/2)</f>
        <v>0.0166492544168835</v>
      </c>
      <c r="H11384" s="7" t="n">
        <f aca="false">(Sens!H11381-Sens!H11380)*(1-tax_f)/((Sens!G11382+Sens!H11382)/2)</f>
        <v>0.0127356334484453</v>
      </c>
      <c r="I11384" s="7" t="n">
        <f aca="false">(Sens!I11381-Sens!I11380)*(1-tax_f)/((Sens!H11382+Sens!I11382)/2)</f>
        <v>0.0105608629149706</v>
      </c>
      <c r="J11384" s="7" t="n">
        <f aca="false">(Sens!J11381-Sens!J11380)*(1-tax_f)/((Sens!I11382+Sens!J11382)/2)</f>
        <v>0.00965627452878863</v>
      </c>
      <c r="K11384" s="7" t="n">
        <f aca="false">(Sens!K11381-Sens!K11380)*(1-tax_f)/((Sens!J11382+Sens!K11382)/2)</f>
        <v>0.0116835895011266</v>
      </c>
    </row>
    <row r="11385" customFormat="false" ht="17.15" hidden="false" customHeight="false" outlineLevel="0" collapsed="false">
      <c r="A11385" s="1" t="s">
        <v>865</v>
      </c>
      <c r="B11385" s="0" t="s">
        <v>129</v>
      </c>
      <c r="F11385" s="7" t="n">
        <f aca="false">(Sens!F11381-Sens!F11380+Sens!F11379)*(1-tax_f)/((Sens!E11382+Sens!F11382)/2)</f>
        <v>0.0628827149330509</v>
      </c>
      <c r="G11385" s="7" t="n">
        <f aca="false">(Sens!G11381-Sens!G11380+Sens!G11379)*(1-tax_f)/((Sens!F11382+Sens!G11382)/2)</f>
        <v>0.078043203848631</v>
      </c>
      <c r="H11385" s="7" t="n">
        <f aca="false">(Sens!H11381-Sens!H11380+Sens!H11379)*(1-tax_f)/((Sens!G11382+Sens!H11382)/2)</f>
        <v>0.088346785917383</v>
      </c>
      <c r="I11385" s="7" t="n">
        <f aca="false">(Sens!I11381-Sens!I11380+Sens!I11379)*(1-tax_f)/((Sens!H11382+Sens!I11382)/2)</f>
        <v>0.0982034545374459</v>
      </c>
      <c r="J11385" s="7" t="n">
        <f aca="false">(Sens!J11381-Sens!J11380+Sens!J11379)*(1-tax_f)/((Sens!I11382+Sens!J11382)/2)</f>
        <v>0.108904700968885</v>
      </c>
      <c r="K11385" s="7" t="n">
        <f aca="false">(Sens!K11381-Sens!K11380+Sens!K11379)*(1-tax_f)/((Sens!J11382+Sens!K11382)/2)</f>
        <v>0.122036761020793</v>
      </c>
    </row>
    <row r="11386" customFormat="false" ht="17.15" hidden="false" customHeight="false" outlineLevel="0" collapsed="false">
      <c r="A11386" s="1" t="s">
        <v>866</v>
      </c>
      <c r="B11386" s="0" t="s">
        <v>129</v>
      </c>
      <c r="F11386" s="7" t="n">
        <f aca="false">Sens!F11311*(1-tax_f)/(Sens!F11298*(Sens!E11382+Sens!F11382)/2)</f>
        <v>0.133653288300971</v>
      </c>
      <c r="G11386" s="7" t="n">
        <f aca="false">Sens!G11311*(1-tax_f)/(Sens!G11298*(Sens!F11382+Sens!G11382)/2)</f>
        <v>0.131459221834535</v>
      </c>
      <c r="H11386" s="7" t="n">
        <f aca="false">Sens!H11311*(1-tax_f)/(Sens!H11298*(Sens!G11382+Sens!H11382)/2)</f>
        <v>0.135120575835084</v>
      </c>
      <c r="I11386" s="7" t="n">
        <f aca="false">Sens!I11311*(1-tax_f)/(Sens!I11298*(Sens!H11382+Sens!I11382)/2)</f>
        <v>0.143323969665222</v>
      </c>
      <c r="J11386" s="7" t="n">
        <f aca="false">Sens!J11311*(1-tax_f)/(Sens!J11298*(Sens!I11382+Sens!J11382)/2)</f>
        <v>0.155570128388075</v>
      </c>
      <c r="K11386" s="7" t="n">
        <f aca="false">Sens!K11311*(1-tax_f)/(Sens!K11298*(Sens!J11382+Sens!K11382)/2)</f>
        <v>0.172427697111622</v>
      </c>
    </row>
    <row r="11387" customFormat="false" ht="17.15" hidden="false" customHeight="false" outlineLevel="0" collapsed="false">
      <c r="A11387" s="0" t="s">
        <v>867</v>
      </c>
      <c r="B11387" s="0" t="s">
        <v>209</v>
      </c>
      <c r="F11387" s="7" t="n">
        <f aca="false">Sens!F11383-wacc</f>
        <v>-0.0400517051598249</v>
      </c>
      <c r="G11387" s="7" t="n">
        <f aca="false">Sens!G11383-wacc</f>
        <v>-0.0248912162442447</v>
      </c>
      <c r="H11387" s="7" t="n">
        <f aca="false">Sens!H11383-wacc</f>
        <v>-0.0145876341754928</v>
      </c>
      <c r="I11387" s="7" t="n">
        <f aca="false">Sens!I11383-wacc</f>
        <v>-0.0047309655554298</v>
      </c>
      <c r="J11387" s="7" t="n">
        <f aca="false">Sens!J11383-wacc</f>
        <v>0.00597028087600883</v>
      </c>
      <c r="K11387" s="7" t="n">
        <f aca="false">Sens!K11383-wacc</f>
        <v>0.0191023409279171</v>
      </c>
    </row>
    <row r="11388" customFormat="false" ht="17.15" hidden="false" customHeight="false" outlineLevel="0" collapsed="false">
      <c r="A11388" s="0" t="s">
        <v>868</v>
      </c>
      <c r="B11388" s="0" t="s">
        <v>98</v>
      </c>
      <c r="F11388" s="6" t="n">
        <f aca="false">Sens!F11381*(1-tax_f)-wacc*(Sens!E11382+Sens!F11382)/2</f>
        <v>-7.60339698117638</v>
      </c>
      <c r="G11388" s="6" t="n">
        <f aca="false">Sens!G11381*(1-tax_f)-wacc*(Sens!F11382+Sens!G11382)/2</f>
        <v>-7.84584573235161</v>
      </c>
      <c r="H11388" s="6" t="n">
        <f aca="false">Sens!H11381*(1-tax_f)-wacc*(Sens!G11382+Sens!H11382)/2</f>
        <v>-6.24772913361547</v>
      </c>
      <c r="I11388" s="6" t="n">
        <f aca="false">Sens!I11381*(1-tax_f)-wacc*(Sens!H11382+Sens!I11382)/2</f>
        <v>-2.39244691017935</v>
      </c>
      <c r="J11388" s="6" t="n">
        <f aca="false">Sens!J11381*(1-tax_f)-wacc*(Sens!I11382+Sens!J11382)/2</f>
        <v>3.17524324591035</v>
      </c>
      <c r="K11388" s="6" t="n">
        <f aca="false">Sens!K11381*(1-tax_f)-wacc*(Sens!J11382+Sens!K11382)/2</f>
        <v>9.9823303718843</v>
      </c>
    </row>
    <row r="11389" customFormat="false" ht="17.15" hidden="false" customHeight="false" outlineLevel="0" collapsed="false">
      <c r="A11389" s="3" t="s">
        <v>1555</v>
      </c>
    </row>
    <row r="11390" customFormat="false" ht="15" hidden="false" customHeight="false" outlineLevel="0" collapsed="false">
      <c r="A11390" s="4" t="s">
        <v>43</v>
      </c>
      <c r="B11390" s="4" t="s">
        <v>65</v>
      </c>
      <c r="C11390" s="20" t="s">
        <v>799</v>
      </c>
      <c r="D11390" s="20" t="s">
        <v>800</v>
      </c>
      <c r="E11390" s="20" t="s">
        <v>801</v>
      </c>
      <c r="F11390" s="20" t="s">
        <v>802</v>
      </c>
      <c r="G11390" s="20" t="s">
        <v>803</v>
      </c>
      <c r="H11390" s="20" t="s">
        <v>804</v>
      </c>
      <c r="I11390" s="20" t="s">
        <v>805</v>
      </c>
      <c r="J11390" s="20" t="s">
        <v>806</v>
      </c>
      <c r="K11390" s="20" t="s">
        <v>807</v>
      </c>
      <c r="L11390" s="4" t="s">
        <v>47</v>
      </c>
    </row>
    <row r="11391" customFormat="false" ht="15" hidden="false" customHeight="false" outlineLevel="0" collapsed="false">
      <c r="A11391" s="1" t="s">
        <v>925</v>
      </c>
      <c r="B11391" s="0" t="s">
        <v>98</v>
      </c>
      <c r="F11391" s="6" t="n">
        <f aca="false">Sens!F11372</f>
        <v>135.574876987097</v>
      </c>
      <c r="G11391" s="6" t="n">
        <f aca="false">Sens!G11372</f>
        <v>151.667397102369</v>
      </c>
      <c r="H11391" s="6" t="n">
        <f aca="false">Sens!H11372</f>
        <v>167.34639455264</v>
      </c>
      <c r="I11391" s="6" t="n">
        <f aca="false">Sens!I11372</f>
        <v>182.409487384119</v>
      </c>
      <c r="J11391" s="6" t="n">
        <f aca="false">Sens!J11372</f>
        <v>196.493715260982</v>
      </c>
      <c r="K11391" s="6" t="n">
        <f aca="false">Sens!K11372</f>
        <v>210.255291183791</v>
      </c>
    </row>
    <row r="11392" customFormat="false" ht="17.15" hidden="false" customHeight="false" outlineLevel="0" collapsed="false">
      <c r="A11392" s="1" t="s">
        <v>947</v>
      </c>
      <c r="B11392" s="0" t="s">
        <v>98</v>
      </c>
      <c r="E11392" s="6" t="n">
        <f aca="false">Q!M38-Sens!E11310</f>
        <v>22.2285940229167</v>
      </c>
      <c r="F11392" s="6" t="n">
        <f aca="false">Sens!E11392*(1-1/life_nonai)+(Sens!F11399+Sens!F11400)/life_nonai</f>
        <v>24.3924470334783</v>
      </c>
      <c r="G11392" s="6" t="n">
        <f aca="false">Sens!F11392*(1-1/life_nonai)+(Sens!G11399)/life_nonai</f>
        <v>26.0684916871694</v>
      </c>
      <c r="H11392" s="6" t="n">
        <f aca="false">Sens!G11392*(1-1/life_nonai)+(Sens!H11399)/life_nonai</f>
        <v>28.1427938828615</v>
      </c>
      <c r="I11392" s="6" t="n">
        <f aca="false">Sens!H11392*(1-1/life_nonai)+(Sens!I11399)/life_nonai</f>
        <v>30.5483545257397</v>
      </c>
      <c r="J11392" s="6" t="n">
        <f aca="false">Sens!I11392*(1-1/life_nonai)+(Sens!J11399)/life_nonai</f>
        <v>33.2016103982031</v>
      </c>
      <c r="K11392" s="6" t="n">
        <f aca="false">Sens!J11392*(1-1/life_nonai)+(Sens!K11399)/life_nonai</f>
        <v>36.0183196325822</v>
      </c>
      <c r="L11392" s="11" t="s">
        <v>948</v>
      </c>
    </row>
    <row r="11393" customFormat="false" ht="17.15" hidden="false" customHeight="false" outlineLevel="0" collapsed="false">
      <c r="A11393" s="1" t="s">
        <v>949</v>
      </c>
      <c r="B11393" s="0" t="s">
        <v>98</v>
      </c>
      <c r="F11393" s="6" t="n">
        <f aca="false">Sens!$F$11400/life_nonai*(1-1/life_nonai)^(Sens!F11276-2027)</f>
        <v>0.828777689897088</v>
      </c>
      <c r="G11393" s="6" t="n">
        <f aca="false">Sens!$F$11400/life_nonai*(1-1/life_nonai)^(Sens!G11276-2027)</f>
        <v>0.745899920907379</v>
      </c>
      <c r="H11393" s="6" t="n">
        <f aca="false">Sens!$F$11400/life_nonai*(1-1/life_nonai)^(Sens!H11276-2027)</f>
        <v>0.671309928816642</v>
      </c>
      <c r="I11393" s="6" t="n">
        <f aca="false">Sens!$F$11400/life_nonai*(1-1/life_nonai)^(Sens!I11276-2027)</f>
        <v>0.604178935934977</v>
      </c>
      <c r="J11393" s="6" t="n">
        <f aca="false">Sens!$F$11400/life_nonai*(1-1/life_nonai)^(Sens!J11276-2027)</f>
        <v>0.54376104234148</v>
      </c>
      <c r="K11393" s="6" t="n">
        <f aca="false">Sens!$F$11400/life_nonai*(1-1/life_nonai)^(Sens!K11276-2027)</f>
        <v>0.489384938107332</v>
      </c>
      <c r="L11393" s="1" t="s">
        <v>950</v>
      </c>
    </row>
    <row r="11394" customFormat="false" ht="17.15" hidden="false" customHeight="false" outlineLevel="0" collapsed="false">
      <c r="A11394" s="1" t="s">
        <v>951</v>
      </c>
      <c r="B11394" s="0" t="s">
        <v>98</v>
      </c>
      <c r="E11394" s="6" t="n">
        <f aca="false">Sens!E11310+Sens!E11392</f>
        <v>38.534</v>
      </c>
      <c r="F11394" s="6" t="n">
        <f aca="false">Sens!F11310+Sens!F11392</f>
        <v>58.4423344144339</v>
      </c>
      <c r="G11394" s="6" t="n">
        <f aca="false">Sens!G11310+Sens!G11392</f>
        <v>85.1939287976805</v>
      </c>
      <c r="H11394" s="6" t="n">
        <f aca="false">Sens!H11310+Sens!H11392</f>
        <v>114.503813726173</v>
      </c>
      <c r="I11394" s="6" t="n">
        <f aca="false">Sens!I11310+Sens!I11392</f>
        <v>141.154098358132</v>
      </c>
      <c r="J11394" s="6" t="n">
        <f aca="false">Sens!J11310+Sens!J11392</f>
        <v>161.199933251046</v>
      </c>
      <c r="K11394" s="6" t="n">
        <f aca="false">Sens!K11310+Sens!K11392</f>
        <v>175.14978367689</v>
      </c>
    </row>
    <row r="11395" customFormat="false" ht="17.15" hidden="false" customHeight="false" outlineLevel="0" collapsed="false">
      <c r="A11395" s="1" t="s">
        <v>952</v>
      </c>
      <c r="B11395" s="0" t="s">
        <v>98</v>
      </c>
      <c r="F11395" s="6" t="n">
        <f aca="false">Sens!F11337*sbc_r</f>
        <v>14.9308704941267</v>
      </c>
      <c r="G11395" s="6" t="n">
        <f aca="false">Sens!G11337*sbc_r</f>
        <v>17.7641108812713</v>
      </c>
      <c r="H11395" s="6" t="n">
        <f aca="false">Sens!H11337*sbc_r</f>
        <v>20.6640880611968</v>
      </c>
      <c r="I11395" s="6" t="n">
        <f aca="false">Sens!I11337*sbc_r</f>
        <v>23.3389517385966</v>
      </c>
      <c r="J11395" s="6" t="n">
        <f aca="false">Sens!J11337*sbc_r</f>
        <v>25.5443980773879</v>
      </c>
      <c r="K11395" s="6" t="n">
        <f aca="false">Sens!K11337*sbc_r</f>
        <v>27.3434618223447</v>
      </c>
    </row>
    <row r="11396" customFormat="false" ht="17.15" hidden="false" customHeight="false" outlineLevel="0" collapsed="false">
      <c r="A11396" s="1" t="s">
        <v>953</v>
      </c>
      <c r="B11396" s="0" t="s">
        <v>98</v>
      </c>
      <c r="F11396" s="6" t="n">
        <f aca="false">wc27</f>
        <v>-4.895</v>
      </c>
      <c r="G11396" s="6" t="n">
        <f aca="false">wc_f</f>
        <v>0</v>
      </c>
      <c r="H11396" s="6" t="n">
        <f aca="false">wc_f</f>
        <v>0</v>
      </c>
      <c r="I11396" s="6" t="n">
        <f aca="false">wc_f</f>
        <v>0</v>
      </c>
      <c r="J11396" s="6" t="n">
        <f aca="false">wc_f</f>
        <v>0</v>
      </c>
      <c r="K11396" s="6" t="n">
        <f aca="false">wc_f</f>
        <v>0</v>
      </c>
      <c r="L11396" s="11" t="s">
        <v>954</v>
      </c>
    </row>
    <row r="11397" customFormat="false" ht="15" hidden="false" customHeight="false" outlineLevel="0" collapsed="false">
      <c r="A11397" s="1" t="s">
        <v>767</v>
      </c>
      <c r="B11397" s="0" t="s">
        <v>98</v>
      </c>
      <c r="E11397" s="6" t="n">
        <f aca="false">Q!M35</f>
        <v>182.935</v>
      </c>
      <c r="F11397" s="6" t="n">
        <f aca="false">Sens!F11391+Sens!F11394+Sens!F11395+Sens!F11396</f>
        <v>204.053081895657</v>
      </c>
      <c r="G11397" s="6" t="n">
        <f aca="false">Sens!G11391+Sens!G11394+Sens!G11395+Sens!G11396</f>
        <v>254.625436781321</v>
      </c>
      <c r="H11397" s="6" t="n">
        <f aca="false">Sens!H11391+Sens!H11394+Sens!H11395+Sens!H11396</f>
        <v>302.514296340009</v>
      </c>
      <c r="I11397" s="6" t="n">
        <f aca="false">Sens!I11391+Sens!I11394+Sens!I11395+Sens!I11396</f>
        <v>346.902537480848</v>
      </c>
      <c r="J11397" s="6" t="n">
        <f aca="false">Sens!J11391+Sens!J11394+Sens!J11395+Sens!J11396</f>
        <v>383.238046589416</v>
      </c>
      <c r="K11397" s="6" t="n">
        <f aca="false">Sens!K11391+Sens!K11394+Sens!K11395+Sens!K11396</f>
        <v>412.748536683026</v>
      </c>
    </row>
    <row r="11398" customFormat="false" ht="17.15" hidden="false" customHeight="false" outlineLevel="0" collapsed="false">
      <c r="A11398" s="0" t="s">
        <v>955</v>
      </c>
      <c r="B11398" s="0" t="s">
        <v>98</v>
      </c>
      <c r="F11398" s="6" t="n">
        <f aca="false">Sens!F11307</f>
        <v>160.332875871467</v>
      </c>
      <c r="G11398" s="6" t="n">
        <f aca="false">Sens!G11307</f>
        <v>183.5741804832</v>
      </c>
      <c r="H11398" s="6" t="n">
        <f aca="false">Sens!H11307</f>
        <v>188.0802859104</v>
      </c>
      <c r="I11398" s="6" t="n">
        <f aca="false">Sens!I11307</f>
        <v>163.706669154245</v>
      </c>
      <c r="J11398" s="6" t="n">
        <f aca="false">Sens!J11307</f>
        <v>127.181436594242</v>
      </c>
      <c r="K11398" s="6" t="n">
        <f aca="false">Sens!K11307</f>
        <v>121.407415303591</v>
      </c>
    </row>
    <row r="11399" customFormat="false" ht="17.15" hidden="false" customHeight="false" outlineLevel="0" collapsed="false">
      <c r="A11399" s="1" t="s">
        <v>956</v>
      </c>
      <c r="B11399" s="0" t="s">
        <v>98</v>
      </c>
      <c r="E11399" s="6" t="n">
        <f aca="false">Sens!E11315*cx_azo+Sens!E11322*cx_m365+Sens!E11323*cx_lic+(Sens!E11325+Sens!E11327)*cx_ind+Sens!E11330*cx_srch+(Sens!E11332+Sens!E11334)*cx_dev</f>
        <v>30.1846587067718</v>
      </c>
      <c r="F11399" s="6" t="n">
        <f aca="false">Sens!F11315*cx_azo+Sens!F11322*cx_m365+Sens!F11323*cx_lic+(Sens!F11325+Sens!F11327)*cx_ind+Sens!F11330*cx_srch+(Sens!F11332+Sens!F11334)*cx_dev</f>
        <v>35.5793472295625</v>
      </c>
      <c r="G11399" s="6" t="n">
        <f aca="false">Sens!G11315*cx_azo+Sens!G11322*cx_m365+Sens!G11323*cx_lic+(Sens!G11325+Sens!G11327)*cx_ind+Sens!G11330*cx_srch+(Sens!G11332+Sens!G11334)*cx_dev</f>
        <v>41.1528935703892</v>
      </c>
      <c r="H11399" s="6" t="n">
        <f aca="false">Sens!H11315*cx_azo+Sens!H11322*cx_m365+Sens!H11323*cx_lic+(Sens!H11325+Sens!H11327)*cx_ind+Sens!H11330*cx_srch+(Sens!H11332+Sens!H11334)*cx_dev</f>
        <v>46.8115136440897</v>
      </c>
      <c r="I11399" s="6" t="n">
        <f aca="false">Sens!I11315*cx_azo+Sens!I11322*cx_m365+Sens!I11323*cx_lic+(Sens!I11325+Sens!I11327)*cx_ind+Sens!I11330*cx_srch+(Sens!I11332+Sens!I11334)*cx_dev</f>
        <v>52.1984003116439</v>
      </c>
      <c r="J11399" s="6" t="n">
        <f aca="false">Sens!J11315*cx_azo+Sens!J11322*cx_m365+Sens!J11323*cx_lic+(Sens!J11325+Sens!J11327)*cx_ind+Sens!J11330*cx_srch+(Sens!J11332+Sens!J11334)*cx_dev</f>
        <v>57.0809132503738</v>
      </c>
      <c r="K11399" s="6" t="n">
        <f aca="false">Sens!K11315*cx_azo+Sens!K11322*cx_m365+Sens!K11323*cx_lic+(Sens!K11325+Sens!K11327)*cx_ind+Sens!K11330*cx_srch+(Sens!K11332+Sens!K11334)*cx_dev</f>
        <v>61.368702741994</v>
      </c>
    </row>
    <row r="11400" customFormat="false" ht="17.15" hidden="false" customHeight="false" outlineLevel="0" collapsed="false">
      <c r="A11400" s="0" t="s">
        <v>957</v>
      </c>
      <c r="B11400" s="0" t="s">
        <v>98</v>
      </c>
      <c r="F11400" s="6" t="n">
        <f aca="false">Sens!F11305</f>
        <v>8.28777689897088</v>
      </c>
      <c r="L11400" s="1" t="s">
        <v>958</v>
      </c>
    </row>
    <row r="11401" customFormat="false" ht="17.15" hidden="false" customHeight="false" outlineLevel="0" collapsed="false">
      <c r="A11401" s="1" t="s">
        <v>959</v>
      </c>
      <c r="B11401" s="0" t="s">
        <v>98</v>
      </c>
      <c r="E11401" s="6" t="n">
        <f aca="false">Q!M42</f>
        <v>145.3</v>
      </c>
      <c r="F11401" s="6" t="n">
        <f aca="false">Sens!F11398+Sens!F11399+Sens!F11400</f>
        <v>204.2</v>
      </c>
      <c r="G11401" s="6" t="n">
        <f aca="false">Sens!G11398+Sens!G11399</f>
        <v>224.727074053589</v>
      </c>
      <c r="H11401" s="6" t="n">
        <f aca="false">Sens!H11398+Sens!H11399</f>
        <v>234.89179955449</v>
      </c>
      <c r="I11401" s="6" t="n">
        <f aca="false">Sens!I11398+Sens!I11399</f>
        <v>215.905069465889</v>
      </c>
      <c r="J11401" s="6" t="n">
        <f aca="false">Sens!J11398+Sens!J11399</f>
        <v>184.262349844616</v>
      </c>
      <c r="K11401" s="6" t="n">
        <f aca="false">Sens!K11398+Sens!K11399</f>
        <v>182.776118045585</v>
      </c>
      <c r="L11401" s="1" t="s">
        <v>960</v>
      </c>
    </row>
    <row r="11402" customFormat="false" ht="15" hidden="false" customHeight="false" outlineLevel="0" collapsed="false">
      <c r="A11402" s="1" t="s">
        <v>961</v>
      </c>
      <c r="B11402" s="0" t="s">
        <v>98</v>
      </c>
      <c r="E11402" s="6" t="n">
        <f aca="false">fl_liab</f>
        <v>66.594</v>
      </c>
      <c r="F11402" s="6" t="n">
        <f aca="false">Sens!E11402-Sens!F11403</f>
        <v>62.46973</v>
      </c>
      <c r="G11402" s="6" t="n">
        <f aca="false">Sens!F11402-Sens!G11403</f>
        <v>57.98686785</v>
      </c>
      <c r="H11402" s="6" t="n">
        <f aca="false">Sens!G11402-Sens!H11403</f>
        <v>53.92827690325</v>
      </c>
      <c r="I11402" s="6" t="n">
        <f aca="false">Sens!H11402-Sens!I11403</f>
        <v>49.7850493638962</v>
      </c>
      <c r="J11402" s="6" t="n">
        <f aca="false">Sens!I11402-Sens!J11403</f>
        <v>45.4823765852716</v>
      </c>
      <c r="K11402" s="6" t="n">
        <f aca="false">Sens!J11402-Sens!K11403</f>
        <v>40.9860835316088</v>
      </c>
    </row>
    <row r="11403" customFormat="false" ht="15" hidden="false" customHeight="false" outlineLevel="0" collapsed="false">
      <c r="A11403" s="1" t="s">
        <v>962</v>
      </c>
      <c r="B11403" s="0" t="s">
        <v>98</v>
      </c>
      <c r="F11403" s="6" t="n">
        <f aca="false">fl_pay_27-Sens!E11402*fl_rate</f>
        <v>4.12427</v>
      </c>
      <c r="G11403" s="6" t="n">
        <f aca="false">fl_pay_28-Sens!F11402*fl_rate</f>
        <v>4.48286215</v>
      </c>
      <c r="H11403" s="6" t="n">
        <f aca="false">fl_pay_29-Sens!G11402*fl_rate</f>
        <v>4.05859094675</v>
      </c>
      <c r="I11403" s="6" t="n">
        <f aca="false">fl_pay_30-Sens!H11402*fl_rate</f>
        <v>4.14322753935375</v>
      </c>
      <c r="J11403" s="6" t="n">
        <f aca="false">fl_pay_31-Sens!I11402*fl_rate</f>
        <v>4.30267277862467</v>
      </c>
      <c r="K11403" s="6" t="n">
        <f aca="false">fl_pay_32-Sens!J11402*fl_rate</f>
        <v>4.49629305366278</v>
      </c>
    </row>
    <row r="11404" customFormat="false" ht="17.15" hidden="false" customHeight="false" outlineLevel="0" collapsed="false">
      <c r="A11404" s="1" t="s">
        <v>963</v>
      </c>
      <c r="B11404" s="0" t="s">
        <v>98</v>
      </c>
      <c r="E11404" s="6" t="n">
        <f aca="false">Q!M35-Q!M36-Q!M43</f>
        <v>63.886</v>
      </c>
      <c r="F11404" s="6" t="n">
        <f aca="false">Sens!F11397-Sens!F11401-Sens!F11403</f>
        <v>-4.27118810434275</v>
      </c>
      <c r="G11404" s="6" t="n">
        <f aca="false">Sens!G11397-Sens!G11401-Sens!G11403</f>
        <v>25.4155005777319</v>
      </c>
      <c r="H11404" s="6" t="n">
        <f aca="false">Sens!H11397-Sens!H11401-Sens!H11403</f>
        <v>63.5639058387694</v>
      </c>
      <c r="I11404" s="6" t="n">
        <f aca="false">Sens!I11397-Sens!I11401-Sens!I11403</f>
        <v>126.854240475604</v>
      </c>
      <c r="J11404" s="6" t="n">
        <f aca="false">Sens!J11397-Sens!J11401-Sens!J11403</f>
        <v>194.673023966176</v>
      </c>
      <c r="K11404" s="6" t="n">
        <f aca="false">Sens!K11397-Sens!K11401-Sens!K11403</f>
        <v>225.476125583778</v>
      </c>
      <c r="L11404" s="11" t="s">
        <v>964</v>
      </c>
    </row>
    <row r="11405" customFormat="false" ht="15" hidden="false" customHeight="false" outlineLevel="0" collapsed="false">
      <c r="A11405" s="1" t="s">
        <v>965</v>
      </c>
      <c r="B11405" s="0" t="s">
        <v>75</v>
      </c>
      <c r="F11405" s="8" t="n">
        <f aca="false">dps_27</f>
        <v>3.85</v>
      </c>
      <c r="G11405" s="8" t="n">
        <f aca="false">Sens!F11405*(1+dps_g)</f>
        <v>4.158</v>
      </c>
      <c r="H11405" s="8" t="n">
        <f aca="false">Sens!G11405*(1+dps_g)</f>
        <v>4.49064</v>
      </c>
      <c r="I11405" s="8" t="n">
        <f aca="false">Sens!H11405*(1+dps_g)</f>
        <v>4.8498912</v>
      </c>
      <c r="J11405" s="8" t="n">
        <f aca="false">Sens!I11405*(1+dps_g)</f>
        <v>5.237882496</v>
      </c>
      <c r="K11405" s="8" t="n">
        <f aca="false">Sens!J11405*(1+dps_g)</f>
        <v>5.65691309568</v>
      </c>
    </row>
    <row r="11406" customFormat="false" ht="17.15" hidden="false" customHeight="false" outlineLevel="0" collapsed="false">
      <c r="A11406" s="1" t="s">
        <v>966</v>
      </c>
      <c r="B11406" s="0" t="s">
        <v>98</v>
      </c>
      <c r="E11406" s="6" t="n">
        <f aca="false">Q!M41</f>
        <v>26.445</v>
      </c>
      <c r="F11406" s="6" t="n">
        <f aca="false">Sens!F11405*Sens!E11415</f>
        <v>28.59395</v>
      </c>
      <c r="G11406" s="6" t="n">
        <f aca="false">Sens!G11405*Sens!F11415</f>
        <v>31.068576</v>
      </c>
      <c r="H11406" s="6" t="n">
        <f aca="false">Sens!H11405*Sens!G11415</f>
        <v>33.75614088</v>
      </c>
      <c r="I11406" s="6" t="n">
        <f aca="false">Sens!I11405*Sens!H11415</f>
        <v>36.5075713903995</v>
      </c>
      <c r="J11406" s="6" t="n">
        <f aca="false">Sens!J11405*Sens!I11415</f>
        <v>39.4965759499509</v>
      </c>
      <c r="K11406" s="6" t="n">
        <f aca="false">Sens!K11405*Sens!J11415</f>
        <v>42.743557251252</v>
      </c>
      <c r="L11406" s="1" t="s">
        <v>967</v>
      </c>
    </row>
    <row r="11407" customFormat="false" ht="15" hidden="false" customHeight="false" outlineLevel="0" collapsed="false">
      <c r="A11407" s="1" t="s">
        <v>968</v>
      </c>
      <c r="B11407" s="0" t="s">
        <v>98</v>
      </c>
      <c r="E11407" s="6" t="n">
        <f aca="false">Sens!E11404-Sens!E11406</f>
        <v>37.441</v>
      </c>
      <c r="F11407" s="6" t="n">
        <f aca="false">Sens!F11404-Sens!F11406</f>
        <v>-32.8651381043428</v>
      </c>
      <c r="G11407" s="6" t="n">
        <f aca="false">Sens!G11404-Sens!G11406</f>
        <v>-5.65307542226813</v>
      </c>
      <c r="H11407" s="6" t="n">
        <f aca="false">Sens!H11404-Sens!H11406</f>
        <v>29.8077649587694</v>
      </c>
      <c r="I11407" s="6" t="n">
        <f aca="false">Sens!I11404-Sens!I11406</f>
        <v>90.346669085205</v>
      </c>
      <c r="J11407" s="6" t="n">
        <f aca="false">Sens!J11404-Sens!J11406</f>
        <v>155.176448016225</v>
      </c>
      <c r="K11407" s="6" t="n">
        <f aca="false">Sens!K11404-Sens!K11406</f>
        <v>182.732568332526</v>
      </c>
    </row>
    <row r="11408" customFormat="false" ht="15" hidden="false" customHeight="false" outlineLevel="0" collapsed="false">
      <c r="A11408" s="1" t="s">
        <v>969</v>
      </c>
      <c r="B11408" s="0" t="s">
        <v>98</v>
      </c>
      <c r="F11408" s="6" t="n">
        <f aca="false">debt_mat_27</f>
        <v>9.25</v>
      </c>
      <c r="G11408" s="6" t="n">
        <f aca="false">debt_mat_28</f>
        <v>0</v>
      </c>
      <c r="H11408" s="6" t="n">
        <f aca="false">debt_mat_29</f>
        <v>2.001</v>
      </c>
      <c r="I11408" s="6" t="n">
        <f aca="false">debt_mat_30</f>
        <v>0</v>
      </c>
      <c r="J11408" s="6" t="n">
        <f aca="false">debt_mat_31</f>
        <v>0.5</v>
      </c>
      <c r="K11408" s="6" t="n">
        <f aca="false">debt_mat_32</f>
        <v>0</v>
      </c>
    </row>
    <row r="11409" customFormat="false" ht="15" hidden="false" customHeight="false" outlineLevel="0" collapsed="false">
      <c r="A11409" s="1" t="s">
        <v>970</v>
      </c>
      <c r="B11409" s="0" t="s">
        <v>98</v>
      </c>
      <c r="E11409" s="6" t="n">
        <f aca="false">Q!M40</f>
        <v>22.271</v>
      </c>
      <c r="F11409" s="6" t="n">
        <f aca="false">MAX(0,MIN(bb_target,Sens!E11411+Sens!F11407-Sens!F11408-min_cash))</f>
        <v>0</v>
      </c>
      <c r="G11409" s="6" t="n">
        <f aca="false">MAX(0,MIN(bb_target,Sens!F11411+Sens!G11407-Sens!G11408-min_cash))</f>
        <v>0</v>
      </c>
      <c r="H11409" s="6" t="n">
        <f aca="false">MAX(0,MIN(bb_target,Sens!G11411+Sens!H11407-Sens!H11408-min_cash))</f>
        <v>22.271</v>
      </c>
      <c r="I11409" s="6" t="n">
        <f aca="false">MAX(0,MIN(bb_target,Sens!H11411+Sens!I11407-Sens!I11408-min_cash))</f>
        <v>22.271</v>
      </c>
      <c r="J11409" s="6" t="n">
        <f aca="false">MAX(0,MIN(bb_target,Sens!I11411+Sens!J11407-Sens!J11408-min_cash))</f>
        <v>22.271</v>
      </c>
      <c r="K11409" s="6" t="n">
        <f aca="false">MAX(0,MIN(bb_target,Sens!J11411+Sens!K11407-Sens!K11408-min_cash))</f>
        <v>22.271</v>
      </c>
    </row>
    <row r="11410" customFormat="false" ht="15" hidden="false" customHeight="false" outlineLevel="0" collapsed="false">
      <c r="A11410" s="1" t="s">
        <v>971</v>
      </c>
      <c r="B11410" s="0" t="s">
        <v>98</v>
      </c>
      <c r="F11410" s="6" t="n">
        <f aca="false">MAX(0,min_cash-(Sens!E11411+Sens!F11407-Sens!F11408-Sens!F11409))</f>
        <v>15.2721381043427</v>
      </c>
      <c r="G11410" s="6" t="n">
        <f aca="false">MAX(0,min_cash-(Sens!F11411+Sens!G11407-Sens!G11408-Sens!G11409))</f>
        <v>5.65307542226813</v>
      </c>
      <c r="H11410" s="6" t="n">
        <f aca="false">MAX(0,min_cash-(Sens!G11411+Sens!H11407-Sens!H11408-Sens!H11409))</f>
        <v>0</v>
      </c>
      <c r="I11410" s="6" t="n">
        <f aca="false">MAX(0,min_cash-(Sens!H11411+Sens!I11407-Sens!I11408-Sens!I11409))</f>
        <v>0</v>
      </c>
      <c r="J11410" s="6" t="n">
        <f aca="false">MAX(0,min_cash-(Sens!I11411+Sens!J11407-Sens!J11408-Sens!J11409))</f>
        <v>0</v>
      </c>
      <c r="K11410" s="6" t="n">
        <f aca="false">MAX(0,min_cash-(Sens!J11411+Sens!K11407-Sens!K11408-Sens!K11409))</f>
        <v>0</v>
      </c>
    </row>
    <row r="11411" customFormat="false" ht="15" hidden="false" customHeight="false" outlineLevel="0" collapsed="false">
      <c r="A11411" s="1" t="s">
        <v>972</v>
      </c>
      <c r="B11411" s="0" t="s">
        <v>98</v>
      </c>
      <c r="E11411" s="6" t="n">
        <f aca="false">cash_open</f>
        <v>76.843</v>
      </c>
      <c r="F11411" s="6" t="n">
        <f aca="false">Sens!E11411+Sens!F11407-Sens!F11408-Sens!F11409+Sens!F11410</f>
        <v>50</v>
      </c>
      <c r="G11411" s="6" t="n">
        <f aca="false">Sens!F11411+Sens!G11407-Sens!G11408-Sens!G11409+Sens!G11410</f>
        <v>50</v>
      </c>
      <c r="H11411" s="6" t="n">
        <f aca="false">Sens!G11411+Sens!H11407-Sens!H11408-Sens!H11409+Sens!H11410</f>
        <v>55.5357649587694</v>
      </c>
      <c r="I11411" s="6" t="n">
        <f aca="false">Sens!H11411+Sens!I11407-Sens!I11408-Sens!I11409+Sens!I11410</f>
        <v>123.611434043974</v>
      </c>
      <c r="J11411" s="6" t="n">
        <f aca="false">Sens!I11411+Sens!J11407-Sens!J11408-Sens!J11409+Sens!J11410</f>
        <v>256.016882060199</v>
      </c>
      <c r="K11411" s="6" t="n">
        <f aca="false">Sens!J11411+Sens!K11407-Sens!K11408-Sens!K11409+Sens!K11410</f>
        <v>416.478450392725</v>
      </c>
    </row>
    <row r="11412" customFormat="false" ht="15" hidden="false" customHeight="false" outlineLevel="0" collapsed="false">
      <c r="A11412" s="1" t="s">
        <v>973</v>
      </c>
      <c r="B11412" s="0" t="s">
        <v>98</v>
      </c>
      <c r="E11412" s="6" t="n">
        <f aca="false">debt_face</f>
        <v>46.136</v>
      </c>
      <c r="F11412" s="6" t="n">
        <f aca="false">Sens!E11412-Sens!F11408+Sens!F11410</f>
        <v>52.1581381043428</v>
      </c>
      <c r="G11412" s="6" t="n">
        <f aca="false">Sens!F11412-Sens!G11408+Sens!G11410</f>
        <v>57.8112135266109</v>
      </c>
      <c r="H11412" s="6" t="n">
        <f aca="false">Sens!G11412-Sens!H11408+Sens!H11410</f>
        <v>55.8102135266109</v>
      </c>
      <c r="I11412" s="6" t="n">
        <f aca="false">Sens!H11412-Sens!I11408+Sens!I11410</f>
        <v>55.8102135266109</v>
      </c>
      <c r="J11412" s="6" t="n">
        <f aca="false">Sens!I11412-Sens!J11408+Sens!J11410</f>
        <v>55.3102135266109</v>
      </c>
      <c r="K11412" s="6" t="n">
        <f aca="false">Sens!J11412-Sens!K11408+Sens!K11410</f>
        <v>55.3102135266109</v>
      </c>
    </row>
    <row r="11413" customFormat="false" ht="15" hidden="false" customHeight="false" outlineLevel="0" collapsed="false">
      <c r="A11413" s="1" t="s">
        <v>974</v>
      </c>
      <c r="B11413" s="0" t="s">
        <v>98</v>
      </c>
      <c r="E11413" s="6" t="n">
        <f aca="false">Sens!E11411-Sens!E11412</f>
        <v>30.707</v>
      </c>
      <c r="F11413" s="6" t="n">
        <f aca="false">Sens!F11411-Sens!F11412</f>
        <v>-2.15813810434275</v>
      </c>
      <c r="G11413" s="6" t="n">
        <f aca="false">Sens!G11411-Sens!G11412</f>
        <v>-7.81121352661088</v>
      </c>
      <c r="H11413" s="6" t="n">
        <f aca="false">Sens!H11411-Sens!H11412</f>
        <v>-0.274448567841446</v>
      </c>
      <c r="I11413" s="6" t="n">
        <f aca="false">Sens!I11411-Sens!I11412</f>
        <v>67.8012205173636</v>
      </c>
      <c r="J11413" s="6" t="n">
        <f aca="false">Sens!J11411-Sens!J11412</f>
        <v>200.706668533588</v>
      </c>
      <c r="K11413" s="6" t="n">
        <f aca="false">Sens!K11411-Sens!K11412</f>
        <v>361.168236866115</v>
      </c>
    </row>
    <row r="11414" customFormat="false" ht="15" hidden="false" customHeight="false" outlineLevel="0" collapsed="false">
      <c r="A11414" s="1" t="s">
        <v>975</v>
      </c>
      <c r="B11414" s="0" t="s">
        <v>75</v>
      </c>
      <c r="F11414" s="29" t="n">
        <f aca="false">px*(1+bb_g)^(Sens!F11276-base_fy-mid_yr)</f>
        <v>553.494156066711</v>
      </c>
      <c r="G11414" s="29" t="n">
        <f aca="false">px*(1+bb_g)^(Sens!G11276-base_fy-mid_yr)</f>
        <v>597.773688552047</v>
      </c>
      <c r="H11414" s="29" t="n">
        <f aca="false">px*(1+bb_g)^(Sens!H11276-base_fy-mid_yr)</f>
        <v>645.595583636211</v>
      </c>
      <c r="I11414" s="29" t="n">
        <f aca="false">px*(1+bb_g)^(Sens!I11276-base_fy-mid_yr)</f>
        <v>697.243230327108</v>
      </c>
      <c r="J11414" s="29" t="n">
        <f aca="false">px*(1+bb_g)^(Sens!J11276-base_fy-mid_yr)</f>
        <v>753.022688753277</v>
      </c>
      <c r="K11414" s="29" t="n">
        <f aca="false">px*(1+bb_g)^(Sens!K11276-base_fy-mid_yr)</f>
        <v>813.264503853539</v>
      </c>
    </row>
    <row r="11415" customFormat="false" ht="15" hidden="false" customHeight="false" outlineLevel="0" collapsed="false">
      <c r="A11415" s="1" t="s">
        <v>976</v>
      </c>
      <c r="B11415" s="1" t="s">
        <v>81</v>
      </c>
      <c r="E11415" s="14" t="n">
        <f aca="false">sh_out26</f>
        <v>7.427</v>
      </c>
      <c r="F11415" s="14" t="n">
        <f aca="false">Sens!E11415+sh_iss-Sens!F11409/Sens!F11414</f>
        <v>7.472</v>
      </c>
      <c r="G11415" s="14" t="n">
        <f aca="false">Sens!F11415+sh_iss-Sens!G11409/Sens!G11414</f>
        <v>7.517</v>
      </c>
      <c r="H11415" s="14" t="n">
        <f aca="false">Sens!G11415+sh_iss-Sens!H11409/Sens!H11414</f>
        <v>7.5275031716999</v>
      </c>
      <c r="I11415" s="14" t="n">
        <f aca="false">Sens!H11415+sh_iss-Sens!I11409/Sens!I11414</f>
        <v>7.54056166401463</v>
      </c>
      <c r="J11415" s="14" t="n">
        <f aca="false">Sens!I11415+sh_iss-Sens!J11409/Sens!J11414</f>
        <v>7.55598619393567</v>
      </c>
      <c r="K11415" s="14" t="n">
        <f aca="false">Sens!J11415+sh_iss-Sens!K11409/Sens!K11414</f>
        <v>7.57360149941811</v>
      </c>
    </row>
    <row r="11416" customFormat="false" ht="15" hidden="false" customHeight="false" outlineLevel="0" collapsed="false">
      <c r="A11416" s="1" t="s">
        <v>977</v>
      </c>
      <c r="B11416" s="1" t="s">
        <v>81</v>
      </c>
      <c r="E11416" s="14" t="n">
        <f aca="false">sh_dil26</f>
        <v>7.453</v>
      </c>
      <c r="F11416" s="14" t="n">
        <f aca="false">(Sens!E11415+Sens!F11415)/2+dil_gap</f>
        <v>7.4735</v>
      </c>
      <c r="G11416" s="14" t="n">
        <f aca="false">(Sens!F11415+Sens!G11415)/2+dil_gap</f>
        <v>7.5185</v>
      </c>
      <c r="H11416" s="14" t="n">
        <f aca="false">(Sens!G11415+Sens!H11415)/2+dil_gap</f>
        <v>7.54625158584995</v>
      </c>
      <c r="I11416" s="14" t="n">
        <f aca="false">(Sens!H11415+Sens!I11415)/2+dil_gap</f>
        <v>7.55803241785726</v>
      </c>
      <c r="J11416" s="14" t="n">
        <f aca="false">(Sens!I11415+Sens!J11415)/2+dil_gap</f>
        <v>7.57227392897515</v>
      </c>
      <c r="K11416" s="14" t="n">
        <f aca="false">(Sens!J11415+Sens!K11415)/2+dil_gap</f>
        <v>7.58879384667689</v>
      </c>
    </row>
    <row r="11417" customFormat="false" ht="17.15" hidden="false" customHeight="false" outlineLevel="0" collapsed="false">
      <c r="A11417" s="1" t="s">
        <v>978</v>
      </c>
      <c r="B11417" s="0" t="s">
        <v>98</v>
      </c>
      <c r="C11417" s="6" t="n">
        <f aca="false">SUM(Sens!F11407:J11407)</f>
        <v>236.812668533588</v>
      </c>
    </row>
    <row r="11418" customFormat="false" ht="15" hidden="false" customHeight="false" outlineLevel="0" collapsed="false">
      <c r="A11418" s="23" t="s">
        <v>945</v>
      </c>
      <c r="B11418" s="30" t="s">
        <v>98</v>
      </c>
      <c r="C11418" s="24" t="n">
        <f aca="false">Sens!$C$11417-(Sens!F11407+Sens!G11407+Sens!H11407+Sens!I11407+Sens!J11407)</f>
        <v>0</v>
      </c>
      <c r="D11418" s="30"/>
      <c r="E11418" s="30"/>
      <c r="F11418" s="30"/>
      <c r="G11418" s="30"/>
      <c r="H11418" s="30"/>
      <c r="I11418" s="30"/>
      <c r="J11418" s="30"/>
      <c r="K11418" s="30"/>
    </row>
    <row r="11419" customFormat="false" ht="17.15" hidden="false" customHeight="false" outlineLevel="0" collapsed="false">
      <c r="A11419" s="1" t="s">
        <v>939</v>
      </c>
      <c r="B11419" s="1" t="s">
        <v>979</v>
      </c>
      <c r="C11419" s="32" t="str">
        <f aca="false">IF(SUM(Sens!F11410:J11410)&gt;0.05,"需要舉債 "&amp;TEXT(SUM(Sens!F11410:J11410),"0.0")&amp;" 十億美元","不需舉債")&amp;"；"&amp;IF(SUM(Sens!F11409:J11409)&lt;COUNT(Sens!F11409:J11409)*bb_target-0.05,"回購較每年 "&amp;TEXT(bb_target,"0.0")&amp;" 的目標少 "&amp;TEXT(COUNT(Sens!F11409:J11409)*bb_target-SUM(Sens!F11409:J11409),"0.0")&amp;" 十億美元（"&amp;TEXT(COUNTIF(Sens!F11409:J11409,"&lt;"&amp;(bb_target-0.05)),"0")&amp;" 年減少）","回購不減")</f>
        <v>需要舉債 20.9 十億美元；回購較每年 22.3 的目標少 44.5 十億美元（2 年減少）</v>
      </c>
    </row>
    <row r="11420" customFormat="false" ht="17.15" hidden="false" customHeight="false" outlineLevel="0" collapsed="false">
      <c r="A11420" s="3" t="s">
        <v>1556</v>
      </c>
    </row>
    <row r="11421" customFormat="false" ht="15" hidden="false" customHeight="false" outlineLevel="0" collapsed="false">
      <c r="A11421" s="4" t="s">
        <v>43</v>
      </c>
      <c r="B11421" s="4" t="s">
        <v>65</v>
      </c>
      <c r="C11421" s="20" t="s">
        <v>799</v>
      </c>
      <c r="D11421" s="20" t="s">
        <v>800</v>
      </c>
      <c r="E11421" s="20" t="s">
        <v>801</v>
      </c>
      <c r="F11421" s="20" t="s">
        <v>802</v>
      </c>
      <c r="G11421" s="20" t="s">
        <v>803</v>
      </c>
      <c r="H11421" s="20" t="s">
        <v>804</v>
      </c>
      <c r="I11421" s="20" t="s">
        <v>805</v>
      </c>
      <c r="J11421" s="20" t="s">
        <v>806</v>
      </c>
      <c r="K11421" s="20" t="s">
        <v>807</v>
      </c>
      <c r="L11421" s="4" t="s">
        <v>47</v>
      </c>
    </row>
    <row r="11422" customFormat="false" ht="15" hidden="false" customHeight="false" outlineLevel="0" collapsed="false">
      <c r="A11422" s="1" t="s">
        <v>1057</v>
      </c>
      <c r="B11422" s="1" t="s">
        <v>235</v>
      </c>
      <c r="F11422" s="36" t="n">
        <f aca="false">Sens!F11276-base_fy-mid_yr</f>
        <v>0.5</v>
      </c>
      <c r="G11422" s="36" t="n">
        <f aca="false">Sens!G11276-base_fy-mid_yr</f>
        <v>1.5</v>
      </c>
      <c r="H11422" s="36" t="n">
        <f aca="false">Sens!H11276-base_fy-mid_yr</f>
        <v>2.5</v>
      </c>
      <c r="I11422" s="36" t="n">
        <f aca="false">Sens!I11276-base_fy-mid_yr</f>
        <v>3.5</v>
      </c>
      <c r="J11422" s="36" t="n">
        <f aca="false">Sens!J11276-base_fy-mid_yr</f>
        <v>4.5</v>
      </c>
      <c r="K11422" s="36" t="n">
        <f aca="false">Sens!K11276-base_fy-mid_yr</f>
        <v>5.5</v>
      </c>
    </row>
    <row r="11423" customFormat="false" ht="15" hidden="false" customHeight="false" outlineLevel="0" collapsed="false">
      <c r="A11423" s="1" t="s">
        <v>1058</v>
      </c>
      <c r="B11423" s="0" t="s">
        <v>185</v>
      </c>
      <c r="F11423" s="14" t="n">
        <f aca="false">1/(1+wacc)^Sens!F11422</f>
        <v>0.952193373608246</v>
      </c>
      <c r="G11423" s="14" t="n">
        <f aca="false">1/(1+wacc)^Sens!G11422</f>
        <v>0.863327280626589</v>
      </c>
      <c r="H11423" s="14" t="n">
        <f aca="false">1/(1+wacc)^Sens!H11422</f>
        <v>0.782754862754115</v>
      </c>
      <c r="I11423" s="14" t="n">
        <f aca="false">1/(1+wacc)^Sens!I11422</f>
        <v>0.709702089711011</v>
      </c>
      <c r="J11423" s="14" t="n">
        <f aca="false">1/(1+wacc)^Sens!J11422</f>
        <v>0.643467169744551</v>
      </c>
      <c r="K11423" s="14" t="n">
        <f aca="false">1/(1+wacc)^Sens!K11422</f>
        <v>0.583413807767797</v>
      </c>
    </row>
    <row r="11424" customFormat="false" ht="17.15" hidden="false" customHeight="false" outlineLevel="0" collapsed="false">
      <c r="A11424" s="1" t="s">
        <v>1059</v>
      </c>
      <c r="B11424" s="0" t="s">
        <v>98</v>
      </c>
      <c r="F11424" s="6" t="n">
        <f aca="false">Sens!F11397-Sens!F11395-Sens!F11401+Sens!F11380*(1-tax_f)</f>
        <v>-7.53065221930525</v>
      </c>
      <c r="G11424" s="6" t="n">
        <f aca="false">Sens!G11397-Sens!G11395-Sens!G11401+Sens!G11380*(1-tax_f)</f>
        <v>31.4859561350231</v>
      </c>
      <c r="H11424" s="6" t="n">
        <f aca="false">Sens!H11397-Sens!H11395-Sens!H11401+Sens!H11380*(1-tax_f)</f>
        <v>79.3418640827009</v>
      </c>
      <c r="I11424" s="6" t="n">
        <f aca="false">Sens!I11397-Sens!I11395-Sens!I11401+Sens!I11380*(1-tax_f)</f>
        <v>151.97933093261</v>
      </c>
      <c r="J11424" s="6" t="n">
        <f aca="false">Sens!J11397-Sens!J11395-Sens!J11401+Sens!J11380*(1-tax_f)</f>
        <v>226.215732476466</v>
      </c>
      <c r="K11424" s="6" t="n">
        <f aca="false">Sens!K11397-Sens!K11395-Sens!K11401+Sens!K11380*(1-tax_f)</f>
        <v>260.296329617799</v>
      </c>
      <c r="L11424" s="1" t="s">
        <v>1060</v>
      </c>
    </row>
    <row r="11425" customFormat="false" ht="15" hidden="false" customHeight="false" outlineLevel="0" collapsed="false">
      <c r="A11425" s="1" t="s">
        <v>1061</v>
      </c>
      <c r="B11425" s="0" t="s">
        <v>98</v>
      </c>
      <c r="F11425" s="6" t="n">
        <f aca="false">Sens!F11424*Sens!F11423</f>
        <v>-7.17063714217069</v>
      </c>
      <c r="G11425" s="6" t="n">
        <f aca="false">Sens!G11424*Sens!G11423</f>
        <v>27.1826848879775</v>
      </c>
      <c r="H11425" s="6" t="n">
        <f aca="false">Sens!H11424*Sens!H11423</f>
        <v>62.1052299307102</v>
      </c>
      <c r="I11425" s="6" t="n">
        <f aca="false">Sens!I11424*Sens!I11423</f>
        <v>107.860048755755</v>
      </c>
      <c r="J11425" s="6" t="n">
        <f aca="false">Sens!J11424*Sens!J11423</f>
        <v>145.562397128322</v>
      </c>
      <c r="K11425" s="6" t="n">
        <f aca="false">Sens!K11424*Sens!K11423</f>
        <v>151.860472810302</v>
      </c>
    </row>
    <row r="11426" customFormat="false" ht="17.15" hidden="false" customHeight="false" outlineLevel="0" collapsed="false">
      <c r="A11426" s="1" t="s">
        <v>1062</v>
      </c>
      <c r="B11426" s="0" t="s">
        <v>98</v>
      </c>
      <c r="C11426" s="6" t="n">
        <f aca="false">SUM(Sens!F11425:K11425)</f>
        <v>487.400196370896</v>
      </c>
    </row>
    <row r="11427" customFormat="false" ht="17.15" hidden="false" customHeight="false" outlineLevel="0" collapsed="false">
      <c r="A11427" s="1" t="s">
        <v>1063</v>
      </c>
      <c r="B11427" s="0" t="s">
        <v>98</v>
      </c>
      <c r="C11427" s="6" t="n">
        <f aca="false">Sens!K11366*(1+g_tv)*(1-tax_f)</f>
        <v>276.289943906088</v>
      </c>
    </row>
    <row r="11428" customFormat="false" ht="17.15" hidden="false" customHeight="false" outlineLevel="0" collapsed="false">
      <c r="A11428" s="1" t="s">
        <v>1064</v>
      </c>
      <c r="B11428" s="0" t="s">
        <v>98</v>
      </c>
      <c r="C11428" s="6" t="n">
        <f aca="false">Sens!$C$11427*(1-g_tv/(wacc+ronic_prem))</f>
        <v>195.765875186374</v>
      </c>
    </row>
    <row r="11429" customFormat="false" ht="17.15" hidden="false" customHeight="false" outlineLevel="0" collapsed="false">
      <c r="A11429" s="1" t="s">
        <v>1065</v>
      </c>
      <c r="B11429" s="0" t="s">
        <v>98</v>
      </c>
      <c r="C11429" s="6" t="n">
        <f aca="false">Sens!$C$11428/(wacc-g_tv)</f>
        <v>2684.13562399047</v>
      </c>
    </row>
    <row r="11430" customFormat="false" ht="15" hidden="false" customHeight="false" outlineLevel="0" collapsed="false">
      <c r="A11430" s="1" t="s">
        <v>1066</v>
      </c>
      <c r="B11430" s="0" t="s">
        <v>98</v>
      </c>
      <c r="C11430" s="6" t="n">
        <f aca="false">Sens!$C$11429/(1+wacc)^(Sens!K11422+mid_yr)</f>
        <v>1491.09843496025</v>
      </c>
    </row>
    <row r="11431" customFormat="false" ht="17.15" hidden="false" customHeight="false" outlineLevel="0" collapsed="false">
      <c r="A11431" s="0" t="s">
        <v>986</v>
      </c>
      <c r="B11431" s="0" t="s">
        <v>98</v>
      </c>
      <c r="C11431" s="6" t="n">
        <f aca="false">Sens!$C$11426+Sens!$C$11430</f>
        <v>1978.49863133114</v>
      </c>
    </row>
    <row r="11432" customFormat="false" ht="15" hidden="false" customHeight="false" outlineLevel="0" collapsed="false">
      <c r="A11432" s="1" t="s">
        <v>987</v>
      </c>
      <c r="B11432" s="0" t="s">
        <v>129</v>
      </c>
      <c r="C11432" s="7" t="n">
        <f aca="false">Sens!$C$11430/Sens!$C$11431</f>
        <v>0.753651486711936</v>
      </c>
    </row>
    <row r="11433" customFormat="false" ht="17.15" hidden="false" customHeight="false" outlineLevel="0" collapsed="false">
      <c r="A11433" s="1" t="s">
        <v>1067</v>
      </c>
      <c r="B11433" s="0" t="s">
        <v>98</v>
      </c>
      <c r="C11433" s="6" t="n">
        <f aca="false">Sens!$C$11431+Sens!E11413-Sens!E11402+oai_v</f>
        <v>2113.01163133114</v>
      </c>
    </row>
    <row r="11434" customFormat="false" ht="17.15" hidden="false" customHeight="false" outlineLevel="0" collapsed="false">
      <c r="A11434" s="0" t="s">
        <v>994</v>
      </c>
      <c r="B11434" s="0" t="s">
        <v>75</v>
      </c>
      <c r="C11434" s="5" t="n">
        <f aca="false">Sens!$C$11433/sh_dil26</f>
        <v>283.511556598838</v>
      </c>
    </row>
    <row r="11435" customFormat="false" ht="15" hidden="false" customHeight="false" outlineLevel="0" collapsed="false">
      <c r="A11435" s="1" t="s">
        <v>1068</v>
      </c>
      <c r="B11435" s="0" t="s">
        <v>75</v>
      </c>
      <c r="C11435" s="8" t="n">
        <f aca="false">dps_27+Sens!G11405*roll_div_q/q_per_yr</f>
        <v>4.8895</v>
      </c>
    </row>
    <row r="11436" customFormat="false" ht="17.15" hidden="false" customHeight="false" outlineLevel="0" collapsed="false">
      <c r="A11436" s="0" t="s">
        <v>1069</v>
      </c>
      <c r="B11436" s="0" t="s">
        <v>75</v>
      </c>
      <c r="C11436" s="5" t="n">
        <f aca="false">Sens!$C$11434*(1+wacc)^t_roll-Sens!$C$11435</f>
        <v>317.954575815515</v>
      </c>
    </row>
    <row r="11437" customFormat="false" ht="17.15" hidden="false" customHeight="false" outlineLevel="0" collapsed="false">
      <c r="A11437" s="1" t="s">
        <v>1070</v>
      </c>
      <c r="B11437" s="0" t="s">
        <v>129</v>
      </c>
      <c r="F11437" s="7" t="n">
        <f aca="false">Sens!F11392/(Sens!F11337-Sens!F11293)</f>
        <v>0.0708376243512414</v>
      </c>
      <c r="G11437" s="7" t="n">
        <f aca="false">Sens!G11392/(Sens!G11337-Sens!G11293)</f>
        <v>0.0675792567445289</v>
      </c>
      <c r="H11437" s="7" t="n">
        <f aca="false">Sens!H11392/(Sens!H11337-Sens!H11293)</f>
        <v>0.0657637992399081</v>
      </c>
      <c r="I11437" s="7" t="n">
        <f aca="false">Sens!I11392/(Sens!I11337-Sens!I11293)</f>
        <v>0.0652507860006261</v>
      </c>
      <c r="J11437" s="7" t="n">
        <f aca="false">Sens!J11392/(Sens!J11337-Sens!J11293)</f>
        <v>0.0657374094257698</v>
      </c>
      <c r="K11437" s="7" t="n">
        <f aca="false">Sens!K11392/(Sens!K11337-Sens!K11293)</f>
        <v>0.0668595832904836</v>
      </c>
    </row>
    <row r="11438" customFormat="false" ht="17.15" hidden="false" customHeight="false" outlineLevel="0" collapsed="false">
      <c r="A11438" s="0" t="s">
        <v>1071</v>
      </c>
      <c r="B11438" s="0" t="s">
        <v>98</v>
      </c>
      <c r="F11438" s="6" t="n">
        <f aca="false">Sens!F11322*(al_m365+Sens!F11437+sbc_r)</f>
        <v>84.2019918892952</v>
      </c>
      <c r="G11438" s="6" t="n">
        <f aca="false">Sens!G11322*(al_m365+Sens!G11437+sbc_r)</f>
        <v>96.61090954529</v>
      </c>
      <c r="H11438" s="6" t="n">
        <f aca="false">Sens!H11322*(al_m365+Sens!H11437+sbc_r)</f>
        <v>109.18271398457</v>
      </c>
      <c r="I11438" s="6" t="n">
        <f aca="false">Sens!I11322*(al_m365+Sens!I11437+sbc_r)</f>
        <v>120.736322591613</v>
      </c>
      <c r="J11438" s="6" t="n">
        <f aca="false">Sens!J11322*(al_m365+Sens!J11437+sbc_r)</f>
        <v>131.084561154645</v>
      </c>
      <c r="K11438" s="6" t="n">
        <f aca="false">Sens!K11322*(al_m365+Sens!K11437+sbc_r)</f>
        <v>141.044207560217</v>
      </c>
      <c r="L11438" s="11" t="s">
        <v>1072</v>
      </c>
    </row>
    <row r="11439" customFormat="false" ht="17.15" hidden="false" customHeight="false" outlineLevel="0" collapsed="false">
      <c r="A11439" s="0" t="s">
        <v>1073</v>
      </c>
      <c r="B11439" s="0" t="s">
        <v>98</v>
      </c>
      <c r="F11439" s="6" t="n">
        <f aca="false">Sens!F11323*(al_lic+Sens!F11437+sbc_r)</f>
        <v>33.5324516680982</v>
      </c>
      <c r="G11439" s="6" t="n">
        <f aca="false">Sens!G11323*(al_lic+Sens!G11437+sbc_r)</f>
        <v>34.819657317048</v>
      </c>
      <c r="H11439" s="6" t="n">
        <f aca="false">Sens!H11323*(al_lic+Sens!H11437+sbc_r)</f>
        <v>36.0229106304815</v>
      </c>
      <c r="I11439" s="6" t="n">
        <f aca="false">Sens!I11323*(al_lic+Sens!I11437+sbc_r)</f>
        <v>37.1234854794919</v>
      </c>
      <c r="J11439" s="6" t="n">
        <f aca="false">Sens!J11323*(al_lic+Sens!J11437+sbc_r)</f>
        <v>38.0950592345738</v>
      </c>
      <c r="K11439" s="6" t="n">
        <f aca="false">Sens!K11323*(al_lic+Sens!K11437+sbc_r)</f>
        <v>38.9080719459809</v>
      </c>
    </row>
    <row r="11440" customFormat="false" ht="17.15" hidden="false" customHeight="false" outlineLevel="0" collapsed="false">
      <c r="A11440" s="0" t="s">
        <v>1074</v>
      </c>
      <c r="B11440" s="0" t="s">
        <v>98</v>
      </c>
      <c r="F11440" s="6" t="n">
        <f aca="false">Sens!F11325*(al_ind+Sens!F11437+sbc_r)</f>
        <v>9.12666918765551</v>
      </c>
      <c r="G11440" s="6" t="n">
        <f aca="false">Sens!G11325*(al_ind+Sens!G11437+sbc_r)</f>
        <v>9.89694850970116</v>
      </c>
      <c r="H11440" s="6" t="n">
        <f aca="false">Sens!H11325*(al_ind+Sens!H11437+sbc_r)</f>
        <v>10.7131335152527</v>
      </c>
      <c r="I11440" s="6" t="n">
        <f aca="false">Sens!I11325*(al_ind+Sens!I11437+sbc_r)</f>
        <v>11.5721730864119</v>
      </c>
      <c r="J11440" s="6" t="n">
        <f aca="false">Sens!J11325*(al_ind+Sens!J11437+sbc_r)</f>
        <v>12.4641697526801</v>
      </c>
      <c r="K11440" s="6" t="n">
        <f aca="false">Sens!K11325*(al_ind+Sens!K11437+sbc_r)</f>
        <v>13.3737871892836</v>
      </c>
    </row>
    <row r="11441" customFormat="false" ht="17.15" hidden="false" customHeight="false" outlineLevel="0" collapsed="false">
      <c r="A11441" s="0" t="s">
        <v>1075</v>
      </c>
      <c r="B11441" s="0" t="s">
        <v>98</v>
      </c>
      <c r="F11441" s="6" t="n">
        <f aca="false">Sens!F11327*(al_fro+Sens!F11437+sbc_r)</f>
        <v>3.5922890341799</v>
      </c>
      <c r="G11441" s="6" t="n">
        <f aca="false">Sens!G11327*(al_fro+Sens!G11437+sbc_r)</f>
        <v>3.79984310356763</v>
      </c>
      <c r="H11441" s="6" t="n">
        <f aca="false">Sens!H11327*(al_fro+Sens!H11437+sbc_r)</f>
        <v>4.03707539290126</v>
      </c>
      <c r="I11441" s="6" t="n">
        <f aca="false">Sens!I11327*(al_fro+Sens!I11437+sbc_r)</f>
        <v>4.30669184104541</v>
      </c>
      <c r="J11441" s="6" t="n">
        <f aca="false">Sens!J11327*(al_fro+Sens!J11437+sbc_r)</f>
        <v>4.6097289716959</v>
      </c>
      <c r="K11441" s="6" t="n">
        <f aca="false">Sens!K11327*(al_fro+Sens!K11437+sbc_r)</f>
        <v>4.94614045628512</v>
      </c>
    </row>
    <row r="11442" customFormat="false" ht="17.15" hidden="false" customHeight="false" outlineLevel="0" collapsed="false">
      <c r="A11442" s="0" t="s">
        <v>1076</v>
      </c>
      <c r="B11442" s="0" t="s">
        <v>98</v>
      </c>
      <c r="F11442" s="6" t="n">
        <f aca="false">Sens!F11330*(al_srch+Sens!F11437+sbc_r)</f>
        <v>11.2715683093452</v>
      </c>
      <c r="G11442" s="6" t="n">
        <f aca="false">Sens!G11330*(al_srch+Sens!G11437+sbc_r)</f>
        <v>12.338201972554</v>
      </c>
      <c r="H11442" s="6" t="n">
        <f aca="false">Sens!H11330*(al_srch+Sens!H11437+sbc_r)</f>
        <v>13.450727865064</v>
      </c>
      <c r="I11442" s="6" t="n">
        <f aca="false">Sens!I11330*(al_srch+Sens!I11437+sbc_r)</f>
        <v>14.598560682534</v>
      </c>
      <c r="J11442" s="6" t="n">
        <f aca="false">Sens!J11330*(al_srch+Sens!J11437+sbc_r)</f>
        <v>15.7615229152659</v>
      </c>
      <c r="K11442" s="6" t="n">
        <f aca="false">Sens!K11330*(al_srch+Sens!K11437+sbc_r)</f>
        <v>16.9117765106222</v>
      </c>
    </row>
    <row r="11443" customFormat="false" ht="17.15" hidden="false" customHeight="false" outlineLevel="0" collapsed="false">
      <c r="A11443" s="0" t="s">
        <v>1077</v>
      </c>
      <c r="B11443" s="0" t="s">
        <v>98</v>
      </c>
      <c r="F11443" s="6" t="n">
        <f aca="false">Sens!F11299-Sens!F11300+Sens!F11380</f>
        <v>42.3604306726393</v>
      </c>
      <c r="G11443" s="6" t="n">
        <f aca="false">Sens!G11299-Sens!G11300+Sens!G11380</f>
        <v>79.9577537443441</v>
      </c>
      <c r="H11443" s="6" t="n">
        <f aca="false">Sens!H11299-Sens!H11300+Sens!H11380</f>
        <v>120.435533679822</v>
      </c>
      <c r="I11443" s="6" t="n">
        <f aca="false">Sens!I11299-Sens!I11300+Sens!I11380</f>
        <v>156.980256506302</v>
      </c>
      <c r="J11443" s="6" t="n">
        <f aca="false">Sens!J11299-Sens!J11300+Sens!J11380</f>
        <v>183.04321819491</v>
      </c>
      <c r="K11443" s="6" t="n">
        <f aca="false">Sens!K11299-Sens!K11300+Sens!K11380</f>
        <v>199.839533496123</v>
      </c>
    </row>
    <row r="11444" customFormat="false" ht="17.15" hidden="false" customHeight="false" outlineLevel="0" collapsed="false">
      <c r="A11444" s="0" t="s">
        <v>1078</v>
      </c>
      <c r="B11444" s="0" t="s">
        <v>98</v>
      </c>
      <c r="F11444" s="6" t="n">
        <f aca="false">Sens!F11359+Sens!F11380+Sens!F11310+Sens!F11437*(Sens!F11329-Sens!F11293)+sbc_r*Sens!F11329</f>
        <v>227.633466139029</v>
      </c>
      <c r="G11444" s="6" t="n">
        <f aca="false">Sens!G11359+Sens!G11380+Sens!G11310+Sens!G11437*(Sens!G11329-Sens!G11293)+sbc_r*Sens!G11329</f>
        <v>291.545757397791</v>
      </c>
      <c r="H11444" s="6" t="n">
        <f aca="false">Sens!H11359+Sens!H11380+Sens!H11310+Sens!H11437*(Sens!H11329-Sens!H11293)+sbc_r*Sens!H11329</f>
        <v>358.835952546512</v>
      </c>
      <c r="I11444" s="6" t="n">
        <f aca="false">Sens!I11359+Sens!I11380+Sens!I11310+Sens!I11437*(Sens!I11329-Sens!I11293)+sbc_r*Sens!I11329</f>
        <v>420.868982831183</v>
      </c>
      <c r="J11444" s="6" t="n">
        <f aca="false">Sens!J11359+Sens!J11380+Sens!J11310+Sens!J11437*(Sens!J11329-Sens!J11293)+sbc_r*Sens!J11329</f>
        <v>470.063153351773</v>
      </c>
      <c r="K11444" s="6" t="n">
        <f aca="false">Sens!K11359+Sens!K11380+Sens!K11310+Sens!K11437*(Sens!K11329-Sens!K11293)+sbc_r*Sens!K11329</f>
        <v>507.713837934955</v>
      </c>
    </row>
    <row r="11445" customFormat="false" ht="17.15" hidden="false" customHeight="false" outlineLevel="0" collapsed="false">
      <c r="A11445" s="0" t="s">
        <v>1079</v>
      </c>
      <c r="B11445" s="0" t="s">
        <v>98</v>
      </c>
      <c r="F11445" s="6" t="n">
        <f aca="false">Sens!F11444-Sens!F11438-Sens!F11439-Sens!F11440-Sens!F11441-Sens!F11443</f>
        <v>54.8196336871607</v>
      </c>
      <c r="G11445" s="6" t="n">
        <f aca="false">Sens!G11444-Sens!G11438-Sens!G11439-Sens!G11440-Sens!G11441-Sens!G11443</f>
        <v>66.46064517784</v>
      </c>
      <c r="H11445" s="6" t="n">
        <f aca="false">Sens!H11444-Sens!H11438-Sens!H11439-Sens!H11440-Sens!H11441-Sens!H11443</f>
        <v>78.4445853434845</v>
      </c>
      <c r="I11445" s="6" t="n">
        <f aca="false">Sens!I11444-Sens!I11438-Sens!I11439-Sens!I11440-Sens!I11441-Sens!I11443</f>
        <v>90.1500533263194</v>
      </c>
      <c r="J11445" s="6" t="n">
        <f aca="false">Sens!J11444-Sens!J11438-Sens!J11439-Sens!J11440-Sens!J11441-Sens!J11443</f>
        <v>100.766416043268</v>
      </c>
      <c r="K11445" s="6" t="n">
        <f aca="false">Sens!K11444-Sens!K11438-Sens!K11439-Sens!K11440-Sens!K11441-Sens!K11443</f>
        <v>109.602097287064</v>
      </c>
    </row>
    <row r="11446" customFormat="false" ht="17.15" hidden="false" customHeight="false" outlineLevel="0" collapsed="false">
      <c r="A11446" s="0" t="s">
        <v>1080</v>
      </c>
      <c r="B11446" s="0" t="s">
        <v>98</v>
      </c>
      <c r="F11446" s="6" t="n">
        <f aca="false">Sens!F11361+Sens!F11437*Sens!F11336+sbc_r*Sens!F11336</f>
        <v>25.0422554773578</v>
      </c>
      <c r="G11446" s="6" t="n">
        <f aca="false">Sens!G11361+Sens!G11437*Sens!G11336+sbc_r*Sens!G11336</f>
        <v>25.5861590198256</v>
      </c>
      <c r="H11446" s="6" t="n">
        <f aca="false">Sens!H11361+Sens!H11437*Sens!H11336+sbc_r*Sens!H11336</f>
        <v>26.3942616296297</v>
      </c>
      <c r="I11446" s="6" t="n">
        <f aca="false">Sens!I11361+Sens!I11437*Sens!I11336+sbc_r*Sens!I11336</f>
        <v>27.4369448160055</v>
      </c>
      <c r="J11446" s="6" t="n">
        <f aca="false">Sens!J11361+Sens!J11437*Sens!J11336+sbc_r*Sens!J11336</f>
        <v>28.6788643142056</v>
      </c>
      <c r="K11446" s="6" t="n">
        <f aca="false">Sens!K11361+Sens!K11437*Sens!K11336+sbc_r*Sens!K11336</f>
        <v>30.0827375473973</v>
      </c>
    </row>
    <row r="11447" customFormat="false" ht="17.15" hidden="false" customHeight="false" outlineLevel="0" collapsed="false">
      <c r="A11447" s="0" t="s">
        <v>1081</v>
      </c>
      <c r="B11447" s="0" t="s">
        <v>98</v>
      </c>
      <c r="F11447" s="6" t="n">
        <f aca="false">(Sens!F11446-Sens!F11442)*Sens!F11332/(Sens!F11332+Sens!F11334)</f>
        <v>7.54895658095498</v>
      </c>
      <c r="G11447" s="6" t="n">
        <f aca="false">(Sens!G11446-Sens!G11442)*Sens!G11332/(Sens!G11332+Sens!G11334)</f>
        <v>7.13291286632402</v>
      </c>
      <c r="H11447" s="6" t="n">
        <f aca="false">(Sens!H11446-Sens!H11442)*Sens!H11332/(Sens!H11332+Sens!H11334)</f>
        <v>6.87486685015873</v>
      </c>
      <c r="I11447" s="6" t="n">
        <f aca="false">(Sens!I11446-Sens!I11442)*Sens!I11332/(Sens!I11332+Sens!I11334)</f>
        <v>6.75731880781278</v>
      </c>
      <c r="J11447" s="6" t="n">
        <f aca="false">(Sens!J11446-Sens!J11442)*Sens!J11332/(Sens!J11332+Sens!J11334)</f>
        <v>6.76813268097073</v>
      </c>
      <c r="K11447" s="6" t="n">
        <f aca="false">(Sens!K11446-Sens!K11442)*Sens!K11332/(Sens!K11332+Sens!K11334)</f>
        <v>6.9010184897727</v>
      </c>
    </row>
    <row r="11448" customFormat="false" ht="17.15" hidden="false" customHeight="false" outlineLevel="0" collapsed="false">
      <c r="A11448" s="0" t="s">
        <v>1082</v>
      </c>
      <c r="B11448" s="0" t="s">
        <v>98</v>
      </c>
      <c r="F11448" s="6" t="n">
        <f aca="false">Sens!F11446-Sens!F11442-Sens!F11447</f>
        <v>6.22173058705766</v>
      </c>
      <c r="G11448" s="6" t="n">
        <f aca="false">Sens!G11446-Sens!G11442-Sens!G11447</f>
        <v>6.11504418094755</v>
      </c>
      <c r="H11448" s="6" t="n">
        <f aca="false">Sens!H11446-Sens!H11442-Sens!H11447</f>
        <v>6.06866691440695</v>
      </c>
      <c r="I11448" s="6" t="n">
        <f aca="false">Sens!I11446-Sens!I11442-Sens!I11447</f>
        <v>6.0810653256587</v>
      </c>
      <c r="J11448" s="6" t="n">
        <f aca="false">Sens!J11446-Sens!J11442-Sens!J11447</f>
        <v>6.14920871796899</v>
      </c>
      <c r="K11448" s="6" t="n">
        <f aca="false">Sens!K11446-Sens!K11442-Sens!K11447</f>
        <v>6.26994254700235</v>
      </c>
    </row>
    <row r="11449" customFormat="false" ht="17.15" hidden="false" customHeight="false" outlineLevel="0" collapsed="false">
      <c r="A11449" s="0" t="s">
        <v>1083</v>
      </c>
      <c r="B11449" s="0" t="s">
        <v>98</v>
      </c>
      <c r="F11449" s="6" t="n">
        <f aca="false">Sens!F11443-tax_f*(Sens!F11443-Sens!F11310)-Sens!F11307</f>
        <v>-119.634553857164</v>
      </c>
      <c r="G11449" s="6" t="n">
        <f aca="false">Sens!G11443-tax_f*(Sens!G11443-Sens!G11310)-Sens!G11307</f>
        <v>-107.782890065622</v>
      </c>
      <c r="H11449" s="6" t="n">
        <f aca="false">Sens!H11443-tax_f*(Sens!H11443-Sens!H11310)-Sens!H11307</f>
        <v>-74.4596549978803</v>
      </c>
      <c r="I11449" s="6" t="n">
        <f aca="false">Sens!I11443-tax_f*(Sens!I11443-Sens!I11310)-Sens!I11307</f>
        <v>-16.0013151827256</v>
      </c>
      <c r="J11449" s="6" t="n">
        <f aca="false">Sens!J11443-tax_f*(Sens!J11443-Sens!J11310)-Sens!J11307</f>
        <v>44.8528025322545</v>
      </c>
      <c r="K11449" s="6" t="n">
        <f aca="false">Sens!K11443-tax_f*(Sens!K11443-Sens!K11310)-Sens!K11307</f>
        <v>66.2905043021697</v>
      </c>
    </row>
    <row r="11450" customFormat="false" ht="17.15" hidden="false" customHeight="false" outlineLevel="0" collapsed="false">
      <c r="A11450" s="0" t="s">
        <v>1084</v>
      </c>
      <c r="B11450" s="0" t="s">
        <v>98</v>
      </c>
      <c r="G11450" s="6" t="n">
        <f aca="false">Sens!G11449/(1+wacc)^(Sens!G11422-(Sens!F11422+mid_yr))</f>
        <v>-102.630153708832</v>
      </c>
      <c r="H11450" s="6" t="n">
        <f aca="false">Sens!H11449/(1+wacc)^(Sens!H11422-(Sens!F11422+mid_yr))</f>
        <v>-64.283051465714</v>
      </c>
      <c r="I11450" s="6" t="n">
        <f aca="false">Sens!I11449/(1+wacc)^(Sens!I11422-(Sens!F11422+mid_yr))</f>
        <v>-12.5251072697397</v>
      </c>
      <c r="J11450" s="6" t="n">
        <f aca="false">Sens!J11449/(1+wacc)^(Sens!J11422-(Sens!F11422+mid_yr))</f>
        <v>31.8321276865364</v>
      </c>
      <c r="K11450" s="6" t="n">
        <f aca="false">Sens!K11449/(1+wacc)^(Sens!K11422-(Sens!F11422+mid_yr))</f>
        <v>42.6557631842561</v>
      </c>
      <c r="L11450" s="1" t="s">
        <v>1085</v>
      </c>
    </row>
    <row r="11451" customFormat="false" ht="17.15" hidden="false" customHeight="false" outlineLevel="0" collapsed="false">
      <c r="A11451" s="0" t="s">
        <v>1086</v>
      </c>
      <c r="B11451" s="0" t="s">
        <v>98</v>
      </c>
      <c r="C11451" s="6" t="n">
        <f aca="false">(Sens!K11443-Sens!K11310)*(1-tax_f)*(1+g_tv)*(1-g_tv/(wacc+ronic_prem))/(wacc-g_tv)/(1+wacc)^(Sens!K11422+mid_yr-(Sens!F11422+mid_yr))</f>
        <v>297.758769070022</v>
      </c>
    </row>
    <row r="11452" customFormat="false" ht="17.15" hidden="false" customHeight="false" outlineLevel="0" collapsed="false">
      <c r="A11452" s="1" t="s">
        <v>1087</v>
      </c>
      <c r="B11452" s="0" t="s">
        <v>98</v>
      </c>
      <c r="C11452" s="6" t="n">
        <f aca="false">(SUM(Sens!G11450:K11450)+Sens!$C$11451)*(1+wacc)^(t_roll-(Sens!F11422+mid_yr))</f>
        <v>199.066507558166</v>
      </c>
      <c r="L11452" s="11" t="s">
        <v>1088</v>
      </c>
    </row>
    <row r="11453" customFormat="false" ht="17.15" hidden="false" customHeight="false" outlineLevel="0" collapsed="false">
      <c r="A11453" s="1" t="s">
        <v>1089</v>
      </c>
      <c r="B11453" s="0" t="s">
        <v>98</v>
      </c>
      <c r="C11453" s="6" t="n">
        <f aca="false">(w_ntm28*Sens!G11299+(1-w_ntm28)*Sens!H11299)*m_ai</f>
        <v>454.922440830797</v>
      </c>
    </row>
    <row r="11454" customFormat="false" ht="17.15" hidden="false" customHeight="false" outlineLevel="0" collapsed="false">
      <c r="A11454" s="1" t="s">
        <v>1090</v>
      </c>
      <c r="B11454" s="0" t="s">
        <v>98</v>
      </c>
      <c r="C11454" s="6" t="n">
        <f aca="false">(w_ntm28*Sens!G11445+(1-w_ntm28)*Sens!H11445)*m_cloud</f>
        <v>972.028391055082</v>
      </c>
    </row>
    <row r="11455" customFormat="false" ht="17.15" hidden="false" customHeight="false" outlineLevel="0" collapsed="false">
      <c r="A11455" s="1" t="s">
        <v>1091</v>
      </c>
      <c r="B11455" s="0" t="s">
        <v>98</v>
      </c>
      <c r="C11455" s="6" t="n">
        <f aca="false">(w_ntm28*Sens!G11438+(1-w_ntm28)*Sens!H11438)*m_sw</f>
        <v>1087.29236439713</v>
      </c>
    </row>
    <row r="11456" customFormat="false" ht="17.15" hidden="false" customHeight="false" outlineLevel="0" collapsed="false">
      <c r="A11456" s="1" t="s">
        <v>1092</v>
      </c>
      <c r="B11456" s="0" t="s">
        <v>98</v>
      </c>
      <c r="C11456" s="6" t="n">
        <f aca="false">(w_ntm28*Sens!G11439+(1-w_ntm28)*Sens!H11439)*m_sw</f>
        <v>380.253466209432</v>
      </c>
    </row>
    <row r="11457" customFormat="false" ht="17.15" hidden="false" customHeight="false" outlineLevel="0" collapsed="false">
      <c r="A11457" s="1" t="s">
        <v>1093</v>
      </c>
      <c r="B11457" s="0" t="s">
        <v>98</v>
      </c>
      <c r="C11457" s="6" t="n">
        <f aca="false">(w_ntm28*Sens!G11440+(1-w_ntm28)*Sens!H11440)*m_sw</f>
        <v>109.736759441964</v>
      </c>
    </row>
    <row r="11458" customFormat="false" ht="17.15" hidden="false" customHeight="false" outlineLevel="0" collapsed="false">
      <c r="A11458" s="1" t="s">
        <v>1094</v>
      </c>
      <c r="B11458" s="0" t="s">
        <v>98</v>
      </c>
      <c r="C11458" s="6" t="n">
        <f aca="false">(w_ntm28*Sens!G11441+(1-w_ntm28)*Sens!H11441)*m_sw</f>
        <v>41.8666036816175</v>
      </c>
    </row>
    <row r="11459" customFormat="false" ht="17.15" hidden="false" customHeight="false" outlineLevel="0" collapsed="false">
      <c r="A11459" s="1" t="s">
        <v>1095</v>
      </c>
      <c r="B11459" s="0" t="s">
        <v>98</v>
      </c>
      <c r="C11459" s="6" t="n">
        <f aca="false">(w_ntm28*Sens!G11442+(1-w_ntm28)*Sens!H11442)*m_ads</f>
        <v>115.677576364297</v>
      </c>
    </row>
    <row r="11460" customFormat="false" ht="17.15" hidden="false" customHeight="false" outlineLevel="0" collapsed="false">
      <c r="A11460" s="1" t="s">
        <v>1096</v>
      </c>
      <c r="B11460" s="0" t="s">
        <v>98</v>
      </c>
      <c r="C11460" s="6" t="n">
        <f aca="false">(w_ntm28*Sens!G11447+(1-w_ntm28)*Sens!H11447)*m_game</f>
        <v>89.0350558037771</v>
      </c>
    </row>
    <row r="11461" customFormat="false" ht="17.15" hidden="false" customHeight="false" outlineLevel="0" collapsed="false">
      <c r="A11461" s="1" t="s">
        <v>1097</v>
      </c>
      <c r="B11461" s="0" t="s">
        <v>98</v>
      </c>
      <c r="C11461" s="6" t="n">
        <f aca="false">(w_ntm28*Sens!G11448+(1-w_ntm28)*Sens!H11448)*m_pc</f>
        <v>88.2677377160441</v>
      </c>
    </row>
    <row r="11462" customFormat="false" ht="17.15" hidden="false" customHeight="false" outlineLevel="0" collapsed="false">
      <c r="A11462" s="1" t="s">
        <v>1098</v>
      </c>
      <c r="B11462" s="0" t="s">
        <v>98</v>
      </c>
      <c r="C11462" s="6" t="n">
        <f aca="false">Sens!$C$11452+Sens!$C$11454+Sens!$C$11455+Sens!$C$11456+Sens!$C$11457+Sens!$C$11458+Sens!$C$11459+Sens!$C$11460+Sens!$C$11461</f>
        <v>3083.22446222751</v>
      </c>
    </row>
    <row r="11463" customFormat="false" ht="17.15" hidden="false" customHeight="false" outlineLevel="0" collapsed="false">
      <c r="A11463" s="1" t="s">
        <v>1099</v>
      </c>
      <c r="B11463" s="0" t="s">
        <v>98</v>
      </c>
      <c r="C11463" s="6" t="n">
        <f aca="false">(Sens!G11424-Sens!G11449)*t_stub</f>
        <v>45.4054594462379</v>
      </c>
      <c r="L11463" s="1" t="s">
        <v>1100</v>
      </c>
    </row>
    <row r="11464" customFormat="false" ht="17.15" hidden="false" customHeight="false" outlineLevel="0" collapsed="false">
      <c r="A11464" s="1" t="s">
        <v>1014</v>
      </c>
      <c r="B11464" s="0" t="s">
        <v>98</v>
      </c>
      <c r="C11464" s="6" t="n">
        <f aca="false">Sens!F11413+oai_v-Sens!F11402+Sens!$C$11463</f>
        <v>151.177591341895</v>
      </c>
      <c r="L11464" s="1" t="s">
        <v>1101</v>
      </c>
    </row>
    <row r="11465" customFormat="false" ht="17.15" hidden="false" customHeight="false" outlineLevel="0" collapsed="false">
      <c r="A11465" s="1" t="s">
        <v>1102</v>
      </c>
      <c r="B11465" s="0" t="s">
        <v>75</v>
      </c>
      <c r="C11465" s="5" t="n">
        <f aca="false">(Sens!$C$11462+Sens!$C$11464)/(Sens!F11415+dil_gap)-Sens!G11405*roll_div_q/q_per_yr</f>
        <v>430.444231799547</v>
      </c>
      <c r="L11465" s="1" t="s">
        <v>1103</v>
      </c>
    </row>
    <row r="11466" customFormat="false" ht="17.15" hidden="false" customHeight="false" outlineLevel="0" collapsed="false">
      <c r="A11466" s="1" t="s">
        <v>1104</v>
      </c>
      <c r="B11466" s="0" t="s">
        <v>75</v>
      </c>
      <c r="C11466" s="5" t="n">
        <f aca="false">w_dcf*Sens!$C$11436+(1-w_dcf)*Sens!$C$11465</f>
        <v>374.199403807531</v>
      </c>
    </row>
    <row r="11467" customFormat="false" ht="17.15" hidden="false" customHeight="false" outlineLevel="0" collapsed="false">
      <c r="A11467" s="3" t="s">
        <v>1557</v>
      </c>
    </row>
    <row r="11468" customFormat="false" ht="15" hidden="false" customHeight="false" outlineLevel="0" collapsed="false">
      <c r="A11468" s="4" t="s">
        <v>43</v>
      </c>
      <c r="B11468" s="4" t="s">
        <v>65</v>
      </c>
      <c r="C11468" s="20" t="s">
        <v>799</v>
      </c>
      <c r="D11468" s="20" t="s">
        <v>800</v>
      </c>
      <c r="E11468" s="20" t="s">
        <v>801</v>
      </c>
      <c r="F11468" s="20" t="s">
        <v>802</v>
      </c>
      <c r="G11468" s="20" t="s">
        <v>803</v>
      </c>
      <c r="H11468" s="20" t="s">
        <v>804</v>
      </c>
      <c r="I11468" s="20" t="s">
        <v>805</v>
      </c>
      <c r="J11468" s="20" t="s">
        <v>806</v>
      </c>
      <c r="K11468" s="20" t="s">
        <v>807</v>
      </c>
      <c r="L11468" s="4" t="s">
        <v>47</v>
      </c>
    </row>
    <row r="11469" customFormat="false" ht="17.15" hidden="false" customHeight="false" outlineLevel="0" collapsed="false">
      <c r="A11469" s="1" t="s">
        <v>808</v>
      </c>
      <c r="B11469" s="1" t="s">
        <v>235</v>
      </c>
      <c r="C11469" s="28" t="n">
        <v>2024</v>
      </c>
      <c r="D11469" s="28" t="n">
        <v>2025</v>
      </c>
      <c r="E11469" s="28" t="n">
        <v>2026</v>
      </c>
      <c r="F11469" s="28" t="n">
        <v>2027</v>
      </c>
      <c r="G11469" s="28" t="n">
        <v>2028</v>
      </c>
      <c r="H11469" s="28" t="n">
        <v>2029</v>
      </c>
      <c r="I11469" s="28" t="n">
        <v>2030</v>
      </c>
      <c r="J11469" s="28" t="n">
        <v>2031</v>
      </c>
      <c r="K11469" s="28" t="n">
        <v>2032</v>
      </c>
    </row>
    <row r="11470" customFormat="false" ht="17.15" hidden="false" customHeight="false" outlineLevel="0" collapsed="false">
      <c r="A11470" s="1" t="s">
        <v>809</v>
      </c>
      <c r="B11470" s="0" t="s">
        <v>399</v>
      </c>
      <c r="F11470" s="29" t="n">
        <f aca="false">pace</f>
        <v>2527.2</v>
      </c>
      <c r="G11470" s="29" t="n">
        <f aca="false">pace</f>
        <v>2527.2</v>
      </c>
      <c r="H11470" s="29" t="n">
        <f aca="false">pace</f>
        <v>2527.2</v>
      </c>
      <c r="I11470" s="29" t="n">
        <f aca="false">pace+(g_tv*Sens!H11471-pace)*MIN(1,(Sens!I11469-pace_y0)/(pace_y1-pace_y0))</f>
        <v>1793.116</v>
      </c>
      <c r="J11470" s="29" t="n">
        <f aca="false">pace+(g_tv*Sens!I11471-pace)*MIN(1,(Sens!J11469-pace_y0)/(pace_y1-pace_y0))</f>
        <v>1094.89432</v>
      </c>
      <c r="K11470" s="29" t="n">
        <f aca="false">pace+(g_tv*Sens!J11471-pace)*MIN(1,(Sens!K11469-pace_y0)/(pace_y1-pace_y0))</f>
        <v>411.5883096</v>
      </c>
      <c r="L11470" s="11" t="s">
        <v>810</v>
      </c>
    </row>
    <row r="11471" customFormat="false" ht="17.15" hidden="false" customHeight="false" outlineLevel="0" collapsed="false">
      <c r="A11471" s="1" t="s">
        <v>811</v>
      </c>
      <c r="B11471" s="0" t="s">
        <v>399</v>
      </c>
      <c r="C11471" s="29" t="n">
        <f aca="false">mw_ext_24</f>
        <v>640</v>
      </c>
      <c r="D11471" s="29" t="n">
        <f aca="false">mw_ext_25</f>
        <v>1630</v>
      </c>
      <c r="E11471" s="29" t="n">
        <f aca="false">mw_ext_26</f>
        <v>3250</v>
      </c>
      <c r="F11471" s="29" t="n">
        <f aca="false">Sens!E11471+Sens!F11470</f>
        <v>5777.2</v>
      </c>
      <c r="G11471" s="29" t="n">
        <f aca="false">Sens!F11471+Sens!G11470</f>
        <v>8304.4</v>
      </c>
      <c r="H11471" s="29" t="n">
        <f aca="false">Sens!G11471+Sens!H11470</f>
        <v>10831.6</v>
      </c>
      <c r="I11471" s="29" t="n">
        <f aca="false">Sens!H11471+Sens!I11470</f>
        <v>12624.716</v>
      </c>
      <c r="J11471" s="29" t="n">
        <f aca="false">Sens!I11471+Sens!J11470</f>
        <v>13719.61032</v>
      </c>
      <c r="K11471" s="29" t="n">
        <f aca="false">Sens!J11471+Sens!K11470</f>
        <v>14131.1986296</v>
      </c>
      <c r="L11471" s="1" t="s">
        <v>812</v>
      </c>
    </row>
    <row r="11472" customFormat="false" ht="17.15" hidden="false" customHeight="false" outlineLevel="0" collapsed="false">
      <c r="A11472" s="1" t="s">
        <v>813</v>
      </c>
      <c r="B11472" s="0" t="s">
        <v>399</v>
      </c>
      <c r="C11472" s="29" t="n">
        <f aca="false">rent_ext_24</f>
        <v>150</v>
      </c>
      <c r="D11472" s="29" t="n">
        <f aca="false">rent_ext_25</f>
        <v>400</v>
      </c>
      <c r="E11472" s="29" t="n">
        <f aca="false">rent_ext_26</f>
        <v>550</v>
      </c>
      <c r="F11472" s="29" t="n">
        <f aca="false">rent_ext_f</f>
        <v>756</v>
      </c>
      <c r="G11472" s="29" t="n">
        <f aca="false">rent_ext_f</f>
        <v>756</v>
      </c>
      <c r="H11472" s="29" t="n">
        <f aca="false">rent_ext_f</f>
        <v>756</v>
      </c>
      <c r="I11472" s="29" t="n">
        <f aca="false">rent_ext_f</f>
        <v>756</v>
      </c>
      <c r="J11472" s="29" t="n">
        <f aca="false">rent_ext_f</f>
        <v>756</v>
      </c>
      <c r="K11472" s="29" t="n">
        <f aca="false">rent_ext_f</f>
        <v>756</v>
      </c>
      <c r="L11472" s="1" t="s">
        <v>814</v>
      </c>
    </row>
    <row r="11473" customFormat="false" ht="17.15" hidden="false" customHeight="false" outlineLevel="0" collapsed="false">
      <c r="A11473" s="1" t="s">
        <v>815</v>
      </c>
      <c r="B11473" s="0" t="s">
        <v>399</v>
      </c>
      <c r="C11473" s="29" t="n">
        <f aca="false">Sens!C11471-Sens!C11472</f>
        <v>490</v>
      </c>
      <c r="D11473" s="29" t="n">
        <f aca="false">Sens!D11471-Sens!D11472</f>
        <v>1230</v>
      </c>
      <c r="E11473" s="29" t="n">
        <f aca="false">Sens!E11471-Sens!E11472</f>
        <v>2700</v>
      </c>
      <c r="F11473" s="29" t="n">
        <f aca="false">Sens!F11471-Sens!F11472</f>
        <v>5021.2</v>
      </c>
      <c r="G11473" s="29" t="n">
        <f aca="false">Sens!G11471-Sens!G11472</f>
        <v>7548.4</v>
      </c>
      <c r="H11473" s="29" t="n">
        <f aca="false">Sens!H11471-Sens!H11472</f>
        <v>10075.6</v>
      </c>
      <c r="I11473" s="29" t="n">
        <f aca="false">Sens!I11471-Sens!I11472</f>
        <v>11868.716</v>
      </c>
      <c r="J11473" s="29" t="n">
        <f aca="false">Sens!J11471-Sens!J11472</f>
        <v>12963.61032</v>
      </c>
      <c r="K11473" s="29" t="n">
        <f aca="false">Sens!K11471-Sens!K11472</f>
        <v>13375.1986296</v>
      </c>
    </row>
    <row r="11474" customFormat="false" ht="17.15" hidden="false" customHeight="false" outlineLevel="0" collapsed="false">
      <c r="A11474" s="1" t="s">
        <v>816</v>
      </c>
      <c r="B11474" s="0" t="s">
        <v>399</v>
      </c>
      <c r="C11474" s="29" t="n">
        <f aca="false">Sens!C11473/ext_sh</f>
        <v>816.666666666667</v>
      </c>
      <c r="D11474" s="29" t="n">
        <f aca="false">Sens!D11473/ext_sh</f>
        <v>2050</v>
      </c>
      <c r="E11474" s="29" t="n">
        <f aca="false">Sens!E11473/ext_sh</f>
        <v>4500</v>
      </c>
      <c r="F11474" s="29" t="n">
        <f aca="false">Sens!F11473/ext_sh</f>
        <v>8368.66666666667</v>
      </c>
      <c r="G11474" s="29" t="n">
        <f aca="false">Sens!G11473/ext_sh</f>
        <v>12580.6666666667</v>
      </c>
      <c r="H11474" s="29" t="n">
        <f aca="false">Sens!H11473/ext_sh</f>
        <v>16792.6666666667</v>
      </c>
      <c r="I11474" s="29" t="n">
        <f aca="false">Sens!I11473/ext_sh</f>
        <v>19781.1933333333</v>
      </c>
      <c r="J11474" s="29" t="n">
        <f aca="false">Sens!J11473/ext_sh</f>
        <v>21606.0172</v>
      </c>
      <c r="K11474" s="29" t="n">
        <f aca="false">Sens!K11473/ext_sh</f>
        <v>22291.997716</v>
      </c>
      <c r="L11474" s="1" t="s">
        <v>817</v>
      </c>
    </row>
    <row r="11475" customFormat="false" ht="17.15" hidden="false" customHeight="false" outlineLevel="0" collapsed="false">
      <c r="A11475" s="1" t="s">
        <v>818</v>
      </c>
      <c r="B11475" s="0" t="s">
        <v>399</v>
      </c>
      <c r="C11475" s="29" t="n">
        <f aca="false">Sens!C11474-Sens!C11473</f>
        <v>326.666666666667</v>
      </c>
      <c r="D11475" s="29" t="n">
        <f aca="false">Sens!D11474-Sens!D11473</f>
        <v>820</v>
      </c>
      <c r="E11475" s="29" t="n">
        <f aca="false">Sens!E11474-Sens!E11473</f>
        <v>1800</v>
      </c>
      <c r="F11475" s="29" t="n">
        <f aca="false">Sens!F11474-Sens!F11473</f>
        <v>3347.46666666667</v>
      </c>
      <c r="G11475" s="29" t="n">
        <f aca="false">Sens!G11474-Sens!G11473</f>
        <v>5032.26666666667</v>
      </c>
      <c r="H11475" s="29" t="n">
        <f aca="false">Sens!H11474-Sens!H11473</f>
        <v>6717.06666666667</v>
      </c>
      <c r="I11475" s="29" t="n">
        <f aca="false">Sens!I11474-Sens!I11473</f>
        <v>7912.47733333333</v>
      </c>
      <c r="J11475" s="29" t="n">
        <f aca="false">Sens!J11474-Sens!J11473</f>
        <v>8642.40688</v>
      </c>
      <c r="K11475" s="29" t="n">
        <f aca="false">Sens!K11474-Sens!K11473</f>
        <v>8916.7990864</v>
      </c>
    </row>
    <row r="11476" customFormat="false" ht="17.15" hidden="false" customHeight="false" outlineLevel="0" collapsed="false">
      <c r="A11476" s="1" t="s">
        <v>819</v>
      </c>
      <c r="B11476" s="0" t="s">
        <v>399</v>
      </c>
      <c r="C11476" s="29" t="n">
        <f aca="false">Sens!C11474</f>
        <v>816.666666666667</v>
      </c>
      <c r="D11476" s="29" t="n">
        <f aca="false">Sens!D11474-Sens!C11474</f>
        <v>1233.33333333333</v>
      </c>
      <c r="E11476" s="29" t="n">
        <f aca="false">Sens!E11474-Sens!D11474</f>
        <v>2450</v>
      </c>
      <c r="F11476" s="29" t="n">
        <f aca="false">Sens!F11474-Sens!E11474</f>
        <v>3868.66666666667</v>
      </c>
      <c r="G11476" s="29" t="n">
        <f aca="false">Sens!G11474-Sens!F11474</f>
        <v>4212</v>
      </c>
      <c r="H11476" s="29" t="n">
        <f aca="false">Sens!H11474-Sens!G11474</f>
        <v>4212</v>
      </c>
      <c r="I11476" s="29" t="n">
        <f aca="false">Sens!I11474-Sens!H11474</f>
        <v>2988.52666666667</v>
      </c>
      <c r="J11476" s="29" t="n">
        <f aca="false">Sens!J11474-Sens!I11474</f>
        <v>1824.82386666667</v>
      </c>
      <c r="K11476" s="29" t="n">
        <f aca="false">Sens!K11474-Sens!J11474</f>
        <v>685.980516</v>
      </c>
    </row>
    <row r="11477" customFormat="false" ht="17.15" hidden="false" customHeight="false" outlineLevel="0" collapsed="false">
      <c r="A11477" s="1" t="s">
        <v>820</v>
      </c>
      <c r="B11477" s="0" t="s">
        <v>399</v>
      </c>
      <c r="D11477" s="29" t="n">
        <f aca="false">Sens!D11471-Sens!C11471</f>
        <v>990</v>
      </c>
      <c r="E11477" s="29" t="n">
        <f aca="false">Sens!E11471-Sens!D11471</f>
        <v>1620</v>
      </c>
      <c r="F11477" s="29" t="n">
        <f aca="false">Sens!F11471-Sens!E11471</f>
        <v>2527.2</v>
      </c>
      <c r="G11477" s="29" t="n">
        <f aca="false">Sens!G11471-Sens!F11471</f>
        <v>2527.2</v>
      </c>
      <c r="H11477" s="29" t="n">
        <f aca="false">Sens!H11471-Sens!G11471</f>
        <v>2527.2</v>
      </c>
      <c r="I11477" s="29" t="n">
        <f aca="false">Sens!I11471-Sens!H11471</f>
        <v>1793.116</v>
      </c>
      <c r="J11477" s="29" t="n">
        <f aca="false">Sens!J11471-Sens!I11471</f>
        <v>1094.89432</v>
      </c>
      <c r="K11477" s="29" t="n">
        <f aca="false">Sens!K11471-Sens!J11471</f>
        <v>411.5883096</v>
      </c>
    </row>
    <row r="11478" customFormat="false" ht="17.15" hidden="false" customHeight="false" outlineLevel="0" collapsed="false">
      <c r="A11478" s="1" t="s">
        <v>821</v>
      </c>
      <c r="B11478" s="0" t="s">
        <v>399</v>
      </c>
      <c r="F11478" s="29" t="n">
        <f aca="false">Sens!F11495*ext_sh</f>
        <v>0</v>
      </c>
      <c r="G11478" s="29" t="n">
        <f aca="false">Sens!G11495*ext_sh</f>
        <v>0</v>
      </c>
      <c r="H11478" s="29" t="n">
        <f aca="false">Sens!H11495*ext_sh</f>
        <v>0</v>
      </c>
      <c r="I11478" s="29" t="n">
        <f aca="false">Sens!I11495*ext_sh</f>
        <v>490</v>
      </c>
      <c r="J11478" s="29" t="n">
        <f aca="false">Sens!J11495*ext_sh</f>
        <v>740</v>
      </c>
      <c r="K11478" s="29" t="n">
        <f aca="false">Sens!K11495*ext_sh</f>
        <v>1470</v>
      </c>
      <c r="L11478" s="1" t="s">
        <v>822</v>
      </c>
    </row>
    <row r="11479" customFormat="false" ht="17.15" hidden="false" customHeight="false" outlineLevel="0" collapsed="false">
      <c r="A11479" s="1" t="s">
        <v>823</v>
      </c>
      <c r="B11479" s="0" t="s">
        <v>399</v>
      </c>
      <c r="C11479" s="29" t="n">
        <f aca="false">mix_h*Sens!C11471</f>
        <v>128</v>
      </c>
      <c r="D11479" s="29" t="n">
        <f aca="false">mix_h*Sens!D11471</f>
        <v>326</v>
      </c>
      <c r="E11479" s="29" t="n">
        <f aca="false">mix_h*Sens!E11471</f>
        <v>650</v>
      </c>
      <c r="F11479" s="29" t="n">
        <f aca="false">Sens!E11479-Sens!F11478*mix_h</f>
        <v>650</v>
      </c>
      <c r="G11479" s="29" t="n">
        <f aca="false">Sens!F11479-Sens!G11478*mix_h</f>
        <v>650</v>
      </c>
      <c r="H11479" s="29" t="n">
        <f aca="false">Sens!G11479-Sens!H11478*mix_h</f>
        <v>650</v>
      </c>
      <c r="I11479" s="29" t="n">
        <f aca="false">Sens!H11479-Sens!I11478*mix_h</f>
        <v>552</v>
      </c>
      <c r="J11479" s="29" t="n">
        <f aca="false">Sens!I11479-Sens!J11478*mix_h</f>
        <v>404</v>
      </c>
      <c r="K11479" s="29" t="n">
        <f aca="false">Sens!J11479-Sens!K11478*mix_h</f>
        <v>110</v>
      </c>
    </row>
    <row r="11480" customFormat="false" ht="17.15" hidden="false" customHeight="false" outlineLevel="0" collapsed="false">
      <c r="A11480" s="1" t="s">
        <v>824</v>
      </c>
      <c r="B11480" s="0" t="s">
        <v>399</v>
      </c>
      <c r="C11480" s="29" t="n">
        <f aca="false">mix_g2*Sens!C11471</f>
        <v>288</v>
      </c>
      <c r="D11480" s="29" t="n">
        <f aca="false">mix_g2*Sens!D11471</f>
        <v>733.5</v>
      </c>
      <c r="E11480" s="29" t="n">
        <f aca="false">mix_g2*Sens!E11471</f>
        <v>1462.5</v>
      </c>
      <c r="F11480" s="29" t="n">
        <f aca="false">Sens!E11480-Sens!F11478*mix_g2</f>
        <v>1462.5</v>
      </c>
      <c r="G11480" s="29" t="n">
        <f aca="false">Sens!F11480-Sens!G11478*mix_g2</f>
        <v>1462.5</v>
      </c>
      <c r="H11480" s="29" t="n">
        <f aca="false">Sens!G11480-Sens!H11478*mix_g2</f>
        <v>1462.5</v>
      </c>
      <c r="I11480" s="29" t="n">
        <f aca="false">Sens!H11480-Sens!I11478*mix_g2</f>
        <v>1242</v>
      </c>
      <c r="J11480" s="29" t="n">
        <f aca="false">Sens!I11480-Sens!J11478*mix_g2</f>
        <v>909</v>
      </c>
      <c r="K11480" s="29" t="n">
        <f aca="false">Sens!J11480-Sens!K11478*mix_g2</f>
        <v>247.5</v>
      </c>
    </row>
    <row r="11481" customFormat="false" ht="17.15" hidden="false" customHeight="false" outlineLevel="0" collapsed="false">
      <c r="A11481" s="1" t="s">
        <v>825</v>
      </c>
      <c r="B11481" s="0" t="s">
        <v>399</v>
      </c>
      <c r="C11481" s="29" t="n">
        <f aca="false">mix_g3*Sens!C11471</f>
        <v>224</v>
      </c>
      <c r="D11481" s="29" t="n">
        <f aca="false">mix_g3*Sens!D11471</f>
        <v>570.5</v>
      </c>
      <c r="E11481" s="29" t="n">
        <f aca="false">mix_g3*Sens!E11471</f>
        <v>1137.5</v>
      </c>
      <c r="F11481" s="29" t="n">
        <f aca="false">Sens!E11481+(Sens!F11477+Sens!F11478)*a_g3_27-Sens!F11478*mix_g3</f>
        <v>2906.54</v>
      </c>
      <c r="G11481" s="29" t="n">
        <f aca="false">Sens!F11481+(Sens!G11477+Sens!G11478)*a_g3_28-Sens!G11478*mix_g3</f>
        <v>3664.7</v>
      </c>
      <c r="H11481" s="29" t="n">
        <f aca="false">Sens!G11481+(Sens!H11477+Sens!H11478)*a_g3_29-Sens!H11478*mix_g3</f>
        <v>3917.42</v>
      </c>
      <c r="I11481" s="29" t="n">
        <f aca="false">Sens!H11481+(Sens!I11477+Sens!I11478)*a_g3_29-Sens!I11478*mix_g3</f>
        <v>3974.2316</v>
      </c>
      <c r="J11481" s="29" t="n">
        <f aca="false">Sens!I11481+(Sens!J11477+Sens!J11478)*a_g3_29-Sens!J11478*mix_g3</f>
        <v>3898.721032</v>
      </c>
      <c r="K11481" s="29" t="n">
        <f aca="false">Sens!J11481+(Sens!K11477+Sens!K11478)*a_g3_29-Sens!K11478*mix_g3</f>
        <v>3572.37986296</v>
      </c>
    </row>
    <row r="11482" customFormat="false" ht="17.15" hidden="false" customHeight="false" outlineLevel="0" collapsed="false">
      <c r="A11482" s="1" t="s">
        <v>826</v>
      </c>
      <c r="B11482" s="0" t="s">
        <v>399</v>
      </c>
      <c r="C11482" s="29" t="n">
        <v>0</v>
      </c>
      <c r="D11482" s="29" t="n">
        <v>0</v>
      </c>
      <c r="E11482" s="29" t="n">
        <v>0</v>
      </c>
      <c r="F11482" s="29" t="n">
        <f aca="false">Sens!E11482+(Sens!F11477+Sens!F11478)*(1-a_g3_27)</f>
        <v>758.16</v>
      </c>
      <c r="G11482" s="29" t="n">
        <f aca="false">Sens!F11482+(Sens!G11477+Sens!G11478)*(1-a_g3_28)</f>
        <v>2527.2</v>
      </c>
      <c r="H11482" s="29" t="n">
        <f aca="false">Sens!G11482+(Sens!H11477+Sens!H11478)*(1-a_g3_29)</f>
        <v>4801.68</v>
      </c>
      <c r="I11482" s="29" t="n">
        <f aca="false">Sens!H11482+(Sens!I11477+Sens!I11478)*(1-a_g3_29)</f>
        <v>6856.4844</v>
      </c>
      <c r="J11482" s="29" t="n">
        <f aca="false">Sens!I11482+(Sens!J11477+Sens!J11478)*(1-a_g3_29)</f>
        <v>8507.889288</v>
      </c>
      <c r="K11482" s="29" t="n">
        <f aca="false">Sens!J11482+(Sens!K11477+Sens!K11478)*(1-a_g3_29)</f>
        <v>10201.31876664</v>
      </c>
    </row>
    <row r="11483" customFormat="false" ht="17.15" hidden="false" customHeight="false" outlineLevel="0" collapsed="false">
      <c r="A11483" s="1" t="s">
        <v>827</v>
      </c>
      <c r="B11483" s="0" t="s">
        <v>346</v>
      </c>
      <c r="C11483" s="14" t="n">
        <f aca="false">(Sens!C11479*tk_hold_h100+Sens!C11480*tk_hold_gb200+Sens!C11481*tk_hold_gb300+Sens!C11482*tk_hold_vr200)/Sens!C11471</f>
        <v>9.7235358126469</v>
      </c>
      <c r="D11483" s="14" t="n">
        <f aca="false">(Sens!D11479*tk_hold_h100+Sens!D11480*tk_hold_gb200+Sens!D11481*tk_hold_gb300+Sens!D11482*tk_hold_vr200)/Sens!D11471</f>
        <v>9.7235358126469</v>
      </c>
      <c r="E11483" s="14" t="n">
        <f aca="false">(Sens!E11479*tk_hold_h100+Sens!E11480*tk_hold_gb200+Sens!E11481*tk_hold_gb300+Sens!E11482*tk_hold_vr200)/Sens!E11471</f>
        <v>9.7235358126469</v>
      </c>
      <c r="F11483" s="14" t="n">
        <f aca="false">(Sens!F11479*tk_hold_h100+Sens!F11480*tk_hold_gb200+Sens!F11481*tk_hold_gb300+Sens!F11482*tk_hold_vr200)/Sens!F11471</f>
        <v>10.4079573161931</v>
      </c>
      <c r="G11483" s="14" t="n">
        <f aca="false">(Sens!G11479*tk_hold_h100+Sens!G11480*tk_hold_gb200+Sens!G11481*tk_hold_gb300+Sens!G11482*tk_hold_vr200)/Sens!G11471</f>
        <v>10.8388131109316</v>
      </c>
      <c r="H11483" s="14" t="n">
        <f aca="false">(Sens!H11479*tk_hold_h100+Sens!H11480*tk_hold_gb200+Sens!H11481*tk_hold_gb300+Sens!H11482*tk_hold_vr200)/Sens!H11471</f>
        <v>11.1311018388216</v>
      </c>
      <c r="I11483" s="14" t="n">
        <f aca="false">(Sens!I11479*tk_hold_h100+Sens!I11480*tk_hold_gb200+Sens!I11481*tk_hold_gb300+Sens!I11482*tk_hold_vr200)/Sens!I11471</f>
        <v>11.3594282560989</v>
      </c>
      <c r="J11483" s="14" t="n">
        <f aca="false">(Sens!J11479*tk_hold_h100+Sens!J11480*tk_hold_gb200+Sens!J11481*tk_hold_gb300+Sens!J11482*tk_hold_vr200)/Sens!J11471</f>
        <v>11.5455817917599</v>
      </c>
      <c r="K11483" s="14" t="n">
        <f aca="false">(Sens!K11479*tk_hold_h100+Sens!K11480*tk_hold_gb200+Sens!K11481*tk_hold_gb300+Sens!K11482*tk_hold_vr200)/Sens!K11471</f>
        <v>11.8078187977246</v>
      </c>
    </row>
    <row r="11484" customFormat="false" ht="17.15" hidden="false" customHeight="false" outlineLevel="0" collapsed="false">
      <c r="A11484" s="0" t="s">
        <v>828</v>
      </c>
      <c r="B11484" s="0" t="s">
        <v>185</v>
      </c>
      <c r="C11484" s="14" t="n">
        <f aca="false">k_B</f>
        <v>1.17213932619116</v>
      </c>
      <c r="D11484" s="14" t="n">
        <f aca="false">k_B</f>
        <v>1.17213932619116</v>
      </c>
      <c r="E11484" s="14" t="n">
        <f aca="false">k_B</f>
        <v>1.17213932619116</v>
      </c>
      <c r="F11484" s="14" t="n">
        <f aca="false">(k_B+((ls_C*k_long+(1-ls_C)*k_spot)-k_B)*MIN(1,(Sens!F11469-base_fy)/k_ramp))</f>
        <v>1.07843258004497</v>
      </c>
      <c r="G11484" s="14" t="n">
        <f aca="false">(k_B+((ls_C*k_long+(1-ls_C)*k_spot)-k_B)*MIN(1,(Sens!G11469-base_fy)/k_ramp))</f>
        <v>0.984725833898784</v>
      </c>
      <c r="H11484" s="14" t="n">
        <f aca="false">(k_B+((ls_C*k_long+(1-ls_C)*k_spot)-k_B)*MIN(1,(Sens!H11469-base_fy)/k_ramp))</f>
        <v>0.891019087752599</v>
      </c>
      <c r="I11484" s="14" t="n">
        <f aca="false">(k_B+((ls_C*k_long+(1-ls_C)*k_spot)-k_B)*MIN(1,(Sens!I11469-base_fy)/k_ramp))</f>
        <v>0.891019087752599</v>
      </c>
      <c r="J11484" s="14" t="n">
        <f aca="false">(k_B+((ls_C*k_long+(1-ls_C)*k_spot)-k_B)*MIN(1,(Sens!J11469-base_fy)/k_ramp))</f>
        <v>0.891019087752599</v>
      </c>
      <c r="K11484" s="14" t="n">
        <f aca="false">(k_B+((ls_C*k_long+(1-ls_C)*k_spot)-k_B)*MIN(1,(Sens!K11469-base_fy)/k_ramp))</f>
        <v>0.891019087752599</v>
      </c>
      <c r="L11484" s="1" t="s">
        <v>829</v>
      </c>
    </row>
    <row r="11485" customFormat="false" ht="17.15" hidden="false" customHeight="false" outlineLevel="0" collapsed="false">
      <c r="A11485" s="1" t="s">
        <v>830</v>
      </c>
      <c r="B11485" s="0" t="s">
        <v>346</v>
      </c>
      <c r="C11485" s="14" t="n">
        <f aca="false">Sens!C11483*Sens!C11484*chip_f</f>
        <v>11.3973387156315</v>
      </c>
      <c r="D11485" s="14" t="n">
        <f aca="false">Sens!D11483*Sens!D11484*chip_f</f>
        <v>11.3973387156315</v>
      </c>
      <c r="E11485" s="14" t="n">
        <f aca="false">Sens!E11483*Sens!E11484*chip_f</f>
        <v>11.3973387156315</v>
      </c>
      <c r="F11485" s="14" t="n">
        <f aca="false">Sens!F11483*Sens!F11484*chip_f</f>
        <v>11.2242802615</v>
      </c>
      <c r="G11485" s="14" t="n">
        <f aca="false">Sens!G11483*Sens!G11484*chip_f</f>
        <v>10.6732592791352</v>
      </c>
      <c r="H11485" s="14" t="n">
        <f aca="false">Sens!H11483*Sens!H11484*chip_f</f>
        <v>9.91802420610807</v>
      </c>
      <c r="I11485" s="14" t="n">
        <f aca="false">Sens!I11483*Sens!I11484*chip_f</f>
        <v>10.1214674021403</v>
      </c>
      <c r="J11485" s="14" t="n">
        <f aca="false">Sens!J11483*Sens!J11484*chip_f</f>
        <v>10.2873337556669</v>
      </c>
      <c r="K11485" s="14" t="n">
        <f aca="false">Sens!K11483*Sens!K11484*chip_f</f>
        <v>10.5209919334966</v>
      </c>
      <c r="L11485" s="1" t="s">
        <v>831</v>
      </c>
    </row>
    <row r="11486" customFormat="false" ht="17.15" hidden="false" customHeight="false" outlineLevel="0" collapsed="false">
      <c r="A11486" s="0" t="s">
        <v>832</v>
      </c>
      <c r="B11486" s="0" t="s">
        <v>98</v>
      </c>
      <c r="D11486" s="6" t="n">
        <f aca="false">(Sens!C11471+Sens!D11471)/2*Sens!D11485/1000</f>
        <v>12.9359794422418</v>
      </c>
      <c r="E11486" s="6" t="n">
        <f aca="false">(Sens!D11471+Sens!E11471)/2*Sens!E11485/1000</f>
        <v>27.8095064661409</v>
      </c>
      <c r="F11486" s="6" t="n">
        <f aca="false">(Sens!E11471+Sens!F11471)/2*Sens!F11485/1000</f>
        <v>50.6619113883066</v>
      </c>
      <c r="G11486" s="6" t="n">
        <f aca="false">(Sens!F11471+Sens!G11471)/2*Sens!G11485/1000</f>
        <v>75.1482839325348</v>
      </c>
      <c r="H11486" s="6" t="n">
        <f aca="false">(Sens!G11471+Sens!H11471)/2*Sens!H11485/1000</f>
        <v>94.895655604042</v>
      </c>
      <c r="I11486" s="6" t="n">
        <f aca="false">(Sens!H11471+Sens!I11471)/2*Sens!I11485/1000</f>
        <v>118.706168884151</v>
      </c>
      <c r="J11486" s="6" t="n">
        <f aca="false">(Sens!I11471+Sens!J11471)/2*Sens!J11485/1000</f>
        <v>135.50643871102</v>
      </c>
      <c r="K11486" s="6" t="n">
        <f aca="false">(Sens!J11471+Sens!K11471)/2*Sens!K11485/1000</f>
        <v>146.509068150048</v>
      </c>
      <c r="L11486" s="11" t="s">
        <v>833</v>
      </c>
    </row>
    <row r="11487" customFormat="false" ht="17.15" hidden="false" customHeight="false" outlineLevel="0" collapsed="false">
      <c r="A11487" s="1" t="s">
        <v>834</v>
      </c>
      <c r="B11487" s="0" t="s">
        <v>346</v>
      </c>
      <c r="C11487" s="14" t="n">
        <f aca="false">(Sens!C11479*tk_opex_h100+Sens!C11480*tk_opex_gb200+Sens!C11481*tk_opex_gb300+Sens!C11482*tk_opex_vr200)/Sens!C11471</f>
        <v>1.88636041306092</v>
      </c>
      <c r="D11487" s="14" t="n">
        <f aca="false">(Sens!D11479*tk_opex_h100+Sens!D11480*tk_opex_gb200+Sens!D11481*tk_opex_gb300+Sens!D11482*tk_opex_vr200)/Sens!D11471</f>
        <v>1.88636041306092</v>
      </c>
      <c r="E11487" s="14" t="n">
        <f aca="false">(Sens!E11479*tk_opex_h100+Sens!E11480*tk_opex_gb200+Sens!E11481*tk_opex_gb300+Sens!E11482*tk_opex_vr200)/Sens!E11471</f>
        <v>1.88636041306092</v>
      </c>
      <c r="F11487" s="14" t="n">
        <f aca="false">(Sens!F11479*tk_opex_h100+Sens!F11480*tk_opex_gb200+Sens!F11481*tk_opex_gb300+Sens!F11482*tk_opex_vr200)/Sens!F11471</f>
        <v>1.9430236476499</v>
      </c>
      <c r="G11487" s="14" t="n">
        <f aca="false">(Sens!G11479*tk_opex_h100+Sens!G11480*tk_opex_gb200+Sens!G11481*tk_opex_gb300+Sens!G11482*tk_opex_vr200)/Sens!G11471</f>
        <v>1.9786941852423</v>
      </c>
      <c r="H11487" s="14" t="n">
        <f aca="false">(Sens!H11479*tk_opex_h100+Sens!H11480*tk_opex_gb200+Sens!H11481*tk_opex_gb300+Sens!H11482*tk_opex_vr200)/Sens!H11471</f>
        <v>2.00289275976156</v>
      </c>
      <c r="I11487" s="14" t="n">
        <f aca="false">(Sens!I11479*tk_opex_h100+Sens!I11480*tk_opex_gb200+Sens!I11481*tk_opex_gb300+Sens!I11482*tk_opex_vr200)/Sens!I11471</f>
        <v>2.02179589661219</v>
      </c>
      <c r="J11487" s="14" t="n">
        <f aca="false">(Sens!J11479*tk_opex_h100+Sens!J11480*tk_opex_gb200+Sens!J11481*tk_opex_gb300+Sens!J11482*tk_opex_vr200)/Sens!J11471</f>
        <v>2.03720754193029</v>
      </c>
      <c r="K11487" s="14" t="n">
        <f aca="false">(Sens!K11479*tk_opex_h100+Sens!K11480*tk_opex_gb200+Sens!K11481*tk_opex_gb300+Sens!K11482*tk_opex_vr200)/Sens!K11471</f>
        <v>2.0589181353437</v>
      </c>
    </row>
    <row r="11488" customFormat="false" ht="17.15" hidden="false" customHeight="false" outlineLevel="0" collapsed="false">
      <c r="A11488" s="0" t="s">
        <v>835</v>
      </c>
      <c r="B11488" s="0" t="s">
        <v>98</v>
      </c>
      <c r="D11488" s="6" t="n">
        <f aca="false">(Sens!C11474+Sens!D11474)/2*Sens!D11487/1000</f>
        <v>2.70378325872065</v>
      </c>
      <c r="E11488" s="6" t="n">
        <f aca="false">(Sens!D11474+Sens!E11474)/2*Sens!E11487/1000</f>
        <v>6.17783035277451</v>
      </c>
      <c r="F11488" s="6" t="n">
        <f aca="false">(Sens!E11474+Sens!F11474)/2*Sens!F11487/1000</f>
        <v>12.5020618235287</v>
      </c>
      <c r="G11488" s="6" t="n">
        <f aca="false">(Sens!F11474+Sens!G11474)/2*Sens!G11487/1000</f>
        <v>20.7261620256847</v>
      </c>
      <c r="H11488" s="6" t="n">
        <f aca="false">(Sens!G11474+Sens!H11474)/2*Sens!H11487/1000</f>
        <v>29.4158183316982</v>
      </c>
      <c r="I11488" s="6" t="n">
        <f aca="false">(Sens!H11474+Sens!I11474)/2*Sens!I11487/1000</f>
        <v>36.9724400356344</v>
      </c>
      <c r="J11488" s="6" t="n">
        <f aca="false">(Sens!I11474+Sens!J11474)/2*Sens!J11487/1000</f>
        <v>42.1571687189816</v>
      </c>
      <c r="K11488" s="6" t="n">
        <f aca="false">(Sens!J11474+Sens!K11474)/2*Sens!K11487/1000</f>
        <v>45.1912095080704</v>
      </c>
    </row>
    <row r="11489" customFormat="false" ht="17.15" hidden="false" customHeight="false" outlineLevel="0" collapsed="false">
      <c r="A11489" s="0" t="s">
        <v>836</v>
      </c>
      <c r="B11489" s="0" t="s">
        <v>98</v>
      </c>
      <c r="D11489" s="6" t="n">
        <f aca="false">(Sens!C11472+Sens!D11472)/2*rent_mw/1000</f>
        <v>2.44475</v>
      </c>
      <c r="E11489" s="6" t="n">
        <f aca="false">(Sens!D11472+Sens!E11472)/2*rent_mw/1000</f>
        <v>4.22275</v>
      </c>
      <c r="F11489" s="6" t="n">
        <f aca="false">(Sens!E11472+Sens!F11472)/2*rent_mw/1000</f>
        <v>5.80517</v>
      </c>
      <c r="G11489" s="6" t="n">
        <f aca="false">(Sens!F11472+Sens!G11472)/2*rent_mw/1000</f>
        <v>6.72084</v>
      </c>
      <c r="H11489" s="6" t="n">
        <f aca="false">(Sens!G11472+Sens!H11472)/2*rent_mw/1000</f>
        <v>6.72084</v>
      </c>
      <c r="I11489" s="6" t="n">
        <f aca="false">(Sens!H11472+Sens!I11472)/2*rent_mw/1000</f>
        <v>6.72084</v>
      </c>
      <c r="J11489" s="6" t="n">
        <f aca="false">(Sens!I11472+Sens!J11472)/2*rent_mw/1000</f>
        <v>6.72084</v>
      </c>
      <c r="K11489" s="6" t="n">
        <f aca="false">(Sens!J11472+Sens!K11472)/2*rent_mw/1000</f>
        <v>6.72084</v>
      </c>
    </row>
    <row r="11490" customFormat="false" ht="17.15" hidden="false" customHeight="false" outlineLevel="0" collapsed="false">
      <c r="A11490" s="0" t="s">
        <v>837</v>
      </c>
      <c r="B11490" s="0" t="s">
        <v>98</v>
      </c>
      <c r="D11490" s="6" t="n">
        <f aca="false">(Sens!C11474+Sens!D11474)/2*(1-self_build)*fac_rent/1000</f>
        <v>0.853242375631075</v>
      </c>
      <c r="E11490" s="6" t="n">
        <f aca="false">(Sens!D11474+Sens!E11474)/2*(1-self_build)*fac_rent/1000</f>
        <v>1.94955961408728</v>
      </c>
      <c r="F11490" s="6" t="n">
        <f aca="false">(Sens!E11474+Sens!F11474)/2*(1-self_build)*fac_rent/1000</f>
        <v>3.83026455274573</v>
      </c>
      <c r="G11490" s="6" t="n">
        <f aca="false">(Sens!F11474+Sens!G11474)/2*(1-self_build)*fac_rent/1000</f>
        <v>6.23541590972812</v>
      </c>
      <c r="H11490" s="6" t="n">
        <f aca="false">(Sens!G11474+Sens!H11474)/2*(1-self_build)*fac_rent/1000</f>
        <v>8.74275792332679</v>
      </c>
      <c r="I11490" s="6" t="n">
        <f aca="false">(Sens!H11474+Sens!I11474)/2*(1-self_build)*fac_rent/1000</f>
        <v>10.8859420438599</v>
      </c>
      <c r="J11490" s="6" t="n">
        <f aca="false">(Sens!I11474+Sens!J11474)/2*(1-self_build)*fac_rent/1000</f>
        <v>12.3186006405366</v>
      </c>
      <c r="K11490" s="6" t="n">
        <f aca="false">(Sens!J11474+Sens!K11474)/2*(1-self_build)*fac_rent/1000</f>
        <v>13.0659232089824</v>
      </c>
      <c r="L11490" s="11" t="s">
        <v>838</v>
      </c>
    </row>
    <row r="11491" customFormat="false" ht="17.15" hidden="false" customHeight="false" outlineLevel="0" collapsed="false">
      <c r="A11491" s="1" t="s">
        <v>839</v>
      </c>
      <c r="B11491" s="0" t="s">
        <v>129</v>
      </c>
      <c r="D11491" s="7" t="n">
        <f aca="false">(Sens!C11473+Sens!D11473)/(Sens!C11474+Sens!D11474)</f>
        <v>0.6</v>
      </c>
      <c r="E11491" s="7" t="n">
        <f aca="false">(Sens!D11473+Sens!E11473)/(Sens!D11474+Sens!E11474)</f>
        <v>0.6</v>
      </c>
      <c r="F11491" s="7" t="n">
        <f aca="false">(Sens!E11473+Sens!F11473)/(Sens!E11474+Sens!F11474)</f>
        <v>0.6</v>
      </c>
      <c r="G11491" s="7" t="n">
        <f aca="false">(Sens!F11473+Sens!G11473)/(Sens!F11474+Sens!G11474)</f>
        <v>0.6</v>
      </c>
      <c r="H11491" s="7" t="n">
        <f aca="false">(Sens!G11473+Sens!H11473)/(Sens!G11474+Sens!H11474)</f>
        <v>0.6</v>
      </c>
      <c r="I11491" s="7" t="n">
        <f aca="false">(Sens!H11473+Sens!I11473)/(Sens!H11474+Sens!I11474)</f>
        <v>0.6</v>
      </c>
      <c r="J11491" s="7" t="n">
        <f aca="false">(Sens!I11473+Sens!J11473)/(Sens!I11474+Sens!J11474)</f>
        <v>0.6</v>
      </c>
      <c r="K11491" s="7" t="n">
        <f aca="false">(Sens!J11473+Sens!K11473)/(Sens!J11474+Sens!K11474)</f>
        <v>0.6</v>
      </c>
    </row>
    <row r="11492" customFormat="false" ht="17.15" hidden="false" customHeight="false" outlineLevel="0" collapsed="false">
      <c r="A11492" s="0" t="s">
        <v>840</v>
      </c>
      <c r="B11492" s="0" t="s">
        <v>98</v>
      </c>
      <c r="D11492" s="6" t="n">
        <f aca="false">Sens!D11486-Sens!D11491*(Sens!D11488+Sens!D11490)-Sens!D11489</f>
        <v>8.35701406163072</v>
      </c>
      <c r="E11492" s="6" t="n">
        <f aca="false">Sens!E11486-Sens!E11491*(Sens!E11488+Sens!E11490)-Sens!E11489</f>
        <v>18.7103224860238</v>
      </c>
      <c r="F11492" s="6" t="n">
        <f aca="false">Sens!F11486-Sens!F11491*(Sens!F11488+Sens!F11490)-Sens!F11489</f>
        <v>35.0573455625419</v>
      </c>
      <c r="G11492" s="6" t="n">
        <f aca="false">Sens!G11486-Sens!G11491*(Sens!G11488+Sens!G11490)-Sens!G11489</f>
        <v>52.2504971712871</v>
      </c>
      <c r="H11492" s="6" t="n">
        <f aca="false">Sens!H11486-Sens!H11491*(Sens!H11488+Sens!H11490)-Sens!H11489</f>
        <v>65.2796698510271</v>
      </c>
      <c r="I11492" s="6" t="n">
        <f aca="false">Sens!I11486-Sens!I11491*(Sens!I11488+Sens!I11490)-Sens!I11489</f>
        <v>83.2702996364549</v>
      </c>
      <c r="J11492" s="6" t="n">
        <f aca="false">Sens!J11486-Sens!J11491*(Sens!J11488+Sens!J11490)-Sens!J11489</f>
        <v>96.1001370953095</v>
      </c>
      <c r="K11492" s="6" t="n">
        <f aca="false">Sens!K11486-Sens!K11491*(Sens!K11488+Sens!K11490)-Sens!K11489</f>
        <v>104.833948519816</v>
      </c>
    </row>
    <row r="11493" customFormat="false" ht="17.15" hidden="false" customHeight="false" outlineLevel="0" collapsed="false">
      <c r="A11493" s="1" t="s">
        <v>841</v>
      </c>
      <c r="B11493" s="0" t="s">
        <v>98</v>
      </c>
      <c r="D11493" s="6" t="n">
        <f aca="false">(1-Sens!D11491)*(Sens!D11488+Sens!D11490)</f>
        <v>1.42281025374069</v>
      </c>
      <c r="E11493" s="6" t="n">
        <f aca="false">(1-Sens!E11491)*(Sens!E11488+Sens!E11490)</f>
        <v>3.25095598674472</v>
      </c>
      <c r="F11493" s="6" t="n">
        <f aca="false">(1-Sens!F11491)*(Sens!F11488+Sens!F11490)</f>
        <v>6.53293055050977</v>
      </c>
      <c r="G11493" s="6" t="n">
        <f aca="false">(1-Sens!G11491)*(Sens!G11488+Sens!G11490)</f>
        <v>10.7846311741651</v>
      </c>
      <c r="H11493" s="6" t="n">
        <f aca="false">(1-Sens!H11491)*(Sens!H11488+Sens!H11490)</f>
        <v>15.26343050201</v>
      </c>
      <c r="I11493" s="6" t="n">
        <f aca="false">(1-Sens!I11491)*(Sens!I11488+Sens!I11490)</f>
        <v>19.1433528317977</v>
      </c>
      <c r="J11493" s="6" t="n">
        <f aca="false">(1-Sens!J11491)*(Sens!J11488+Sens!J11490)</f>
        <v>21.7903077438073</v>
      </c>
      <c r="K11493" s="6" t="n">
        <f aca="false">(1-Sens!K11491)*(Sens!K11488+Sens!K11490)</f>
        <v>23.3028530868211</v>
      </c>
    </row>
    <row r="11494" customFormat="false" ht="17.15" hidden="false" customHeight="false" outlineLevel="0" collapsed="false">
      <c r="A11494" s="1" t="s">
        <v>842</v>
      </c>
      <c r="B11494" s="0" t="s">
        <v>357</v>
      </c>
      <c r="C11494" s="8" t="n">
        <f aca="false">cxit_open</f>
        <v>27.5918995</v>
      </c>
      <c r="D11494" s="8" t="n">
        <f aca="false">cxit_open</f>
        <v>27.5918995</v>
      </c>
      <c r="E11494" s="8" t="n">
        <f aca="false">cxit_open</f>
        <v>27.5918995</v>
      </c>
      <c r="F11494" s="8" t="n">
        <f aca="false">(a_g3_27*tk_cxit_gb300+(1-a_g3_27)*tk_cxit_vr200)</f>
        <v>33.8419624</v>
      </c>
      <c r="G11494" s="8" t="n">
        <f aca="false">(a_g3_28*tk_cxit_gb300+(1-a_g3_28)*tk_cxit_vr200)</f>
        <v>35.9816136</v>
      </c>
      <c r="H11494" s="8" t="n">
        <f aca="false">(a_g3_29*tk_cxit_gb300+(1-a_g3_29)*tk_cxit_vr200)</f>
        <v>37.0514392</v>
      </c>
      <c r="I11494" s="8" t="n">
        <f aca="false">(a_g3_29*tk_cxit_gb300+(1-a_g3_29)*tk_cxit_vr200)</f>
        <v>37.0514392</v>
      </c>
      <c r="J11494" s="8" t="n">
        <f aca="false">(a_g3_29*tk_cxit_gb300+(1-a_g3_29)*tk_cxit_vr200)</f>
        <v>37.0514392</v>
      </c>
      <c r="K11494" s="8" t="n">
        <f aca="false">(a_g3_29*tk_cxit_gb300+(1-a_g3_29)*tk_cxit_vr200)</f>
        <v>37.0514392</v>
      </c>
      <c r="L11494" s="11" t="s">
        <v>843</v>
      </c>
    </row>
    <row r="11495" customFormat="false" ht="17.15" hidden="false" customHeight="false" outlineLevel="0" collapsed="false">
      <c r="A11495" s="0" t="s">
        <v>844</v>
      </c>
      <c r="B11495" s="0" t="s">
        <v>399</v>
      </c>
      <c r="F11495" s="29" t="n">
        <f aca="false">Sens!C11476*IF(Sens!F11469-Sens!C11469=life_it,1,0)+Sens!D11476*IF(Sens!F11469-Sens!D11469=life_it,1,0)+Sens!E11476*IF(Sens!F11469-Sens!E11469=life_it,1,0)</f>
        <v>0</v>
      </c>
      <c r="G11495" s="29" t="n">
        <f aca="false">Sens!C11476*IF(Sens!G11469-Sens!C11469=life_it,1,0)+Sens!D11476*IF(Sens!G11469-Sens!D11469=life_it,1,0)+Sens!E11476*IF(Sens!G11469-Sens!E11469=life_it,1,0)+Sens!F11476*IF(Sens!G11469-Sens!F11469=life_it,1,0)</f>
        <v>0</v>
      </c>
      <c r="H11495" s="29" t="n">
        <f aca="false">Sens!C11476*IF(Sens!H11469-Sens!C11469=life_it,1,0)+Sens!D11476*IF(Sens!H11469-Sens!D11469=life_it,1,0)+Sens!E11476*IF(Sens!H11469-Sens!E11469=life_it,1,0)+Sens!F11476*IF(Sens!H11469-Sens!F11469=life_it,1,0)+Sens!G11476*IF(Sens!H11469-Sens!G11469=life_it,1,0)</f>
        <v>0</v>
      </c>
      <c r="I11495" s="29" t="n">
        <f aca="false">Sens!C11476*IF(Sens!I11469-Sens!C11469=life_it,1,0)+Sens!D11476*IF(Sens!I11469-Sens!D11469=life_it,1,0)+Sens!E11476*IF(Sens!I11469-Sens!E11469=life_it,1,0)+Sens!F11476*IF(Sens!I11469-Sens!F11469=life_it,1,0)+Sens!G11476*IF(Sens!I11469-Sens!G11469=life_it,1,0)+Sens!H11476*IF(Sens!I11469-Sens!H11469=life_it,1,0)</f>
        <v>816.666666666667</v>
      </c>
      <c r="J11495" s="29" t="n">
        <f aca="false">Sens!C11476*IF(Sens!J11469-Sens!C11469=life_it,1,0)+Sens!D11476*IF(Sens!J11469-Sens!D11469=life_it,1,0)+Sens!E11476*IF(Sens!J11469-Sens!E11469=life_it,1,0)+Sens!F11476*IF(Sens!J11469-Sens!F11469=life_it,1,0)+Sens!G11476*IF(Sens!J11469-Sens!G11469=life_it,1,0)+Sens!H11476*IF(Sens!J11469-Sens!H11469=life_it,1,0)+Sens!I11476*IF(Sens!J11469-Sens!I11469=life_it,1,0)</f>
        <v>1233.33333333333</v>
      </c>
      <c r="K11495" s="29" t="n">
        <f aca="false">Sens!C11476*IF(Sens!K11469-Sens!C11469=life_it,1,0)+Sens!D11476*IF(Sens!K11469-Sens!D11469=life_it,1,0)+Sens!E11476*IF(Sens!K11469-Sens!E11469=life_it,1,0)+Sens!F11476*IF(Sens!K11469-Sens!F11469=life_it,1,0)+Sens!G11476*IF(Sens!K11469-Sens!G11469=life_it,1,0)+Sens!H11476*IF(Sens!K11469-Sens!H11469=life_it,1,0)+Sens!I11476*IF(Sens!K11469-Sens!I11469=life_it,1,0)+Sens!J11476*IF(Sens!K11469-Sens!J11469=life_it,1,0)</f>
        <v>2450</v>
      </c>
      <c r="L11495" s="1" t="s">
        <v>845</v>
      </c>
    </row>
    <row r="11496" customFormat="false" ht="17.15" hidden="false" customHeight="false" outlineLevel="0" collapsed="false">
      <c r="A11496" s="0" t="s">
        <v>846</v>
      </c>
      <c r="B11496" s="0" t="s">
        <v>98</v>
      </c>
      <c r="C11496" s="6" t="n">
        <f aca="false">Sens!C11476*Sens!C11494/1000</f>
        <v>22.5333845916667</v>
      </c>
      <c r="D11496" s="6" t="n">
        <f aca="false">Sens!D11476*Sens!D11494/1000</f>
        <v>34.0300093833333</v>
      </c>
      <c r="E11496" s="6" t="n">
        <f aca="false">Sens!E11476*Sens!E11494/1000</f>
        <v>67.600153775</v>
      </c>
      <c r="F11496" s="6" t="n">
        <f aca="false">(Sens!F11476+Sens!F11495)*Sens!F11494/1000</f>
        <v>130.923271871467</v>
      </c>
      <c r="G11496" s="6" t="n">
        <f aca="false">(Sens!G11476+Sens!G11495)*Sens!G11494/1000</f>
        <v>151.5545564832</v>
      </c>
      <c r="H11496" s="6" t="n">
        <f aca="false">(Sens!H11476+Sens!H11495)*Sens!H11494/1000</f>
        <v>156.0606619104</v>
      </c>
      <c r="I11496" s="6" t="n">
        <f aca="false">(Sens!I11476+Sens!I11495)*Sens!I11494/1000</f>
        <v>140.987889434245</v>
      </c>
      <c r="J11496" s="6" t="n">
        <f aca="false">(Sens!J11476+Sens!J11495)*Sens!J11494/1000</f>
        <v>113.309125559842</v>
      </c>
      <c r="K11496" s="6" t="n">
        <f aca="false">(Sens!K11476+Sens!K11495)*Sens!K11494/1000</f>
        <v>116.192591420959</v>
      </c>
    </row>
    <row r="11497" customFormat="false" ht="17.15" hidden="false" customHeight="false" outlineLevel="0" collapsed="false">
      <c r="A11497" s="0" t="s">
        <v>847</v>
      </c>
      <c r="B11497" s="0" t="s">
        <v>98</v>
      </c>
      <c r="C11497" s="6" t="n">
        <f aca="false">Sens!C11476*self_build*tk_cxfac/1000</f>
        <v>6.2083</v>
      </c>
      <c r="D11497" s="6" t="n">
        <f aca="false">Sens!D11476*self_build*tk_cxfac/1000</f>
        <v>9.3758</v>
      </c>
      <c r="E11497" s="6" t="n">
        <f aca="false">Sens!E11476*self_build*tk_cxfac/1000</f>
        <v>18.6249</v>
      </c>
      <c r="F11497" s="6" t="n">
        <f aca="false">Sens!F11476*self_build*tk_cxfac/1000</f>
        <v>29.409604</v>
      </c>
      <c r="G11497" s="6" t="n">
        <f aca="false">Sens!G11476*self_build*tk_cxfac/1000</f>
        <v>32.019624</v>
      </c>
      <c r="H11497" s="6" t="n">
        <f aca="false">Sens!H11476*self_build*tk_cxfac/1000</f>
        <v>32.019624</v>
      </c>
      <c r="I11497" s="6" t="n">
        <f aca="false">Sens!I11476*self_build*tk_cxfac/1000</f>
        <v>22.71877972</v>
      </c>
      <c r="J11497" s="6" t="n">
        <f aca="false">Sens!J11476*self_build*tk_cxfac/1000</f>
        <v>13.8723110344</v>
      </c>
      <c r="K11497" s="6" t="n">
        <f aca="false">Sens!K11476*self_build*tk_cxfac/1000</f>
        <v>5.214823882632</v>
      </c>
    </row>
    <row r="11498" customFormat="false" ht="17.15" hidden="false" customHeight="false" outlineLevel="0" collapsed="false">
      <c r="A11498" s="0" t="s">
        <v>848</v>
      </c>
      <c r="B11498" s="0" t="s">
        <v>98</v>
      </c>
      <c r="F11498" s="6" t="n">
        <f aca="false">MAX(0,capex_floor27-Sens!F11496-Sens!F11497-Sens!F11592)</f>
        <v>8.43777689897088</v>
      </c>
    </row>
    <row r="11499" customFormat="false" ht="17.15" hidden="false" customHeight="false" outlineLevel="0" collapsed="false">
      <c r="A11499" s="0" t="s">
        <v>849</v>
      </c>
      <c r="B11499" s="0" t="s">
        <v>98</v>
      </c>
      <c r="C11499" s="6" t="n">
        <f aca="false">Sens!C11496</f>
        <v>22.5333845916667</v>
      </c>
      <c r="D11499" s="6" t="n">
        <f aca="false">Sens!D11496</f>
        <v>34.0300093833333</v>
      </c>
      <c r="E11499" s="6" t="n">
        <f aca="false">Sens!E11496</f>
        <v>67.600153775</v>
      </c>
      <c r="F11499" s="6" t="n">
        <f aca="false">Sens!F11496</f>
        <v>130.923271871467</v>
      </c>
      <c r="G11499" s="6" t="n">
        <f aca="false">Sens!G11496</f>
        <v>151.5545564832</v>
      </c>
      <c r="H11499" s="6" t="n">
        <f aca="false">Sens!H11496</f>
        <v>156.0606619104</v>
      </c>
      <c r="I11499" s="6" t="n">
        <f aca="false">Sens!I11496</f>
        <v>140.987889434245</v>
      </c>
      <c r="J11499" s="6" t="n">
        <f aca="false">Sens!J11496</f>
        <v>113.309125559842</v>
      </c>
      <c r="K11499" s="6" t="n">
        <f aca="false">Sens!K11496</f>
        <v>116.192591420959</v>
      </c>
    </row>
    <row r="11500" customFormat="false" ht="17.15" hidden="false" customHeight="false" outlineLevel="0" collapsed="false">
      <c r="A11500" s="0" t="s">
        <v>850</v>
      </c>
      <c r="B11500" s="0" t="s">
        <v>98</v>
      </c>
      <c r="C11500" s="6" t="n">
        <f aca="false">Sens!C11499+Sens!C11497</f>
        <v>28.7416845916667</v>
      </c>
      <c r="D11500" s="6" t="n">
        <f aca="false">Sens!D11499+Sens!D11497</f>
        <v>43.4058093833333</v>
      </c>
      <c r="E11500" s="6" t="n">
        <f aca="false">Sens!E11499+Sens!E11497</f>
        <v>86.225053775</v>
      </c>
      <c r="F11500" s="6" t="n">
        <f aca="false">Sens!F11499+Sens!F11497</f>
        <v>160.332875871467</v>
      </c>
      <c r="G11500" s="6" t="n">
        <f aca="false">Sens!G11499+Sens!G11497</f>
        <v>183.5741804832</v>
      </c>
      <c r="H11500" s="6" t="n">
        <f aca="false">Sens!H11499+Sens!H11497</f>
        <v>188.0802859104</v>
      </c>
      <c r="I11500" s="6" t="n">
        <f aca="false">Sens!I11499+Sens!I11497</f>
        <v>163.706669154245</v>
      </c>
      <c r="J11500" s="6" t="n">
        <f aca="false">Sens!J11499+Sens!J11497</f>
        <v>127.181436594242</v>
      </c>
      <c r="K11500" s="6" t="n">
        <f aca="false">Sens!K11499+Sens!K11497</f>
        <v>121.407415303591</v>
      </c>
      <c r="L11500" s="11" t="s">
        <v>851</v>
      </c>
    </row>
    <row r="11501" customFormat="false" ht="17.15" hidden="false" customHeight="false" outlineLevel="0" collapsed="false">
      <c r="A11501" s="0" t="s">
        <v>852</v>
      </c>
      <c r="B11501" s="0" t="s">
        <v>98</v>
      </c>
      <c r="E11501" s="6" t="n">
        <f aca="false">(Sens!C11499*IF(2&lt;life_it,1,IF(2=life_it,0.5,0))+Sens!D11499*IF(1&lt;life_it,1,IF(1=life_it,0.5,0))+Sens!E11499*0.5)/life_it</f>
        <v>15.0605784770833</v>
      </c>
      <c r="F11501" s="6" t="n">
        <f aca="false">(Sens!C11499*IF(3&lt;life_it,1,IF(3=life_it,0.5,0))+Sens!D11499*IF(2&lt;life_it,1,IF(2=life_it,0.5,0))+Sens!E11499*IF(1&lt;life_it,1,IF(1=life_it,0.5,0))+Sens!F11499*0.5)/life_it</f>
        <v>31.6041972809556</v>
      </c>
      <c r="G11501" s="6" t="n">
        <f aca="false">(Sens!C11499*IF(4&lt;life_it,1,IF(4=life_it,0.5,0))+Sens!D11499*IF(3&lt;life_it,1,IF(3=life_it,0.5,0))+Sens!E11499*IF(2&lt;life_it,1,IF(2=life_it,0.5,0))+Sens!F11499*IF(1&lt;life_it,1,IF(1=life_it,0.5,0))+Sens!G11499*0.5)/life_it</f>
        <v>55.1440163105111</v>
      </c>
      <c r="H11501" s="6" t="n">
        <f aca="false">(Sens!C11499*IF(5&lt;life_it,1,IF(5=life_it,0.5,0))+Sens!D11499*IF(4&lt;life_it,1,IF(4=life_it,0.5,0))+Sens!E11499*IF(3&lt;life_it,1,IF(3=life_it,0.5,0))+Sens!F11499*IF(2&lt;life_it,1,IF(2=life_it,0.5,0))+Sens!G11499*IF(1&lt;life_it,1,IF(1=life_it,0.5,0))+Sens!H11499*0.5)/life_it</f>
        <v>80.7786178433111</v>
      </c>
      <c r="I11501" s="6" t="n">
        <f aca="false">(Sens!C11499*IF(6&lt;life_it,1,IF(6=life_it,0.5,0))+Sens!D11499*IF(5&lt;life_it,1,IF(5=life_it,0.5,0))+Sens!E11499*IF(4&lt;life_it,1,IF(4=life_it,0.5,0))+Sens!F11499*IF(3&lt;life_it,1,IF(3=life_it,0.5,0))+Sens!G11499*IF(2&lt;life_it,1,IF(2=life_it,0.5,0))+Sens!H11499*IF(1&lt;life_it,1,IF(1=life_it,0.5,0))+Sens!I11499*0.5)/life_it</f>
        <v>103.654881739393</v>
      </c>
      <c r="J11501" s="6" t="n">
        <f aca="false">(Sens!C11499*IF(7&lt;life_it,1,IF(7=life_it,0.5,0))+Sens!D11499*IF(6&lt;life_it,1,IF(6=life_it,0.5,0))+Sens!E11499*IF(5&lt;life_it,1,IF(5=life_it,0.5,0))+Sens!F11499*IF(4&lt;life_it,1,IF(4=life_it,0.5,0))+Sens!G11499*IF(3&lt;life_it,1,IF(3=life_it,0.5,0))+Sens!H11499*IF(2&lt;life_it,1,IF(2=life_it,0.5,0))+Sens!I11499*IF(1&lt;life_it,1,IF(1=life_it,0.5,0))+Sens!J11499*0.5)/life_it</f>
        <v>120.132683490983</v>
      </c>
      <c r="K11501" s="6" t="n">
        <f aca="false">(Sens!C11499*IF(8&lt;life_it,1,IF(8=life_it,0.5,0))+Sens!D11499*IF(7&lt;life_it,1,IF(7=life_it,0.5,0))+Sens!E11499*IF(6&lt;life_it,1,IF(6=life_it,0.5,0))+Sens!F11499*IF(5&lt;life_it,1,IF(5=life_it,0.5,0))+Sens!G11499*IF(4&lt;life_it,1,IF(4=life_it,0.5,0))+Sens!H11499*IF(3&lt;life_it,1,IF(3=life_it,0.5,0))+Sens!I11499*IF(2&lt;life_it,1,IF(2=life_it,0.5,0))+Sens!J11499*IF(1&lt;life_it,1,IF(1=life_it,0.5,0))+Sens!K11499*0.5)/life_it</f>
        <v>130.788646309522</v>
      </c>
    </row>
    <row r="11502" customFormat="false" ht="17.15" hidden="false" customHeight="false" outlineLevel="0" collapsed="false">
      <c r="A11502" s="0" t="s">
        <v>853</v>
      </c>
      <c r="B11502" s="0" t="s">
        <v>98</v>
      </c>
      <c r="E11502" s="6" t="n">
        <f aca="false">(Sens!C11497*IF(2&lt;life_fac,1,IF(2=life_fac,0.5,0))+Sens!D11497*IF(1&lt;life_fac,1,IF(1=life_fac,0.5,0))+Sens!E11497*0.5)/life_fac</f>
        <v>1.2448275</v>
      </c>
      <c r="F11502" s="6" t="n">
        <f aca="false">(Sens!C11497*IF(3&lt;life_fac,1,IF(3=life_fac,0.5,0))+Sens!D11497*IF(2&lt;life_fac,1,IF(2=life_fac,0.5,0))+Sens!E11497*IF(1&lt;life_fac,1,IF(1=life_fac,0.5,0))+Sens!F11497*0.5)/life_fac</f>
        <v>2.4456901</v>
      </c>
      <c r="G11502" s="6" t="n">
        <f aca="false">(Sens!C11497*IF(4&lt;life_fac,1,IF(4=life_fac,0.5,0))+Sens!D11497*IF(3&lt;life_fac,1,IF(3=life_fac,0.5,0))+Sens!E11497*IF(2&lt;life_fac,1,IF(2=life_fac,0.5,0))+Sens!F11497*IF(1&lt;life_fac,1,IF(1=life_fac,0.5,0))+Sens!G11497*0.5)/life_fac</f>
        <v>3.9814208</v>
      </c>
      <c r="H11502" s="6" t="n">
        <f aca="false">(Sens!C11497*IF(5&lt;life_fac,1,IF(5=life_fac,0.5,0))+Sens!D11497*IF(4&lt;life_fac,1,IF(4=life_fac,0.5,0))+Sens!E11497*IF(3&lt;life_fac,1,IF(3=life_fac,0.5,0))+Sens!F11497*IF(2&lt;life_fac,1,IF(2=life_fac,0.5,0))+Sens!G11497*IF(1&lt;life_fac,1,IF(1=life_fac,0.5,0))+Sens!H11497*0.5)/life_fac</f>
        <v>5.582402</v>
      </c>
      <c r="I11502" s="6" t="n">
        <f aca="false">(Sens!C11497*IF(6&lt;life_fac,1,IF(6=life_fac,0.5,0))+Sens!D11497*IF(5&lt;life_fac,1,IF(5=life_fac,0.5,0))+Sens!E11497*IF(4&lt;life_fac,1,IF(4=life_fac,0.5,0))+Sens!F11497*IF(3&lt;life_fac,1,IF(3=life_fac,0.5,0))+Sens!G11497*IF(2&lt;life_fac,1,IF(2=life_fac,0.5,0))+Sens!H11497*IF(1&lt;life_fac,1,IF(1=life_fac,0.5,0))+Sens!I11497*0.5)/life_fac</f>
        <v>6.950862093</v>
      </c>
      <c r="J11502" s="6" t="n">
        <f aca="false">(Sens!C11497*IF(7&lt;life_fac,1,IF(7=life_fac,0.5,0))+Sens!D11497*IF(6&lt;life_fac,1,IF(6=life_fac,0.5,0))+Sens!E11497*IF(5&lt;life_fac,1,IF(5=life_fac,0.5,0))+Sens!F11497*IF(4&lt;life_fac,1,IF(4=life_fac,0.5,0))+Sens!G11497*IF(3&lt;life_fac,1,IF(3=life_fac,0.5,0))+Sens!H11497*IF(2&lt;life_fac,1,IF(2=life_fac,0.5,0))+Sens!I11497*IF(1&lt;life_fac,1,IF(1=life_fac,0.5,0))+Sens!J11497*0.5)/life_fac</f>
        <v>7.86563936186</v>
      </c>
      <c r="K11502" s="6" t="n">
        <f aca="false">(Sens!C11497*IF(8&lt;life_fac,1,IF(8=life_fac,0.5,0))+Sens!D11497*IF(7&lt;life_fac,1,IF(7=life_fac,0.5,0))+Sens!E11497*IF(6&lt;life_fac,1,IF(6=life_fac,0.5,0))+Sens!F11497*IF(5&lt;life_fac,1,IF(5=life_fac,0.5,0))+Sens!G11497*IF(4&lt;life_fac,1,IF(4=life_fac,0.5,0))+Sens!H11497*IF(3&lt;life_fac,1,IF(3=life_fac,0.5,0))+Sens!I11497*IF(2&lt;life_fac,1,IF(2=life_fac,0.5,0))+Sens!J11497*IF(1&lt;life_fac,1,IF(1=life_fac,0.5,0))+Sens!K11497*0.5)/life_fac</f>
        <v>8.3428177347858</v>
      </c>
    </row>
    <row r="11503" customFormat="false" ht="17.15" hidden="false" customHeight="false" outlineLevel="0" collapsed="false">
      <c r="A11503" s="0" t="s">
        <v>854</v>
      </c>
      <c r="B11503" s="0" t="s">
        <v>98</v>
      </c>
      <c r="E11503" s="6" t="n">
        <f aca="false">Sens!E11501+Sens!E11502</f>
        <v>16.3054059770833</v>
      </c>
      <c r="F11503" s="6" t="n">
        <f aca="false">Sens!F11501+Sens!F11502</f>
        <v>34.0498873809555</v>
      </c>
      <c r="G11503" s="6" t="n">
        <f aca="false">Sens!G11501+Sens!G11502</f>
        <v>59.1254371105111</v>
      </c>
      <c r="H11503" s="6" t="n">
        <f aca="false">Sens!H11501+Sens!H11502</f>
        <v>86.3610198433111</v>
      </c>
      <c r="I11503" s="6" t="n">
        <f aca="false">Sens!I11501+Sens!I11502</f>
        <v>110.605743832393</v>
      </c>
      <c r="J11503" s="6" t="n">
        <f aca="false">Sens!J11501+Sens!J11502</f>
        <v>127.998322852843</v>
      </c>
      <c r="K11503" s="6" t="n">
        <f aca="false">Sens!K11501+Sens!K11502</f>
        <v>139.131464044308</v>
      </c>
    </row>
    <row r="11504" customFormat="false" ht="17.15" hidden="false" customHeight="false" outlineLevel="0" collapsed="false">
      <c r="A11504" s="0" t="s">
        <v>855</v>
      </c>
      <c r="B11504" s="0" t="s">
        <v>98</v>
      </c>
      <c r="E11504" s="6" t="n">
        <f aca="false">Sens!E11492-Sens!E11491*Sens!E11503</f>
        <v>8.92707889977379</v>
      </c>
      <c r="F11504" s="6" t="n">
        <f aca="false">Sens!F11492-Sens!F11491*Sens!F11503</f>
        <v>14.6274131339686</v>
      </c>
      <c r="G11504" s="6" t="n">
        <f aca="false">Sens!G11492-Sens!G11491*Sens!G11503</f>
        <v>16.7752349049804</v>
      </c>
      <c r="H11504" s="6" t="n">
        <f aca="false">Sens!H11492-Sens!H11491*Sens!H11503</f>
        <v>13.4630579450404</v>
      </c>
      <c r="I11504" s="6" t="n">
        <f aca="false">Sens!I11492-Sens!I11491*Sens!I11503</f>
        <v>16.9068533370192</v>
      </c>
      <c r="J11504" s="6" t="n">
        <f aca="false">Sens!J11492-Sens!J11491*Sens!J11503</f>
        <v>19.3011433836036</v>
      </c>
      <c r="K11504" s="6" t="n">
        <f aca="false">Sens!K11492-Sens!K11491*Sens!K11503</f>
        <v>21.3550700932312</v>
      </c>
    </row>
    <row r="11505" customFormat="false" ht="17.15" hidden="false" customHeight="false" outlineLevel="0" collapsed="false">
      <c r="A11505" s="3" t="s">
        <v>1558</v>
      </c>
    </row>
    <row r="11506" customFormat="false" ht="15" hidden="false" customHeight="false" outlineLevel="0" collapsed="false">
      <c r="A11506" s="4" t="s">
        <v>43</v>
      </c>
      <c r="B11506" s="4" t="s">
        <v>65</v>
      </c>
      <c r="C11506" s="20" t="s">
        <v>799</v>
      </c>
      <c r="D11506" s="20" t="s">
        <v>800</v>
      </c>
      <c r="E11506" s="20" t="s">
        <v>801</v>
      </c>
      <c r="F11506" s="20" t="s">
        <v>802</v>
      </c>
      <c r="G11506" s="20" t="s">
        <v>803</v>
      </c>
      <c r="H11506" s="20" t="s">
        <v>804</v>
      </c>
      <c r="I11506" s="20" t="s">
        <v>805</v>
      </c>
      <c r="J11506" s="20" t="s">
        <v>806</v>
      </c>
      <c r="K11506" s="20" t="s">
        <v>807</v>
      </c>
      <c r="L11506" s="4" t="s">
        <v>47</v>
      </c>
    </row>
    <row r="11507" customFormat="false" ht="17.15" hidden="false" customHeight="false" outlineLevel="0" collapsed="false">
      <c r="A11507" s="0" t="s">
        <v>874</v>
      </c>
      <c r="B11507" s="0" t="s">
        <v>98</v>
      </c>
      <c r="D11507" s="6" t="n">
        <f aca="false">Sens!D11486</f>
        <v>12.9359794422418</v>
      </c>
      <c r="E11507" s="6" t="n">
        <f aca="false">Sens!E11486</f>
        <v>27.8095064661409</v>
      </c>
      <c r="F11507" s="6" t="n">
        <f aca="false">Sens!F11486</f>
        <v>50.6619113883066</v>
      </c>
      <c r="G11507" s="6" t="n">
        <f aca="false">Sens!G11486</f>
        <v>75.1482839325348</v>
      </c>
      <c r="H11507" s="6" t="n">
        <f aca="false">Sens!H11486</f>
        <v>94.895655604042</v>
      </c>
      <c r="I11507" s="6" t="n">
        <f aca="false">Sens!I11486</f>
        <v>118.706168884151</v>
      </c>
      <c r="J11507" s="6" t="n">
        <f aca="false">Sens!J11486</f>
        <v>135.50643871102</v>
      </c>
      <c r="K11507" s="6" t="n">
        <f aca="false">Sens!K11486</f>
        <v>146.509068150048</v>
      </c>
    </row>
    <row r="11508" customFormat="false" ht="17.15" hidden="false" customHeight="false" outlineLevel="0" collapsed="false">
      <c r="A11508" s="0" t="s">
        <v>875</v>
      </c>
      <c r="B11508" s="0" t="s">
        <v>98</v>
      </c>
      <c r="D11508" s="6" t="n">
        <f aca="false">Q!L6-Sens!D11507</f>
        <v>59.6740205577583</v>
      </c>
      <c r="E11508" s="6" t="n">
        <f aca="false">Q!M6-Sens!E11507</f>
        <v>74.1284935338591</v>
      </c>
      <c r="F11508" s="6" t="n">
        <f aca="false">Sens!E11508*(1+Sens!F11509)</f>
        <v>90.0799497373663</v>
      </c>
      <c r="G11508" s="6" t="n">
        <f aca="false">Sens!F11508*(1+Sens!G11509)</f>
        <v>107.02842520331</v>
      </c>
      <c r="H11508" s="6" t="n">
        <f aca="false">Sens!G11508*(1+Sens!H11509)</f>
        <v>124.271982585636</v>
      </c>
      <c r="I11508" s="6" t="n">
        <f aca="false">Sens!H11508*(1+Sens!I11509)</f>
        <v>140.933702381855</v>
      </c>
      <c r="J11508" s="6" t="n">
        <f aca="false">Sens!I11508*(1+Sens!J11509)</f>
        <v>156.018867314332</v>
      </c>
      <c r="K11508" s="6" t="n">
        <f aca="false">Sens!J11508*(1+Sens!K11509)</f>
        <v>168.500376699478</v>
      </c>
    </row>
    <row r="11509" customFormat="false" ht="15" hidden="false" customHeight="false" outlineLevel="0" collapsed="false">
      <c r="A11509" s="1" t="s">
        <v>876</v>
      </c>
      <c r="B11509" s="0" t="s">
        <v>129</v>
      </c>
      <c r="E11509" s="7" t="n">
        <f aca="false">Sens!E11508/Sens!D11508-1</f>
        <v>0.242223883039864</v>
      </c>
      <c r="F11509" s="7" t="n">
        <f aca="false">Sens!$E$11509+(glt_azo-Sens!$E$11509)*MIN(1,(Sens!F11469-base_fy)/n_conv)</f>
        <v>0.215186569199887</v>
      </c>
      <c r="G11509" s="7" t="n">
        <f aca="false">Sens!$E$11509+(glt_azo-Sens!$E$11509)*MIN(1,(Sens!G11469-base_fy)/n_conv)</f>
        <v>0.18814925535991</v>
      </c>
      <c r="H11509" s="7" t="n">
        <f aca="false">Sens!$E$11509+(glt_azo-Sens!$E$11509)*MIN(1,(Sens!H11469-base_fy)/n_conv)</f>
        <v>0.161111941519932</v>
      </c>
      <c r="I11509" s="7" t="n">
        <f aca="false">Sens!$E$11509+(glt_azo-Sens!$E$11509)*MIN(1,(Sens!I11469-base_fy)/n_conv)</f>
        <v>0.134074627679955</v>
      </c>
      <c r="J11509" s="7" t="n">
        <f aca="false">Sens!$E$11509+(glt_azo-Sens!$E$11509)*MIN(1,(Sens!J11469-base_fy)/n_conv)</f>
        <v>0.107037313839977</v>
      </c>
      <c r="K11509" s="7" t="n">
        <f aca="false">Sens!$E$11509+(glt_azo-Sens!$E$11509)*MIN(1,(Sens!K11469-base_fy)/n_conv)</f>
        <v>0.08</v>
      </c>
    </row>
    <row r="11510" customFormat="false" ht="15" hidden="false" customHeight="false" outlineLevel="0" collapsed="false">
      <c r="A11510" s="0" t="s">
        <v>877</v>
      </c>
      <c r="B11510" s="0" t="s">
        <v>98</v>
      </c>
      <c r="D11510" s="6" t="n">
        <f aca="false">Sens!D11507+Sens!D11508</f>
        <v>72.61</v>
      </c>
      <c r="E11510" s="6" t="n">
        <f aca="false">Sens!E11507+Sens!E11508</f>
        <v>101.938</v>
      </c>
      <c r="F11510" s="6" t="n">
        <f aca="false">Sens!F11507+Sens!F11508</f>
        <v>140.741861125673</v>
      </c>
      <c r="G11510" s="6" t="n">
        <f aca="false">Sens!G11507+Sens!G11508</f>
        <v>182.176709135845</v>
      </c>
      <c r="H11510" s="6" t="n">
        <f aca="false">Sens!H11507+Sens!H11508</f>
        <v>219.167638189678</v>
      </c>
      <c r="I11510" s="6" t="n">
        <f aca="false">Sens!I11507+Sens!I11508</f>
        <v>259.639871266006</v>
      </c>
      <c r="J11510" s="6" t="n">
        <f aca="false">Sens!J11507+Sens!J11508</f>
        <v>291.525306025352</v>
      </c>
      <c r="K11510" s="6" t="n">
        <f aca="false">Sens!K11507+Sens!K11508</f>
        <v>315.009444849526</v>
      </c>
    </row>
    <row r="11511" customFormat="false" ht="17.15" hidden="false" customHeight="false" outlineLevel="0" collapsed="false">
      <c r="A11511" s="0" t="s">
        <v>878</v>
      </c>
      <c r="B11511" s="1" t="s">
        <v>528</v>
      </c>
      <c r="C11511" s="29" t="n">
        <f aca="false">cop_s24</f>
        <v>1</v>
      </c>
      <c r="D11511" s="29" t="n">
        <f aca="false">cop_s25</f>
        <v>5</v>
      </c>
      <c r="E11511" s="29" t="n">
        <f aca="false">cop_s26</f>
        <v>30</v>
      </c>
      <c r="F11511" s="29" t="n">
        <f aca="false">Sens!E11511+cop_add_C</f>
        <v>40</v>
      </c>
      <c r="G11511" s="29" t="n">
        <f aca="false">Sens!F11511+cop_add_C</f>
        <v>50</v>
      </c>
      <c r="H11511" s="29" t="n">
        <f aca="false">Sens!G11511+cop_add_C</f>
        <v>60</v>
      </c>
      <c r="I11511" s="29" t="n">
        <f aca="false">Sens!H11511+cop_add_C*cop_tail</f>
        <v>65</v>
      </c>
      <c r="J11511" s="29" t="n">
        <f aca="false">Sens!I11511+cop_add_C*cop_tail</f>
        <v>70</v>
      </c>
      <c r="K11511" s="29" t="n">
        <f aca="false">Sens!J11511+cop_add_C*cop_tail</f>
        <v>75</v>
      </c>
      <c r="L11511" s="11" t="s">
        <v>879</v>
      </c>
    </row>
    <row r="11512" customFormat="false" ht="17.15" hidden="false" customHeight="false" outlineLevel="0" collapsed="false">
      <c r="A11512" s="0" t="s">
        <v>880</v>
      </c>
      <c r="B11512" s="0" t="s">
        <v>98</v>
      </c>
      <c r="D11512" s="6" t="n">
        <f aca="false">(Sens!C11511+Sens!D11511)/2*cop_px*12/1000</f>
        <v>0.9</v>
      </c>
      <c r="E11512" s="6" t="n">
        <f aca="false">(Sens!D11511+Sens!E11511)/2*cop_px*12/1000</f>
        <v>5.25</v>
      </c>
      <c r="F11512" s="6" t="n">
        <f aca="false">(Sens!E11511+Sens!F11511)/2*cop_px*12/1000</f>
        <v>10.5</v>
      </c>
      <c r="G11512" s="6" t="n">
        <f aca="false">(Sens!F11511+Sens!G11511)/2*cop_px*12/1000</f>
        <v>13.5</v>
      </c>
      <c r="H11512" s="6" t="n">
        <f aca="false">(Sens!G11511+Sens!H11511)/2*cop_px*12/1000</f>
        <v>16.5</v>
      </c>
      <c r="I11512" s="6" t="n">
        <f aca="false">(Sens!H11511+Sens!I11511)/2*cop_px*12/1000</f>
        <v>18.75</v>
      </c>
      <c r="J11512" s="6" t="n">
        <f aca="false">(Sens!I11511+Sens!J11511)/2*cop_px*12/1000</f>
        <v>20.25</v>
      </c>
      <c r="K11512" s="6" t="n">
        <f aca="false">(Sens!J11511+Sens!K11511)/2*cop_px*12/1000</f>
        <v>21.75</v>
      </c>
      <c r="L11512" s="1" t="s">
        <v>881</v>
      </c>
    </row>
    <row r="11513" customFormat="false" ht="17.15" hidden="false" customHeight="false" outlineLevel="0" collapsed="false">
      <c r="A11513" s="0" t="s">
        <v>882</v>
      </c>
      <c r="B11513" s="0" t="s">
        <v>98</v>
      </c>
      <c r="D11513" s="6" t="n">
        <f aca="false">Q!L7-Sens!D11512</f>
        <v>83.705</v>
      </c>
      <c r="E11513" s="6" t="n">
        <f aca="false">Q!M7-Sens!E11512</f>
        <v>95.049</v>
      </c>
      <c r="F11513" s="6" t="n">
        <f aca="false">Sens!E11513*(1+Sens!F11514)</f>
        <v>106.89238776686</v>
      </c>
      <c r="G11513" s="6" t="n">
        <f aca="false">Sens!F11513*(1+Sens!G11514)</f>
        <v>119.044168448684</v>
      </c>
      <c r="H11513" s="6" t="n">
        <f aca="false">Sens!G11513*(1+Sens!H11514)</f>
        <v>131.277359388781</v>
      </c>
      <c r="I11513" s="6" t="n">
        <f aca="false">Sens!H11513*(1+Sens!I11514)</f>
        <v>143.334028071957</v>
      </c>
      <c r="J11513" s="6" t="n">
        <f aca="false">Sens!I11513*(1+Sens!J11514)</f>
        <v>154.932702785465</v>
      </c>
      <c r="K11513" s="6" t="n">
        <f aca="false">Sens!J11513*(1+Sens!K11514)</f>
        <v>165.777991980448</v>
      </c>
    </row>
    <row r="11514" customFormat="false" ht="15" hidden="false" customHeight="false" outlineLevel="0" collapsed="false">
      <c r="A11514" s="1" t="s">
        <v>876</v>
      </c>
      <c r="B11514" s="0" t="s">
        <v>129</v>
      </c>
      <c r="E11514" s="7" t="n">
        <f aca="false">Sens!E11513/Sens!D11513-1</f>
        <v>0.135523564900544</v>
      </c>
      <c r="F11514" s="7" t="n">
        <f aca="false">Sens!$E$11514+(glt_m365b-Sens!$E$11514)*MIN(1,(Sens!F11469-base_fy)/n_conv)</f>
        <v>0.124602970750453</v>
      </c>
      <c r="G11514" s="7" t="n">
        <f aca="false">Sens!$E$11514+(glt_m365b-Sens!$E$11514)*MIN(1,(Sens!G11469-base_fy)/n_conv)</f>
        <v>0.113682376600363</v>
      </c>
      <c r="H11514" s="7" t="n">
        <f aca="false">Sens!$E$11514+(glt_m365b-Sens!$E$11514)*MIN(1,(Sens!H11469-base_fy)/n_conv)</f>
        <v>0.102761782450272</v>
      </c>
      <c r="I11514" s="7" t="n">
        <f aca="false">Sens!$E$11514+(glt_m365b-Sens!$E$11514)*MIN(1,(Sens!I11469-base_fy)/n_conv)</f>
        <v>0.0918411883001813</v>
      </c>
      <c r="J11514" s="7" t="n">
        <f aca="false">Sens!$E$11514+(glt_m365b-Sens!$E$11514)*MIN(1,(Sens!J11469-base_fy)/n_conv)</f>
        <v>0.0809205941500906</v>
      </c>
      <c r="K11514" s="7" t="n">
        <f aca="false">Sens!$E$11514+(glt_m365b-Sens!$E$11514)*MIN(1,(Sens!K11469-base_fy)/n_conv)</f>
        <v>0.07</v>
      </c>
    </row>
    <row r="11515" customFormat="false" ht="15" hidden="false" customHeight="false" outlineLevel="0" collapsed="false">
      <c r="A11515" s="0" t="s">
        <v>883</v>
      </c>
      <c r="B11515" s="0" t="s">
        <v>98</v>
      </c>
      <c r="D11515" s="6" t="n">
        <f aca="false">Sens!D11513+Sens!D11512</f>
        <v>84.605</v>
      </c>
      <c r="E11515" s="6" t="n">
        <f aca="false">Sens!E11513+Sens!E11512</f>
        <v>100.299</v>
      </c>
      <c r="F11515" s="6" t="n">
        <f aca="false">Sens!F11513+Sens!F11512</f>
        <v>117.39238776686</v>
      </c>
      <c r="G11515" s="6" t="n">
        <f aca="false">Sens!G11513+Sens!G11512</f>
        <v>132.544168448684</v>
      </c>
      <c r="H11515" s="6" t="n">
        <f aca="false">Sens!H11513+Sens!H11512</f>
        <v>147.777359388781</v>
      </c>
      <c r="I11515" s="6" t="n">
        <f aca="false">Sens!I11513+Sens!I11512</f>
        <v>162.084028071957</v>
      </c>
      <c r="J11515" s="6" t="n">
        <f aca="false">Sens!J11513+Sens!J11512</f>
        <v>175.182702785465</v>
      </c>
      <c r="K11515" s="6" t="n">
        <f aca="false">Sens!K11513+Sens!K11512</f>
        <v>187.527991980448</v>
      </c>
    </row>
    <row r="11516" customFormat="false" ht="15" hidden="false" customHeight="false" outlineLevel="0" collapsed="false">
      <c r="A11516" s="0" t="s">
        <v>884</v>
      </c>
      <c r="B11516" s="0" t="s">
        <v>98</v>
      </c>
      <c r="D11516" s="6" t="n">
        <f aca="false">Q!L8</f>
        <v>35.391</v>
      </c>
      <c r="E11516" s="6" t="n">
        <f aca="false">Q!M8</f>
        <v>37.285</v>
      </c>
      <c r="F11516" s="6" t="n">
        <f aca="false">Sens!E11516*(1+Sens!F11517)</f>
        <v>39.0720834331704</v>
      </c>
      <c r="G11516" s="6" t="n">
        <f aca="false">Sens!F11516*(1+Sens!G11517)</f>
        <v>40.726562953769</v>
      </c>
      <c r="H11516" s="6" t="n">
        <f aca="false">Sens!G11516*(1+Sens!H11517)</f>
        <v>42.2235987259198</v>
      </c>
      <c r="I11516" s="6" t="n">
        <f aca="false">Sens!H11516*(1+Sens!I11517)</f>
        <v>43.5397988077414</v>
      </c>
      <c r="J11516" s="6" t="n">
        <f aca="false">Sens!I11516*(1+Sens!J11517)</f>
        <v>44.653811225693</v>
      </c>
      <c r="K11516" s="6" t="n">
        <f aca="false">Sens!J11516*(1+Sens!K11517)</f>
        <v>45.5468874502068</v>
      </c>
    </row>
    <row r="11517" customFormat="false" ht="15" hidden="false" customHeight="false" outlineLevel="0" collapsed="false">
      <c r="A11517" s="1" t="s">
        <v>876</v>
      </c>
      <c r="B11517" s="0" t="s">
        <v>129</v>
      </c>
      <c r="E11517" s="7" t="n">
        <f aca="false">Sens!E11516/Sens!D11516-1</f>
        <v>0.0535164307309768</v>
      </c>
      <c r="F11517" s="7" t="n">
        <f aca="false">Sens!$E$11517+(glt_lic-Sens!$E$11517)*MIN(1,(Sens!F11469-base_fy)/n_conv)</f>
        <v>0.0479303589424807</v>
      </c>
      <c r="G11517" s="7" t="n">
        <f aca="false">Sens!$E$11517+(glt_lic-Sens!$E$11517)*MIN(1,(Sens!G11469-base_fy)/n_conv)</f>
        <v>0.0423442871539845</v>
      </c>
      <c r="H11517" s="7" t="n">
        <f aca="false">Sens!$E$11517+(glt_lic-Sens!$E$11517)*MIN(1,(Sens!H11469-base_fy)/n_conv)</f>
        <v>0.0367582153654884</v>
      </c>
      <c r="I11517" s="7" t="n">
        <f aca="false">Sens!$E$11517+(glt_lic-Sens!$E$11517)*MIN(1,(Sens!I11469-base_fy)/n_conv)</f>
        <v>0.0311721435769923</v>
      </c>
      <c r="J11517" s="7" t="n">
        <f aca="false">Sens!$E$11517+(glt_lic-Sens!$E$11517)*MIN(1,(Sens!J11469-base_fy)/n_conv)</f>
        <v>0.0255860717884961</v>
      </c>
      <c r="K11517" s="7" t="n">
        <f aca="false">Sens!$E$11517+(glt_lic-Sens!$E$11517)*MIN(1,(Sens!K11469-base_fy)/n_conv)</f>
        <v>0.02</v>
      </c>
    </row>
    <row r="11518" customFormat="false" ht="15" hidden="false" customHeight="false" outlineLevel="0" collapsed="false">
      <c r="A11518" s="0" t="s">
        <v>885</v>
      </c>
      <c r="B11518" s="0" t="s">
        <v>98</v>
      </c>
      <c r="D11518" s="6" t="n">
        <f aca="false">Q!L9</f>
        <v>18.417</v>
      </c>
      <c r="E11518" s="6" t="n">
        <f aca="false">Q!M9</f>
        <v>20.345</v>
      </c>
      <c r="F11518" s="6" t="n">
        <f aca="false">Sens!E11518*(1+Sens!F11519)</f>
        <v>22.3572203267814</v>
      </c>
      <c r="G11518" s="6" t="n">
        <f aca="false">Sens!F11518*(1+Sens!G11519)</f>
        <v>24.4392124437232</v>
      </c>
      <c r="H11518" s="6" t="n">
        <f aca="false">Sens!G11518*(1+Sens!H11519)</f>
        <v>26.5738052080665</v>
      </c>
      <c r="I11518" s="6" t="n">
        <f aca="false">Sens!H11518*(1+Sens!I11519)</f>
        <v>28.7412169166967</v>
      </c>
      <c r="J11518" s="6" t="n">
        <f aca="false">Sens!I11518*(1+Sens!J11519)</f>
        <v>30.9192545395413</v>
      </c>
      <c r="K11518" s="6" t="n">
        <f aca="false">Sens!J11518*(1+Sens!K11519)</f>
        <v>33.0836023573092</v>
      </c>
    </row>
    <row r="11519" customFormat="false" ht="15" hidden="false" customHeight="false" outlineLevel="0" collapsed="false">
      <c r="A11519" s="1" t="s">
        <v>876</v>
      </c>
      <c r="B11519" s="0" t="s">
        <v>129</v>
      </c>
      <c r="E11519" s="7" t="n">
        <f aca="false">Sens!E11518/Sens!D11518-1</f>
        <v>0.104685888038225</v>
      </c>
      <c r="F11519" s="7" t="n">
        <f aca="false">Sens!$E$11519+(glt_ind-Sens!$E$11519)*MIN(1,(Sens!F11469-base_fy)/n_conv)</f>
        <v>0.0989049066985211</v>
      </c>
      <c r="G11519" s="7" t="n">
        <f aca="false">Sens!$E$11519+(glt_ind-Sens!$E$11519)*MIN(1,(Sens!G11469-base_fy)/n_conv)</f>
        <v>0.0931239253588169</v>
      </c>
      <c r="H11519" s="7" t="n">
        <f aca="false">Sens!$E$11519+(glt_ind-Sens!$E$11519)*MIN(1,(Sens!H11469-base_fy)/n_conv)</f>
        <v>0.0873429440191127</v>
      </c>
      <c r="I11519" s="7" t="n">
        <f aca="false">Sens!$E$11519+(glt_ind-Sens!$E$11519)*MIN(1,(Sens!I11469-base_fy)/n_conv)</f>
        <v>0.0815619626794085</v>
      </c>
      <c r="J11519" s="7" t="n">
        <f aca="false">Sens!$E$11519+(glt_ind-Sens!$E$11519)*MIN(1,(Sens!J11469-base_fy)/n_conv)</f>
        <v>0.0757809813397042</v>
      </c>
      <c r="K11519" s="7" t="n">
        <f aca="false">Sens!$E$11519+(glt_ind-Sens!$E$11519)*MIN(1,(Sens!K11469-base_fy)/n_conv)</f>
        <v>0.07</v>
      </c>
    </row>
    <row r="11520" customFormat="false" ht="15" hidden="false" customHeight="false" outlineLevel="0" collapsed="false">
      <c r="A11520" s="0" t="s">
        <v>886</v>
      </c>
      <c r="B11520" s="0" t="s">
        <v>98</v>
      </c>
      <c r="D11520" s="6" t="n">
        <f aca="false">Q!L10</f>
        <v>7.76</v>
      </c>
      <c r="E11520" s="6" t="n">
        <f aca="false">Q!M10</f>
        <v>8.26</v>
      </c>
      <c r="F11520" s="6" t="n">
        <f aca="false">Sens!E11520*(1+Sens!F11521)</f>
        <v>8.79988041237113</v>
      </c>
      <c r="G11520" s="6" t="n">
        <f aca="false">Sens!F11520*(1+Sens!G11521)</f>
        <v>9.38321269125306</v>
      </c>
      <c r="H11520" s="6" t="n">
        <f aca="false">Sens!G11520*(1+Sens!H11521)</f>
        <v>10.0139193587476</v>
      </c>
      <c r="I11520" s="6" t="n">
        <f aca="false">Sens!H11520*(1+Sens!I11521)</f>
        <v>10.6963111830911</v>
      </c>
      <c r="J11520" s="6" t="n">
        <f aca="false">Sens!I11520*(1+Sens!J11521)</f>
        <v>11.4351285534696</v>
      </c>
      <c r="K11520" s="6" t="n">
        <f aca="false">Sens!J11520*(1+Sens!K11521)</f>
        <v>12.2355875522124</v>
      </c>
    </row>
    <row r="11521" customFormat="false" ht="15" hidden="false" customHeight="false" outlineLevel="0" collapsed="false">
      <c r="A11521" s="1" t="s">
        <v>876</v>
      </c>
      <c r="B11521" s="0" t="s">
        <v>129</v>
      </c>
      <c r="E11521" s="7" t="n">
        <f aca="false">Sens!E11520/Sens!D11520-1</f>
        <v>0.0644329896907216</v>
      </c>
      <c r="F11521" s="7" t="n">
        <f aca="false">Sens!$E$11521+(glt_fro-Sens!$E$11521)*MIN(1,(Sens!F11469-base_fy)/n_conv)</f>
        <v>0.065360824742268</v>
      </c>
      <c r="G11521" s="7" t="n">
        <f aca="false">Sens!$E$11521+(glt_fro-Sens!$E$11521)*MIN(1,(Sens!G11469-base_fy)/n_conv)</f>
        <v>0.0662886597938144</v>
      </c>
      <c r="H11521" s="7" t="n">
        <f aca="false">Sens!$E$11521+(glt_fro-Sens!$E$11521)*MIN(1,(Sens!H11469-base_fy)/n_conv)</f>
        <v>0.0672164948453608</v>
      </c>
      <c r="I11521" s="7" t="n">
        <f aca="false">Sens!$E$11521+(glt_fro-Sens!$E$11521)*MIN(1,(Sens!I11469-base_fy)/n_conv)</f>
        <v>0.0681443298969072</v>
      </c>
      <c r="J11521" s="7" t="n">
        <f aca="false">Sens!$E$11521+(glt_fro-Sens!$E$11521)*MIN(1,(Sens!J11469-base_fy)/n_conv)</f>
        <v>0.0690721649484536</v>
      </c>
      <c r="K11521" s="7" t="n">
        <f aca="false">Sens!$E$11521+(glt_fro-Sens!$E$11521)*MIN(1,(Sens!K11469-base_fy)/n_conv)</f>
        <v>0.07</v>
      </c>
    </row>
    <row r="11522" customFormat="false" ht="15" hidden="false" customHeight="false" outlineLevel="0" collapsed="false">
      <c r="A11522" s="0" t="s">
        <v>715</v>
      </c>
      <c r="B11522" s="0" t="s">
        <v>98</v>
      </c>
      <c r="D11522" s="6" t="n">
        <f aca="false">Sens!D11510+Sens!D11515+Sens!D11516+Sens!D11518+Sens!D11520</f>
        <v>218.783</v>
      </c>
      <c r="E11522" s="6" t="n">
        <f aca="false">Sens!E11510+Sens!E11515+Sens!E11516+Sens!E11518+Sens!E11520</f>
        <v>268.127</v>
      </c>
      <c r="F11522" s="6" t="n">
        <f aca="false">Sens!F11510+Sens!F11515+Sens!F11516+Sens!F11518+Sens!F11520</f>
        <v>328.363433064856</v>
      </c>
      <c r="G11522" s="6" t="n">
        <f aca="false">Sens!G11510+Sens!G11515+Sens!G11516+Sens!G11518+Sens!G11520</f>
        <v>389.269865673274</v>
      </c>
      <c r="H11522" s="6" t="n">
        <f aca="false">Sens!H11510+Sens!H11515+Sens!H11516+Sens!H11518+Sens!H11520</f>
        <v>445.756320871193</v>
      </c>
      <c r="I11522" s="6" t="n">
        <f aca="false">Sens!I11510+Sens!I11515+Sens!I11516+Sens!I11518+Sens!I11520</f>
        <v>504.701226245492</v>
      </c>
      <c r="J11522" s="6" t="n">
        <f aca="false">Sens!J11510+Sens!J11515+Sens!J11516+Sens!J11518+Sens!J11520</f>
        <v>553.716203129521</v>
      </c>
      <c r="K11522" s="6" t="n">
        <f aca="false">Sens!K11510+Sens!K11515+Sens!K11516+Sens!K11518+Sens!K11520</f>
        <v>593.403514189702</v>
      </c>
    </row>
    <row r="11523" customFormat="false" ht="15" hidden="false" customHeight="false" outlineLevel="0" collapsed="false">
      <c r="A11523" s="0" t="s">
        <v>887</v>
      </c>
      <c r="B11523" s="0" t="s">
        <v>98</v>
      </c>
      <c r="D11523" s="6" t="n">
        <f aca="false">Q!L13</f>
        <v>22.171</v>
      </c>
      <c r="E11523" s="6" t="n">
        <f aca="false">Q!M13</f>
        <v>24.835</v>
      </c>
      <c r="F11523" s="6" t="n">
        <f aca="false">Sens!E11523*(1+Sens!F11524)</f>
        <v>27.6114901218559</v>
      </c>
      <c r="G11523" s="6" t="n">
        <f aca="false">Sens!F11523*(1+Sens!G11524)</f>
        <v>30.4675667338515</v>
      </c>
      <c r="H11523" s="6" t="n">
        <f aca="false">Sens!G11523*(1+Sens!H11524)</f>
        <v>33.3643766955789</v>
      </c>
      <c r="I11523" s="6" t="n">
        <f aca="false">Sens!H11523*(1+Sens!I11524)</f>
        <v>36.2577016533691</v>
      </c>
      <c r="J11523" s="6" t="n">
        <f aca="false">Sens!I11523*(1+Sens!J11524)</f>
        <v>39.0988367952171</v>
      </c>
      <c r="K11523" s="6" t="n">
        <f aca="false">Sens!J11523*(1+Sens!K11524)</f>
        <v>41.8357553708823</v>
      </c>
    </row>
    <row r="11524" customFormat="false" ht="15" hidden="false" customHeight="false" outlineLevel="0" collapsed="false">
      <c r="A11524" s="1" t="s">
        <v>876</v>
      </c>
      <c r="B11524" s="0" t="s">
        <v>129</v>
      </c>
      <c r="E11524" s="7" t="n">
        <f aca="false">Sens!E11523/Sens!D11523-1</f>
        <v>0.120156961796942</v>
      </c>
      <c r="F11524" s="7" t="n">
        <f aca="false">Sens!$E$11524+(glt_srch-Sens!$E$11524)*MIN(1,(Sens!F11469-base_fy)/n_conv)</f>
        <v>0.111797468164118</v>
      </c>
      <c r="G11524" s="7" t="n">
        <f aca="false">Sens!$E$11524+(glt_srch-Sens!$E$11524)*MIN(1,(Sens!G11469-base_fy)/n_conv)</f>
        <v>0.103437974531295</v>
      </c>
      <c r="H11524" s="7" t="n">
        <f aca="false">Sens!$E$11524+(glt_srch-Sens!$E$11524)*MIN(1,(Sens!H11469-base_fy)/n_conv)</f>
        <v>0.095078480898471</v>
      </c>
      <c r="I11524" s="7" t="n">
        <f aca="false">Sens!$E$11524+(glt_srch-Sens!$E$11524)*MIN(1,(Sens!I11469-base_fy)/n_conv)</f>
        <v>0.0867189872656474</v>
      </c>
      <c r="J11524" s="7" t="n">
        <f aca="false">Sens!$E$11524+(glt_srch-Sens!$E$11524)*MIN(1,(Sens!J11469-base_fy)/n_conv)</f>
        <v>0.0783594936328237</v>
      </c>
      <c r="K11524" s="7" t="n">
        <f aca="false">Sens!$E$11524+(glt_srch-Sens!$E$11524)*MIN(1,(Sens!K11469-base_fy)/n_conv)</f>
        <v>0.07</v>
      </c>
    </row>
    <row r="11525" customFormat="false" ht="15" hidden="false" customHeight="false" outlineLevel="0" collapsed="false">
      <c r="A11525" s="0" t="s">
        <v>888</v>
      </c>
      <c r="B11525" s="0" t="s">
        <v>98</v>
      </c>
      <c r="D11525" s="6" t="n">
        <f aca="false">Q!L14</f>
        <v>23.455</v>
      </c>
      <c r="E11525" s="6" t="n">
        <f aca="false">Q!M14</f>
        <v>21.79</v>
      </c>
      <c r="F11525" s="6" t="n">
        <f aca="false">Sens!E11525*(1+Sens!F11526)</f>
        <v>20.5736277908051</v>
      </c>
      <c r="G11525" s="6" t="n">
        <f aca="false">Sens!F11525*(1+Sens!G11526)</f>
        <v>19.7371452817919</v>
      </c>
      <c r="H11525" s="6" t="n">
        <f aca="false">Sens!G11525*(1+Sens!H11526)</f>
        <v>19.2339764043138</v>
      </c>
      <c r="I11525" s="6" t="n">
        <f aca="false">Sens!H11525*(1+Sens!I11526)</f>
        <v>19.0353086852681</v>
      </c>
      <c r="J11525" s="6" t="n">
        <f aca="false">Sens!I11525*(1+Sens!J11526)</f>
        <v>19.1273539319129</v>
      </c>
      <c r="K11525" s="6" t="n">
        <f aca="false">Sens!J11525*(1+Sens!K11526)</f>
        <v>19.5099010105511</v>
      </c>
    </row>
    <row r="11526" customFormat="false" ht="15" hidden="false" customHeight="false" outlineLevel="0" collapsed="false">
      <c r="A11526" s="1" t="s">
        <v>876</v>
      </c>
      <c r="B11526" s="0" t="s">
        <v>129</v>
      </c>
      <c r="E11526" s="7" t="n">
        <f aca="false">Sens!E11525/Sens!D11525-1</f>
        <v>-0.0709869963760392</v>
      </c>
      <c r="F11526" s="7" t="n">
        <f aca="false">Sens!$E$11526+(glt_xbox-Sens!$E$11526)*MIN(1,(Sens!F11469-base_fy)/n_conv)</f>
        <v>-0.0558224969800327</v>
      </c>
      <c r="G11526" s="7" t="n">
        <f aca="false">Sens!$E$11526+(glt_xbox-Sens!$E$11526)*MIN(1,(Sens!G11469-base_fy)/n_conv)</f>
        <v>-0.0406579975840262</v>
      </c>
      <c r="H11526" s="7" t="n">
        <f aca="false">Sens!$E$11526+(glt_xbox-Sens!$E$11526)*MIN(1,(Sens!H11469-base_fy)/n_conv)</f>
        <v>-0.0254934981880196</v>
      </c>
      <c r="I11526" s="7" t="n">
        <f aca="false">Sens!$E$11526+(glt_xbox-Sens!$E$11526)*MIN(1,(Sens!I11469-base_fy)/n_conv)</f>
        <v>-0.0103289987920131</v>
      </c>
      <c r="J11526" s="7" t="n">
        <f aca="false">Sens!$E$11526+(glt_xbox-Sens!$E$11526)*MIN(1,(Sens!J11469-base_fy)/n_conv)</f>
        <v>0.00483550060399347</v>
      </c>
      <c r="K11526" s="7" t="n">
        <f aca="false">Sens!$E$11526+(glt_xbox-Sens!$E$11526)*MIN(1,(Sens!K11469-base_fy)/n_conv)</f>
        <v>0.02</v>
      </c>
    </row>
    <row r="11527" customFormat="false" ht="15" hidden="false" customHeight="false" outlineLevel="0" collapsed="false">
      <c r="A11527" s="0" t="s">
        <v>889</v>
      </c>
      <c r="B11527" s="0" t="s">
        <v>98</v>
      </c>
      <c r="D11527" s="6" t="n">
        <f aca="false">Q!L15</f>
        <v>17.315</v>
      </c>
      <c r="E11527" s="6" t="n">
        <f aca="false">Q!M15</f>
        <v>17.087</v>
      </c>
      <c r="F11527" s="6" t="n">
        <f aca="false">Sens!E11527*(1+Sens!F11528)</f>
        <v>16.9564585436519</v>
      </c>
      <c r="G11527" s="6" t="n">
        <f aca="false">Sens!F11527*(1+Sens!G11528)</f>
        <v>16.9206490624268</v>
      </c>
      <c r="H11527" s="6" t="n">
        <f aca="false">Sens!G11527*(1+Sens!H11528)</f>
        <v>16.9784519149849</v>
      </c>
      <c r="I11527" s="6" t="n">
        <f aca="false">Sens!H11527*(1+Sens!I11528)</f>
        <v>17.1303084701817</v>
      </c>
      <c r="J11527" s="6" t="n">
        <f aca="false">Sens!I11527*(1+Sens!J11528)</f>
        <v>17.3782189407267</v>
      </c>
      <c r="K11527" s="6" t="n">
        <f aca="false">Sens!J11527*(1+Sens!K11528)</f>
        <v>17.7257833195413</v>
      </c>
    </row>
    <row r="11528" customFormat="false" ht="15" hidden="false" customHeight="false" outlineLevel="0" collapsed="false">
      <c r="A11528" s="1" t="s">
        <v>876</v>
      </c>
      <c r="B11528" s="0" t="s">
        <v>129</v>
      </c>
      <c r="E11528" s="7" t="n">
        <f aca="false">Sens!E11527/Sens!D11527-1</f>
        <v>-0.0131677736066995</v>
      </c>
      <c r="F11528" s="7" t="n">
        <f aca="false">Sens!$E$11528+(glt_win-Sens!$E$11528)*MIN(1,(Sens!F11469-base_fy)/n_conv)</f>
        <v>-0.00763981133891627</v>
      </c>
      <c r="G11528" s="7" t="n">
        <f aca="false">Sens!$E$11528+(glt_win-Sens!$E$11528)*MIN(1,(Sens!G11469-base_fy)/n_conv)</f>
        <v>-0.00211184907113301</v>
      </c>
      <c r="H11528" s="7" t="n">
        <f aca="false">Sens!$E$11528+(glt_win-Sens!$E$11528)*MIN(1,(Sens!H11469-base_fy)/n_conv)</f>
        <v>0.00341611319665024</v>
      </c>
      <c r="I11528" s="7" t="n">
        <f aca="false">Sens!$E$11528+(glt_win-Sens!$E$11528)*MIN(1,(Sens!I11469-base_fy)/n_conv)</f>
        <v>0.00894407546443349</v>
      </c>
      <c r="J11528" s="7" t="n">
        <f aca="false">Sens!$E$11528+(glt_win-Sens!$E$11528)*MIN(1,(Sens!J11469-base_fy)/n_conv)</f>
        <v>0.0144720377322168</v>
      </c>
      <c r="K11528" s="7" t="n">
        <f aca="false">Sens!$E$11528+(glt_win-Sens!$E$11528)*MIN(1,(Sens!K11469-base_fy)/n_conv)</f>
        <v>0.02</v>
      </c>
    </row>
    <row r="11529" customFormat="false" ht="15" hidden="false" customHeight="false" outlineLevel="0" collapsed="false">
      <c r="A11529" s="0" t="s">
        <v>729</v>
      </c>
      <c r="B11529" s="0" t="s">
        <v>98</v>
      </c>
      <c r="D11529" s="6" t="n">
        <f aca="false">Sens!D11523+Sens!D11525+Sens!D11527</f>
        <v>62.941</v>
      </c>
      <c r="E11529" s="6" t="n">
        <f aca="false">Sens!E11523+Sens!E11525+Sens!E11527</f>
        <v>63.712</v>
      </c>
      <c r="F11529" s="6" t="n">
        <f aca="false">Sens!F11523+Sens!F11525+Sens!F11527</f>
        <v>65.1415764563129</v>
      </c>
      <c r="G11529" s="6" t="n">
        <f aca="false">Sens!G11523+Sens!G11525+Sens!G11527</f>
        <v>67.1253610780702</v>
      </c>
      <c r="H11529" s="6" t="n">
        <f aca="false">Sens!H11523+Sens!H11525+Sens!H11527</f>
        <v>69.5768050148776</v>
      </c>
      <c r="I11529" s="6" t="n">
        <f aca="false">Sens!I11523+Sens!I11525+Sens!I11527</f>
        <v>72.4233188088189</v>
      </c>
      <c r="J11529" s="6" t="n">
        <f aca="false">Sens!J11523+Sens!J11525+Sens!J11527</f>
        <v>75.6044096678567</v>
      </c>
      <c r="K11529" s="6" t="n">
        <f aca="false">Sens!K11523+Sens!K11525+Sens!K11527</f>
        <v>79.0714397009747</v>
      </c>
    </row>
    <row r="11530" customFormat="false" ht="15" hidden="false" customHeight="false" outlineLevel="0" collapsed="false">
      <c r="A11530" s="1" t="s">
        <v>890</v>
      </c>
      <c r="B11530" s="0" t="s">
        <v>98</v>
      </c>
      <c r="D11530" s="6" t="n">
        <f aca="false">Sens!D11522+Sens!D11529</f>
        <v>281.724</v>
      </c>
      <c r="E11530" s="6" t="n">
        <f aca="false">Sens!E11522+Sens!E11529</f>
        <v>331.839</v>
      </c>
      <c r="F11530" s="6" t="n">
        <f aca="false">Sens!F11522+Sens!F11529</f>
        <v>393.505009521169</v>
      </c>
      <c r="G11530" s="6" t="n">
        <f aca="false">Sens!G11522+Sens!G11529</f>
        <v>456.395226751344</v>
      </c>
      <c r="H11530" s="6" t="n">
        <f aca="false">Sens!H11522+Sens!H11529</f>
        <v>515.333125886071</v>
      </c>
      <c r="I11530" s="6" t="n">
        <f aca="false">Sens!I11522+Sens!I11529</f>
        <v>577.124545054311</v>
      </c>
      <c r="J11530" s="6" t="n">
        <f aca="false">Sens!J11522+Sens!J11529</f>
        <v>629.320612797378</v>
      </c>
      <c r="K11530" s="6" t="n">
        <f aca="false">Sens!K11522+Sens!K11529</f>
        <v>672.474953890677</v>
      </c>
    </row>
    <row r="11531" customFormat="false" ht="15" hidden="false" customHeight="false" outlineLevel="0" collapsed="false">
      <c r="A11531" s="23" t="s">
        <v>891</v>
      </c>
      <c r="B11531" s="30" t="s">
        <v>98</v>
      </c>
      <c r="C11531" s="30"/>
      <c r="D11531" s="24" t="n">
        <f aca="false">(Sens!D11510+Sens!D11515+Sens!D11516+Sens!D11518+Sens!D11520-Sens!D11522)+(Sens!D11523+Sens!D11525+Sens!D11527-Sens!D11529)+(Sens!D11522-Q!L5)+(Sens!D11529-Q!L12)+(Sens!D11510-Q!L6)+(Sens!D11515-Q!L7)</f>
        <v>0</v>
      </c>
      <c r="E11531" s="24" t="n">
        <f aca="false">(Sens!E11510+Sens!E11515+Sens!E11516+Sens!E11518+Sens!E11520-Sens!E11522)+(Sens!E11523+Sens!E11525+Sens!E11527-Sens!E11529)+(Sens!E11522-Q!M5)+(Sens!E11529-Q!M12)+(Sens!E11510-Q!M6)+(Sens!E11515-Q!M7)</f>
        <v>0</v>
      </c>
      <c r="F11531" s="24" t="n">
        <f aca="false">(Sens!F11510+Sens!F11515+Sens!F11516+Sens!F11518+Sens!F11520-Sens!F11522)+(Sens!F11523+Sens!F11525+Sens!F11527-Sens!F11529)</f>
        <v>0</v>
      </c>
      <c r="G11531" s="24" t="n">
        <f aca="false">(Sens!G11510+Sens!G11515+Sens!G11516+Sens!G11518+Sens!G11520-Sens!G11522)+(Sens!G11523+Sens!G11525+Sens!G11527-Sens!G11529)</f>
        <v>0</v>
      </c>
      <c r="H11531" s="24" t="n">
        <f aca="false">(Sens!H11510+Sens!H11515+Sens!H11516+Sens!H11518+Sens!H11520-Sens!H11522)+(Sens!H11523+Sens!H11525+Sens!H11527-Sens!H11529)</f>
        <v>0</v>
      </c>
      <c r="I11531" s="24" t="n">
        <f aca="false">(Sens!I11510+Sens!I11515+Sens!I11516+Sens!I11518+Sens!I11520-Sens!I11522)+(Sens!I11523+Sens!I11525+Sens!I11527-Sens!I11529)</f>
        <v>0</v>
      </c>
      <c r="J11531" s="24" t="n">
        <f aca="false">(Sens!J11510+Sens!J11515+Sens!J11516+Sens!J11518+Sens!J11520-Sens!J11522)+(Sens!J11523+Sens!J11525+Sens!J11527-Sens!J11529)</f>
        <v>0</v>
      </c>
      <c r="K11531" s="24" t="n">
        <f aca="false">(Sens!K11510+Sens!K11515+Sens!K11516+Sens!K11518+Sens!K11520-Sens!K11522)+(Sens!K11523+Sens!K11525+Sens!K11527-Sens!K11529)</f>
        <v>0</v>
      </c>
    </row>
    <row r="11532" customFormat="false" ht="17.15" hidden="false" customHeight="false" outlineLevel="0" collapsed="false">
      <c r="A11532" s="3" t="s">
        <v>1559</v>
      </c>
    </row>
    <row r="11533" customFormat="false" ht="15" hidden="false" customHeight="false" outlineLevel="0" collapsed="false">
      <c r="A11533" s="4" t="s">
        <v>43</v>
      </c>
      <c r="B11533" s="4" t="s">
        <v>65</v>
      </c>
      <c r="C11533" s="20" t="s">
        <v>799</v>
      </c>
      <c r="D11533" s="20" t="s">
        <v>800</v>
      </c>
      <c r="E11533" s="20" t="s">
        <v>801</v>
      </c>
      <c r="F11533" s="20" t="s">
        <v>802</v>
      </c>
      <c r="G11533" s="20" t="s">
        <v>803</v>
      </c>
      <c r="H11533" s="20" t="s">
        <v>804</v>
      </c>
      <c r="I11533" s="20" t="s">
        <v>805</v>
      </c>
      <c r="J11533" s="20" t="s">
        <v>806</v>
      </c>
      <c r="K11533" s="20" t="s">
        <v>807</v>
      </c>
      <c r="L11533" s="4" t="s">
        <v>47</v>
      </c>
    </row>
    <row r="11534" customFormat="false" ht="15" hidden="false" customHeight="false" outlineLevel="0" collapsed="false">
      <c r="A11534" s="0" t="s">
        <v>877</v>
      </c>
      <c r="B11534" s="0" t="s">
        <v>98</v>
      </c>
      <c r="D11534" s="6" t="n">
        <f aca="false">Sens!D11510</f>
        <v>72.61</v>
      </c>
      <c r="E11534" s="6" t="n">
        <f aca="false">Sens!E11510</f>
        <v>101.938</v>
      </c>
      <c r="F11534" s="6" t="n">
        <f aca="false">Sens!F11510</f>
        <v>140.741861125673</v>
      </c>
      <c r="G11534" s="6" t="n">
        <f aca="false">Sens!G11510</f>
        <v>182.176709135845</v>
      </c>
      <c r="H11534" s="6" t="n">
        <f aca="false">Sens!H11510</f>
        <v>219.167638189678</v>
      </c>
      <c r="I11534" s="6" t="n">
        <f aca="false">Sens!I11510</f>
        <v>259.639871266006</v>
      </c>
      <c r="J11534" s="6" t="n">
        <f aca="false">Sens!J11510</f>
        <v>291.525306025352</v>
      </c>
      <c r="K11534" s="6" t="n">
        <f aca="false">Sens!K11510</f>
        <v>315.009444849526</v>
      </c>
    </row>
    <row r="11535" customFormat="false" ht="17.15" hidden="false" customHeight="false" outlineLevel="0" collapsed="false">
      <c r="A11535" s="0" t="s">
        <v>874</v>
      </c>
      <c r="B11535" s="0" t="s">
        <v>98</v>
      </c>
      <c r="D11535" s="6" t="n">
        <f aca="false">Sens!D11507</f>
        <v>12.9359794422418</v>
      </c>
      <c r="E11535" s="6" t="n">
        <f aca="false">Sens!E11507</f>
        <v>27.8095064661409</v>
      </c>
      <c r="F11535" s="6" t="n">
        <f aca="false">Sens!F11507</f>
        <v>50.6619113883066</v>
      </c>
      <c r="G11535" s="6" t="n">
        <f aca="false">Sens!G11507</f>
        <v>75.1482839325348</v>
      </c>
      <c r="H11535" s="6" t="n">
        <f aca="false">Sens!H11507</f>
        <v>94.895655604042</v>
      </c>
      <c r="I11535" s="6" t="n">
        <f aca="false">Sens!I11507</f>
        <v>118.706168884151</v>
      </c>
      <c r="J11535" s="6" t="n">
        <f aca="false">Sens!J11507</f>
        <v>135.50643871102</v>
      </c>
      <c r="K11535" s="6" t="n">
        <f aca="false">Sens!K11507</f>
        <v>146.509068150048</v>
      </c>
    </row>
    <row r="11536" customFormat="false" ht="17.15" hidden="false" customHeight="false" outlineLevel="0" collapsed="false">
      <c r="A11536" s="0" t="s">
        <v>902</v>
      </c>
      <c r="B11536" s="0" t="s">
        <v>98</v>
      </c>
      <c r="D11536" s="6" t="n">
        <f aca="false">Sens!D11508</f>
        <v>59.6740205577583</v>
      </c>
      <c r="E11536" s="6" t="n">
        <f aca="false">Sens!E11508</f>
        <v>74.1284935338591</v>
      </c>
      <c r="F11536" s="6" t="n">
        <f aca="false">Sens!F11508</f>
        <v>90.0799497373663</v>
      </c>
      <c r="G11536" s="6" t="n">
        <f aca="false">Sens!G11508</f>
        <v>107.02842520331</v>
      </c>
      <c r="H11536" s="6" t="n">
        <f aca="false">Sens!H11508</f>
        <v>124.271982585636</v>
      </c>
      <c r="I11536" s="6" t="n">
        <f aca="false">Sens!I11508</f>
        <v>140.933702381855</v>
      </c>
      <c r="J11536" s="6" t="n">
        <f aca="false">Sens!J11508</f>
        <v>156.018867314332</v>
      </c>
      <c r="K11536" s="6" t="n">
        <f aca="false">Sens!K11508</f>
        <v>168.500376699478</v>
      </c>
    </row>
    <row r="11537" customFormat="false" ht="15" hidden="false" customHeight="false" outlineLevel="0" collapsed="false">
      <c r="A11537" s="0" t="s">
        <v>883</v>
      </c>
      <c r="B11537" s="0" t="s">
        <v>98</v>
      </c>
      <c r="D11537" s="6" t="n">
        <f aca="false">Sens!D11515</f>
        <v>84.605</v>
      </c>
      <c r="E11537" s="6" t="n">
        <f aca="false">Sens!E11515</f>
        <v>100.299</v>
      </c>
      <c r="F11537" s="6" t="n">
        <f aca="false">Sens!F11515</f>
        <v>117.39238776686</v>
      </c>
      <c r="G11537" s="6" t="n">
        <f aca="false">Sens!G11515</f>
        <v>132.544168448684</v>
      </c>
      <c r="H11537" s="6" t="n">
        <f aca="false">Sens!H11515</f>
        <v>147.777359388781</v>
      </c>
      <c r="I11537" s="6" t="n">
        <f aca="false">Sens!I11515</f>
        <v>162.084028071957</v>
      </c>
      <c r="J11537" s="6" t="n">
        <f aca="false">Sens!J11515</f>
        <v>175.182702785465</v>
      </c>
      <c r="K11537" s="6" t="n">
        <f aca="false">Sens!K11515</f>
        <v>187.527991980448</v>
      </c>
    </row>
    <row r="11538" customFormat="false" ht="17.15" hidden="false" customHeight="false" outlineLevel="0" collapsed="false">
      <c r="A11538" s="0" t="s">
        <v>903</v>
      </c>
      <c r="B11538" s="0" t="s">
        <v>98</v>
      </c>
      <c r="D11538" s="6" t="n">
        <f aca="false">Sens!D11513</f>
        <v>83.705</v>
      </c>
      <c r="E11538" s="6" t="n">
        <f aca="false">Sens!E11513</f>
        <v>95.049</v>
      </c>
      <c r="F11538" s="6" t="n">
        <f aca="false">Sens!F11513</f>
        <v>106.89238776686</v>
      </c>
      <c r="G11538" s="6" t="n">
        <f aca="false">Sens!G11513</f>
        <v>119.044168448684</v>
      </c>
      <c r="H11538" s="6" t="n">
        <f aca="false">Sens!H11513</f>
        <v>131.277359388781</v>
      </c>
      <c r="I11538" s="6" t="n">
        <f aca="false">Sens!I11513</f>
        <v>143.334028071957</v>
      </c>
      <c r="J11538" s="6" t="n">
        <f aca="false">Sens!J11513</f>
        <v>154.932702785465</v>
      </c>
      <c r="K11538" s="6" t="n">
        <f aca="false">Sens!K11513</f>
        <v>165.777991980448</v>
      </c>
    </row>
    <row r="11539" customFormat="false" ht="17.15" hidden="false" customHeight="false" outlineLevel="0" collapsed="false">
      <c r="A11539" s="0" t="s">
        <v>904</v>
      </c>
      <c r="B11539" s="0" t="s">
        <v>98</v>
      </c>
      <c r="D11539" s="6" t="n">
        <f aca="false">Sens!D11512</f>
        <v>0.9</v>
      </c>
      <c r="E11539" s="6" t="n">
        <f aca="false">Sens!E11512</f>
        <v>5.25</v>
      </c>
      <c r="F11539" s="6" t="n">
        <f aca="false">Sens!F11512</f>
        <v>10.5</v>
      </c>
      <c r="G11539" s="6" t="n">
        <f aca="false">Sens!G11512</f>
        <v>13.5</v>
      </c>
      <c r="H11539" s="6" t="n">
        <f aca="false">Sens!H11512</f>
        <v>16.5</v>
      </c>
      <c r="I11539" s="6" t="n">
        <f aca="false">Sens!I11512</f>
        <v>18.75</v>
      </c>
      <c r="J11539" s="6" t="n">
        <f aca="false">Sens!J11512</f>
        <v>20.25</v>
      </c>
      <c r="K11539" s="6" t="n">
        <f aca="false">Sens!K11512</f>
        <v>21.75</v>
      </c>
    </row>
    <row r="11540" customFormat="false" ht="15" hidden="false" customHeight="false" outlineLevel="0" collapsed="false">
      <c r="A11540" s="0" t="s">
        <v>884</v>
      </c>
      <c r="B11540" s="0" t="s">
        <v>98</v>
      </c>
      <c r="D11540" s="6" t="n">
        <f aca="false">Sens!D11516</f>
        <v>35.391</v>
      </c>
      <c r="E11540" s="6" t="n">
        <f aca="false">Sens!E11516</f>
        <v>37.285</v>
      </c>
      <c r="F11540" s="6" t="n">
        <f aca="false">Sens!F11516</f>
        <v>39.0720834331704</v>
      </c>
      <c r="G11540" s="6" t="n">
        <f aca="false">Sens!G11516</f>
        <v>40.726562953769</v>
      </c>
      <c r="H11540" s="6" t="n">
        <f aca="false">Sens!H11516</f>
        <v>42.2235987259198</v>
      </c>
      <c r="I11540" s="6" t="n">
        <f aca="false">Sens!I11516</f>
        <v>43.5397988077414</v>
      </c>
      <c r="J11540" s="6" t="n">
        <f aca="false">Sens!J11516</f>
        <v>44.653811225693</v>
      </c>
      <c r="K11540" s="6" t="n">
        <f aca="false">Sens!K11516</f>
        <v>45.5468874502068</v>
      </c>
    </row>
    <row r="11541" customFormat="false" ht="15" hidden="false" customHeight="false" outlineLevel="0" collapsed="false">
      <c r="A11541" s="0" t="s">
        <v>885</v>
      </c>
      <c r="B11541" s="0" t="s">
        <v>98</v>
      </c>
      <c r="D11541" s="6" t="n">
        <f aca="false">Sens!D11518</f>
        <v>18.417</v>
      </c>
      <c r="E11541" s="6" t="n">
        <f aca="false">Sens!E11518</f>
        <v>20.345</v>
      </c>
      <c r="F11541" s="6" t="n">
        <f aca="false">Sens!F11518</f>
        <v>22.3572203267814</v>
      </c>
      <c r="G11541" s="6" t="n">
        <f aca="false">Sens!G11518</f>
        <v>24.4392124437232</v>
      </c>
      <c r="H11541" s="6" t="n">
        <f aca="false">Sens!H11518</f>
        <v>26.5738052080665</v>
      </c>
      <c r="I11541" s="6" t="n">
        <f aca="false">Sens!I11518</f>
        <v>28.7412169166967</v>
      </c>
      <c r="J11541" s="6" t="n">
        <f aca="false">Sens!J11518</f>
        <v>30.9192545395413</v>
      </c>
      <c r="K11541" s="6" t="n">
        <f aca="false">Sens!K11518</f>
        <v>33.0836023573092</v>
      </c>
    </row>
    <row r="11542" customFormat="false" ht="15" hidden="false" customHeight="false" outlineLevel="0" collapsed="false">
      <c r="A11542" s="0" t="s">
        <v>886</v>
      </c>
      <c r="B11542" s="0" t="s">
        <v>98</v>
      </c>
      <c r="D11542" s="6" t="n">
        <f aca="false">Sens!D11520</f>
        <v>7.76</v>
      </c>
      <c r="E11542" s="6" t="n">
        <f aca="false">Sens!E11520</f>
        <v>8.26</v>
      </c>
      <c r="F11542" s="6" t="n">
        <f aca="false">Sens!F11520</f>
        <v>8.79988041237113</v>
      </c>
      <c r="G11542" s="6" t="n">
        <f aca="false">Sens!G11520</f>
        <v>9.38321269125306</v>
      </c>
      <c r="H11542" s="6" t="n">
        <f aca="false">Sens!H11520</f>
        <v>10.0139193587476</v>
      </c>
      <c r="I11542" s="6" t="n">
        <f aca="false">Sens!I11520</f>
        <v>10.6963111830911</v>
      </c>
      <c r="J11542" s="6" t="n">
        <f aca="false">Sens!J11520</f>
        <v>11.4351285534696</v>
      </c>
      <c r="K11542" s="6" t="n">
        <f aca="false">Sens!K11520</f>
        <v>12.2355875522124</v>
      </c>
    </row>
    <row r="11543" customFormat="false" ht="15" hidden="false" customHeight="false" outlineLevel="0" collapsed="false">
      <c r="A11543" s="0" t="s">
        <v>715</v>
      </c>
      <c r="B11543" s="0" t="s">
        <v>98</v>
      </c>
      <c r="D11543" s="6" t="n">
        <f aca="false">Sens!D11522</f>
        <v>218.783</v>
      </c>
      <c r="E11543" s="6" t="n">
        <f aca="false">Sens!E11522</f>
        <v>268.127</v>
      </c>
      <c r="F11543" s="6" t="n">
        <f aca="false">Sens!F11522</f>
        <v>328.363433064856</v>
      </c>
      <c r="G11543" s="6" t="n">
        <f aca="false">Sens!G11522</f>
        <v>389.269865673274</v>
      </c>
      <c r="H11543" s="6" t="n">
        <f aca="false">Sens!H11522</f>
        <v>445.756320871193</v>
      </c>
      <c r="I11543" s="6" t="n">
        <f aca="false">Sens!I11522</f>
        <v>504.701226245492</v>
      </c>
      <c r="J11543" s="6" t="n">
        <f aca="false">Sens!J11522</f>
        <v>553.716203129521</v>
      </c>
      <c r="K11543" s="6" t="n">
        <f aca="false">Sens!K11522</f>
        <v>593.403514189702</v>
      </c>
    </row>
    <row r="11544" customFormat="false" ht="15" hidden="false" customHeight="false" outlineLevel="0" collapsed="false">
      <c r="A11544" s="0" t="s">
        <v>887</v>
      </c>
      <c r="B11544" s="0" t="s">
        <v>98</v>
      </c>
      <c r="D11544" s="6" t="n">
        <f aca="false">Sens!D11523</f>
        <v>22.171</v>
      </c>
      <c r="E11544" s="6" t="n">
        <f aca="false">Sens!E11523</f>
        <v>24.835</v>
      </c>
      <c r="F11544" s="6" t="n">
        <f aca="false">Sens!F11523</f>
        <v>27.6114901218559</v>
      </c>
      <c r="G11544" s="6" t="n">
        <f aca="false">Sens!G11523</f>
        <v>30.4675667338515</v>
      </c>
      <c r="H11544" s="6" t="n">
        <f aca="false">Sens!H11523</f>
        <v>33.3643766955789</v>
      </c>
      <c r="I11544" s="6" t="n">
        <f aca="false">Sens!I11523</f>
        <v>36.2577016533691</v>
      </c>
      <c r="J11544" s="6" t="n">
        <f aca="false">Sens!J11523</f>
        <v>39.0988367952171</v>
      </c>
      <c r="K11544" s="6" t="n">
        <f aca="false">Sens!K11523</f>
        <v>41.8357553708823</v>
      </c>
    </row>
    <row r="11545" customFormat="false" ht="15" hidden="false" customHeight="false" outlineLevel="0" collapsed="false">
      <c r="A11545" s="0" t="s">
        <v>888</v>
      </c>
      <c r="B11545" s="0" t="s">
        <v>98</v>
      </c>
      <c r="D11545" s="6" t="n">
        <f aca="false">Sens!D11525</f>
        <v>23.455</v>
      </c>
      <c r="E11545" s="6" t="n">
        <f aca="false">Sens!E11525</f>
        <v>21.79</v>
      </c>
      <c r="F11545" s="6" t="n">
        <f aca="false">Sens!F11525</f>
        <v>20.5736277908051</v>
      </c>
      <c r="G11545" s="6" t="n">
        <f aca="false">Sens!G11525</f>
        <v>19.7371452817919</v>
      </c>
      <c r="H11545" s="6" t="n">
        <f aca="false">Sens!H11525</f>
        <v>19.2339764043138</v>
      </c>
      <c r="I11545" s="6" t="n">
        <f aca="false">Sens!I11525</f>
        <v>19.0353086852681</v>
      </c>
      <c r="J11545" s="6" t="n">
        <f aca="false">Sens!J11525</f>
        <v>19.1273539319129</v>
      </c>
      <c r="K11545" s="6" t="n">
        <f aca="false">Sens!K11525</f>
        <v>19.5099010105511</v>
      </c>
    </row>
    <row r="11546" customFormat="false" ht="15" hidden="false" customHeight="false" outlineLevel="0" collapsed="false">
      <c r="A11546" s="0" t="s">
        <v>889</v>
      </c>
      <c r="B11546" s="0" t="s">
        <v>98</v>
      </c>
      <c r="D11546" s="6" t="n">
        <f aca="false">Sens!D11527</f>
        <v>17.315</v>
      </c>
      <c r="E11546" s="6" t="n">
        <f aca="false">Sens!E11527</f>
        <v>17.087</v>
      </c>
      <c r="F11546" s="6" t="n">
        <f aca="false">Sens!F11527</f>
        <v>16.9564585436519</v>
      </c>
      <c r="G11546" s="6" t="n">
        <f aca="false">Sens!G11527</f>
        <v>16.9206490624268</v>
      </c>
      <c r="H11546" s="6" t="n">
        <f aca="false">Sens!H11527</f>
        <v>16.9784519149849</v>
      </c>
      <c r="I11546" s="6" t="n">
        <f aca="false">Sens!I11527</f>
        <v>17.1303084701817</v>
      </c>
      <c r="J11546" s="6" t="n">
        <f aca="false">Sens!J11527</f>
        <v>17.3782189407267</v>
      </c>
      <c r="K11546" s="6" t="n">
        <f aca="false">Sens!K11527</f>
        <v>17.7257833195413</v>
      </c>
    </row>
    <row r="11547" customFormat="false" ht="15" hidden="false" customHeight="false" outlineLevel="0" collapsed="false">
      <c r="A11547" s="0" t="s">
        <v>729</v>
      </c>
      <c r="B11547" s="0" t="s">
        <v>98</v>
      </c>
      <c r="D11547" s="6" t="n">
        <f aca="false">Sens!D11529</f>
        <v>62.941</v>
      </c>
      <c r="E11547" s="6" t="n">
        <f aca="false">Sens!E11529</f>
        <v>63.712</v>
      </c>
      <c r="F11547" s="6" t="n">
        <f aca="false">Sens!F11529</f>
        <v>65.1415764563129</v>
      </c>
      <c r="G11547" s="6" t="n">
        <f aca="false">Sens!G11529</f>
        <v>67.1253610780702</v>
      </c>
      <c r="H11547" s="6" t="n">
        <f aca="false">Sens!H11529</f>
        <v>69.5768050148776</v>
      </c>
      <c r="I11547" s="6" t="n">
        <f aca="false">Sens!I11529</f>
        <v>72.4233188088189</v>
      </c>
      <c r="J11547" s="6" t="n">
        <f aca="false">Sens!J11529</f>
        <v>75.6044096678567</v>
      </c>
      <c r="K11547" s="6" t="n">
        <f aca="false">Sens!K11529</f>
        <v>79.0714397009747</v>
      </c>
    </row>
    <row r="11548" customFormat="false" ht="15" hidden="false" customHeight="false" outlineLevel="0" collapsed="false">
      <c r="A11548" s="1" t="s">
        <v>905</v>
      </c>
      <c r="B11548" s="0" t="s">
        <v>98</v>
      </c>
      <c r="D11548" s="6" t="n">
        <f aca="false">Sens!D11530</f>
        <v>281.724</v>
      </c>
      <c r="E11548" s="6" t="n">
        <f aca="false">Sens!E11530</f>
        <v>331.839</v>
      </c>
      <c r="F11548" s="6" t="n">
        <f aca="false">Sens!F11530</f>
        <v>393.505009521169</v>
      </c>
      <c r="G11548" s="6" t="n">
        <f aca="false">Sens!G11530</f>
        <v>456.395226751344</v>
      </c>
      <c r="H11548" s="6" t="n">
        <f aca="false">Sens!H11530</f>
        <v>515.333125886071</v>
      </c>
      <c r="I11548" s="6" t="n">
        <f aca="false">Sens!I11530</f>
        <v>577.124545054311</v>
      </c>
      <c r="J11548" s="6" t="n">
        <f aca="false">Sens!J11530</f>
        <v>629.320612797378</v>
      </c>
      <c r="K11548" s="6" t="n">
        <f aca="false">Sens!K11530</f>
        <v>672.474953890677</v>
      </c>
    </row>
    <row r="11549" customFormat="false" ht="15" hidden="false" customHeight="false" outlineLevel="0" collapsed="false">
      <c r="A11549" s="1" t="s">
        <v>906</v>
      </c>
      <c r="B11549" s="0" t="s">
        <v>129</v>
      </c>
      <c r="E11549" s="7" t="n">
        <f aca="false">Sens!E11548/Sens!D11548-1</f>
        <v>0.177886867998467</v>
      </c>
      <c r="F11549" s="7" t="n">
        <f aca="false">Sens!F11548/Sens!E11548-1</f>
        <v>0.185831109427067</v>
      </c>
      <c r="G11549" s="7" t="n">
        <f aca="false">Sens!G11548/Sens!F11548-1</f>
        <v>0.159820626697237</v>
      </c>
      <c r="H11549" s="7" t="n">
        <f aca="false">Sens!H11548/Sens!G11548-1</f>
        <v>0.129137851756801</v>
      </c>
      <c r="I11549" s="7" t="n">
        <f aca="false">Sens!I11548/Sens!H11548-1</f>
        <v>0.119905777572508</v>
      </c>
      <c r="J11549" s="7" t="n">
        <f aca="false">Sens!J11548/Sens!I11548-1</f>
        <v>0.0904416008474471</v>
      </c>
      <c r="K11549" s="7" t="n">
        <f aca="false">Sens!K11548/Sens!J11548-1</f>
        <v>0.0685729026123501</v>
      </c>
    </row>
    <row r="11550" customFormat="false" ht="17.15" hidden="false" customHeight="false" outlineLevel="0" collapsed="false">
      <c r="A11550" s="23" t="s">
        <v>907</v>
      </c>
      <c r="B11550" s="30" t="s">
        <v>98</v>
      </c>
      <c r="C11550" s="30"/>
      <c r="D11550" s="24" t="n">
        <f aca="false">(Sens!D11543+Sens!D11547-Sens!D11548)+(Sens!D11535+Sens!D11536-Sens!D11534)+(Sens!D11538+Sens!D11539-Sens!D11537)+(Sens!D11548-Q!L18)</f>
        <v>0</v>
      </c>
      <c r="E11550" s="24" t="n">
        <f aca="false">(Sens!E11543+Sens!E11547-Sens!E11548)+(Sens!E11535+Sens!E11536-Sens!E11534)+(Sens!E11538+Sens!E11539-Sens!E11537)+(Sens!E11548-Q!M18)</f>
        <v>0</v>
      </c>
      <c r="F11550" s="24" t="n">
        <f aca="false">(Sens!F11543+Sens!F11547-Sens!F11548)+(Sens!F11535+Sens!F11536-Sens!F11534)+(Sens!F11538+Sens!F11539-Sens!F11537)</f>
        <v>0</v>
      </c>
      <c r="G11550" s="24" t="n">
        <f aca="false">(Sens!G11543+Sens!G11547-Sens!G11548)+(Sens!G11535+Sens!G11536-Sens!G11534)+(Sens!G11538+Sens!G11539-Sens!G11537)</f>
        <v>0</v>
      </c>
      <c r="H11550" s="24" t="n">
        <f aca="false">(Sens!H11543+Sens!H11547-Sens!H11548)+(Sens!H11535+Sens!H11536-Sens!H11534)+(Sens!H11538+Sens!H11539-Sens!H11537)</f>
        <v>0</v>
      </c>
      <c r="I11550" s="24" t="n">
        <f aca="false">(Sens!I11543+Sens!I11547-Sens!I11548)+(Sens!I11535+Sens!I11536-Sens!I11534)+(Sens!I11538+Sens!I11539-Sens!I11537)</f>
        <v>0</v>
      </c>
      <c r="J11550" s="24" t="n">
        <f aca="false">(Sens!J11543+Sens!J11547-Sens!J11548)+(Sens!J11535+Sens!J11536-Sens!J11534)+(Sens!J11538+Sens!J11539-Sens!J11537)</f>
        <v>0</v>
      </c>
      <c r="K11550" s="24" t="n">
        <f aca="false">(Sens!K11543+Sens!K11547-Sens!K11548)+(Sens!K11535+Sens!K11536-Sens!K11534)+(Sens!K11538+Sens!K11539-Sens!K11537)</f>
        <v>0</v>
      </c>
    </row>
    <row r="11551" customFormat="false" ht="17.15" hidden="false" customHeight="false" outlineLevel="0" collapsed="false">
      <c r="A11551" s="0" t="s">
        <v>908</v>
      </c>
      <c r="B11551" s="0" t="s">
        <v>129</v>
      </c>
      <c r="E11551" s="7" t="n">
        <f aca="false">(Q!M21+Sens!E11488+Sens!E11489+Sens!E11490+Sens!E11503-Sens!E11486)/(Q!M5-Sens!E11486)</f>
        <v>0.570957350878296</v>
      </c>
      <c r="F11551" s="7" t="n">
        <f aca="false">Sens!$E$11551+dm_seg_lo</f>
        <v>0.550957350878296</v>
      </c>
      <c r="G11551" s="7" t="n">
        <f aca="false">Sens!$E$11551+dm_seg_lo</f>
        <v>0.550957350878296</v>
      </c>
      <c r="H11551" s="7" t="n">
        <f aca="false">Sens!$E$11551+dm_seg_lo</f>
        <v>0.550957350878296</v>
      </c>
      <c r="I11551" s="7" t="n">
        <f aca="false">Sens!$E$11551+dm_seg_lo</f>
        <v>0.550957350878296</v>
      </c>
      <c r="J11551" s="7" t="n">
        <f aca="false">Sens!$E$11551+dm_seg_lo</f>
        <v>0.550957350878296</v>
      </c>
      <c r="K11551" s="7" t="n">
        <f aca="false">Sens!$E$11551+dm_seg_lo</f>
        <v>0.550957350878296</v>
      </c>
      <c r="L11551" s="11" t="s">
        <v>909</v>
      </c>
    </row>
    <row r="11552" customFormat="false" ht="17.15" hidden="false" customHeight="false" outlineLevel="0" collapsed="false">
      <c r="A11552" s="0" t="s">
        <v>743</v>
      </c>
      <c r="B11552" s="0" t="s">
        <v>98</v>
      </c>
      <c r="D11552" s="6" t="n">
        <f aca="false">Q!L21</f>
        <v>110.814</v>
      </c>
      <c r="E11552" s="6" t="n">
        <f aca="false">Q!M21</f>
        <v>136.365</v>
      </c>
      <c r="F11552" s="6" t="n">
        <f aca="false">Sens!F11551*(Sens!F11522-Sens!F11486)+Sens!F11486-(Sens!F11488+Sens!F11489+Sens!F11490)-Sens!F11503-Sens!F11586</f>
        <v>146.632444658963</v>
      </c>
      <c r="G11552" s="6" t="n">
        <f aca="false">Sens!G11551*(Sens!G11522-Sens!G11486)+Sens!G11486-(Sens!G11488+Sens!G11489+Sens!G11490)-Sens!G11503-Sens!G11586</f>
        <v>154.648623495281</v>
      </c>
      <c r="H11552" s="6" t="n">
        <f aca="false">Sens!H11551*(Sens!H11522-Sens!H11486)+Sens!H11486-(Sens!H11488+Sens!H11489+Sens!H11490)-Sens!H11503-Sens!H11586</f>
        <v>156.281022239875</v>
      </c>
      <c r="I11552" s="6" t="n">
        <f aca="false">Sens!I11551*(Sens!I11522-Sens!I11486)+Sens!I11486-(Sens!I11488+Sens!I11489+Sens!I11490)-Sens!I11503-Sens!I11586</f>
        <v>165.57290329225</v>
      </c>
      <c r="J11552" s="6" t="n">
        <f aca="false">Sens!J11551*(Sens!J11522-Sens!J11486)+Sens!J11486-(Sens!J11488+Sens!J11489+Sens!J11490)-Sens!J11503-Sens!J11586</f>
        <v>176.173647871771</v>
      </c>
      <c r="K11552" s="6" t="n">
        <f aca="false">Sens!K11551*(Sens!K11522-Sens!K11486)+Sens!K11486-(Sens!K11488+Sens!K11489+Sens!K11490)-Sens!K11503-Sens!K11586</f>
        <v>188.121169212811</v>
      </c>
      <c r="L11552" s="1" t="s">
        <v>910</v>
      </c>
    </row>
    <row r="11553" customFormat="false" ht="17.15" hidden="false" customHeight="false" outlineLevel="0" collapsed="false">
      <c r="A11553" s="0" t="s">
        <v>911</v>
      </c>
      <c r="B11553" s="0" t="s">
        <v>129</v>
      </c>
      <c r="E11553" s="7" t="n">
        <f aca="false">Q!M22/Q!M12</f>
        <v>0.296207935710698</v>
      </c>
      <c r="F11553" s="7" t="n">
        <f aca="false">Sens!$E$11553+dm_seg_lo</f>
        <v>0.276207935710698</v>
      </c>
      <c r="G11553" s="7" t="n">
        <f aca="false">Sens!$E$11553+dm_seg_lo</f>
        <v>0.276207935710698</v>
      </c>
      <c r="H11553" s="7" t="n">
        <f aca="false">Sens!$E$11553+dm_seg_lo</f>
        <v>0.276207935710698</v>
      </c>
      <c r="I11553" s="7" t="n">
        <f aca="false">Sens!$E$11553+dm_seg_lo</f>
        <v>0.276207935710698</v>
      </c>
      <c r="J11553" s="7" t="n">
        <f aca="false">Sens!$E$11553+dm_seg_lo</f>
        <v>0.276207935710698</v>
      </c>
      <c r="K11553" s="7" t="n">
        <f aca="false">Sens!$E$11553+dm_seg_lo</f>
        <v>0.276207935710698</v>
      </c>
      <c r="L11553" s="11" t="s">
        <v>912</v>
      </c>
    </row>
    <row r="11554" customFormat="false" ht="17.15" hidden="false" customHeight="false" outlineLevel="0" collapsed="false">
      <c r="A11554" s="0" t="s">
        <v>745</v>
      </c>
      <c r="B11554" s="0" t="s">
        <v>98</v>
      </c>
      <c r="D11554" s="6" t="n">
        <f aca="false">Q!L22</f>
        <v>17.714</v>
      </c>
      <c r="E11554" s="6" t="n">
        <f aca="false">Q!M22</f>
        <v>18.872</v>
      </c>
      <c r="F11554" s="6" t="n">
        <f aca="false">Sens!F11529*Sens!F11553</f>
        <v>17.9926203619388</v>
      </c>
      <c r="G11554" s="6" t="n">
        <f aca="false">Sens!G11529*Sens!G11553</f>
        <v>18.540557417209</v>
      </c>
      <c r="H11554" s="6" t="n">
        <f aca="false">Sens!H11529*Sens!H11553</f>
        <v>19.2176656865051</v>
      </c>
      <c r="I11554" s="6" t="n">
        <f aca="false">Sens!I11529*Sens!I11553</f>
        <v>20.0038953855016</v>
      </c>
      <c r="J11554" s="6" t="n">
        <f aca="false">Sens!J11529*Sens!J11553</f>
        <v>20.8825379249846</v>
      </c>
      <c r="K11554" s="6" t="n">
        <f aca="false">Sens!K11529*Sens!K11553</f>
        <v>21.8401591334792</v>
      </c>
    </row>
    <row r="11555" customFormat="false" ht="15" hidden="false" customHeight="false" outlineLevel="0" collapsed="false">
      <c r="A11555" s="1" t="s">
        <v>913</v>
      </c>
      <c r="B11555" s="0" t="s">
        <v>98</v>
      </c>
      <c r="D11555" s="6" t="n">
        <f aca="false">Sens!D11552+Sens!D11554</f>
        <v>128.528</v>
      </c>
      <c r="E11555" s="6" t="n">
        <f aca="false">Sens!E11552+Sens!E11554</f>
        <v>155.237</v>
      </c>
      <c r="F11555" s="6" t="n">
        <f aca="false">Sens!F11552+Sens!F11554</f>
        <v>164.625065020902</v>
      </c>
      <c r="G11555" s="6" t="n">
        <f aca="false">Sens!G11552+Sens!G11554</f>
        <v>173.18918091249</v>
      </c>
      <c r="H11555" s="6" t="n">
        <f aca="false">Sens!H11552+Sens!H11554</f>
        <v>175.498687926381</v>
      </c>
      <c r="I11555" s="6" t="n">
        <f aca="false">Sens!I11552+Sens!I11554</f>
        <v>185.576798677751</v>
      </c>
      <c r="J11555" s="6" t="n">
        <f aca="false">Sens!J11552+Sens!J11554</f>
        <v>197.056185796755</v>
      </c>
      <c r="K11555" s="6" t="n">
        <f aca="false">Sens!K11552+Sens!K11554</f>
        <v>209.96132834629</v>
      </c>
    </row>
    <row r="11556" customFormat="false" ht="15" hidden="false" customHeight="false" outlineLevel="0" collapsed="false">
      <c r="A11556" s="23" t="s">
        <v>914</v>
      </c>
      <c r="B11556" s="30" t="s">
        <v>98</v>
      </c>
      <c r="C11556" s="30"/>
      <c r="D11556" s="24" t="n">
        <f aca="false">Sens!D11555-Q!L23</f>
        <v>0</v>
      </c>
      <c r="E11556" s="24" t="n">
        <f aca="false">Sens!E11555-Q!M23</f>
        <v>0</v>
      </c>
      <c r="F11556" s="30"/>
      <c r="G11556" s="30"/>
      <c r="H11556" s="30"/>
      <c r="I11556" s="30"/>
      <c r="J11556" s="30"/>
      <c r="K11556" s="30"/>
    </row>
    <row r="11557" customFormat="false" ht="15" hidden="false" customHeight="false" outlineLevel="0" collapsed="false">
      <c r="A11557" s="1" t="s">
        <v>915</v>
      </c>
      <c r="B11557" s="0" t="s">
        <v>129</v>
      </c>
      <c r="D11557" s="7" t="n">
        <f aca="false">Sens!D11555/Sens!D11548</f>
        <v>0.456219562408598</v>
      </c>
      <c r="E11557" s="7" t="n">
        <f aca="false">Sens!E11555/Sens!E11548</f>
        <v>0.467808184089272</v>
      </c>
      <c r="F11557" s="7" t="n">
        <f aca="false">Sens!F11555/Sens!F11548</f>
        <v>0.418355703326937</v>
      </c>
      <c r="G11557" s="7" t="n">
        <f aca="false">Sens!G11555/Sens!G11548</f>
        <v>0.379471937393526</v>
      </c>
      <c r="H11557" s="7" t="n">
        <f aca="false">Sens!H11555/Sens!H11548</f>
        <v>0.340553865278165</v>
      </c>
      <c r="I11557" s="7" t="n">
        <f aca="false">Sens!I11555/Sens!I11548</f>
        <v>0.321554160653984</v>
      </c>
      <c r="J11557" s="7" t="n">
        <f aca="false">Sens!J11555/Sens!J11548</f>
        <v>0.313125268407824</v>
      </c>
      <c r="K11557" s="7" t="n">
        <f aca="false">Sens!K11555/Sens!K11548</f>
        <v>0.31222178183966</v>
      </c>
    </row>
    <row r="11558" customFormat="false" ht="17.15" hidden="false" customHeight="false" outlineLevel="0" collapsed="false">
      <c r="A11558" s="1" t="s">
        <v>916</v>
      </c>
      <c r="B11558" s="0" t="s">
        <v>98</v>
      </c>
      <c r="F11558" s="6" t="n">
        <f aca="false">Sens!F11573</f>
        <v>10.2603565002727</v>
      </c>
      <c r="G11558" s="6" t="n">
        <f aca="false">Sens!G11573</f>
        <v>26.6689384396555</v>
      </c>
      <c r="H11558" s="6" t="n">
        <f aca="false">Sens!H11573</f>
        <v>44.61149932956</v>
      </c>
      <c r="I11558" s="6" t="n">
        <f aca="false">Sens!I11573</f>
        <v>60.7728524913745</v>
      </c>
      <c r="J11558" s="6" t="n">
        <f aca="false">Sens!J11573</f>
        <v>72.1788124586976</v>
      </c>
      <c r="K11558" s="6" t="n">
        <f aca="false">Sens!K11573</f>
        <v>79.1089222270768</v>
      </c>
      <c r="L11558" s="1" t="s">
        <v>917</v>
      </c>
    </row>
    <row r="11559" customFormat="false" ht="17.15" hidden="false" customHeight="false" outlineLevel="0" collapsed="false">
      <c r="A11559" s="1" t="s">
        <v>918</v>
      </c>
      <c r="B11559" s="0" t="s">
        <v>98</v>
      </c>
      <c r="D11559" s="6" t="n">
        <f aca="false">Sens!D11555</f>
        <v>128.528</v>
      </c>
      <c r="E11559" s="6" t="n">
        <f aca="false">Sens!E11555</f>
        <v>155.237</v>
      </c>
      <c r="F11559" s="6" t="n">
        <f aca="false">Sens!F11555+Sens!F11558</f>
        <v>174.885421521174</v>
      </c>
      <c r="G11559" s="6" t="n">
        <f aca="false">Sens!G11555+Sens!G11558</f>
        <v>199.858119352146</v>
      </c>
      <c r="H11559" s="6" t="n">
        <f aca="false">Sens!H11555+Sens!H11558</f>
        <v>220.110187255941</v>
      </c>
      <c r="I11559" s="6" t="n">
        <f aca="false">Sens!I11555+Sens!I11558</f>
        <v>246.349651169126</v>
      </c>
      <c r="J11559" s="6" t="n">
        <f aca="false">Sens!J11555+Sens!J11558</f>
        <v>269.234998255453</v>
      </c>
      <c r="K11559" s="6" t="n">
        <f aca="false">Sens!K11555+Sens!K11558</f>
        <v>289.070250573367</v>
      </c>
    </row>
    <row r="11560" customFormat="false" ht="17.15" hidden="false" customHeight="false" outlineLevel="0" collapsed="false">
      <c r="A11560" s="1" t="s">
        <v>919</v>
      </c>
      <c r="B11560" s="0" t="s">
        <v>98</v>
      </c>
      <c r="E11560" s="6" t="n">
        <f aca="false">Sens!E11503</f>
        <v>16.3054059770833</v>
      </c>
      <c r="F11560" s="6" t="n">
        <f aca="false">Sens!F11503</f>
        <v>34.0498873809555</v>
      </c>
      <c r="G11560" s="6" t="n">
        <f aca="false">Sens!G11503</f>
        <v>59.1254371105111</v>
      </c>
      <c r="H11560" s="6" t="n">
        <f aca="false">Sens!H11503</f>
        <v>86.3610198433111</v>
      </c>
      <c r="I11560" s="6" t="n">
        <f aca="false">Sens!I11503</f>
        <v>110.605743832393</v>
      </c>
      <c r="J11560" s="6" t="n">
        <f aca="false">Sens!J11503</f>
        <v>127.998322852843</v>
      </c>
      <c r="K11560" s="6" t="n">
        <f aca="false">Sens!K11503</f>
        <v>139.131464044308</v>
      </c>
    </row>
    <row r="11561" customFormat="false" ht="17.15" hidden="false" customHeight="false" outlineLevel="0" collapsed="false">
      <c r="A11561" s="1" t="s">
        <v>920</v>
      </c>
      <c r="B11561" s="0" t="s">
        <v>98</v>
      </c>
      <c r="E11561" s="6" t="n">
        <f aca="false">Sens!E11585</f>
        <v>22.2285940229167</v>
      </c>
      <c r="F11561" s="6" t="n">
        <f aca="false">Sens!F11585</f>
        <v>24.3924470334783</v>
      </c>
      <c r="G11561" s="6" t="n">
        <f aca="false">Sens!G11585</f>
        <v>26.0234916871694</v>
      </c>
      <c r="H11561" s="6" t="n">
        <f aca="false">Sens!H11585</f>
        <v>28.0272938828615</v>
      </c>
      <c r="I11561" s="6" t="n">
        <f aca="false">Sens!I11585</f>
        <v>30.3469045257397</v>
      </c>
      <c r="J11561" s="6" t="n">
        <f aca="false">Sens!J11585</f>
        <v>32.9078053982031</v>
      </c>
      <c r="K11561" s="6" t="n">
        <f aca="false">Sens!K11585</f>
        <v>35.6263951325822</v>
      </c>
    </row>
    <row r="11562" customFormat="false" ht="17.15" hidden="false" customHeight="false" outlineLevel="0" collapsed="false">
      <c r="A11562" s="1" t="s">
        <v>921</v>
      </c>
      <c r="B11562" s="0" t="s">
        <v>98</v>
      </c>
      <c r="D11562" s="6" t="n">
        <f aca="false">Q!L27</f>
        <v>-4.901</v>
      </c>
      <c r="E11562" s="6" t="n">
        <f aca="false">Q!M27</f>
        <v>10.697</v>
      </c>
      <c r="F11562" s="6" t="n">
        <f aca="false">oie_f</f>
        <v>-0.4</v>
      </c>
      <c r="G11562" s="6" t="n">
        <f aca="false">oie_f</f>
        <v>-0.4</v>
      </c>
      <c r="H11562" s="6" t="n">
        <f aca="false">oie_f</f>
        <v>-0.4</v>
      </c>
      <c r="I11562" s="6" t="n">
        <f aca="false">oie_f</f>
        <v>-0.4</v>
      </c>
      <c r="J11562" s="6" t="n">
        <f aca="false">oie_f</f>
        <v>-0.4</v>
      </c>
      <c r="K11562" s="6" t="n">
        <f aca="false">oie_f</f>
        <v>-0.4</v>
      </c>
      <c r="L11562" s="11" t="s">
        <v>922</v>
      </c>
    </row>
    <row r="11563" customFormat="false" ht="15" hidden="false" customHeight="false" outlineLevel="0" collapsed="false">
      <c r="A11563" s="1" t="s">
        <v>923</v>
      </c>
      <c r="B11563" s="0" t="s">
        <v>98</v>
      </c>
      <c r="D11563" s="6" t="n">
        <f aca="false">Sens!D11555+Sens!D11562</f>
        <v>123.627</v>
      </c>
      <c r="E11563" s="6" t="n">
        <f aca="false">Sens!E11555+Sens!E11562</f>
        <v>165.934</v>
      </c>
      <c r="F11563" s="6" t="n">
        <f aca="false">Sens!F11555+Sens!F11562</f>
        <v>164.225065020902</v>
      </c>
      <c r="G11563" s="6" t="n">
        <f aca="false">Sens!G11555+Sens!G11562</f>
        <v>172.78918091249</v>
      </c>
      <c r="H11563" s="6" t="n">
        <f aca="false">Sens!H11555+Sens!H11562</f>
        <v>175.098687926381</v>
      </c>
      <c r="I11563" s="6" t="n">
        <f aca="false">Sens!I11555+Sens!I11562</f>
        <v>185.176798677751</v>
      </c>
      <c r="J11563" s="6" t="n">
        <f aca="false">Sens!J11555+Sens!J11562</f>
        <v>196.656185796755</v>
      </c>
      <c r="K11563" s="6" t="n">
        <f aca="false">Sens!K11555+Sens!K11562</f>
        <v>209.56132834629</v>
      </c>
    </row>
    <row r="11564" customFormat="false" ht="15" hidden="false" customHeight="false" outlineLevel="0" collapsed="false">
      <c r="A11564" s="1" t="s">
        <v>924</v>
      </c>
      <c r="B11564" s="0" t="s">
        <v>98</v>
      </c>
      <c r="D11564" s="6" t="n">
        <f aca="false">Q!L29</f>
        <v>21.795</v>
      </c>
      <c r="E11564" s="6" t="n">
        <f aca="false">Q!M29</f>
        <v>32.185</v>
      </c>
      <c r="F11564" s="6" t="n">
        <f aca="false">Sens!F11563*tax_f</f>
        <v>32.8450130041803</v>
      </c>
      <c r="G11564" s="6" t="n">
        <f aca="false">Sens!G11563*tax_f</f>
        <v>34.557836182498</v>
      </c>
      <c r="H11564" s="6" t="n">
        <f aca="false">Sens!H11563*tax_f</f>
        <v>35.0197375852761</v>
      </c>
      <c r="I11564" s="6" t="n">
        <f aca="false">Sens!I11563*tax_f</f>
        <v>37.0353597355503</v>
      </c>
      <c r="J11564" s="6" t="n">
        <f aca="false">Sens!J11563*tax_f</f>
        <v>39.3312371593511</v>
      </c>
      <c r="K11564" s="6" t="n">
        <f aca="false">Sens!K11563*tax_f</f>
        <v>41.912265669258</v>
      </c>
    </row>
    <row r="11565" customFormat="false" ht="15" hidden="false" customHeight="false" outlineLevel="0" collapsed="false">
      <c r="A11565" s="1" t="s">
        <v>925</v>
      </c>
      <c r="B11565" s="0" t="s">
        <v>98</v>
      </c>
      <c r="D11565" s="6" t="n">
        <f aca="false">Sens!D11563-Sens!D11564</f>
        <v>101.832</v>
      </c>
      <c r="E11565" s="6" t="n">
        <f aca="false">Sens!E11563-Sens!E11564</f>
        <v>133.749</v>
      </c>
      <c r="F11565" s="6" t="n">
        <f aca="false">Sens!F11563-Sens!F11564</f>
        <v>131.380052016721</v>
      </c>
      <c r="G11565" s="6" t="n">
        <f aca="false">Sens!G11563-Sens!G11564</f>
        <v>138.231344729992</v>
      </c>
      <c r="H11565" s="6" t="n">
        <f aca="false">Sens!H11563-Sens!H11564</f>
        <v>140.078950341104</v>
      </c>
      <c r="I11565" s="6" t="n">
        <f aca="false">Sens!I11563-Sens!I11564</f>
        <v>148.141438942201</v>
      </c>
      <c r="J11565" s="6" t="n">
        <f aca="false">Sens!J11563-Sens!J11564</f>
        <v>157.324948637404</v>
      </c>
      <c r="K11565" s="6" t="n">
        <f aca="false">Sens!K11563-Sens!K11564</f>
        <v>167.649062677032</v>
      </c>
    </row>
    <row r="11566" customFormat="false" ht="17.15" hidden="false" customHeight="false" outlineLevel="0" collapsed="false">
      <c r="A11566" s="1" t="s">
        <v>926</v>
      </c>
      <c r="B11566" s="1" t="s">
        <v>81</v>
      </c>
      <c r="D11566" s="14" t="n">
        <f aca="false">Q!L31</f>
        <v>7.465</v>
      </c>
      <c r="E11566" s="14" t="n">
        <f aca="false">Q!M31</f>
        <v>7.453</v>
      </c>
      <c r="F11566" s="14" t="n">
        <f aca="false">Sens!F11609</f>
        <v>7.4735</v>
      </c>
      <c r="G11566" s="14" t="n">
        <f aca="false">Sens!G11609</f>
        <v>7.5185</v>
      </c>
      <c r="H11566" s="14" t="n">
        <f aca="false">Sens!H11609</f>
        <v>7.5635</v>
      </c>
      <c r="I11566" s="14" t="n">
        <f aca="false">Sens!I11609</f>
        <v>7.59252924615736</v>
      </c>
      <c r="J11566" s="14" t="n">
        <f aca="false">Sens!J11609</f>
        <v>7.60677075727524</v>
      </c>
      <c r="K11566" s="14" t="n">
        <f aca="false">Sens!K11609</f>
        <v>7.62329067497699</v>
      </c>
    </row>
    <row r="11567" customFormat="false" ht="17.15" hidden="false" customHeight="false" outlineLevel="0" collapsed="false">
      <c r="A11567" s="0" t="s">
        <v>927</v>
      </c>
      <c r="B11567" s="0" t="s">
        <v>75</v>
      </c>
      <c r="D11567" s="8" t="n">
        <f aca="false">Sens!D11565/Sens!D11566</f>
        <v>13.641259209645</v>
      </c>
      <c r="E11567" s="8" t="n">
        <f aca="false">Sens!E11565/Sens!E11566</f>
        <v>17.9456594659869</v>
      </c>
      <c r="F11567" s="8" t="n">
        <f aca="false">Sens!F11565/Sens!F11566</f>
        <v>17.5794543409007</v>
      </c>
      <c r="G11567" s="8" t="n">
        <f aca="false">Sens!G11565/Sens!G11566</f>
        <v>18.3854950761445</v>
      </c>
      <c r="H11567" s="8" t="n">
        <f aca="false">Sens!H11565/Sens!H11566</f>
        <v>18.5203874318906</v>
      </c>
      <c r="I11567" s="8" t="n">
        <f aca="false">Sens!I11565/Sens!I11566</f>
        <v>19.5114742583542</v>
      </c>
      <c r="J11567" s="8" t="n">
        <f aca="false">Sens!J11565/Sens!J11566</f>
        <v>20.6822255668657</v>
      </c>
      <c r="K11567" s="8" t="n">
        <f aca="false">Sens!K11565/Sens!K11566</f>
        <v>21.9916922789433</v>
      </c>
      <c r="L11567" s="1" t="s">
        <v>928</v>
      </c>
    </row>
    <row r="11568" customFormat="false" ht="17.15" hidden="false" customHeight="false" outlineLevel="0" collapsed="false">
      <c r="A11568" s="1" t="s">
        <v>929</v>
      </c>
      <c r="B11568" s="0" t="s">
        <v>98</v>
      </c>
      <c r="D11568" s="6" t="n">
        <f aca="false">Sens!D11565</f>
        <v>101.832</v>
      </c>
      <c r="E11568" s="6" t="n">
        <f aca="false">Sens!E11565</f>
        <v>133.749</v>
      </c>
      <c r="F11568" s="6" t="n">
        <f aca="false">Sens!F11565+Sens!F11558*(1-tax_f)</f>
        <v>139.588337216939</v>
      </c>
      <c r="G11568" s="6" t="n">
        <f aca="false">Sens!G11565+Sens!G11558*(1-tax_f)</f>
        <v>159.566495481717</v>
      </c>
      <c r="H11568" s="6" t="n">
        <f aca="false">Sens!H11565+Sens!H11558*(1-tax_f)</f>
        <v>175.768149804752</v>
      </c>
      <c r="I11568" s="6" t="n">
        <f aca="false">Sens!I11565+Sens!I11558*(1-tax_f)</f>
        <v>196.759720935301</v>
      </c>
      <c r="J11568" s="6" t="n">
        <f aca="false">Sens!J11565+Sens!J11558*(1-tax_f)</f>
        <v>215.067998604362</v>
      </c>
      <c r="K11568" s="6" t="n">
        <f aca="false">Sens!K11565+Sens!K11558*(1-tax_f)</f>
        <v>230.936200458694</v>
      </c>
    </row>
    <row r="11569" customFormat="false" ht="17.15" hidden="false" customHeight="false" outlineLevel="0" collapsed="false">
      <c r="A11569" s="0" t="s">
        <v>930</v>
      </c>
      <c r="B11569" s="0" t="s">
        <v>75</v>
      </c>
      <c r="D11569" s="8" t="n">
        <f aca="false">Sens!D11568/Sens!D11566</f>
        <v>13.641259209645</v>
      </c>
      <c r="E11569" s="8" t="n">
        <f aca="false">Sens!E11568/Sens!E11566</f>
        <v>17.9456594659869</v>
      </c>
      <c r="F11569" s="8" t="n">
        <f aca="false">Sens!F11568/Sens!F11566</f>
        <v>18.6777730938569</v>
      </c>
      <c r="G11569" s="8" t="n">
        <f aca="false">Sens!G11568/Sens!G11566</f>
        <v>21.2231822147658</v>
      </c>
      <c r="H11569" s="8" t="n">
        <f aca="false">Sens!H11568/Sens!H11566</f>
        <v>23.2389964705166</v>
      </c>
      <c r="I11569" s="8" t="n">
        <f aca="false">Sens!I11568/Sens!I11566</f>
        <v>25.9149111654568</v>
      </c>
      <c r="J11569" s="8" t="n">
        <f aca="false">Sens!J11568/Sens!J11566</f>
        <v>28.2732325538623</v>
      </c>
      <c r="K11569" s="8" t="n">
        <f aca="false">Sens!K11568/Sens!K11566</f>
        <v>30.2935058237682</v>
      </c>
      <c r="L11569" s="1" t="s">
        <v>931</v>
      </c>
    </row>
    <row r="11570" customFormat="false" ht="17.15" hidden="false" customHeight="false" outlineLevel="0" collapsed="false">
      <c r="A11570" s="0" t="s">
        <v>932</v>
      </c>
      <c r="B11570" s="0" t="s">
        <v>129</v>
      </c>
      <c r="E11570" s="7" t="n">
        <f aca="false">Sens!E11569/Sens!D11569-1</f>
        <v>0.315542736208578</v>
      </c>
      <c r="F11570" s="7" t="n">
        <f aca="false">Sens!F11569/Sens!E11569-1</f>
        <v>0.0407961395488212</v>
      </c>
      <c r="G11570" s="7" t="n">
        <f aca="false">Sens!G11569/Sens!F11569-1</f>
        <v>0.136280117983984</v>
      </c>
      <c r="H11570" s="7" t="n">
        <f aca="false">Sens!H11569/Sens!G11569-1</f>
        <v>0.0949817155293684</v>
      </c>
      <c r="I11570" s="7" t="n">
        <f aca="false">Sens!I11569/Sens!H11569-1</f>
        <v>0.115147601073701</v>
      </c>
      <c r="J11570" s="7" t="n">
        <f aca="false">Sens!J11569/Sens!I11569-1</f>
        <v>0.0910024878475768</v>
      </c>
      <c r="K11570" s="7" t="n">
        <f aca="false">Sens!K11569/Sens!J11569-1</f>
        <v>0.0714553338058241</v>
      </c>
    </row>
    <row r="11571" customFormat="false" ht="17.15" hidden="false" customHeight="false" outlineLevel="0" collapsed="false">
      <c r="A11571" s="0" t="s">
        <v>856</v>
      </c>
      <c r="B11571" s="0" t="s">
        <v>98</v>
      </c>
      <c r="E11571" s="6" t="n">
        <f aca="false">Sens!E11512</f>
        <v>5.25</v>
      </c>
      <c r="F11571" s="6" t="n">
        <f aca="false">Sens!F11512</f>
        <v>10.5</v>
      </c>
      <c r="G11571" s="6" t="n">
        <f aca="false">Sens!G11512</f>
        <v>13.5</v>
      </c>
      <c r="H11571" s="6" t="n">
        <f aca="false">Sens!H11512</f>
        <v>16.5</v>
      </c>
      <c r="I11571" s="6" t="n">
        <f aca="false">Sens!I11512</f>
        <v>18.75</v>
      </c>
      <c r="J11571" s="6" t="n">
        <f aca="false">Sens!J11512</f>
        <v>20.25</v>
      </c>
      <c r="K11571" s="6" t="n">
        <f aca="false">Sens!K11512</f>
        <v>21.75</v>
      </c>
    </row>
    <row r="11572" customFormat="false" ht="17.15" hidden="false" customHeight="false" outlineLevel="0" collapsed="false">
      <c r="A11572" s="1" t="s">
        <v>857</v>
      </c>
      <c r="B11572" s="0" t="s">
        <v>98</v>
      </c>
      <c r="F11572" s="6" t="n">
        <f aca="false">MAX(0,((Sens!E11475+Sens!F11475)/2-(shadow_base*(Sens!$D$11475+Sens!$E$11475)/2+(1-shadow_base)*Sens!$E$11475))*Sens!F11483/1000-(Sens!F11571-Sens!$E$11571)*Sens!F11551)</f>
        <v>10.2603565002727</v>
      </c>
      <c r="G11572" s="6" t="n">
        <f aca="false">MAX(0,((Sens!F11475+Sens!G11475)/2-(shadow_base*(Sens!$D$11475+Sens!$E$11475)/2+(1-shadow_base)*Sens!$E$11475))*Sens!G11483/1000-(Sens!G11571-Sens!$E$11571)*Sens!G11551)</f>
        <v>26.6689384396555</v>
      </c>
      <c r="H11572" s="6" t="n">
        <f aca="false">MAX(0,((Sens!G11475+Sens!H11475)/2-(shadow_base*(Sens!$D$11475+Sens!$E$11475)/2+(1-shadow_base)*Sens!$E$11475))*Sens!H11483/1000-(Sens!H11571-Sens!$E$11571)*Sens!H11551)</f>
        <v>44.61149932956</v>
      </c>
      <c r="I11572" s="6" t="n">
        <f aca="false">MAX(0,((Sens!H11475+Sens!I11475)/2-(shadow_base*(Sens!$D$11475+Sens!$E$11475)/2+(1-shadow_base)*Sens!$E$11475))*Sens!I11483/1000-(Sens!I11571-Sens!$E$11571)*Sens!I11551)</f>
        <v>60.7728524913745</v>
      </c>
      <c r="J11572" s="6" t="n">
        <f aca="false">MAX(0,((Sens!I11475+Sens!J11475)/2-(shadow_base*(Sens!$D$11475+Sens!$E$11475)/2+(1-shadow_base)*Sens!$E$11475))*Sens!J11483/1000-(Sens!J11571-Sens!$E$11571)*Sens!J11551)</f>
        <v>72.1788124586976</v>
      </c>
      <c r="K11572" s="6" t="n">
        <f aca="false">MAX(0,((Sens!J11475+Sens!K11475)/2-(shadow_base*(Sens!$D$11475+Sens!$E$11475)/2+(1-shadow_base)*Sens!$E$11475))*Sens!K11483/1000-(Sens!K11571-Sens!$E$11571)*Sens!K11551)</f>
        <v>79.1089222270768</v>
      </c>
      <c r="L11572" s="1" t="s">
        <v>858</v>
      </c>
    </row>
    <row r="11573" customFormat="false" ht="17.15" hidden="false" customHeight="false" outlineLevel="0" collapsed="false">
      <c r="A11573" s="1" t="s">
        <v>859</v>
      </c>
      <c r="B11573" s="0" t="s">
        <v>98</v>
      </c>
      <c r="F11573" s="6" t="n">
        <f aca="false">IF(internal_ai_reading=2,1,0)*Sens!F11572</f>
        <v>10.2603565002727</v>
      </c>
      <c r="G11573" s="6" t="n">
        <f aca="false">IF(internal_ai_reading=2,1,0)*Sens!G11572</f>
        <v>26.6689384396555</v>
      </c>
      <c r="H11573" s="6" t="n">
        <f aca="false">IF(internal_ai_reading=2,1,0)*Sens!H11572</f>
        <v>44.61149932956</v>
      </c>
      <c r="I11573" s="6" t="n">
        <f aca="false">IF(internal_ai_reading=2,1,0)*Sens!I11572</f>
        <v>60.7728524913745</v>
      </c>
      <c r="J11573" s="6" t="n">
        <f aca="false">IF(internal_ai_reading=2,1,0)*Sens!J11572</f>
        <v>72.1788124586976</v>
      </c>
      <c r="K11573" s="6" t="n">
        <f aca="false">IF(internal_ai_reading=2,1,0)*Sens!K11572</f>
        <v>79.1089222270768</v>
      </c>
    </row>
    <row r="11574" customFormat="false" ht="17.15" hidden="false" customHeight="false" outlineLevel="0" collapsed="false">
      <c r="A11574" s="0" t="s">
        <v>860</v>
      </c>
      <c r="B11574" s="0" t="s">
        <v>98</v>
      </c>
      <c r="F11574" s="6" t="n">
        <f aca="false">Sens!F11492+Sens!F11571*Sens!F11551+Sens!F11573-Sens!F11493-Sens!F11503</f>
        <v>10.5199363155714</v>
      </c>
      <c r="G11574" s="6" t="n">
        <f aca="false">Sens!G11492+Sens!G11571*Sens!G11551+Sens!G11573-Sens!G11493-Sens!G11503</f>
        <v>16.4472915631233</v>
      </c>
      <c r="H11574" s="6" t="n">
        <f aca="false">Sens!H11492+Sens!H11571*Sens!H11551+Sens!H11573-Sens!H11493-Sens!H11503</f>
        <v>17.3575151247579</v>
      </c>
      <c r="I11574" s="6" t="n">
        <f aca="false">Sens!I11492+Sens!I11571*Sens!I11551+Sens!I11573-Sens!I11493-Sens!I11503</f>
        <v>24.624505792607</v>
      </c>
      <c r="J11574" s="6" t="n">
        <f aca="false">Sens!J11492+Sens!J11571*Sens!J11551+Sens!J11573-Sens!J11493-Sens!J11503</f>
        <v>29.6472053126421</v>
      </c>
      <c r="K11574" s="6" t="n">
        <f aca="false">Sens!K11492+Sens!K11571*Sens!K11551+Sens!K11573-Sens!K11493-Sens!K11503</f>
        <v>33.4918759973665</v>
      </c>
    </row>
    <row r="11575" customFormat="false" ht="17.15" hidden="false" customHeight="false" outlineLevel="0" collapsed="false">
      <c r="A11575" s="0" t="s">
        <v>861</v>
      </c>
      <c r="B11575" s="0" t="s">
        <v>98</v>
      </c>
      <c r="E11575" s="6" t="n">
        <f aca="false">Sens!E11474*(cxit_open+self_build*tk_cxfac)/1000*ai_net_open</f>
        <v>126.6980382</v>
      </c>
      <c r="F11575" s="6" t="n">
        <f aca="false">Sens!E11575+Sens!F11500-Sens!F11503</f>
        <v>252.981026690511</v>
      </c>
      <c r="G11575" s="6" t="n">
        <f aca="false">Sens!F11575+Sens!G11500-Sens!G11503</f>
        <v>377.4297700632</v>
      </c>
      <c r="H11575" s="6" t="n">
        <f aca="false">Sens!G11575+Sens!H11500-Sens!H11503</f>
        <v>479.149036130289</v>
      </c>
      <c r="I11575" s="6" t="n">
        <f aca="false">Sens!H11575+Sens!I11500-Sens!I11503</f>
        <v>532.249961452141</v>
      </c>
      <c r="J11575" s="6" t="n">
        <f aca="false">Sens!I11575+Sens!J11500-Sens!J11503</f>
        <v>531.43307519354</v>
      </c>
      <c r="K11575" s="6" t="n">
        <f aca="false">Sens!J11575+Sens!K11500-Sens!K11503</f>
        <v>513.709026452823</v>
      </c>
      <c r="L11575" s="1" t="s">
        <v>862</v>
      </c>
    </row>
    <row r="11576" customFormat="false" ht="17.15" hidden="false" customHeight="false" outlineLevel="0" collapsed="false">
      <c r="A11576" s="0" t="s">
        <v>863</v>
      </c>
      <c r="B11576" s="0" t="s">
        <v>129</v>
      </c>
      <c r="F11576" s="7" t="n">
        <f aca="false">Sens!F11574*(1-tax_f)/((Sens!E11575+Sens!F11575)/2)</f>
        <v>0.0443319099244203</v>
      </c>
      <c r="G11576" s="7" t="n">
        <f aca="false">Sens!G11574*(1-tax_f)/((Sens!F11575+Sens!G11575)/2)</f>
        <v>0.041743679893348</v>
      </c>
      <c r="H11576" s="7" t="n">
        <f aca="false">Sens!H11574*(1-tax_f)/((Sens!G11575+Sens!H11575)/2)</f>
        <v>0.0324220305228277</v>
      </c>
      <c r="I11576" s="7" t="n">
        <f aca="false">Sens!I11574*(1-tax_f)/((Sens!H11575+Sens!I11575)/2)</f>
        <v>0.0389551594992165</v>
      </c>
      <c r="J11576" s="7" t="n">
        <f aca="false">Sens!J11574*(1-tax_f)/((Sens!I11575+Sens!J11575)/2)</f>
        <v>0.0445955485478221</v>
      </c>
      <c r="K11576" s="7" t="n">
        <f aca="false">Sens!K11574*(1-tax_f)/((Sens!J11575+Sens!K11575)/2)</f>
        <v>0.0512724552109932</v>
      </c>
    </row>
    <row r="11577" customFormat="false" ht="17.15" hidden="false" customHeight="false" outlineLevel="0" collapsed="false">
      <c r="A11577" s="1" t="s">
        <v>864</v>
      </c>
      <c r="B11577" s="0" t="s">
        <v>129</v>
      </c>
      <c r="F11577" s="7" t="n">
        <f aca="false">(Sens!F11574-Sens!F11573)*(1-tax_f)/((Sens!E11575+Sens!F11575)/2)</f>
        <v>0.00109389150702245</v>
      </c>
      <c r="G11577" s="7" t="n">
        <f aca="false">(Sens!G11574-Sens!G11573)*(1-tax_f)/((Sens!F11575+Sens!G11575)/2)</f>
        <v>-0.0259428218657886</v>
      </c>
      <c r="H11577" s="7" t="n">
        <f aca="false">(Sens!H11574-Sens!H11573)*(1-tax_f)/((Sens!G11575+Sens!H11575)/2)</f>
        <v>-0.0509076040784429</v>
      </c>
      <c r="I11577" s="7" t="n">
        <f aca="false">(Sens!I11574-Sens!I11573)*(1-tax_f)/((Sens!H11575+Sens!I11575)/2)</f>
        <v>-0.0571854973717375</v>
      </c>
      <c r="J11577" s="7" t="n">
        <f aca="false">(Sens!J11574-Sens!J11573)*(1-tax_f)/((Sens!I11575+Sens!J11575)/2)</f>
        <v>-0.0639763624023618</v>
      </c>
      <c r="K11577" s="7" t="n">
        <f aca="false">(Sens!K11574-Sens!K11573)*(1-tax_f)/((Sens!J11575+Sens!K11575)/2)</f>
        <v>-0.0698347850044152</v>
      </c>
    </row>
    <row r="11578" customFormat="false" ht="17.15" hidden="false" customHeight="false" outlineLevel="0" collapsed="false">
      <c r="A11578" s="1" t="s">
        <v>865</v>
      </c>
      <c r="B11578" s="0" t="s">
        <v>129</v>
      </c>
      <c r="F11578" s="7" t="n">
        <f aca="false">(Sens!F11574-Sens!F11573+Sens!F11572)*(1-tax_f)/((Sens!E11575+Sens!F11575)/2)</f>
        <v>0.0443319099244203</v>
      </c>
      <c r="G11578" s="7" t="n">
        <f aca="false">(Sens!G11574-Sens!G11573+Sens!G11572)*(1-tax_f)/((Sens!F11575+Sens!G11575)/2)</f>
        <v>0.041743679893348</v>
      </c>
      <c r="H11578" s="7" t="n">
        <f aca="false">(Sens!H11574-Sens!H11573+Sens!H11572)*(1-tax_f)/((Sens!G11575+Sens!H11575)/2)</f>
        <v>0.0324220305228277</v>
      </c>
      <c r="I11578" s="7" t="n">
        <f aca="false">(Sens!I11574-Sens!I11573+Sens!I11572)*(1-tax_f)/((Sens!H11575+Sens!I11575)/2)</f>
        <v>0.0389551594992165</v>
      </c>
      <c r="J11578" s="7" t="n">
        <f aca="false">(Sens!J11574-Sens!J11573+Sens!J11572)*(1-tax_f)/((Sens!I11575+Sens!J11575)/2)</f>
        <v>0.0445955485478221</v>
      </c>
      <c r="K11578" s="7" t="n">
        <f aca="false">(Sens!K11574-Sens!K11573+Sens!K11572)*(1-tax_f)/((Sens!J11575+Sens!K11575)/2)</f>
        <v>0.0512724552109932</v>
      </c>
    </row>
    <row r="11579" customFormat="false" ht="17.15" hidden="false" customHeight="false" outlineLevel="0" collapsed="false">
      <c r="A11579" s="1" t="s">
        <v>866</v>
      </c>
      <c r="B11579" s="0" t="s">
        <v>129</v>
      </c>
      <c r="F11579" s="7" t="n">
        <f aca="false">Sens!F11504*(1-tax_f)/(Sens!F11491*(Sens!E11575+Sens!F11575)/2)</f>
        <v>0.102735279953254</v>
      </c>
      <c r="G11579" s="7" t="n">
        <f aca="false">Sens!G11504*(1-tax_f)/(Sens!G11491*(Sens!F11575+Sens!G11575)/2)</f>
        <v>0.0709600152423962</v>
      </c>
      <c r="H11579" s="7" t="n">
        <f aca="false">Sens!H11504*(1-tax_f)/(Sens!H11491*(Sens!G11575+Sens!H11575)/2)</f>
        <v>0.0419126501774916</v>
      </c>
      <c r="I11579" s="7" t="n">
        <f aca="false">Sens!I11504*(1-tax_f)/(Sens!I11491*(Sens!H11575+Sens!I11575)/2)</f>
        <v>0.044576811268173</v>
      </c>
      <c r="J11579" s="7" t="n">
        <f aca="false">Sens!J11504*(1-tax_f)/(Sens!J11491*(Sens!I11575+Sens!J11575)/2)</f>
        <v>0.0483882076863038</v>
      </c>
      <c r="K11579" s="7" t="n">
        <f aca="false">Sens!K11504*(1-tax_f)/(Sens!K11491*(Sens!J11575+Sens!K11575)/2)</f>
        <v>0.0544871874286225</v>
      </c>
    </row>
    <row r="11580" customFormat="false" ht="17.15" hidden="false" customHeight="false" outlineLevel="0" collapsed="false">
      <c r="A11580" s="0" t="s">
        <v>867</v>
      </c>
      <c r="B11580" s="0" t="s">
        <v>209</v>
      </c>
      <c r="F11580" s="7" t="n">
        <f aca="false">Sens!F11576-wacc</f>
        <v>-0.0586025101684554</v>
      </c>
      <c r="G11580" s="7" t="n">
        <f aca="false">Sens!G11576-wacc</f>
        <v>-0.0611907401995278</v>
      </c>
      <c r="H11580" s="7" t="n">
        <f aca="false">Sens!H11576-wacc</f>
        <v>-0.070512389570048</v>
      </c>
      <c r="I11580" s="7" t="n">
        <f aca="false">Sens!I11576-wacc</f>
        <v>-0.0639792605936592</v>
      </c>
      <c r="J11580" s="7" t="n">
        <f aca="false">Sens!J11576-wacc</f>
        <v>-0.0583388715450537</v>
      </c>
      <c r="K11580" s="7" t="n">
        <f aca="false">Sens!K11576-wacc</f>
        <v>-0.0516619648818826</v>
      </c>
    </row>
    <row r="11581" customFormat="false" ht="17.15" hidden="false" customHeight="false" outlineLevel="0" collapsed="false">
      <c r="A11581" s="0" t="s">
        <v>868</v>
      </c>
      <c r="B11581" s="0" t="s">
        <v>98</v>
      </c>
      <c r="F11581" s="6" t="n">
        <f aca="false">Sens!F11574*(1-tax_f)-wacc*(Sens!E11575+Sens!F11575)/2</f>
        <v>-11.1250731304979</v>
      </c>
      <c r="G11581" s="6" t="n">
        <f aca="false">Sens!G11574*(1-tax_f)-wacc*(Sens!F11575+Sens!G11575)/2</f>
        <v>-19.2876516415668</v>
      </c>
      <c r="H11581" s="6" t="n">
        <f aca="false">Sens!H11574*(1-tax_f)-wacc*(Sens!G11575+Sens!H11575)/2</f>
        <v>-30.199709239881</v>
      </c>
      <c r="I11581" s="6" t="n">
        <f aca="false">Sens!I11574*(1-tax_f)-wacc*(Sens!H11575+Sens!I11575)/2</f>
        <v>-32.354280015246</v>
      </c>
      <c r="J11581" s="6" t="n">
        <f aca="false">Sens!J11574*(1-tax_f)-wacc*(Sens!I11575+Sens!J11575)/2</f>
        <v>-31.0270340197625</v>
      </c>
      <c r="K11581" s="6" t="n">
        <f aca="false">Sens!K11574*(1-tax_f)-wacc*(Sens!J11575+Sens!K11575)/2</f>
        <v>-26.9970472759157</v>
      </c>
    </row>
    <row r="11582" customFormat="false" ht="17.15" hidden="false" customHeight="false" outlineLevel="0" collapsed="false">
      <c r="A11582" s="3" t="s">
        <v>1560</v>
      </c>
    </row>
    <row r="11583" customFormat="false" ht="15" hidden="false" customHeight="false" outlineLevel="0" collapsed="false">
      <c r="A11583" s="4" t="s">
        <v>43</v>
      </c>
      <c r="B11583" s="4" t="s">
        <v>65</v>
      </c>
      <c r="C11583" s="20" t="s">
        <v>799</v>
      </c>
      <c r="D11583" s="20" t="s">
        <v>800</v>
      </c>
      <c r="E11583" s="20" t="s">
        <v>801</v>
      </c>
      <c r="F11583" s="20" t="s">
        <v>802</v>
      </c>
      <c r="G11583" s="20" t="s">
        <v>803</v>
      </c>
      <c r="H11583" s="20" t="s">
        <v>804</v>
      </c>
      <c r="I11583" s="20" t="s">
        <v>805</v>
      </c>
      <c r="J11583" s="20" t="s">
        <v>806</v>
      </c>
      <c r="K11583" s="20" t="s">
        <v>807</v>
      </c>
      <c r="L11583" s="4" t="s">
        <v>47</v>
      </c>
    </row>
    <row r="11584" customFormat="false" ht="15" hidden="false" customHeight="false" outlineLevel="0" collapsed="false">
      <c r="A11584" s="1" t="s">
        <v>925</v>
      </c>
      <c r="B11584" s="0" t="s">
        <v>98</v>
      </c>
      <c r="F11584" s="6" t="n">
        <f aca="false">Sens!F11565</f>
        <v>131.380052016721</v>
      </c>
      <c r="G11584" s="6" t="n">
        <f aca="false">Sens!G11565</f>
        <v>138.231344729992</v>
      </c>
      <c r="H11584" s="6" t="n">
        <f aca="false">Sens!H11565</f>
        <v>140.078950341104</v>
      </c>
      <c r="I11584" s="6" t="n">
        <f aca="false">Sens!I11565</f>
        <v>148.141438942201</v>
      </c>
      <c r="J11584" s="6" t="n">
        <f aca="false">Sens!J11565</f>
        <v>157.324948637404</v>
      </c>
      <c r="K11584" s="6" t="n">
        <f aca="false">Sens!K11565</f>
        <v>167.649062677032</v>
      </c>
    </row>
    <row r="11585" customFormat="false" ht="17.15" hidden="false" customHeight="false" outlineLevel="0" collapsed="false">
      <c r="A11585" s="1" t="s">
        <v>947</v>
      </c>
      <c r="B11585" s="0" t="s">
        <v>98</v>
      </c>
      <c r="E11585" s="6" t="n">
        <f aca="false">Q!M38-Sens!E11503</f>
        <v>22.2285940229167</v>
      </c>
      <c r="F11585" s="6" t="n">
        <f aca="false">Sens!E11585*(1-1/life_nonai)+(Sens!F11592+Sens!F11593)/life_nonai</f>
        <v>24.3924470334783</v>
      </c>
      <c r="G11585" s="6" t="n">
        <f aca="false">Sens!F11585*(1-1/life_nonai)+(Sens!G11592)/life_nonai</f>
        <v>26.0234916871694</v>
      </c>
      <c r="H11585" s="6" t="n">
        <f aca="false">Sens!G11585*(1-1/life_nonai)+(Sens!H11592)/life_nonai</f>
        <v>28.0272938828615</v>
      </c>
      <c r="I11585" s="6" t="n">
        <f aca="false">Sens!H11585*(1-1/life_nonai)+(Sens!I11592)/life_nonai</f>
        <v>30.3469045257397</v>
      </c>
      <c r="J11585" s="6" t="n">
        <f aca="false">Sens!I11585*(1-1/life_nonai)+(Sens!J11592)/life_nonai</f>
        <v>32.9078053982031</v>
      </c>
      <c r="K11585" s="6" t="n">
        <f aca="false">Sens!J11585*(1-1/life_nonai)+(Sens!K11592)/life_nonai</f>
        <v>35.6263951325822</v>
      </c>
      <c r="L11585" s="11" t="s">
        <v>948</v>
      </c>
    </row>
    <row r="11586" customFormat="false" ht="17.15" hidden="false" customHeight="false" outlineLevel="0" collapsed="false">
      <c r="A11586" s="1" t="s">
        <v>949</v>
      </c>
      <c r="B11586" s="0" t="s">
        <v>98</v>
      </c>
      <c r="F11586" s="6" t="n">
        <f aca="false">Sens!$F$11593/life_nonai*(1-1/life_nonai)^(Sens!F11469-2027)</f>
        <v>0.843777689897088</v>
      </c>
      <c r="G11586" s="6" t="n">
        <f aca="false">Sens!$F$11593/life_nonai*(1-1/life_nonai)^(Sens!G11469-2027)</f>
        <v>0.759399920907379</v>
      </c>
      <c r="H11586" s="6" t="n">
        <f aca="false">Sens!$F$11593/life_nonai*(1-1/life_nonai)^(Sens!H11469-2027)</f>
        <v>0.683459928816641</v>
      </c>
      <c r="I11586" s="6" t="n">
        <f aca="false">Sens!$F$11593/life_nonai*(1-1/life_nonai)^(Sens!I11469-2027)</f>
        <v>0.615113935934977</v>
      </c>
      <c r="J11586" s="6" t="n">
        <f aca="false">Sens!$F$11593/life_nonai*(1-1/life_nonai)^(Sens!J11469-2027)</f>
        <v>0.55360254234148</v>
      </c>
      <c r="K11586" s="6" t="n">
        <f aca="false">Sens!$F$11593/life_nonai*(1-1/life_nonai)^(Sens!K11469-2027)</f>
        <v>0.498242288107332</v>
      </c>
      <c r="L11586" s="1" t="s">
        <v>950</v>
      </c>
    </row>
    <row r="11587" customFormat="false" ht="17.15" hidden="false" customHeight="false" outlineLevel="0" collapsed="false">
      <c r="A11587" s="1" t="s">
        <v>951</v>
      </c>
      <c r="B11587" s="0" t="s">
        <v>98</v>
      </c>
      <c r="E11587" s="6" t="n">
        <f aca="false">Sens!E11503+Sens!E11585</f>
        <v>38.534</v>
      </c>
      <c r="F11587" s="6" t="n">
        <f aca="false">Sens!F11503+Sens!F11585</f>
        <v>58.4423344144339</v>
      </c>
      <c r="G11587" s="6" t="n">
        <f aca="false">Sens!G11503+Sens!G11585</f>
        <v>85.1489287976805</v>
      </c>
      <c r="H11587" s="6" t="n">
        <f aca="false">Sens!H11503+Sens!H11585</f>
        <v>114.388313726173</v>
      </c>
      <c r="I11587" s="6" t="n">
        <f aca="false">Sens!I11503+Sens!I11585</f>
        <v>140.952648358132</v>
      </c>
      <c r="J11587" s="6" t="n">
        <f aca="false">Sens!J11503+Sens!J11585</f>
        <v>160.906128251046</v>
      </c>
      <c r="K11587" s="6" t="n">
        <f aca="false">Sens!K11503+Sens!K11585</f>
        <v>174.75785917689</v>
      </c>
    </row>
    <row r="11588" customFormat="false" ht="17.15" hidden="false" customHeight="false" outlineLevel="0" collapsed="false">
      <c r="A11588" s="1" t="s">
        <v>952</v>
      </c>
      <c r="B11588" s="0" t="s">
        <v>98</v>
      </c>
      <c r="F11588" s="6" t="n">
        <f aca="false">Sens!F11530*sbc_r</f>
        <v>14.7102349124428</v>
      </c>
      <c r="G11588" s="6" t="n">
        <f aca="false">Sens!G11530*sbc_r</f>
        <v>17.061233875013</v>
      </c>
      <c r="H11588" s="6" t="n">
        <f aca="false">Sens!H11530*sbc_r</f>
        <v>19.2644849659525</v>
      </c>
      <c r="I11588" s="6" t="n">
        <f aca="false">Sens!I11530*sbc_r</f>
        <v>21.5744080153289</v>
      </c>
      <c r="J11588" s="6" t="n">
        <f aca="false">Sens!J11530*sbc_r</f>
        <v>23.5256320135712</v>
      </c>
      <c r="K11588" s="6" t="n">
        <f aca="false">Sens!K11530*sbc_r</f>
        <v>25.1388528865318</v>
      </c>
    </row>
    <row r="11589" customFormat="false" ht="17.15" hidden="false" customHeight="false" outlineLevel="0" collapsed="false">
      <c r="A11589" s="1" t="s">
        <v>953</v>
      </c>
      <c r="B11589" s="0" t="s">
        <v>98</v>
      </c>
      <c r="F11589" s="6" t="n">
        <f aca="false">wc27</f>
        <v>-4.895</v>
      </c>
      <c r="G11589" s="6" t="n">
        <f aca="false">wc_f</f>
        <v>0</v>
      </c>
      <c r="H11589" s="6" t="n">
        <f aca="false">wc_f</f>
        <v>0</v>
      </c>
      <c r="I11589" s="6" t="n">
        <f aca="false">wc_f</f>
        <v>0</v>
      </c>
      <c r="J11589" s="6" t="n">
        <f aca="false">wc_f</f>
        <v>0</v>
      </c>
      <c r="K11589" s="6" t="n">
        <f aca="false">wc_f</f>
        <v>0</v>
      </c>
      <c r="L11589" s="11" t="s">
        <v>954</v>
      </c>
    </row>
    <row r="11590" customFormat="false" ht="15" hidden="false" customHeight="false" outlineLevel="0" collapsed="false">
      <c r="A11590" s="1" t="s">
        <v>767</v>
      </c>
      <c r="B11590" s="0" t="s">
        <v>98</v>
      </c>
      <c r="E11590" s="6" t="n">
        <f aca="false">Q!M35</f>
        <v>182.935</v>
      </c>
      <c r="F11590" s="6" t="n">
        <f aca="false">Sens!F11584+Sens!F11587+Sens!F11588+Sens!F11589</f>
        <v>199.637621343598</v>
      </c>
      <c r="G11590" s="6" t="n">
        <f aca="false">Sens!G11584+Sens!G11587+Sens!G11588+Sens!G11589</f>
        <v>240.441507402686</v>
      </c>
      <c r="H11590" s="6" t="n">
        <f aca="false">Sens!H11584+Sens!H11587+Sens!H11588+Sens!H11589</f>
        <v>273.731749033229</v>
      </c>
      <c r="I11590" s="6" t="n">
        <f aca="false">Sens!I11584+Sens!I11587+Sens!I11588+Sens!I11589</f>
        <v>310.668495315662</v>
      </c>
      <c r="J11590" s="6" t="n">
        <f aca="false">Sens!J11584+Sens!J11587+Sens!J11588+Sens!J11589</f>
        <v>341.756708902022</v>
      </c>
      <c r="K11590" s="6" t="n">
        <f aca="false">Sens!K11584+Sens!K11587+Sens!K11588+Sens!K11589</f>
        <v>367.545774740454</v>
      </c>
    </row>
    <row r="11591" customFormat="false" ht="17.15" hidden="false" customHeight="false" outlineLevel="0" collapsed="false">
      <c r="A11591" s="0" t="s">
        <v>955</v>
      </c>
      <c r="B11591" s="0" t="s">
        <v>98</v>
      </c>
      <c r="F11591" s="6" t="n">
        <f aca="false">Sens!F11500</f>
        <v>160.332875871467</v>
      </c>
      <c r="G11591" s="6" t="n">
        <f aca="false">Sens!G11500</f>
        <v>183.5741804832</v>
      </c>
      <c r="H11591" s="6" t="n">
        <f aca="false">Sens!H11500</f>
        <v>188.0802859104</v>
      </c>
      <c r="I11591" s="6" t="n">
        <f aca="false">Sens!I11500</f>
        <v>163.706669154245</v>
      </c>
      <c r="J11591" s="6" t="n">
        <f aca="false">Sens!J11500</f>
        <v>127.181436594242</v>
      </c>
      <c r="K11591" s="6" t="n">
        <f aca="false">Sens!K11500</f>
        <v>121.407415303591</v>
      </c>
    </row>
    <row r="11592" customFormat="false" ht="17.15" hidden="false" customHeight="false" outlineLevel="0" collapsed="false">
      <c r="A11592" s="1" t="s">
        <v>956</v>
      </c>
      <c r="B11592" s="0" t="s">
        <v>98</v>
      </c>
      <c r="E11592" s="6" t="n">
        <f aca="false">Sens!E11508*cx_azo+Sens!E11515*cx_m365+Sens!E11516*cx_lic+(Sens!E11518+Sens!E11520)*cx_ind+Sens!E11523*cx_srch+(Sens!E11525+Sens!E11527)*cx_dev</f>
        <v>30.1846587067718</v>
      </c>
      <c r="F11592" s="6" t="n">
        <f aca="false">Sens!F11508*cx_azo+Sens!F11515*cx_m365+Sens!F11516*cx_lic+(Sens!F11518+Sens!F11520)*cx_ind+Sens!F11523*cx_srch+(Sens!F11525+Sens!F11527)*cx_dev</f>
        <v>35.4293472295625</v>
      </c>
      <c r="G11592" s="6" t="n">
        <f aca="false">Sens!G11508*cx_azo+Sens!G11515*cx_m365+Sens!G11516*cx_lic+(Sens!G11518+Sens!G11520)*cx_ind+Sens!G11523*cx_srch+(Sens!G11525+Sens!G11527)*cx_dev</f>
        <v>40.7028935703892</v>
      </c>
      <c r="H11592" s="6" t="n">
        <f aca="false">Sens!H11508*cx_azo+Sens!H11515*cx_m365+Sens!H11516*cx_lic+(Sens!H11518+Sens!H11520)*cx_ind+Sens!H11523*cx_srch+(Sens!H11525+Sens!H11527)*cx_dev</f>
        <v>46.0615136440897</v>
      </c>
      <c r="I11592" s="6" t="n">
        <f aca="false">Sens!I11508*cx_azo+Sens!I11515*cx_m365+Sens!I11516*cx_lic+(Sens!I11518+Sens!I11520)*cx_ind+Sens!I11523*cx_srch+(Sens!I11525+Sens!I11527)*cx_dev</f>
        <v>51.2234003116439</v>
      </c>
      <c r="J11592" s="6" t="n">
        <f aca="false">Sens!J11508*cx_azo+Sens!J11515*cx_m365+Sens!J11516*cx_lic+(Sens!J11518+Sens!J11520)*cx_ind+Sens!J11523*cx_srch+(Sens!J11525+Sens!J11527)*cx_dev</f>
        <v>55.9559132503738</v>
      </c>
      <c r="K11592" s="6" t="n">
        <f aca="false">Sens!K11508*cx_azo+Sens!K11515*cx_m365+Sens!K11516*cx_lic+(Sens!K11518+Sens!K11520)*cx_ind+Sens!K11523*cx_srch+(Sens!K11525+Sens!K11527)*cx_dev</f>
        <v>60.093702741994</v>
      </c>
    </row>
    <row r="11593" customFormat="false" ht="17.15" hidden="false" customHeight="false" outlineLevel="0" collapsed="false">
      <c r="A11593" s="0" t="s">
        <v>957</v>
      </c>
      <c r="B11593" s="0" t="s">
        <v>98</v>
      </c>
      <c r="F11593" s="6" t="n">
        <f aca="false">Sens!F11498</f>
        <v>8.43777689897088</v>
      </c>
      <c r="L11593" s="1" t="s">
        <v>958</v>
      </c>
    </row>
    <row r="11594" customFormat="false" ht="17.15" hidden="false" customHeight="false" outlineLevel="0" collapsed="false">
      <c r="A11594" s="1" t="s">
        <v>959</v>
      </c>
      <c r="B11594" s="0" t="s">
        <v>98</v>
      </c>
      <c r="E11594" s="6" t="n">
        <f aca="false">Q!M42</f>
        <v>145.3</v>
      </c>
      <c r="F11594" s="6" t="n">
        <f aca="false">Sens!F11591+Sens!F11592+Sens!F11593</f>
        <v>204.2</v>
      </c>
      <c r="G11594" s="6" t="n">
        <f aca="false">Sens!G11591+Sens!G11592</f>
        <v>224.277074053589</v>
      </c>
      <c r="H11594" s="6" t="n">
        <f aca="false">Sens!H11591+Sens!H11592</f>
        <v>234.14179955449</v>
      </c>
      <c r="I11594" s="6" t="n">
        <f aca="false">Sens!I11591+Sens!I11592</f>
        <v>214.930069465889</v>
      </c>
      <c r="J11594" s="6" t="n">
        <f aca="false">Sens!J11591+Sens!J11592</f>
        <v>183.137349844616</v>
      </c>
      <c r="K11594" s="6" t="n">
        <f aca="false">Sens!K11591+Sens!K11592</f>
        <v>181.501118045585</v>
      </c>
      <c r="L11594" s="1" t="s">
        <v>960</v>
      </c>
    </row>
    <row r="11595" customFormat="false" ht="15" hidden="false" customHeight="false" outlineLevel="0" collapsed="false">
      <c r="A11595" s="1" t="s">
        <v>961</v>
      </c>
      <c r="B11595" s="0" t="s">
        <v>98</v>
      </c>
      <c r="E11595" s="6" t="n">
        <f aca="false">fl_liab</f>
        <v>66.594</v>
      </c>
      <c r="F11595" s="6" t="n">
        <f aca="false">Sens!E11595-Sens!F11596</f>
        <v>62.46973</v>
      </c>
      <c r="G11595" s="6" t="n">
        <f aca="false">Sens!F11595-Sens!G11596</f>
        <v>57.98686785</v>
      </c>
      <c r="H11595" s="6" t="n">
        <f aca="false">Sens!G11595-Sens!H11596</f>
        <v>53.92827690325</v>
      </c>
      <c r="I11595" s="6" t="n">
        <f aca="false">Sens!H11595-Sens!I11596</f>
        <v>49.7850493638962</v>
      </c>
      <c r="J11595" s="6" t="n">
        <f aca="false">Sens!I11595-Sens!J11596</f>
        <v>45.4823765852716</v>
      </c>
      <c r="K11595" s="6" t="n">
        <f aca="false">Sens!J11595-Sens!K11596</f>
        <v>40.9860835316088</v>
      </c>
    </row>
    <row r="11596" customFormat="false" ht="15" hidden="false" customHeight="false" outlineLevel="0" collapsed="false">
      <c r="A11596" s="1" t="s">
        <v>962</v>
      </c>
      <c r="B11596" s="0" t="s">
        <v>98</v>
      </c>
      <c r="F11596" s="6" t="n">
        <f aca="false">fl_pay_27-Sens!E11595*fl_rate</f>
        <v>4.12427</v>
      </c>
      <c r="G11596" s="6" t="n">
        <f aca="false">fl_pay_28-Sens!F11595*fl_rate</f>
        <v>4.48286215</v>
      </c>
      <c r="H11596" s="6" t="n">
        <f aca="false">fl_pay_29-Sens!G11595*fl_rate</f>
        <v>4.05859094675</v>
      </c>
      <c r="I11596" s="6" t="n">
        <f aca="false">fl_pay_30-Sens!H11595*fl_rate</f>
        <v>4.14322753935375</v>
      </c>
      <c r="J11596" s="6" t="n">
        <f aca="false">fl_pay_31-Sens!I11595*fl_rate</f>
        <v>4.30267277862467</v>
      </c>
      <c r="K11596" s="6" t="n">
        <f aca="false">fl_pay_32-Sens!J11595*fl_rate</f>
        <v>4.49629305366278</v>
      </c>
    </row>
    <row r="11597" customFormat="false" ht="17.15" hidden="false" customHeight="false" outlineLevel="0" collapsed="false">
      <c r="A11597" s="1" t="s">
        <v>963</v>
      </c>
      <c r="B11597" s="0" t="s">
        <v>98</v>
      </c>
      <c r="E11597" s="6" t="n">
        <f aca="false">Q!M35-Q!M36-Q!M43</f>
        <v>63.886</v>
      </c>
      <c r="F11597" s="6" t="n">
        <f aca="false">Sens!F11590-Sens!F11594-Sens!F11596</f>
        <v>-8.68664865640213</v>
      </c>
      <c r="G11597" s="6" t="n">
        <f aca="false">Sens!G11590-Sens!G11594-Sens!G11596</f>
        <v>11.6815711990964</v>
      </c>
      <c r="H11597" s="6" t="n">
        <f aca="false">Sens!H11590-Sens!H11594-Sens!H11596</f>
        <v>35.5313585319899</v>
      </c>
      <c r="I11597" s="6" t="n">
        <f aca="false">Sens!I11590-Sens!I11594-Sens!I11596</f>
        <v>91.5951983104193</v>
      </c>
      <c r="J11597" s="6" t="n">
        <f aca="false">Sens!J11590-Sens!J11594-Sens!J11596</f>
        <v>154.316686278781</v>
      </c>
      <c r="K11597" s="6" t="n">
        <f aca="false">Sens!K11590-Sens!K11594-Sens!K11596</f>
        <v>181.548363641207</v>
      </c>
      <c r="L11597" s="11" t="s">
        <v>964</v>
      </c>
    </row>
    <row r="11598" customFormat="false" ht="15" hidden="false" customHeight="false" outlineLevel="0" collapsed="false">
      <c r="A11598" s="1" t="s">
        <v>965</v>
      </c>
      <c r="B11598" s="0" t="s">
        <v>75</v>
      </c>
      <c r="F11598" s="8" t="n">
        <f aca="false">dps_27</f>
        <v>3.85</v>
      </c>
      <c r="G11598" s="8" t="n">
        <f aca="false">Sens!F11598*(1+dps_g)</f>
        <v>4.158</v>
      </c>
      <c r="H11598" s="8" t="n">
        <f aca="false">Sens!G11598*(1+dps_g)</f>
        <v>4.49064</v>
      </c>
      <c r="I11598" s="8" t="n">
        <f aca="false">Sens!H11598*(1+dps_g)</f>
        <v>4.8498912</v>
      </c>
      <c r="J11598" s="8" t="n">
        <f aca="false">Sens!I11598*(1+dps_g)</f>
        <v>5.237882496</v>
      </c>
      <c r="K11598" s="8" t="n">
        <f aca="false">Sens!J11598*(1+dps_g)</f>
        <v>5.65691309568</v>
      </c>
    </row>
    <row r="11599" customFormat="false" ht="17.15" hidden="false" customHeight="false" outlineLevel="0" collapsed="false">
      <c r="A11599" s="1" t="s">
        <v>966</v>
      </c>
      <c r="B11599" s="0" t="s">
        <v>98</v>
      </c>
      <c r="E11599" s="6" t="n">
        <f aca="false">Q!M41</f>
        <v>26.445</v>
      </c>
      <c r="F11599" s="6" t="n">
        <f aca="false">Sens!F11598*Sens!E11608</f>
        <v>28.59395</v>
      </c>
      <c r="G11599" s="6" t="n">
        <f aca="false">Sens!G11598*Sens!F11608</f>
        <v>31.068576</v>
      </c>
      <c r="H11599" s="6" t="n">
        <f aca="false">Sens!H11598*Sens!G11608</f>
        <v>33.75614088</v>
      </c>
      <c r="I11599" s="6" t="n">
        <f aca="false">Sens!I11598*Sens!H11608</f>
        <v>36.6748772544</v>
      </c>
      <c r="J11599" s="6" t="n">
        <f aca="false">Sens!J11598*Sens!I11608</f>
        <v>39.6772662830715</v>
      </c>
      <c r="K11599" s="6" t="n">
        <f aca="false">Sens!K11598*Sens!J11608</f>
        <v>42.9387028110222</v>
      </c>
      <c r="L11599" s="1" t="s">
        <v>967</v>
      </c>
    </row>
    <row r="11600" customFormat="false" ht="15" hidden="false" customHeight="false" outlineLevel="0" collapsed="false">
      <c r="A11600" s="1" t="s">
        <v>968</v>
      </c>
      <c r="B11600" s="0" t="s">
        <v>98</v>
      </c>
      <c r="E11600" s="6" t="n">
        <f aca="false">Sens!E11597-Sens!E11599</f>
        <v>37.441</v>
      </c>
      <c r="F11600" s="6" t="n">
        <f aca="false">Sens!F11597-Sens!F11599</f>
        <v>-37.2805986564021</v>
      </c>
      <c r="G11600" s="6" t="n">
        <f aca="false">Sens!G11597-Sens!G11599</f>
        <v>-19.3870048009036</v>
      </c>
      <c r="H11600" s="6" t="n">
        <f aca="false">Sens!H11597-Sens!H11599</f>
        <v>1.77521765198986</v>
      </c>
      <c r="I11600" s="6" t="n">
        <f aca="false">Sens!I11597-Sens!I11599</f>
        <v>54.9203210560193</v>
      </c>
      <c r="J11600" s="6" t="n">
        <f aca="false">Sens!J11597-Sens!J11599</f>
        <v>114.63941999571</v>
      </c>
      <c r="K11600" s="6" t="n">
        <f aca="false">Sens!K11597-Sens!K11599</f>
        <v>138.609660830185</v>
      </c>
    </row>
    <row r="11601" customFormat="false" ht="15" hidden="false" customHeight="false" outlineLevel="0" collapsed="false">
      <c r="A11601" s="1" t="s">
        <v>969</v>
      </c>
      <c r="B11601" s="0" t="s">
        <v>98</v>
      </c>
      <c r="F11601" s="6" t="n">
        <f aca="false">debt_mat_27</f>
        <v>9.25</v>
      </c>
      <c r="G11601" s="6" t="n">
        <f aca="false">debt_mat_28</f>
        <v>0</v>
      </c>
      <c r="H11601" s="6" t="n">
        <f aca="false">debt_mat_29</f>
        <v>2.001</v>
      </c>
      <c r="I11601" s="6" t="n">
        <f aca="false">debt_mat_30</f>
        <v>0</v>
      </c>
      <c r="J11601" s="6" t="n">
        <f aca="false">debt_mat_31</f>
        <v>0.5</v>
      </c>
      <c r="K11601" s="6" t="n">
        <f aca="false">debt_mat_32</f>
        <v>0</v>
      </c>
    </row>
    <row r="11602" customFormat="false" ht="15" hidden="false" customHeight="false" outlineLevel="0" collapsed="false">
      <c r="A11602" s="1" t="s">
        <v>970</v>
      </c>
      <c r="B11602" s="0" t="s">
        <v>98</v>
      </c>
      <c r="E11602" s="6" t="n">
        <f aca="false">Q!M40</f>
        <v>22.271</v>
      </c>
      <c r="F11602" s="6" t="n">
        <f aca="false">MAX(0,MIN(bb_target,Sens!E11604+Sens!F11600-Sens!F11601-min_cash))</f>
        <v>0</v>
      </c>
      <c r="G11602" s="6" t="n">
        <f aca="false">MAX(0,MIN(bb_target,Sens!F11604+Sens!G11600-Sens!G11601-min_cash))</f>
        <v>0</v>
      </c>
      <c r="H11602" s="6" t="n">
        <f aca="false">MAX(0,MIN(bb_target,Sens!G11604+Sens!H11600-Sens!H11601-min_cash))</f>
        <v>0</v>
      </c>
      <c r="I11602" s="6" t="n">
        <f aca="false">MAX(0,MIN(bb_target,Sens!H11604+Sens!I11600-Sens!I11601-min_cash))</f>
        <v>22.271</v>
      </c>
      <c r="J11602" s="6" t="n">
        <f aca="false">MAX(0,MIN(bb_target,Sens!I11604+Sens!J11600-Sens!J11601-min_cash))</f>
        <v>22.271</v>
      </c>
      <c r="K11602" s="6" t="n">
        <f aca="false">MAX(0,MIN(bb_target,Sens!J11604+Sens!K11600-Sens!K11601-min_cash))</f>
        <v>22.271</v>
      </c>
    </row>
    <row r="11603" customFormat="false" ht="15" hidden="false" customHeight="false" outlineLevel="0" collapsed="false">
      <c r="A11603" s="1" t="s">
        <v>971</v>
      </c>
      <c r="B11603" s="0" t="s">
        <v>98</v>
      </c>
      <c r="F11603" s="6" t="n">
        <f aca="false">MAX(0,min_cash-(Sens!E11604+Sens!F11600-Sens!F11601-Sens!F11602))</f>
        <v>19.6875986564021</v>
      </c>
      <c r="G11603" s="6" t="n">
        <f aca="false">MAX(0,min_cash-(Sens!F11604+Sens!G11600-Sens!G11601-Sens!G11602))</f>
        <v>19.3870048009036</v>
      </c>
      <c r="H11603" s="6" t="n">
        <f aca="false">MAX(0,min_cash-(Sens!G11604+Sens!H11600-Sens!H11601-Sens!H11602))</f>
        <v>0.225782348010135</v>
      </c>
      <c r="I11603" s="6" t="n">
        <f aca="false">MAX(0,min_cash-(Sens!H11604+Sens!I11600-Sens!I11601-Sens!I11602))</f>
        <v>0</v>
      </c>
      <c r="J11603" s="6" t="n">
        <f aca="false">MAX(0,min_cash-(Sens!I11604+Sens!J11600-Sens!J11601-Sens!J11602))</f>
        <v>0</v>
      </c>
      <c r="K11603" s="6" t="n">
        <f aca="false">MAX(0,min_cash-(Sens!J11604+Sens!K11600-Sens!K11601-Sens!K11602))</f>
        <v>0</v>
      </c>
    </row>
    <row r="11604" customFormat="false" ht="15" hidden="false" customHeight="false" outlineLevel="0" collapsed="false">
      <c r="A11604" s="1" t="s">
        <v>972</v>
      </c>
      <c r="B11604" s="0" t="s">
        <v>98</v>
      </c>
      <c r="E11604" s="6" t="n">
        <f aca="false">cash_open</f>
        <v>76.843</v>
      </c>
      <c r="F11604" s="6" t="n">
        <f aca="false">Sens!E11604+Sens!F11600-Sens!F11601-Sens!F11602+Sens!F11603</f>
        <v>50</v>
      </c>
      <c r="G11604" s="6" t="n">
        <f aca="false">Sens!F11604+Sens!G11600-Sens!G11601-Sens!G11602+Sens!G11603</f>
        <v>50</v>
      </c>
      <c r="H11604" s="6" t="n">
        <f aca="false">Sens!G11604+Sens!H11600-Sens!H11601-Sens!H11602+Sens!H11603</f>
        <v>50</v>
      </c>
      <c r="I11604" s="6" t="n">
        <f aca="false">Sens!H11604+Sens!I11600-Sens!I11601-Sens!I11602+Sens!I11603</f>
        <v>82.6493210560193</v>
      </c>
      <c r="J11604" s="6" t="n">
        <f aca="false">Sens!I11604+Sens!J11600-Sens!J11601-Sens!J11602+Sens!J11603</f>
        <v>174.517741051729</v>
      </c>
      <c r="K11604" s="6" t="n">
        <f aca="false">Sens!J11604+Sens!K11600-Sens!K11601-Sens!K11602+Sens!K11603</f>
        <v>290.856401881914</v>
      </c>
    </row>
    <row r="11605" customFormat="false" ht="15" hidden="false" customHeight="false" outlineLevel="0" collapsed="false">
      <c r="A11605" s="1" t="s">
        <v>973</v>
      </c>
      <c r="B11605" s="0" t="s">
        <v>98</v>
      </c>
      <c r="E11605" s="6" t="n">
        <f aca="false">debt_face</f>
        <v>46.136</v>
      </c>
      <c r="F11605" s="6" t="n">
        <f aca="false">Sens!E11605-Sens!F11601+Sens!F11603</f>
        <v>56.5735986564021</v>
      </c>
      <c r="G11605" s="6" t="n">
        <f aca="false">Sens!F11605-Sens!G11601+Sens!G11603</f>
        <v>75.9606034573058</v>
      </c>
      <c r="H11605" s="6" t="n">
        <f aca="false">Sens!G11605-Sens!H11601+Sens!H11603</f>
        <v>74.1853858053159</v>
      </c>
      <c r="I11605" s="6" t="n">
        <f aca="false">Sens!H11605-Sens!I11601+Sens!I11603</f>
        <v>74.1853858053159</v>
      </c>
      <c r="J11605" s="6" t="n">
        <f aca="false">Sens!I11605-Sens!J11601+Sens!J11603</f>
        <v>73.6853858053159</v>
      </c>
      <c r="K11605" s="6" t="n">
        <f aca="false">Sens!J11605-Sens!K11601+Sens!K11603</f>
        <v>73.6853858053159</v>
      </c>
    </row>
    <row r="11606" customFormat="false" ht="15" hidden="false" customHeight="false" outlineLevel="0" collapsed="false">
      <c r="A11606" s="1" t="s">
        <v>974</v>
      </c>
      <c r="B11606" s="0" t="s">
        <v>98</v>
      </c>
      <c r="E11606" s="6" t="n">
        <f aca="false">Sens!E11604-Sens!E11605</f>
        <v>30.707</v>
      </c>
      <c r="F11606" s="6" t="n">
        <f aca="false">Sens!F11604-Sens!F11605</f>
        <v>-6.57359865640213</v>
      </c>
      <c r="G11606" s="6" t="n">
        <f aca="false">Sens!G11604-Sens!G11605</f>
        <v>-25.9606034573058</v>
      </c>
      <c r="H11606" s="6" t="n">
        <f aca="false">Sens!H11604-Sens!H11605</f>
        <v>-24.1853858053159</v>
      </c>
      <c r="I11606" s="6" t="n">
        <f aca="false">Sens!I11604-Sens!I11605</f>
        <v>8.46393525070342</v>
      </c>
      <c r="J11606" s="6" t="n">
        <f aca="false">Sens!J11604-Sens!J11605</f>
        <v>100.832355246413</v>
      </c>
      <c r="K11606" s="6" t="n">
        <f aca="false">Sens!K11604-Sens!K11605</f>
        <v>217.171016076598</v>
      </c>
    </row>
    <row r="11607" customFormat="false" ht="15" hidden="false" customHeight="false" outlineLevel="0" collapsed="false">
      <c r="A11607" s="1" t="s">
        <v>975</v>
      </c>
      <c r="B11607" s="0" t="s">
        <v>75</v>
      </c>
      <c r="F11607" s="29" t="n">
        <f aca="false">px*(1+bb_g)^(Sens!F11469-base_fy-mid_yr)</f>
        <v>553.494156066711</v>
      </c>
      <c r="G11607" s="29" t="n">
        <f aca="false">px*(1+bb_g)^(Sens!G11469-base_fy-mid_yr)</f>
        <v>597.773688552047</v>
      </c>
      <c r="H11607" s="29" t="n">
        <f aca="false">px*(1+bb_g)^(Sens!H11469-base_fy-mid_yr)</f>
        <v>645.595583636211</v>
      </c>
      <c r="I11607" s="29" t="n">
        <f aca="false">px*(1+bb_g)^(Sens!I11469-base_fy-mid_yr)</f>
        <v>697.243230327108</v>
      </c>
      <c r="J11607" s="29" t="n">
        <f aca="false">px*(1+bb_g)^(Sens!J11469-base_fy-mid_yr)</f>
        <v>753.022688753277</v>
      </c>
      <c r="K11607" s="29" t="n">
        <f aca="false">px*(1+bb_g)^(Sens!K11469-base_fy-mid_yr)</f>
        <v>813.264503853539</v>
      </c>
    </row>
    <row r="11608" customFormat="false" ht="15" hidden="false" customHeight="false" outlineLevel="0" collapsed="false">
      <c r="A11608" s="1" t="s">
        <v>976</v>
      </c>
      <c r="B11608" s="1" t="s">
        <v>81</v>
      </c>
      <c r="E11608" s="14" t="n">
        <f aca="false">sh_out26</f>
        <v>7.427</v>
      </c>
      <c r="F11608" s="14" t="n">
        <f aca="false">Sens!E11608+sh_iss-Sens!F11602/Sens!F11607</f>
        <v>7.472</v>
      </c>
      <c r="G11608" s="14" t="n">
        <f aca="false">Sens!F11608+sh_iss-Sens!G11602/Sens!G11607</f>
        <v>7.517</v>
      </c>
      <c r="H11608" s="14" t="n">
        <f aca="false">Sens!G11608+sh_iss-Sens!H11602/Sens!H11607</f>
        <v>7.562</v>
      </c>
      <c r="I11608" s="14" t="n">
        <f aca="false">Sens!H11608+sh_iss-Sens!I11602/Sens!I11607</f>
        <v>7.57505849231472</v>
      </c>
      <c r="J11608" s="14" t="n">
        <f aca="false">Sens!I11608+sh_iss-Sens!J11602/Sens!J11607</f>
        <v>7.59048302223576</v>
      </c>
      <c r="K11608" s="14" t="n">
        <f aca="false">Sens!J11608+sh_iss-Sens!K11602/Sens!K11607</f>
        <v>7.60809832771821</v>
      </c>
    </row>
    <row r="11609" customFormat="false" ht="15" hidden="false" customHeight="false" outlineLevel="0" collapsed="false">
      <c r="A11609" s="1" t="s">
        <v>977</v>
      </c>
      <c r="B11609" s="1" t="s">
        <v>81</v>
      </c>
      <c r="E11609" s="14" t="n">
        <f aca="false">sh_dil26</f>
        <v>7.453</v>
      </c>
      <c r="F11609" s="14" t="n">
        <f aca="false">(Sens!E11608+Sens!F11608)/2+dil_gap</f>
        <v>7.4735</v>
      </c>
      <c r="G11609" s="14" t="n">
        <f aca="false">(Sens!F11608+Sens!G11608)/2+dil_gap</f>
        <v>7.5185</v>
      </c>
      <c r="H11609" s="14" t="n">
        <f aca="false">(Sens!G11608+Sens!H11608)/2+dil_gap</f>
        <v>7.5635</v>
      </c>
      <c r="I11609" s="14" t="n">
        <f aca="false">(Sens!H11608+Sens!I11608)/2+dil_gap</f>
        <v>7.59252924615736</v>
      </c>
      <c r="J11609" s="14" t="n">
        <f aca="false">(Sens!I11608+Sens!J11608)/2+dil_gap</f>
        <v>7.60677075727524</v>
      </c>
      <c r="K11609" s="14" t="n">
        <f aca="false">(Sens!J11608+Sens!K11608)/2+dil_gap</f>
        <v>7.62329067497699</v>
      </c>
    </row>
    <row r="11610" customFormat="false" ht="17.15" hidden="false" customHeight="false" outlineLevel="0" collapsed="false">
      <c r="A11610" s="1" t="s">
        <v>978</v>
      </c>
      <c r="B11610" s="0" t="s">
        <v>98</v>
      </c>
      <c r="C11610" s="6" t="n">
        <f aca="false">SUM(Sens!F11600:J11600)</f>
        <v>114.667355246413</v>
      </c>
    </row>
    <row r="11611" customFormat="false" ht="15" hidden="false" customHeight="false" outlineLevel="0" collapsed="false">
      <c r="A11611" s="23" t="s">
        <v>945</v>
      </c>
      <c r="B11611" s="30" t="s">
        <v>98</v>
      </c>
      <c r="C11611" s="24" t="n">
        <f aca="false">Sens!$C$11610-(Sens!F11600+Sens!G11600+Sens!H11600+Sens!I11600+Sens!J11600)</f>
        <v>0</v>
      </c>
      <c r="D11611" s="30"/>
      <c r="E11611" s="30"/>
      <c r="F11611" s="30"/>
      <c r="G11611" s="30"/>
      <c r="H11611" s="30"/>
      <c r="I11611" s="30"/>
      <c r="J11611" s="30"/>
      <c r="K11611" s="30"/>
    </row>
    <row r="11612" customFormat="false" ht="17.15" hidden="false" customHeight="false" outlineLevel="0" collapsed="false">
      <c r="A11612" s="1" t="s">
        <v>939</v>
      </c>
      <c r="B11612" s="1" t="s">
        <v>979</v>
      </c>
      <c r="C11612" s="32" t="str">
        <f aca="false">IF(SUM(Sens!F11603:J11603)&gt;0.05,"需要舉債 "&amp;TEXT(SUM(Sens!F11603:J11603),"0.0")&amp;" 十億美元","不需舉債")&amp;"；"&amp;IF(SUM(Sens!F11602:J11602)&lt;COUNT(Sens!F11602:J11602)*bb_target-0.05,"回購較每年 "&amp;TEXT(bb_target,"0.0")&amp;" 的目標少 "&amp;TEXT(COUNT(Sens!F11602:J11602)*bb_target-SUM(Sens!F11602:J11602),"0.0")&amp;" 十億美元（"&amp;TEXT(COUNTIF(Sens!F11602:J11602,"&lt;"&amp;(bb_target-0.05)),"0")&amp;" 年減少）","回購不減")</f>
        <v>需要舉債 39.3 十億美元；回購較每年 22.3 的目標少 66.8 十億美元（3 年減少）</v>
      </c>
    </row>
    <row r="11613" customFormat="false" ht="17.15" hidden="false" customHeight="false" outlineLevel="0" collapsed="false">
      <c r="A11613" s="3" t="s">
        <v>1561</v>
      </c>
    </row>
    <row r="11614" customFormat="false" ht="15" hidden="false" customHeight="false" outlineLevel="0" collapsed="false">
      <c r="A11614" s="4" t="s">
        <v>43</v>
      </c>
      <c r="B11614" s="4" t="s">
        <v>65</v>
      </c>
      <c r="C11614" s="20" t="s">
        <v>799</v>
      </c>
      <c r="D11614" s="20" t="s">
        <v>800</v>
      </c>
      <c r="E11614" s="20" t="s">
        <v>801</v>
      </c>
      <c r="F11614" s="20" t="s">
        <v>802</v>
      </c>
      <c r="G11614" s="20" t="s">
        <v>803</v>
      </c>
      <c r="H11614" s="20" t="s">
        <v>804</v>
      </c>
      <c r="I11614" s="20" t="s">
        <v>805</v>
      </c>
      <c r="J11614" s="20" t="s">
        <v>806</v>
      </c>
      <c r="K11614" s="20" t="s">
        <v>807</v>
      </c>
      <c r="L11614" s="4" t="s">
        <v>47</v>
      </c>
    </row>
    <row r="11615" customFormat="false" ht="15" hidden="false" customHeight="false" outlineLevel="0" collapsed="false">
      <c r="A11615" s="1" t="s">
        <v>1057</v>
      </c>
      <c r="B11615" s="1" t="s">
        <v>235</v>
      </c>
      <c r="F11615" s="36" t="n">
        <f aca="false">Sens!F11469-base_fy-mid_yr</f>
        <v>0.5</v>
      </c>
      <c r="G11615" s="36" t="n">
        <f aca="false">Sens!G11469-base_fy-mid_yr</f>
        <v>1.5</v>
      </c>
      <c r="H11615" s="36" t="n">
        <f aca="false">Sens!H11469-base_fy-mid_yr</f>
        <v>2.5</v>
      </c>
      <c r="I11615" s="36" t="n">
        <f aca="false">Sens!I11469-base_fy-mid_yr</f>
        <v>3.5</v>
      </c>
      <c r="J11615" s="36" t="n">
        <f aca="false">Sens!J11469-base_fy-mid_yr</f>
        <v>4.5</v>
      </c>
      <c r="K11615" s="36" t="n">
        <f aca="false">Sens!K11469-base_fy-mid_yr</f>
        <v>5.5</v>
      </c>
    </row>
    <row r="11616" customFormat="false" ht="15" hidden="false" customHeight="false" outlineLevel="0" collapsed="false">
      <c r="A11616" s="1" t="s">
        <v>1058</v>
      </c>
      <c r="B11616" s="0" t="s">
        <v>185</v>
      </c>
      <c r="F11616" s="14" t="n">
        <f aca="false">1/(1+wacc)^Sens!F11615</f>
        <v>0.952193373608246</v>
      </c>
      <c r="G11616" s="14" t="n">
        <f aca="false">1/(1+wacc)^Sens!G11615</f>
        <v>0.863327280626589</v>
      </c>
      <c r="H11616" s="14" t="n">
        <f aca="false">1/(1+wacc)^Sens!H11615</f>
        <v>0.782754862754115</v>
      </c>
      <c r="I11616" s="14" t="n">
        <f aca="false">1/(1+wacc)^Sens!I11615</f>
        <v>0.709702089711011</v>
      </c>
      <c r="J11616" s="14" t="n">
        <f aca="false">1/(1+wacc)^Sens!J11615</f>
        <v>0.643467169744551</v>
      </c>
      <c r="K11616" s="14" t="n">
        <f aca="false">1/(1+wacc)^Sens!K11615</f>
        <v>0.583413807767797</v>
      </c>
    </row>
    <row r="11617" customFormat="false" ht="17.15" hidden="false" customHeight="false" outlineLevel="0" collapsed="false">
      <c r="A11617" s="1" t="s">
        <v>1059</v>
      </c>
      <c r="B11617" s="0" t="s">
        <v>98</v>
      </c>
      <c r="F11617" s="6" t="n">
        <f aca="false">Sens!F11590-Sens!F11588-Sens!F11594+Sens!F11573*(1-tax_f)</f>
        <v>-11.0643283686267</v>
      </c>
      <c r="G11617" s="6" t="n">
        <f aca="false">Sens!G11590-Sens!G11588-Sens!G11594+Sens!G11573*(1-tax_f)</f>
        <v>20.4383502258078</v>
      </c>
      <c r="H11617" s="6" t="n">
        <f aca="false">Sens!H11590-Sens!H11588-Sens!H11594+Sens!H11573*(1-tax_f)</f>
        <v>56.0146639764354</v>
      </c>
      <c r="I11617" s="6" t="n">
        <f aca="false">Sens!I11590-Sens!I11588-Sens!I11594+Sens!I11573*(1-tax_f)</f>
        <v>122.782299827544</v>
      </c>
      <c r="J11617" s="6" t="n">
        <f aca="false">Sens!J11590-Sens!J11588-Sens!J11594+Sens!J11573*(1-tax_f)</f>
        <v>192.836777010793</v>
      </c>
      <c r="K11617" s="6" t="n">
        <f aca="false">Sens!K11590-Sens!K11588-Sens!K11594+Sens!K11573*(1-tax_f)</f>
        <v>224.192941589999</v>
      </c>
      <c r="L11617" s="1" t="s">
        <v>1060</v>
      </c>
    </row>
    <row r="11618" customFormat="false" ht="15" hidden="false" customHeight="false" outlineLevel="0" collapsed="false">
      <c r="A11618" s="1" t="s">
        <v>1061</v>
      </c>
      <c r="B11618" s="0" t="s">
        <v>98</v>
      </c>
      <c r="F11618" s="6" t="n">
        <f aca="false">Sens!F11617*Sens!F11616</f>
        <v>-10.5353801560321</v>
      </c>
      <c r="G11618" s="6" t="n">
        <f aca="false">Sens!G11617*Sens!G11616</f>
        <v>17.6449853209405</v>
      </c>
      <c r="H11618" s="6" t="n">
        <f aca="false">Sens!H11617*Sens!H11616</f>
        <v>43.8457506130926</v>
      </c>
      <c r="I11618" s="6" t="n">
        <f aca="false">Sens!I11617*Sens!I11616</f>
        <v>87.1388547671317</v>
      </c>
      <c r="J11618" s="6" t="n">
        <f aca="false">Sens!J11617*Sens!J11616</f>
        <v>124.084135125796</v>
      </c>
      <c r="K11618" s="6" t="n">
        <f aca="false">Sens!K11617*Sens!K11616</f>
        <v>130.797257727685</v>
      </c>
    </row>
    <row r="11619" customFormat="false" ht="17.15" hidden="false" customHeight="false" outlineLevel="0" collapsed="false">
      <c r="A11619" s="1" t="s">
        <v>1062</v>
      </c>
      <c r="B11619" s="0" t="s">
        <v>98</v>
      </c>
      <c r="C11619" s="6" t="n">
        <f aca="false">SUM(Sens!F11618:K11618)</f>
        <v>392.975603398613</v>
      </c>
    </row>
    <row r="11620" customFormat="false" ht="17.15" hidden="false" customHeight="false" outlineLevel="0" collapsed="false">
      <c r="A11620" s="1" t="s">
        <v>1063</v>
      </c>
      <c r="B11620" s="0" t="s">
        <v>98</v>
      </c>
      <c r="C11620" s="6" t="n">
        <f aca="false">Sens!K11559*(1+g_tv)*(1-tax_f)</f>
        <v>238.193886472454</v>
      </c>
    </row>
    <row r="11621" customFormat="false" ht="17.15" hidden="false" customHeight="false" outlineLevel="0" collapsed="false">
      <c r="A11621" s="1" t="s">
        <v>1064</v>
      </c>
      <c r="B11621" s="0" t="s">
        <v>98</v>
      </c>
      <c r="C11621" s="6" t="n">
        <f aca="false">Sens!$C$11620*(1-g_tv/(wacc+ronic_prem))</f>
        <v>168.772826075688</v>
      </c>
    </row>
    <row r="11622" customFormat="false" ht="17.15" hidden="false" customHeight="false" outlineLevel="0" collapsed="false">
      <c r="A11622" s="1" t="s">
        <v>1065</v>
      </c>
      <c r="B11622" s="0" t="s">
        <v>98</v>
      </c>
      <c r="C11622" s="6" t="n">
        <f aca="false">Sens!$C$11621/(wacc-g_tv)</f>
        <v>2314.03534655887</v>
      </c>
    </row>
    <row r="11623" customFormat="false" ht="15" hidden="false" customHeight="false" outlineLevel="0" collapsed="false">
      <c r="A11623" s="1" t="s">
        <v>1066</v>
      </c>
      <c r="B11623" s="0" t="s">
        <v>98</v>
      </c>
      <c r="C11623" s="6" t="n">
        <f aca="false">Sens!$C$11622/(1+wacc)^(Sens!K11615+mid_yr)</f>
        <v>1285.49930668812</v>
      </c>
    </row>
    <row r="11624" customFormat="false" ht="17.15" hidden="false" customHeight="false" outlineLevel="0" collapsed="false">
      <c r="A11624" s="0" t="s">
        <v>986</v>
      </c>
      <c r="B11624" s="0" t="s">
        <v>98</v>
      </c>
      <c r="C11624" s="6" t="n">
        <f aca="false">Sens!$C$11619+Sens!$C$11623</f>
        <v>1678.47491008673</v>
      </c>
    </row>
    <row r="11625" customFormat="false" ht="15" hidden="false" customHeight="false" outlineLevel="0" collapsed="false">
      <c r="A11625" s="1" t="s">
        <v>987</v>
      </c>
      <c r="B11625" s="0" t="s">
        <v>129</v>
      </c>
      <c r="C11625" s="7" t="n">
        <f aca="false">Sens!$C$11623/Sens!$C$11624</f>
        <v>0.765873412204709</v>
      </c>
    </row>
    <row r="11626" customFormat="false" ht="17.15" hidden="false" customHeight="false" outlineLevel="0" collapsed="false">
      <c r="A11626" s="1" t="s">
        <v>1067</v>
      </c>
      <c r="B11626" s="0" t="s">
        <v>98</v>
      </c>
      <c r="C11626" s="6" t="n">
        <f aca="false">Sens!$C$11624+Sens!E11606-Sens!E11595+oai_v</f>
        <v>1812.98791008673</v>
      </c>
    </row>
    <row r="11627" customFormat="false" ht="17.15" hidden="false" customHeight="false" outlineLevel="0" collapsed="false">
      <c r="A11627" s="0" t="s">
        <v>994</v>
      </c>
      <c r="B11627" s="0" t="s">
        <v>75</v>
      </c>
      <c r="C11627" s="5" t="n">
        <f aca="false">Sens!$C$11626/sh_dil26</f>
        <v>243.256126403694</v>
      </c>
    </row>
    <row r="11628" customFormat="false" ht="15" hidden="false" customHeight="false" outlineLevel="0" collapsed="false">
      <c r="A11628" s="1" t="s">
        <v>1068</v>
      </c>
      <c r="B11628" s="0" t="s">
        <v>75</v>
      </c>
      <c r="C11628" s="8" t="n">
        <f aca="false">dps_27+Sens!G11598*roll_div_q/q_per_yr</f>
        <v>4.8895</v>
      </c>
    </row>
    <row r="11629" customFormat="false" ht="17.15" hidden="false" customHeight="false" outlineLevel="0" collapsed="false">
      <c r="A11629" s="0" t="s">
        <v>1069</v>
      </c>
      <c r="B11629" s="0" t="s">
        <v>75</v>
      </c>
      <c r="C11629" s="5" t="n">
        <f aca="false">Sens!$C$11627*(1+wacc)^t_roll-Sens!$C$11628</f>
        <v>272.114373342581</v>
      </c>
    </row>
    <row r="11630" customFormat="false" ht="17.15" hidden="false" customHeight="false" outlineLevel="0" collapsed="false">
      <c r="A11630" s="1" t="s">
        <v>1070</v>
      </c>
      <c r="B11630" s="0" t="s">
        <v>129</v>
      </c>
      <c r="F11630" s="7" t="n">
        <f aca="false">Sens!F11585/(Sens!F11530-Sens!F11486)</f>
        <v>0.0711475516535717</v>
      </c>
      <c r="G11630" s="7" t="n">
        <f aca="false">Sens!G11585/(Sens!G11530-Sens!G11486)</f>
        <v>0.0682588862083999</v>
      </c>
      <c r="H11630" s="7" t="n">
        <f aca="false">Sens!H11585/(Sens!H11530-Sens!H11486)</f>
        <v>0.0666622170094897</v>
      </c>
      <c r="I11630" s="7" t="n">
        <f aca="false">Sens!I11585/(Sens!I11530-Sens!I11486)</f>
        <v>0.0661991449367101</v>
      </c>
      <c r="J11630" s="7" t="n">
        <f aca="false">Sens!J11585/(Sens!J11530-Sens!J11486)</f>
        <v>0.0666400583966394</v>
      </c>
      <c r="K11630" s="7" t="n">
        <f aca="false">Sens!K11585/(Sens!K11530-Sens!K11486)</f>
        <v>0.0677351822588561</v>
      </c>
    </row>
    <row r="11631" customFormat="false" ht="17.15" hidden="false" customHeight="false" outlineLevel="0" collapsed="false">
      <c r="A11631" s="0" t="s">
        <v>1071</v>
      </c>
      <c r="B11631" s="0" t="s">
        <v>98</v>
      </c>
      <c r="F11631" s="6" t="n">
        <f aca="false">Sens!F11515*(al_m365+Sens!F11630+sbc_r)</f>
        <v>83.1760446796226</v>
      </c>
      <c r="G11631" s="6" t="n">
        <f aca="false">Sens!G11515*(al_m365+Sens!G11630+sbc_r)</f>
        <v>93.5286621744803</v>
      </c>
      <c r="H11631" s="6" t="n">
        <f aca="false">Sens!H11515*(al_m365+Sens!H11630+sbc_r)</f>
        <v>104.041881899886</v>
      </c>
      <c r="I11631" s="6" t="n">
        <f aca="false">Sens!I11515*(al_m365+Sens!I11630+sbc_r)</f>
        <v>114.039361049722</v>
      </c>
      <c r="J11631" s="6" t="n">
        <f aca="false">Sens!J11515*(al_m365+Sens!J11630+sbc_r)</f>
        <v>123.332589690985</v>
      </c>
      <c r="K11631" s="6" t="n">
        <f aca="false">Sens!K11515*(al_m365+Sens!K11630+sbc_r)</f>
        <v>132.229319216379</v>
      </c>
      <c r="L11631" s="11" t="s">
        <v>1072</v>
      </c>
    </row>
    <row r="11632" customFormat="false" ht="17.15" hidden="false" customHeight="false" outlineLevel="0" collapsed="false">
      <c r="A11632" s="0" t="s">
        <v>1073</v>
      </c>
      <c r="B11632" s="0" t="s">
        <v>98</v>
      </c>
      <c r="F11632" s="6" t="n">
        <f aca="false">Sens!F11516*(al_lic+Sens!F11630+sbc_r)</f>
        <v>33.5445611735131</v>
      </c>
      <c r="G11632" s="6" t="n">
        <f aca="false">Sens!G11516*(al_lic+Sens!G11630+sbc_r)</f>
        <v>34.8473362891936</v>
      </c>
      <c r="H11632" s="6" t="n">
        <f aca="false">Sens!H11516*(al_lic+Sens!H11630+sbc_r)</f>
        <v>36.0608450618725</v>
      </c>
      <c r="I11632" s="6" t="n">
        <f aca="false">Sens!I11516*(al_lic+Sens!I11630+sbc_r)</f>
        <v>37.1647768367666</v>
      </c>
      <c r="J11632" s="6" t="n">
        <f aca="false">Sens!J11516*(al_lic+Sens!J11630+sbc_r)</f>
        <v>38.1353659513221</v>
      </c>
      <c r="K11632" s="6" t="n">
        <f aca="false">Sens!K11516*(al_lic+Sens!K11630+sbc_r)</f>
        <v>38.9479527536449</v>
      </c>
    </row>
    <row r="11633" customFormat="false" ht="17.15" hidden="false" customHeight="false" outlineLevel="0" collapsed="false">
      <c r="A11633" s="0" t="s">
        <v>1074</v>
      </c>
      <c r="B11633" s="0" t="s">
        <v>98</v>
      </c>
      <c r="F11633" s="6" t="n">
        <f aca="false">Sens!F11518*(al_ind+Sens!F11630+sbc_r)</f>
        <v>9.13359830063899</v>
      </c>
      <c r="G11633" s="6" t="n">
        <f aca="false">Sens!G11518*(al_ind+Sens!G11630+sbc_r)</f>
        <v>9.91355811855172</v>
      </c>
      <c r="H11633" s="6" t="n">
        <f aca="false">Sens!H11518*(al_ind+Sens!H11630+sbc_r)</f>
        <v>10.737007894057</v>
      </c>
      <c r="I11633" s="6" t="n">
        <f aca="false">Sens!I11518*(al_ind+Sens!I11630+sbc_r)</f>
        <v>11.5994300763088</v>
      </c>
      <c r="J11633" s="6" t="n">
        <f aca="false">Sens!J11518*(al_ind+Sens!J11630+sbc_r)</f>
        <v>12.4920789859702</v>
      </c>
      <c r="K11633" s="6" t="n">
        <f aca="false">Sens!K11518*(al_ind+Sens!K11630+sbc_r)</f>
        <v>13.4027551573777</v>
      </c>
    </row>
    <row r="11634" customFormat="false" ht="17.15" hidden="false" customHeight="false" outlineLevel="0" collapsed="false">
      <c r="A11634" s="0" t="s">
        <v>1075</v>
      </c>
      <c r="B11634" s="0" t="s">
        <v>98</v>
      </c>
      <c r="F11634" s="6" t="n">
        <f aca="false">Sens!F11520*(al_fro+Sens!F11630+sbc_r)</f>
        <v>3.59501635737694</v>
      </c>
      <c r="G11634" s="6" t="n">
        <f aca="false">Sens!G11520*(al_fro+Sens!G11630+sbc_r)</f>
        <v>3.80622021137838</v>
      </c>
      <c r="H11634" s="6" t="n">
        <f aca="false">Sens!H11520*(al_fro+Sens!H11630+sbc_r)</f>
        <v>4.04607207599632</v>
      </c>
      <c r="I11634" s="6" t="n">
        <f aca="false">Sens!I11520*(al_fro+Sens!I11630+sbc_r)</f>
        <v>4.31683578333903</v>
      </c>
      <c r="J11634" s="6" t="n">
        <f aca="false">Sens!J11520*(al_fro+Sens!J11630+sbc_r)</f>
        <v>4.62005087871645</v>
      </c>
      <c r="K11634" s="6" t="n">
        <f aca="false">Sens!K11520*(al_fro+Sens!K11630+sbc_r)</f>
        <v>4.95685392412327</v>
      </c>
    </row>
    <row r="11635" customFormat="false" ht="17.15" hidden="false" customHeight="false" outlineLevel="0" collapsed="false">
      <c r="A11635" s="0" t="s">
        <v>1076</v>
      </c>
      <c r="B11635" s="0" t="s">
        <v>98</v>
      </c>
      <c r="F11635" s="6" t="n">
        <f aca="false">Sens!F11523*(al_srch+Sens!F11630+sbc_r)</f>
        <v>11.2801258639919</v>
      </c>
      <c r="G11635" s="6" t="n">
        <f aca="false">Sens!G11523*(al_srch+Sens!G11630+sbc_r)</f>
        <v>12.3589086285988</v>
      </c>
      <c r="H11635" s="6" t="n">
        <f aca="false">Sens!H11523*(al_srch+Sens!H11630+sbc_r)</f>
        <v>13.4807030139583</v>
      </c>
      <c r="I11635" s="6" t="n">
        <f aca="false">Sens!I11523*(al_srch+Sens!I11630+sbc_r)</f>
        <v>14.6329459978989</v>
      </c>
      <c r="J11635" s="6" t="n">
        <f aca="false">Sens!J11523*(al_srch+Sens!J11630+sbc_r)</f>
        <v>15.7968154400613</v>
      </c>
      <c r="K11635" s="6" t="n">
        <f aca="false">Sens!K11523*(al_srch+Sens!K11630+sbc_r)</f>
        <v>16.9484078548661</v>
      </c>
    </row>
    <row r="11636" customFormat="false" ht="17.15" hidden="false" customHeight="false" outlineLevel="0" collapsed="false">
      <c r="A11636" s="0" t="s">
        <v>1077</v>
      </c>
      <c r="B11636" s="0" t="s">
        <v>98</v>
      </c>
      <c r="F11636" s="6" t="n">
        <f aca="false">Sens!F11492-Sens!F11493+Sens!F11573</f>
        <v>38.7847715123049</v>
      </c>
      <c r="G11636" s="6" t="n">
        <f aca="false">Sens!G11492-Sens!G11493+Sens!G11573</f>
        <v>68.1348044367775</v>
      </c>
      <c r="H11636" s="6" t="n">
        <f aca="false">Sens!H11492-Sens!H11493+Sens!H11573</f>
        <v>94.6277386785771</v>
      </c>
      <c r="I11636" s="6" t="n">
        <f aca="false">Sens!I11492-Sens!I11493+Sens!I11573</f>
        <v>124.899799296032</v>
      </c>
      <c r="J11636" s="6" t="n">
        <f aca="false">Sens!J11492-Sens!J11493+Sens!J11573</f>
        <v>146.4886418102</v>
      </c>
      <c r="K11636" s="6" t="n">
        <f aca="false">Sens!K11492-Sens!K11493+Sens!K11573</f>
        <v>160.640017660072</v>
      </c>
    </row>
    <row r="11637" customFormat="false" ht="17.15" hidden="false" customHeight="false" outlineLevel="0" collapsed="false">
      <c r="A11637" s="0" t="s">
        <v>1078</v>
      </c>
      <c r="B11637" s="0" t="s">
        <v>98</v>
      </c>
      <c r="F11637" s="6" t="n">
        <f aca="false">Sens!F11552+Sens!F11573+Sens!F11503+Sens!F11630*(Sens!F11522-Sens!F11486)+sbc_r*Sens!F11522</f>
        <v>222.975546217632</v>
      </c>
      <c r="G11637" s="6" t="n">
        <f aca="false">Sens!G11552+Sens!G11573+Sens!G11503+Sens!G11630*(Sens!G11522-Sens!G11486)+sbc_r*Sens!G11522</f>
        <v>276.436502631852</v>
      </c>
      <c r="H11637" s="6" t="n">
        <f aca="false">Sens!H11552+Sens!H11573+Sens!H11503+Sens!H11630*(Sens!H11522-Sens!H11486)+sbc_r*Sens!H11522</f>
        <v>327.30621528046</v>
      </c>
      <c r="I11637" s="6" t="n">
        <f aca="false">Sens!I11552+Sens!I11573+Sens!I11503+Sens!I11630*(Sens!I11522-Sens!I11486)+sbc_r*Sens!I11522</f>
        <v>381.371079425008</v>
      </c>
      <c r="J11637" s="6" t="n">
        <f aca="false">Sens!J11552+Sens!J11573+Sens!J11503+Sens!J11630*(Sens!J11522-Sens!J11486)+sbc_r*Sens!J11522</f>
        <v>424.919649963285</v>
      </c>
      <c r="K11637" s="6" t="n">
        <f aca="false">Sens!K11552+Sens!K11573+Sens!K11503+Sens!K11630*(Sens!K11522-Sens!K11486)+sbc_r*Sens!K11522</f>
        <v>458.814990218362</v>
      </c>
    </row>
    <row r="11638" customFormat="false" ht="17.15" hidden="false" customHeight="false" outlineLevel="0" collapsed="false">
      <c r="A11638" s="0" t="s">
        <v>1079</v>
      </c>
      <c r="B11638" s="0" t="s">
        <v>98</v>
      </c>
      <c r="F11638" s="6" t="n">
        <f aca="false">Sens!F11637-Sens!F11631-Sens!F11632-Sens!F11633-Sens!F11634-Sens!F11636</f>
        <v>54.7415541941759</v>
      </c>
      <c r="G11638" s="6" t="n">
        <f aca="false">Sens!G11637-Sens!G11631-Sens!G11632-Sens!G11633-Sens!G11634-Sens!G11636</f>
        <v>66.2059214014706</v>
      </c>
      <c r="H11638" s="6" t="n">
        <f aca="false">Sens!H11637-Sens!H11631-Sens!H11632-Sens!H11633-Sens!H11634-Sens!H11636</f>
        <v>77.7926696700714</v>
      </c>
      <c r="I11638" s="6" t="n">
        <f aca="false">Sens!I11637-Sens!I11631-Sens!I11632-Sens!I11633-Sens!I11634-Sens!I11636</f>
        <v>89.3508763828403</v>
      </c>
      <c r="J11638" s="6" t="n">
        <f aca="false">Sens!J11637-Sens!J11631-Sens!J11632-Sens!J11633-Sens!J11634-Sens!J11636</f>
        <v>99.8509226460918</v>
      </c>
      <c r="K11638" s="6" t="n">
        <f aca="false">Sens!K11637-Sens!K11631-Sens!K11632-Sens!K11633-Sens!K11634-Sens!K11636</f>
        <v>108.638091506765</v>
      </c>
    </row>
    <row r="11639" customFormat="false" ht="17.15" hidden="false" customHeight="false" outlineLevel="0" collapsed="false">
      <c r="A11639" s="0" t="s">
        <v>1080</v>
      </c>
      <c r="B11639" s="0" t="s">
        <v>98</v>
      </c>
      <c r="F11639" s="6" t="n">
        <f aca="false">Sens!F11554+Sens!F11630*Sens!F11529+sbc_r*Sens!F11529</f>
        <v>25.0624446304184</v>
      </c>
      <c r="G11639" s="6" t="n">
        <f aca="false">Sens!G11554+Sens!G11630*Sens!G11529+sbc_r*Sens!G11529</f>
        <v>25.6317793929872</v>
      </c>
      <c r="H11639" s="6" t="n">
        <f aca="false">Sens!H11554+Sens!H11630*Sens!H11529+sbc_r*Sens!H11529</f>
        <v>26.4567706676057</v>
      </c>
      <c r="I11639" s="6" t="n">
        <f aca="false">Sens!I11554+Sens!I11630*Sens!I11529+sbc_r*Sens!I11529</f>
        <v>27.5056281175787</v>
      </c>
      <c r="J11639" s="6" t="n">
        <f aca="false">Sens!J11554+Sens!J11630*Sens!J11529+sbc_r*Sens!J11529</f>
        <v>28.7471085567855</v>
      </c>
      <c r="K11639" s="6" t="n">
        <f aca="false">Sens!K11554+Sens!K11630*Sens!K11529+sbc_r*Sens!K11529</f>
        <v>30.1519724184272</v>
      </c>
    </row>
    <row r="11640" customFormat="false" ht="17.15" hidden="false" customHeight="false" outlineLevel="0" collapsed="false">
      <c r="A11640" s="0" t="s">
        <v>1081</v>
      </c>
      <c r="B11640" s="0" t="s">
        <v>98</v>
      </c>
      <c r="F11640" s="6" t="n">
        <f aca="false">(Sens!F11639-Sens!F11635)*Sens!F11525/(Sens!F11525+Sens!F11527)</f>
        <v>7.55533290991533</v>
      </c>
      <c r="G11640" s="6" t="n">
        <f aca="false">(Sens!G11639-Sens!G11635)*Sens!G11525/(Sens!G11525+Sens!G11527)</f>
        <v>7.14632681179023</v>
      </c>
      <c r="H11640" s="6" t="n">
        <f aca="false">(Sens!H11639-Sens!H11635)*Sens!H11525/(Sens!H11525+Sens!H11527)</f>
        <v>6.89214699634008</v>
      </c>
      <c r="I11640" s="6" t="n">
        <f aca="false">(Sens!I11639-Sens!I11635)*Sens!I11525/(Sens!I11525+Sens!I11527)</f>
        <v>6.77537111290557</v>
      </c>
      <c r="J11640" s="6" t="n">
        <f aca="false">(Sens!J11639-Sens!J11635)*Sens!J11525/(Sens!J11525+Sens!J11527)</f>
        <v>6.78539796731284</v>
      </c>
      <c r="K11640" s="6" t="n">
        <f aca="false">(Sens!K11639-Sens!K11635)*Sens!K11525/(Sens!K11525+Sens!K11527)</f>
        <v>6.91810133897059</v>
      </c>
    </row>
    <row r="11641" customFormat="false" ht="17.15" hidden="false" customHeight="false" outlineLevel="0" collapsed="false">
      <c r="A11641" s="0" t="s">
        <v>1082</v>
      </c>
      <c r="B11641" s="0" t="s">
        <v>98</v>
      </c>
      <c r="F11641" s="6" t="n">
        <f aca="false">Sens!F11639-Sens!F11635-Sens!F11640</f>
        <v>6.22698585651117</v>
      </c>
      <c r="G11641" s="6" t="n">
        <f aca="false">Sens!G11639-Sens!G11635-Sens!G11640</f>
        <v>6.12654395259819</v>
      </c>
      <c r="H11641" s="6" t="n">
        <f aca="false">Sens!H11639-Sens!H11635-Sens!H11640</f>
        <v>6.08392065730736</v>
      </c>
      <c r="I11641" s="6" t="n">
        <f aca="false">Sens!I11639-Sens!I11635-Sens!I11640</f>
        <v>6.09731100677428</v>
      </c>
      <c r="J11641" s="6" t="n">
        <f aca="false">Sens!J11639-Sens!J11635-Sens!J11640</f>
        <v>6.16489514941139</v>
      </c>
      <c r="K11641" s="6" t="n">
        <f aca="false">Sens!K11639-Sens!K11635-Sens!K11640</f>
        <v>6.28546322459053</v>
      </c>
    </row>
    <row r="11642" customFormat="false" ht="17.15" hidden="false" customHeight="false" outlineLevel="0" collapsed="false">
      <c r="A11642" s="0" t="s">
        <v>1083</v>
      </c>
      <c r="B11642" s="0" t="s">
        <v>98</v>
      </c>
      <c r="F11642" s="6" t="n">
        <f aca="false">Sens!F11636-tax_f*(Sens!F11636-Sens!F11503)-Sens!F11500</f>
        <v>-122.495081185432</v>
      </c>
      <c r="G11642" s="6" t="n">
        <f aca="false">Sens!G11636-tax_f*(Sens!G11636-Sens!G11503)-Sens!G11500</f>
        <v>-117.241249511676</v>
      </c>
      <c r="H11642" s="6" t="n">
        <f aca="false">Sens!H11636-tax_f*(Sens!H11636-Sens!H11503)-Sens!H11500</f>
        <v>-95.105890998876</v>
      </c>
      <c r="I11642" s="6" t="n">
        <f aca="false">Sens!I11636-tax_f*(Sens!I11636-Sens!I11503)-Sens!I11500</f>
        <v>-41.6656809509416</v>
      </c>
      <c r="J11642" s="6" t="n">
        <f aca="false">Sens!J11636-tax_f*(Sens!J11636-Sens!J11503)-Sens!J11500</f>
        <v>15.6091414244864</v>
      </c>
      <c r="K11642" s="6" t="n">
        <f aca="false">Sens!K11636-tax_f*(Sens!K11636-Sens!K11503)-Sens!K11500</f>
        <v>34.9308916333283</v>
      </c>
    </row>
    <row r="11643" customFormat="false" ht="17.15" hidden="false" customHeight="false" outlineLevel="0" collapsed="false">
      <c r="A11643" s="0" t="s">
        <v>1084</v>
      </c>
      <c r="B11643" s="0" t="s">
        <v>98</v>
      </c>
      <c r="G11643" s="6" t="n">
        <f aca="false">Sens!G11642/(1+wacc)^(Sens!G11615-(Sens!F11615+mid_yr))</f>
        <v>-111.636340898569</v>
      </c>
      <c r="H11643" s="6" t="n">
        <f aca="false">Sens!H11642/(1+wacc)^(Sens!H11615-(Sens!F11615+mid_yr))</f>
        <v>-82.1075102476284</v>
      </c>
      <c r="I11643" s="6" t="n">
        <f aca="false">Sens!I11642/(1+wacc)^(Sens!I11615-(Sens!F11615+mid_yr))</f>
        <v>-32.614014374311</v>
      </c>
      <c r="J11643" s="6" t="n">
        <f aca="false">Sens!J11642/(1+wacc)^(Sens!J11615-(Sens!F11615+mid_yr))</f>
        <v>11.0778402875527</v>
      </c>
      <c r="K11643" s="6" t="n">
        <f aca="false">Sens!K11642/(1+wacc)^(Sens!K11615-(Sens!F11615+mid_yr))</f>
        <v>22.4768819759514</v>
      </c>
      <c r="L11643" s="1" t="s">
        <v>1085</v>
      </c>
    </row>
    <row r="11644" customFormat="false" ht="17.15" hidden="false" customHeight="false" outlineLevel="0" collapsed="false">
      <c r="A11644" s="0" t="s">
        <v>1086</v>
      </c>
      <c r="B11644" s="0" t="s">
        <v>98</v>
      </c>
      <c r="C11644" s="6" t="n">
        <f aca="false">(Sens!K11636-Sens!K11503)*(1-tax_f)*(1+g_tv)*(1-g_tv/(wacc+ronic_prem))/(wacc-g_tv)/(1+wacc)^(Sens!K11615+mid_yr-(Sens!F11615+mid_yr))</f>
        <v>105.494384962934</v>
      </c>
    </row>
    <row r="11645" customFormat="false" ht="17.15" hidden="false" customHeight="false" outlineLevel="0" collapsed="false">
      <c r="A11645" s="1" t="s">
        <v>1087</v>
      </c>
      <c r="B11645" s="0" t="s">
        <v>98</v>
      </c>
      <c r="C11645" s="6" t="n">
        <f aca="false">(SUM(Sens!G11643:K11643)+Sens!$C$11644)*(1+wacc)^(t_roll-(Sens!F11615+mid_yr))</f>
        <v>-90.1426199566048</v>
      </c>
      <c r="L11645" s="11" t="s">
        <v>1088</v>
      </c>
    </row>
    <row r="11646" customFormat="false" ht="17.15" hidden="false" customHeight="false" outlineLevel="0" collapsed="false">
      <c r="A11646" s="1" t="s">
        <v>1089</v>
      </c>
      <c r="B11646" s="0" t="s">
        <v>98</v>
      </c>
      <c r="C11646" s="6" t="n">
        <f aca="false">(w_ntm28*Sens!G11492+(1-w_ntm28)*Sens!H11492)*m_ai</f>
        <v>338.776008390068</v>
      </c>
    </row>
    <row r="11647" customFormat="false" ht="17.15" hidden="false" customHeight="false" outlineLevel="0" collapsed="false">
      <c r="A11647" s="1" t="s">
        <v>1090</v>
      </c>
      <c r="B11647" s="0" t="s">
        <v>98</v>
      </c>
      <c r="C11647" s="6" t="n">
        <f aca="false">(w_ntm28*Sens!G11638+(1-w_ntm28)*Sens!H11638)*m_cloud</f>
        <v>966.733520361483</v>
      </c>
    </row>
    <row r="11648" customFormat="false" ht="17.15" hidden="false" customHeight="false" outlineLevel="0" collapsed="false">
      <c r="A11648" s="1" t="s">
        <v>1091</v>
      </c>
      <c r="B11648" s="0" t="s">
        <v>98</v>
      </c>
      <c r="C11648" s="6" t="n">
        <f aca="false">(w_ntm28*Sens!G11631+(1-w_ntm28)*Sens!H11631)*m_sw</f>
        <v>1046.81653016399</v>
      </c>
    </row>
    <row r="11649" customFormat="false" ht="17.15" hidden="false" customHeight="false" outlineLevel="0" collapsed="false">
      <c r="A11649" s="1" t="s">
        <v>1092</v>
      </c>
      <c r="B11649" s="0" t="s">
        <v>98</v>
      </c>
      <c r="C11649" s="6" t="n">
        <f aca="false">(w_ntm28*Sens!G11632+(1-w_ntm28)*Sens!H11632)*m_sw</f>
        <v>380.588206114803</v>
      </c>
    </row>
    <row r="11650" customFormat="false" ht="17.15" hidden="false" customHeight="false" outlineLevel="0" collapsed="false">
      <c r="A11650" s="1" t="s">
        <v>1093</v>
      </c>
      <c r="B11650" s="0" t="s">
        <v>98</v>
      </c>
      <c r="C11650" s="6" t="n">
        <f aca="false">(w_ntm28*Sens!G11633+(1-w_ntm28)*Sens!H11633)*m_sw</f>
        <v>109.941508211602</v>
      </c>
    </row>
    <row r="11651" customFormat="false" ht="17.15" hidden="false" customHeight="false" outlineLevel="0" collapsed="false">
      <c r="A11651" s="1" t="s">
        <v>1094</v>
      </c>
      <c r="B11651" s="0" t="s">
        <v>98</v>
      </c>
      <c r="C11651" s="6" t="n">
        <f aca="false">(w_ntm28*Sens!G11634+(1-w_ntm28)*Sens!H11634)*m_sw</f>
        <v>41.944622711021</v>
      </c>
    </row>
    <row r="11652" customFormat="false" ht="17.15" hidden="false" customHeight="false" outlineLevel="0" collapsed="false">
      <c r="A11652" s="1" t="s">
        <v>1095</v>
      </c>
      <c r="B11652" s="0" t="s">
        <v>98</v>
      </c>
      <c r="C11652" s="6" t="n">
        <f aca="false">(w_ntm28*Sens!G11635+(1-w_ntm28)*Sens!H11635)*m_ads</f>
        <v>115.893511108929</v>
      </c>
    </row>
    <row r="11653" customFormat="false" ht="17.15" hidden="false" customHeight="false" outlineLevel="0" collapsed="false">
      <c r="A11653" s="1" t="s">
        <v>1096</v>
      </c>
      <c r="B11653" s="0" t="s">
        <v>98</v>
      </c>
      <c r="C11653" s="6" t="n">
        <f aca="false">(w_ntm28*Sens!G11640+(1-w_ntm28)*Sens!H11640)*m_game</f>
        <v>89.2202601091901</v>
      </c>
    </row>
    <row r="11654" customFormat="false" ht="17.15" hidden="false" customHeight="false" outlineLevel="0" collapsed="false">
      <c r="A11654" s="1" t="s">
        <v>1097</v>
      </c>
      <c r="B11654" s="0" t="s">
        <v>98</v>
      </c>
      <c r="C11654" s="6" t="n">
        <f aca="false">(w_ntm28*Sens!G11641+(1-w_ntm28)*Sens!H11641)*m_pc</f>
        <v>88.4517003864868</v>
      </c>
    </row>
    <row r="11655" customFormat="false" ht="17.15" hidden="false" customHeight="false" outlineLevel="0" collapsed="false">
      <c r="A11655" s="1" t="s">
        <v>1098</v>
      </c>
      <c r="B11655" s="0" t="s">
        <v>98</v>
      </c>
      <c r="C11655" s="6" t="n">
        <f aca="false">Sens!$C$11645+Sens!$C$11647+Sens!$C$11648+Sens!$C$11649+Sens!$C$11650+Sens!$C$11651+Sens!$C$11652+Sens!$C$11653+Sens!$C$11654</f>
        <v>2749.4472392109</v>
      </c>
    </row>
    <row r="11656" customFormat="false" ht="17.15" hidden="false" customHeight="false" outlineLevel="0" collapsed="false">
      <c r="A11656" s="1" t="s">
        <v>1099</v>
      </c>
      <c r="B11656" s="0" t="s">
        <v>98</v>
      </c>
      <c r="C11656" s="6" t="n">
        <f aca="false">(Sens!G11617-Sens!G11642)*t_stub</f>
        <v>44.8873215582481</v>
      </c>
      <c r="L11656" s="1" t="s">
        <v>1100</v>
      </c>
    </row>
    <row r="11657" customFormat="false" ht="17.15" hidden="false" customHeight="false" outlineLevel="0" collapsed="false">
      <c r="A11657" s="1" t="s">
        <v>1014</v>
      </c>
      <c r="B11657" s="0" t="s">
        <v>98</v>
      </c>
      <c r="C11657" s="6" t="n">
        <f aca="false">Sens!F11606+oai_v-Sens!F11595+Sens!$C$11656</f>
        <v>146.243992901846</v>
      </c>
      <c r="L11657" s="1" t="s">
        <v>1101</v>
      </c>
    </row>
    <row r="11658" customFormat="false" ht="17.15" hidden="false" customHeight="false" outlineLevel="0" collapsed="false">
      <c r="A11658" s="1" t="s">
        <v>1102</v>
      </c>
      <c r="B11658" s="0" t="s">
        <v>75</v>
      </c>
      <c r="C11658" s="5" t="n">
        <f aca="false">(Sens!$C$11655+Sens!$C$11657)/(Sens!F11608+dil_gap)-Sens!G11598*roll_div_q/q_per_yr</f>
        <v>385.258689983024</v>
      </c>
      <c r="L11658" s="1" t="s">
        <v>1103</v>
      </c>
    </row>
    <row r="11659" customFormat="false" ht="17.15" hidden="false" customHeight="false" outlineLevel="0" collapsed="false">
      <c r="A11659" s="1" t="s">
        <v>1104</v>
      </c>
      <c r="B11659" s="0" t="s">
        <v>75</v>
      </c>
      <c r="C11659" s="5" t="n">
        <f aca="false">w_dcf*Sens!$C$11629+(1-w_dcf)*Sens!$C$11658</f>
        <v>328.686531662803</v>
      </c>
    </row>
    <row r="11660" customFormat="false" ht="17.15" hidden="false" customHeight="false" outlineLevel="0" collapsed="false">
      <c r="A11660" s="3" t="s">
        <v>1562</v>
      </c>
    </row>
    <row r="11661" customFormat="false" ht="15" hidden="false" customHeight="false" outlineLevel="0" collapsed="false">
      <c r="A11661" s="4" t="s">
        <v>43</v>
      </c>
      <c r="B11661" s="4" t="s">
        <v>65</v>
      </c>
      <c r="C11661" s="20" t="s">
        <v>799</v>
      </c>
      <c r="D11661" s="20" t="s">
        <v>800</v>
      </c>
      <c r="E11661" s="20" t="s">
        <v>801</v>
      </c>
      <c r="F11661" s="20" t="s">
        <v>802</v>
      </c>
      <c r="G11661" s="20" t="s">
        <v>803</v>
      </c>
      <c r="H11661" s="20" t="s">
        <v>804</v>
      </c>
      <c r="I11661" s="20" t="s">
        <v>805</v>
      </c>
      <c r="J11661" s="20" t="s">
        <v>806</v>
      </c>
      <c r="K11661" s="20" t="s">
        <v>807</v>
      </c>
      <c r="L11661" s="4" t="s">
        <v>47</v>
      </c>
    </row>
    <row r="11662" customFormat="false" ht="17.15" hidden="false" customHeight="false" outlineLevel="0" collapsed="false">
      <c r="A11662" s="1" t="s">
        <v>808</v>
      </c>
      <c r="B11662" s="1" t="s">
        <v>235</v>
      </c>
      <c r="C11662" s="28" t="n">
        <v>2024</v>
      </c>
      <c r="D11662" s="28" t="n">
        <v>2025</v>
      </c>
      <c r="E11662" s="28" t="n">
        <v>2026</v>
      </c>
      <c r="F11662" s="28" t="n">
        <v>2027</v>
      </c>
      <c r="G11662" s="28" t="n">
        <v>2028</v>
      </c>
      <c r="H11662" s="28" t="n">
        <v>2029</v>
      </c>
      <c r="I11662" s="28" t="n">
        <v>2030</v>
      </c>
      <c r="J11662" s="28" t="n">
        <v>2031</v>
      </c>
      <c r="K11662" s="28" t="n">
        <v>2032</v>
      </c>
    </row>
    <row r="11663" customFormat="false" ht="17.15" hidden="false" customHeight="false" outlineLevel="0" collapsed="false">
      <c r="A11663" s="1" t="s">
        <v>809</v>
      </c>
      <c r="B11663" s="0" t="s">
        <v>399</v>
      </c>
      <c r="F11663" s="29" t="n">
        <f aca="false">pace</f>
        <v>2527.2</v>
      </c>
      <c r="G11663" s="29" t="n">
        <f aca="false">pace</f>
        <v>2527.2</v>
      </c>
      <c r="H11663" s="29" t="n">
        <f aca="false">pace</f>
        <v>2527.2</v>
      </c>
      <c r="I11663" s="29" t="n">
        <f aca="false">pace+(g_tv*Sens!H11664-pace)*MIN(1,(Sens!I11662-pace_y0)/(pace_y1-pace_y0))</f>
        <v>1793.116</v>
      </c>
      <c r="J11663" s="29" t="n">
        <f aca="false">pace+(g_tv*Sens!I11664-pace)*MIN(1,(Sens!J11662-pace_y0)/(pace_y1-pace_y0))</f>
        <v>1094.89432</v>
      </c>
      <c r="K11663" s="29" t="n">
        <f aca="false">pace+(g_tv*Sens!J11664-pace)*MIN(1,(Sens!K11662-pace_y0)/(pace_y1-pace_y0))</f>
        <v>411.5883096</v>
      </c>
      <c r="L11663" s="11" t="s">
        <v>810</v>
      </c>
    </row>
    <row r="11664" customFormat="false" ht="17.15" hidden="false" customHeight="false" outlineLevel="0" collapsed="false">
      <c r="A11664" s="1" t="s">
        <v>811</v>
      </c>
      <c r="B11664" s="0" t="s">
        <v>399</v>
      </c>
      <c r="C11664" s="29" t="n">
        <f aca="false">mw_ext_24</f>
        <v>640</v>
      </c>
      <c r="D11664" s="29" t="n">
        <f aca="false">mw_ext_25</f>
        <v>1630</v>
      </c>
      <c r="E11664" s="29" t="n">
        <f aca="false">mw_ext_26</f>
        <v>3250</v>
      </c>
      <c r="F11664" s="29" t="n">
        <f aca="false">Sens!E11664+Sens!F11663</f>
        <v>5777.2</v>
      </c>
      <c r="G11664" s="29" t="n">
        <f aca="false">Sens!F11664+Sens!G11663</f>
        <v>8304.4</v>
      </c>
      <c r="H11664" s="29" t="n">
        <f aca="false">Sens!G11664+Sens!H11663</f>
        <v>10831.6</v>
      </c>
      <c r="I11664" s="29" t="n">
        <f aca="false">Sens!H11664+Sens!I11663</f>
        <v>12624.716</v>
      </c>
      <c r="J11664" s="29" t="n">
        <f aca="false">Sens!I11664+Sens!J11663</f>
        <v>13719.61032</v>
      </c>
      <c r="K11664" s="29" t="n">
        <f aca="false">Sens!J11664+Sens!K11663</f>
        <v>14131.1986296</v>
      </c>
      <c r="L11664" s="1" t="s">
        <v>812</v>
      </c>
    </row>
    <row r="11665" customFormat="false" ht="17.15" hidden="false" customHeight="false" outlineLevel="0" collapsed="false">
      <c r="A11665" s="1" t="s">
        <v>813</v>
      </c>
      <c r="B11665" s="0" t="s">
        <v>399</v>
      </c>
      <c r="C11665" s="29" t="n">
        <f aca="false">rent_ext_24</f>
        <v>150</v>
      </c>
      <c r="D11665" s="29" t="n">
        <f aca="false">rent_ext_25</f>
        <v>400</v>
      </c>
      <c r="E11665" s="29" t="n">
        <f aca="false">rent_ext_26</f>
        <v>550</v>
      </c>
      <c r="F11665" s="29" t="n">
        <f aca="false">rent_ext_f</f>
        <v>756</v>
      </c>
      <c r="G11665" s="29" t="n">
        <f aca="false">rent_ext_f</f>
        <v>756</v>
      </c>
      <c r="H11665" s="29" t="n">
        <f aca="false">rent_ext_f</f>
        <v>756</v>
      </c>
      <c r="I11665" s="29" t="n">
        <f aca="false">rent_ext_f</f>
        <v>756</v>
      </c>
      <c r="J11665" s="29" t="n">
        <f aca="false">rent_ext_f</f>
        <v>756</v>
      </c>
      <c r="K11665" s="29" t="n">
        <f aca="false">rent_ext_f</f>
        <v>756</v>
      </c>
      <c r="L11665" s="1" t="s">
        <v>814</v>
      </c>
    </row>
    <row r="11666" customFormat="false" ht="17.15" hidden="false" customHeight="false" outlineLevel="0" collapsed="false">
      <c r="A11666" s="1" t="s">
        <v>815</v>
      </c>
      <c r="B11666" s="0" t="s">
        <v>399</v>
      </c>
      <c r="C11666" s="29" t="n">
        <f aca="false">Sens!C11664-Sens!C11665</f>
        <v>490</v>
      </c>
      <c r="D11666" s="29" t="n">
        <f aca="false">Sens!D11664-Sens!D11665</f>
        <v>1230</v>
      </c>
      <c r="E11666" s="29" t="n">
        <f aca="false">Sens!E11664-Sens!E11665</f>
        <v>2700</v>
      </c>
      <c r="F11666" s="29" t="n">
        <f aca="false">Sens!F11664-Sens!F11665</f>
        <v>5021.2</v>
      </c>
      <c r="G11666" s="29" t="n">
        <f aca="false">Sens!G11664-Sens!G11665</f>
        <v>7548.4</v>
      </c>
      <c r="H11666" s="29" t="n">
        <f aca="false">Sens!H11664-Sens!H11665</f>
        <v>10075.6</v>
      </c>
      <c r="I11666" s="29" t="n">
        <f aca="false">Sens!I11664-Sens!I11665</f>
        <v>11868.716</v>
      </c>
      <c r="J11666" s="29" t="n">
        <f aca="false">Sens!J11664-Sens!J11665</f>
        <v>12963.61032</v>
      </c>
      <c r="K11666" s="29" t="n">
        <f aca="false">Sens!K11664-Sens!K11665</f>
        <v>13375.1986296</v>
      </c>
    </row>
    <row r="11667" customFormat="false" ht="17.15" hidden="false" customHeight="false" outlineLevel="0" collapsed="false">
      <c r="A11667" s="1" t="s">
        <v>816</v>
      </c>
      <c r="B11667" s="0" t="s">
        <v>399</v>
      </c>
      <c r="C11667" s="29" t="n">
        <f aca="false">Sens!C11666/ext_sh</f>
        <v>816.666666666667</v>
      </c>
      <c r="D11667" s="29" t="n">
        <f aca="false">Sens!D11666/ext_sh</f>
        <v>2050</v>
      </c>
      <c r="E11667" s="29" t="n">
        <f aca="false">Sens!E11666/ext_sh</f>
        <v>4500</v>
      </c>
      <c r="F11667" s="29" t="n">
        <f aca="false">Sens!F11666/ext_sh</f>
        <v>8368.66666666667</v>
      </c>
      <c r="G11667" s="29" t="n">
        <f aca="false">Sens!G11666/ext_sh</f>
        <v>12580.6666666667</v>
      </c>
      <c r="H11667" s="29" t="n">
        <f aca="false">Sens!H11666/ext_sh</f>
        <v>16792.6666666667</v>
      </c>
      <c r="I11667" s="29" t="n">
        <f aca="false">Sens!I11666/ext_sh</f>
        <v>19781.1933333333</v>
      </c>
      <c r="J11667" s="29" t="n">
        <f aca="false">Sens!J11666/ext_sh</f>
        <v>21606.0172</v>
      </c>
      <c r="K11667" s="29" t="n">
        <f aca="false">Sens!K11666/ext_sh</f>
        <v>22291.997716</v>
      </c>
      <c r="L11667" s="1" t="s">
        <v>817</v>
      </c>
    </row>
    <row r="11668" customFormat="false" ht="17.15" hidden="false" customHeight="false" outlineLevel="0" collapsed="false">
      <c r="A11668" s="1" t="s">
        <v>818</v>
      </c>
      <c r="B11668" s="0" t="s">
        <v>399</v>
      </c>
      <c r="C11668" s="29" t="n">
        <f aca="false">Sens!C11667-Sens!C11666</f>
        <v>326.666666666667</v>
      </c>
      <c r="D11668" s="29" t="n">
        <f aca="false">Sens!D11667-Sens!D11666</f>
        <v>820</v>
      </c>
      <c r="E11668" s="29" t="n">
        <f aca="false">Sens!E11667-Sens!E11666</f>
        <v>1800</v>
      </c>
      <c r="F11668" s="29" t="n">
        <f aca="false">Sens!F11667-Sens!F11666</f>
        <v>3347.46666666667</v>
      </c>
      <c r="G11668" s="29" t="n">
        <f aca="false">Sens!G11667-Sens!G11666</f>
        <v>5032.26666666667</v>
      </c>
      <c r="H11668" s="29" t="n">
        <f aca="false">Sens!H11667-Sens!H11666</f>
        <v>6717.06666666667</v>
      </c>
      <c r="I11668" s="29" t="n">
        <f aca="false">Sens!I11667-Sens!I11666</f>
        <v>7912.47733333333</v>
      </c>
      <c r="J11668" s="29" t="n">
        <f aca="false">Sens!J11667-Sens!J11666</f>
        <v>8642.40688</v>
      </c>
      <c r="K11668" s="29" t="n">
        <f aca="false">Sens!K11667-Sens!K11666</f>
        <v>8916.7990864</v>
      </c>
    </row>
    <row r="11669" customFormat="false" ht="17.15" hidden="false" customHeight="false" outlineLevel="0" collapsed="false">
      <c r="A11669" s="1" t="s">
        <v>819</v>
      </c>
      <c r="B11669" s="0" t="s">
        <v>399</v>
      </c>
      <c r="C11669" s="29" t="n">
        <f aca="false">Sens!C11667</f>
        <v>816.666666666667</v>
      </c>
      <c r="D11669" s="29" t="n">
        <f aca="false">Sens!D11667-Sens!C11667</f>
        <v>1233.33333333333</v>
      </c>
      <c r="E11669" s="29" t="n">
        <f aca="false">Sens!E11667-Sens!D11667</f>
        <v>2450</v>
      </c>
      <c r="F11669" s="29" t="n">
        <f aca="false">Sens!F11667-Sens!E11667</f>
        <v>3868.66666666667</v>
      </c>
      <c r="G11669" s="29" t="n">
        <f aca="false">Sens!G11667-Sens!F11667</f>
        <v>4212</v>
      </c>
      <c r="H11669" s="29" t="n">
        <f aca="false">Sens!H11667-Sens!G11667</f>
        <v>4212</v>
      </c>
      <c r="I11669" s="29" t="n">
        <f aca="false">Sens!I11667-Sens!H11667</f>
        <v>2988.52666666667</v>
      </c>
      <c r="J11669" s="29" t="n">
        <f aca="false">Sens!J11667-Sens!I11667</f>
        <v>1824.82386666667</v>
      </c>
      <c r="K11669" s="29" t="n">
        <f aca="false">Sens!K11667-Sens!J11667</f>
        <v>685.980516</v>
      </c>
    </row>
    <row r="11670" customFormat="false" ht="17.15" hidden="false" customHeight="false" outlineLevel="0" collapsed="false">
      <c r="A11670" s="1" t="s">
        <v>820</v>
      </c>
      <c r="B11670" s="0" t="s">
        <v>399</v>
      </c>
      <c r="D11670" s="29" t="n">
        <f aca="false">Sens!D11664-Sens!C11664</f>
        <v>990</v>
      </c>
      <c r="E11670" s="29" t="n">
        <f aca="false">Sens!E11664-Sens!D11664</f>
        <v>1620</v>
      </c>
      <c r="F11670" s="29" t="n">
        <f aca="false">Sens!F11664-Sens!E11664</f>
        <v>2527.2</v>
      </c>
      <c r="G11670" s="29" t="n">
        <f aca="false">Sens!G11664-Sens!F11664</f>
        <v>2527.2</v>
      </c>
      <c r="H11670" s="29" t="n">
        <f aca="false">Sens!H11664-Sens!G11664</f>
        <v>2527.2</v>
      </c>
      <c r="I11670" s="29" t="n">
        <f aca="false">Sens!I11664-Sens!H11664</f>
        <v>1793.116</v>
      </c>
      <c r="J11670" s="29" t="n">
        <f aca="false">Sens!J11664-Sens!I11664</f>
        <v>1094.89432</v>
      </c>
      <c r="K11670" s="29" t="n">
        <f aca="false">Sens!K11664-Sens!J11664</f>
        <v>411.5883096</v>
      </c>
    </row>
    <row r="11671" customFormat="false" ht="17.15" hidden="false" customHeight="false" outlineLevel="0" collapsed="false">
      <c r="A11671" s="1" t="s">
        <v>821</v>
      </c>
      <c r="B11671" s="0" t="s">
        <v>399</v>
      </c>
      <c r="F11671" s="29" t="n">
        <f aca="false">Sens!F11688*ext_sh</f>
        <v>0</v>
      </c>
      <c r="G11671" s="29" t="n">
        <f aca="false">Sens!G11688*ext_sh</f>
        <v>0</v>
      </c>
      <c r="H11671" s="29" t="n">
        <f aca="false">Sens!H11688*ext_sh</f>
        <v>0</v>
      </c>
      <c r="I11671" s="29" t="n">
        <f aca="false">Sens!I11688*ext_sh</f>
        <v>490</v>
      </c>
      <c r="J11671" s="29" t="n">
        <f aca="false">Sens!J11688*ext_sh</f>
        <v>740</v>
      </c>
      <c r="K11671" s="29" t="n">
        <f aca="false">Sens!K11688*ext_sh</f>
        <v>1470</v>
      </c>
      <c r="L11671" s="1" t="s">
        <v>822</v>
      </c>
    </row>
    <row r="11672" customFormat="false" ht="17.15" hidden="false" customHeight="false" outlineLevel="0" collapsed="false">
      <c r="A11672" s="1" t="s">
        <v>823</v>
      </c>
      <c r="B11672" s="0" t="s">
        <v>399</v>
      </c>
      <c r="C11672" s="29" t="n">
        <f aca="false">mix_h*Sens!C11664</f>
        <v>128</v>
      </c>
      <c r="D11672" s="29" t="n">
        <f aca="false">mix_h*Sens!D11664</f>
        <v>326</v>
      </c>
      <c r="E11672" s="29" t="n">
        <f aca="false">mix_h*Sens!E11664</f>
        <v>650</v>
      </c>
      <c r="F11672" s="29" t="n">
        <f aca="false">Sens!E11672-Sens!F11671*mix_h</f>
        <v>650</v>
      </c>
      <c r="G11672" s="29" t="n">
        <f aca="false">Sens!F11672-Sens!G11671*mix_h</f>
        <v>650</v>
      </c>
      <c r="H11672" s="29" t="n">
        <f aca="false">Sens!G11672-Sens!H11671*mix_h</f>
        <v>650</v>
      </c>
      <c r="I11672" s="29" t="n">
        <f aca="false">Sens!H11672-Sens!I11671*mix_h</f>
        <v>552</v>
      </c>
      <c r="J11672" s="29" t="n">
        <f aca="false">Sens!I11672-Sens!J11671*mix_h</f>
        <v>404</v>
      </c>
      <c r="K11672" s="29" t="n">
        <f aca="false">Sens!J11672-Sens!K11671*mix_h</f>
        <v>110</v>
      </c>
    </row>
    <row r="11673" customFormat="false" ht="17.15" hidden="false" customHeight="false" outlineLevel="0" collapsed="false">
      <c r="A11673" s="1" t="s">
        <v>824</v>
      </c>
      <c r="B11673" s="0" t="s">
        <v>399</v>
      </c>
      <c r="C11673" s="29" t="n">
        <f aca="false">mix_g2*Sens!C11664</f>
        <v>288</v>
      </c>
      <c r="D11673" s="29" t="n">
        <f aca="false">mix_g2*Sens!D11664</f>
        <v>733.5</v>
      </c>
      <c r="E11673" s="29" t="n">
        <f aca="false">mix_g2*Sens!E11664</f>
        <v>1462.5</v>
      </c>
      <c r="F11673" s="29" t="n">
        <f aca="false">Sens!E11673-Sens!F11671*mix_g2</f>
        <v>1462.5</v>
      </c>
      <c r="G11673" s="29" t="n">
        <f aca="false">Sens!F11673-Sens!G11671*mix_g2</f>
        <v>1462.5</v>
      </c>
      <c r="H11673" s="29" t="n">
        <f aca="false">Sens!G11673-Sens!H11671*mix_g2</f>
        <v>1462.5</v>
      </c>
      <c r="I11673" s="29" t="n">
        <f aca="false">Sens!H11673-Sens!I11671*mix_g2</f>
        <v>1242</v>
      </c>
      <c r="J11673" s="29" t="n">
        <f aca="false">Sens!I11673-Sens!J11671*mix_g2</f>
        <v>909</v>
      </c>
      <c r="K11673" s="29" t="n">
        <f aca="false">Sens!J11673-Sens!K11671*mix_g2</f>
        <v>247.5</v>
      </c>
    </row>
    <row r="11674" customFormat="false" ht="17.15" hidden="false" customHeight="false" outlineLevel="0" collapsed="false">
      <c r="A11674" s="1" t="s">
        <v>825</v>
      </c>
      <c r="B11674" s="0" t="s">
        <v>399</v>
      </c>
      <c r="C11674" s="29" t="n">
        <f aca="false">mix_g3*Sens!C11664</f>
        <v>224</v>
      </c>
      <c r="D11674" s="29" t="n">
        <f aca="false">mix_g3*Sens!D11664</f>
        <v>570.5</v>
      </c>
      <c r="E11674" s="29" t="n">
        <f aca="false">mix_g3*Sens!E11664</f>
        <v>1137.5</v>
      </c>
      <c r="F11674" s="29" t="n">
        <f aca="false">Sens!E11674+(Sens!F11670+Sens!F11671)*a_g3_27-Sens!F11671*mix_g3</f>
        <v>2906.54</v>
      </c>
      <c r="G11674" s="29" t="n">
        <f aca="false">Sens!F11674+(Sens!G11670+Sens!G11671)*a_g3_28-Sens!G11671*mix_g3</f>
        <v>3664.7</v>
      </c>
      <c r="H11674" s="29" t="n">
        <f aca="false">Sens!G11674+(Sens!H11670+Sens!H11671)*a_g3_29-Sens!H11671*mix_g3</f>
        <v>3917.42</v>
      </c>
      <c r="I11674" s="29" t="n">
        <f aca="false">Sens!H11674+(Sens!I11670+Sens!I11671)*a_g3_29-Sens!I11671*mix_g3</f>
        <v>3974.2316</v>
      </c>
      <c r="J11674" s="29" t="n">
        <f aca="false">Sens!I11674+(Sens!J11670+Sens!J11671)*a_g3_29-Sens!J11671*mix_g3</f>
        <v>3898.721032</v>
      </c>
      <c r="K11674" s="29" t="n">
        <f aca="false">Sens!J11674+(Sens!K11670+Sens!K11671)*a_g3_29-Sens!K11671*mix_g3</f>
        <v>3572.37986296</v>
      </c>
    </row>
    <row r="11675" customFormat="false" ht="17.15" hidden="false" customHeight="false" outlineLevel="0" collapsed="false">
      <c r="A11675" s="1" t="s">
        <v>826</v>
      </c>
      <c r="B11675" s="0" t="s">
        <v>399</v>
      </c>
      <c r="C11675" s="29" t="n">
        <v>0</v>
      </c>
      <c r="D11675" s="29" t="n">
        <v>0</v>
      </c>
      <c r="E11675" s="29" t="n">
        <v>0</v>
      </c>
      <c r="F11675" s="29" t="n">
        <f aca="false">Sens!E11675+(Sens!F11670+Sens!F11671)*(1-a_g3_27)</f>
        <v>758.16</v>
      </c>
      <c r="G11675" s="29" t="n">
        <f aca="false">Sens!F11675+(Sens!G11670+Sens!G11671)*(1-a_g3_28)</f>
        <v>2527.2</v>
      </c>
      <c r="H11675" s="29" t="n">
        <f aca="false">Sens!G11675+(Sens!H11670+Sens!H11671)*(1-a_g3_29)</f>
        <v>4801.68</v>
      </c>
      <c r="I11675" s="29" t="n">
        <f aca="false">Sens!H11675+(Sens!I11670+Sens!I11671)*(1-a_g3_29)</f>
        <v>6856.4844</v>
      </c>
      <c r="J11675" s="29" t="n">
        <f aca="false">Sens!I11675+(Sens!J11670+Sens!J11671)*(1-a_g3_29)</f>
        <v>8507.889288</v>
      </c>
      <c r="K11675" s="29" t="n">
        <f aca="false">Sens!J11675+(Sens!K11670+Sens!K11671)*(1-a_g3_29)</f>
        <v>10201.31876664</v>
      </c>
    </row>
    <row r="11676" customFormat="false" ht="17.15" hidden="false" customHeight="false" outlineLevel="0" collapsed="false">
      <c r="A11676" s="1" t="s">
        <v>827</v>
      </c>
      <c r="B11676" s="0" t="s">
        <v>346</v>
      </c>
      <c r="C11676" s="14" t="n">
        <f aca="false">(Sens!C11672*tk_hold_h100+Sens!C11673*tk_hold_gb200+Sens!C11674*tk_hold_gb300+Sens!C11675*tk_hold_vr200)/Sens!C11664</f>
        <v>9.7235358126469</v>
      </c>
      <c r="D11676" s="14" t="n">
        <f aca="false">(Sens!D11672*tk_hold_h100+Sens!D11673*tk_hold_gb200+Sens!D11674*tk_hold_gb300+Sens!D11675*tk_hold_vr200)/Sens!D11664</f>
        <v>9.7235358126469</v>
      </c>
      <c r="E11676" s="14" t="n">
        <f aca="false">(Sens!E11672*tk_hold_h100+Sens!E11673*tk_hold_gb200+Sens!E11674*tk_hold_gb300+Sens!E11675*tk_hold_vr200)/Sens!E11664</f>
        <v>9.7235358126469</v>
      </c>
      <c r="F11676" s="14" t="n">
        <f aca="false">(Sens!F11672*tk_hold_h100+Sens!F11673*tk_hold_gb200+Sens!F11674*tk_hold_gb300+Sens!F11675*tk_hold_vr200)/Sens!F11664</f>
        <v>10.4079573161931</v>
      </c>
      <c r="G11676" s="14" t="n">
        <f aca="false">(Sens!G11672*tk_hold_h100+Sens!G11673*tk_hold_gb200+Sens!G11674*tk_hold_gb300+Sens!G11675*tk_hold_vr200)/Sens!G11664</f>
        <v>10.8388131109316</v>
      </c>
      <c r="H11676" s="14" t="n">
        <f aca="false">(Sens!H11672*tk_hold_h100+Sens!H11673*tk_hold_gb200+Sens!H11674*tk_hold_gb300+Sens!H11675*tk_hold_vr200)/Sens!H11664</f>
        <v>11.1311018388216</v>
      </c>
      <c r="I11676" s="14" t="n">
        <f aca="false">(Sens!I11672*tk_hold_h100+Sens!I11673*tk_hold_gb200+Sens!I11674*tk_hold_gb300+Sens!I11675*tk_hold_vr200)/Sens!I11664</f>
        <v>11.3594282560989</v>
      </c>
      <c r="J11676" s="14" t="n">
        <f aca="false">(Sens!J11672*tk_hold_h100+Sens!J11673*tk_hold_gb200+Sens!J11674*tk_hold_gb300+Sens!J11675*tk_hold_vr200)/Sens!J11664</f>
        <v>11.5455817917599</v>
      </c>
      <c r="K11676" s="14" t="n">
        <f aca="false">(Sens!K11672*tk_hold_h100+Sens!K11673*tk_hold_gb200+Sens!K11674*tk_hold_gb300+Sens!K11675*tk_hold_vr200)/Sens!K11664</f>
        <v>11.8078187977246</v>
      </c>
    </row>
    <row r="11677" customFormat="false" ht="17.15" hidden="false" customHeight="false" outlineLevel="0" collapsed="false">
      <c r="A11677" s="0" t="s">
        <v>828</v>
      </c>
      <c r="B11677" s="0" t="s">
        <v>185</v>
      </c>
      <c r="C11677" s="14" t="n">
        <f aca="false">k_B</f>
        <v>1.17213932619116</v>
      </c>
      <c r="D11677" s="14" t="n">
        <f aca="false">k_B</f>
        <v>1.17213932619116</v>
      </c>
      <c r="E11677" s="14" t="n">
        <f aca="false">k_B</f>
        <v>1.17213932619116</v>
      </c>
      <c r="F11677" s="14" t="n">
        <f aca="false">(k_B+((ls_A*k_long+(1-ls_A)*k_spot)-k_B)*MIN(1,(Sens!F11662-base_fy)/k_ramp))</f>
        <v>1.25022828131298</v>
      </c>
      <c r="G11677" s="14" t="n">
        <f aca="false">(k_B+((ls_A*k_long+(1-ls_A)*k_spot)-k_B)*MIN(1,(Sens!G11662-base_fy)/k_ramp))</f>
        <v>1.3283172364348</v>
      </c>
      <c r="H11677" s="14" t="n">
        <f aca="false">(k_B+((ls_A*k_long+(1-ls_A)*k_spot)-k_B)*MIN(1,(Sens!H11662-base_fy)/k_ramp))</f>
        <v>1.40640619155662</v>
      </c>
      <c r="I11677" s="14" t="n">
        <f aca="false">(k_B+((ls_A*k_long+(1-ls_A)*k_spot)-k_B)*MIN(1,(Sens!I11662-base_fy)/k_ramp))</f>
        <v>1.40640619155662</v>
      </c>
      <c r="J11677" s="14" t="n">
        <f aca="false">(k_B+((ls_A*k_long+(1-ls_A)*k_spot)-k_B)*MIN(1,(Sens!J11662-base_fy)/k_ramp))</f>
        <v>1.40640619155662</v>
      </c>
      <c r="K11677" s="14" t="n">
        <f aca="false">(k_B+((ls_A*k_long+(1-ls_A)*k_spot)-k_B)*MIN(1,(Sens!K11662-base_fy)/k_ramp))</f>
        <v>1.40640619155662</v>
      </c>
      <c r="L11677" s="1" t="s">
        <v>829</v>
      </c>
    </row>
    <row r="11678" customFormat="false" ht="17.15" hidden="false" customHeight="false" outlineLevel="0" collapsed="false">
      <c r="A11678" s="1" t="s">
        <v>830</v>
      </c>
      <c r="B11678" s="0" t="s">
        <v>346</v>
      </c>
      <c r="C11678" s="14" t="n">
        <f aca="false">Sens!C11676*Sens!C11677*chip_f</f>
        <v>11.3973387156315</v>
      </c>
      <c r="D11678" s="14" t="n">
        <f aca="false">Sens!D11676*Sens!D11677*chip_f</f>
        <v>11.3973387156315</v>
      </c>
      <c r="E11678" s="14" t="n">
        <f aca="false">Sens!E11676*Sens!E11677*chip_f</f>
        <v>11.3973387156315</v>
      </c>
      <c r="F11678" s="14" t="n">
        <f aca="false">Sens!F11676*Sens!F11677*chip_f</f>
        <v>13.0123225874029</v>
      </c>
      <c r="G11678" s="14" t="n">
        <f aca="false">Sens!G11676*Sens!G11677*chip_f</f>
        <v>14.3973822777458</v>
      </c>
      <c r="H11678" s="14" t="n">
        <f aca="false">Sens!H11676*Sens!H11677*chip_f</f>
        <v>15.6548505449659</v>
      </c>
      <c r="I11678" s="14" t="n">
        <f aca="false">Sens!I11676*Sens!I11677*chip_f</f>
        <v>15.9759702319207</v>
      </c>
      <c r="J11678" s="14" t="n">
        <f aca="false">Sens!J11676*Sens!J11677*chip_f</f>
        <v>16.2377777170545</v>
      </c>
      <c r="K11678" s="14" t="n">
        <f aca="false">Sens!K11676*Sens!K11677*chip_f</f>
        <v>16.6065894658985</v>
      </c>
      <c r="L11678" s="1" t="s">
        <v>831</v>
      </c>
    </row>
    <row r="11679" customFormat="false" ht="17.15" hidden="false" customHeight="false" outlineLevel="0" collapsed="false">
      <c r="A11679" s="0" t="s">
        <v>832</v>
      </c>
      <c r="B11679" s="0" t="s">
        <v>98</v>
      </c>
      <c r="D11679" s="6" t="n">
        <f aca="false">(Sens!C11664+Sens!D11664)/2*Sens!D11678/1000</f>
        <v>12.9359794422418</v>
      </c>
      <c r="E11679" s="6" t="n">
        <f aca="false">(Sens!D11664+Sens!E11664)/2*Sens!E11678/1000</f>
        <v>27.8095064661409</v>
      </c>
      <c r="F11679" s="6" t="n">
        <f aca="false">(Sens!E11664+Sens!F11664)/2*Sens!F11678/1000</f>
        <v>58.7324192305018</v>
      </c>
      <c r="G11679" s="6" t="n">
        <f aca="false">(Sens!F11664+Sens!G11664)/2*Sens!G11678/1000</f>
        <v>101.369089141153</v>
      </c>
      <c r="H11679" s="6" t="n">
        <f aca="false">(Sens!G11664+Sens!H11664)/2*Sens!H11678/1000</f>
        <v>149.785610014234</v>
      </c>
      <c r="I11679" s="6" t="n">
        <f aca="false">(Sens!H11664+Sens!I11664)/2*Sens!I11678/1000</f>
        <v>187.368703083263</v>
      </c>
      <c r="J11679" s="6" t="n">
        <f aca="false">(Sens!I11664+Sens!J11664)/2*Sens!J11678/1000</f>
        <v>213.886657444854</v>
      </c>
      <c r="K11679" s="6" t="n">
        <f aca="false">(Sens!J11664+Sens!K11664)/2*Sens!K11678/1000</f>
        <v>231.253475259589</v>
      </c>
      <c r="L11679" s="11" t="s">
        <v>833</v>
      </c>
    </row>
    <row r="11680" customFormat="false" ht="17.15" hidden="false" customHeight="false" outlineLevel="0" collapsed="false">
      <c r="A11680" s="1" t="s">
        <v>834</v>
      </c>
      <c r="B11680" s="0" t="s">
        <v>346</v>
      </c>
      <c r="C11680" s="14" t="n">
        <f aca="false">(Sens!C11672*tk_opex_h100+Sens!C11673*tk_opex_gb200+Sens!C11674*tk_opex_gb300+Sens!C11675*tk_opex_vr200)/Sens!C11664</f>
        <v>1.88636041306092</v>
      </c>
      <c r="D11680" s="14" t="n">
        <f aca="false">(Sens!D11672*tk_opex_h100+Sens!D11673*tk_opex_gb200+Sens!D11674*tk_opex_gb300+Sens!D11675*tk_opex_vr200)/Sens!D11664</f>
        <v>1.88636041306092</v>
      </c>
      <c r="E11680" s="14" t="n">
        <f aca="false">(Sens!E11672*tk_opex_h100+Sens!E11673*tk_opex_gb200+Sens!E11674*tk_opex_gb300+Sens!E11675*tk_opex_vr200)/Sens!E11664</f>
        <v>1.88636041306092</v>
      </c>
      <c r="F11680" s="14" t="n">
        <f aca="false">(Sens!F11672*tk_opex_h100+Sens!F11673*tk_opex_gb200+Sens!F11674*tk_opex_gb300+Sens!F11675*tk_opex_vr200)/Sens!F11664</f>
        <v>1.9430236476499</v>
      </c>
      <c r="G11680" s="14" t="n">
        <f aca="false">(Sens!G11672*tk_opex_h100+Sens!G11673*tk_opex_gb200+Sens!G11674*tk_opex_gb300+Sens!G11675*tk_opex_vr200)/Sens!G11664</f>
        <v>1.9786941852423</v>
      </c>
      <c r="H11680" s="14" t="n">
        <f aca="false">(Sens!H11672*tk_opex_h100+Sens!H11673*tk_opex_gb200+Sens!H11674*tk_opex_gb300+Sens!H11675*tk_opex_vr200)/Sens!H11664</f>
        <v>2.00289275976156</v>
      </c>
      <c r="I11680" s="14" t="n">
        <f aca="false">(Sens!I11672*tk_opex_h100+Sens!I11673*tk_opex_gb200+Sens!I11674*tk_opex_gb300+Sens!I11675*tk_opex_vr200)/Sens!I11664</f>
        <v>2.02179589661219</v>
      </c>
      <c r="J11680" s="14" t="n">
        <f aca="false">(Sens!J11672*tk_opex_h100+Sens!J11673*tk_opex_gb200+Sens!J11674*tk_opex_gb300+Sens!J11675*tk_opex_vr200)/Sens!J11664</f>
        <v>2.03720754193029</v>
      </c>
      <c r="K11680" s="14" t="n">
        <f aca="false">(Sens!K11672*tk_opex_h100+Sens!K11673*tk_opex_gb200+Sens!K11674*tk_opex_gb300+Sens!K11675*tk_opex_vr200)/Sens!K11664</f>
        <v>2.0589181353437</v>
      </c>
    </row>
    <row r="11681" customFormat="false" ht="17.15" hidden="false" customHeight="false" outlineLevel="0" collapsed="false">
      <c r="A11681" s="0" t="s">
        <v>835</v>
      </c>
      <c r="B11681" s="0" t="s">
        <v>98</v>
      </c>
      <c r="D11681" s="6" t="n">
        <f aca="false">(Sens!C11667+Sens!D11667)/2*Sens!D11680/1000</f>
        <v>2.70378325872065</v>
      </c>
      <c r="E11681" s="6" t="n">
        <f aca="false">(Sens!D11667+Sens!E11667)/2*Sens!E11680/1000</f>
        <v>6.17783035277451</v>
      </c>
      <c r="F11681" s="6" t="n">
        <f aca="false">(Sens!E11667+Sens!F11667)/2*Sens!F11680/1000</f>
        <v>12.5020618235287</v>
      </c>
      <c r="G11681" s="6" t="n">
        <f aca="false">(Sens!F11667+Sens!G11667)/2*Sens!G11680/1000</f>
        <v>20.7261620256847</v>
      </c>
      <c r="H11681" s="6" t="n">
        <f aca="false">(Sens!G11667+Sens!H11667)/2*Sens!H11680/1000</f>
        <v>29.4158183316982</v>
      </c>
      <c r="I11681" s="6" t="n">
        <f aca="false">(Sens!H11667+Sens!I11667)/2*Sens!I11680/1000</f>
        <v>36.9724400356344</v>
      </c>
      <c r="J11681" s="6" t="n">
        <f aca="false">(Sens!I11667+Sens!J11667)/2*Sens!J11680/1000</f>
        <v>42.1571687189816</v>
      </c>
      <c r="K11681" s="6" t="n">
        <f aca="false">(Sens!J11667+Sens!K11667)/2*Sens!K11680/1000</f>
        <v>45.1912095080704</v>
      </c>
    </row>
    <row r="11682" customFormat="false" ht="17.15" hidden="false" customHeight="false" outlineLevel="0" collapsed="false">
      <c r="A11682" s="0" t="s">
        <v>836</v>
      </c>
      <c r="B11682" s="0" t="s">
        <v>98</v>
      </c>
      <c r="D11682" s="6" t="n">
        <f aca="false">(Sens!C11665+Sens!D11665)/2*rent_mw/1000</f>
        <v>2.44475</v>
      </c>
      <c r="E11682" s="6" t="n">
        <f aca="false">(Sens!D11665+Sens!E11665)/2*rent_mw/1000</f>
        <v>4.22275</v>
      </c>
      <c r="F11682" s="6" t="n">
        <f aca="false">(Sens!E11665+Sens!F11665)/2*rent_mw/1000</f>
        <v>5.80517</v>
      </c>
      <c r="G11682" s="6" t="n">
        <f aca="false">(Sens!F11665+Sens!G11665)/2*rent_mw/1000</f>
        <v>6.72084</v>
      </c>
      <c r="H11682" s="6" t="n">
        <f aca="false">(Sens!G11665+Sens!H11665)/2*rent_mw/1000</f>
        <v>6.72084</v>
      </c>
      <c r="I11682" s="6" t="n">
        <f aca="false">(Sens!H11665+Sens!I11665)/2*rent_mw/1000</f>
        <v>6.72084</v>
      </c>
      <c r="J11682" s="6" t="n">
        <f aca="false">(Sens!I11665+Sens!J11665)/2*rent_mw/1000</f>
        <v>6.72084</v>
      </c>
      <c r="K11682" s="6" t="n">
        <f aca="false">(Sens!J11665+Sens!K11665)/2*rent_mw/1000</f>
        <v>6.72084</v>
      </c>
    </row>
    <row r="11683" customFormat="false" ht="17.15" hidden="false" customHeight="false" outlineLevel="0" collapsed="false">
      <c r="A11683" s="0" t="s">
        <v>837</v>
      </c>
      <c r="B11683" s="0" t="s">
        <v>98</v>
      </c>
      <c r="D11683" s="6" t="n">
        <f aca="false">(Sens!C11667+Sens!D11667)/2*(1-self_build)*fac_rent/1000</f>
        <v>0.853242375631075</v>
      </c>
      <c r="E11683" s="6" t="n">
        <f aca="false">(Sens!D11667+Sens!E11667)/2*(1-self_build)*fac_rent/1000</f>
        <v>1.94955961408728</v>
      </c>
      <c r="F11683" s="6" t="n">
        <f aca="false">(Sens!E11667+Sens!F11667)/2*(1-self_build)*fac_rent/1000</f>
        <v>3.83026455274573</v>
      </c>
      <c r="G11683" s="6" t="n">
        <f aca="false">(Sens!F11667+Sens!G11667)/2*(1-self_build)*fac_rent/1000</f>
        <v>6.23541590972812</v>
      </c>
      <c r="H11683" s="6" t="n">
        <f aca="false">(Sens!G11667+Sens!H11667)/2*(1-self_build)*fac_rent/1000</f>
        <v>8.74275792332679</v>
      </c>
      <c r="I11683" s="6" t="n">
        <f aca="false">(Sens!H11667+Sens!I11667)/2*(1-self_build)*fac_rent/1000</f>
        <v>10.8859420438599</v>
      </c>
      <c r="J11683" s="6" t="n">
        <f aca="false">(Sens!I11667+Sens!J11667)/2*(1-self_build)*fac_rent/1000</f>
        <v>12.3186006405366</v>
      </c>
      <c r="K11683" s="6" t="n">
        <f aca="false">(Sens!J11667+Sens!K11667)/2*(1-self_build)*fac_rent/1000</f>
        <v>13.0659232089824</v>
      </c>
      <c r="L11683" s="11" t="s">
        <v>838</v>
      </c>
    </row>
    <row r="11684" customFormat="false" ht="17.15" hidden="false" customHeight="false" outlineLevel="0" collapsed="false">
      <c r="A11684" s="1" t="s">
        <v>839</v>
      </c>
      <c r="B11684" s="0" t="s">
        <v>129</v>
      </c>
      <c r="D11684" s="7" t="n">
        <f aca="false">(Sens!C11666+Sens!D11666)/(Sens!C11667+Sens!D11667)</f>
        <v>0.6</v>
      </c>
      <c r="E11684" s="7" t="n">
        <f aca="false">(Sens!D11666+Sens!E11666)/(Sens!D11667+Sens!E11667)</f>
        <v>0.6</v>
      </c>
      <c r="F11684" s="7" t="n">
        <f aca="false">(Sens!E11666+Sens!F11666)/(Sens!E11667+Sens!F11667)</f>
        <v>0.6</v>
      </c>
      <c r="G11684" s="7" t="n">
        <f aca="false">(Sens!F11666+Sens!G11666)/(Sens!F11667+Sens!G11667)</f>
        <v>0.6</v>
      </c>
      <c r="H11684" s="7" t="n">
        <f aca="false">(Sens!G11666+Sens!H11666)/(Sens!G11667+Sens!H11667)</f>
        <v>0.6</v>
      </c>
      <c r="I11684" s="7" t="n">
        <f aca="false">(Sens!H11666+Sens!I11666)/(Sens!H11667+Sens!I11667)</f>
        <v>0.6</v>
      </c>
      <c r="J11684" s="7" t="n">
        <f aca="false">(Sens!I11666+Sens!J11666)/(Sens!I11667+Sens!J11667)</f>
        <v>0.6</v>
      </c>
      <c r="K11684" s="7" t="n">
        <f aca="false">(Sens!J11666+Sens!K11666)/(Sens!J11667+Sens!K11667)</f>
        <v>0.6</v>
      </c>
    </row>
    <row r="11685" customFormat="false" ht="17.15" hidden="false" customHeight="false" outlineLevel="0" collapsed="false">
      <c r="A11685" s="0" t="s">
        <v>840</v>
      </c>
      <c r="B11685" s="0" t="s">
        <v>98</v>
      </c>
      <c r="D11685" s="6" t="n">
        <f aca="false">Sens!D11679-Sens!D11684*(Sens!D11681+Sens!D11683)-Sens!D11682</f>
        <v>8.35701406163072</v>
      </c>
      <c r="E11685" s="6" t="n">
        <f aca="false">Sens!E11679-Sens!E11684*(Sens!E11681+Sens!E11683)-Sens!E11682</f>
        <v>18.7103224860238</v>
      </c>
      <c r="F11685" s="6" t="n">
        <f aca="false">Sens!F11679-Sens!F11684*(Sens!F11681+Sens!F11683)-Sens!F11682</f>
        <v>43.1278534047371</v>
      </c>
      <c r="G11685" s="6" t="n">
        <f aca="false">Sens!G11679-Sens!G11684*(Sens!G11681+Sens!G11683)-Sens!G11682</f>
        <v>78.4713023799053</v>
      </c>
      <c r="H11685" s="6" t="n">
        <f aca="false">Sens!H11679-Sens!H11684*(Sens!H11681+Sens!H11683)-Sens!H11682</f>
        <v>120.169624261219</v>
      </c>
      <c r="I11685" s="6" t="n">
        <f aca="false">Sens!I11679-Sens!I11684*(Sens!I11681+Sens!I11683)-Sens!I11682</f>
        <v>151.932833835566</v>
      </c>
      <c r="J11685" s="6" t="n">
        <f aca="false">Sens!J11679-Sens!J11684*(Sens!J11681+Sens!J11683)-Sens!J11682</f>
        <v>174.480355829143</v>
      </c>
      <c r="K11685" s="6" t="n">
        <f aca="false">Sens!K11679-Sens!K11684*(Sens!K11681+Sens!K11683)-Sens!K11682</f>
        <v>189.578355629358</v>
      </c>
    </row>
    <row r="11686" customFormat="false" ht="17.15" hidden="false" customHeight="false" outlineLevel="0" collapsed="false">
      <c r="A11686" s="1" t="s">
        <v>841</v>
      </c>
      <c r="B11686" s="0" t="s">
        <v>98</v>
      </c>
      <c r="D11686" s="6" t="n">
        <f aca="false">(1-Sens!D11684)*(Sens!D11681+Sens!D11683)</f>
        <v>1.42281025374069</v>
      </c>
      <c r="E11686" s="6" t="n">
        <f aca="false">(1-Sens!E11684)*(Sens!E11681+Sens!E11683)</f>
        <v>3.25095598674472</v>
      </c>
      <c r="F11686" s="6" t="n">
        <f aca="false">(1-Sens!F11684)*(Sens!F11681+Sens!F11683)</f>
        <v>6.53293055050977</v>
      </c>
      <c r="G11686" s="6" t="n">
        <f aca="false">(1-Sens!G11684)*(Sens!G11681+Sens!G11683)</f>
        <v>10.7846311741651</v>
      </c>
      <c r="H11686" s="6" t="n">
        <f aca="false">(1-Sens!H11684)*(Sens!H11681+Sens!H11683)</f>
        <v>15.26343050201</v>
      </c>
      <c r="I11686" s="6" t="n">
        <f aca="false">(1-Sens!I11684)*(Sens!I11681+Sens!I11683)</f>
        <v>19.1433528317977</v>
      </c>
      <c r="J11686" s="6" t="n">
        <f aca="false">(1-Sens!J11684)*(Sens!J11681+Sens!J11683)</f>
        <v>21.7903077438073</v>
      </c>
      <c r="K11686" s="6" t="n">
        <f aca="false">(1-Sens!K11684)*(Sens!K11681+Sens!K11683)</f>
        <v>23.3028530868211</v>
      </c>
    </row>
    <row r="11687" customFormat="false" ht="17.15" hidden="false" customHeight="false" outlineLevel="0" collapsed="false">
      <c r="A11687" s="1" t="s">
        <v>842</v>
      </c>
      <c r="B11687" s="0" t="s">
        <v>357</v>
      </c>
      <c r="C11687" s="8" t="n">
        <f aca="false">cxit_open</f>
        <v>27.5918995</v>
      </c>
      <c r="D11687" s="8" t="n">
        <f aca="false">cxit_open</f>
        <v>27.5918995</v>
      </c>
      <c r="E11687" s="8" t="n">
        <f aca="false">cxit_open</f>
        <v>27.5918995</v>
      </c>
      <c r="F11687" s="8" t="n">
        <f aca="false">(a_g3_27*tk_cxit_gb300+(1-a_g3_27)*tk_cxit_vr200)</f>
        <v>33.8419624</v>
      </c>
      <c r="G11687" s="8" t="n">
        <f aca="false">(a_g3_28*tk_cxit_gb300+(1-a_g3_28)*tk_cxit_vr200)</f>
        <v>35.9816136</v>
      </c>
      <c r="H11687" s="8" t="n">
        <f aca="false">(a_g3_29*tk_cxit_gb300+(1-a_g3_29)*tk_cxit_vr200)</f>
        <v>37.0514392</v>
      </c>
      <c r="I11687" s="8" t="n">
        <f aca="false">(a_g3_29*tk_cxit_gb300+(1-a_g3_29)*tk_cxit_vr200)</f>
        <v>37.0514392</v>
      </c>
      <c r="J11687" s="8" t="n">
        <f aca="false">(a_g3_29*tk_cxit_gb300+(1-a_g3_29)*tk_cxit_vr200)</f>
        <v>37.0514392</v>
      </c>
      <c r="K11687" s="8" t="n">
        <f aca="false">(a_g3_29*tk_cxit_gb300+(1-a_g3_29)*tk_cxit_vr200)</f>
        <v>37.0514392</v>
      </c>
      <c r="L11687" s="11" t="s">
        <v>843</v>
      </c>
    </row>
    <row r="11688" customFormat="false" ht="17.15" hidden="false" customHeight="false" outlineLevel="0" collapsed="false">
      <c r="A11688" s="0" t="s">
        <v>844</v>
      </c>
      <c r="B11688" s="0" t="s">
        <v>399</v>
      </c>
      <c r="F11688" s="29" t="n">
        <f aca="false">Sens!C11669*IF(Sens!F11662-Sens!C11662=life_it,1,0)+Sens!D11669*IF(Sens!F11662-Sens!D11662=life_it,1,0)+Sens!E11669*IF(Sens!F11662-Sens!E11662=life_it,1,0)</f>
        <v>0</v>
      </c>
      <c r="G11688" s="29" t="n">
        <f aca="false">Sens!C11669*IF(Sens!G11662-Sens!C11662=life_it,1,0)+Sens!D11669*IF(Sens!G11662-Sens!D11662=life_it,1,0)+Sens!E11669*IF(Sens!G11662-Sens!E11662=life_it,1,0)+Sens!F11669*IF(Sens!G11662-Sens!F11662=life_it,1,0)</f>
        <v>0</v>
      </c>
      <c r="H11688" s="29" t="n">
        <f aca="false">Sens!C11669*IF(Sens!H11662-Sens!C11662=life_it,1,0)+Sens!D11669*IF(Sens!H11662-Sens!D11662=life_it,1,0)+Sens!E11669*IF(Sens!H11662-Sens!E11662=life_it,1,0)+Sens!F11669*IF(Sens!H11662-Sens!F11662=life_it,1,0)+Sens!G11669*IF(Sens!H11662-Sens!G11662=life_it,1,0)</f>
        <v>0</v>
      </c>
      <c r="I11688" s="29" t="n">
        <f aca="false">Sens!C11669*IF(Sens!I11662-Sens!C11662=life_it,1,0)+Sens!D11669*IF(Sens!I11662-Sens!D11662=life_it,1,0)+Sens!E11669*IF(Sens!I11662-Sens!E11662=life_it,1,0)+Sens!F11669*IF(Sens!I11662-Sens!F11662=life_it,1,0)+Sens!G11669*IF(Sens!I11662-Sens!G11662=life_it,1,0)+Sens!H11669*IF(Sens!I11662-Sens!H11662=life_it,1,0)</f>
        <v>816.666666666667</v>
      </c>
      <c r="J11688" s="29" t="n">
        <f aca="false">Sens!C11669*IF(Sens!J11662-Sens!C11662=life_it,1,0)+Sens!D11669*IF(Sens!J11662-Sens!D11662=life_it,1,0)+Sens!E11669*IF(Sens!J11662-Sens!E11662=life_it,1,0)+Sens!F11669*IF(Sens!J11662-Sens!F11662=life_it,1,0)+Sens!G11669*IF(Sens!J11662-Sens!G11662=life_it,1,0)+Sens!H11669*IF(Sens!J11662-Sens!H11662=life_it,1,0)+Sens!I11669*IF(Sens!J11662-Sens!I11662=life_it,1,0)</f>
        <v>1233.33333333333</v>
      </c>
      <c r="K11688" s="29" t="n">
        <f aca="false">Sens!C11669*IF(Sens!K11662-Sens!C11662=life_it,1,0)+Sens!D11669*IF(Sens!K11662-Sens!D11662=life_it,1,0)+Sens!E11669*IF(Sens!K11662-Sens!E11662=life_it,1,0)+Sens!F11669*IF(Sens!K11662-Sens!F11662=life_it,1,0)+Sens!G11669*IF(Sens!K11662-Sens!G11662=life_it,1,0)+Sens!H11669*IF(Sens!K11662-Sens!H11662=life_it,1,0)+Sens!I11669*IF(Sens!K11662-Sens!I11662=life_it,1,0)+Sens!J11669*IF(Sens!K11662-Sens!J11662=life_it,1,0)</f>
        <v>2450</v>
      </c>
      <c r="L11688" s="1" t="s">
        <v>845</v>
      </c>
    </row>
    <row r="11689" customFormat="false" ht="17.15" hidden="false" customHeight="false" outlineLevel="0" collapsed="false">
      <c r="A11689" s="0" t="s">
        <v>846</v>
      </c>
      <c r="B11689" s="0" t="s">
        <v>98</v>
      </c>
      <c r="C11689" s="6" t="n">
        <f aca="false">Sens!C11669*Sens!C11687/1000</f>
        <v>22.5333845916667</v>
      </c>
      <c r="D11689" s="6" t="n">
        <f aca="false">Sens!D11669*Sens!D11687/1000</f>
        <v>34.0300093833333</v>
      </c>
      <c r="E11689" s="6" t="n">
        <f aca="false">Sens!E11669*Sens!E11687/1000</f>
        <v>67.600153775</v>
      </c>
      <c r="F11689" s="6" t="n">
        <f aca="false">(Sens!F11669+Sens!F11688)*Sens!F11687/1000</f>
        <v>130.923271871467</v>
      </c>
      <c r="G11689" s="6" t="n">
        <f aca="false">(Sens!G11669+Sens!G11688)*Sens!G11687/1000</f>
        <v>151.5545564832</v>
      </c>
      <c r="H11689" s="6" t="n">
        <f aca="false">(Sens!H11669+Sens!H11688)*Sens!H11687/1000</f>
        <v>156.0606619104</v>
      </c>
      <c r="I11689" s="6" t="n">
        <f aca="false">(Sens!I11669+Sens!I11688)*Sens!I11687/1000</f>
        <v>140.987889434245</v>
      </c>
      <c r="J11689" s="6" t="n">
        <f aca="false">(Sens!J11669+Sens!J11688)*Sens!J11687/1000</f>
        <v>113.309125559842</v>
      </c>
      <c r="K11689" s="6" t="n">
        <f aca="false">(Sens!K11669+Sens!K11688)*Sens!K11687/1000</f>
        <v>116.192591420959</v>
      </c>
    </row>
    <row r="11690" customFormat="false" ht="17.15" hidden="false" customHeight="false" outlineLevel="0" collapsed="false">
      <c r="A11690" s="0" t="s">
        <v>847</v>
      </c>
      <c r="B11690" s="0" t="s">
        <v>98</v>
      </c>
      <c r="C11690" s="6" t="n">
        <f aca="false">Sens!C11669*self_build*tk_cxfac/1000</f>
        <v>6.2083</v>
      </c>
      <c r="D11690" s="6" t="n">
        <f aca="false">Sens!D11669*self_build*tk_cxfac/1000</f>
        <v>9.3758</v>
      </c>
      <c r="E11690" s="6" t="n">
        <f aca="false">Sens!E11669*self_build*tk_cxfac/1000</f>
        <v>18.6249</v>
      </c>
      <c r="F11690" s="6" t="n">
        <f aca="false">Sens!F11669*self_build*tk_cxfac/1000</f>
        <v>29.409604</v>
      </c>
      <c r="G11690" s="6" t="n">
        <f aca="false">Sens!G11669*self_build*tk_cxfac/1000</f>
        <v>32.019624</v>
      </c>
      <c r="H11690" s="6" t="n">
        <f aca="false">Sens!H11669*self_build*tk_cxfac/1000</f>
        <v>32.019624</v>
      </c>
      <c r="I11690" s="6" t="n">
        <f aca="false">Sens!I11669*self_build*tk_cxfac/1000</f>
        <v>22.71877972</v>
      </c>
      <c r="J11690" s="6" t="n">
        <f aca="false">Sens!J11669*self_build*tk_cxfac/1000</f>
        <v>13.8723110344</v>
      </c>
      <c r="K11690" s="6" t="n">
        <f aca="false">Sens!K11669*self_build*tk_cxfac/1000</f>
        <v>5.214823882632</v>
      </c>
    </row>
    <row r="11691" customFormat="false" ht="17.15" hidden="false" customHeight="false" outlineLevel="0" collapsed="false">
      <c r="A11691" s="0" t="s">
        <v>848</v>
      </c>
      <c r="B11691" s="0" t="s">
        <v>98</v>
      </c>
      <c r="F11691" s="6" t="n">
        <f aca="false">MAX(0,capex_floor27-Sens!F11689-Sens!F11690-Sens!F11785)</f>
        <v>8.13777689897088</v>
      </c>
    </row>
    <row r="11692" customFormat="false" ht="17.15" hidden="false" customHeight="false" outlineLevel="0" collapsed="false">
      <c r="A11692" s="0" t="s">
        <v>849</v>
      </c>
      <c r="B11692" s="0" t="s">
        <v>98</v>
      </c>
      <c r="C11692" s="6" t="n">
        <f aca="false">Sens!C11689</f>
        <v>22.5333845916667</v>
      </c>
      <c r="D11692" s="6" t="n">
        <f aca="false">Sens!D11689</f>
        <v>34.0300093833333</v>
      </c>
      <c r="E11692" s="6" t="n">
        <f aca="false">Sens!E11689</f>
        <v>67.600153775</v>
      </c>
      <c r="F11692" s="6" t="n">
        <f aca="false">Sens!F11689</f>
        <v>130.923271871467</v>
      </c>
      <c r="G11692" s="6" t="n">
        <f aca="false">Sens!G11689</f>
        <v>151.5545564832</v>
      </c>
      <c r="H11692" s="6" t="n">
        <f aca="false">Sens!H11689</f>
        <v>156.0606619104</v>
      </c>
      <c r="I11692" s="6" t="n">
        <f aca="false">Sens!I11689</f>
        <v>140.987889434245</v>
      </c>
      <c r="J11692" s="6" t="n">
        <f aca="false">Sens!J11689</f>
        <v>113.309125559842</v>
      </c>
      <c r="K11692" s="6" t="n">
        <f aca="false">Sens!K11689</f>
        <v>116.192591420959</v>
      </c>
    </row>
    <row r="11693" customFormat="false" ht="17.15" hidden="false" customHeight="false" outlineLevel="0" collapsed="false">
      <c r="A11693" s="0" t="s">
        <v>850</v>
      </c>
      <c r="B11693" s="0" t="s">
        <v>98</v>
      </c>
      <c r="C11693" s="6" t="n">
        <f aca="false">Sens!C11692+Sens!C11690</f>
        <v>28.7416845916667</v>
      </c>
      <c r="D11693" s="6" t="n">
        <f aca="false">Sens!D11692+Sens!D11690</f>
        <v>43.4058093833333</v>
      </c>
      <c r="E11693" s="6" t="n">
        <f aca="false">Sens!E11692+Sens!E11690</f>
        <v>86.225053775</v>
      </c>
      <c r="F11693" s="6" t="n">
        <f aca="false">Sens!F11692+Sens!F11690</f>
        <v>160.332875871467</v>
      </c>
      <c r="G11693" s="6" t="n">
        <f aca="false">Sens!G11692+Sens!G11690</f>
        <v>183.5741804832</v>
      </c>
      <c r="H11693" s="6" t="n">
        <f aca="false">Sens!H11692+Sens!H11690</f>
        <v>188.0802859104</v>
      </c>
      <c r="I11693" s="6" t="n">
        <f aca="false">Sens!I11692+Sens!I11690</f>
        <v>163.706669154245</v>
      </c>
      <c r="J11693" s="6" t="n">
        <f aca="false">Sens!J11692+Sens!J11690</f>
        <v>127.181436594242</v>
      </c>
      <c r="K11693" s="6" t="n">
        <f aca="false">Sens!K11692+Sens!K11690</f>
        <v>121.407415303591</v>
      </c>
      <c r="L11693" s="11" t="s">
        <v>851</v>
      </c>
    </row>
    <row r="11694" customFormat="false" ht="17.15" hidden="false" customHeight="false" outlineLevel="0" collapsed="false">
      <c r="A11694" s="0" t="s">
        <v>852</v>
      </c>
      <c r="B11694" s="0" t="s">
        <v>98</v>
      </c>
      <c r="E11694" s="6" t="n">
        <f aca="false">(Sens!C11692*IF(2&lt;life_it,1,IF(2=life_it,0.5,0))+Sens!D11692*IF(1&lt;life_it,1,IF(1=life_it,0.5,0))+Sens!E11692*0.5)/life_it</f>
        <v>15.0605784770833</v>
      </c>
      <c r="F11694" s="6" t="n">
        <f aca="false">(Sens!C11692*IF(3&lt;life_it,1,IF(3=life_it,0.5,0))+Sens!D11692*IF(2&lt;life_it,1,IF(2=life_it,0.5,0))+Sens!E11692*IF(1&lt;life_it,1,IF(1=life_it,0.5,0))+Sens!F11692*0.5)/life_it</f>
        <v>31.6041972809556</v>
      </c>
      <c r="G11694" s="6" t="n">
        <f aca="false">(Sens!C11692*IF(4&lt;life_it,1,IF(4=life_it,0.5,0))+Sens!D11692*IF(3&lt;life_it,1,IF(3=life_it,0.5,0))+Sens!E11692*IF(2&lt;life_it,1,IF(2=life_it,0.5,0))+Sens!F11692*IF(1&lt;life_it,1,IF(1=life_it,0.5,0))+Sens!G11692*0.5)/life_it</f>
        <v>55.1440163105111</v>
      </c>
      <c r="H11694" s="6" t="n">
        <f aca="false">(Sens!C11692*IF(5&lt;life_it,1,IF(5=life_it,0.5,0))+Sens!D11692*IF(4&lt;life_it,1,IF(4=life_it,0.5,0))+Sens!E11692*IF(3&lt;life_it,1,IF(3=life_it,0.5,0))+Sens!F11692*IF(2&lt;life_it,1,IF(2=life_it,0.5,0))+Sens!G11692*IF(1&lt;life_it,1,IF(1=life_it,0.5,0))+Sens!H11692*0.5)/life_it</f>
        <v>80.7786178433111</v>
      </c>
      <c r="I11694" s="6" t="n">
        <f aca="false">(Sens!C11692*IF(6&lt;life_it,1,IF(6=life_it,0.5,0))+Sens!D11692*IF(5&lt;life_it,1,IF(5=life_it,0.5,0))+Sens!E11692*IF(4&lt;life_it,1,IF(4=life_it,0.5,0))+Sens!F11692*IF(3&lt;life_it,1,IF(3=life_it,0.5,0))+Sens!G11692*IF(2&lt;life_it,1,IF(2=life_it,0.5,0))+Sens!H11692*IF(1&lt;life_it,1,IF(1=life_it,0.5,0))+Sens!I11692*0.5)/life_it</f>
        <v>103.654881739393</v>
      </c>
      <c r="J11694" s="6" t="n">
        <f aca="false">(Sens!C11692*IF(7&lt;life_it,1,IF(7=life_it,0.5,0))+Sens!D11692*IF(6&lt;life_it,1,IF(6=life_it,0.5,0))+Sens!E11692*IF(5&lt;life_it,1,IF(5=life_it,0.5,0))+Sens!F11692*IF(4&lt;life_it,1,IF(4=life_it,0.5,0))+Sens!G11692*IF(3&lt;life_it,1,IF(3=life_it,0.5,0))+Sens!H11692*IF(2&lt;life_it,1,IF(2=life_it,0.5,0))+Sens!I11692*IF(1&lt;life_it,1,IF(1=life_it,0.5,0))+Sens!J11692*0.5)/life_it</f>
        <v>120.132683490983</v>
      </c>
      <c r="K11694" s="6" t="n">
        <f aca="false">(Sens!C11692*IF(8&lt;life_it,1,IF(8=life_it,0.5,0))+Sens!D11692*IF(7&lt;life_it,1,IF(7=life_it,0.5,0))+Sens!E11692*IF(6&lt;life_it,1,IF(6=life_it,0.5,0))+Sens!F11692*IF(5&lt;life_it,1,IF(5=life_it,0.5,0))+Sens!G11692*IF(4&lt;life_it,1,IF(4=life_it,0.5,0))+Sens!H11692*IF(3&lt;life_it,1,IF(3=life_it,0.5,0))+Sens!I11692*IF(2&lt;life_it,1,IF(2=life_it,0.5,0))+Sens!J11692*IF(1&lt;life_it,1,IF(1=life_it,0.5,0))+Sens!K11692*0.5)/life_it</f>
        <v>130.788646309522</v>
      </c>
    </row>
    <row r="11695" customFormat="false" ht="17.15" hidden="false" customHeight="false" outlineLevel="0" collapsed="false">
      <c r="A11695" s="0" t="s">
        <v>853</v>
      </c>
      <c r="B11695" s="0" t="s">
        <v>98</v>
      </c>
      <c r="E11695" s="6" t="n">
        <f aca="false">(Sens!C11690*IF(2&lt;life_fac,1,IF(2=life_fac,0.5,0))+Sens!D11690*IF(1&lt;life_fac,1,IF(1=life_fac,0.5,0))+Sens!E11690*0.5)/life_fac</f>
        <v>1.2448275</v>
      </c>
      <c r="F11695" s="6" t="n">
        <f aca="false">(Sens!C11690*IF(3&lt;life_fac,1,IF(3=life_fac,0.5,0))+Sens!D11690*IF(2&lt;life_fac,1,IF(2=life_fac,0.5,0))+Sens!E11690*IF(1&lt;life_fac,1,IF(1=life_fac,0.5,0))+Sens!F11690*0.5)/life_fac</f>
        <v>2.4456901</v>
      </c>
      <c r="G11695" s="6" t="n">
        <f aca="false">(Sens!C11690*IF(4&lt;life_fac,1,IF(4=life_fac,0.5,0))+Sens!D11690*IF(3&lt;life_fac,1,IF(3=life_fac,0.5,0))+Sens!E11690*IF(2&lt;life_fac,1,IF(2=life_fac,0.5,0))+Sens!F11690*IF(1&lt;life_fac,1,IF(1=life_fac,0.5,0))+Sens!G11690*0.5)/life_fac</f>
        <v>3.9814208</v>
      </c>
      <c r="H11695" s="6" t="n">
        <f aca="false">(Sens!C11690*IF(5&lt;life_fac,1,IF(5=life_fac,0.5,0))+Sens!D11690*IF(4&lt;life_fac,1,IF(4=life_fac,0.5,0))+Sens!E11690*IF(3&lt;life_fac,1,IF(3=life_fac,0.5,0))+Sens!F11690*IF(2&lt;life_fac,1,IF(2=life_fac,0.5,0))+Sens!G11690*IF(1&lt;life_fac,1,IF(1=life_fac,0.5,0))+Sens!H11690*0.5)/life_fac</f>
        <v>5.582402</v>
      </c>
      <c r="I11695" s="6" t="n">
        <f aca="false">(Sens!C11690*IF(6&lt;life_fac,1,IF(6=life_fac,0.5,0))+Sens!D11690*IF(5&lt;life_fac,1,IF(5=life_fac,0.5,0))+Sens!E11690*IF(4&lt;life_fac,1,IF(4=life_fac,0.5,0))+Sens!F11690*IF(3&lt;life_fac,1,IF(3=life_fac,0.5,0))+Sens!G11690*IF(2&lt;life_fac,1,IF(2=life_fac,0.5,0))+Sens!H11690*IF(1&lt;life_fac,1,IF(1=life_fac,0.5,0))+Sens!I11690*0.5)/life_fac</f>
        <v>6.950862093</v>
      </c>
      <c r="J11695" s="6" t="n">
        <f aca="false">(Sens!C11690*IF(7&lt;life_fac,1,IF(7=life_fac,0.5,0))+Sens!D11690*IF(6&lt;life_fac,1,IF(6=life_fac,0.5,0))+Sens!E11690*IF(5&lt;life_fac,1,IF(5=life_fac,0.5,0))+Sens!F11690*IF(4&lt;life_fac,1,IF(4=life_fac,0.5,0))+Sens!G11690*IF(3&lt;life_fac,1,IF(3=life_fac,0.5,0))+Sens!H11690*IF(2&lt;life_fac,1,IF(2=life_fac,0.5,0))+Sens!I11690*IF(1&lt;life_fac,1,IF(1=life_fac,0.5,0))+Sens!J11690*0.5)/life_fac</f>
        <v>7.86563936186</v>
      </c>
      <c r="K11695" s="6" t="n">
        <f aca="false">(Sens!C11690*IF(8&lt;life_fac,1,IF(8=life_fac,0.5,0))+Sens!D11690*IF(7&lt;life_fac,1,IF(7=life_fac,0.5,0))+Sens!E11690*IF(6&lt;life_fac,1,IF(6=life_fac,0.5,0))+Sens!F11690*IF(5&lt;life_fac,1,IF(5=life_fac,0.5,0))+Sens!G11690*IF(4&lt;life_fac,1,IF(4=life_fac,0.5,0))+Sens!H11690*IF(3&lt;life_fac,1,IF(3=life_fac,0.5,0))+Sens!I11690*IF(2&lt;life_fac,1,IF(2=life_fac,0.5,0))+Sens!J11690*IF(1&lt;life_fac,1,IF(1=life_fac,0.5,0))+Sens!K11690*0.5)/life_fac</f>
        <v>8.3428177347858</v>
      </c>
    </row>
    <row r="11696" customFormat="false" ht="17.15" hidden="false" customHeight="false" outlineLevel="0" collapsed="false">
      <c r="A11696" s="0" t="s">
        <v>854</v>
      </c>
      <c r="B11696" s="0" t="s">
        <v>98</v>
      </c>
      <c r="E11696" s="6" t="n">
        <f aca="false">Sens!E11694+Sens!E11695</f>
        <v>16.3054059770833</v>
      </c>
      <c r="F11696" s="6" t="n">
        <f aca="false">Sens!F11694+Sens!F11695</f>
        <v>34.0498873809555</v>
      </c>
      <c r="G11696" s="6" t="n">
        <f aca="false">Sens!G11694+Sens!G11695</f>
        <v>59.1254371105111</v>
      </c>
      <c r="H11696" s="6" t="n">
        <f aca="false">Sens!H11694+Sens!H11695</f>
        <v>86.3610198433111</v>
      </c>
      <c r="I11696" s="6" t="n">
        <f aca="false">Sens!I11694+Sens!I11695</f>
        <v>110.605743832393</v>
      </c>
      <c r="J11696" s="6" t="n">
        <f aca="false">Sens!J11694+Sens!J11695</f>
        <v>127.998322852843</v>
      </c>
      <c r="K11696" s="6" t="n">
        <f aca="false">Sens!K11694+Sens!K11695</f>
        <v>139.131464044308</v>
      </c>
    </row>
    <row r="11697" customFormat="false" ht="17.15" hidden="false" customHeight="false" outlineLevel="0" collapsed="false">
      <c r="A11697" s="0" t="s">
        <v>855</v>
      </c>
      <c r="B11697" s="0" t="s">
        <v>98</v>
      </c>
      <c r="E11697" s="6" t="n">
        <f aca="false">Sens!E11685-Sens!E11684*Sens!E11696</f>
        <v>8.92707889977379</v>
      </c>
      <c r="F11697" s="6" t="n">
        <f aca="false">Sens!F11685-Sens!F11684*Sens!F11696</f>
        <v>22.6979209761638</v>
      </c>
      <c r="G11697" s="6" t="n">
        <f aca="false">Sens!G11685-Sens!G11684*Sens!G11696</f>
        <v>42.9960401135986</v>
      </c>
      <c r="H11697" s="6" t="n">
        <f aca="false">Sens!H11685-Sens!H11684*Sens!H11696</f>
        <v>68.3530123552322</v>
      </c>
      <c r="I11697" s="6" t="n">
        <f aca="false">Sens!I11685-Sens!I11684*Sens!I11696</f>
        <v>85.5693875361303</v>
      </c>
      <c r="J11697" s="6" t="n">
        <f aca="false">Sens!J11685-Sens!J11684*Sens!J11696</f>
        <v>97.6813621174372</v>
      </c>
      <c r="K11697" s="6" t="n">
        <f aca="false">Sens!K11685-Sens!K11684*Sens!K11696</f>
        <v>106.099477202773</v>
      </c>
    </row>
    <row r="11698" customFormat="false" ht="17.15" hidden="false" customHeight="false" outlineLevel="0" collapsed="false">
      <c r="A11698" s="3" t="s">
        <v>1563</v>
      </c>
    </row>
    <row r="11699" customFormat="false" ht="15" hidden="false" customHeight="false" outlineLevel="0" collapsed="false">
      <c r="A11699" s="4" t="s">
        <v>43</v>
      </c>
      <c r="B11699" s="4" t="s">
        <v>65</v>
      </c>
      <c r="C11699" s="20" t="s">
        <v>799</v>
      </c>
      <c r="D11699" s="20" t="s">
        <v>800</v>
      </c>
      <c r="E11699" s="20" t="s">
        <v>801</v>
      </c>
      <c r="F11699" s="20" t="s">
        <v>802</v>
      </c>
      <c r="G11699" s="20" t="s">
        <v>803</v>
      </c>
      <c r="H11699" s="20" t="s">
        <v>804</v>
      </c>
      <c r="I11699" s="20" t="s">
        <v>805</v>
      </c>
      <c r="J11699" s="20" t="s">
        <v>806</v>
      </c>
      <c r="K11699" s="20" t="s">
        <v>807</v>
      </c>
      <c r="L11699" s="4" t="s">
        <v>47</v>
      </c>
    </row>
    <row r="11700" customFormat="false" ht="17.15" hidden="false" customHeight="false" outlineLevel="0" collapsed="false">
      <c r="A11700" s="0" t="s">
        <v>874</v>
      </c>
      <c r="B11700" s="0" t="s">
        <v>98</v>
      </c>
      <c r="D11700" s="6" t="n">
        <f aca="false">Sens!D11679</f>
        <v>12.9359794422418</v>
      </c>
      <c r="E11700" s="6" t="n">
        <f aca="false">Sens!E11679</f>
        <v>27.8095064661409</v>
      </c>
      <c r="F11700" s="6" t="n">
        <f aca="false">Sens!F11679</f>
        <v>58.7324192305018</v>
      </c>
      <c r="G11700" s="6" t="n">
        <f aca="false">Sens!G11679</f>
        <v>101.369089141153</v>
      </c>
      <c r="H11700" s="6" t="n">
        <f aca="false">Sens!H11679</f>
        <v>149.785610014234</v>
      </c>
      <c r="I11700" s="6" t="n">
        <f aca="false">Sens!I11679</f>
        <v>187.368703083263</v>
      </c>
      <c r="J11700" s="6" t="n">
        <f aca="false">Sens!J11679</f>
        <v>213.886657444854</v>
      </c>
      <c r="K11700" s="6" t="n">
        <f aca="false">Sens!K11679</f>
        <v>231.253475259589</v>
      </c>
    </row>
    <row r="11701" customFormat="false" ht="17.15" hidden="false" customHeight="false" outlineLevel="0" collapsed="false">
      <c r="A11701" s="0" t="s">
        <v>875</v>
      </c>
      <c r="B11701" s="0" t="s">
        <v>98</v>
      </c>
      <c r="D11701" s="6" t="n">
        <f aca="false">Q!L6-Sens!D11700</f>
        <v>59.6740205577583</v>
      </c>
      <c r="E11701" s="6" t="n">
        <f aca="false">Q!M6-Sens!E11700</f>
        <v>74.1284935338591</v>
      </c>
      <c r="F11701" s="6" t="n">
        <f aca="false">Sens!E11701*(1+Sens!F11702)</f>
        <v>90.0799497373663</v>
      </c>
      <c r="G11701" s="6" t="n">
        <f aca="false">Sens!F11701*(1+Sens!G11702)</f>
        <v>107.02842520331</v>
      </c>
      <c r="H11701" s="6" t="n">
        <f aca="false">Sens!G11701*(1+Sens!H11702)</f>
        <v>124.271982585636</v>
      </c>
      <c r="I11701" s="6" t="n">
        <f aca="false">Sens!H11701*(1+Sens!I11702)</f>
        <v>140.933702381855</v>
      </c>
      <c r="J11701" s="6" t="n">
        <f aca="false">Sens!I11701*(1+Sens!J11702)</f>
        <v>156.018867314332</v>
      </c>
      <c r="K11701" s="6" t="n">
        <f aca="false">Sens!J11701*(1+Sens!K11702)</f>
        <v>168.500376699478</v>
      </c>
    </row>
    <row r="11702" customFormat="false" ht="15" hidden="false" customHeight="false" outlineLevel="0" collapsed="false">
      <c r="A11702" s="1" t="s">
        <v>876</v>
      </c>
      <c r="B11702" s="0" t="s">
        <v>129</v>
      </c>
      <c r="E11702" s="7" t="n">
        <f aca="false">Sens!E11701/Sens!D11701-1</f>
        <v>0.242223883039864</v>
      </c>
      <c r="F11702" s="7" t="n">
        <f aca="false">Sens!$E$11702+(glt_azo-Sens!$E$11702)*MIN(1,(Sens!F11662-base_fy)/n_conv)</f>
        <v>0.215186569199887</v>
      </c>
      <c r="G11702" s="7" t="n">
        <f aca="false">Sens!$E$11702+(glt_azo-Sens!$E$11702)*MIN(1,(Sens!G11662-base_fy)/n_conv)</f>
        <v>0.18814925535991</v>
      </c>
      <c r="H11702" s="7" t="n">
        <f aca="false">Sens!$E$11702+(glt_azo-Sens!$E$11702)*MIN(1,(Sens!H11662-base_fy)/n_conv)</f>
        <v>0.161111941519932</v>
      </c>
      <c r="I11702" s="7" t="n">
        <f aca="false">Sens!$E$11702+(glt_azo-Sens!$E$11702)*MIN(1,(Sens!I11662-base_fy)/n_conv)</f>
        <v>0.134074627679955</v>
      </c>
      <c r="J11702" s="7" t="n">
        <f aca="false">Sens!$E$11702+(glt_azo-Sens!$E$11702)*MIN(1,(Sens!J11662-base_fy)/n_conv)</f>
        <v>0.107037313839977</v>
      </c>
      <c r="K11702" s="7" t="n">
        <f aca="false">Sens!$E$11702+(glt_azo-Sens!$E$11702)*MIN(1,(Sens!K11662-base_fy)/n_conv)</f>
        <v>0.08</v>
      </c>
    </row>
    <row r="11703" customFormat="false" ht="15" hidden="false" customHeight="false" outlineLevel="0" collapsed="false">
      <c r="A11703" s="0" t="s">
        <v>877</v>
      </c>
      <c r="B11703" s="0" t="s">
        <v>98</v>
      </c>
      <c r="D11703" s="6" t="n">
        <f aca="false">Sens!D11700+Sens!D11701</f>
        <v>72.61</v>
      </c>
      <c r="E11703" s="6" t="n">
        <f aca="false">Sens!E11700+Sens!E11701</f>
        <v>101.938</v>
      </c>
      <c r="F11703" s="6" t="n">
        <f aca="false">Sens!F11700+Sens!F11701</f>
        <v>148.812368967868</v>
      </c>
      <c r="G11703" s="6" t="n">
        <f aca="false">Sens!G11700+Sens!G11701</f>
        <v>208.397514344463</v>
      </c>
      <c r="H11703" s="6" t="n">
        <f aca="false">Sens!H11700+Sens!H11701</f>
        <v>274.05759259987</v>
      </c>
      <c r="I11703" s="6" t="n">
        <f aca="false">Sens!I11700+Sens!I11701</f>
        <v>328.302405465117</v>
      </c>
      <c r="J11703" s="6" t="n">
        <f aca="false">Sens!J11700+Sens!J11701</f>
        <v>369.905524759186</v>
      </c>
      <c r="K11703" s="6" t="n">
        <f aca="false">Sens!K11700+Sens!K11701</f>
        <v>399.753851959067</v>
      </c>
    </row>
    <row r="11704" customFormat="false" ht="17.15" hidden="false" customHeight="false" outlineLevel="0" collapsed="false">
      <c r="A11704" s="0" t="s">
        <v>878</v>
      </c>
      <c r="B11704" s="1" t="s">
        <v>528</v>
      </c>
      <c r="C11704" s="29" t="n">
        <f aca="false">cop_s24</f>
        <v>1</v>
      </c>
      <c r="D11704" s="29" t="n">
        <f aca="false">cop_s25</f>
        <v>5</v>
      </c>
      <c r="E11704" s="29" t="n">
        <f aca="false">cop_s26</f>
        <v>30</v>
      </c>
      <c r="F11704" s="29" t="n">
        <f aca="false">Sens!E11704+cop_add_A</f>
        <v>60</v>
      </c>
      <c r="G11704" s="29" t="n">
        <f aca="false">Sens!F11704+cop_add_A</f>
        <v>90</v>
      </c>
      <c r="H11704" s="29" t="n">
        <f aca="false">Sens!G11704+cop_add_A</f>
        <v>120</v>
      </c>
      <c r="I11704" s="29" t="n">
        <f aca="false">Sens!H11704+cop_add_A*cop_tail</f>
        <v>135</v>
      </c>
      <c r="J11704" s="29" t="n">
        <f aca="false">Sens!I11704+cop_add_A*cop_tail</f>
        <v>150</v>
      </c>
      <c r="K11704" s="29" t="n">
        <f aca="false">Sens!J11704+cop_add_A*cop_tail</f>
        <v>165</v>
      </c>
      <c r="L11704" s="11" t="s">
        <v>879</v>
      </c>
    </row>
    <row r="11705" customFormat="false" ht="17.15" hidden="false" customHeight="false" outlineLevel="0" collapsed="false">
      <c r="A11705" s="0" t="s">
        <v>880</v>
      </c>
      <c r="B11705" s="0" t="s">
        <v>98</v>
      </c>
      <c r="D11705" s="6" t="n">
        <f aca="false">(Sens!C11704+Sens!D11704)/2*cop_px*12/1000</f>
        <v>0.9</v>
      </c>
      <c r="E11705" s="6" t="n">
        <f aca="false">(Sens!D11704+Sens!E11704)/2*cop_px*12/1000</f>
        <v>5.25</v>
      </c>
      <c r="F11705" s="6" t="n">
        <f aca="false">(Sens!E11704+Sens!F11704)/2*cop_px*12/1000</f>
        <v>13.5</v>
      </c>
      <c r="G11705" s="6" t="n">
        <f aca="false">(Sens!F11704+Sens!G11704)/2*cop_px*12/1000</f>
        <v>22.5</v>
      </c>
      <c r="H11705" s="6" t="n">
        <f aca="false">(Sens!G11704+Sens!H11704)/2*cop_px*12/1000</f>
        <v>31.5</v>
      </c>
      <c r="I11705" s="6" t="n">
        <f aca="false">(Sens!H11704+Sens!I11704)/2*cop_px*12/1000</f>
        <v>38.25</v>
      </c>
      <c r="J11705" s="6" t="n">
        <f aca="false">(Sens!I11704+Sens!J11704)/2*cop_px*12/1000</f>
        <v>42.75</v>
      </c>
      <c r="K11705" s="6" t="n">
        <f aca="false">(Sens!J11704+Sens!K11704)/2*cop_px*12/1000</f>
        <v>47.25</v>
      </c>
      <c r="L11705" s="1" t="s">
        <v>881</v>
      </c>
    </row>
    <row r="11706" customFormat="false" ht="17.15" hidden="false" customHeight="false" outlineLevel="0" collapsed="false">
      <c r="A11706" s="0" t="s">
        <v>882</v>
      </c>
      <c r="B11706" s="0" t="s">
        <v>98</v>
      </c>
      <c r="D11706" s="6" t="n">
        <f aca="false">Q!L7-Sens!D11705</f>
        <v>83.705</v>
      </c>
      <c r="E11706" s="6" t="n">
        <f aca="false">Q!M7-Sens!E11705</f>
        <v>95.049</v>
      </c>
      <c r="F11706" s="6" t="n">
        <f aca="false">Sens!E11706*(1+Sens!F11707)</f>
        <v>106.89238776686</v>
      </c>
      <c r="G11706" s="6" t="n">
        <f aca="false">Sens!F11706*(1+Sens!G11707)</f>
        <v>119.044168448684</v>
      </c>
      <c r="H11706" s="6" t="n">
        <f aca="false">Sens!G11706*(1+Sens!H11707)</f>
        <v>131.277359388781</v>
      </c>
      <c r="I11706" s="6" t="n">
        <f aca="false">Sens!H11706*(1+Sens!I11707)</f>
        <v>143.334028071957</v>
      </c>
      <c r="J11706" s="6" t="n">
        <f aca="false">Sens!I11706*(1+Sens!J11707)</f>
        <v>154.932702785465</v>
      </c>
      <c r="K11706" s="6" t="n">
        <f aca="false">Sens!J11706*(1+Sens!K11707)</f>
        <v>165.777991980448</v>
      </c>
    </row>
    <row r="11707" customFormat="false" ht="15" hidden="false" customHeight="false" outlineLevel="0" collapsed="false">
      <c r="A11707" s="1" t="s">
        <v>876</v>
      </c>
      <c r="B11707" s="0" t="s">
        <v>129</v>
      </c>
      <c r="E11707" s="7" t="n">
        <f aca="false">Sens!E11706/Sens!D11706-1</f>
        <v>0.135523564900544</v>
      </c>
      <c r="F11707" s="7" t="n">
        <f aca="false">Sens!$E$11707+(glt_m365b-Sens!$E$11707)*MIN(1,(Sens!F11662-base_fy)/n_conv)</f>
        <v>0.124602970750453</v>
      </c>
      <c r="G11707" s="7" t="n">
        <f aca="false">Sens!$E$11707+(glt_m365b-Sens!$E$11707)*MIN(1,(Sens!G11662-base_fy)/n_conv)</f>
        <v>0.113682376600363</v>
      </c>
      <c r="H11707" s="7" t="n">
        <f aca="false">Sens!$E$11707+(glt_m365b-Sens!$E$11707)*MIN(1,(Sens!H11662-base_fy)/n_conv)</f>
        <v>0.102761782450272</v>
      </c>
      <c r="I11707" s="7" t="n">
        <f aca="false">Sens!$E$11707+(glt_m365b-Sens!$E$11707)*MIN(1,(Sens!I11662-base_fy)/n_conv)</f>
        <v>0.0918411883001813</v>
      </c>
      <c r="J11707" s="7" t="n">
        <f aca="false">Sens!$E$11707+(glt_m365b-Sens!$E$11707)*MIN(1,(Sens!J11662-base_fy)/n_conv)</f>
        <v>0.0809205941500906</v>
      </c>
      <c r="K11707" s="7" t="n">
        <f aca="false">Sens!$E$11707+(glt_m365b-Sens!$E$11707)*MIN(1,(Sens!K11662-base_fy)/n_conv)</f>
        <v>0.07</v>
      </c>
    </row>
    <row r="11708" customFormat="false" ht="15" hidden="false" customHeight="false" outlineLevel="0" collapsed="false">
      <c r="A11708" s="0" t="s">
        <v>883</v>
      </c>
      <c r="B11708" s="0" t="s">
        <v>98</v>
      </c>
      <c r="D11708" s="6" t="n">
        <f aca="false">Sens!D11706+Sens!D11705</f>
        <v>84.605</v>
      </c>
      <c r="E11708" s="6" t="n">
        <f aca="false">Sens!E11706+Sens!E11705</f>
        <v>100.299</v>
      </c>
      <c r="F11708" s="6" t="n">
        <f aca="false">Sens!F11706+Sens!F11705</f>
        <v>120.39238776686</v>
      </c>
      <c r="G11708" s="6" t="n">
        <f aca="false">Sens!G11706+Sens!G11705</f>
        <v>141.544168448684</v>
      </c>
      <c r="H11708" s="6" t="n">
        <f aca="false">Sens!H11706+Sens!H11705</f>
        <v>162.777359388781</v>
      </c>
      <c r="I11708" s="6" t="n">
        <f aca="false">Sens!I11706+Sens!I11705</f>
        <v>181.584028071957</v>
      </c>
      <c r="J11708" s="6" t="n">
        <f aca="false">Sens!J11706+Sens!J11705</f>
        <v>197.682702785465</v>
      </c>
      <c r="K11708" s="6" t="n">
        <f aca="false">Sens!K11706+Sens!K11705</f>
        <v>213.027991980448</v>
      </c>
    </row>
    <row r="11709" customFormat="false" ht="15" hidden="false" customHeight="false" outlineLevel="0" collapsed="false">
      <c r="A11709" s="0" t="s">
        <v>884</v>
      </c>
      <c r="B11709" s="0" t="s">
        <v>98</v>
      </c>
      <c r="D11709" s="6" t="n">
        <f aca="false">Q!L8</f>
        <v>35.391</v>
      </c>
      <c r="E11709" s="6" t="n">
        <f aca="false">Q!M8</f>
        <v>37.285</v>
      </c>
      <c r="F11709" s="6" t="n">
        <f aca="false">Sens!E11709*(1+Sens!F11710)</f>
        <v>39.0720834331704</v>
      </c>
      <c r="G11709" s="6" t="n">
        <f aca="false">Sens!F11709*(1+Sens!G11710)</f>
        <v>40.726562953769</v>
      </c>
      <c r="H11709" s="6" t="n">
        <f aca="false">Sens!G11709*(1+Sens!H11710)</f>
        <v>42.2235987259198</v>
      </c>
      <c r="I11709" s="6" t="n">
        <f aca="false">Sens!H11709*(1+Sens!I11710)</f>
        <v>43.5397988077414</v>
      </c>
      <c r="J11709" s="6" t="n">
        <f aca="false">Sens!I11709*(1+Sens!J11710)</f>
        <v>44.653811225693</v>
      </c>
      <c r="K11709" s="6" t="n">
        <f aca="false">Sens!J11709*(1+Sens!K11710)</f>
        <v>45.5468874502068</v>
      </c>
    </row>
    <row r="11710" customFormat="false" ht="15" hidden="false" customHeight="false" outlineLevel="0" collapsed="false">
      <c r="A11710" s="1" t="s">
        <v>876</v>
      </c>
      <c r="B11710" s="0" t="s">
        <v>129</v>
      </c>
      <c r="E11710" s="7" t="n">
        <f aca="false">Sens!E11709/Sens!D11709-1</f>
        <v>0.0535164307309768</v>
      </c>
      <c r="F11710" s="7" t="n">
        <f aca="false">Sens!$E$11710+(glt_lic-Sens!$E$11710)*MIN(1,(Sens!F11662-base_fy)/n_conv)</f>
        <v>0.0479303589424807</v>
      </c>
      <c r="G11710" s="7" t="n">
        <f aca="false">Sens!$E$11710+(glt_lic-Sens!$E$11710)*MIN(1,(Sens!G11662-base_fy)/n_conv)</f>
        <v>0.0423442871539845</v>
      </c>
      <c r="H11710" s="7" t="n">
        <f aca="false">Sens!$E$11710+(glt_lic-Sens!$E$11710)*MIN(1,(Sens!H11662-base_fy)/n_conv)</f>
        <v>0.0367582153654884</v>
      </c>
      <c r="I11710" s="7" t="n">
        <f aca="false">Sens!$E$11710+(glt_lic-Sens!$E$11710)*MIN(1,(Sens!I11662-base_fy)/n_conv)</f>
        <v>0.0311721435769923</v>
      </c>
      <c r="J11710" s="7" t="n">
        <f aca="false">Sens!$E$11710+(glt_lic-Sens!$E$11710)*MIN(1,(Sens!J11662-base_fy)/n_conv)</f>
        <v>0.0255860717884961</v>
      </c>
      <c r="K11710" s="7" t="n">
        <f aca="false">Sens!$E$11710+(glt_lic-Sens!$E$11710)*MIN(1,(Sens!K11662-base_fy)/n_conv)</f>
        <v>0.02</v>
      </c>
    </row>
    <row r="11711" customFormat="false" ht="15" hidden="false" customHeight="false" outlineLevel="0" collapsed="false">
      <c r="A11711" s="0" t="s">
        <v>885</v>
      </c>
      <c r="B11711" s="0" t="s">
        <v>98</v>
      </c>
      <c r="D11711" s="6" t="n">
        <f aca="false">Q!L9</f>
        <v>18.417</v>
      </c>
      <c r="E11711" s="6" t="n">
        <f aca="false">Q!M9</f>
        <v>20.345</v>
      </c>
      <c r="F11711" s="6" t="n">
        <f aca="false">Sens!E11711*(1+Sens!F11712)</f>
        <v>22.3572203267814</v>
      </c>
      <c r="G11711" s="6" t="n">
        <f aca="false">Sens!F11711*(1+Sens!G11712)</f>
        <v>24.4392124437232</v>
      </c>
      <c r="H11711" s="6" t="n">
        <f aca="false">Sens!G11711*(1+Sens!H11712)</f>
        <v>26.5738052080665</v>
      </c>
      <c r="I11711" s="6" t="n">
        <f aca="false">Sens!H11711*(1+Sens!I11712)</f>
        <v>28.7412169166967</v>
      </c>
      <c r="J11711" s="6" t="n">
        <f aca="false">Sens!I11711*(1+Sens!J11712)</f>
        <v>30.9192545395413</v>
      </c>
      <c r="K11711" s="6" t="n">
        <f aca="false">Sens!J11711*(1+Sens!K11712)</f>
        <v>33.0836023573092</v>
      </c>
    </row>
    <row r="11712" customFormat="false" ht="15" hidden="false" customHeight="false" outlineLevel="0" collapsed="false">
      <c r="A11712" s="1" t="s">
        <v>876</v>
      </c>
      <c r="B11712" s="0" t="s">
        <v>129</v>
      </c>
      <c r="E11712" s="7" t="n">
        <f aca="false">Sens!E11711/Sens!D11711-1</f>
        <v>0.104685888038225</v>
      </c>
      <c r="F11712" s="7" t="n">
        <f aca="false">Sens!$E$11712+(glt_ind-Sens!$E$11712)*MIN(1,(Sens!F11662-base_fy)/n_conv)</f>
        <v>0.0989049066985211</v>
      </c>
      <c r="G11712" s="7" t="n">
        <f aca="false">Sens!$E$11712+(glt_ind-Sens!$E$11712)*MIN(1,(Sens!G11662-base_fy)/n_conv)</f>
        <v>0.0931239253588169</v>
      </c>
      <c r="H11712" s="7" t="n">
        <f aca="false">Sens!$E$11712+(glt_ind-Sens!$E$11712)*MIN(1,(Sens!H11662-base_fy)/n_conv)</f>
        <v>0.0873429440191127</v>
      </c>
      <c r="I11712" s="7" t="n">
        <f aca="false">Sens!$E$11712+(glt_ind-Sens!$E$11712)*MIN(1,(Sens!I11662-base_fy)/n_conv)</f>
        <v>0.0815619626794085</v>
      </c>
      <c r="J11712" s="7" t="n">
        <f aca="false">Sens!$E$11712+(glt_ind-Sens!$E$11712)*MIN(1,(Sens!J11662-base_fy)/n_conv)</f>
        <v>0.0757809813397042</v>
      </c>
      <c r="K11712" s="7" t="n">
        <f aca="false">Sens!$E$11712+(glt_ind-Sens!$E$11712)*MIN(1,(Sens!K11662-base_fy)/n_conv)</f>
        <v>0.07</v>
      </c>
    </row>
    <row r="11713" customFormat="false" ht="15" hidden="false" customHeight="false" outlineLevel="0" collapsed="false">
      <c r="A11713" s="0" t="s">
        <v>886</v>
      </c>
      <c r="B11713" s="0" t="s">
        <v>98</v>
      </c>
      <c r="D11713" s="6" t="n">
        <f aca="false">Q!L10</f>
        <v>7.76</v>
      </c>
      <c r="E11713" s="6" t="n">
        <f aca="false">Q!M10</f>
        <v>8.26</v>
      </c>
      <c r="F11713" s="6" t="n">
        <f aca="false">Sens!E11713*(1+Sens!F11714)</f>
        <v>8.79988041237113</v>
      </c>
      <c r="G11713" s="6" t="n">
        <f aca="false">Sens!F11713*(1+Sens!G11714)</f>
        <v>9.38321269125306</v>
      </c>
      <c r="H11713" s="6" t="n">
        <f aca="false">Sens!G11713*(1+Sens!H11714)</f>
        <v>10.0139193587476</v>
      </c>
      <c r="I11713" s="6" t="n">
        <f aca="false">Sens!H11713*(1+Sens!I11714)</f>
        <v>10.6963111830911</v>
      </c>
      <c r="J11713" s="6" t="n">
        <f aca="false">Sens!I11713*(1+Sens!J11714)</f>
        <v>11.4351285534696</v>
      </c>
      <c r="K11713" s="6" t="n">
        <f aca="false">Sens!J11713*(1+Sens!K11714)</f>
        <v>12.2355875522124</v>
      </c>
    </row>
    <row r="11714" customFormat="false" ht="15" hidden="false" customHeight="false" outlineLevel="0" collapsed="false">
      <c r="A11714" s="1" t="s">
        <v>876</v>
      </c>
      <c r="B11714" s="0" t="s">
        <v>129</v>
      </c>
      <c r="E11714" s="7" t="n">
        <f aca="false">Sens!E11713/Sens!D11713-1</f>
        <v>0.0644329896907216</v>
      </c>
      <c r="F11714" s="7" t="n">
        <f aca="false">Sens!$E$11714+(glt_fro-Sens!$E$11714)*MIN(1,(Sens!F11662-base_fy)/n_conv)</f>
        <v>0.065360824742268</v>
      </c>
      <c r="G11714" s="7" t="n">
        <f aca="false">Sens!$E$11714+(glt_fro-Sens!$E$11714)*MIN(1,(Sens!G11662-base_fy)/n_conv)</f>
        <v>0.0662886597938144</v>
      </c>
      <c r="H11714" s="7" t="n">
        <f aca="false">Sens!$E$11714+(glt_fro-Sens!$E$11714)*MIN(1,(Sens!H11662-base_fy)/n_conv)</f>
        <v>0.0672164948453608</v>
      </c>
      <c r="I11714" s="7" t="n">
        <f aca="false">Sens!$E$11714+(glt_fro-Sens!$E$11714)*MIN(1,(Sens!I11662-base_fy)/n_conv)</f>
        <v>0.0681443298969072</v>
      </c>
      <c r="J11714" s="7" t="n">
        <f aca="false">Sens!$E$11714+(glt_fro-Sens!$E$11714)*MIN(1,(Sens!J11662-base_fy)/n_conv)</f>
        <v>0.0690721649484536</v>
      </c>
      <c r="K11714" s="7" t="n">
        <f aca="false">Sens!$E$11714+(glt_fro-Sens!$E$11714)*MIN(1,(Sens!K11662-base_fy)/n_conv)</f>
        <v>0.07</v>
      </c>
    </row>
    <row r="11715" customFormat="false" ht="15" hidden="false" customHeight="false" outlineLevel="0" collapsed="false">
      <c r="A11715" s="0" t="s">
        <v>715</v>
      </c>
      <c r="B11715" s="0" t="s">
        <v>98</v>
      </c>
      <c r="D11715" s="6" t="n">
        <f aca="false">Sens!D11703+Sens!D11708+Sens!D11709+Sens!D11711+Sens!D11713</f>
        <v>218.783</v>
      </c>
      <c r="E11715" s="6" t="n">
        <f aca="false">Sens!E11703+Sens!E11708+Sens!E11709+Sens!E11711+Sens!E11713</f>
        <v>268.127</v>
      </c>
      <c r="F11715" s="6" t="n">
        <f aca="false">Sens!F11703+Sens!F11708+Sens!F11709+Sens!F11711+Sens!F11713</f>
        <v>339.433940907051</v>
      </c>
      <c r="G11715" s="6" t="n">
        <f aca="false">Sens!G11703+Sens!G11708+Sens!G11709+Sens!G11711+Sens!G11713</f>
        <v>424.490670881892</v>
      </c>
      <c r="H11715" s="6" t="n">
        <f aca="false">Sens!H11703+Sens!H11708+Sens!H11709+Sens!H11711+Sens!H11713</f>
        <v>515.646275281385</v>
      </c>
      <c r="I11715" s="6" t="n">
        <f aca="false">Sens!I11703+Sens!I11708+Sens!I11709+Sens!I11711+Sens!I11713</f>
        <v>592.863760444604</v>
      </c>
      <c r="J11715" s="6" t="n">
        <f aca="false">Sens!J11703+Sens!J11708+Sens!J11709+Sens!J11711+Sens!J11713</f>
        <v>654.596421863355</v>
      </c>
      <c r="K11715" s="6" t="n">
        <f aca="false">Sens!K11703+Sens!K11708+Sens!K11709+Sens!K11711+Sens!K11713</f>
        <v>703.647921299244</v>
      </c>
    </row>
    <row r="11716" customFormat="false" ht="15" hidden="false" customHeight="false" outlineLevel="0" collapsed="false">
      <c r="A11716" s="0" t="s">
        <v>887</v>
      </c>
      <c r="B11716" s="0" t="s">
        <v>98</v>
      </c>
      <c r="D11716" s="6" t="n">
        <f aca="false">Q!L13</f>
        <v>22.171</v>
      </c>
      <c r="E11716" s="6" t="n">
        <f aca="false">Q!M13</f>
        <v>24.835</v>
      </c>
      <c r="F11716" s="6" t="n">
        <f aca="false">Sens!E11716*(1+Sens!F11717)</f>
        <v>27.6114901218559</v>
      </c>
      <c r="G11716" s="6" t="n">
        <f aca="false">Sens!F11716*(1+Sens!G11717)</f>
        <v>30.4675667338515</v>
      </c>
      <c r="H11716" s="6" t="n">
        <f aca="false">Sens!G11716*(1+Sens!H11717)</f>
        <v>33.3643766955789</v>
      </c>
      <c r="I11716" s="6" t="n">
        <f aca="false">Sens!H11716*(1+Sens!I11717)</f>
        <v>36.2577016533691</v>
      </c>
      <c r="J11716" s="6" t="n">
        <f aca="false">Sens!I11716*(1+Sens!J11717)</f>
        <v>39.0988367952171</v>
      </c>
      <c r="K11716" s="6" t="n">
        <f aca="false">Sens!J11716*(1+Sens!K11717)</f>
        <v>41.8357553708823</v>
      </c>
    </row>
    <row r="11717" customFormat="false" ht="15" hidden="false" customHeight="false" outlineLevel="0" collapsed="false">
      <c r="A11717" s="1" t="s">
        <v>876</v>
      </c>
      <c r="B11717" s="0" t="s">
        <v>129</v>
      </c>
      <c r="E11717" s="7" t="n">
        <f aca="false">Sens!E11716/Sens!D11716-1</f>
        <v>0.120156961796942</v>
      </c>
      <c r="F11717" s="7" t="n">
        <f aca="false">Sens!$E$11717+(glt_srch-Sens!$E$11717)*MIN(1,(Sens!F11662-base_fy)/n_conv)</f>
        <v>0.111797468164118</v>
      </c>
      <c r="G11717" s="7" t="n">
        <f aca="false">Sens!$E$11717+(glt_srch-Sens!$E$11717)*MIN(1,(Sens!G11662-base_fy)/n_conv)</f>
        <v>0.103437974531295</v>
      </c>
      <c r="H11717" s="7" t="n">
        <f aca="false">Sens!$E$11717+(glt_srch-Sens!$E$11717)*MIN(1,(Sens!H11662-base_fy)/n_conv)</f>
        <v>0.095078480898471</v>
      </c>
      <c r="I11717" s="7" t="n">
        <f aca="false">Sens!$E$11717+(glt_srch-Sens!$E$11717)*MIN(1,(Sens!I11662-base_fy)/n_conv)</f>
        <v>0.0867189872656474</v>
      </c>
      <c r="J11717" s="7" t="n">
        <f aca="false">Sens!$E$11717+(glt_srch-Sens!$E$11717)*MIN(1,(Sens!J11662-base_fy)/n_conv)</f>
        <v>0.0783594936328237</v>
      </c>
      <c r="K11717" s="7" t="n">
        <f aca="false">Sens!$E$11717+(glt_srch-Sens!$E$11717)*MIN(1,(Sens!K11662-base_fy)/n_conv)</f>
        <v>0.07</v>
      </c>
    </row>
    <row r="11718" customFormat="false" ht="15" hidden="false" customHeight="false" outlineLevel="0" collapsed="false">
      <c r="A11718" s="0" t="s">
        <v>888</v>
      </c>
      <c r="B11718" s="0" t="s">
        <v>98</v>
      </c>
      <c r="D11718" s="6" t="n">
        <f aca="false">Q!L14</f>
        <v>23.455</v>
      </c>
      <c r="E11718" s="6" t="n">
        <f aca="false">Q!M14</f>
        <v>21.79</v>
      </c>
      <c r="F11718" s="6" t="n">
        <f aca="false">Sens!E11718*(1+Sens!F11719)</f>
        <v>20.5736277908051</v>
      </c>
      <c r="G11718" s="6" t="n">
        <f aca="false">Sens!F11718*(1+Sens!G11719)</f>
        <v>19.7371452817919</v>
      </c>
      <c r="H11718" s="6" t="n">
        <f aca="false">Sens!G11718*(1+Sens!H11719)</f>
        <v>19.2339764043138</v>
      </c>
      <c r="I11718" s="6" t="n">
        <f aca="false">Sens!H11718*(1+Sens!I11719)</f>
        <v>19.0353086852681</v>
      </c>
      <c r="J11718" s="6" t="n">
        <f aca="false">Sens!I11718*(1+Sens!J11719)</f>
        <v>19.1273539319129</v>
      </c>
      <c r="K11718" s="6" t="n">
        <f aca="false">Sens!J11718*(1+Sens!K11719)</f>
        <v>19.5099010105511</v>
      </c>
    </row>
    <row r="11719" customFormat="false" ht="15" hidden="false" customHeight="false" outlineLevel="0" collapsed="false">
      <c r="A11719" s="1" t="s">
        <v>876</v>
      </c>
      <c r="B11719" s="0" t="s">
        <v>129</v>
      </c>
      <c r="E11719" s="7" t="n">
        <f aca="false">Sens!E11718/Sens!D11718-1</f>
        <v>-0.0709869963760392</v>
      </c>
      <c r="F11719" s="7" t="n">
        <f aca="false">Sens!$E$11719+(glt_xbox-Sens!$E$11719)*MIN(1,(Sens!F11662-base_fy)/n_conv)</f>
        <v>-0.0558224969800327</v>
      </c>
      <c r="G11719" s="7" t="n">
        <f aca="false">Sens!$E$11719+(glt_xbox-Sens!$E$11719)*MIN(1,(Sens!G11662-base_fy)/n_conv)</f>
        <v>-0.0406579975840262</v>
      </c>
      <c r="H11719" s="7" t="n">
        <f aca="false">Sens!$E$11719+(glt_xbox-Sens!$E$11719)*MIN(1,(Sens!H11662-base_fy)/n_conv)</f>
        <v>-0.0254934981880196</v>
      </c>
      <c r="I11719" s="7" t="n">
        <f aca="false">Sens!$E$11719+(glt_xbox-Sens!$E$11719)*MIN(1,(Sens!I11662-base_fy)/n_conv)</f>
        <v>-0.0103289987920131</v>
      </c>
      <c r="J11719" s="7" t="n">
        <f aca="false">Sens!$E$11719+(glt_xbox-Sens!$E$11719)*MIN(1,(Sens!J11662-base_fy)/n_conv)</f>
        <v>0.00483550060399347</v>
      </c>
      <c r="K11719" s="7" t="n">
        <f aca="false">Sens!$E$11719+(glt_xbox-Sens!$E$11719)*MIN(1,(Sens!K11662-base_fy)/n_conv)</f>
        <v>0.02</v>
      </c>
    </row>
    <row r="11720" customFormat="false" ht="15" hidden="false" customHeight="false" outlineLevel="0" collapsed="false">
      <c r="A11720" s="0" t="s">
        <v>889</v>
      </c>
      <c r="B11720" s="0" t="s">
        <v>98</v>
      </c>
      <c r="D11720" s="6" t="n">
        <f aca="false">Q!L15</f>
        <v>17.315</v>
      </c>
      <c r="E11720" s="6" t="n">
        <f aca="false">Q!M15</f>
        <v>17.087</v>
      </c>
      <c r="F11720" s="6" t="n">
        <f aca="false">Sens!E11720*(1+Sens!F11721)</f>
        <v>16.9564585436519</v>
      </c>
      <c r="G11720" s="6" t="n">
        <f aca="false">Sens!F11720*(1+Sens!G11721)</f>
        <v>16.9206490624268</v>
      </c>
      <c r="H11720" s="6" t="n">
        <f aca="false">Sens!G11720*(1+Sens!H11721)</f>
        <v>16.9784519149849</v>
      </c>
      <c r="I11720" s="6" t="n">
        <f aca="false">Sens!H11720*(1+Sens!I11721)</f>
        <v>17.1303084701817</v>
      </c>
      <c r="J11720" s="6" t="n">
        <f aca="false">Sens!I11720*(1+Sens!J11721)</f>
        <v>17.3782189407267</v>
      </c>
      <c r="K11720" s="6" t="n">
        <f aca="false">Sens!J11720*(1+Sens!K11721)</f>
        <v>17.7257833195413</v>
      </c>
    </row>
    <row r="11721" customFormat="false" ht="15" hidden="false" customHeight="false" outlineLevel="0" collapsed="false">
      <c r="A11721" s="1" t="s">
        <v>876</v>
      </c>
      <c r="B11721" s="0" t="s">
        <v>129</v>
      </c>
      <c r="E11721" s="7" t="n">
        <f aca="false">Sens!E11720/Sens!D11720-1</f>
        <v>-0.0131677736066995</v>
      </c>
      <c r="F11721" s="7" t="n">
        <f aca="false">Sens!$E$11721+(glt_win-Sens!$E$11721)*MIN(1,(Sens!F11662-base_fy)/n_conv)</f>
        <v>-0.00763981133891627</v>
      </c>
      <c r="G11721" s="7" t="n">
        <f aca="false">Sens!$E$11721+(glt_win-Sens!$E$11721)*MIN(1,(Sens!G11662-base_fy)/n_conv)</f>
        <v>-0.00211184907113301</v>
      </c>
      <c r="H11721" s="7" t="n">
        <f aca="false">Sens!$E$11721+(glt_win-Sens!$E$11721)*MIN(1,(Sens!H11662-base_fy)/n_conv)</f>
        <v>0.00341611319665024</v>
      </c>
      <c r="I11721" s="7" t="n">
        <f aca="false">Sens!$E$11721+(glt_win-Sens!$E$11721)*MIN(1,(Sens!I11662-base_fy)/n_conv)</f>
        <v>0.00894407546443349</v>
      </c>
      <c r="J11721" s="7" t="n">
        <f aca="false">Sens!$E$11721+(glt_win-Sens!$E$11721)*MIN(1,(Sens!J11662-base_fy)/n_conv)</f>
        <v>0.0144720377322168</v>
      </c>
      <c r="K11721" s="7" t="n">
        <f aca="false">Sens!$E$11721+(glt_win-Sens!$E$11721)*MIN(1,(Sens!K11662-base_fy)/n_conv)</f>
        <v>0.02</v>
      </c>
    </row>
    <row r="11722" customFormat="false" ht="15" hidden="false" customHeight="false" outlineLevel="0" collapsed="false">
      <c r="A11722" s="0" t="s">
        <v>729</v>
      </c>
      <c r="B11722" s="0" t="s">
        <v>98</v>
      </c>
      <c r="D11722" s="6" t="n">
        <f aca="false">Sens!D11716+Sens!D11718+Sens!D11720</f>
        <v>62.941</v>
      </c>
      <c r="E11722" s="6" t="n">
        <f aca="false">Sens!E11716+Sens!E11718+Sens!E11720</f>
        <v>63.712</v>
      </c>
      <c r="F11722" s="6" t="n">
        <f aca="false">Sens!F11716+Sens!F11718+Sens!F11720</f>
        <v>65.1415764563129</v>
      </c>
      <c r="G11722" s="6" t="n">
        <f aca="false">Sens!G11716+Sens!G11718+Sens!G11720</f>
        <v>67.1253610780702</v>
      </c>
      <c r="H11722" s="6" t="n">
        <f aca="false">Sens!H11716+Sens!H11718+Sens!H11720</f>
        <v>69.5768050148776</v>
      </c>
      <c r="I11722" s="6" t="n">
        <f aca="false">Sens!I11716+Sens!I11718+Sens!I11720</f>
        <v>72.4233188088189</v>
      </c>
      <c r="J11722" s="6" t="n">
        <f aca="false">Sens!J11716+Sens!J11718+Sens!J11720</f>
        <v>75.6044096678567</v>
      </c>
      <c r="K11722" s="6" t="n">
        <f aca="false">Sens!K11716+Sens!K11718+Sens!K11720</f>
        <v>79.0714397009747</v>
      </c>
    </row>
    <row r="11723" customFormat="false" ht="15" hidden="false" customHeight="false" outlineLevel="0" collapsed="false">
      <c r="A11723" s="1" t="s">
        <v>890</v>
      </c>
      <c r="B11723" s="0" t="s">
        <v>98</v>
      </c>
      <c r="D11723" s="6" t="n">
        <f aca="false">Sens!D11715+Sens!D11722</f>
        <v>281.724</v>
      </c>
      <c r="E11723" s="6" t="n">
        <f aca="false">Sens!E11715+Sens!E11722</f>
        <v>331.839</v>
      </c>
      <c r="F11723" s="6" t="n">
        <f aca="false">Sens!F11715+Sens!F11722</f>
        <v>404.575517363364</v>
      </c>
      <c r="G11723" s="6" t="n">
        <f aca="false">Sens!G11715+Sens!G11722</f>
        <v>491.616031959962</v>
      </c>
      <c r="H11723" s="6" t="n">
        <f aca="false">Sens!H11715+Sens!H11722</f>
        <v>585.223080296262</v>
      </c>
      <c r="I11723" s="6" t="n">
        <f aca="false">Sens!I11715+Sens!I11722</f>
        <v>665.287079253422</v>
      </c>
      <c r="J11723" s="6" t="n">
        <f aca="false">Sens!J11715+Sens!J11722</f>
        <v>730.200831531211</v>
      </c>
      <c r="K11723" s="6" t="n">
        <f aca="false">Sens!K11715+Sens!K11722</f>
        <v>782.719361000218</v>
      </c>
    </row>
    <row r="11724" customFormat="false" ht="15" hidden="false" customHeight="false" outlineLevel="0" collapsed="false">
      <c r="A11724" s="23" t="s">
        <v>891</v>
      </c>
      <c r="B11724" s="30" t="s">
        <v>98</v>
      </c>
      <c r="C11724" s="30"/>
      <c r="D11724" s="24" t="n">
        <f aca="false">(Sens!D11703+Sens!D11708+Sens!D11709+Sens!D11711+Sens!D11713-Sens!D11715)+(Sens!D11716+Sens!D11718+Sens!D11720-Sens!D11722)+(Sens!D11715-Q!L5)+(Sens!D11722-Q!L12)+(Sens!D11703-Q!L6)+(Sens!D11708-Q!L7)</f>
        <v>0</v>
      </c>
      <c r="E11724" s="24" t="n">
        <f aca="false">(Sens!E11703+Sens!E11708+Sens!E11709+Sens!E11711+Sens!E11713-Sens!E11715)+(Sens!E11716+Sens!E11718+Sens!E11720-Sens!E11722)+(Sens!E11715-Q!M5)+(Sens!E11722-Q!M12)+(Sens!E11703-Q!M6)+(Sens!E11708-Q!M7)</f>
        <v>0</v>
      </c>
      <c r="F11724" s="24" t="n">
        <f aca="false">(Sens!F11703+Sens!F11708+Sens!F11709+Sens!F11711+Sens!F11713-Sens!F11715)+(Sens!F11716+Sens!F11718+Sens!F11720-Sens!F11722)</f>
        <v>0</v>
      </c>
      <c r="G11724" s="24" t="n">
        <f aca="false">(Sens!G11703+Sens!G11708+Sens!G11709+Sens!G11711+Sens!G11713-Sens!G11715)+(Sens!G11716+Sens!G11718+Sens!G11720-Sens!G11722)</f>
        <v>0</v>
      </c>
      <c r="H11724" s="24" t="n">
        <f aca="false">(Sens!H11703+Sens!H11708+Sens!H11709+Sens!H11711+Sens!H11713-Sens!H11715)+(Sens!H11716+Sens!H11718+Sens!H11720-Sens!H11722)</f>
        <v>0</v>
      </c>
      <c r="I11724" s="24" t="n">
        <f aca="false">(Sens!I11703+Sens!I11708+Sens!I11709+Sens!I11711+Sens!I11713-Sens!I11715)+(Sens!I11716+Sens!I11718+Sens!I11720-Sens!I11722)</f>
        <v>0</v>
      </c>
      <c r="J11724" s="24" t="n">
        <f aca="false">(Sens!J11703+Sens!J11708+Sens!J11709+Sens!J11711+Sens!J11713-Sens!J11715)+(Sens!J11716+Sens!J11718+Sens!J11720-Sens!J11722)</f>
        <v>0</v>
      </c>
      <c r="K11724" s="24" t="n">
        <f aca="false">(Sens!K11703+Sens!K11708+Sens!K11709+Sens!K11711+Sens!K11713-Sens!K11715)+(Sens!K11716+Sens!K11718+Sens!K11720-Sens!K11722)</f>
        <v>0</v>
      </c>
    </row>
    <row r="11725" customFormat="false" ht="17.15" hidden="false" customHeight="false" outlineLevel="0" collapsed="false">
      <c r="A11725" s="3" t="s">
        <v>1564</v>
      </c>
    </row>
    <row r="11726" customFormat="false" ht="15" hidden="false" customHeight="false" outlineLevel="0" collapsed="false">
      <c r="A11726" s="4" t="s">
        <v>43</v>
      </c>
      <c r="B11726" s="4" t="s">
        <v>65</v>
      </c>
      <c r="C11726" s="20" t="s">
        <v>799</v>
      </c>
      <c r="D11726" s="20" t="s">
        <v>800</v>
      </c>
      <c r="E11726" s="20" t="s">
        <v>801</v>
      </c>
      <c r="F11726" s="20" t="s">
        <v>802</v>
      </c>
      <c r="G11726" s="20" t="s">
        <v>803</v>
      </c>
      <c r="H11726" s="20" t="s">
        <v>804</v>
      </c>
      <c r="I11726" s="20" t="s">
        <v>805</v>
      </c>
      <c r="J11726" s="20" t="s">
        <v>806</v>
      </c>
      <c r="K11726" s="20" t="s">
        <v>807</v>
      </c>
      <c r="L11726" s="4" t="s">
        <v>47</v>
      </c>
    </row>
    <row r="11727" customFormat="false" ht="15" hidden="false" customHeight="false" outlineLevel="0" collapsed="false">
      <c r="A11727" s="0" t="s">
        <v>877</v>
      </c>
      <c r="B11727" s="0" t="s">
        <v>98</v>
      </c>
      <c r="D11727" s="6" t="n">
        <f aca="false">Sens!D11703</f>
        <v>72.61</v>
      </c>
      <c r="E11727" s="6" t="n">
        <f aca="false">Sens!E11703</f>
        <v>101.938</v>
      </c>
      <c r="F11727" s="6" t="n">
        <f aca="false">Sens!F11703</f>
        <v>148.812368967868</v>
      </c>
      <c r="G11727" s="6" t="n">
        <f aca="false">Sens!G11703</f>
        <v>208.397514344463</v>
      </c>
      <c r="H11727" s="6" t="n">
        <f aca="false">Sens!H11703</f>
        <v>274.05759259987</v>
      </c>
      <c r="I11727" s="6" t="n">
        <f aca="false">Sens!I11703</f>
        <v>328.302405465117</v>
      </c>
      <c r="J11727" s="6" t="n">
        <f aca="false">Sens!J11703</f>
        <v>369.905524759186</v>
      </c>
      <c r="K11727" s="6" t="n">
        <f aca="false">Sens!K11703</f>
        <v>399.753851959067</v>
      </c>
    </row>
    <row r="11728" customFormat="false" ht="17.15" hidden="false" customHeight="false" outlineLevel="0" collapsed="false">
      <c r="A11728" s="0" t="s">
        <v>874</v>
      </c>
      <c r="B11728" s="0" t="s">
        <v>98</v>
      </c>
      <c r="D11728" s="6" t="n">
        <f aca="false">Sens!D11700</f>
        <v>12.9359794422418</v>
      </c>
      <c r="E11728" s="6" t="n">
        <f aca="false">Sens!E11700</f>
        <v>27.8095064661409</v>
      </c>
      <c r="F11728" s="6" t="n">
        <f aca="false">Sens!F11700</f>
        <v>58.7324192305018</v>
      </c>
      <c r="G11728" s="6" t="n">
        <f aca="false">Sens!G11700</f>
        <v>101.369089141153</v>
      </c>
      <c r="H11728" s="6" t="n">
        <f aca="false">Sens!H11700</f>
        <v>149.785610014234</v>
      </c>
      <c r="I11728" s="6" t="n">
        <f aca="false">Sens!I11700</f>
        <v>187.368703083263</v>
      </c>
      <c r="J11728" s="6" t="n">
        <f aca="false">Sens!J11700</f>
        <v>213.886657444854</v>
      </c>
      <c r="K11728" s="6" t="n">
        <f aca="false">Sens!K11700</f>
        <v>231.253475259589</v>
      </c>
    </row>
    <row r="11729" customFormat="false" ht="17.15" hidden="false" customHeight="false" outlineLevel="0" collapsed="false">
      <c r="A11729" s="0" t="s">
        <v>902</v>
      </c>
      <c r="B11729" s="0" t="s">
        <v>98</v>
      </c>
      <c r="D11729" s="6" t="n">
        <f aca="false">Sens!D11701</f>
        <v>59.6740205577583</v>
      </c>
      <c r="E11729" s="6" t="n">
        <f aca="false">Sens!E11701</f>
        <v>74.1284935338591</v>
      </c>
      <c r="F11729" s="6" t="n">
        <f aca="false">Sens!F11701</f>
        <v>90.0799497373663</v>
      </c>
      <c r="G11729" s="6" t="n">
        <f aca="false">Sens!G11701</f>
        <v>107.02842520331</v>
      </c>
      <c r="H11729" s="6" t="n">
        <f aca="false">Sens!H11701</f>
        <v>124.271982585636</v>
      </c>
      <c r="I11729" s="6" t="n">
        <f aca="false">Sens!I11701</f>
        <v>140.933702381855</v>
      </c>
      <c r="J11729" s="6" t="n">
        <f aca="false">Sens!J11701</f>
        <v>156.018867314332</v>
      </c>
      <c r="K11729" s="6" t="n">
        <f aca="false">Sens!K11701</f>
        <v>168.500376699478</v>
      </c>
    </row>
    <row r="11730" customFormat="false" ht="15" hidden="false" customHeight="false" outlineLevel="0" collapsed="false">
      <c r="A11730" s="0" t="s">
        <v>883</v>
      </c>
      <c r="B11730" s="0" t="s">
        <v>98</v>
      </c>
      <c r="D11730" s="6" t="n">
        <f aca="false">Sens!D11708</f>
        <v>84.605</v>
      </c>
      <c r="E11730" s="6" t="n">
        <f aca="false">Sens!E11708</f>
        <v>100.299</v>
      </c>
      <c r="F11730" s="6" t="n">
        <f aca="false">Sens!F11708</f>
        <v>120.39238776686</v>
      </c>
      <c r="G11730" s="6" t="n">
        <f aca="false">Sens!G11708</f>
        <v>141.544168448684</v>
      </c>
      <c r="H11730" s="6" t="n">
        <f aca="false">Sens!H11708</f>
        <v>162.777359388781</v>
      </c>
      <c r="I11730" s="6" t="n">
        <f aca="false">Sens!I11708</f>
        <v>181.584028071957</v>
      </c>
      <c r="J11730" s="6" t="n">
        <f aca="false">Sens!J11708</f>
        <v>197.682702785465</v>
      </c>
      <c r="K11730" s="6" t="n">
        <f aca="false">Sens!K11708</f>
        <v>213.027991980448</v>
      </c>
    </row>
    <row r="11731" customFormat="false" ht="17.15" hidden="false" customHeight="false" outlineLevel="0" collapsed="false">
      <c r="A11731" s="0" t="s">
        <v>903</v>
      </c>
      <c r="B11731" s="0" t="s">
        <v>98</v>
      </c>
      <c r="D11731" s="6" t="n">
        <f aca="false">Sens!D11706</f>
        <v>83.705</v>
      </c>
      <c r="E11731" s="6" t="n">
        <f aca="false">Sens!E11706</f>
        <v>95.049</v>
      </c>
      <c r="F11731" s="6" t="n">
        <f aca="false">Sens!F11706</f>
        <v>106.89238776686</v>
      </c>
      <c r="G11731" s="6" t="n">
        <f aca="false">Sens!G11706</f>
        <v>119.044168448684</v>
      </c>
      <c r="H11731" s="6" t="n">
        <f aca="false">Sens!H11706</f>
        <v>131.277359388781</v>
      </c>
      <c r="I11731" s="6" t="n">
        <f aca="false">Sens!I11706</f>
        <v>143.334028071957</v>
      </c>
      <c r="J11731" s="6" t="n">
        <f aca="false">Sens!J11706</f>
        <v>154.932702785465</v>
      </c>
      <c r="K11731" s="6" t="n">
        <f aca="false">Sens!K11706</f>
        <v>165.777991980448</v>
      </c>
    </row>
    <row r="11732" customFormat="false" ht="17.15" hidden="false" customHeight="false" outlineLevel="0" collapsed="false">
      <c r="A11732" s="0" t="s">
        <v>904</v>
      </c>
      <c r="B11732" s="0" t="s">
        <v>98</v>
      </c>
      <c r="D11732" s="6" t="n">
        <f aca="false">Sens!D11705</f>
        <v>0.9</v>
      </c>
      <c r="E11732" s="6" t="n">
        <f aca="false">Sens!E11705</f>
        <v>5.25</v>
      </c>
      <c r="F11732" s="6" t="n">
        <f aca="false">Sens!F11705</f>
        <v>13.5</v>
      </c>
      <c r="G11732" s="6" t="n">
        <f aca="false">Sens!G11705</f>
        <v>22.5</v>
      </c>
      <c r="H11732" s="6" t="n">
        <f aca="false">Sens!H11705</f>
        <v>31.5</v>
      </c>
      <c r="I11732" s="6" t="n">
        <f aca="false">Sens!I11705</f>
        <v>38.25</v>
      </c>
      <c r="J11732" s="6" t="n">
        <f aca="false">Sens!J11705</f>
        <v>42.75</v>
      </c>
      <c r="K11732" s="6" t="n">
        <f aca="false">Sens!K11705</f>
        <v>47.25</v>
      </c>
    </row>
    <row r="11733" customFormat="false" ht="15" hidden="false" customHeight="false" outlineLevel="0" collapsed="false">
      <c r="A11733" s="0" t="s">
        <v>884</v>
      </c>
      <c r="B11733" s="0" t="s">
        <v>98</v>
      </c>
      <c r="D11733" s="6" t="n">
        <f aca="false">Sens!D11709</f>
        <v>35.391</v>
      </c>
      <c r="E11733" s="6" t="n">
        <f aca="false">Sens!E11709</f>
        <v>37.285</v>
      </c>
      <c r="F11733" s="6" t="n">
        <f aca="false">Sens!F11709</f>
        <v>39.0720834331704</v>
      </c>
      <c r="G11733" s="6" t="n">
        <f aca="false">Sens!G11709</f>
        <v>40.726562953769</v>
      </c>
      <c r="H11733" s="6" t="n">
        <f aca="false">Sens!H11709</f>
        <v>42.2235987259198</v>
      </c>
      <c r="I11733" s="6" t="n">
        <f aca="false">Sens!I11709</f>
        <v>43.5397988077414</v>
      </c>
      <c r="J11733" s="6" t="n">
        <f aca="false">Sens!J11709</f>
        <v>44.653811225693</v>
      </c>
      <c r="K11733" s="6" t="n">
        <f aca="false">Sens!K11709</f>
        <v>45.5468874502068</v>
      </c>
    </row>
    <row r="11734" customFormat="false" ht="15" hidden="false" customHeight="false" outlineLevel="0" collapsed="false">
      <c r="A11734" s="0" t="s">
        <v>885</v>
      </c>
      <c r="B11734" s="0" t="s">
        <v>98</v>
      </c>
      <c r="D11734" s="6" t="n">
        <f aca="false">Sens!D11711</f>
        <v>18.417</v>
      </c>
      <c r="E11734" s="6" t="n">
        <f aca="false">Sens!E11711</f>
        <v>20.345</v>
      </c>
      <c r="F11734" s="6" t="n">
        <f aca="false">Sens!F11711</f>
        <v>22.3572203267814</v>
      </c>
      <c r="G11734" s="6" t="n">
        <f aca="false">Sens!G11711</f>
        <v>24.4392124437232</v>
      </c>
      <c r="H11734" s="6" t="n">
        <f aca="false">Sens!H11711</f>
        <v>26.5738052080665</v>
      </c>
      <c r="I11734" s="6" t="n">
        <f aca="false">Sens!I11711</f>
        <v>28.7412169166967</v>
      </c>
      <c r="J11734" s="6" t="n">
        <f aca="false">Sens!J11711</f>
        <v>30.9192545395413</v>
      </c>
      <c r="K11734" s="6" t="n">
        <f aca="false">Sens!K11711</f>
        <v>33.0836023573092</v>
      </c>
    </row>
    <row r="11735" customFormat="false" ht="15" hidden="false" customHeight="false" outlineLevel="0" collapsed="false">
      <c r="A11735" s="0" t="s">
        <v>886</v>
      </c>
      <c r="B11735" s="0" t="s">
        <v>98</v>
      </c>
      <c r="D11735" s="6" t="n">
        <f aca="false">Sens!D11713</f>
        <v>7.76</v>
      </c>
      <c r="E11735" s="6" t="n">
        <f aca="false">Sens!E11713</f>
        <v>8.26</v>
      </c>
      <c r="F11735" s="6" t="n">
        <f aca="false">Sens!F11713</f>
        <v>8.79988041237113</v>
      </c>
      <c r="G11735" s="6" t="n">
        <f aca="false">Sens!G11713</f>
        <v>9.38321269125306</v>
      </c>
      <c r="H11735" s="6" t="n">
        <f aca="false">Sens!H11713</f>
        <v>10.0139193587476</v>
      </c>
      <c r="I11735" s="6" t="n">
        <f aca="false">Sens!I11713</f>
        <v>10.6963111830911</v>
      </c>
      <c r="J11735" s="6" t="n">
        <f aca="false">Sens!J11713</f>
        <v>11.4351285534696</v>
      </c>
      <c r="K11735" s="6" t="n">
        <f aca="false">Sens!K11713</f>
        <v>12.2355875522124</v>
      </c>
    </row>
    <row r="11736" customFormat="false" ht="15" hidden="false" customHeight="false" outlineLevel="0" collapsed="false">
      <c r="A11736" s="0" t="s">
        <v>715</v>
      </c>
      <c r="B11736" s="0" t="s">
        <v>98</v>
      </c>
      <c r="D11736" s="6" t="n">
        <f aca="false">Sens!D11715</f>
        <v>218.783</v>
      </c>
      <c r="E11736" s="6" t="n">
        <f aca="false">Sens!E11715</f>
        <v>268.127</v>
      </c>
      <c r="F11736" s="6" t="n">
        <f aca="false">Sens!F11715</f>
        <v>339.433940907051</v>
      </c>
      <c r="G11736" s="6" t="n">
        <f aca="false">Sens!G11715</f>
        <v>424.490670881892</v>
      </c>
      <c r="H11736" s="6" t="n">
        <f aca="false">Sens!H11715</f>
        <v>515.646275281385</v>
      </c>
      <c r="I11736" s="6" t="n">
        <f aca="false">Sens!I11715</f>
        <v>592.863760444604</v>
      </c>
      <c r="J11736" s="6" t="n">
        <f aca="false">Sens!J11715</f>
        <v>654.596421863355</v>
      </c>
      <c r="K11736" s="6" t="n">
        <f aca="false">Sens!K11715</f>
        <v>703.647921299244</v>
      </c>
    </row>
    <row r="11737" customFormat="false" ht="15" hidden="false" customHeight="false" outlineLevel="0" collapsed="false">
      <c r="A11737" s="0" t="s">
        <v>887</v>
      </c>
      <c r="B11737" s="0" t="s">
        <v>98</v>
      </c>
      <c r="D11737" s="6" t="n">
        <f aca="false">Sens!D11716</f>
        <v>22.171</v>
      </c>
      <c r="E11737" s="6" t="n">
        <f aca="false">Sens!E11716</f>
        <v>24.835</v>
      </c>
      <c r="F11737" s="6" t="n">
        <f aca="false">Sens!F11716</f>
        <v>27.6114901218559</v>
      </c>
      <c r="G11737" s="6" t="n">
        <f aca="false">Sens!G11716</f>
        <v>30.4675667338515</v>
      </c>
      <c r="H11737" s="6" t="n">
        <f aca="false">Sens!H11716</f>
        <v>33.3643766955789</v>
      </c>
      <c r="I11737" s="6" t="n">
        <f aca="false">Sens!I11716</f>
        <v>36.2577016533691</v>
      </c>
      <c r="J11737" s="6" t="n">
        <f aca="false">Sens!J11716</f>
        <v>39.0988367952171</v>
      </c>
      <c r="K11737" s="6" t="n">
        <f aca="false">Sens!K11716</f>
        <v>41.8357553708823</v>
      </c>
    </row>
    <row r="11738" customFormat="false" ht="15" hidden="false" customHeight="false" outlineLevel="0" collapsed="false">
      <c r="A11738" s="0" t="s">
        <v>888</v>
      </c>
      <c r="B11738" s="0" t="s">
        <v>98</v>
      </c>
      <c r="D11738" s="6" t="n">
        <f aca="false">Sens!D11718</f>
        <v>23.455</v>
      </c>
      <c r="E11738" s="6" t="n">
        <f aca="false">Sens!E11718</f>
        <v>21.79</v>
      </c>
      <c r="F11738" s="6" t="n">
        <f aca="false">Sens!F11718</f>
        <v>20.5736277908051</v>
      </c>
      <c r="G11738" s="6" t="n">
        <f aca="false">Sens!G11718</f>
        <v>19.7371452817919</v>
      </c>
      <c r="H11738" s="6" t="n">
        <f aca="false">Sens!H11718</f>
        <v>19.2339764043138</v>
      </c>
      <c r="I11738" s="6" t="n">
        <f aca="false">Sens!I11718</f>
        <v>19.0353086852681</v>
      </c>
      <c r="J11738" s="6" t="n">
        <f aca="false">Sens!J11718</f>
        <v>19.1273539319129</v>
      </c>
      <c r="K11738" s="6" t="n">
        <f aca="false">Sens!K11718</f>
        <v>19.5099010105511</v>
      </c>
    </row>
    <row r="11739" customFormat="false" ht="15" hidden="false" customHeight="false" outlineLevel="0" collapsed="false">
      <c r="A11739" s="0" t="s">
        <v>889</v>
      </c>
      <c r="B11739" s="0" t="s">
        <v>98</v>
      </c>
      <c r="D11739" s="6" t="n">
        <f aca="false">Sens!D11720</f>
        <v>17.315</v>
      </c>
      <c r="E11739" s="6" t="n">
        <f aca="false">Sens!E11720</f>
        <v>17.087</v>
      </c>
      <c r="F11739" s="6" t="n">
        <f aca="false">Sens!F11720</f>
        <v>16.9564585436519</v>
      </c>
      <c r="G11739" s="6" t="n">
        <f aca="false">Sens!G11720</f>
        <v>16.9206490624268</v>
      </c>
      <c r="H11739" s="6" t="n">
        <f aca="false">Sens!H11720</f>
        <v>16.9784519149849</v>
      </c>
      <c r="I11739" s="6" t="n">
        <f aca="false">Sens!I11720</f>
        <v>17.1303084701817</v>
      </c>
      <c r="J11739" s="6" t="n">
        <f aca="false">Sens!J11720</f>
        <v>17.3782189407267</v>
      </c>
      <c r="K11739" s="6" t="n">
        <f aca="false">Sens!K11720</f>
        <v>17.7257833195413</v>
      </c>
    </row>
    <row r="11740" customFormat="false" ht="15" hidden="false" customHeight="false" outlineLevel="0" collapsed="false">
      <c r="A11740" s="0" t="s">
        <v>729</v>
      </c>
      <c r="B11740" s="0" t="s">
        <v>98</v>
      </c>
      <c r="D11740" s="6" t="n">
        <f aca="false">Sens!D11722</f>
        <v>62.941</v>
      </c>
      <c r="E11740" s="6" t="n">
        <f aca="false">Sens!E11722</f>
        <v>63.712</v>
      </c>
      <c r="F11740" s="6" t="n">
        <f aca="false">Sens!F11722</f>
        <v>65.1415764563129</v>
      </c>
      <c r="G11740" s="6" t="n">
        <f aca="false">Sens!G11722</f>
        <v>67.1253610780702</v>
      </c>
      <c r="H11740" s="6" t="n">
        <f aca="false">Sens!H11722</f>
        <v>69.5768050148776</v>
      </c>
      <c r="I11740" s="6" t="n">
        <f aca="false">Sens!I11722</f>
        <v>72.4233188088189</v>
      </c>
      <c r="J11740" s="6" t="n">
        <f aca="false">Sens!J11722</f>
        <v>75.6044096678567</v>
      </c>
      <c r="K11740" s="6" t="n">
        <f aca="false">Sens!K11722</f>
        <v>79.0714397009747</v>
      </c>
    </row>
    <row r="11741" customFormat="false" ht="15" hidden="false" customHeight="false" outlineLevel="0" collapsed="false">
      <c r="A11741" s="1" t="s">
        <v>905</v>
      </c>
      <c r="B11741" s="0" t="s">
        <v>98</v>
      </c>
      <c r="D11741" s="6" t="n">
        <f aca="false">Sens!D11723</f>
        <v>281.724</v>
      </c>
      <c r="E11741" s="6" t="n">
        <f aca="false">Sens!E11723</f>
        <v>331.839</v>
      </c>
      <c r="F11741" s="6" t="n">
        <f aca="false">Sens!F11723</f>
        <v>404.575517363364</v>
      </c>
      <c r="G11741" s="6" t="n">
        <f aca="false">Sens!G11723</f>
        <v>491.616031959962</v>
      </c>
      <c r="H11741" s="6" t="n">
        <f aca="false">Sens!H11723</f>
        <v>585.223080296262</v>
      </c>
      <c r="I11741" s="6" t="n">
        <f aca="false">Sens!I11723</f>
        <v>665.287079253422</v>
      </c>
      <c r="J11741" s="6" t="n">
        <f aca="false">Sens!J11723</f>
        <v>730.200831531211</v>
      </c>
      <c r="K11741" s="6" t="n">
        <f aca="false">Sens!K11723</f>
        <v>782.719361000218</v>
      </c>
    </row>
    <row r="11742" customFormat="false" ht="15" hidden="false" customHeight="false" outlineLevel="0" collapsed="false">
      <c r="A11742" s="1" t="s">
        <v>906</v>
      </c>
      <c r="B11742" s="0" t="s">
        <v>129</v>
      </c>
      <c r="E11742" s="7" t="n">
        <f aca="false">Sens!E11741/Sens!D11741-1</f>
        <v>0.177886867998467</v>
      </c>
      <c r="F11742" s="7" t="n">
        <f aca="false">Sens!F11741/Sens!E11741-1</f>
        <v>0.219192190680914</v>
      </c>
      <c r="G11742" s="7" t="n">
        <f aca="false">Sens!G11741/Sens!F11741-1</f>
        <v>0.215140340581766</v>
      </c>
      <c r="H11742" s="7" t="n">
        <f aca="false">Sens!H11741/Sens!G11741-1</f>
        <v>0.19040682616291</v>
      </c>
      <c r="I11742" s="7" t="n">
        <f aca="false">Sens!I11741/Sens!H11741-1</f>
        <v>0.13680936663781</v>
      </c>
      <c r="J11742" s="7" t="n">
        <f aca="false">Sens!J11741/Sens!I11741-1</f>
        <v>0.0975725431953893</v>
      </c>
      <c r="K11742" s="7" t="n">
        <f aca="false">Sens!K11741/Sens!J11741-1</f>
        <v>0.0719234040844312</v>
      </c>
    </row>
    <row r="11743" customFormat="false" ht="17.15" hidden="false" customHeight="false" outlineLevel="0" collapsed="false">
      <c r="A11743" s="23" t="s">
        <v>907</v>
      </c>
      <c r="B11743" s="30" t="s">
        <v>98</v>
      </c>
      <c r="C11743" s="30"/>
      <c r="D11743" s="24" t="n">
        <f aca="false">(Sens!D11736+Sens!D11740-Sens!D11741)+(Sens!D11728+Sens!D11729-Sens!D11727)+(Sens!D11731+Sens!D11732-Sens!D11730)+(Sens!D11741-Q!L18)</f>
        <v>0</v>
      </c>
      <c r="E11743" s="24" t="n">
        <f aca="false">(Sens!E11736+Sens!E11740-Sens!E11741)+(Sens!E11728+Sens!E11729-Sens!E11727)+(Sens!E11731+Sens!E11732-Sens!E11730)+(Sens!E11741-Q!M18)</f>
        <v>0</v>
      </c>
      <c r="F11743" s="24" t="n">
        <f aca="false">(Sens!F11736+Sens!F11740-Sens!F11741)+(Sens!F11728+Sens!F11729-Sens!F11727)+(Sens!F11731+Sens!F11732-Sens!F11730)</f>
        <v>0</v>
      </c>
      <c r="G11743" s="24" t="n">
        <f aca="false">(Sens!G11736+Sens!G11740-Sens!G11741)+(Sens!G11728+Sens!G11729-Sens!G11727)+(Sens!G11731+Sens!G11732-Sens!G11730)</f>
        <v>0</v>
      </c>
      <c r="H11743" s="24" t="n">
        <f aca="false">(Sens!H11736+Sens!H11740-Sens!H11741)+(Sens!H11728+Sens!H11729-Sens!H11727)+(Sens!H11731+Sens!H11732-Sens!H11730)</f>
        <v>0</v>
      </c>
      <c r="I11743" s="24" t="n">
        <f aca="false">(Sens!I11736+Sens!I11740-Sens!I11741)+(Sens!I11728+Sens!I11729-Sens!I11727)+(Sens!I11731+Sens!I11732-Sens!I11730)</f>
        <v>0</v>
      </c>
      <c r="J11743" s="24" t="n">
        <f aca="false">(Sens!J11736+Sens!J11740-Sens!J11741)+(Sens!J11728+Sens!J11729-Sens!J11727)+(Sens!J11731+Sens!J11732-Sens!J11730)</f>
        <v>0</v>
      </c>
      <c r="K11743" s="24" t="n">
        <f aca="false">(Sens!K11736+Sens!K11740-Sens!K11741)+(Sens!K11728+Sens!K11729-Sens!K11727)+(Sens!K11731+Sens!K11732-Sens!K11730)</f>
        <v>0</v>
      </c>
    </row>
    <row r="11744" customFormat="false" ht="17.15" hidden="false" customHeight="false" outlineLevel="0" collapsed="false">
      <c r="A11744" s="0" t="s">
        <v>908</v>
      </c>
      <c r="B11744" s="0" t="s">
        <v>129</v>
      </c>
      <c r="E11744" s="7" t="n">
        <f aca="false">(Q!M21+Sens!E11681+Sens!E11682+Sens!E11683+Sens!E11696-Sens!E11679)/(Q!M5-Sens!E11679)</f>
        <v>0.570957350878296</v>
      </c>
      <c r="F11744" s="7" t="n">
        <f aca="false">Sens!$E$11744+dm_seg_hi</f>
        <v>0.590957350878296</v>
      </c>
      <c r="G11744" s="7" t="n">
        <f aca="false">Sens!$E$11744+dm_seg_hi</f>
        <v>0.590957350878296</v>
      </c>
      <c r="H11744" s="7" t="n">
        <f aca="false">Sens!$E$11744+dm_seg_hi</f>
        <v>0.590957350878296</v>
      </c>
      <c r="I11744" s="7" t="n">
        <f aca="false">Sens!$E$11744+dm_seg_hi</f>
        <v>0.590957350878296</v>
      </c>
      <c r="J11744" s="7" t="n">
        <f aca="false">Sens!$E$11744+dm_seg_hi</f>
        <v>0.590957350878296</v>
      </c>
      <c r="K11744" s="7" t="n">
        <f aca="false">Sens!$E$11744+dm_seg_hi</f>
        <v>0.590957350878296</v>
      </c>
      <c r="L11744" s="11" t="s">
        <v>909</v>
      </c>
    </row>
    <row r="11745" customFormat="false" ht="17.15" hidden="false" customHeight="false" outlineLevel="0" collapsed="false">
      <c r="A11745" s="0" t="s">
        <v>743</v>
      </c>
      <c r="B11745" s="0" t="s">
        <v>98</v>
      </c>
      <c r="D11745" s="6" t="n">
        <f aca="false">Q!L21</f>
        <v>110.814</v>
      </c>
      <c r="E11745" s="6" t="n">
        <f aca="false">Q!M21</f>
        <v>136.365</v>
      </c>
      <c r="F11745" s="6" t="n">
        <f aca="false">Sens!F11744*(Sens!F11715-Sens!F11679)+Sens!F11679-(Sens!F11681+Sens!F11682+Sens!F11683)-Sens!F11696-Sens!F11779</f>
        <v>167.613885420855</v>
      </c>
      <c r="G11745" s="6" t="n">
        <f aca="false">Sens!G11744*(Sens!G11715-Sens!G11679)+Sens!G11679-(Sens!G11681+Sens!G11682+Sens!G11683)-Sens!G11696-Sens!G11779</f>
        <v>198.779908131434</v>
      </c>
      <c r="H11745" s="6" t="n">
        <f aca="false">Sens!H11744*(Sens!H11715-Sens!H11679)+Sens!H11679-(Sens!H11681+Sens!H11682+Sens!H11683)-Sens!H11696-Sens!H11779</f>
        <v>234.094063523928</v>
      </c>
      <c r="I11745" s="6" t="n">
        <f aca="false">Sens!I11744*(Sens!I11715-Sens!I11679)+Sens!I11679-(Sens!I11681+Sens!I11682+Sens!I11683)-Sens!I11696-Sens!I11779</f>
        <v>261.220778127941</v>
      </c>
      <c r="J11745" s="6" t="n">
        <f aca="false">Sens!J11744*(Sens!J11715-Sens!J11679)+Sens!J11679-(Sens!J11681+Sens!J11682+Sens!J11683)-Sens!J11696-Sens!J11779</f>
        <v>284.598480577106</v>
      </c>
      <c r="K11745" s="6" t="n">
        <f aca="false">Sens!K11744*(Sens!K11715-Sens!K11679)+Sens!K11679-(Sens!K11681+Sens!K11682+Sens!K11683)-Sens!K11696-Sens!K11779</f>
        <v>305.828481311335</v>
      </c>
      <c r="L11745" s="1" t="s">
        <v>910</v>
      </c>
    </row>
    <row r="11746" customFormat="false" ht="17.15" hidden="false" customHeight="false" outlineLevel="0" collapsed="false">
      <c r="A11746" s="0" t="s">
        <v>911</v>
      </c>
      <c r="B11746" s="0" t="s">
        <v>129</v>
      </c>
      <c r="E11746" s="7" t="n">
        <f aca="false">Q!M22/Q!M12</f>
        <v>0.296207935710698</v>
      </c>
      <c r="F11746" s="7" t="n">
        <f aca="false">Sens!$E$11746+dm_seg_hi</f>
        <v>0.316207935710698</v>
      </c>
      <c r="G11746" s="7" t="n">
        <f aca="false">Sens!$E$11746+dm_seg_hi</f>
        <v>0.316207935710698</v>
      </c>
      <c r="H11746" s="7" t="n">
        <f aca="false">Sens!$E$11746+dm_seg_hi</f>
        <v>0.316207935710698</v>
      </c>
      <c r="I11746" s="7" t="n">
        <f aca="false">Sens!$E$11746+dm_seg_hi</f>
        <v>0.316207935710698</v>
      </c>
      <c r="J11746" s="7" t="n">
        <f aca="false">Sens!$E$11746+dm_seg_hi</f>
        <v>0.316207935710698</v>
      </c>
      <c r="K11746" s="7" t="n">
        <f aca="false">Sens!$E$11746+dm_seg_hi</f>
        <v>0.316207935710698</v>
      </c>
      <c r="L11746" s="11" t="s">
        <v>912</v>
      </c>
    </row>
    <row r="11747" customFormat="false" ht="17.15" hidden="false" customHeight="false" outlineLevel="0" collapsed="false">
      <c r="A11747" s="0" t="s">
        <v>745</v>
      </c>
      <c r="B11747" s="0" t="s">
        <v>98</v>
      </c>
      <c r="D11747" s="6" t="n">
        <f aca="false">Q!L22</f>
        <v>17.714</v>
      </c>
      <c r="E11747" s="6" t="n">
        <f aca="false">Q!M22</f>
        <v>18.872</v>
      </c>
      <c r="F11747" s="6" t="n">
        <f aca="false">Sens!F11722*Sens!F11746</f>
        <v>20.5982834201913</v>
      </c>
      <c r="G11747" s="6" t="n">
        <f aca="false">Sens!G11722*Sens!G11746</f>
        <v>21.2255718603318</v>
      </c>
      <c r="H11747" s="6" t="n">
        <f aca="false">Sens!H11722*Sens!H11746</f>
        <v>22.0007378871002</v>
      </c>
      <c r="I11747" s="6" t="n">
        <f aca="false">Sens!I11722*Sens!I11746</f>
        <v>22.9008281378544</v>
      </c>
      <c r="J11747" s="6" t="n">
        <f aca="false">Sens!J11722*Sens!J11746</f>
        <v>23.9067143116989</v>
      </c>
      <c r="K11747" s="6" t="n">
        <f aca="false">Sens!K11722*Sens!K11746</f>
        <v>25.0030167215181</v>
      </c>
    </row>
    <row r="11748" customFormat="false" ht="15" hidden="false" customHeight="false" outlineLevel="0" collapsed="false">
      <c r="A11748" s="1" t="s">
        <v>913</v>
      </c>
      <c r="B11748" s="0" t="s">
        <v>98</v>
      </c>
      <c r="D11748" s="6" t="n">
        <f aca="false">Sens!D11745+Sens!D11747</f>
        <v>128.528</v>
      </c>
      <c r="E11748" s="6" t="n">
        <f aca="false">Sens!E11745+Sens!E11747</f>
        <v>155.237</v>
      </c>
      <c r="F11748" s="6" t="n">
        <f aca="false">Sens!F11745+Sens!F11747</f>
        <v>188.212168841046</v>
      </c>
      <c r="G11748" s="6" t="n">
        <f aca="false">Sens!G11745+Sens!G11747</f>
        <v>220.005479991765</v>
      </c>
      <c r="H11748" s="6" t="n">
        <f aca="false">Sens!H11745+Sens!H11747</f>
        <v>256.094801411028</v>
      </c>
      <c r="I11748" s="6" t="n">
        <f aca="false">Sens!I11745+Sens!I11747</f>
        <v>284.121606265796</v>
      </c>
      <c r="J11748" s="6" t="n">
        <f aca="false">Sens!J11745+Sens!J11747</f>
        <v>308.505194888805</v>
      </c>
      <c r="K11748" s="6" t="n">
        <f aca="false">Sens!K11745+Sens!K11747</f>
        <v>330.831498032854</v>
      </c>
    </row>
    <row r="11749" customFormat="false" ht="15" hidden="false" customHeight="false" outlineLevel="0" collapsed="false">
      <c r="A11749" s="23" t="s">
        <v>914</v>
      </c>
      <c r="B11749" s="30" t="s">
        <v>98</v>
      </c>
      <c r="C11749" s="30"/>
      <c r="D11749" s="24" t="n">
        <f aca="false">Sens!D11748-Q!L23</f>
        <v>0</v>
      </c>
      <c r="E11749" s="24" t="n">
        <f aca="false">Sens!E11748-Q!M23</f>
        <v>0</v>
      </c>
      <c r="F11749" s="30"/>
      <c r="G11749" s="30"/>
      <c r="H11749" s="30"/>
      <c r="I11749" s="30"/>
      <c r="J11749" s="30"/>
      <c r="K11749" s="30"/>
    </row>
    <row r="11750" customFormat="false" ht="15" hidden="false" customHeight="false" outlineLevel="0" collapsed="false">
      <c r="A11750" s="1" t="s">
        <v>915</v>
      </c>
      <c r="B11750" s="0" t="s">
        <v>129</v>
      </c>
      <c r="D11750" s="7" t="n">
        <f aca="false">Sens!D11748/Sens!D11741</f>
        <v>0.456219562408598</v>
      </c>
      <c r="E11750" s="7" t="n">
        <f aca="false">Sens!E11748/Sens!E11741</f>
        <v>0.467808184089272</v>
      </c>
      <c r="F11750" s="7" t="n">
        <f aca="false">Sens!F11748/Sens!F11741</f>
        <v>0.465208992545157</v>
      </c>
      <c r="G11750" s="7" t="n">
        <f aca="false">Sens!G11748/Sens!G11741</f>
        <v>0.44751486056029</v>
      </c>
      <c r="H11750" s="7" t="n">
        <f aca="false">Sens!H11748/Sens!H11741</f>
        <v>0.437602018842768</v>
      </c>
      <c r="I11750" s="7" t="n">
        <f aca="false">Sens!I11748/Sens!I11741</f>
        <v>0.427066172072113</v>
      </c>
      <c r="J11750" s="7" t="n">
        <f aca="false">Sens!J11748/Sens!J11741</f>
        <v>0.422493623078843</v>
      </c>
      <c r="K11750" s="7" t="n">
        <f aca="false">Sens!K11748/Sens!K11741</f>
        <v>0.42266936850788</v>
      </c>
    </row>
    <row r="11751" customFormat="false" ht="17.15" hidden="false" customHeight="false" outlineLevel="0" collapsed="false">
      <c r="A11751" s="1" t="s">
        <v>916</v>
      </c>
      <c r="B11751" s="0" t="s">
        <v>98</v>
      </c>
      <c r="F11751" s="6" t="n">
        <f aca="false">Sens!F11766</f>
        <v>8.27748444763781</v>
      </c>
      <c r="G11751" s="6" t="n">
        <f aca="false">Sens!G11766</f>
        <v>21.0203222817508</v>
      </c>
      <c r="H11751" s="6" t="n">
        <f aca="false">Sens!H11766</f>
        <v>35.2971390663856</v>
      </c>
      <c r="I11751" s="6" t="n">
        <f aca="false">Sens!I11766</f>
        <v>48.7091841492478</v>
      </c>
      <c r="J11751" s="6" t="n">
        <f aca="false">Sens!J11766</f>
        <v>58.2822720639359</v>
      </c>
      <c r="K11751" s="6" t="n">
        <f aca="false">Sens!K11766</f>
        <v>63.3795097796802</v>
      </c>
      <c r="L11751" s="1" t="s">
        <v>917</v>
      </c>
    </row>
    <row r="11752" customFormat="false" ht="17.15" hidden="false" customHeight="false" outlineLevel="0" collapsed="false">
      <c r="A11752" s="1" t="s">
        <v>918</v>
      </c>
      <c r="B11752" s="0" t="s">
        <v>98</v>
      </c>
      <c r="D11752" s="6" t="n">
        <f aca="false">Sens!D11748</f>
        <v>128.528</v>
      </c>
      <c r="E11752" s="6" t="n">
        <f aca="false">Sens!E11748</f>
        <v>155.237</v>
      </c>
      <c r="F11752" s="6" t="n">
        <f aca="false">Sens!F11748+Sens!F11751</f>
        <v>196.489653288684</v>
      </c>
      <c r="G11752" s="6" t="n">
        <f aca="false">Sens!G11748+Sens!G11751</f>
        <v>241.025802273516</v>
      </c>
      <c r="H11752" s="6" t="n">
        <f aca="false">Sens!H11748+Sens!H11751</f>
        <v>291.391940477413</v>
      </c>
      <c r="I11752" s="6" t="n">
        <f aca="false">Sens!I11748+Sens!I11751</f>
        <v>332.830790415043</v>
      </c>
      <c r="J11752" s="6" t="n">
        <f aca="false">Sens!J11748+Sens!J11751</f>
        <v>366.787466952741</v>
      </c>
      <c r="K11752" s="6" t="n">
        <f aca="false">Sens!K11748+Sens!K11751</f>
        <v>394.211007812534</v>
      </c>
    </row>
    <row r="11753" customFormat="false" ht="17.15" hidden="false" customHeight="false" outlineLevel="0" collapsed="false">
      <c r="A11753" s="1" t="s">
        <v>919</v>
      </c>
      <c r="B11753" s="0" t="s">
        <v>98</v>
      </c>
      <c r="E11753" s="6" t="n">
        <f aca="false">Sens!E11696</f>
        <v>16.3054059770833</v>
      </c>
      <c r="F11753" s="6" t="n">
        <f aca="false">Sens!F11696</f>
        <v>34.0498873809555</v>
      </c>
      <c r="G11753" s="6" t="n">
        <f aca="false">Sens!G11696</f>
        <v>59.1254371105111</v>
      </c>
      <c r="H11753" s="6" t="n">
        <f aca="false">Sens!H11696</f>
        <v>86.3610198433111</v>
      </c>
      <c r="I11753" s="6" t="n">
        <f aca="false">Sens!I11696</f>
        <v>110.605743832393</v>
      </c>
      <c r="J11753" s="6" t="n">
        <f aca="false">Sens!J11696</f>
        <v>127.998322852843</v>
      </c>
      <c r="K11753" s="6" t="n">
        <f aca="false">Sens!K11696</f>
        <v>139.131464044308</v>
      </c>
    </row>
    <row r="11754" customFormat="false" ht="17.15" hidden="false" customHeight="false" outlineLevel="0" collapsed="false">
      <c r="A11754" s="1" t="s">
        <v>920</v>
      </c>
      <c r="B11754" s="0" t="s">
        <v>98</v>
      </c>
      <c r="E11754" s="6" t="n">
        <f aca="false">Sens!E11778</f>
        <v>22.2285940229167</v>
      </c>
      <c r="F11754" s="6" t="n">
        <f aca="false">Sens!F11778</f>
        <v>24.3924470334783</v>
      </c>
      <c r="G11754" s="6" t="n">
        <f aca="false">Sens!G11778</f>
        <v>26.1134916871694</v>
      </c>
      <c r="H11754" s="6" t="n">
        <f aca="false">Sens!H11778</f>
        <v>28.2582938828615</v>
      </c>
      <c r="I11754" s="6" t="n">
        <f aca="false">Sens!I11778</f>
        <v>30.7498045257397</v>
      </c>
      <c r="J11754" s="6" t="n">
        <f aca="false">Sens!J11778</f>
        <v>33.4954153982031</v>
      </c>
      <c r="K11754" s="6" t="n">
        <f aca="false">Sens!K11778</f>
        <v>36.4102441325822</v>
      </c>
    </row>
    <row r="11755" customFormat="false" ht="17.15" hidden="false" customHeight="false" outlineLevel="0" collapsed="false">
      <c r="A11755" s="1" t="s">
        <v>921</v>
      </c>
      <c r="B11755" s="0" t="s">
        <v>98</v>
      </c>
      <c r="D11755" s="6" t="n">
        <f aca="false">Q!L27</f>
        <v>-4.901</v>
      </c>
      <c r="E11755" s="6" t="n">
        <f aca="false">Q!M27</f>
        <v>10.697</v>
      </c>
      <c r="F11755" s="6" t="n">
        <f aca="false">oie_f</f>
        <v>-0.4</v>
      </c>
      <c r="G11755" s="6" t="n">
        <f aca="false">oie_f</f>
        <v>-0.4</v>
      </c>
      <c r="H11755" s="6" t="n">
        <f aca="false">oie_f</f>
        <v>-0.4</v>
      </c>
      <c r="I11755" s="6" t="n">
        <f aca="false">oie_f</f>
        <v>-0.4</v>
      </c>
      <c r="J11755" s="6" t="n">
        <f aca="false">oie_f</f>
        <v>-0.4</v>
      </c>
      <c r="K11755" s="6" t="n">
        <f aca="false">oie_f</f>
        <v>-0.4</v>
      </c>
      <c r="L11755" s="11" t="s">
        <v>922</v>
      </c>
    </row>
    <row r="11756" customFormat="false" ht="15" hidden="false" customHeight="false" outlineLevel="0" collapsed="false">
      <c r="A11756" s="1" t="s">
        <v>923</v>
      </c>
      <c r="B11756" s="0" t="s">
        <v>98</v>
      </c>
      <c r="D11756" s="6" t="n">
        <f aca="false">Sens!D11748+Sens!D11755</f>
        <v>123.627</v>
      </c>
      <c r="E11756" s="6" t="n">
        <f aca="false">Sens!E11748+Sens!E11755</f>
        <v>165.934</v>
      </c>
      <c r="F11756" s="6" t="n">
        <f aca="false">Sens!F11748+Sens!F11755</f>
        <v>187.812168841046</v>
      </c>
      <c r="G11756" s="6" t="n">
        <f aca="false">Sens!G11748+Sens!G11755</f>
        <v>219.605479991765</v>
      </c>
      <c r="H11756" s="6" t="n">
        <f aca="false">Sens!H11748+Sens!H11755</f>
        <v>255.694801411028</v>
      </c>
      <c r="I11756" s="6" t="n">
        <f aca="false">Sens!I11748+Sens!I11755</f>
        <v>283.721606265796</v>
      </c>
      <c r="J11756" s="6" t="n">
        <f aca="false">Sens!J11748+Sens!J11755</f>
        <v>308.105194888805</v>
      </c>
      <c r="K11756" s="6" t="n">
        <f aca="false">Sens!K11748+Sens!K11755</f>
        <v>330.431498032854</v>
      </c>
    </row>
    <row r="11757" customFormat="false" ht="15" hidden="false" customHeight="false" outlineLevel="0" collapsed="false">
      <c r="A11757" s="1" t="s">
        <v>924</v>
      </c>
      <c r="B11757" s="0" t="s">
        <v>98</v>
      </c>
      <c r="D11757" s="6" t="n">
        <f aca="false">Q!L29</f>
        <v>21.795</v>
      </c>
      <c r="E11757" s="6" t="n">
        <f aca="false">Q!M29</f>
        <v>32.185</v>
      </c>
      <c r="F11757" s="6" t="n">
        <f aca="false">Sens!F11756*tax_f</f>
        <v>37.5624337682092</v>
      </c>
      <c r="G11757" s="6" t="n">
        <f aca="false">Sens!G11756*tax_f</f>
        <v>43.9210959983531</v>
      </c>
      <c r="H11757" s="6" t="n">
        <f aca="false">Sens!H11756*tax_f</f>
        <v>51.1389602822056</v>
      </c>
      <c r="I11757" s="6" t="n">
        <f aca="false">Sens!I11756*tax_f</f>
        <v>56.7443212531591</v>
      </c>
      <c r="J11757" s="6" t="n">
        <f aca="false">Sens!J11756*tax_f</f>
        <v>61.621038977761</v>
      </c>
      <c r="K11757" s="6" t="n">
        <f aca="false">Sens!K11756*tax_f</f>
        <v>66.0862996065707</v>
      </c>
    </row>
    <row r="11758" customFormat="false" ht="15" hidden="false" customHeight="false" outlineLevel="0" collapsed="false">
      <c r="A11758" s="1" t="s">
        <v>925</v>
      </c>
      <c r="B11758" s="0" t="s">
        <v>98</v>
      </c>
      <c r="D11758" s="6" t="n">
        <f aca="false">Sens!D11756-Sens!D11757</f>
        <v>101.832</v>
      </c>
      <c r="E11758" s="6" t="n">
        <f aca="false">Sens!E11756-Sens!E11757</f>
        <v>133.749</v>
      </c>
      <c r="F11758" s="6" t="n">
        <f aca="false">Sens!F11756-Sens!F11757</f>
        <v>150.249735072837</v>
      </c>
      <c r="G11758" s="6" t="n">
        <f aca="false">Sens!G11756-Sens!G11757</f>
        <v>175.684383993412</v>
      </c>
      <c r="H11758" s="6" t="n">
        <f aca="false">Sens!H11756-Sens!H11757</f>
        <v>204.555841128822</v>
      </c>
      <c r="I11758" s="6" t="n">
        <f aca="false">Sens!I11756-Sens!I11757</f>
        <v>226.977285012637</v>
      </c>
      <c r="J11758" s="6" t="n">
        <f aca="false">Sens!J11756-Sens!J11757</f>
        <v>246.484155911044</v>
      </c>
      <c r="K11758" s="6" t="n">
        <f aca="false">Sens!K11756-Sens!K11757</f>
        <v>264.345198426283</v>
      </c>
    </row>
    <row r="11759" customFormat="false" ht="17.15" hidden="false" customHeight="false" outlineLevel="0" collapsed="false">
      <c r="A11759" s="1" t="s">
        <v>926</v>
      </c>
      <c r="B11759" s="1" t="s">
        <v>81</v>
      </c>
      <c r="D11759" s="14" t="n">
        <f aca="false">Q!L31</f>
        <v>7.465</v>
      </c>
      <c r="E11759" s="14" t="n">
        <f aca="false">Q!M31</f>
        <v>7.453</v>
      </c>
      <c r="F11759" s="14" t="n">
        <f aca="false">Sens!F11802</f>
        <v>7.4735</v>
      </c>
      <c r="G11759" s="14" t="n">
        <f aca="false">Sens!G11802</f>
        <v>7.50296512484356</v>
      </c>
      <c r="H11759" s="14" t="n">
        <f aca="false">Sens!H11802</f>
        <v>7.51518183553707</v>
      </c>
      <c r="I11759" s="14" t="n">
        <f aca="false">Sens!I11802</f>
        <v>7.52696266754438</v>
      </c>
      <c r="J11759" s="14" t="n">
        <f aca="false">Sens!J11802</f>
        <v>7.54120417866226</v>
      </c>
      <c r="K11759" s="14" t="n">
        <f aca="false">Sens!K11802</f>
        <v>7.557724096364</v>
      </c>
    </row>
    <row r="11760" customFormat="false" ht="17.15" hidden="false" customHeight="false" outlineLevel="0" collapsed="false">
      <c r="A11760" s="0" t="s">
        <v>927</v>
      </c>
      <c r="B11760" s="0" t="s">
        <v>75</v>
      </c>
      <c r="D11760" s="8" t="n">
        <f aca="false">Sens!D11758/Sens!D11759</f>
        <v>13.641259209645</v>
      </c>
      <c r="E11760" s="8" t="n">
        <f aca="false">Sens!E11758/Sens!E11759</f>
        <v>17.9456594659869</v>
      </c>
      <c r="F11760" s="8" t="n">
        <f aca="false">Sens!F11758/Sens!F11759</f>
        <v>20.1043333207783</v>
      </c>
      <c r="G11760" s="8" t="n">
        <f aca="false">Sens!G11758/Sens!G11759</f>
        <v>23.4153272833019</v>
      </c>
      <c r="H11760" s="8" t="n">
        <f aca="false">Sens!H11758/Sens!H11759</f>
        <v>27.2190142042257</v>
      </c>
      <c r="I11760" s="8" t="n">
        <f aca="false">Sens!I11758/Sens!I11759</f>
        <v>30.1552292787824</v>
      </c>
      <c r="J11760" s="8" t="n">
        <f aca="false">Sens!J11758/Sens!J11759</f>
        <v>32.6849863856581</v>
      </c>
      <c r="K11760" s="8" t="n">
        <f aca="false">Sens!K11758/Sens!K11759</f>
        <v>34.9768257025231</v>
      </c>
      <c r="L11760" s="1" t="s">
        <v>928</v>
      </c>
    </row>
    <row r="11761" customFormat="false" ht="17.15" hidden="false" customHeight="false" outlineLevel="0" collapsed="false">
      <c r="A11761" s="1" t="s">
        <v>929</v>
      </c>
      <c r="B11761" s="0" t="s">
        <v>98</v>
      </c>
      <c r="D11761" s="6" t="n">
        <f aca="false">Sens!D11758</f>
        <v>101.832</v>
      </c>
      <c r="E11761" s="6" t="n">
        <f aca="false">Sens!E11758</f>
        <v>133.749</v>
      </c>
      <c r="F11761" s="6" t="n">
        <f aca="false">Sens!F11758+Sens!F11751*(1-tax_f)</f>
        <v>156.871722630947</v>
      </c>
      <c r="G11761" s="6" t="n">
        <f aca="false">Sens!G11758+Sens!G11751*(1-tax_f)</f>
        <v>192.500641818813</v>
      </c>
      <c r="H11761" s="6" t="n">
        <f aca="false">Sens!H11758+Sens!H11751*(1-tax_f)</f>
        <v>232.793552381931</v>
      </c>
      <c r="I11761" s="6" t="n">
        <f aca="false">Sens!I11758+Sens!I11751*(1-tax_f)</f>
        <v>265.944632332035</v>
      </c>
      <c r="J11761" s="6" t="n">
        <f aca="false">Sens!J11758+Sens!J11751*(1-tax_f)</f>
        <v>293.109973562193</v>
      </c>
      <c r="K11761" s="6" t="n">
        <f aca="false">Sens!K11758+Sens!K11751*(1-tax_f)</f>
        <v>315.048806250027</v>
      </c>
    </row>
    <row r="11762" customFormat="false" ht="17.15" hidden="false" customHeight="false" outlineLevel="0" collapsed="false">
      <c r="A11762" s="0" t="s">
        <v>930</v>
      </c>
      <c r="B11762" s="0" t="s">
        <v>75</v>
      </c>
      <c r="D11762" s="8" t="n">
        <f aca="false">Sens!D11761/Sens!D11759</f>
        <v>13.641259209645</v>
      </c>
      <c r="E11762" s="8" t="n">
        <f aca="false">Sens!E11761/Sens!E11759</f>
        <v>17.9456594659869</v>
      </c>
      <c r="F11762" s="8" t="n">
        <f aca="false">Sens!F11761/Sens!F11759</f>
        <v>20.9903957491065</v>
      </c>
      <c r="G11762" s="8" t="n">
        <f aca="false">Sens!G11761/Sens!G11759</f>
        <v>25.6566089027139</v>
      </c>
      <c r="H11762" s="8" t="n">
        <f aca="false">Sens!H11761/Sens!H11759</f>
        <v>30.9764364291386</v>
      </c>
      <c r="I11762" s="8" t="n">
        <f aca="false">Sens!I11761/Sens!I11759</f>
        <v>35.332264032445</v>
      </c>
      <c r="J11762" s="8" t="n">
        <f aca="false">Sens!J11761/Sens!J11759</f>
        <v>38.8677944023242</v>
      </c>
      <c r="K11762" s="8" t="n">
        <f aca="false">Sens!K11761/Sens!K11759</f>
        <v>41.6856718018584</v>
      </c>
      <c r="L11762" s="1" t="s">
        <v>931</v>
      </c>
    </row>
    <row r="11763" customFormat="false" ht="17.15" hidden="false" customHeight="false" outlineLevel="0" collapsed="false">
      <c r="A11763" s="0" t="s">
        <v>932</v>
      </c>
      <c r="B11763" s="0" t="s">
        <v>129</v>
      </c>
      <c r="E11763" s="7" t="n">
        <f aca="false">Sens!E11762/Sens!D11762-1</f>
        <v>0.315542736208578</v>
      </c>
      <c r="F11763" s="7" t="n">
        <f aca="false">Sens!F11762/Sens!E11762-1</f>
        <v>0.169664218185485</v>
      </c>
      <c r="G11763" s="7" t="n">
        <f aca="false">Sens!G11762/Sens!F11762-1</f>
        <v>0.222302295267876</v>
      </c>
      <c r="H11763" s="7" t="n">
        <f aca="false">Sens!H11762/Sens!G11762-1</f>
        <v>0.20734725881338</v>
      </c>
      <c r="I11763" s="7" t="n">
        <f aca="false">Sens!I11762/Sens!H11762-1</f>
        <v>0.140617453310707</v>
      </c>
      <c r="J11763" s="7" t="n">
        <f aca="false">Sens!J11762/Sens!I11762-1</f>
        <v>0.10006520857629</v>
      </c>
      <c r="K11763" s="7" t="n">
        <f aca="false">Sens!K11762/Sens!J11762-1</f>
        <v>0.0724990301833479</v>
      </c>
    </row>
    <row r="11764" customFormat="false" ht="17.15" hidden="false" customHeight="false" outlineLevel="0" collapsed="false">
      <c r="A11764" s="0" t="s">
        <v>856</v>
      </c>
      <c r="B11764" s="0" t="s">
        <v>98</v>
      </c>
      <c r="E11764" s="6" t="n">
        <f aca="false">Sens!E11705</f>
        <v>5.25</v>
      </c>
      <c r="F11764" s="6" t="n">
        <f aca="false">Sens!F11705</f>
        <v>13.5</v>
      </c>
      <c r="G11764" s="6" t="n">
        <f aca="false">Sens!G11705</f>
        <v>22.5</v>
      </c>
      <c r="H11764" s="6" t="n">
        <f aca="false">Sens!H11705</f>
        <v>31.5</v>
      </c>
      <c r="I11764" s="6" t="n">
        <f aca="false">Sens!I11705</f>
        <v>38.25</v>
      </c>
      <c r="J11764" s="6" t="n">
        <f aca="false">Sens!J11705</f>
        <v>42.75</v>
      </c>
      <c r="K11764" s="6" t="n">
        <f aca="false">Sens!K11705</f>
        <v>47.25</v>
      </c>
    </row>
    <row r="11765" customFormat="false" ht="17.15" hidden="false" customHeight="false" outlineLevel="0" collapsed="false">
      <c r="A11765" s="1" t="s">
        <v>857</v>
      </c>
      <c r="B11765" s="0" t="s">
        <v>98</v>
      </c>
      <c r="F11765" s="6" t="n">
        <f aca="false">MAX(0,((Sens!E11668+Sens!F11668)/2-(shadow_base*(Sens!$D$11668+Sens!$E$11668)/2+(1-shadow_base)*Sens!$E$11668))*Sens!F11676/1000-(Sens!F11764-Sens!$E$11764)*Sens!F11744)</f>
        <v>8.27748444763781</v>
      </c>
      <c r="G11765" s="6" t="n">
        <f aca="false">MAX(0,((Sens!F11668+Sens!G11668)/2-(shadow_base*(Sens!$D$11668+Sens!$E$11668)/2+(1-shadow_base)*Sens!$E$11668))*Sens!G11676/1000-(Sens!G11764-Sens!$E$11764)*Sens!G11744)</f>
        <v>21.0203222817508</v>
      </c>
      <c r="H11765" s="6" t="n">
        <f aca="false">MAX(0,((Sens!G11668+Sens!H11668)/2-(shadow_base*(Sens!$D$11668+Sens!$E$11668)/2+(1-shadow_base)*Sens!$E$11668))*Sens!H11676/1000-(Sens!H11764-Sens!$E$11764)*Sens!H11744)</f>
        <v>35.2971390663856</v>
      </c>
      <c r="I11765" s="6" t="n">
        <f aca="false">MAX(0,((Sens!H11668+Sens!I11668)/2-(shadow_base*(Sens!$D$11668+Sens!$E$11668)/2+(1-shadow_base)*Sens!$E$11668))*Sens!I11676/1000-(Sens!I11764-Sens!$E$11764)*Sens!I11744)</f>
        <v>48.7091841492478</v>
      </c>
      <c r="J11765" s="6" t="n">
        <f aca="false">MAX(0,((Sens!I11668+Sens!J11668)/2-(shadow_base*(Sens!$D$11668+Sens!$E$11668)/2+(1-shadow_base)*Sens!$E$11668))*Sens!J11676/1000-(Sens!J11764-Sens!$E$11764)*Sens!J11744)</f>
        <v>58.2822720639359</v>
      </c>
      <c r="K11765" s="6" t="n">
        <f aca="false">MAX(0,((Sens!J11668+Sens!K11668)/2-(shadow_base*(Sens!$D$11668+Sens!$E$11668)/2+(1-shadow_base)*Sens!$E$11668))*Sens!K11676/1000-(Sens!K11764-Sens!$E$11764)*Sens!K11744)</f>
        <v>63.3795097796802</v>
      </c>
      <c r="L11765" s="1" t="s">
        <v>858</v>
      </c>
    </row>
    <row r="11766" customFormat="false" ht="17.15" hidden="false" customHeight="false" outlineLevel="0" collapsed="false">
      <c r="A11766" s="1" t="s">
        <v>859</v>
      </c>
      <c r="B11766" s="0" t="s">
        <v>98</v>
      </c>
      <c r="F11766" s="6" t="n">
        <f aca="false">IF(internal_ai_reading=2,1,0)*Sens!F11765</f>
        <v>8.27748444763781</v>
      </c>
      <c r="G11766" s="6" t="n">
        <f aca="false">IF(internal_ai_reading=2,1,0)*Sens!G11765</f>
        <v>21.0203222817508</v>
      </c>
      <c r="H11766" s="6" t="n">
        <f aca="false">IF(internal_ai_reading=2,1,0)*Sens!H11765</f>
        <v>35.2971390663856</v>
      </c>
      <c r="I11766" s="6" t="n">
        <f aca="false">IF(internal_ai_reading=2,1,0)*Sens!I11765</f>
        <v>48.7091841492478</v>
      </c>
      <c r="J11766" s="6" t="n">
        <f aca="false">IF(internal_ai_reading=2,1,0)*Sens!J11765</f>
        <v>58.2822720639359</v>
      </c>
      <c r="K11766" s="6" t="n">
        <f aca="false">IF(internal_ai_reading=2,1,0)*Sens!K11765</f>
        <v>63.3795097796802</v>
      </c>
    </row>
    <row r="11767" customFormat="false" ht="17.15" hidden="false" customHeight="false" outlineLevel="0" collapsed="false">
      <c r="A11767" s="0" t="s">
        <v>860</v>
      </c>
      <c r="B11767" s="0" t="s">
        <v>98</v>
      </c>
      <c r="F11767" s="6" t="n">
        <f aca="false">Sens!F11685+Sens!F11764*Sens!F11744+Sens!F11766-Sens!F11686-Sens!F11696</f>
        <v>18.8004441577666</v>
      </c>
      <c r="G11767" s="6" t="n">
        <f aca="false">Sens!G11685+Sens!G11764*Sens!G11744+Sens!G11766-Sens!G11686-Sens!G11696</f>
        <v>42.8780967717415</v>
      </c>
      <c r="H11767" s="6" t="n">
        <f aca="false">Sens!H11685+Sens!H11764*Sens!H11744+Sens!H11766-Sens!H11686-Sens!H11696</f>
        <v>72.4574695349497</v>
      </c>
      <c r="I11767" s="6" t="n">
        <f aca="false">Sens!I11685+Sens!I11764*Sens!I11744+Sens!I11766-Sens!I11686-Sens!I11696</f>
        <v>93.4970399917181</v>
      </c>
      <c r="J11767" s="6" t="n">
        <f aca="false">Sens!J11685+Sens!J11764*Sens!J11744+Sens!J11766-Sens!J11686-Sens!J11696</f>
        <v>108.237424046476</v>
      </c>
      <c r="K11767" s="6" t="n">
        <f aca="false">Sens!K11685+Sens!K11764*Sens!K11744+Sens!K11766-Sens!K11686-Sens!K11696</f>
        <v>118.446283106908</v>
      </c>
    </row>
    <row r="11768" customFormat="false" ht="17.15" hidden="false" customHeight="false" outlineLevel="0" collapsed="false">
      <c r="A11768" s="0" t="s">
        <v>861</v>
      </c>
      <c r="B11768" s="0" t="s">
        <v>98</v>
      </c>
      <c r="E11768" s="6" t="n">
        <f aca="false">Sens!E11667*(cxit_open+self_build*tk_cxfac)/1000*ai_net_open</f>
        <v>126.6980382</v>
      </c>
      <c r="F11768" s="6" t="n">
        <f aca="false">Sens!E11768+Sens!F11693-Sens!F11696</f>
        <v>252.981026690511</v>
      </c>
      <c r="G11768" s="6" t="n">
        <f aca="false">Sens!F11768+Sens!G11693-Sens!G11696</f>
        <v>377.4297700632</v>
      </c>
      <c r="H11768" s="6" t="n">
        <f aca="false">Sens!G11768+Sens!H11693-Sens!H11696</f>
        <v>479.149036130289</v>
      </c>
      <c r="I11768" s="6" t="n">
        <f aca="false">Sens!H11768+Sens!I11693-Sens!I11696</f>
        <v>532.249961452141</v>
      </c>
      <c r="J11768" s="6" t="n">
        <f aca="false">Sens!I11768+Sens!J11693-Sens!J11696</f>
        <v>531.43307519354</v>
      </c>
      <c r="K11768" s="6" t="n">
        <f aca="false">Sens!J11768+Sens!K11693-Sens!K11696</f>
        <v>513.709026452823</v>
      </c>
      <c r="L11768" s="1" t="s">
        <v>862</v>
      </c>
    </row>
    <row r="11769" customFormat="false" ht="17.15" hidden="false" customHeight="false" outlineLevel="0" collapsed="false">
      <c r="A11769" s="0" t="s">
        <v>863</v>
      </c>
      <c r="B11769" s="0" t="s">
        <v>129</v>
      </c>
      <c r="F11769" s="7" t="n">
        <f aca="false">Sens!F11767*(1-tax_f)/((Sens!E11768+Sens!F11768)/2)</f>
        <v>0.0792266770386748</v>
      </c>
      <c r="G11769" s="7" t="n">
        <f aca="false">Sens!G11767*(1-tax_f)/((Sens!F11768+Sens!G11768)/2)</f>
        <v>0.108825792940201</v>
      </c>
      <c r="H11769" s="7" t="n">
        <f aca="false">Sens!H11767*(1-tax_f)/((Sens!G11768+Sens!H11768)/2)</f>
        <v>0.135343006875344</v>
      </c>
      <c r="I11769" s="7" t="n">
        <f aca="false">Sens!I11767*(1-tax_f)/((Sens!H11768+Sens!I11768)/2)</f>
        <v>0.147909246839605</v>
      </c>
      <c r="J11769" s="7" t="n">
        <f aca="false">Sens!J11767*(1-tax_f)/((Sens!I11768+Sens!J11768)/2)</f>
        <v>0.162811544894504</v>
      </c>
      <c r="K11769" s="7" t="n">
        <f aca="false">Sens!K11767*(1-tax_f)/((Sens!J11768+Sens!K11768)/2)</f>
        <v>0.181328503246133</v>
      </c>
    </row>
    <row r="11770" customFormat="false" ht="17.15" hidden="false" customHeight="false" outlineLevel="0" collapsed="false">
      <c r="A11770" s="1" t="s">
        <v>864</v>
      </c>
      <c r="B11770" s="0" t="s">
        <v>129</v>
      </c>
      <c r="F11770" s="7" t="n">
        <f aca="false">(Sens!F11767-Sens!F11766)*(1-tax_f)/((Sens!E11768+Sens!F11768)/2)</f>
        <v>0.0443446507672508</v>
      </c>
      <c r="G11770" s="7" t="n">
        <f aca="false">(Sens!G11767-Sens!G11766)*(1-tax_f)/((Sens!F11768+Sens!G11768)/2)</f>
        <v>0.0554756348782017</v>
      </c>
      <c r="H11770" s="7" t="n">
        <f aca="false">(Sens!H11767-Sens!H11766)*(1-tax_f)/((Sens!G11768+Sens!H11768)/2)</f>
        <v>0.0694116271845655</v>
      </c>
      <c r="I11770" s="7" t="n">
        <f aca="false">(Sens!I11767-Sens!I11766)*(1-tax_f)/((Sens!H11768+Sens!I11768)/2)</f>
        <v>0.0708529171170274</v>
      </c>
      <c r="J11770" s="7" t="n">
        <f aca="false">(Sens!J11767-Sens!J11766)*(1-tax_f)/((Sens!I11768+Sens!J11768)/2)</f>
        <v>0.0751429142125994</v>
      </c>
      <c r="K11770" s="7" t="n">
        <f aca="false">(Sens!K11767-Sens!K11766)*(1-tax_f)/((Sens!J11768+Sens!K11768)/2)</f>
        <v>0.0843012994929342</v>
      </c>
    </row>
    <row r="11771" customFormat="false" ht="17.15" hidden="false" customHeight="false" outlineLevel="0" collapsed="false">
      <c r="A11771" s="1" t="s">
        <v>865</v>
      </c>
      <c r="B11771" s="0" t="s">
        <v>129</v>
      </c>
      <c r="F11771" s="7" t="n">
        <f aca="false">(Sens!F11767-Sens!F11766+Sens!F11765)*(1-tax_f)/((Sens!E11768+Sens!F11768)/2)</f>
        <v>0.0792266770386748</v>
      </c>
      <c r="G11771" s="7" t="n">
        <f aca="false">(Sens!G11767-Sens!G11766+Sens!G11765)*(1-tax_f)/((Sens!F11768+Sens!G11768)/2)</f>
        <v>0.108825792940201</v>
      </c>
      <c r="H11771" s="7" t="n">
        <f aca="false">(Sens!H11767-Sens!H11766+Sens!H11765)*(1-tax_f)/((Sens!G11768+Sens!H11768)/2)</f>
        <v>0.135343006875344</v>
      </c>
      <c r="I11771" s="7" t="n">
        <f aca="false">(Sens!I11767-Sens!I11766+Sens!I11765)*(1-tax_f)/((Sens!H11768+Sens!I11768)/2)</f>
        <v>0.147909246839605</v>
      </c>
      <c r="J11771" s="7" t="n">
        <f aca="false">(Sens!J11767-Sens!J11766+Sens!J11765)*(1-tax_f)/((Sens!I11768+Sens!J11768)/2)</f>
        <v>0.162811544894504</v>
      </c>
      <c r="K11771" s="7" t="n">
        <f aca="false">(Sens!K11767-Sens!K11766+Sens!K11765)*(1-tax_f)/((Sens!J11768+Sens!K11768)/2)</f>
        <v>0.181328503246133</v>
      </c>
    </row>
    <row r="11772" customFormat="false" ht="17.15" hidden="false" customHeight="false" outlineLevel="0" collapsed="false">
      <c r="A11772" s="1" t="s">
        <v>866</v>
      </c>
      <c r="B11772" s="0" t="s">
        <v>129</v>
      </c>
      <c r="F11772" s="7" t="n">
        <f aca="false">Sens!F11697*(1-tax_f)/(Sens!F11684*(Sens!E11768+Sens!F11768)/2)</f>
        <v>0.159418295257403</v>
      </c>
      <c r="G11772" s="7" t="n">
        <f aca="false">Sens!G11697*(1-tax_f)/(Sens!G11684*(Sens!F11768+Sens!G11768)/2)</f>
        <v>0.181875227327983</v>
      </c>
      <c r="H11772" s="7" t="n">
        <f aca="false">Sens!H11697*(1-tax_f)/(Sens!H11684*(Sens!G11768+Sens!H11768)/2)</f>
        <v>0.212793847216411</v>
      </c>
      <c r="I11772" s="7" t="n">
        <f aca="false">Sens!I11697*(1-tax_f)/(Sens!I11684*(Sens!H11768+Sens!I11768)/2)</f>
        <v>0.225613268329429</v>
      </c>
      <c r="J11772" s="7" t="n">
        <f aca="false">Sens!J11697*(1-tax_f)/(Sens!J11684*(Sens!I11768+Sens!J11768)/2)</f>
        <v>0.24488839563955</v>
      </c>
      <c r="K11772" s="7" t="n">
        <f aca="false">Sens!K11697*(1-tax_f)/(Sens!K11684*(Sens!J11768+Sens!K11768)/2)</f>
        <v>0.270711455180788</v>
      </c>
    </row>
    <row r="11773" customFormat="false" ht="17.15" hidden="false" customHeight="false" outlineLevel="0" collapsed="false">
      <c r="A11773" s="0" t="s">
        <v>867</v>
      </c>
      <c r="B11773" s="0" t="s">
        <v>209</v>
      </c>
      <c r="F11773" s="7" t="n">
        <f aca="false">Sens!F11769-wacc</f>
        <v>-0.023707743054201</v>
      </c>
      <c r="G11773" s="7" t="n">
        <f aca="false">Sens!G11769-wacc</f>
        <v>0.00589137284732511</v>
      </c>
      <c r="H11773" s="7" t="n">
        <f aca="false">Sens!H11769-wacc</f>
        <v>0.0324085867824685</v>
      </c>
      <c r="I11773" s="7" t="n">
        <f aca="false">Sens!I11769-wacc</f>
        <v>0.0449748267467295</v>
      </c>
      <c r="J11773" s="7" t="n">
        <f aca="false">Sens!J11769-wacc</f>
        <v>0.0598771248016286</v>
      </c>
      <c r="K11773" s="7" t="n">
        <f aca="false">Sens!K11769-wacc</f>
        <v>0.0783940831532575</v>
      </c>
    </row>
    <row r="11774" customFormat="false" ht="17.15" hidden="false" customHeight="false" outlineLevel="0" collapsed="false">
      <c r="A11774" s="0" t="s">
        <v>868</v>
      </c>
      <c r="B11774" s="0" t="s">
        <v>98</v>
      </c>
      <c r="F11774" s="6" t="n">
        <f aca="false">Sens!F11767*(1-tax_f)-wacc*(Sens!E11768+Sens!F11768)/2</f>
        <v>-4.50066685674176</v>
      </c>
      <c r="G11774" s="6" t="n">
        <f aca="false">Sens!G11767*(1-tax_f)-wacc*(Sens!F11768+Sens!G11768)/2</f>
        <v>1.8569925253277</v>
      </c>
      <c r="H11774" s="6" t="n">
        <f aca="false">Sens!H11767*(1-tax_f)-wacc*(Sens!G11768+Sens!H11768)/2</f>
        <v>13.8802542882725</v>
      </c>
      <c r="I11774" s="6" t="n">
        <f aca="false">Sens!I11767*(1-tax_f)-wacc*(Sens!H11768+Sens!I11768)/2</f>
        <v>22.7437473440428</v>
      </c>
      <c r="J11774" s="6" t="n">
        <f aca="false">Sens!J11767*(1-tax_f)-wacc*(Sens!I11768+Sens!J11768)/2</f>
        <v>31.8451409673044</v>
      </c>
      <c r="K11774" s="6" t="n">
        <f aca="false">Sens!K11767*(1-tax_f)-wacc*(Sens!J11768+Sens!K11768)/2</f>
        <v>40.9664784117176</v>
      </c>
    </row>
    <row r="11775" customFormat="false" ht="17.15" hidden="false" customHeight="false" outlineLevel="0" collapsed="false">
      <c r="A11775" s="3" t="s">
        <v>1565</v>
      </c>
    </row>
    <row r="11776" customFormat="false" ht="15" hidden="false" customHeight="false" outlineLevel="0" collapsed="false">
      <c r="A11776" s="4" t="s">
        <v>43</v>
      </c>
      <c r="B11776" s="4" t="s">
        <v>65</v>
      </c>
      <c r="C11776" s="20" t="s">
        <v>799</v>
      </c>
      <c r="D11776" s="20" t="s">
        <v>800</v>
      </c>
      <c r="E11776" s="20" t="s">
        <v>801</v>
      </c>
      <c r="F11776" s="20" t="s">
        <v>802</v>
      </c>
      <c r="G11776" s="20" t="s">
        <v>803</v>
      </c>
      <c r="H11776" s="20" t="s">
        <v>804</v>
      </c>
      <c r="I11776" s="20" t="s">
        <v>805</v>
      </c>
      <c r="J11776" s="20" t="s">
        <v>806</v>
      </c>
      <c r="K11776" s="20" t="s">
        <v>807</v>
      </c>
      <c r="L11776" s="4" t="s">
        <v>47</v>
      </c>
    </row>
    <row r="11777" customFormat="false" ht="15" hidden="false" customHeight="false" outlineLevel="0" collapsed="false">
      <c r="A11777" s="1" t="s">
        <v>925</v>
      </c>
      <c r="B11777" s="0" t="s">
        <v>98</v>
      </c>
      <c r="F11777" s="6" t="n">
        <f aca="false">Sens!F11758</f>
        <v>150.249735072837</v>
      </c>
      <c r="G11777" s="6" t="n">
        <f aca="false">Sens!G11758</f>
        <v>175.684383993412</v>
      </c>
      <c r="H11777" s="6" t="n">
        <f aca="false">Sens!H11758</f>
        <v>204.555841128822</v>
      </c>
      <c r="I11777" s="6" t="n">
        <f aca="false">Sens!I11758</f>
        <v>226.977285012637</v>
      </c>
      <c r="J11777" s="6" t="n">
        <f aca="false">Sens!J11758</f>
        <v>246.484155911044</v>
      </c>
      <c r="K11777" s="6" t="n">
        <f aca="false">Sens!K11758</f>
        <v>264.345198426283</v>
      </c>
    </row>
    <row r="11778" customFormat="false" ht="17.15" hidden="false" customHeight="false" outlineLevel="0" collapsed="false">
      <c r="A11778" s="1" t="s">
        <v>947</v>
      </c>
      <c r="B11778" s="0" t="s">
        <v>98</v>
      </c>
      <c r="E11778" s="6" t="n">
        <f aca="false">Q!M38-Sens!E11696</f>
        <v>22.2285940229167</v>
      </c>
      <c r="F11778" s="6" t="n">
        <f aca="false">Sens!E11778*(1-1/life_nonai)+(Sens!F11785+Sens!F11786)/life_nonai</f>
        <v>24.3924470334783</v>
      </c>
      <c r="G11778" s="6" t="n">
        <f aca="false">Sens!F11778*(1-1/life_nonai)+(Sens!G11785)/life_nonai</f>
        <v>26.1134916871694</v>
      </c>
      <c r="H11778" s="6" t="n">
        <f aca="false">Sens!G11778*(1-1/life_nonai)+(Sens!H11785)/life_nonai</f>
        <v>28.2582938828615</v>
      </c>
      <c r="I11778" s="6" t="n">
        <f aca="false">Sens!H11778*(1-1/life_nonai)+(Sens!I11785)/life_nonai</f>
        <v>30.7498045257397</v>
      </c>
      <c r="J11778" s="6" t="n">
        <f aca="false">Sens!I11778*(1-1/life_nonai)+(Sens!J11785)/life_nonai</f>
        <v>33.4954153982031</v>
      </c>
      <c r="K11778" s="6" t="n">
        <f aca="false">Sens!J11778*(1-1/life_nonai)+(Sens!K11785)/life_nonai</f>
        <v>36.4102441325822</v>
      </c>
      <c r="L11778" s="11" t="s">
        <v>948</v>
      </c>
    </row>
    <row r="11779" customFormat="false" ht="17.15" hidden="false" customHeight="false" outlineLevel="0" collapsed="false">
      <c r="A11779" s="1" t="s">
        <v>949</v>
      </c>
      <c r="B11779" s="0" t="s">
        <v>98</v>
      </c>
      <c r="F11779" s="6" t="n">
        <f aca="false">Sens!$F$11786/life_nonai*(1-1/life_nonai)^(Sens!F11662-2027)</f>
        <v>0.813777689897088</v>
      </c>
      <c r="G11779" s="6" t="n">
        <f aca="false">Sens!$F$11786/life_nonai*(1-1/life_nonai)^(Sens!G11662-2027)</f>
        <v>0.73239992090738</v>
      </c>
      <c r="H11779" s="6" t="n">
        <f aca="false">Sens!$F$11786/life_nonai*(1-1/life_nonai)^(Sens!H11662-2027)</f>
        <v>0.659159928816642</v>
      </c>
      <c r="I11779" s="6" t="n">
        <f aca="false">Sens!$F$11786/life_nonai*(1-1/life_nonai)^(Sens!I11662-2027)</f>
        <v>0.593243935934978</v>
      </c>
      <c r="J11779" s="6" t="n">
        <f aca="false">Sens!$F$11786/life_nonai*(1-1/life_nonai)^(Sens!J11662-2027)</f>
        <v>0.53391954234148</v>
      </c>
      <c r="K11779" s="6" t="n">
        <f aca="false">Sens!$F$11786/life_nonai*(1-1/life_nonai)^(Sens!K11662-2027)</f>
        <v>0.480527588107332</v>
      </c>
      <c r="L11779" s="1" t="s">
        <v>950</v>
      </c>
    </row>
    <row r="11780" customFormat="false" ht="17.15" hidden="false" customHeight="false" outlineLevel="0" collapsed="false">
      <c r="A11780" s="1" t="s">
        <v>951</v>
      </c>
      <c r="B11780" s="0" t="s">
        <v>98</v>
      </c>
      <c r="E11780" s="6" t="n">
        <f aca="false">Sens!E11696+Sens!E11778</f>
        <v>38.534</v>
      </c>
      <c r="F11780" s="6" t="n">
        <f aca="false">Sens!F11696+Sens!F11778</f>
        <v>58.4423344144339</v>
      </c>
      <c r="G11780" s="6" t="n">
        <f aca="false">Sens!G11696+Sens!G11778</f>
        <v>85.2389287976805</v>
      </c>
      <c r="H11780" s="6" t="n">
        <f aca="false">Sens!H11696+Sens!H11778</f>
        <v>114.619313726173</v>
      </c>
      <c r="I11780" s="6" t="n">
        <f aca="false">Sens!I11696+Sens!I11778</f>
        <v>141.355548358132</v>
      </c>
      <c r="J11780" s="6" t="n">
        <f aca="false">Sens!J11696+Sens!J11778</f>
        <v>161.493738251046</v>
      </c>
      <c r="K11780" s="6" t="n">
        <f aca="false">Sens!K11696+Sens!K11778</f>
        <v>175.54170817689</v>
      </c>
    </row>
    <row r="11781" customFormat="false" ht="17.15" hidden="false" customHeight="false" outlineLevel="0" collapsed="false">
      <c r="A11781" s="1" t="s">
        <v>952</v>
      </c>
      <c r="B11781" s="0" t="s">
        <v>98</v>
      </c>
      <c r="F11781" s="6" t="n">
        <f aca="false">Sens!F11723*sbc_r</f>
        <v>15.1240791253967</v>
      </c>
      <c r="G11781" s="6" t="n">
        <f aca="false">Sens!G11723*sbc_r</f>
        <v>18.3778786594202</v>
      </c>
      <c r="H11781" s="6" t="n">
        <f aca="false">Sens!H11723*sbc_r</f>
        <v>21.8771522065674</v>
      </c>
      <c r="I11781" s="6" t="n">
        <f aca="false">Sens!I11723*sbc_r</f>
        <v>24.8701515437869</v>
      </c>
      <c r="J11781" s="6" t="n">
        <f aca="false">Sens!J11723*sbc_r</f>
        <v>27.2967954795689</v>
      </c>
      <c r="K11781" s="6" t="n">
        <f aca="false">Sens!K11723*sbc_r</f>
        <v>29.260073931056</v>
      </c>
    </row>
    <row r="11782" customFormat="false" ht="17.15" hidden="false" customHeight="false" outlineLevel="0" collapsed="false">
      <c r="A11782" s="1" t="s">
        <v>953</v>
      </c>
      <c r="B11782" s="0" t="s">
        <v>98</v>
      </c>
      <c r="F11782" s="6" t="n">
        <f aca="false">wc27</f>
        <v>-4.895</v>
      </c>
      <c r="G11782" s="6" t="n">
        <f aca="false">wc_f</f>
        <v>0</v>
      </c>
      <c r="H11782" s="6" t="n">
        <f aca="false">wc_f</f>
        <v>0</v>
      </c>
      <c r="I11782" s="6" t="n">
        <f aca="false">wc_f</f>
        <v>0</v>
      </c>
      <c r="J11782" s="6" t="n">
        <f aca="false">wc_f</f>
        <v>0</v>
      </c>
      <c r="K11782" s="6" t="n">
        <f aca="false">wc_f</f>
        <v>0</v>
      </c>
      <c r="L11782" s="11" t="s">
        <v>954</v>
      </c>
    </row>
    <row r="11783" customFormat="false" ht="15" hidden="false" customHeight="false" outlineLevel="0" collapsed="false">
      <c r="A11783" s="1" t="s">
        <v>767</v>
      </c>
      <c r="B11783" s="0" t="s">
        <v>98</v>
      </c>
      <c r="E11783" s="6" t="n">
        <f aca="false">Q!M35</f>
        <v>182.935</v>
      </c>
      <c r="F11783" s="6" t="n">
        <f aca="false">Sens!F11777+Sens!F11780+Sens!F11781+Sens!F11782</f>
        <v>218.921148612667</v>
      </c>
      <c r="G11783" s="6" t="n">
        <f aca="false">Sens!G11777+Sens!G11780+Sens!G11781+Sens!G11782</f>
        <v>279.301191450513</v>
      </c>
      <c r="H11783" s="6" t="n">
        <f aca="false">Sens!H11777+Sens!H11780+Sens!H11781+Sens!H11782</f>
        <v>341.052307061562</v>
      </c>
      <c r="I11783" s="6" t="n">
        <f aca="false">Sens!I11777+Sens!I11780+Sens!I11781+Sens!I11782</f>
        <v>393.202984914556</v>
      </c>
      <c r="J11783" s="6" t="n">
        <f aca="false">Sens!J11777+Sens!J11780+Sens!J11781+Sens!J11782</f>
        <v>435.274689641659</v>
      </c>
      <c r="K11783" s="6" t="n">
        <f aca="false">Sens!K11777+Sens!K11780+Sens!K11781+Sens!K11782</f>
        <v>469.146980534229</v>
      </c>
    </row>
    <row r="11784" customFormat="false" ht="17.15" hidden="false" customHeight="false" outlineLevel="0" collapsed="false">
      <c r="A11784" s="0" t="s">
        <v>955</v>
      </c>
      <c r="B11784" s="0" t="s">
        <v>98</v>
      </c>
      <c r="F11784" s="6" t="n">
        <f aca="false">Sens!F11693</f>
        <v>160.332875871467</v>
      </c>
      <c r="G11784" s="6" t="n">
        <f aca="false">Sens!G11693</f>
        <v>183.5741804832</v>
      </c>
      <c r="H11784" s="6" t="n">
        <f aca="false">Sens!H11693</f>
        <v>188.0802859104</v>
      </c>
      <c r="I11784" s="6" t="n">
        <f aca="false">Sens!I11693</f>
        <v>163.706669154245</v>
      </c>
      <c r="J11784" s="6" t="n">
        <f aca="false">Sens!J11693</f>
        <v>127.181436594242</v>
      </c>
      <c r="K11784" s="6" t="n">
        <f aca="false">Sens!K11693</f>
        <v>121.407415303591</v>
      </c>
    </row>
    <row r="11785" customFormat="false" ht="17.15" hidden="false" customHeight="false" outlineLevel="0" collapsed="false">
      <c r="A11785" s="1" t="s">
        <v>956</v>
      </c>
      <c r="B11785" s="0" t="s">
        <v>98</v>
      </c>
      <c r="E11785" s="6" t="n">
        <f aca="false">Sens!E11701*cx_azo+Sens!E11708*cx_m365+Sens!E11709*cx_lic+(Sens!E11711+Sens!E11713)*cx_ind+Sens!E11716*cx_srch+(Sens!E11718+Sens!E11720)*cx_dev</f>
        <v>30.1846587067718</v>
      </c>
      <c r="F11785" s="6" t="n">
        <f aca="false">Sens!F11701*cx_azo+Sens!F11708*cx_m365+Sens!F11709*cx_lic+(Sens!F11711+Sens!F11713)*cx_ind+Sens!F11716*cx_srch+(Sens!F11718+Sens!F11720)*cx_dev</f>
        <v>35.7293472295625</v>
      </c>
      <c r="G11785" s="6" t="n">
        <f aca="false">Sens!G11701*cx_azo+Sens!G11708*cx_m365+Sens!G11709*cx_lic+(Sens!G11711+Sens!G11713)*cx_ind+Sens!G11716*cx_srch+(Sens!G11718+Sens!G11720)*cx_dev</f>
        <v>41.6028935703892</v>
      </c>
      <c r="H11785" s="6" t="n">
        <f aca="false">Sens!H11701*cx_azo+Sens!H11708*cx_m365+Sens!H11709*cx_lic+(Sens!H11711+Sens!H11713)*cx_ind+Sens!H11716*cx_srch+(Sens!H11718+Sens!H11720)*cx_dev</f>
        <v>47.5615136440897</v>
      </c>
      <c r="I11785" s="6" t="n">
        <f aca="false">Sens!I11701*cx_azo+Sens!I11708*cx_m365+Sens!I11709*cx_lic+(Sens!I11711+Sens!I11713)*cx_ind+Sens!I11716*cx_srch+(Sens!I11718+Sens!I11720)*cx_dev</f>
        <v>53.1734003116439</v>
      </c>
      <c r="J11785" s="6" t="n">
        <f aca="false">Sens!J11701*cx_azo+Sens!J11708*cx_m365+Sens!J11709*cx_lic+(Sens!J11711+Sens!J11713)*cx_ind+Sens!J11716*cx_srch+(Sens!J11718+Sens!J11720)*cx_dev</f>
        <v>58.2059132503738</v>
      </c>
      <c r="K11785" s="6" t="n">
        <f aca="false">Sens!K11701*cx_azo+Sens!K11708*cx_m365+Sens!K11709*cx_lic+(Sens!K11711+Sens!K11713)*cx_ind+Sens!K11716*cx_srch+(Sens!K11718+Sens!K11720)*cx_dev</f>
        <v>62.643702741994</v>
      </c>
    </row>
    <row r="11786" customFormat="false" ht="17.15" hidden="false" customHeight="false" outlineLevel="0" collapsed="false">
      <c r="A11786" s="0" t="s">
        <v>957</v>
      </c>
      <c r="B11786" s="0" t="s">
        <v>98</v>
      </c>
      <c r="F11786" s="6" t="n">
        <f aca="false">Sens!F11691</f>
        <v>8.13777689897088</v>
      </c>
      <c r="L11786" s="1" t="s">
        <v>958</v>
      </c>
    </row>
    <row r="11787" customFormat="false" ht="17.15" hidden="false" customHeight="false" outlineLevel="0" collapsed="false">
      <c r="A11787" s="1" t="s">
        <v>959</v>
      </c>
      <c r="B11787" s="0" t="s">
        <v>98</v>
      </c>
      <c r="E11787" s="6" t="n">
        <f aca="false">Q!M42</f>
        <v>145.3</v>
      </c>
      <c r="F11787" s="6" t="n">
        <f aca="false">Sens!F11784+Sens!F11785+Sens!F11786</f>
        <v>204.2</v>
      </c>
      <c r="G11787" s="6" t="n">
        <f aca="false">Sens!G11784+Sens!G11785</f>
        <v>225.177074053589</v>
      </c>
      <c r="H11787" s="6" t="n">
        <f aca="false">Sens!H11784+Sens!H11785</f>
        <v>235.64179955449</v>
      </c>
      <c r="I11787" s="6" t="n">
        <f aca="false">Sens!I11784+Sens!I11785</f>
        <v>216.880069465889</v>
      </c>
      <c r="J11787" s="6" t="n">
        <f aca="false">Sens!J11784+Sens!J11785</f>
        <v>185.387349844616</v>
      </c>
      <c r="K11787" s="6" t="n">
        <f aca="false">Sens!K11784+Sens!K11785</f>
        <v>184.051118045585</v>
      </c>
      <c r="L11787" s="1" t="s">
        <v>960</v>
      </c>
    </row>
    <row r="11788" customFormat="false" ht="15" hidden="false" customHeight="false" outlineLevel="0" collapsed="false">
      <c r="A11788" s="1" t="s">
        <v>961</v>
      </c>
      <c r="B11788" s="0" t="s">
        <v>98</v>
      </c>
      <c r="E11788" s="6" t="n">
        <f aca="false">fl_liab</f>
        <v>66.594</v>
      </c>
      <c r="F11788" s="6" t="n">
        <f aca="false">Sens!E11788-Sens!F11789</f>
        <v>62.46973</v>
      </c>
      <c r="G11788" s="6" t="n">
        <f aca="false">Sens!F11788-Sens!G11789</f>
        <v>57.98686785</v>
      </c>
      <c r="H11788" s="6" t="n">
        <f aca="false">Sens!G11788-Sens!H11789</f>
        <v>53.92827690325</v>
      </c>
      <c r="I11788" s="6" t="n">
        <f aca="false">Sens!H11788-Sens!I11789</f>
        <v>49.7850493638962</v>
      </c>
      <c r="J11788" s="6" t="n">
        <f aca="false">Sens!I11788-Sens!J11789</f>
        <v>45.4823765852716</v>
      </c>
      <c r="K11788" s="6" t="n">
        <f aca="false">Sens!J11788-Sens!K11789</f>
        <v>40.9860835316088</v>
      </c>
    </row>
    <row r="11789" customFormat="false" ht="15" hidden="false" customHeight="false" outlineLevel="0" collapsed="false">
      <c r="A11789" s="1" t="s">
        <v>962</v>
      </c>
      <c r="B11789" s="0" t="s">
        <v>98</v>
      </c>
      <c r="F11789" s="6" t="n">
        <f aca="false">fl_pay_27-Sens!E11788*fl_rate</f>
        <v>4.12427</v>
      </c>
      <c r="G11789" s="6" t="n">
        <f aca="false">fl_pay_28-Sens!F11788*fl_rate</f>
        <v>4.48286215</v>
      </c>
      <c r="H11789" s="6" t="n">
        <f aca="false">fl_pay_29-Sens!G11788*fl_rate</f>
        <v>4.05859094675</v>
      </c>
      <c r="I11789" s="6" t="n">
        <f aca="false">fl_pay_30-Sens!H11788*fl_rate</f>
        <v>4.14322753935375</v>
      </c>
      <c r="J11789" s="6" t="n">
        <f aca="false">fl_pay_31-Sens!I11788*fl_rate</f>
        <v>4.30267277862467</v>
      </c>
      <c r="K11789" s="6" t="n">
        <f aca="false">fl_pay_32-Sens!J11788*fl_rate</f>
        <v>4.49629305366278</v>
      </c>
    </row>
    <row r="11790" customFormat="false" ht="17.15" hidden="false" customHeight="false" outlineLevel="0" collapsed="false">
      <c r="A11790" s="1" t="s">
        <v>963</v>
      </c>
      <c r="B11790" s="0" t="s">
        <v>98</v>
      </c>
      <c r="E11790" s="6" t="n">
        <f aca="false">Q!M35-Q!M36-Q!M43</f>
        <v>63.886</v>
      </c>
      <c r="F11790" s="6" t="n">
        <f aca="false">Sens!F11783-Sens!F11787-Sens!F11789</f>
        <v>10.5968786126674</v>
      </c>
      <c r="G11790" s="6" t="n">
        <f aca="false">Sens!G11783-Sens!G11787-Sens!G11789</f>
        <v>49.6412552469238</v>
      </c>
      <c r="H11790" s="6" t="n">
        <f aca="false">Sens!H11783-Sens!H11787-Sens!H11789</f>
        <v>101.351916560323</v>
      </c>
      <c r="I11790" s="6" t="n">
        <f aca="false">Sens!I11783-Sens!I11787-Sens!I11789</f>
        <v>172.179687909313</v>
      </c>
      <c r="J11790" s="6" t="n">
        <f aca="false">Sens!J11783-Sens!J11787-Sens!J11789</f>
        <v>245.584667018419</v>
      </c>
      <c r="K11790" s="6" t="n">
        <f aca="false">Sens!K11783-Sens!K11787-Sens!K11789</f>
        <v>280.599569434982</v>
      </c>
      <c r="L11790" s="11" t="s">
        <v>964</v>
      </c>
    </row>
    <row r="11791" customFormat="false" ht="15" hidden="false" customHeight="false" outlineLevel="0" collapsed="false">
      <c r="A11791" s="1" t="s">
        <v>965</v>
      </c>
      <c r="B11791" s="0" t="s">
        <v>75</v>
      </c>
      <c r="F11791" s="8" t="n">
        <f aca="false">dps_27</f>
        <v>3.85</v>
      </c>
      <c r="G11791" s="8" t="n">
        <f aca="false">Sens!F11791*(1+dps_g)</f>
        <v>4.158</v>
      </c>
      <c r="H11791" s="8" t="n">
        <f aca="false">Sens!G11791*(1+dps_g)</f>
        <v>4.49064</v>
      </c>
      <c r="I11791" s="8" t="n">
        <f aca="false">Sens!H11791*(1+dps_g)</f>
        <v>4.8498912</v>
      </c>
      <c r="J11791" s="8" t="n">
        <f aca="false">Sens!I11791*(1+dps_g)</f>
        <v>5.237882496</v>
      </c>
      <c r="K11791" s="8" t="n">
        <f aca="false">Sens!J11791*(1+dps_g)</f>
        <v>5.65691309568</v>
      </c>
    </row>
    <row r="11792" customFormat="false" ht="17.15" hidden="false" customHeight="false" outlineLevel="0" collapsed="false">
      <c r="A11792" s="1" t="s">
        <v>966</v>
      </c>
      <c r="B11792" s="0" t="s">
        <v>98</v>
      </c>
      <c r="E11792" s="6" t="n">
        <f aca="false">Q!M41</f>
        <v>26.445</v>
      </c>
      <c r="F11792" s="6" t="n">
        <f aca="false">Sens!F11791*Sens!E11801</f>
        <v>28.59395</v>
      </c>
      <c r="G11792" s="6" t="n">
        <f aca="false">Sens!G11791*Sens!F11801</f>
        <v>31.068576</v>
      </c>
      <c r="H11792" s="6" t="n">
        <f aca="false">Sens!H11791*Sens!G11801</f>
        <v>33.616617816455</v>
      </c>
      <c r="I11792" s="6" t="n">
        <f aca="false">Sens!I11791*Sens!H11801</f>
        <v>36.3568864817708</v>
      </c>
      <c r="J11792" s="6" t="n">
        <f aca="false">Sens!J11791*Sens!I11801</f>
        <v>39.3338362486319</v>
      </c>
      <c r="K11792" s="6" t="n">
        <f aca="false">Sens!K11791*Sens!J11801</f>
        <v>42.5677983738275</v>
      </c>
      <c r="L11792" s="1" t="s">
        <v>967</v>
      </c>
    </row>
    <row r="11793" customFormat="false" ht="15" hidden="false" customHeight="false" outlineLevel="0" collapsed="false">
      <c r="A11793" s="1" t="s">
        <v>968</v>
      </c>
      <c r="B11793" s="0" t="s">
        <v>98</v>
      </c>
      <c r="E11793" s="6" t="n">
        <f aca="false">Sens!E11790-Sens!E11792</f>
        <v>37.441</v>
      </c>
      <c r="F11793" s="6" t="n">
        <f aca="false">Sens!F11790-Sens!F11792</f>
        <v>-17.9970713873326</v>
      </c>
      <c r="G11793" s="6" t="n">
        <f aca="false">Sens!G11790-Sens!G11792</f>
        <v>18.5726792469238</v>
      </c>
      <c r="H11793" s="6" t="n">
        <f aca="false">Sens!H11790-Sens!H11792</f>
        <v>67.7352987438677</v>
      </c>
      <c r="I11793" s="6" t="n">
        <f aca="false">Sens!I11790-Sens!I11792</f>
        <v>135.822801427542</v>
      </c>
      <c r="J11793" s="6" t="n">
        <f aca="false">Sens!J11790-Sens!J11792</f>
        <v>206.250830769787</v>
      </c>
      <c r="K11793" s="6" t="n">
        <f aca="false">Sens!K11790-Sens!K11792</f>
        <v>238.031771061154</v>
      </c>
    </row>
    <row r="11794" customFormat="false" ht="15" hidden="false" customHeight="false" outlineLevel="0" collapsed="false">
      <c r="A11794" s="1" t="s">
        <v>969</v>
      </c>
      <c r="B11794" s="0" t="s">
        <v>98</v>
      </c>
      <c r="F11794" s="6" t="n">
        <f aca="false">debt_mat_27</f>
        <v>9.25</v>
      </c>
      <c r="G11794" s="6" t="n">
        <f aca="false">debt_mat_28</f>
        <v>0</v>
      </c>
      <c r="H11794" s="6" t="n">
        <f aca="false">debt_mat_29</f>
        <v>2.001</v>
      </c>
      <c r="I11794" s="6" t="n">
        <f aca="false">debt_mat_30</f>
        <v>0</v>
      </c>
      <c r="J11794" s="6" t="n">
        <f aca="false">debt_mat_31</f>
        <v>0.5</v>
      </c>
      <c r="K11794" s="6" t="n">
        <f aca="false">debt_mat_32</f>
        <v>0</v>
      </c>
    </row>
    <row r="11795" customFormat="false" ht="15" hidden="false" customHeight="false" outlineLevel="0" collapsed="false">
      <c r="A11795" s="1" t="s">
        <v>970</v>
      </c>
      <c r="B11795" s="0" t="s">
        <v>98</v>
      </c>
      <c r="E11795" s="6" t="n">
        <f aca="false">Q!M40</f>
        <v>22.271</v>
      </c>
      <c r="F11795" s="6" t="n">
        <f aca="false">MAX(0,MIN(bb_target,Sens!E11797+Sens!F11793-Sens!F11794-min_cash))</f>
        <v>0</v>
      </c>
      <c r="G11795" s="6" t="n">
        <f aca="false">MAX(0,MIN(bb_target,Sens!F11797+Sens!G11793-Sens!G11794-min_cash))</f>
        <v>18.5726792469238</v>
      </c>
      <c r="H11795" s="6" t="n">
        <f aca="false">MAX(0,MIN(bb_target,Sens!G11797+Sens!H11793-Sens!H11794-min_cash))</f>
        <v>22.271</v>
      </c>
      <c r="I11795" s="6" t="n">
        <f aca="false">MAX(0,MIN(bb_target,Sens!H11797+Sens!I11793-Sens!I11794-min_cash))</f>
        <v>22.271</v>
      </c>
      <c r="J11795" s="6" t="n">
        <f aca="false">MAX(0,MIN(bb_target,Sens!I11797+Sens!J11793-Sens!J11794-min_cash))</f>
        <v>22.271</v>
      </c>
      <c r="K11795" s="6" t="n">
        <f aca="false">MAX(0,MIN(bb_target,Sens!J11797+Sens!K11793-Sens!K11794-min_cash))</f>
        <v>22.271</v>
      </c>
    </row>
    <row r="11796" customFormat="false" ht="15" hidden="false" customHeight="false" outlineLevel="0" collapsed="false">
      <c r="A11796" s="1" t="s">
        <v>971</v>
      </c>
      <c r="B11796" s="0" t="s">
        <v>98</v>
      </c>
      <c r="F11796" s="6" t="n">
        <f aca="false">MAX(0,min_cash-(Sens!E11797+Sens!F11793-Sens!F11794-Sens!F11795))</f>
        <v>0.404071387332564</v>
      </c>
      <c r="G11796" s="6" t="n">
        <f aca="false">MAX(0,min_cash-(Sens!F11797+Sens!G11793-Sens!G11794-Sens!G11795))</f>
        <v>0</v>
      </c>
      <c r="H11796" s="6" t="n">
        <f aca="false">MAX(0,min_cash-(Sens!G11797+Sens!H11793-Sens!H11794-Sens!H11795))</f>
        <v>0</v>
      </c>
      <c r="I11796" s="6" t="n">
        <f aca="false">MAX(0,min_cash-(Sens!H11797+Sens!I11793-Sens!I11794-Sens!I11795))</f>
        <v>0</v>
      </c>
      <c r="J11796" s="6" t="n">
        <f aca="false">MAX(0,min_cash-(Sens!I11797+Sens!J11793-Sens!J11794-Sens!J11795))</f>
        <v>0</v>
      </c>
      <c r="K11796" s="6" t="n">
        <f aca="false">MAX(0,min_cash-(Sens!J11797+Sens!K11793-Sens!K11794-Sens!K11795))</f>
        <v>0</v>
      </c>
    </row>
    <row r="11797" customFormat="false" ht="15" hidden="false" customHeight="false" outlineLevel="0" collapsed="false">
      <c r="A11797" s="1" t="s">
        <v>972</v>
      </c>
      <c r="B11797" s="0" t="s">
        <v>98</v>
      </c>
      <c r="E11797" s="6" t="n">
        <f aca="false">cash_open</f>
        <v>76.843</v>
      </c>
      <c r="F11797" s="6" t="n">
        <f aca="false">Sens!E11797+Sens!F11793-Sens!F11794-Sens!F11795+Sens!F11796</f>
        <v>50</v>
      </c>
      <c r="G11797" s="6" t="n">
        <f aca="false">Sens!F11797+Sens!G11793-Sens!G11794-Sens!G11795+Sens!G11796</f>
        <v>50</v>
      </c>
      <c r="H11797" s="6" t="n">
        <f aca="false">Sens!G11797+Sens!H11793-Sens!H11794-Sens!H11795+Sens!H11796</f>
        <v>93.4632987438677</v>
      </c>
      <c r="I11797" s="6" t="n">
        <f aca="false">Sens!H11797+Sens!I11793-Sens!I11794-Sens!I11795+Sens!I11796</f>
        <v>207.01510017141</v>
      </c>
      <c r="J11797" s="6" t="n">
        <f aca="false">Sens!I11797+Sens!J11793-Sens!J11794-Sens!J11795+Sens!J11796</f>
        <v>390.494930941196</v>
      </c>
      <c r="K11797" s="6" t="n">
        <f aca="false">Sens!J11797+Sens!K11793-Sens!K11794-Sens!K11795+Sens!K11796</f>
        <v>606.255702002351</v>
      </c>
    </row>
    <row r="11798" customFormat="false" ht="15" hidden="false" customHeight="false" outlineLevel="0" collapsed="false">
      <c r="A11798" s="1" t="s">
        <v>973</v>
      </c>
      <c r="B11798" s="0" t="s">
        <v>98</v>
      </c>
      <c r="E11798" s="6" t="n">
        <f aca="false">debt_face</f>
        <v>46.136</v>
      </c>
      <c r="F11798" s="6" t="n">
        <f aca="false">Sens!E11798-Sens!F11794+Sens!F11796</f>
        <v>37.2900713873326</v>
      </c>
      <c r="G11798" s="6" t="n">
        <f aca="false">Sens!F11798-Sens!G11794+Sens!G11796</f>
        <v>37.2900713873326</v>
      </c>
      <c r="H11798" s="6" t="n">
        <f aca="false">Sens!G11798-Sens!H11794+Sens!H11796</f>
        <v>35.2890713873326</v>
      </c>
      <c r="I11798" s="6" t="n">
        <f aca="false">Sens!H11798-Sens!I11794+Sens!I11796</f>
        <v>35.2890713873326</v>
      </c>
      <c r="J11798" s="6" t="n">
        <f aca="false">Sens!I11798-Sens!J11794+Sens!J11796</f>
        <v>34.7890713873326</v>
      </c>
      <c r="K11798" s="6" t="n">
        <f aca="false">Sens!J11798-Sens!K11794+Sens!K11796</f>
        <v>34.7890713873326</v>
      </c>
    </row>
    <row r="11799" customFormat="false" ht="15" hidden="false" customHeight="false" outlineLevel="0" collapsed="false">
      <c r="A11799" s="1" t="s">
        <v>974</v>
      </c>
      <c r="B11799" s="0" t="s">
        <v>98</v>
      </c>
      <c r="E11799" s="6" t="n">
        <f aca="false">Sens!E11797-Sens!E11798</f>
        <v>30.707</v>
      </c>
      <c r="F11799" s="6" t="n">
        <f aca="false">Sens!F11797-Sens!F11798</f>
        <v>12.7099286126674</v>
      </c>
      <c r="G11799" s="6" t="n">
        <f aca="false">Sens!G11797-Sens!G11798</f>
        <v>12.7099286126674</v>
      </c>
      <c r="H11799" s="6" t="n">
        <f aca="false">Sens!H11797-Sens!H11798</f>
        <v>58.1742273565352</v>
      </c>
      <c r="I11799" s="6" t="n">
        <f aca="false">Sens!I11797-Sens!I11798</f>
        <v>171.726028784077</v>
      </c>
      <c r="J11799" s="6" t="n">
        <f aca="false">Sens!J11797-Sens!J11798</f>
        <v>355.705859553864</v>
      </c>
      <c r="K11799" s="6" t="n">
        <f aca="false">Sens!K11797-Sens!K11798</f>
        <v>571.466630615018</v>
      </c>
    </row>
    <row r="11800" customFormat="false" ht="15" hidden="false" customHeight="false" outlineLevel="0" collapsed="false">
      <c r="A11800" s="1" t="s">
        <v>975</v>
      </c>
      <c r="B11800" s="0" t="s">
        <v>75</v>
      </c>
      <c r="F11800" s="29" t="n">
        <f aca="false">px*(1+bb_g)^(Sens!F11662-base_fy-mid_yr)</f>
        <v>553.494156066711</v>
      </c>
      <c r="G11800" s="29" t="n">
        <f aca="false">px*(1+bb_g)^(Sens!G11662-base_fy-mid_yr)</f>
        <v>597.773688552047</v>
      </c>
      <c r="H11800" s="29" t="n">
        <f aca="false">px*(1+bb_g)^(Sens!H11662-base_fy-mid_yr)</f>
        <v>645.595583636211</v>
      </c>
      <c r="I11800" s="29" t="n">
        <f aca="false">px*(1+bb_g)^(Sens!I11662-base_fy-mid_yr)</f>
        <v>697.243230327108</v>
      </c>
      <c r="J11800" s="29" t="n">
        <f aca="false">px*(1+bb_g)^(Sens!J11662-base_fy-mid_yr)</f>
        <v>753.022688753277</v>
      </c>
      <c r="K11800" s="29" t="n">
        <f aca="false">px*(1+bb_g)^(Sens!K11662-base_fy-mid_yr)</f>
        <v>813.264503853539</v>
      </c>
    </row>
    <row r="11801" customFormat="false" ht="15" hidden="false" customHeight="false" outlineLevel="0" collapsed="false">
      <c r="A11801" s="1" t="s">
        <v>976</v>
      </c>
      <c r="B11801" s="1" t="s">
        <v>81</v>
      </c>
      <c r="E11801" s="14" t="n">
        <f aca="false">sh_out26</f>
        <v>7.427</v>
      </c>
      <c r="F11801" s="14" t="n">
        <f aca="false">Sens!E11801+sh_iss-Sens!F11795/Sens!F11800</f>
        <v>7.472</v>
      </c>
      <c r="G11801" s="14" t="n">
        <f aca="false">Sens!F11801+sh_iss-Sens!G11795/Sens!G11800</f>
        <v>7.48593024968712</v>
      </c>
      <c r="H11801" s="14" t="n">
        <f aca="false">Sens!G11801+sh_iss-Sens!H11795/Sens!H11800</f>
        <v>7.49643342138702</v>
      </c>
      <c r="I11801" s="14" t="n">
        <f aca="false">Sens!H11801+sh_iss-Sens!I11795/Sens!I11800</f>
        <v>7.50949191370174</v>
      </c>
      <c r="J11801" s="14" t="n">
        <f aca="false">Sens!I11801+sh_iss-Sens!J11795/Sens!J11800</f>
        <v>7.52491644362278</v>
      </c>
      <c r="K11801" s="14" t="n">
        <f aca="false">Sens!J11801+sh_iss-Sens!K11795/Sens!K11800</f>
        <v>7.54253174910523</v>
      </c>
    </row>
    <row r="11802" customFormat="false" ht="15" hidden="false" customHeight="false" outlineLevel="0" collapsed="false">
      <c r="A11802" s="1" t="s">
        <v>977</v>
      </c>
      <c r="B11802" s="1" t="s">
        <v>81</v>
      </c>
      <c r="E11802" s="14" t="n">
        <f aca="false">sh_dil26</f>
        <v>7.453</v>
      </c>
      <c r="F11802" s="14" t="n">
        <f aca="false">(Sens!E11801+Sens!F11801)/2+dil_gap</f>
        <v>7.4735</v>
      </c>
      <c r="G11802" s="14" t="n">
        <f aca="false">(Sens!F11801+Sens!G11801)/2+dil_gap</f>
        <v>7.50296512484356</v>
      </c>
      <c r="H11802" s="14" t="n">
        <f aca="false">(Sens!G11801+Sens!H11801)/2+dil_gap</f>
        <v>7.51518183553707</v>
      </c>
      <c r="I11802" s="14" t="n">
        <f aca="false">(Sens!H11801+Sens!I11801)/2+dil_gap</f>
        <v>7.52696266754438</v>
      </c>
      <c r="J11802" s="14" t="n">
        <f aca="false">(Sens!I11801+Sens!J11801)/2+dil_gap</f>
        <v>7.54120417866226</v>
      </c>
      <c r="K11802" s="14" t="n">
        <f aca="false">(Sens!J11801+Sens!K11801)/2+dil_gap</f>
        <v>7.557724096364</v>
      </c>
    </row>
    <row r="11803" customFormat="false" ht="17.15" hidden="false" customHeight="false" outlineLevel="0" collapsed="false">
      <c r="A11803" s="1" t="s">
        <v>978</v>
      </c>
      <c r="B11803" s="0" t="s">
        <v>98</v>
      </c>
      <c r="C11803" s="6" t="n">
        <f aca="false">SUM(Sens!F11793:J11793)</f>
        <v>410.384538800788</v>
      </c>
    </row>
    <row r="11804" customFormat="false" ht="15" hidden="false" customHeight="false" outlineLevel="0" collapsed="false">
      <c r="A11804" s="23" t="s">
        <v>945</v>
      </c>
      <c r="B11804" s="30" t="s">
        <v>98</v>
      </c>
      <c r="C11804" s="24" t="n">
        <f aca="false">Sens!$C$11803-(Sens!F11793+Sens!G11793+Sens!H11793+Sens!I11793+Sens!J11793)</f>
        <v>0</v>
      </c>
      <c r="D11804" s="30"/>
      <c r="E11804" s="30"/>
      <c r="F11804" s="30"/>
      <c r="G11804" s="30"/>
      <c r="H11804" s="30"/>
      <c r="I11804" s="30"/>
      <c r="J11804" s="30"/>
      <c r="K11804" s="30"/>
    </row>
    <row r="11805" customFormat="false" ht="17.15" hidden="false" customHeight="false" outlineLevel="0" collapsed="false">
      <c r="A11805" s="1" t="s">
        <v>939</v>
      </c>
      <c r="B11805" s="1" t="s">
        <v>979</v>
      </c>
      <c r="C11805" s="32" t="str">
        <f aca="false">IF(SUM(Sens!F11796:J11796)&gt;0.05,"需要舉債 "&amp;TEXT(SUM(Sens!F11796:J11796),"0.0")&amp;" 十億美元","不需舉債")&amp;"；"&amp;IF(SUM(Sens!F11795:J11795)&lt;COUNT(Sens!F11795:J11795)*bb_target-0.05,"回購較每年 "&amp;TEXT(bb_target,"0.0")&amp;" 的目標少 "&amp;TEXT(COUNT(Sens!F11795:J11795)*bb_target-SUM(Sens!F11795:J11795),"0.0")&amp;" 十億美元（"&amp;TEXT(COUNTIF(Sens!F11795:J11795,"&lt;"&amp;(bb_target-0.05)),"0")&amp;" 年減少）","回購不減")</f>
        <v>需要舉債 0.4 十億美元；回購較每年 22.3 的目標少 26.0 十億美元（2 年減少）</v>
      </c>
    </row>
    <row r="11806" customFormat="false" ht="17.15" hidden="false" customHeight="false" outlineLevel="0" collapsed="false">
      <c r="A11806" s="3" t="s">
        <v>1566</v>
      </c>
    </row>
    <row r="11807" customFormat="false" ht="15" hidden="false" customHeight="false" outlineLevel="0" collapsed="false">
      <c r="A11807" s="4" t="s">
        <v>43</v>
      </c>
      <c r="B11807" s="4" t="s">
        <v>65</v>
      </c>
      <c r="C11807" s="20" t="s">
        <v>799</v>
      </c>
      <c r="D11807" s="20" t="s">
        <v>800</v>
      </c>
      <c r="E11807" s="20" t="s">
        <v>801</v>
      </c>
      <c r="F11807" s="20" t="s">
        <v>802</v>
      </c>
      <c r="G11807" s="20" t="s">
        <v>803</v>
      </c>
      <c r="H11807" s="20" t="s">
        <v>804</v>
      </c>
      <c r="I11807" s="20" t="s">
        <v>805</v>
      </c>
      <c r="J11807" s="20" t="s">
        <v>806</v>
      </c>
      <c r="K11807" s="20" t="s">
        <v>807</v>
      </c>
      <c r="L11807" s="4" t="s">
        <v>47</v>
      </c>
    </row>
    <row r="11808" customFormat="false" ht="15" hidden="false" customHeight="false" outlineLevel="0" collapsed="false">
      <c r="A11808" s="1" t="s">
        <v>1057</v>
      </c>
      <c r="B11808" s="1" t="s">
        <v>235</v>
      </c>
      <c r="F11808" s="36" t="n">
        <f aca="false">Sens!F11662-base_fy-mid_yr</f>
        <v>0.5</v>
      </c>
      <c r="G11808" s="36" t="n">
        <f aca="false">Sens!G11662-base_fy-mid_yr</f>
        <v>1.5</v>
      </c>
      <c r="H11808" s="36" t="n">
        <f aca="false">Sens!H11662-base_fy-mid_yr</f>
        <v>2.5</v>
      </c>
      <c r="I11808" s="36" t="n">
        <f aca="false">Sens!I11662-base_fy-mid_yr</f>
        <v>3.5</v>
      </c>
      <c r="J11808" s="36" t="n">
        <f aca="false">Sens!J11662-base_fy-mid_yr</f>
        <v>4.5</v>
      </c>
      <c r="K11808" s="36" t="n">
        <f aca="false">Sens!K11662-base_fy-mid_yr</f>
        <v>5.5</v>
      </c>
    </row>
    <row r="11809" customFormat="false" ht="15" hidden="false" customHeight="false" outlineLevel="0" collapsed="false">
      <c r="A11809" s="1" t="s">
        <v>1058</v>
      </c>
      <c r="B11809" s="0" t="s">
        <v>185</v>
      </c>
      <c r="F11809" s="14" t="n">
        <f aca="false">1/(1+wacc)^Sens!F11808</f>
        <v>0.952193373608246</v>
      </c>
      <c r="G11809" s="14" t="n">
        <f aca="false">1/(1+wacc)^Sens!G11808</f>
        <v>0.863327280626589</v>
      </c>
      <c r="H11809" s="14" t="n">
        <f aca="false">1/(1+wacc)^Sens!H11808</f>
        <v>0.782754862754115</v>
      </c>
      <c r="I11809" s="14" t="n">
        <f aca="false">1/(1+wacc)^Sens!I11808</f>
        <v>0.709702089711011</v>
      </c>
      <c r="J11809" s="14" t="n">
        <f aca="false">1/(1+wacc)^Sens!J11808</f>
        <v>0.643467169744551</v>
      </c>
      <c r="K11809" s="14" t="n">
        <f aca="false">1/(1+wacc)^Sens!K11808</f>
        <v>0.583413807767797</v>
      </c>
    </row>
    <row r="11810" customFormat="false" ht="17.15" hidden="false" customHeight="false" outlineLevel="0" collapsed="false">
      <c r="A11810" s="1" t="s">
        <v>1059</v>
      </c>
      <c r="B11810" s="0" t="s">
        <v>98</v>
      </c>
      <c r="F11810" s="6" t="n">
        <f aca="false">Sens!F11783-Sens!F11781-Sens!F11787+Sens!F11766*(1-tax_f)</f>
        <v>6.21905704538097</v>
      </c>
      <c r="G11810" s="6" t="n">
        <f aca="false">Sens!G11783-Sens!G11781-Sens!G11787+Sens!G11766*(1-tax_f)</f>
        <v>52.5624965629043</v>
      </c>
      <c r="H11810" s="6" t="n">
        <f aca="false">Sens!H11783-Sens!H11781-Sens!H11787+Sens!H11766*(1-tax_f)</f>
        <v>111.771066553614</v>
      </c>
      <c r="I11810" s="6" t="n">
        <f aca="false">Sens!I11783-Sens!I11781-Sens!I11787+Sens!I11766*(1-tax_f)</f>
        <v>190.420111224278</v>
      </c>
      <c r="J11810" s="6" t="n">
        <f aca="false">Sens!J11783-Sens!J11781-Sens!J11787+Sens!J11766*(1-tax_f)</f>
        <v>269.216361968623</v>
      </c>
      <c r="K11810" s="6" t="n">
        <f aca="false">Sens!K11783-Sens!K11781-Sens!K11787+Sens!K11766*(1-tax_f)</f>
        <v>306.539396381333</v>
      </c>
      <c r="L11810" s="1" t="s">
        <v>1060</v>
      </c>
    </row>
    <row r="11811" customFormat="false" ht="15" hidden="false" customHeight="false" outlineLevel="0" collapsed="false">
      <c r="A11811" s="1" t="s">
        <v>1061</v>
      </c>
      <c r="B11811" s="0" t="s">
        <v>98</v>
      </c>
      <c r="F11811" s="6" t="n">
        <f aca="false">Sens!F11810*Sens!F11809</f>
        <v>5.92174490870343</v>
      </c>
      <c r="G11811" s="6" t="n">
        <f aca="false">Sens!G11810*Sens!G11809</f>
        <v>45.3786372205966</v>
      </c>
      <c r="H11811" s="6" t="n">
        <f aca="false">Sens!H11810*Sens!H11809</f>
        <v>87.489345860055</v>
      </c>
      <c r="I11811" s="6" t="n">
        <f aca="false">Sens!I11810*Sens!I11809</f>
        <v>135.141550858873</v>
      </c>
      <c r="J11811" s="6" t="n">
        <f aca="false">Sens!J11810*Sens!J11809</f>
        <v>173.231890484875</v>
      </c>
      <c r="K11811" s="6" t="n">
        <f aca="false">Sens!K11810*Sens!K11809</f>
        <v>178.839316473675</v>
      </c>
    </row>
    <row r="11812" customFormat="false" ht="17.15" hidden="false" customHeight="false" outlineLevel="0" collapsed="false">
      <c r="A11812" s="1" t="s">
        <v>1062</v>
      </c>
      <c r="B11812" s="0" t="s">
        <v>98</v>
      </c>
      <c r="C11812" s="6" t="n">
        <f aca="false">SUM(Sens!F11811:K11811)</f>
        <v>626.002485806778</v>
      </c>
    </row>
    <row r="11813" customFormat="false" ht="17.15" hidden="false" customHeight="false" outlineLevel="0" collapsed="false">
      <c r="A11813" s="1" t="s">
        <v>1063</v>
      </c>
      <c r="B11813" s="0" t="s">
        <v>98</v>
      </c>
      <c r="C11813" s="6" t="n">
        <f aca="false">Sens!K11752*(1+g_tv)*(1-tax_f)</f>
        <v>324.829870437528</v>
      </c>
    </row>
    <row r="11814" customFormat="false" ht="17.15" hidden="false" customHeight="false" outlineLevel="0" collapsed="false">
      <c r="A11814" s="1" t="s">
        <v>1064</v>
      </c>
      <c r="B11814" s="0" t="s">
        <v>98</v>
      </c>
      <c r="C11814" s="6" t="n">
        <f aca="false">Sens!$C$11813*(1-g_tv/(wacc+ronic_prem))</f>
        <v>230.15895176588</v>
      </c>
    </row>
    <row r="11815" customFormat="false" ht="17.15" hidden="false" customHeight="false" outlineLevel="0" collapsed="false">
      <c r="A11815" s="1" t="s">
        <v>1065</v>
      </c>
      <c r="B11815" s="0" t="s">
        <v>98</v>
      </c>
      <c r="C11815" s="6" t="n">
        <f aca="false">Sens!$C$11814/(wacc-g_tv)</f>
        <v>3155.69728905492</v>
      </c>
    </row>
    <row r="11816" customFormat="false" ht="15" hidden="false" customHeight="false" outlineLevel="0" collapsed="false">
      <c r="A11816" s="1" t="s">
        <v>1066</v>
      </c>
      <c r="B11816" s="0" t="s">
        <v>98</v>
      </c>
      <c r="C11816" s="6" t="n">
        <f aca="false">Sens!$C$11815/(1+wacc)^(Sens!K11808+mid_yr)</f>
        <v>1753.06167350908</v>
      </c>
    </row>
    <row r="11817" customFormat="false" ht="17.15" hidden="false" customHeight="false" outlineLevel="0" collapsed="false">
      <c r="A11817" s="0" t="s">
        <v>986</v>
      </c>
      <c r="B11817" s="0" t="s">
        <v>98</v>
      </c>
      <c r="C11817" s="6" t="n">
        <f aca="false">Sens!$C$11812+Sens!$C$11816</f>
        <v>2379.06415931586</v>
      </c>
    </row>
    <row r="11818" customFormat="false" ht="15" hidden="false" customHeight="false" outlineLevel="0" collapsed="false">
      <c r="A11818" s="1" t="s">
        <v>987</v>
      </c>
      <c r="B11818" s="0" t="s">
        <v>129</v>
      </c>
      <c r="C11818" s="7" t="n">
        <f aca="false">Sens!$C$11816/Sens!$C$11817</f>
        <v>0.736870280124435</v>
      </c>
    </row>
    <row r="11819" customFormat="false" ht="17.15" hidden="false" customHeight="false" outlineLevel="0" collapsed="false">
      <c r="A11819" s="1" t="s">
        <v>1067</v>
      </c>
      <c r="B11819" s="0" t="s">
        <v>98</v>
      </c>
      <c r="C11819" s="6" t="n">
        <f aca="false">Sens!$C$11817+Sens!E11799-Sens!E11788+oai_v</f>
        <v>2513.57715931586</v>
      </c>
    </row>
    <row r="11820" customFormat="false" ht="17.15" hidden="false" customHeight="false" outlineLevel="0" collapsed="false">
      <c r="A11820" s="0" t="s">
        <v>994</v>
      </c>
      <c r="B11820" s="0" t="s">
        <v>75</v>
      </c>
      <c r="C11820" s="5" t="n">
        <f aca="false">Sens!$C$11819/sh_dil26</f>
        <v>337.257099062909</v>
      </c>
    </row>
    <row r="11821" customFormat="false" ht="15" hidden="false" customHeight="false" outlineLevel="0" collapsed="false">
      <c r="A11821" s="1" t="s">
        <v>1068</v>
      </c>
      <c r="B11821" s="0" t="s">
        <v>75</v>
      </c>
      <c r="C11821" s="8" t="n">
        <f aca="false">dps_27+Sens!G11791*roll_div_q/q_per_yr</f>
        <v>4.8895</v>
      </c>
    </row>
    <row r="11822" customFormat="false" ht="17.15" hidden="false" customHeight="false" outlineLevel="0" collapsed="false">
      <c r="A11822" s="0" t="s">
        <v>1069</v>
      </c>
      <c r="B11822" s="0" t="s">
        <v>75</v>
      </c>
      <c r="C11822" s="5" t="n">
        <f aca="false">Sens!$C$11820*(1+wacc)^t_roll-Sens!$C$11821</f>
        <v>379.156419557525</v>
      </c>
    </row>
    <row r="11823" customFormat="false" ht="17.15" hidden="false" customHeight="false" outlineLevel="0" collapsed="false">
      <c r="A11823" s="1" t="s">
        <v>1070</v>
      </c>
      <c r="B11823" s="0" t="s">
        <v>129</v>
      </c>
      <c r="F11823" s="7" t="n">
        <f aca="false">Sens!F11778/(Sens!F11723-Sens!F11679)</f>
        <v>0.0705303854989974</v>
      </c>
      <c r="G11823" s="7" t="n">
        <f aca="false">Sens!G11778/(Sens!G11723-Sens!G11679)</f>
        <v>0.0669153011130541</v>
      </c>
      <c r="H11823" s="7" t="n">
        <f aca="false">Sens!H11778/(Sens!H11723-Sens!H11679)</f>
        <v>0.0648963302688647</v>
      </c>
      <c r="I11823" s="7" t="n">
        <f aca="false">Sens!I11778/(Sens!I11723-Sens!I11679)</f>
        <v>0.0643411219550834</v>
      </c>
      <c r="J11823" s="7" t="n">
        <f aca="false">Sens!J11778/(Sens!J11723-Sens!J11679)</f>
        <v>0.0648740961982593</v>
      </c>
      <c r="K11823" s="7" t="n">
        <f aca="false">Sens!K11778/(Sens!K11723-Sens!K11679)</f>
        <v>0.0660244723636577</v>
      </c>
    </row>
    <row r="11824" customFormat="false" ht="17.15" hidden="false" customHeight="false" outlineLevel="0" collapsed="false">
      <c r="A11824" s="0" t="s">
        <v>1071</v>
      </c>
      <c r="B11824" s="0" t="s">
        <v>98</v>
      </c>
      <c r="F11824" s="6" t="n">
        <f aca="false">Sens!F11708*(al_m365+Sens!F11823+sbc_r)</f>
        <v>85.2273329859862</v>
      </c>
      <c r="G11824" s="6" t="n">
        <f aca="false">Sens!G11708*(al_m365+Sens!G11823+sbc_r)</f>
        <v>99.6892587904979</v>
      </c>
      <c r="H11824" s="6" t="n">
        <f aca="false">Sens!H11708*(al_m365+Sens!H11823+sbc_r)</f>
        <v>114.315107566414</v>
      </c>
      <c r="I11824" s="6" t="n">
        <f aca="false">Sens!I11708*(al_m365+Sens!I11823+sbc_r)</f>
        <v>127.42181750834</v>
      </c>
      <c r="J11824" s="6" t="n">
        <f aca="false">Sens!J11708*(al_m365+Sens!J11823+sbc_r)</f>
        <v>138.823999012523</v>
      </c>
      <c r="K11824" s="6" t="n">
        <f aca="false">Sens!K11708*(al_m365+Sens!K11823+sbc_r)</f>
        <v>149.845393216552</v>
      </c>
      <c r="L11824" s="11" t="s">
        <v>1072</v>
      </c>
    </row>
    <row r="11825" customFormat="false" ht="17.15" hidden="false" customHeight="false" outlineLevel="0" collapsed="false">
      <c r="A11825" s="0" t="s">
        <v>1073</v>
      </c>
      <c r="B11825" s="0" t="s">
        <v>98</v>
      </c>
      <c r="F11825" s="6" t="n">
        <f aca="false">Sens!F11709*(al_lic+Sens!F11823+sbc_r)</f>
        <v>33.5204472060294</v>
      </c>
      <c r="G11825" s="6" t="n">
        <f aca="false">Sens!G11709*(al_lic+Sens!G11823+sbc_r)</f>
        <v>34.7926166862242</v>
      </c>
      <c r="H11825" s="6" t="n">
        <f aca="false">Sens!H11709*(al_lic+Sens!H11823+sbc_r)</f>
        <v>35.9862829687409</v>
      </c>
      <c r="I11825" s="6" t="n">
        <f aca="false">Sens!I11709*(al_lic+Sens!I11823+sbc_r)</f>
        <v>37.0838788899664</v>
      </c>
      <c r="J11825" s="6" t="n">
        <f aca="false">Sens!J11709*(al_lic+Sens!J11823+sbc_r)</f>
        <v>38.0565090086839</v>
      </c>
      <c r="K11825" s="6" t="n">
        <f aca="false">Sens!K11709*(al_lic+Sens!K11823+sbc_r)</f>
        <v>38.8700352425884</v>
      </c>
    </row>
    <row r="11826" customFormat="false" ht="17.15" hidden="false" customHeight="false" outlineLevel="0" collapsed="false">
      <c r="A11826" s="0" t="s">
        <v>1074</v>
      </c>
      <c r="B11826" s="0" t="s">
        <v>98</v>
      </c>
      <c r="F11826" s="6" t="n">
        <f aca="false">Sens!F11711*(al_ind+Sens!F11823+sbc_r)</f>
        <v>9.11980018094294</v>
      </c>
      <c r="G11826" s="6" t="n">
        <f aca="false">Sens!G11711*(al_ind+Sens!G11823+sbc_r)</f>
        <v>9.88072195697034</v>
      </c>
      <c r="H11826" s="6" t="n">
        <f aca="false">Sens!H11711*(al_ind+Sens!H11823+sbc_r)</f>
        <v>10.6900815637922</v>
      </c>
      <c r="I11826" s="6" t="n">
        <f aca="false">Sens!I11711*(al_ind+Sens!I11823+sbc_r)</f>
        <v>11.5460282347577</v>
      </c>
      <c r="J11826" s="6" t="n">
        <f aca="false">Sens!J11711*(al_ind+Sens!J11823+sbc_r)</f>
        <v>12.4374767512513</v>
      </c>
      <c r="K11826" s="6" t="n">
        <f aca="false">Sens!K11711*(al_ind+Sens!K11823+sbc_r)</f>
        <v>13.3461587114563</v>
      </c>
    </row>
    <row r="11827" customFormat="false" ht="17.15" hidden="false" customHeight="false" outlineLevel="0" collapsed="false">
      <c r="A11827" s="0" t="s">
        <v>1075</v>
      </c>
      <c r="B11827" s="0" t="s">
        <v>98</v>
      </c>
      <c r="F11827" s="6" t="n">
        <f aca="false">Sens!F11713*(al_fro+Sens!F11823+sbc_r)</f>
        <v>3.58958536902212</v>
      </c>
      <c r="G11827" s="6" t="n">
        <f aca="false">Sens!G11713*(al_fro+Sens!G11823+sbc_r)</f>
        <v>3.79361306665995</v>
      </c>
      <c r="H11827" s="6" t="n">
        <f aca="false">Sens!H11713*(al_fro+Sens!H11823+sbc_r)</f>
        <v>4.02838862857902</v>
      </c>
      <c r="I11827" s="6" t="n">
        <f aca="false">Sens!I11713*(al_fro+Sens!I11823+sbc_r)</f>
        <v>4.29696179134221</v>
      </c>
      <c r="J11827" s="6" t="n">
        <f aca="false">Sens!J11713*(al_fro+Sens!J11823+sbc_r)</f>
        <v>4.59985687395741</v>
      </c>
      <c r="K11827" s="6" t="n">
        <f aca="false">Sens!K11713*(al_fro+Sens!K11823+sbc_r)</f>
        <v>4.93592238342414</v>
      </c>
    </row>
    <row r="11828" customFormat="false" ht="17.15" hidden="false" customHeight="false" outlineLevel="0" collapsed="false">
      <c r="A11828" s="0" t="s">
        <v>1076</v>
      </c>
      <c r="B11828" s="0" t="s">
        <v>98</v>
      </c>
      <c r="F11828" s="6" t="n">
        <f aca="false">Sens!F11716*(al_srch+Sens!F11823+sbc_r)</f>
        <v>11.2630849868114</v>
      </c>
      <c r="G11828" s="6" t="n">
        <f aca="false">Sens!G11716*(al_srch+Sens!G11823+sbc_r)</f>
        <v>12.3179728600437</v>
      </c>
      <c r="H11828" s="6" t="n">
        <f aca="false">Sens!H11716*(al_srch+Sens!H11823+sbc_r)</f>
        <v>13.4217853035424</v>
      </c>
      <c r="I11828" s="6" t="n">
        <f aca="false">Sens!I11716*(al_srch+Sens!I11823+sbc_r)</f>
        <v>14.565578354966</v>
      </c>
      <c r="J11828" s="6" t="n">
        <f aca="false">Sens!J11716*(al_srch+Sens!J11823+sbc_r)</f>
        <v>15.7277683722803</v>
      </c>
      <c r="K11828" s="6" t="n">
        <f aca="false">Sens!K11716*(al_srch+Sens!K11823+sbc_r)</f>
        <v>16.87683901418</v>
      </c>
    </row>
    <row r="11829" customFormat="false" ht="17.15" hidden="false" customHeight="false" outlineLevel="0" collapsed="false">
      <c r="A11829" s="0" t="s">
        <v>1077</v>
      </c>
      <c r="B11829" s="0" t="s">
        <v>98</v>
      </c>
      <c r="F11829" s="6" t="n">
        <f aca="false">Sens!F11685-Sens!F11686+Sens!F11766</f>
        <v>44.8724073018652</v>
      </c>
      <c r="G11829" s="6" t="n">
        <f aca="false">Sens!G11685-Sens!G11686+Sens!G11766</f>
        <v>88.706993487491</v>
      </c>
      <c r="H11829" s="6" t="n">
        <f aca="false">Sens!H11685-Sens!H11686+Sens!H11766</f>
        <v>140.203332825595</v>
      </c>
      <c r="I11829" s="6" t="n">
        <f aca="false">Sens!I11685-Sens!I11686+Sens!I11766</f>
        <v>181.498665153016</v>
      </c>
      <c r="J11829" s="6" t="n">
        <f aca="false">Sens!J11685-Sens!J11686+Sens!J11766</f>
        <v>210.972320149272</v>
      </c>
      <c r="K11829" s="6" t="n">
        <f aca="false">Sens!K11685-Sens!K11686+Sens!K11766</f>
        <v>229.655012322217</v>
      </c>
    </row>
    <row r="11830" customFormat="false" ht="17.15" hidden="false" customHeight="false" outlineLevel="0" collapsed="false">
      <c r="A11830" s="0" t="s">
        <v>1078</v>
      </c>
      <c r="B11830" s="0" t="s">
        <v>98</v>
      </c>
      <c r="F11830" s="6" t="n">
        <f aca="false">Sens!F11745+Sens!F11766+Sens!F11696+Sens!F11823*(Sens!F11715-Sens!F11679)+sbc_r*Sens!F11715</f>
        <v>242.428162316088</v>
      </c>
      <c r="G11830" s="6" t="n">
        <f aca="false">Sens!G11745+Sens!G11766+Sens!G11696+Sens!G11823*(Sens!G11715-Sens!G11679)+sbc_r*Sens!G11715</f>
        <v>316.416004529171</v>
      </c>
      <c r="H11830" s="6" t="n">
        <f aca="false">Sens!H11745+Sens!H11766+Sens!H11696+Sens!H11823*(Sens!H11715-Sens!H11679)+sbc_r*Sens!H11715</f>
        <v>398.771428299383</v>
      </c>
      <c r="I11830" s="6" t="n">
        <f aca="false">Sens!I11745+Sens!I11766+Sens!I11696+Sens!I11823*(Sens!I11715-Sens!I11679)+sbc_r*Sens!I11715</f>
        <v>468.788493637784</v>
      </c>
      <c r="J11830" s="6" t="n">
        <f aca="false">Sens!J11745+Sens!J11766+Sens!J11696+Sens!J11823*(Sens!J11715-Sens!J11679)+sbc_r*Sens!J11715</f>
        <v>523.940230269361</v>
      </c>
      <c r="K11830" s="6" t="n">
        <f aca="false">Sens!K11745+Sens!K11766+Sens!K11696+Sens!K11823*(Sens!K11715-Sens!K11679)+sbc_r*Sens!K11715</f>
        <v>565.833228208338</v>
      </c>
    </row>
    <row r="11831" customFormat="false" ht="17.15" hidden="false" customHeight="false" outlineLevel="0" collapsed="false">
      <c r="A11831" s="0" t="s">
        <v>1079</v>
      </c>
      <c r="B11831" s="0" t="s">
        <v>98</v>
      </c>
      <c r="F11831" s="6" t="n">
        <f aca="false">Sens!F11830-Sens!F11824-Sens!F11825-Sens!F11826-Sens!F11827-Sens!F11829</f>
        <v>66.0985892722422</v>
      </c>
      <c r="G11831" s="6" t="n">
        <f aca="false">Sens!G11830-Sens!G11824-Sens!G11825-Sens!G11826-Sens!G11827-Sens!G11829</f>
        <v>79.5528005413278</v>
      </c>
      <c r="H11831" s="6" t="n">
        <f aca="false">Sens!H11830-Sens!H11824-Sens!H11825-Sens!H11826-Sens!H11827-Sens!H11829</f>
        <v>93.548234746263</v>
      </c>
      <c r="I11831" s="6" t="n">
        <f aca="false">Sens!I11830-Sens!I11824-Sens!I11825-Sens!I11826-Sens!I11827-Sens!I11829</f>
        <v>106.941142060362</v>
      </c>
      <c r="J11831" s="6" t="n">
        <f aca="false">Sens!J11830-Sens!J11824-Sens!J11825-Sens!J11826-Sens!J11827-Sens!J11829</f>
        <v>119.050068473673</v>
      </c>
      <c r="K11831" s="6" t="n">
        <f aca="false">Sens!K11830-Sens!K11824-Sens!K11825-Sens!K11826-Sens!K11827-Sens!K11829</f>
        <v>129.1807063321</v>
      </c>
    </row>
    <row r="11832" customFormat="false" ht="17.15" hidden="false" customHeight="false" outlineLevel="0" collapsed="false">
      <c r="A11832" s="0" t="s">
        <v>1080</v>
      </c>
      <c r="B11832" s="0" t="s">
        <v>98</v>
      </c>
      <c r="F11832" s="6" t="n">
        <f aca="false">Sens!F11747+Sens!F11823*Sens!F11722+sbc_r*Sens!F11722</f>
        <v>27.6279045124265</v>
      </c>
      <c r="G11832" s="6" t="n">
        <f aca="false">Sens!G11747+Sens!G11823*Sens!G11722+sbc_r*Sens!G11722</f>
        <v>28.2266052014458</v>
      </c>
      <c r="H11832" s="6" t="n">
        <f aca="false">Sens!H11747+Sens!H11823*Sens!H11722+sbc_r*Sens!H11722</f>
        <v>29.11697811077</v>
      </c>
      <c r="I11832" s="6" t="n">
        <f aca="false">Sens!I11747+Sens!I11823*Sens!I11722+sbc_r*Sens!I11722</f>
        <v>30.267996679179</v>
      </c>
      <c r="J11832" s="6" t="n">
        <f aca="false">Sens!J11747+Sens!J11823*Sens!J11722+sbc_r*Sens!J11722</f>
        <v>31.6377704139955</v>
      </c>
      <c r="K11832" s="6" t="n">
        <f aca="false">Sens!K11747+Sens!K11823*Sens!K11722+sbc_r*Sens!K11722</f>
        <v>33.1795617121421</v>
      </c>
    </row>
    <row r="11833" customFormat="false" ht="17.15" hidden="false" customHeight="false" outlineLevel="0" collapsed="false">
      <c r="A11833" s="0" t="s">
        <v>1081</v>
      </c>
      <c r="B11833" s="0" t="s">
        <v>98</v>
      </c>
      <c r="F11833" s="6" t="n">
        <f aca="false">(Sens!F11832-Sens!F11828)*Sens!F11718/(Sens!F11718+Sens!F11720)</f>
        <v>8.97103467290962</v>
      </c>
      <c r="G11833" s="6" t="n">
        <f aca="false">(Sens!G11832-Sens!G11828)*Sens!G11718/(Sens!G11718+Sens!G11720)</f>
        <v>8.56546318113069</v>
      </c>
      <c r="H11833" s="6" t="n">
        <f aca="false">(Sens!H11832-Sens!H11828)*Sens!H11718/(Sens!H11718+Sens!H11720)</f>
        <v>8.33639118187752</v>
      </c>
      <c r="I11833" s="6" t="n">
        <f aca="false">(Sens!I11832-Sens!I11828)*Sens!I11718/(Sens!I11718+Sens!I11720)</f>
        <v>8.26476646649909</v>
      </c>
      <c r="J11833" s="6" t="n">
        <f aca="false">(Sens!J11832-Sens!J11828)*Sens!J11718/(Sens!J11718+Sens!J11720)</f>
        <v>8.33615845917662</v>
      </c>
      <c r="K11833" s="6" t="n">
        <f aca="false">(Sens!K11832-Sens!K11828)*Sens!K11718/(Sens!K11718+Sens!K11720)</f>
        <v>8.54192723356663</v>
      </c>
    </row>
    <row r="11834" customFormat="false" ht="17.15" hidden="false" customHeight="false" outlineLevel="0" collapsed="false">
      <c r="A11834" s="0" t="s">
        <v>1082</v>
      </c>
      <c r="B11834" s="0" t="s">
        <v>98</v>
      </c>
      <c r="F11834" s="6" t="n">
        <f aca="false">Sens!F11832-Sens!F11828-Sens!F11833</f>
        <v>7.39378485270552</v>
      </c>
      <c r="G11834" s="6" t="n">
        <f aca="false">Sens!G11832-Sens!G11828-Sens!G11833</f>
        <v>7.3431691602714</v>
      </c>
      <c r="H11834" s="6" t="n">
        <f aca="false">Sens!H11832-Sens!H11828-Sens!H11833</f>
        <v>7.35880162535015</v>
      </c>
      <c r="I11834" s="6" t="n">
        <f aca="false">Sens!I11832-Sens!I11828-Sens!I11833</f>
        <v>7.43765185771399</v>
      </c>
      <c r="J11834" s="6" t="n">
        <f aca="false">Sens!J11832-Sens!J11828-Sens!J11833</f>
        <v>7.57384358253857</v>
      </c>
      <c r="K11834" s="6" t="n">
        <f aca="false">Sens!K11832-Sens!K11828-Sens!K11833</f>
        <v>7.7607954643955</v>
      </c>
    </row>
    <row r="11835" customFormat="false" ht="17.15" hidden="false" customHeight="false" outlineLevel="0" collapsed="false">
      <c r="A11835" s="0" t="s">
        <v>1083</v>
      </c>
      <c r="B11835" s="0" t="s">
        <v>98</v>
      </c>
      <c r="F11835" s="6" t="n">
        <f aca="false">Sens!F11829-tax_f*(Sens!F11829-Sens!F11696)-Sens!F11693</f>
        <v>-117.624972553783</v>
      </c>
      <c r="G11835" s="6" t="n">
        <f aca="false">Sens!G11829-tax_f*(Sens!G11829-Sens!G11696)-Sens!G11693</f>
        <v>-100.783498271105</v>
      </c>
      <c r="H11835" s="6" t="n">
        <f aca="false">Sens!H11829-tax_f*(Sens!H11829-Sens!H11696)-Sens!H11693</f>
        <v>-58.6454156812621</v>
      </c>
      <c r="I11835" s="6" t="n">
        <f aca="false">Sens!I11829-tax_f*(Sens!I11829-Sens!I11696)-Sens!I11693</f>
        <v>3.61341173464587</v>
      </c>
      <c r="J11835" s="6" t="n">
        <f aca="false">Sens!J11829-tax_f*(Sens!J11829-Sens!J11696)-Sens!J11693</f>
        <v>67.1960840957439</v>
      </c>
      <c r="K11835" s="6" t="n">
        <f aca="false">Sens!K11829-tax_f*(Sens!K11829-Sens!K11696)-Sens!K11693</f>
        <v>90.1428873630444</v>
      </c>
    </row>
    <row r="11836" customFormat="false" ht="17.15" hidden="false" customHeight="false" outlineLevel="0" collapsed="false">
      <c r="A11836" s="0" t="s">
        <v>1084</v>
      </c>
      <c r="B11836" s="0" t="s">
        <v>98</v>
      </c>
      <c r="G11836" s="6" t="n">
        <f aca="false">Sens!G11835/(1+wacc)^(Sens!G11808-(Sens!F11808+mid_yr))</f>
        <v>-95.9653792228043</v>
      </c>
      <c r="H11836" s="6" t="n">
        <f aca="false">Sens!H11835/(1+wacc)^(Sens!H11808-(Sens!F11808+mid_yr))</f>
        <v>-50.6301872413199</v>
      </c>
      <c r="I11836" s="6" t="n">
        <f aca="false">Sens!I11835/(1+wacc)^(Sens!I11808-(Sens!F11808+mid_yr))</f>
        <v>2.82841560642683</v>
      </c>
      <c r="J11836" s="6" t="n">
        <f aca="false">Sens!J11835/(1+wacc)^(Sens!J11808-(Sens!F11808+mid_yr))</f>
        <v>47.6892013031463</v>
      </c>
      <c r="K11836" s="6" t="n">
        <f aca="false">Sens!K11835/(1+wacc)^(Sens!K11808-(Sens!F11808+mid_yr))</f>
        <v>58.0039886041</v>
      </c>
      <c r="L11836" s="1" t="s">
        <v>1085</v>
      </c>
    </row>
    <row r="11837" customFormat="false" ht="17.15" hidden="false" customHeight="false" outlineLevel="0" collapsed="false">
      <c r="A11837" s="0" t="s">
        <v>1086</v>
      </c>
      <c r="B11837" s="0" t="s">
        <v>98</v>
      </c>
      <c r="C11837" s="6" t="n">
        <f aca="false">(Sens!K11829-Sens!K11696)*(1-tax_f)*(1+g_tv)*(1-g_tv/(wacc+ronic_prem))/(wacc-g_tv)/(1+wacc)^(Sens!K11808+mid_yr-(Sens!F11808+mid_yr))</f>
        <v>443.996663878014</v>
      </c>
    </row>
    <row r="11838" customFormat="false" ht="17.15" hidden="false" customHeight="false" outlineLevel="0" collapsed="false">
      <c r="A11838" s="1" t="s">
        <v>1087</v>
      </c>
      <c r="B11838" s="0" t="s">
        <v>98</v>
      </c>
      <c r="C11838" s="6" t="n">
        <f aca="false">(SUM(Sens!G11836:K11836)+Sens!$C$11837)*(1+wacc)^(t_roll-(Sens!F11808+mid_yr))</f>
        <v>419.098114057616</v>
      </c>
      <c r="L11838" s="11" t="s">
        <v>1088</v>
      </c>
    </row>
    <row r="11839" customFormat="false" ht="17.15" hidden="false" customHeight="false" outlineLevel="0" collapsed="false">
      <c r="A11839" s="1" t="s">
        <v>1089</v>
      </c>
      <c r="B11839" s="0" t="s">
        <v>98</v>
      </c>
      <c r="C11839" s="6" t="n">
        <f aca="false">(w_ntm28*Sens!G11685+(1-w_ntm28)*Sens!H11685)*m_ai</f>
        <v>551.711134531404</v>
      </c>
    </row>
    <row r="11840" customFormat="false" ht="17.15" hidden="false" customHeight="false" outlineLevel="0" collapsed="false">
      <c r="A11840" s="1" t="s">
        <v>1090</v>
      </c>
      <c r="B11840" s="0" t="s">
        <v>98</v>
      </c>
      <c r="C11840" s="6" t="n">
        <f aca="false">(w_ntm28*Sens!G11831+(1-w_ntm28)*Sens!H11831)*m_cloud</f>
        <v>1161.94900288948</v>
      </c>
    </row>
    <row r="11841" customFormat="false" ht="17.15" hidden="false" customHeight="false" outlineLevel="0" collapsed="false">
      <c r="A11841" s="1" t="s">
        <v>1091</v>
      </c>
      <c r="B11841" s="0" t="s">
        <v>98</v>
      </c>
      <c r="C11841" s="6" t="n">
        <f aca="false">(w_ntm28*Sens!G11824+(1-w_ntm28)*Sens!H11824)*m_sw</f>
        <v>1127.71024611553</v>
      </c>
    </row>
    <row r="11842" customFormat="false" ht="17.15" hidden="false" customHeight="false" outlineLevel="0" collapsed="false">
      <c r="A11842" s="1" t="s">
        <v>1092</v>
      </c>
      <c r="B11842" s="0" t="s">
        <v>98</v>
      </c>
      <c r="C11842" s="6" t="n">
        <f aca="false">(w_ntm28*Sens!G11825+(1-w_ntm28)*Sens!H11825)*m_sw</f>
        <v>379.927954212425</v>
      </c>
    </row>
    <row r="11843" customFormat="false" ht="17.15" hidden="false" customHeight="false" outlineLevel="0" collapsed="false">
      <c r="A11843" s="1" t="s">
        <v>1093</v>
      </c>
      <c r="B11843" s="0" t="s">
        <v>98</v>
      </c>
      <c r="C11843" s="6" t="n">
        <f aca="false">(w_ntm28*Sens!G11826+(1-w_ntm28)*Sens!H11826)*m_sw</f>
        <v>109.537681746057</v>
      </c>
    </row>
    <row r="11844" customFormat="false" ht="17.15" hidden="false" customHeight="false" outlineLevel="0" collapsed="false">
      <c r="A11844" s="1" t="s">
        <v>1094</v>
      </c>
      <c r="B11844" s="0" t="s">
        <v>98</v>
      </c>
      <c r="C11844" s="6" t="n">
        <f aca="false">(w_ntm28*Sens!G11827+(1-w_ntm28)*Sens!H11827)*m_sw</f>
        <v>41.7907416024197</v>
      </c>
    </row>
    <row r="11845" customFormat="false" ht="17.15" hidden="false" customHeight="false" outlineLevel="0" collapsed="false">
      <c r="A11845" s="1" t="s">
        <v>1095</v>
      </c>
      <c r="B11845" s="0" t="s">
        <v>98</v>
      </c>
      <c r="C11845" s="6" t="n">
        <f aca="false">(w_ntm28*Sens!G11828+(1-w_ntm28)*Sens!H11828)*m_ads</f>
        <v>115.467626729004</v>
      </c>
    </row>
    <row r="11846" customFormat="false" ht="17.15" hidden="false" customHeight="false" outlineLevel="0" collapsed="false">
      <c r="A11846" s="1" t="s">
        <v>1096</v>
      </c>
      <c r="B11846" s="0" t="s">
        <v>98</v>
      </c>
      <c r="C11846" s="6" t="n">
        <f aca="false">(w_ntm28*Sens!G11833+(1-w_ntm28)*Sens!H11833)*m_game</f>
        <v>107.246470762977</v>
      </c>
    </row>
    <row r="11847" customFormat="false" ht="17.15" hidden="false" customHeight="false" outlineLevel="0" collapsed="false">
      <c r="A11847" s="1" t="s">
        <v>1097</v>
      </c>
      <c r="B11847" s="0" t="s">
        <v>98</v>
      </c>
      <c r="C11847" s="6" t="n">
        <f aca="false">(w_ntm28*Sens!G11834+(1-w_ntm28)*Sens!H11834)*m_pc</f>
        <v>106.328785992479</v>
      </c>
    </row>
    <row r="11848" customFormat="false" ht="17.15" hidden="false" customHeight="false" outlineLevel="0" collapsed="false">
      <c r="A11848" s="1" t="s">
        <v>1098</v>
      </c>
      <c r="B11848" s="0" t="s">
        <v>98</v>
      </c>
      <c r="C11848" s="6" t="n">
        <f aca="false">Sens!$C$11838+Sens!$C$11840+Sens!$C$11841+Sens!$C$11842+Sens!$C$11843+Sens!$C$11844+Sens!$C$11845+Sens!$C$11846+Sens!$C$11847</f>
        <v>3569.05662410799</v>
      </c>
    </row>
    <row r="11849" customFormat="false" ht="17.15" hidden="false" customHeight="false" outlineLevel="0" collapsed="false">
      <c r="A11849" s="1" t="s">
        <v>1099</v>
      </c>
      <c r="B11849" s="0" t="s">
        <v>98</v>
      </c>
      <c r="C11849" s="6" t="n">
        <f aca="false">(Sens!G11810-Sens!G11835)*t_stub</f>
        <v>49.9949955760195</v>
      </c>
      <c r="L11849" s="1" t="s">
        <v>1100</v>
      </c>
    </row>
    <row r="11850" customFormat="false" ht="17.15" hidden="false" customHeight="false" outlineLevel="0" collapsed="false">
      <c r="A11850" s="1" t="s">
        <v>1014</v>
      </c>
      <c r="B11850" s="0" t="s">
        <v>98</v>
      </c>
      <c r="C11850" s="6" t="n">
        <f aca="false">Sens!F11799+oai_v-Sens!F11788+Sens!$C$11849</f>
        <v>170.635194188687</v>
      </c>
      <c r="L11850" s="1" t="s">
        <v>1101</v>
      </c>
    </row>
    <row r="11851" customFormat="false" ht="17.15" hidden="false" customHeight="false" outlineLevel="0" collapsed="false">
      <c r="A11851" s="1" t="s">
        <v>1102</v>
      </c>
      <c r="B11851" s="0" t="s">
        <v>75</v>
      </c>
      <c r="C11851" s="5" t="n">
        <f aca="false">(Sens!$C$11848+Sens!$C$11850)/(Sens!F11801+dil_gap)-Sens!G11791*roll_div_q/q_per_yr</f>
        <v>497.852151320261</v>
      </c>
      <c r="L11851" s="1" t="s">
        <v>1103</v>
      </c>
    </row>
    <row r="11852" customFormat="false" ht="17.15" hidden="false" customHeight="false" outlineLevel="0" collapsed="false">
      <c r="A11852" s="1" t="s">
        <v>1104</v>
      </c>
      <c r="B11852" s="0" t="s">
        <v>75</v>
      </c>
      <c r="C11852" s="5" t="n">
        <f aca="false">w_dcf*Sens!$C$11822+(1-w_dcf)*Sens!$C$11851</f>
        <v>438.504285438893</v>
      </c>
    </row>
    <row r="11853" customFormat="false" ht="17.15" hidden="false" customHeight="false" outlineLevel="0" collapsed="false">
      <c r="A11853" s="3" t="s">
        <v>1567</v>
      </c>
    </row>
    <row r="11854" customFormat="false" ht="15" hidden="false" customHeight="false" outlineLevel="0" collapsed="false">
      <c r="A11854" s="4" t="s">
        <v>43</v>
      </c>
      <c r="B11854" s="4" t="s">
        <v>65</v>
      </c>
      <c r="C11854" s="20" t="s">
        <v>799</v>
      </c>
      <c r="D11854" s="20" t="s">
        <v>800</v>
      </c>
      <c r="E11854" s="20" t="s">
        <v>801</v>
      </c>
      <c r="F11854" s="20" t="s">
        <v>802</v>
      </c>
      <c r="G11854" s="20" t="s">
        <v>803</v>
      </c>
      <c r="H11854" s="20" t="s">
        <v>804</v>
      </c>
      <c r="I11854" s="20" t="s">
        <v>805</v>
      </c>
      <c r="J11854" s="20" t="s">
        <v>806</v>
      </c>
      <c r="K11854" s="20" t="s">
        <v>807</v>
      </c>
      <c r="L11854" s="4" t="s">
        <v>47</v>
      </c>
    </row>
    <row r="11855" customFormat="false" ht="17.15" hidden="false" customHeight="false" outlineLevel="0" collapsed="false">
      <c r="A11855" s="1" t="s">
        <v>808</v>
      </c>
      <c r="B11855" s="1" t="s">
        <v>235</v>
      </c>
      <c r="C11855" s="28" t="n">
        <v>2024</v>
      </c>
      <c r="D11855" s="28" t="n">
        <v>2025</v>
      </c>
      <c r="E11855" s="28" t="n">
        <v>2026</v>
      </c>
      <c r="F11855" s="28" t="n">
        <v>2027</v>
      </c>
      <c r="G11855" s="28" t="n">
        <v>2028</v>
      </c>
      <c r="H11855" s="28" t="n">
        <v>2029</v>
      </c>
      <c r="I11855" s="28" t="n">
        <v>2030</v>
      </c>
      <c r="J11855" s="28" t="n">
        <v>2031</v>
      </c>
      <c r="K11855" s="28" t="n">
        <v>2032</v>
      </c>
    </row>
    <row r="11856" customFormat="false" ht="17.15" hidden="false" customHeight="false" outlineLevel="0" collapsed="false">
      <c r="A11856" s="1" t="s">
        <v>809</v>
      </c>
      <c r="B11856" s="0" t="s">
        <v>399</v>
      </c>
      <c r="F11856" s="29" t="n">
        <f aca="false">pace</f>
        <v>2527.2</v>
      </c>
      <c r="G11856" s="29" t="n">
        <f aca="false">pace</f>
        <v>2527.2</v>
      </c>
      <c r="H11856" s="29" t="n">
        <f aca="false">pace</f>
        <v>2527.2</v>
      </c>
      <c r="I11856" s="29" t="n">
        <f aca="false">pace+(g_tv*Sens!H11857-pace)*MIN(1,(Sens!I11855-pace_y0)/(pace_y1-pace_y0))</f>
        <v>1793.116</v>
      </c>
      <c r="J11856" s="29" t="n">
        <f aca="false">pace+(g_tv*Sens!I11857-pace)*MIN(1,(Sens!J11855-pace_y0)/(pace_y1-pace_y0))</f>
        <v>1094.89432</v>
      </c>
      <c r="K11856" s="29" t="n">
        <f aca="false">pace+(g_tv*Sens!J11857-pace)*MIN(1,(Sens!K11855-pace_y0)/(pace_y1-pace_y0))</f>
        <v>411.5883096</v>
      </c>
      <c r="L11856" s="11" t="s">
        <v>810</v>
      </c>
    </row>
    <row r="11857" customFormat="false" ht="17.15" hidden="false" customHeight="false" outlineLevel="0" collapsed="false">
      <c r="A11857" s="1" t="s">
        <v>811</v>
      </c>
      <c r="B11857" s="0" t="s">
        <v>399</v>
      </c>
      <c r="C11857" s="29" t="n">
        <f aca="false">mw_ext_24</f>
        <v>640</v>
      </c>
      <c r="D11857" s="29" t="n">
        <f aca="false">mw_ext_25</f>
        <v>1630</v>
      </c>
      <c r="E11857" s="29" t="n">
        <f aca="false">mw_ext_26</f>
        <v>3250</v>
      </c>
      <c r="F11857" s="29" t="n">
        <f aca="false">Sens!E11857+Sens!F11856</f>
        <v>5777.2</v>
      </c>
      <c r="G11857" s="29" t="n">
        <f aca="false">Sens!F11857+Sens!G11856</f>
        <v>8304.4</v>
      </c>
      <c r="H11857" s="29" t="n">
        <f aca="false">Sens!G11857+Sens!H11856</f>
        <v>10831.6</v>
      </c>
      <c r="I11857" s="29" t="n">
        <f aca="false">Sens!H11857+Sens!I11856</f>
        <v>12624.716</v>
      </c>
      <c r="J11857" s="29" t="n">
        <f aca="false">Sens!I11857+Sens!J11856</f>
        <v>13719.61032</v>
      </c>
      <c r="K11857" s="29" t="n">
        <f aca="false">Sens!J11857+Sens!K11856</f>
        <v>14131.1986296</v>
      </c>
      <c r="L11857" s="1" t="s">
        <v>812</v>
      </c>
    </row>
    <row r="11858" customFormat="false" ht="17.15" hidden="false" customHeight="false" outlineLevel="0" collapsed="false">
      <c r="A11858" s="1" t="s">
        <v>813</v>
      </c>
      <c r="B11858" s="0" t="s">
        <v>399</v>
      </c>
      <c r="C11858" s="29" t="n">
        <f aca="false">rent_ext_24</f>
        <v>150</v>
      </c>
      <c r="D11858" s="29" t="n">
        <f aca="false">rent_ext_25</f>
        <v>400</v>
      </c>
      <c r="E11858" s="29" t="n">
        <f aca="false">rent_ext_26</f>
        <v>550</v>
      </c>
      <c r="F11858" s="29" t="n">
        <f aca="false">rent_ext_f</f>
        <v>756</v>
      </c>
      <c r="G11858" s="29" t="n">
        <f aca="false">rent_ext_f</f>
        <v>756</v>
      </c>
      <c r="H11858" s="29" t="n">
        <f aca="false">rent_ext_f</f>
        <v>756</v>
      </c>
      <c r="I11858" s="29" t="n">
        <f aca="false">rent_ext_f</f>
        <v>756</v>
      </c>
      <c r="J11858" s="29" t="n">
        <f aca="false">rent_ext_f</f>
        <v>756</v>
      </c>
      <c r="K11858" s="29" t="n">
        <f aca="false">rent_ext_f</f>
        <v>756</v>
      </c>
      <c r="L11858" s="1" t="s">
        <v>814</v>
      </c>
    </row>
    <row r="11859" customFormat="false" ht="17.15" hidden="false" customHeight="false" outlineLevel="0" collapsed="false">
      <c r="A11859" s="1" t="s">
        <v>815</v>
      </c>
      <c r="B11859" s="0" t="s">
        <v>399</v>
      </c>
      <c r="C11859" s="29" t="n">
        <f aca="false">Sens!C11857-Sens!C11858</f>
        <v>490</v>
      </c>
      <c r="D11859" s="29" t="n">
        <f aca="false">Sens!D11857-Sens!D11858</f>
        <v>1230</v>
      </c>
      <c r="E11859" s="29" t="n">
        <f aca="false">Sens!E11857-Sens!E11858</f>
        <v>2700</v>
      </c>
      <c r="F11859" s="29" t="n">
        <f aca="false">Sens!F11857-Sens!F11858</f>
        <v>5021.2</v>
      </c>
      <c r="G11859" s="29" t="n">
        <f aca="false">Sens!G11857-Sens!G11858</f>
        <v>7548.4</v>
      </c>
      <c r="H11859" s="29" t="n">
        <f aca="false">Sens!H11857-Sens!H11858</f>
        <v>10075.6</v>
      </c>
      <c r="I11859" s="29" t="n">
        <f aca="false">Sens!I11857-Sens!I11858</f>
        <v>11868.716</v>
      </c>
      <c r="J11859" s="29" t="n">
        <f aca="false">Sens!J11857-Sens!J11858</f>
        <v>12963.61032</v>
      </c>
      <c r="K11859" s="29" t="n">
        <f aca="false">Sens!K11857-Sens!K11858</f>
        <v>13375.1986296</v>
      </c>
    </row>
    <row r="11860" customFormat="false" ht="17.15" hidden="false" customHeight="false" outlineLevel="0" collapsed="false">
      <c r="A11860" s="1" t="s">
        <v>816</v>
      </c>
      <c r="B11860" s="0" t="s">
        <v>399</v>
      </c>
      <c r="C11860" s="29" t="n">
        <f aca="false">Sens!C11859/ext_sh</f>
        <v>816.666666666667</v>
      </c>
      <c r="D11860" s="29" t="n">
        <f aca="false">Sens!D11859/ext_sh</f>
        <v>2050</v>
      </c>
      <c r="E11860" s="29" t="n">
        <f aca="false">Sens!E11859/ext_sh</f>
        <v>4500</v>
      </c>
      <c r="F11860" s="29" t="n">
        <f aca="false">Sens!F11859/ext_sh</f>
        <v>8368.66666666667</v>
      </c>
      <c r="G11860" s="29" t="n">
        <f aca="false">Sens!G11859/ext_sh</f>
        <v>12580.6666666667</v>
      </c>
      <c r="H11860" s="29" t="n">
        <f aca="false">Sens!H11859/ext_sh</f>
        <v>16792.6666666667</v>
      </c>
      <c r="I11860" s="29" t="n">
        <f aca="false">Sens!I11859/ext_sh</f>
        <v>19781.1933333333</v>
      </c>
      <c r="J11860" s="29" t="n">
        <f aca="false">Sens!J11859/ext_sh</f>
        <v>21606.0172</v>
      </c>
      <c r="K11860" s="29" t="n">
        <f aca="false">Sens!K11859/ext_sh</f>
        <v>22291.997716</v>
      </c>
      <c r="L11860" s="1" t="s">
        <v>817</v>
      </c>
    </row>
    <row r="11861" customFormat="false" ht="17.15" hidden="false" customHeight="false" outlineLevel="0" collapsed="false">
      <c r="A11861" s="1" t="s">
        <v>818</v>
      </c>
      <c r="B11861" s="0" t="s">
        <v>399</v>
      </c>
      <c r="C11861" s="29" t="n">
        <f aca="false">Sens!C11860-Sens!C11859</f>
        <v>326.666666666667</v>
      </c>
      <c r="D11861" s="29" t="n">
        <f aca="false">Sens!D11860-Sens!D11859</f>
        <v>820</v>
      </c>
      <c r="E11861" s="29" t="n">
        <f aca="false">Sens!E11860-Sens!E11859</f>
        <v>1800</v>
      </c>
      <c r="F11861" s="29" t="n">
        <f aca="false">Sens!F11860-Sens!F11859</f>
        <v>3347.46666666667</v>
      </c>
      <c r="G11861" s="29" t="n">
        <f aca="false">Sens!G11860-Sens!G11859</f>
        <v>5032.26666666667</v>
      </c>
      <c r="H11861" s="29" t="n">
        <f aca="false">Sens!H11860-Sens!H11859</f>
        <v>6717.06666666667</v>
      </c>
      <c r="I11861" s="29" t="n">
        <f aca="false">Sens!I11860-Sens!I11859</f>
        <v>7912.47733333333</v>
      </c>
      <c r="J11861" s="29" t="n">
        <f aca="false">Sens!J11860-Sens!J11859</f>
        <v>8642.40688</v>
      </c>
      <c r="K11861" s="29" t="n">
        <f aca="false">Sens!K11860-Sens!K11859</f>
        <v>8916.7990864</v>
      </c>
    </row>
    <row r="11862" customFormat="false" ht="17.15" hidden="false" customHeight="false" outlineLevel="0" collapsed="false">
      <c r="A11862" s="1" t="s">
        <v>819</v>
      </c>
      <c r="B11862" s="0" t="s">
        <v>399</v>
      </c>
      <c r="C11862" s="29" t="n">
        <f aca="false">Sens!C11860</f>
        <v>816.666666666667</v>
      </c>
      <c r="D11862" s="29" t="n">
        <f aca="false">Sens!D11860-Sens!C11860</f>
        <v>1233.33333333333</v>
      </c>
      <c r="E11862" s="29" t="n">
        <f aca="false">Sens!E11860-Sens!D11860</f>
        <v>2450</v>
      </c>
      <c r="F11862" s="29" t="n">
        <f aca="false">Sens!F11860-Sens!E11860</f>
        <v>3868.66666666667</v>
      </c>
      <c r="G11862" s="29" t="n">
        <f aca="false">Sens!G11860-Sens!F11860</f>
        <v>4212</v>
      </c>
      <c r="H11862" s="29" t="n">
        <f aca="false">Sens!H11860-Sens!G11860</f>
        <v>4212</v>
      </c>
      <c r="I11862" s="29" t="n">
        <f aca="false">Sens!I11860-Sens!H11860</f>
        <v>2988.52666666667</v>
      </c>
      <c r="J11862" s="29" t="n">
        <f aca="false">Sens!J11860-Sens!I11860</f>
        <v>1824.82386666667</v>
      </c>
      <c r="K11862" s="29" t="n">
        <f aca="false">Sens!K11860-Sens!J11860</f>
        <v>685.980516</v>
      </c>
    </row>
    <row r="11863" customFormat="false" ht="17.15" hidden="false" customHeight="false" outlineLevel="0" collapsed="false">
      <c r="A11863" s="1" t="s">
        <v>820</v>
      </c>
      <c r="B11863" s="0" t="s">
        <v>399</v>
      </c>
      <c r="D11863" s="29" t="n">
        <f aca="false">Sens!D11857-Sens!C11857</f>
        <v>990</v>
      </c>
      <c r="E11863" s="29" t="n">
        <f aca="false">Sens!E11857-Sens!D11857</f>
        <v>1620</v>
      </c>
      <c r="F11863" s="29" t="n">
        <f aca="false">Sens!F11857-Sens!E11857</f>
        <v>2527.2</v>
      </c>
      <c r="G11863" s="29" t="n">
        <f aca="false">Sens!G11857-Sens!F11857</f>
        <v>2527.2</v>
      </c>
      <c r="H11863" s="29" t="n">
        <f aca="false">Sens!H11857-Sens!G11857</f>
        <v>2527.2</v>
      </c>
      <c r="I11863" s="29" t="n">
        <f aca="false">Sens!I11857-Sens!H11857</f>
        <v>1793.116</v>
      </c>
      <c r="J11863" s="29" t="n">
        <f aca="false">Sens!J11857-Sens!I11857</f>
        <v>1094.89432</v>
      </c>
      <c r="K11863" s="29" t="n">
        <f aca="false">Sens!K11857-Sens!J11857</f>
        <v>411.5883096</v>
      </c>
    </row>
    <row r="11864" customFormat="false" ht="17.15" hidden="false" customHeight="false" outlineLevel="0" collapsed="false">
      <c r="A11864" s="1" t="s">
        <v>821</v>
      </c>
      <c r="B11864" s="0" t="s">
        <v>399</v>
      </c>
      <c r="F11864" s="29" t="n">
        <f aca="false">Sens!F11881*ext_sh</f>
        <v>0</v>
      </c>
      <c r="G11864" s="29" t="n">
        <f aca="false">Sens!G11881*ext_sh</f>
        <v>0</v>
      </c>
      <c r="H11864" s="29" t="n">
        <f aca="false">Sens!H11881*ext_sh</f>
        <v>0</v>
      </c>
      <c r="I11864" s="29" t="n">
        <f aca="false">Sens!I11881*ext_sh</f>
        <v>490</v>
      </c>
      <c r="J11864" s="29" t="n">
        <f aca="false">Sens!J11881*ext_sh</f>
        <v>740</v>
      </c>
      <c r="K11864" s="29" t="n">
        <f aca="false">Sens!K11881*ext_sh</f>
        <v>1470</v>
      </c>
      <c r="L11864" s="1" t="s">
        <v>822</v>
      </c>
    </row>
    <row r="11865" customFormat="false" ht="17.15" hidden="false" customHeight="false" outlineLevel="0" collapsed="false">
      <c r="A11865" s="1" t="s">
        <v>823</v>
      </c>
      <c r="B11865" s="0" t="s">
        <v>399</v>
      </c>
      <c r="C11865" s="29" t="n">
        <f aca="false">mix_h*Sens!C11857</f>
        <v>128</v>
      </c>
      <c r="D11865" s="29" t="n">
        <f aca="false">mix_h*Sens!D11857</f>
        <v>326</v>
      </c>
      <c r="E11865" s="29" t="n">
        <f aca="false">mix_h*Sens!E11857</f>
        <v>650</v>
      </c>
      <c r="F11865" s="29" t="n">
        <f aca="false">Sens!E11865-Sens!F11864*mix_h</f>
        <v>650</v>
      </c>
      <c r="G11865" s="29" t="n">
        <f aca="false">Sens!F11865-Sens!G11864*mix_h</f>
        <v>650</v>
      </c>
      <c r="H11865" s="29" t="n">
        <f aca="false">Sens!G11865-Sens!H11864*mix_h</f>
        <v>650</v>
      </c>
      <c r="I11865" s="29" t="n">
        <f aca="false">Sens!H11865-Sens!I11864*mix_h</f>
        <v>552</v>
      </c>
      <c r="J11865" s="29" t="n">
        <f aca="false">Sens!I11865-Sens!J11864*mix_h</f>
        <v>404</v>
      </c>
      <c r="K11865" s="29" t="n">
        <f aca="false">Sens!J11865-Sens!K11864*mix_h</f>
        <v>110</v>
      </c>
    </row>
    <row r="11866" customFormat="false" ht="17.15" hidden="false" customHeight="false" outlineLevel="0" collapsed="false">
      <c r="A11866" s="1" t="s">
        <v>824</v>
      </c>
      <c r="B11866" s="0" t="s">
        <v>399</v>
      </c>
      <c r="C11866" s="29" t="n">
        <f aca="false">mix_g2*Sens!C11857</f>
        <v>288</v>
      </c>
      <c r="D11866" s="29" t="n">
        <f aca="false">mix_g2*Sens!D11857</f>
        <v>733.5</v>
      </c>
      <c r="E11866" s="29" t="n">
        <f aca="false">mix_g2*Sens!E11857</f>
        <v>1462.5</v>
      </c>
      <c r="F11866" s="29" t="n">
        <f aca="false">Sens!E11866-Sens!F11864*mix_g2</f>
        <v>1462.5</v>
      </c>
      <c r="G11866" s="29" t="n">
        <f aca="false">Sens!F11866-Sens!G11864*mix_g2</f>
        <v>1462.5</v>
      </c>
      <c r="H11866" s="29" t="n">
        <f aca="false">Sens!G11866-Sens!H11864*mix_g2</f>
        <v>1462.5</v>
      </c>
      <c r="I11866" s="29" t="n">
        <f aca="false">Sens!H11866-Sens!I11864*mix_g2</f>
        <v>1242</v>
      </c>
      <c r="J11866" s="29" t="n">
        <f aca="false">Sens!I11866-Sens!J11864*mix_g2</f>
        <v>909</v>
      </c>
      <c r="K11866" s="29" t="n">
        <f aca="false">Sens!J11866-Sens!K11864*mix_g2</f>
        <v>247.5</v>
      </c>
    </row>
    <row r="11867" customFormat="false" ht="17.15" hidden="false" customHeight="false" outlineLevel="0" collapsed="false">
      <c r="A11867" s="1" t="s">
        <v>825</v>
      </c>
      <c r="B11867" s="0" t="s">
        <v>399</v>
      </c>
      <c r="C11867" s="29" t="n">
        <f aca="false">mix_g3*Sens!C11857</f>
        <v>224</v>
      </c>
      <c r="D11867" s="29" t="n">
        <f aca="false">mix_g3*Sens!D11857</f>
        <v>570.5</v>
      </c>
      <c r="E11867" s="29" t="n">
        <f aca="false">mix_g3*Sens!E11857</f>
        <v>1137.5</v>
      </c>
      <c r="F11867" s="29" t="n">
        <f aca="false">Sens!E11867+(Sens!F11863+Sens!F11864)*a_g3_27-Sens!F11864*mix_g3</f>
        <v>2906.54</v>
      </c>
      <c r="G11867" s="29" t="n">
        <f aca="false">Sens!F11867+(Sens!G11863+Sens!G11864)*a_g3_28-Sens!G11864*mix_g3</f>
        <v>3664.7</v>
      </c>
      <c r="H11867" s="29" t="n">
        <f aca="false">Sens!G11867+(Sens!H11863+Sens!H11864)*a_g3_29-Sens!H11864*mix_g3</f>
        <v>3917.42</v>
      </c>
      <c r="I11867" s="29" t="n">
        <f aca="false">Sens!H11867+(Sens!I11863+Sens!I11864)*a_g3_29-Sens!I11864*mix_g3</f>
        <v>3974.2316</v>
      </c>
      <c r="J11867" s="29" t="n">
        <f aca="false">Sens!I11867+(Sens!J11863+Sens!J11864)*a_g3_29-Sens!J11864*mix_g3</f>
        <v>3898.721032</v>
      </c>
      <c r="K11867" s="29" t="n">
        <f aca="false">Sens!J11867+(Sens!K11863+Sens!K11864)*a_g3_29-Sens!K11864*mix_g3</f>
        <v>3572.37986296</v>
      </c>
    </row>
    <row r="11868" customFormat="false" ht="17.15" hidden="false" customHeight="false" outlineLevel="0" collapsed="false">
      <c r="A11868" s="1" t="s">
        <v>826</v>
      </c>
      <c r="B11868" s="0" t="s">
        <v>399</v>
      </c>
      <c r="C11868" s="29" t="n">
        <v>0</v>
      </c>
      <c r="D11868" s="29" t="n">
        <v>0</v>
      </c>
      <c r="E11868" s="29" t="n">
        <v>0</v>
      </c>
      <c r="F11868" s="29" t="n">
        <f aca="false">Sens!E11868+(Sens!F11863+Sens!F11864)*(1-a_g3_27)</f>
        <v>758.16</v>
      </c>
      <c r="G11868" s="29" t="n">
        <f aca="false">Sens!F11868+(Sens!G11863+Sens!G11864)*(1-a_g3_28)</f>
        <v>2527.2</v>
      </c>
      <c r="H11868" s="29" t="n">
        <f aca="false">Sens!G11868+(Sens!H11863+Sens!H11864)*(1-a_g3_29)</f>
        <v>4801.68</v>
      </c>
      <c r="I11868" s="29" t="n">
        <f aca="false">Sens!H11868+(Sens!I11863+Sens!I11864)*(1-a_g3_29)</f>
        <v>6856.4844</v>
      </c>
      <c r="J11868" s="29" t="n">
        <f aca="false">Sens!I11868+(Sens!J11863+Sens!J11864)*(1-a_g3_29)</f>
        <v>8507.889288</v>
      </c>
      <c r="K11868" s="29" t="n">
        <f aca="false">Sens!J11868+(Sens!K11863+Sens!K11864)*(1-a_g3_29)</f>
        <v>10201.31876664</v>
      </c>
    </row>
    <row r="11869" customFormat="false" ht="17.15" hidden="false" customHeight="false" outlineLevel="0" collapsed="false">
      <c r="A11869" s="1" t="s">
        <v>827</v>
      </c>
      <c r="B11869" s="0" t="s">
        <v>346</v>
      </c>
      <c r="C11869" s="14" t="n">
        <f aca="false">(Sens!C11865*tk_hold_h100+Sens!C11866*tk_hold_gb200+Sens!C11867*tk_hold_gb300+Sens!C11868*tk_hold_vr200)/Sens!C11857</f>
        <v>9.7235358126469</v>
      </c>
      <c r="D11869" s="14" t="n">
        <f aca="false">(Sens!D11865*tk_hold_h100+Sens!D11866*tk_hold_gb200+Sens!D11867*tk_hold_gb300+Sens!D11868*tk_hold_vr200)/Sens!D11857</f>
        <v>9.7235358126469</v>
      </c>
      <c r="E11869" s="14" t="n">
        <f aca="false">(Sens!E11865*tk_hold_h100+Sens!E11866*tk_hold_gb200+Sens!E11867*tk_hold_gb300+Sens!E11868*tk_hold_vr200)/Sens!E11857</f>
        <v>9.7235358126469</v>
      </c>
      <c r="F11869" s="14" t="n">
        <f aca="false">(Sens!F11865*tk_hold_h100+Sens!F11866*tk_hold_gb200+Sens!F11867*tk_hold_gb300+Sens!F11868*tk_hold_vr200)/Sens!F11857</f>
        <v>10.4079573161931</v>
      </c>
      <c r="G11869" s="14" t="n">
        <f aca="false">(Sens!G11865*tk_hold_h100+Sens!G11866*tk_hold_gb200+Sens!G11867*tk_hold_gb300+Sens!G11868*tk_hold_vr200)/Sens!G11857</f>
        <v>10.8388131109316</v>
      </c>
      <c r="H11869" s="14" t="n">
        <f aca="false">(Sens!H11865*tk_hold_h100+Sens!H11866*tk_hold_gb200+Sens!H11867*tk_hold_gb300+Sens!H11868*tk_hold_vr200)/Sens!H11857</f>
        <v>11.1311018388216</v>
      </c>
      <c r="I11869" s="14" t="n">
        <f aca="false">(Sens!I11865*tk_hold_h100+Sens!I11866*tk_hold_gb200+Sens!I11867*tk_hold_gb300+Sens!I11868*tk_hold_vr200)/Sens!I11857</f>
        <v>11.3594282560989</v>
      </c>
      <c r="J11869" s="14" t="n">
        <f aca="false">(Sens!J11865*tk_hold_h100+Sens!J11866*tk_hold_gb200+Sens!J11867*tk_hold_gb300+Sens!J11868*tk_hold_vr200)/Sens!J11857</f>
        <v>11.5455817917599</v>
      </c>
      <c r="K11869" s="14" t="n">
        <f aca="false">(Sens!K11865*tk_hold_h100+Sens!K11866*tk_hold_gb200+Sens!K11867*tk_hold_gb300+Sens!K11868*tk_hold_vr200)/Sens!K11857</f>
        <v>11.8078187977246</v>
      </c>
    </row>
    <row r="11870" customFormat="false" ht="17.15" hidden="false" customHeight="false" outlineLevel="0" collapsed="false">
      <c r="A11870" s="0" t="s">
        <v>828</v>
      </c>
      <c r="B11870" s="0" t="s">
        <v>185</v>
      </c>
      <c r="C11870" s="14" t="n">
        <f aca="false">k_B</f>
        <v>1.17213932619116</v>
      </c>
      <c r="D11870" s="14" t="n">
        <f aca="false">k_B</f>
        <v>1.17213932619116</v>
      </c>
      <c r="E11870" s="14" t="n">
        <f aca="false">k_B</f>
        <v>1.17213932619116</v>
      </c>
      <c r="F11870" s="14" t="n">
        <f aca="false">(k_B+((ls_B*k_long+(1-ls_B)*k_spot)-k_B)*MIN(1,(Sens!F11855-base_fy)/k_ramp))</f>
        <v>1.17213932619116</v>
      </c>
      <c r="G11870" s="14" t="n">
        <f aca="false">(k_B+((ls_B*k_long+(1-ls_B)*k_spot)-k_B)*MIN(1,(Sens!G11855-base_fy)/k_ramp))</f>
        <v>1.17213932619116</v>
      </c>
      <c r="H11870" s="14" t="n">
        <f aca="false">(k_B+((ls_B*k_long+(1-ls_B)*k_spot)-k_B)*MIN(1,(Sens!H11855-base_fy)/k_ramp))</f>
        <v>1.17213932619116</v>
      </c>
      <c r="I11870" s="14" t="n">
        <f aca="false">(k_B+((ls_B*k_long+(1-ls_B)*k_spot)-k_B)*MIN(1,(Sens!I11855-base_fy)/k_ramp))</f>
        <v>1.17213932619116</v>
      </c>
      <c r="J11870" s="14" t="n">
        <f aca="false">(k_B+((ls_B*k_long+(1-ls_B)*k_spot)-k_B)*MIN(1,(Sens!J11855-base_fy)/k_ramp))</f>
        <v>1.17213932619116</v>
      </c>
      <c r="K11870" s="14" t="n">
        <f aca="false">(k_B+((ls_B*k_long+(1-ls_B)*k_spot)-k_B)*MIN(1,(Sens!K11855-base_fy)/k_ramp))</f>
        <v>1.17213932619116</v>
      </c>
      <c r="L11870" s="1" t="s">
        <v>829</v>
      </c>
    </row>
    <row r="11871" customFormat="false" ht="17.15" hidden="false" customHeight="false" outlineLevel="0" collapsed="false">
      <c r="A11871" s="1" t="s">
        <v>830</v>
      </c>
      <c r="B11871" s="0" t="s">
        <v>346</v>
      </c>
      <c r="C11871" s="14" t="n">
        <f aca="false">Sens!C11869*Sens!C11870*chip_f</f>
        <v>11.3973387156315</v>
      </c>
      <c r="D11871" s="14" t="n">
        <f aca="false">Sens!D11869*Sens!D11870*chip_f</f>
        <v>11.3973387156315</v>
      </c>
      <c r="E11871" s="14" t="n">
        <f aca="false">Sens!E11869*Sens!E11870*chip_f</f>
        <v>11.3973387156315</v>
      </c>
      <c r="F11871" s="14" t="n">
        <f aca="false">Sens!F11869*Sens!F11870*chip_f</f>
        <v>12.1995760756289</v>
      </c>
      <c r="G11871" s="14" t="n">
        <f aca="false">Sens!G11869*Sens!G11870*chip_f</f>
        <v>12.7045990965592</v>
      </c>
      <c r="H11871" s="14" t="n">
        <f aca="false">Sens!H11869*Sens!H11870*chip_f</f>
        <v>13.0472022091214</v>
      </c>
      <c r="I11871" s="14" t="n">
        <f aca="false">Sens!I11869*Sens!I11870*chip_f</f>
        <v>13.3148325820205</v>
      </c>
      <c r="J11871" s="14" t="n">
        <f aca="false">Sens!J11869*Sens!J11870*chip_f</f>
        <v>13.5330304618783</v>
      </c>
      <c r="K11871" s="14" t="n">
        <f aca="false">Sens!K11869*Sens!K11870*chip_f</f>
        <v>13.8404087693522</v>
      </c>
      <c r="L11871" s="1" t="s">
        <v>831</v>
      </c>
    </row>
    <row r="11872" customFormat="false" ht="17.15" hidden="false" customHeight="false" outlineLevel="0" collapsed="false">
      <c r="A11872" s="0" t="s">
        <v>832</v>
      </c>
      <c r="B11872" s="0" t="s">
        <v>98</v>
      </c>
      <c r="D11872" s="6" t="n">
        <f aca="false">(Sens!C11857+Sens!D11857)/2*Sens!D11871/1000</f>
        <v>12.9359794422418</v>
      </c>
      <c r="E11872" s="6" t="n">
        <f aca="false">(Sens!D11857+Sens!E11857)/2*Sens!E11871/1000</f>
        <v>27.8095064661409</v>
      </c>
      <c r="F11872" s="6" t="n">
        <f aca="false">(Sens!E11857+Sens!F11857)/2*Sens!F11871/1000</f>
        <v>55.0640065749585</v>
      </c>
      <c r="G11872" s="6" t="n">
        <f aca="false">(Sens!F11857+Sens!G11857)/2*Sens!G11871/1000</f>
        <v>89.4505413190538</v>
      </c>
      <c r="H11872" s="6" t="n">
        <f aca="false">(Sens!G11857+Sens!H11857)/2*Sens!H11871/1000</f>
        <v>124.835630736874</v>
      </c>
      <c r="I11872" s="6" t="n">
        <f aca="false">(Sens!H11857+Sens!I11857)/2*Sens!I11871/1000</f>
        <v>156.158460265485</v>
      </c>
      <c r="J11872" s="6" t="n">
        <f aca="false">(Sens!I11857+Sens!J11857)/2*Sens!J11871/1000</f>
        <v>178.259285293112</v>
      </c>
      <c r="K11872" s="6" t="n">
        <f aca="false">(Sens!J11857+Sens!K11857)/2*Sens!K11871/1000</f>
        <v>192.733290209798</v>
      </c>
      <c r="L11872" s="11" t="s">
        <v>833</v>
      </c>
    </row>
    <row r="11873" customFormat="false" ht="17.15" hidden="false" customHeight="false" outlineLevel="0" collapsed="false">
      <c r="A11873" s="1" t="s">
        <v>834</v>
      </c>
      <c r="B11873" s="0" t="s">
        <v>346</v>
      </c>
      <c r="C11873" s="14" t="n">
        <f aca="false">(Sens!C11865*tk_opex_h100+Sens!C11866*tk_opex_gb200+Sens!C11867*tk_opex_gb300+Sens!C11868*tk_opex_vr200)/Sens!C11857</f>
        <v>1.88636041306092</v>
      </c>
      <c r="D11873" s="14" t="n">
        <f aca="false">(Sens!D11865*tk_opex_h100+Sens!D11866*tk_opex_gb200+Sens!D11867*tk_opex_gb300+Sens!D11868*tk_opex_vr200)/Sens!D11857</f>
        <v>1.88636041306092</v>
      </c>
      <c r="E11873" s="14" t="n">
        <f aca="false">(Sens!E11865*tk_opex_h100+Sens!E11866*tk_opex_gb200+Sens!E11867*tk_opex_gb300+Sens!E11868*tk_opex_vr200)/Sens!E11857</f>
        <v>1.88636041306092</v>
      </c>
      <c r="F11873" s="14" t="n">
        <f aca="false">(Sens!F11865*tk_opex_h100+Sens!F11866*tk_opex_gb200+Sens!F11867*tk_opex_gb300+Sens!F11868*tk_opex_vr200)/Sens!F11857</f>
        <v>1.9430236476499</v>
      </c>
      <c r="G11873" s="14" t="n">
        <f aca="false">(Sens!G11865*tk_opex_h100+Sens!G11866*tk_opex_gb200+Sens!G11867*tk_opex_gb300+Sens!G11868*tk_opex_vr200)/Sens!G11857</f>
        <v>1.9786941852423</v>
      </c>
      <c r="H11873" s="14" t="n">
        <f aca="false">(Sens!H11865*tk_opex_h100+Sens!H11866*tk_opex_gb200+Sens!H11867*tk_opex_gb300+Sens!H11868*tk_opex_vr200)/Sens!H11857</f>
        <v>2.00289275976156</v>
      </c>
      <c r="I11873" s="14" t="n">
        <f aca="false">(Sens!I11865*tk_opex_h100+Sens!I11866*tk_opex_gb200+Sens!I11867*tk_opex_gb300+Sens!I11868*tk_opex_vr200)/Sens!I11857</f>
        <v>2.02179589661219</v>
      </c>
      <c r="J11873" s="14" t="n">
        <f aca="false">(Sens!J11865*tk_opex_h100+Sens!J11866*tk_opex_gb200+Sens!J11867*tk_opex_gb300+Sens!J11868*tk_opex_vr200)/Sens!J11857</f>
        <v>2.03720754193029</v>
      </c>
      <c r="K11873" s="14" t="n">
        <f aca="false">(Sens!K11865*tk_opex_h100+Sens!K11866*tk_opex_gb200+Sens!K11867*tk_opex_gb300+Sens!K11868*tk_opex_vr200)/Sens!K11857</f>
        <v>2.0589181353437</v>
      </c>
    </row>
    <row r="11874" customFormat="false" ht="17.15" hidden="false" customHeight="false" outlineLevel="0" collapsed="false">
      <c r="A11874" s="0" t="s">
        <v>835</v>
      </c>
      <c r="B11874" s="0" t="s">
        <v>98</v>
      </c>
      <c r="D11874" s="6" t="n">
        <f aca="false">(Sens!C11860+Sens!D11860)/2*Sens!D11873/1000</f>
        <v>2.70378325872065</v>
      </c>
      <c r="E11874" s="6" t="n">
        <f aca="false">(Sens!D11860+Sens!E11860)/2*Sens!E11873/1000</f>
        <v>6.17783035277451</v>
      </c>
      <c r="F11874" s="6" t="n">
        <f aca="false">(Sens!E11860+Sens!F11860)/2*Sens!F11873/1000</f>
        <v>12.5020618235287</v>
      </c>
      <c r="G11874" s="6" t="n">
        <f aca="false">(Sens!F11860+Sens!G11860)/2*Sens!G11873/1000</f>
        <v>20.7261620256847</v>
      </c>
      <c r="H11874" s="6" t="n">
        <f aca="false">(Sens!G11860+Sens!H11860)/2*Sens!H11873/1000</f>
        <v>29.4158183316982</v>
      </c>
      <c r="I11874" s="6" t="n">
        <f aca="false">(Sens!H11860+Sens!I11860)/2*Sens!I11873/1000</f>
        <v>36.9724400356344</v>
      </c>
      <c r="J11874" s="6" t="n">
        <f aca="false">(Sens!I11860+Sens!J11860)/2*Sens!J11873/1000</f>
        <v>42.1571687189816</v>
      </c>
      <c r="K11874" s="6" t="n">
        <f aca="false">(Sens!J11860+Sens!K11860)/2*Sens!K11873/1000</f>
        <v>45.1912095080704</v>
      </c>
    </row>
    <row r="11875" customFormat="false" ht="17.15" hidden="false" customHeight="false" outlineLevel="0" collapsed="false">
      <c r="A11875" s="0" t="s">
        <v>836</v>
      </c>
      <c r="B11875" s="0" t="s">
        <v>98</v>
      </c>
      <c r="D11875" s="6" t="n">
        <f aca="false">(Sens!C11858+Sens!D11858)/2*rent_mw/1000</f>
        <v>2.44475</v>
      </c>
      <c r="E11875" s="6" t="n">
        <f aca="false">(Sens!D11858+Sens!E11858)/2*rent_mw/1000</f>
        <v>4.22275</v>
      </c>
      <c r="F11875" s="6" t="n">
        <f aca="false">(Sens!E11858+Sens!F11858)/2*rent_mw/1000</f>
        <v>5.80517</v>
      </c>
      <c r="G11875" s="6" t="n">
        <f aca="false">(Sens!F11858+Sens!G11858)/2*rent_mw/1000</f>
        <v>6.72084</v>
      </c>
      <c r="H11875" s="6" t="n">
        <f aca="false">(Sens!G11858+Sens!H11858)/2*rent_mw/1000</f>
        <v>6.72084</v>
      </c>
      <c r="I11875" s="6" t="n">
        <f aca="false">(Sens!H11858+Sens!I11858)/2*rent_mw/1000</f>
        <v>6.72084</v>
      </c>
      <c r="J11875" s="6" t="n">
        <f aca="false">(Sens!I11858+Sens!J11858)/2*rent_mw/1000</f>
        <v>6.72084</v>
      </c>
      <c r="K11875" s="6" t="n">
        <f aca="false">(Sens!J11858+Sens!K11858)/2*rent_mw/1000</f>
        <v>6.72084</v>
      </c>
    </row>
    <row r="11876" customFormat="false" ht="17.15" hidden="false" customHeight="false" outlineLevel="0" collapsed="false">
      <c r="A11876" s="0" t="s">
        <v>837</v>
      </c>
      <c r="B11876" s="0" t="s">
        <v>98</v>
      </c>
      <c r="D11876" s="6" t="n">
        <f aca="false">(Sens!C11860+Sens!D11860)/2*(1-self_build)*fac_rent/1000</f>
        <v>0.853242375631075</v>
      </c>
      <c r="E11876" s="6" t="n">
        <f aca="false">(Sens!D11860+Sens!E11860)/2*(1-self_build)*fac_rent/1000</f>
        <v>1.94955961408728</v>
      </c>
      <c r="F11876" s="6" t="n">
        <f aca="false">(Sens!E11860+Sens!F11860)/2*(1-self_build)*fac_rent/1000</f>
        <v>3.83026455274573</v>
      </c>
      <c r="G11876" s="6" t="n">
        <f aca="false">(Sens!F11860+Sens!G11860)/2*(1-self_build)*fac_rent/1000</f>
        <v>6.23541590972812</v>
      </c>
      <c r="H11876" s="6" t="n">
        <f aca="false">(Sens!G11860+Sens!H11860)/2*(1-self_build)*fac_rent/1000</f>
        <v>8.74275792332679</v>
      </c>
      <c r="I11876" s="6" t="n">
        <f aca="false">(Sens!H11860+Sens!I11860)/2*(1-self_build)*fac_rent/1000</f>
        <v>10.8859420438599</v>
      </c>
      <c r="J11876" s="6" t="n">
        <f aca="false">(Sens!I11860+Sens!J11860)/2*(1-self_build)*fac_rent/1000</f>
        <v>12.3186006405366</v>
      </c>
      <c r="K11876" s="6" t="n">
        <f aca="false">(Sens!J11860+Sens!K11860)/2*(1-self_build)*fac_rent/1000</f>
        <v>13.0659232089824</v>
      </c>
      <c r="L11876" s="11" t="s">
        <v>838</v>
      </c>
    </row>
    <row r="11877" customFormat="false" ht="17.15" hidden="false" customHeight="false" outlineLevel="0" collapsed="false">
      <c r="A11877" s="1" t="s">
        <v>839</v>
      </c>
      <c r="B11877" s="0" t="s">
        <v>129</v>
      </c>
      <c r="D11877" s="7" t="n">
        <f aca="false">(Sens!C11859+Sens!D11859)/(Sens!C11860+Sens!D11860)</f>
        <v>0.6</v>
      </c>
      <c r="E11877" s="7" t="n">
        <f aca="false">(Sens!D11859+Sens!E11859)/(Sens!D11860+Sens!E11860)</f>
        <v>0.6</v>
      </c>
      <c r="F11877" s="7" t="n">
        <f aca="false">(Sens!E11859+Sens!F11859)/(Sens!E11860+Sens!F11860)</f>
        <v>0.6</v>
      </c>
      <c r="G11877" s="7" t="n">
        <f aca="false">(Sens!F11859+Sens!G11859)/(Sens!F11860+Sens!G11860)</f>
        <v>0.6</v>
      </c>
      <c r="H11877" s="7" t="n">
        <f aca="false">(Sens!G11859+Sens!H11859)/(Sens!G11860+Sens!H11860)</f>
        <v>0.6</v>
      </c>
      <c r="I11877" s="7" t="n">
        <f aca="false">(Sens!H11859+Sens!I11859)/(Sens!H11860+Sens!I11860)</f>
        <v>0.6</v>
      </c>
      <c r="J11877" s="7" t="n">
        <f aca="false">(Sens!I11859+Sens!J11859)/(Sens!I11860+Sens!J11860)</f>
        <v>0.6</v>
      </c>
      <c r="K11877" s="7" t="n">
        <f aca="false">(Sens!J11859+Sens!K11859)/(Sens!J11860+Sens!K11860)</f>
        <v>0.6</v>
      </c>
    </row>
    <row r="11878" customFormat="false" ht="17.15" hidden="false" customHeight="false" outlineLevel="0" collapsed="false">
      <c r="A11878" s="0" t="s">
        <v>840</v>
      </c>
      <c r="B11878" s="0" t="s">
        <v>98</v>
      </c>
      <c r="D11878" s="6" t="n">
        <f aca="false">Sens!D11872-Sens!D11877*(Sens!D11874+Sens!D11876)-Sens!D11875</f>
        <v>8.35701406163072</v>
      </c>
      <c r="E11878" s="6" t="n">
        <f aca="false">Sens!E11872-Sens!E11877*(Sens!E11874+Sens!E11876)-Sens!E11875</f>
        <v>18.7103224860238</v>
      </c>
      <c r="F11878" s="6" t="n">
        <f aca="false">Sens!F11872-Sens!F11877*(Sens!F11874+Sens!F11876)-Sens!F11875</f>
        <v>39.4594407491938</v>
      </c>
      <c r="G11878" s="6" t="n">
        <f aca="false">Sens!G11872-Sens!G11877*(Sens!G11874+Sens!G11876)-Sens!G11875</f>
        <v>66.5527545578061</v>
      </c>
      <c r="H11878" s="6" t="n">
        <f aca="false">Sens!H11872-Sens!H11877*(Sens!H11874+Sens!H11876)-Sens!H11875</f>
        <v>95.219644983859</v>
      </c>
      <c r="I11878" s="6" t="n">
        <f aca="false">Sens!I11872-Sens!I11877*(Sens!I11874+Sens!I11876)-Sens!I11875</f>
        <v>120.722591017788</v>
      </c>
      <c r="J11878" s="6" t="n">
        <f aca="false">Sens!J11872-Sens!J11877*(Sens!J11874+Sens!J11876)-Sens!J11875</f>
        <v>138.852983677401</v>
      </c>
      <c r="K11878" s="6" t="n">
        <f aca="false">Sens!K11872-Sens!K11877*(Sens!K11874+Sens!K11876)-Sens!K11875</f>
        <v>151.058170579566</v>
      </c>
    </row>
    <row r="11879" customFormat="false" ht="17.15" hidden="false" customHeight="false" outlineLevel="0" collapsed="false">
      <c r="A11879" s="1" t="s">
        <v>841</v>
      </c>
      <c r="B11879" s="0" t="s">
        <v>98</v>
      </c>
      <c r="D11879" s="6" t="n">
        <f aca="false">(1-Sens!D11877)*(Sens!D11874+Sens!D11876)</f>
        <v>1.42281025374069</v>
      </c>
      <c r="E11879" s="6" t="n">
        <f aca="false">(1-Sens!E11877)*(Sens!E11874+Sens!E11876)</f>
        <v>3.25095598674472</v>
      </c>
      <c r="F11879" s="6" t="n">
        <f aca="false">(1-Sens!F11877)*(Sens!F11874+Sens!F11876)</f>
        <v>6.53293055050977</v>
      </c>
      <c r="G11879" s="6" t="n">
        <f aca="false">(1-Sens!G11877)*(Sens!G11874+Sens!G11876)</f>
        <v>10.7846311741651</v>
      </c>
      <c r="H11879" s="6" t="n">
        <f aca="false">(1-Sens!H11877)*(Sens!H11874+Sens!H11876)</f>
        <v>15.26343050201</v>
      </c>
      <c r="I11879" s="6" t="n">
        <f aca="false">(1-Sens!I11877)*(Sens!I11874+Sens!I11876)</f>
        <v>19.1433528317977</v>
      </c>
      <c r="J11879" s="6" t="n">
        <f aca="false">(1-Sens!J11877)*(Sens!J11874+Sens!J11876)</f>
        <v>21.7903077438073</v>
      </c>
      <c r="K11879" s="6" t="n">
        <f aca="false">(1-Sens!K11877)*(Sens!K11874+Sens!K11876)</f>
        <v>23.3028530868211</v>
      </c>
    </row>
    <row r="11880" customFormat="false" ht="17.15" hidden="false" customHeight="false" outlineLevel="0" collapsed="false">
      <c r="A11880" s="1" t="s">
        <v>842</v>
      </c>
      <c r="B11880" s="0" t="s">
        <v>357</v>
      </c>
      <c r="C11880" s="8" t="n">
        <f aca="false">cxit_open</f>
        <v>27.5918995</v>
      </c>
      <c r="D11880" s="8" t="n">
        <f aca="false">cxit_open</f>
        <v>27.5918995</v>
      </c>
      <c r="E11880" s="8" t="n">
        <f aca="false">cxit_open</f>
        <v>27.5918995</v>
      </c>
      <c r="F11880" s="8" t="n">
        <f aca="false">(a_g3_27*tk_cxit_gb300+(1-a_g3_27)*tk_cxit_vr200)</f>
        <v>33.8419624</v>
      </c>
      <c r="G11880" s="8" t="n">
        <f aca="false">(a_g3_28*tk_cxit_gb300+(1-a_g3_28)*tk_cxit_vr200)</f>
        <v>35.9816136</v>
      </c>
      <c r="H11880" s="8" t="n">
        <f aca="false">(a_g3_29*tk_cxit_gb300+(1-a_g3_29)*tk_cxit_vr200)</f>
        <v>37.0514392</v>
      </c>
      <c r="I11880" s="8" t="n">
        <f aca="false">(a_g3_29*tk_cxit_gb300+(1-a_g3_29)*tk_cxit_vr200)</f>
        <v>37.0514392</v>
      </c>
      <c r="J11880" s="8" t="n">
        <f aca="false">(a_g3_29*tk_cxit_gb300+(1-a_g3_29)*tk_cxit_vr200)</f>
        <v>37.0514392</v>
      </c>
      <c r="K11880" s="8" t="n">
        <f aca="false">(a_g3_29*tk_cxit_gb300+(1-a_g3_29)*tk_cxit_vr200)</f>
        <v>37.0514392</v>
      </c>
      <c r="L11880" s="11" t="s">
        <v>843</v>
      </c>
    </row>
    <row r="11881" customFormat="false" ht="17.15" hidden="false" customHeight="false" outlineLevel="0" collapsed="false">
      <c r="A11881" s="0" t="s">
        <v>844</v>
      </c>
      <c r="B11881" s="0" t="s">
        <v>399</v>
      </c>
      <c r="F11881" s="29" t="n">
        <f aca="false">Sens!C11862*IF(Sens!F11855-Sens!C11855=life_it,1,0)+Sens!D11862*IF(Sens!F11855-Sens!D11855=life_it,1,0)+Sens!E11862*IF(Sens!F11855-Sens!E11855=life_it,1,0)</f>
        <v>0</v>
      </c>
      <c r="G11881" s="29" t="n">
        <f aca="false">Sens!C11862*IF(Sens!G11855-Sens!C11855=life_it,1,0)+Sens!D11862*IF(Sens!G11855-Sens!D11855=life_it,1,0)+Sens!E11862*IF(Sens!G11855-Sens!E11855=life_it,1,0)+Sens!F11862*IF(Sens!G11855-Sens!F11855=life_it,1,0)</f>
        <v>0</v>
      </c>
      <c r="H11881" s="29" t="n">
        <f aca="false">Sens!C11862*IF(Sens!H11855-Sens!C11855=life_it,1,0)+Sens!D11862*IF(Sens!H11855-Sens!D11855=life_it,1,0)+Sens!E11862*IF(Sens!H11855-Sens!E11855=life_it,1,0)+Sens!F11862*IF(Sens!H11855-Sens!F11855=life_it,1,0)+Sens!G11862*IF(Sens!H11855-Sens!G11855=life_it,1,0)</f>
        <v>0</v>
      </c>
      <c r="I11881" s="29" t="n">
        <f aca="false">Sens!C11862*IF(Sens!I11855-Sens!C11855=life_it,1,0)+Sens!D11862*IF(Sens!I11855-Sens!D11855=life_it,1,0)+Sens!E11862*IF(Sens!I11855-Sens!E11855=life_it,1,0)+Sens!F11862*IF(Sens!I11855-Sens!F11855=life_it,1,0)+Sens!G11862*IF(Sens!I11855-Sens!G11855=life_it,1,0)+Sens!H11862*IF(Sens!I11855-Sens!H11855=life_it,1,0)</f>
        <v>816.666666666667</v>
      </c>
      <c r="J11881" s="29" t="n">
        <f aca="false">Sens!C11862*IF(Sens!J11855-Sens!C11855=life_it,1,0)+Sens!D11862*IF(Sens!J11855-Sens!D11855=life_it,1,0)+Sens!E11862*IF(Sens!J11855-Sens!E11855=life_it,1,0)+Sens!F11862*IF(Sens!J11855-Sens!F11855=life_it,1,0)+Sens!G11862*IF(Sens!J11855-Sens!G11855=life_it,1,0)+Sens!H11862*IF(Sens!J11855-Sens!H11855=life_it,1,0)+Sens!I11862*IF(Sens!J11855-Sens!I11855=life_it,1,0)</f>
        <v>1233.33333333333</v>
      </c>
      <c r="K11881" s="29" t="n">
        <f aca="false">Sens!C11862*IF(Sens!K11855-Sens!C11855=life_it,1,0)+Sens!D11862*IF(Sens!K11855-Sens!D11855=life_it,1,0)+Sens!E11862*IF(Sens!K11855-Sens!E11855=life_it,1,0)+Sens!F11862*IF(Sens!K11855-Sens!F11855=life_it,1,0)+Sens!G11862*IF(Sens!K11855-Sens!G11855=life_it,1,0)+Sens!H11862*IF(Sens!K11855-Sens!H11855=life_it,1,0)+Sens!I11862*IF(Sens!K11855-Sens!I11855=life_it,1,0)+Sens!J11862*IF(Sens!K11855-Sens!J11855=life_it,1,0)</f>
        <v>2450</v>
      </c>
      <c r="L11881" s="1" t="s">
        <v>845</v>
      </c>
    </row>
    <row r="11882" customFormat="false" ht="17.15" hidden="false" customHeight="false" outlineLevel="0" collapsed="false">
      <c r="A11882" s="0" t="s">
        <v>846</v>
      </c>
      <c r="B11882" s="0" t="s">
        <v>98</v>
      </c>
      <c r="C11882" s="6" t="n">
        <f aca="false">Sens!C11862*Sens!C11880/1000</f>
        <v>22.5333845916667</v>
      </c>
      <c r="D11882" s="6" t="n">
        <f aca="false">Sens!D11862*Sens!D11880/1000</f>
        <v>34.0300093833333</v>
      </c>
      <c r="E11882" s="6" t="n">
        <f aca="false">Sens!E11862*Sens!E11880/1000</f>
        <v>67.600153775</v>
      </c>
      <c r="F11882" s="6" t="n">
        <f aca="false">(Sens!F11862+Sens!F11881)*Sens!F11880/1000</f>
        <v>130.923271871467</v>
      </c>
      <c r="G11882" s="6" t="n">
        <f aca="false">(Sens!G11862+Sens!G11881)*Sens!G11880/1000</f>
        <v>151.5545564832</v>
      </c>
      <c r="H11882" s="6" t="n">
        <f aca="false">(Sens!H11862+Sens!H11881)*Sens!H11880/1000</f>
        <v>156.0606619104</v>
      </c>
      <c r="I11882" s="6" t="n">
        <f aca="false">(Sens!I11862+Sens!I11881)*Sens!I11880/1000</f>
        <v>140.987889434245</v>
      </c>
      <c r="J11882" s="6" t="n">
        <f aca="false">(Sens!J11862+Sens!J11881)*Sens!J11880/1000</f>
        <v>113.309125559842</v>
      </c>
      <c r="K11882" s="6" t="n">
        <f aca="false">(Sens!K11862+Sens!K11881)*Sens!K11880/1000</f>
        <v>116.192591420959</v>
      </c>
    </row>
    <row r="11883" customFormat="false" ht="17.15" hidden="false" customHeight="false" outlineLevel="0" collapsed="false">
      <c r="A11883" s="0" t="s">
        <v>847</v>
      </c>
      <c r="B11883" s="0" t="s">
        <v>98</v>
      </c>
      <c r="C11883" s="6" t="n">
        <f aca="false">Sens!C11862*self_build*tk_cxfac/1000</f>
        <v>6.2083</v>
      </c>
      <c r="D11883" s="6" t="n">
        <f aca="false">Sens!D11862*self_build*tk_cxfac/1000</f>
        <v>9.3758</v>
      </c>
      <c r="E11883" s="6" t="n">
        <f aca="false">Sens!E11862*self_build*tk_cxfac/1000</f>
        <v>18.6249</v>
      </c>
      <c r="F11883" s="6" t="n">
        <f aca="false">Sens!F11862*self_build*tk_cxfac/1000</f>
        <v>29.409604</v>
      </c>
      <c r="G11883" s="6" t="n">
        <f aca="false">Sens!G11862*self_build*tk_cxfac/1000</f>
        <v>32.019624</v>
      </c>
      <c r="H11883" s="6" t="n">
        <f aca="false">Sens!H11862*self_build*tk_cxfac/1000</f>
        <v>32.019624</v>
      </c>
      <c r="I11883" s="6" t="n">
        <f aca="false">Sens!I11862*self_build*tk_cxfac/1000</f>
        <v>22.71877972</v>
      </c>
      <c r="J11883" s="6" t="n">
        <f aca="false">Sens!J11862*self_build*tk_cxfac/1000</f>
        <v>13.8723110344</v>
      </c>
      <c r="K11883" s="6" t="n">
        <f aca="false">Sens!K11862*self_build*tk_cxfac/1000</f>
        <v>5.214823882632</v>
      </c>
    </row>
    <row r="11884" customFormat="false" ht="17.15" hidden="false" customHeight="false" outlineLevel="0" collapsed="false">
      <c r="A11884" s="0" t="s">
        <v>848</v>
      </c>
      <c r="B11884" s="0" t="s">
        <v>98</v>
      </c>
      <c r="F11884" s="6" t="n">
        <f aca="false">MAX(0,capex_floor27-Sens!F11882-Sens!F11883-Sens!F11978)</f>
        <v>8.28777689897088</v>
      </c>
    </row>
    <row r="11885" customFormat="false" ht="17.15" hidden="false" customHeight="false" outlineLevel="0" collapsed="false">
      <c r="A11885" s="0" t="s">
        <v>849</v>
      </c>
      <c r="B11885" s="0" t="s">
        <v>98</v>
      </c>
      <c r="C11885" s="6" t="n">
        <f aca="false">Sens!C11882</f>
        <v>22.5333845916667</v>
      </c>
      <c r="D11885" s="6" t="n">
        <f aca="false">Sens!D11882</f>
        <v>34.0300093833333</v>
      </c>
      <c r="E11885" s="6" t="n">
        <f aca="false">Sens!E11882</f>
        <v>67.600153775</v>
      </c>
      <c r="F11885" s="6" t="n">
        <f aca="false">Sens!F11882</f>
        <v>130.923271871467</v>
      </c>
      <c r="G11885" s="6" t="n">
        <f aca="false">Sens!G11882</f>
        <v>151.5545564832</v>
      </c>
      <c r="H11885" s="6" t="n">
        <f aca="false">Sens!H11882</f>
        <v>156.0606619104</v>
      </c>
      <c r="I11885" s="6" t="n">
        <f aca="false">Sens!I11882</f>
        <v>140.987889434245</v>
      </c>
      <c r="J11885" s="6" t="n">
        <f aca="false">Sens!J11882</f>
        <v>113.309125559842</v>
      </c>
      <c r="K11885" s="6" t="n">
        <f aca="false">Sens!K11882</f>
        <v>116.192591420959</v>
      </c>
    </row>
    <row r="11886" customFormat="false" ht="17.15" hidden="false" customHeight="false" outlineLevel="0" collapsed="false">
      <c r="A11886" s="0" t="s">
        <v>850</v>
      </c>
      <c r="B11886" s="0" t="s">
        <v>98</v>
      </c>
      <c r="C11886" s="6" t="n">
        <f aca="false">Sens!C11885+Sens!C11883</f>
        <v>28.7416845916667</v>
      </c>
      <c r="D11886" s="6" t="n">
        <f aca="false">Sens!D11885+Sens!D11883</f>
        <v>43.4058093833333</v>
      </c>
      <c r="E11886" s="6" t="n">
        <f aca="false">Sens!E11885+Sens!E11883</f>
        <v>86.225053775</v>
      </c>
      <c r="F11886" s="6" t="n">
        <f aca="false">Sens!F11885+Sens!F11883</f>
        <v>160.332875871467</v>
      </c>
      <c r="G11886" s="6" t="n">
        <f aca="false">Sens!G11885+Sens!G11883</f>
        <v>183.5741804832</v>
      </c>
      <c r="H11886" s="6" t="n">
        <f aca="false">Sens!H11885+Sens!H11883</f>
        <v>188.0802859104</v>
      </c>
      <c r="I11886" s="6" t="n">
        <f aca="false">Sens!I11885+Sens!I11883</f>
        <v>163.706669154245</v>
      </c>
      <c r="J11886" s="6" t="n">
        <f aca="false">Sens!J11885+Sens!J11883</f>
        <v>127.181436594242</v>
      </c>
      <c r="K11886" s="6" t="n">
        <f aca="false">Sens!K11885+Sens!K11883</f>
        <v>121.407415303591</v>
      </c>
      <c r="L11886" s="11" t="s">
        <v>851</v>
      </c>
    </row>
    <row r="11887" customFormat="false" ht="17.15" hidden="false" customHeight="false" outlineLevel="0" collapsed="false">
      <c r="A11887" s="0" t="s">
        <v>852</v>
      </c>
      <c r="B11887" s="0" t="s">
        <v>98</v>
      </c>
      <c r="E11887" s="6" t="n">
        <f aca="false">(Sens!C11885*IF(2&lt;life_it,1,IF(2=life_it,0.5,0))+Sens!D11885*IF(1&lt;life_it,1,IF(1=life_it,0.5,0))+Sens!E11885*0.5)/life_it</f>
        <v>15.0605784770833</v>
      </c>
      <c r="F11887" s="6" t="n">
        <f aca="false">(Sens!C11885*IF(3&lt;life_it,1,IF(3=life_it,0.5,0))+Sens!D11885*IF(2&lt;life_it,1,IF(2=life_it,0.5,0))+Sens!E11885*IF(1&lt;life_it,1,IF(1=life_it,0.5,0))+Sens!F11885*0.5)/life_it</f>
        <v>31.6041972809556</v>
      </c>
      <c r="G11887" s="6" t="n">
        <f aca="false">(Sens!C11885*IF(4&lt;life_it,1,IF(4=life_it,0.5,0))+Sens!D11885*IF(3&lt;life_it,1,IF(3=life_it,0.5,0))+Sens!E11885*IF(2&lt;life_it,1,IF(2=life_it,0.5,0))+Sens!F11885*IF(1&lt;life_it,1,IF(1=life_it,0.5,0))+Sens!G11885*0.5)/life_it</f>
        <v>55.1440163105111</v>
      </c>
      <c r="H11887" s="6" t="n">
        <f aca="false">(Sens!C11885*IF(5&lt;life_it,1,IF(5=life_it,0.5,0))+Sens!D11885*IF(4&lt;life_it,1,IF(4=life_it,0.5,0))+Sens!E11885*IF(3&lt;life_it,1,IF(3=life_it,0.5,0))+Sens!F11885*IF(2&lt;life_it,1,IF(2=life_it,0.5,0))+Sens!G11885*IF(1&lt;life_it,1,IF(1=life_it,0.5,0))+Sens!H11885*0.5)/life_it</f>
        <v>80.7786178433111</v>
      </c>
      <c r="I11887" s="6" t="n">
        <f aca="false">(Sens!C11885*IF(6&lt;life_it,1,IF(6=life_it,0.5,0))+Sens!D11885*IF(5&lt;life_it,1,IF(5=life_it,0.5,0))+Sens!E11885*IF(4&lt;life_it,1,IF(4=life_it,0.5,0))+Sens!F11885*IF(3&lt;life_it,1,IF(3=life_it,0.5,0))+Sens!G11885*IF(2&lt;life_it,1,IF(2=life_it,0.5,0))+Sens!H11885*IF(1&lt;life_it,1,IF(1=life_it,0.5,0))+Sens!I11885*0.5)/life_it</f>
        <v>103.654881739393</v>
      </c>
      <c r="J11887" s="6" t="n">
        <f aca="false">(Sens!C11885*IF(7&lt;life_it,1,IF(7=life_it,0.5,0))+Sens!D11885*IF(6&lt;life_it,1,IF(6=life_it,0.5,0))+Sens!E11885*IF(5&lt;life_it,1,IF(5=life_it,0.5,0))+Sens!F11885*IF(4&lt;life_it,1,IF(4=life_it,0.5,0))+Sens!G11885*IF(3&lt;life_it,1,IF(3=life_it,0.5,0))+Sens!H11885*IF(2&lt;life_it,1,IF(2=life_it,0.5,0))+Sens!I11885*IF(1&lt;life_it,1,IF(1=life_it,0.5,0))+Sens!J11885*0.5)/life_it</f>
        <v>120.132683490983</v>
      </c>
      <c r="K11887" s="6" t="n">
        <f aca="false">(Sens!C11885*IF(8&lt;life_it,1,IF(8=life_it,0.5,0))+Sens!D11885*IF(7&lt;life_it,1,IF(7=life_it,0.5,0))+Sens!E11885*IF(6&lt;life_it,1,IF(6=life_it,0.5,0))+Sens!F11885*IF(5&lt;life_it,1,IF(5=life_it,0.5,0))+Sens!G11885*IF(4&lt;life_it,1,IF(4=life_it,0.5,0))+Sens!H11885*IF(3&lt;life_it,1,IF(3=life_it,0.5,0))+Sens!I11885*IF(2&lt;life_it,1,IF(2=life_it,0.5,0))+Sens!J11885*IF(1&lt;life_it,1,IF(1=life_it,0.5,0))+Sens!K11885*0.5)/life_it</f>
        <v>130.788646309522</v>
      </c>
    </row>
    <row r="11888" customFormat="false" ht="17.15" hidden="false" customHeight="false" outlineLevel="0" collapsed="false">
      <c r="A11888" s="0" t="s">
        <v>853</v>
      </c>
      <c r="B11888" s="0" t="s">
        <v>98</v>
      </c>
      <c r="E11888" s="6" t="n">
        <f aca="false">(Sens!C11883*IF(2&lt;life_fac,1,IF(2=life_fac,0.5,0))+Sens!D11883*IF(1&lt;life_fac,1,IF(1=life_fac,0.5,0))+Sens!E11883*0.5)/life_fac</f>
        <v>1.2448275</v>
      </c>
      <c r="F11888" s="6" t="n">
        <f aca="false">(Sens!C11883*IF(3&lt;life_fac,1,IF(3=life_fac,0.5,0))+Sens!D11883*IF(2&lt;life_fac,1,IF(2=life_fac,0.5,0))+Sens!E11883*IF(1&lt;life_fac,1,IF(1=life_fac,0.5,0))+Sens!F11883*0.5)/life_fac</f>
        <v>2.4456901</v>
      </c>
      <c r="G11888" s="6" t="n">
        <f aca="false">(Sens!C11883*IF(4&lt;life_fac,1,IF(4=life_fac,0.5,0))+Sens!D11883*IF(3&lt;life_fac,1,IF(3=life_fac,0.5,0))+Sens!E11883*IF(2&lt;life_fac,1,IF(2=life_fac,0.5,0))+Sens!F11883*IF(1&lt;life_fac,1,IF(1=life_fac,0.5,0))+Sens!G11883*0.5)/life_fac</f>
        <v>3.9814208</v>
      </c>
      <c r="H11888" s="6" t="n">
        <f aca="false">(Sens!C11883*IF(5&lt;life_fac,1,IF(5=life_fac,0.5,0))+Sens!D11883*IF(4&lt;life_fac,1,IF(4=life_fac,0.5,0))+Sens!E11883*IF(3&lt;life_fac,1,IF(3=life_fac,0.5,0))+Sens!F11883*IF(2&lt;life_fac,1,IF(2=life_fac,0.5,0))+Sens!G11883*IF(1&lt;life_fac,1,IF(1=life_fac,0.5,0))+Sens!H11883*0.5)/life_fac</f>
        <v>5.582402</v>
      </c>
      <c r="I11888" s="6" t="n">
        <f aca="false">(Sens!C11883*IF(6&lt;life_fac,1,IF(6=life_fac,0.5,0))+Sens!D11883*IF(5&lt;life_fac,1,IF(5=life_fac,0.5,0))+Sens!E11883*IF(4&lt;life_fac,1,IF(4=life_fac,0.5,0))+Sens!F11883*IF(3&lt;life_fac,1,IF(3=life_fac,0.5,0))+Sens!G11883*IF(2&lt;life_fac,1,IF(2=life_fac,0.5,0))+Sens!H11883*IF(1&lt;life_fac,1,IF(1=life_fac,0.5,0))+Sens!I11883*0.5)/life_fac</f>
        <v>6.950862093</v>
      </c>
      <c r="J11888" s="6" t="n">
        <f aca="false">(Sens!C11883*IF(7&lt;life_fac,1,IF(7=life_fac,0.5,0))+Sens!D11883*IF(6&lt;life_fac,1,IF(6=life_fac,0.5,0))+Sens!E11883*IF(5&lt;life_fac,1,IF(5=life_fac,0.5,0))+Sens!F11883*IF(4&lt;life_fac,1,IF(4=life_fac,0.5,0))+Sens!G11883*IF(3&lt;life_fac,1,IF(3=life_fac,0.5,0))+Sens!H11883*IF(2&lt;life_fac,1,IF(2=life_fac,0.5,0))+Sens!I11883*IF(1&lt;life_fac,1,IF(1=life_fac,0.5,0))+Sens!J11883*0.5)/life_fac</f>
        <v>7.86563936186</v>
      </c>
      <c r="K11888" s="6" t="n">
        <f aca="false">(Sens!C11883*IF(8&lt;life_fac,1,IF(8=life_fac,0.5,0))+Sens!D11883*IF(7&lt;life_fac,1,IF(7=life_fac,0.5,0))+Sens!E11883*IF(6&lt;life_fac,1,IF(6=life_fac,0.5,0))+Sens!F11883*IF(5&lt;life_fac,1,IF(5=life_fac,0.5,0))+Sens!G11883*IF(4&lt;life_fac,1,IF(4=life_fac,0.5,0))+Sens!H11883*IF(3&lt;life_fac,1,IF(3=life_fac,0.5,0))+Sens!I11883*IF(2&lt;life_fac,1,IF(2=life_fac,0.5,0))+Sens!J11883*IF(1&lt;life_fac,1,IF(1=life_fac,0.5,0))+Sens!K11883*0.5)/life_fac</f>
        <v>8.3428177347858</v>
      </c>
    </row>
    <row r="11889" customFormat="false" ht="17.15" hidden="false" customHeight="false" outlineLevel="0" collapsed="false">
      <c r="A11889" s="0" t="s">
        <v>854</v>
      </c>
      <c r="B11889" s="0" t="s">
        <v>98</v>
      </c>
      <c r="E11889" s="6" t="n">
        <f aca="false">Sens!E11887+Sens!E11888</f>
        <v>16.3054059770833</v>
      </c>
      <c r="F11889" s="6" t="n">
        <f aca="false">Sens!F11887+Sens!F11888</f>
        <v>34.0498873809555</v>
      </c>
      <c r="G11889" s="6" t="n">
        <f aca="false">Sens!G11887+Sens!G11888</f>
        <v>59.1254371105111</v>
      </c>
      <c r="H11889" s="6" t="n">
        <f aca="false">Sens!H11887+Sens!H11888</f>
        <v>86.3610198433111</v>
      </c>
      <c r="I11889" s="6" t="n">
        <f aca="false">Sens!I11887+Sens!I11888</f>
        <v>110.605743832393</v>
      </c>
      <c r="J11889" s="6" t="n">
        <f aca="false">Sens!J11887+Sens!J11888</f>
        <v>127.998322852843</v>
      </c>
      <c r="K11889" s="6" t="n">
        <f aca="false">Sens!K11887+Sens!K11888</f>
        <v>139.131464044308</v>
      </c>
    </row>
    <row r="11890" customFormat="false" ht="17.15" hidden="false" customHeight="false" outlineLevel="0" collapsed="false">
      <c r="A11890" s="0" t="s">
        <v>855</v>
      </c>
      <c r="B11890" s="0" t="s">
        <v>98</v>
      </c>
      <c r="E11890" s="6" t="n">
        <f aca="false">Sens!E11878-Sens!E11877*Sens!E11889</f>
        <v>8.92707889977379</v>
      </c>
      <c r="F11890" s="6" t="n">
        <f aca="false">Sens!F11878-Sens!F11877*Sens!F11889</f>
        <v>19.0295083206205</v>
      </c>
      <c r="G11890" s="6" t="n">
        <f aca="false">Sens!G11878-Sens!G11877*Sens!G11889</f>
        <v>31.0774922914994</v>
      </c>
      <c r="H11890" s="6" t="n">
        <f aca="false">Sens!H11878-Sens!H11877*Sens!H11889</f>
        <v>43.4030330778723</v>
      </c>
      <c r="I11890" s="6" t="n">
        <f aca="false">Sens!I11878-Sens!I11877*Sens!I11889</f>
        <v>54.3591447183526</v>
      </c>
      <c r="J11890" s="6" t="n">
        <f aca="false">Sens!J11878-Sens!J11877*Sens!J11889</f>
        <v>62.0539899656947</v>
      </c>
      <c r="K11890" s="6" t="n">
        <f aca="false">Sens!K11878-Sens!K11877*Sens!K11889</f>
        <v>67.5792921529812</v>
      </c>
    </row>
    <row r="11891" customFormat="false" ht="17.15" hidden="false" customHeight="false" outlineLevel="0" collapsed="false">
      <c r="A11891" s="3" t="s">
        <v>1568</v>
      </c>
    </row>
    <row r="11892" customFormat="false" ht="15" hidden="false" customHeight="false" outlineLevel="0" collapsed="false">
      <c r="A11892" s="4" t="s">
        <v>43</v>
      </c>
      <c r="B11892" s="4" t="s">
        <v>65</v>
      </c>
      <c r="C11892" s="20" t="s">
        <v>799</v>
      </c>
      <c r="D11892" s="20" t="s">
        <v>800</v>
      </c>
      <c r="E11892" s="20" t="s">
        <v>801</v>
      </c>
      <c r="F11892" s="20" t="s">
        <v>802</v>
      </c>
      <c r="G11892" s="20" t="s">
        <v>803</v>
      </c>
      <c r="H11892" s="20" t="s">
        <v>804</v>
      </c>
      <c r="I11892" s="20" t="s">
        <v>805</v>
      </c>
      <c r="J11892" s="20" t="s">
        <v>806</v>
      </c>
      <c r="K11892" s="20" t="s">
        <v>807</v>
      </c>
      <c r="L11892" s="4" t="s">
        <v>47</v>
      </c>
    </row>
    <row r="11893" customFormat="false" ht="17.15" hidden="false" customHeight="false" outlineLevel="0" collapsed="false">
      <c r="A11893" s="0" t="s">
        <v>874</v>
      </c>
      <c r="B11893" s="0" t="s">
        <v>98</v>
      </c>
      <c r="D11893" s="6" t="n">
        <f aca="false">Sens!D11872</f>
        <v>12.9359794422418</v>
      </c>
      <c r="E11893" s="6" t="n">
        <f aca="false">Sens!E11872</f>
        <v>27.8095064661409</v>
      </c>
      <c r="F11893" s="6" t="n">
        <f aca="false">Sens!F11872</f>
        <v>55.0640065749585</v>
      </c>
      <c r="G11893" s="6" t="n">
        <f aca="false">Sens!G11872</f>
        <v>89.4505413190538</v>
      </c>
      <c r="H11893" s="6" t="n">
        <f aca="false">Sens!H11872</f>
        <v>124.835630736874</v>
      </c>
      <c r="I11893" s="6" t="n">
        <f aca="false">Sens!I11872</f>
        <v>156.158460265485</v>
      </c>
      <c r="J11893" s="6" t="n">
        <f aca="false">Sens!J11872</f>
        <v>178.259285293112</v>
      </c>
      <c r="K11893" s="6" t="n">
        <f aca="false">Sens!K11872</f>
        <v>192.733290209798</v>
      </c>
    </row>
    <row r="11894" customFormat="false" ht="17.15" hidden="false" customHeight="false" outlineLevel="0" collapsed="false">
      <c r="A11894" s="0" t="s">
        <v>875</v>
      </c>
      <c r="B11894" s="0" t="s">
        <v>98</v>
      </c>
      <c r="D11894" s="6" t="n">
        <f aca="false">Q!L6-Sens!D11893</f>
        <v>59.6740205577583</v>
      </c>
      <c r="E11894" s="6" t="n">
        <f aca="false">Q!M6-Sens!E11893</f>
        <v>74.1284935338591</v>
      </c>
      <c r="F11894" s="6" t="n">
        <f aca="false">Sens!E11894*(1+Sens!F11895)</f>
        <v>90.0799497373663</v>
      </c>
      <c r="G11894" s="6" t="n">
        <f aca="false">Sens!F11894*(1+Sens!G11895)</f>
        <v>107.02842520331</v>
      </c>
      <c r="H11894" s="6" t="n">
        <f aca="false">Sens!G11894*(1+Sens!H11895)</f>
        <v>124.271982585636</v>
      </c>
      <c r="I11894" s="6" t="n">
        <f aca="false">Sens!H11894*(1+Sens!I11895)</f>
        <v>140.933702381855</v>
      </c>
      <c r="J11894" s="6" t="n">
        <f aca="false">Sens!I11894*(1+Sens!J11895)</f>
        <v>156.018867314332</v>
      </c>
      <c r="K11894" s="6" t="n">
        <f aca="false">Sens!J11894*(1+Sens!K11895)</f>
        <v>168.500376699478</v>
      </c>
    </row>
    <row r="11895" customFormat="false" ht="15" hidden="false" customHeight="false" outlineLevel="0" collapsed="false">
      <c r="A11895" s="1" t="s">
        <v>876</v>
      </c>
      <c r="B11895" s="0" t="s">
        <v>129</v>
      </c>
      <c r="E11895" s="7" t="n">
        <f aca="false">Sens!E11894/Sens!D11894-1</f>
        <v>0.242223883039864</v>
      </c>
      <c r="F11895" s="7" t="n">
        <f aca="false">Sens!$E$11895+(glt_azo-Sens!$E$11895)*MIN(1,(Sens!F11855-base_fy)/n_conv)</f>
        <v>0.215186569199887</v>
      </c>
      <c r="G11895" s="7" t="n">
        <f aca="false">Sens!$E$11895+(glt_azo-Sens!$E$11895)*MIN(1,(Sens!G11855-base_fy)/n_conv)</f>
        <v>0.18814925535991</v>
      </c>
      <c r="H11895" s="7" t="n">
        <f aca="false">Sens!$E$11895+(glt_azo-Sens!$E$11895)*MIN(1,(Sens!H11855-base_fy)/n_conv)</f>
        <v>0.161111941519932</v>
      </c>
      <c r="I11895" s="7" t="n">
        <f aca="false">Sens!$E$11895+(glt_azo-Sens!$E$11895)*MIN(1,(Sens!I11855-base_fy)/n_conv)</f>
        <v>0.134074627679955</v>
      </c>
      <c r="J11895" s="7" t="n">
        <f aca="false">Sens!$E$11895+(glt_azo-Sens!$E$11895)*MIN(1,(Sens!J11855-base_fy)/n_conv)</f>
        <v>0.107037313839977</v>
      </c>
      <c r="K11895" s="7" t="n">
        <f aca="false">Sens!$E$11895+(glt_azo-Sens!$E$11895)*MIN(1,(Sens!K11855-base_fy)/n_conv)</f>
        <v>0.08</v>
      </c>
    </row>
    <row r="11896" customFormat="false" ht="15" hidden="false" customHeight="false" outlineLevel="0" collapsed="false">
      <c r="A11896" s="0" t="s">
        <v>877</v>
      </c>
      <c r="B11896" s="0" t="s">
        <v>98</v>
      </c>
      <c r="D11896" s="6" t="n">
        <f aca="false">Sens!D11893+Sens!D11894</f>
        <v>72.61</v>
      </c>
      <c r="E11896" s="6" t="n">
        <f aca="false">Sens!E11893+Sens!E11894</f>
        <v>101.938</v>
      </c>
      <c r="F11896" s="6" t="n">
        <f aca="false">Sens!F11893+Sens!F11894</f>
        <v>145.143956312325</v>
      </c>
      <c r="G11896" s="6" t="n">
        <f aca="false">Sens!G11893+Sens!G11894</f>
        <v>196.478966522364</v>
      </c>
      <c r="H11896" s="6" t="n">
        <f aca="false">Sens!H11893+Sens!H11894</f>
        <v>249.10761332251</v>
      </c>
      <c r="I11896" s="6" t="n">
        <f aca="false">Sens!I11893+Sens!I11894</f>
        <v>297.09216264734</v>
      </c>
      <c r="J11896" s="6" t="n">
        <f aca="false">Sens!J11893+Sens!J11894</f>
        <v>334.278152607443</v>
      </c>
      <c r="K11896" s="6" t="n">
        <f aca="false">Sens!K11893+Sens!K11894</f>
        <v>361.233666909276</v>
      </c>
    </row>
    <row r="11897" customFormat="false" ht="17.15" hidden="false" customHeight="false" outlineLevel="0" collapsed="false">
      <c r="A11897" s="0" t="s">
        <v>878</v>
      </c>
      <c r="B11897" s="1" t="s">
        <v>528</v>
      </c>
      <c r="C11897" s="29" t="n">
        <f aca="false">cop_s24</f>
        <v>1</v>
      </c>
      <c r="D11897" s="29" t="n">
        <f aca="false">cop_s25</f>
        <v>5</v>
      </c>
      <c r="E11897" s="29" t="n">
        <f aca="false">cop_s26</f>
        <v>30</v>
      </c>
      <c r="F11897" s="29" t="n">
        <f aca="false">Sens!E11897+cop_add_B</f>
        <v>50</v>
      </c>
      <c r="G11897" s="29" t="n">
        <f aca="false">Sens!F11897+cop_add_B</f>
        <v>70</v>
      </c>
      <c r="H11897" s="29" t="n">
        <f aca="false">Sens!G11897+cop_add_B</f>
        <v>90</v>
      </c>
      <c r="I11897" s="29" t="n">
        <f aca="false">Sens!H11897+cop_add_B*cop_tail</f>
        <v>100</v>
      </c>
      <c r="J11897" s="29" t="n">
        <f aca="false">Sens!I11897+cop_add_B*cop_tail</f>
        <v>110</v>
      </c>
      <c r="K11897" s="29" t="n">
        <f aca="false">Sens!J11897+cop_add_B*cop_tail</f>
        <v>120</v>
      </c>
      <c r="L11897" s="11" t="s">
        <v>879</v>
      </c>
    </row>
    <row r="11898" customFormat="false" ht="17.15" hidden="false" customHeight="false" outlineLevel="0" collapsed="false">
      <c r="A11898" s="0" t="s">
        <v>880</v>
      </c>
      <c r="B11898" s="0" t="s">
        <v>98</v>
      </c>
      <c r="D11898" s="6" t="n">
        <f aca="false">(Sens!C11897+Sens!D11897)/2*cop_px*12/1000</f>
        <v>0.9</v>
      </c>
      <c r="E11898" s="6" t="n">
        <f aca="false">(Sens!D11897+Sens!E11897)/2*cop_px*12/1000</f>
        <v>5.25</v>
      </c>
      <c r="F11898" s="6" t="n">
        <f aca="false">(Sens!E11897+Sens!F11897)/2*cop_px*12/1000</f>
        <v>12</v>
      </c>
      <c r="G11898" s="6" t="n">
        <f aca="false">(Sens!F11897+Sens!G11897)/2*cop_px*12/1000</f>
        <v>18</v>
      </c>
      <c r="H11898" s="6" t="n">
        <f aca="false">(Sens!G11897+Sens!H11897)/2*cop_px*12/1000</f>
        <v>24</v>
      </c>
      <c r="I11898" s="6" t="n">
        <f aca="false">(Sens!H11897+Sens!I11897)/2*cop_px*12/1000</f>
        <v>28.5</v>
      </c>
      <c r="J11898" s="6" t="n">
        <f aca="false">(Sens!I11897+Sens!J11897)/2*cop_px*12/1000</f>
        <v>31.5</v>
      </c>
      <c r="K11898" s="6" t="n">
        <f aca="false">(Sens!J11897+Sens!K11897)/2*cop_px*12/1000</f>
        <v>34.5</v>
      </c>
      <c r="L11898" s="1" t="s">
        <v>881</v>
      </c>
    </row>
    <row r="11899" customFormat="false" ht="17.15" hidden="false" customHeight="false" outlineLevel="0" collapsed="false">
      <c r="A11899" s="0" t="s">
        <v>882</v>
      </c>
      <c r="B11899" s="0" t="s">
        <v>98</v>
      </c>
      <c r="D11899" s="6" t="n">
        <f aca="false">Q!L7-Sens!D11898</f>
        <v>83.705</v>
      </c>
      <c r="E11899" s="6" t="n">
        <f aca="false">Q!M7-Sens!E11898</f>
        <v>95.049</v>
      </c>
      <c r="F11899" s="6" t="n">
        <f aca="false">Sens!E11899*(1+Sens!F11900)</f>
        <v>106.89238776686</v>
      </c>
      <c r="G11899" s="6" t="n">
        <f aca="false">Sens!F11899*(1+Sens!G11900)</f>
        <v>119.044168448684</v>
      </c>
      <c r="H11899" s="6" t="n">
        <f aca="false">Sens!G11899*(1+Sens!H11900)</f>
        <v>131.277359388781</v>
      </c>
      <c r="I11899" s="6" t="n">
        <f aca="false">Sens!H11899*(1+Sens!I11900)</f>
        <v>143.334028071957</v>
      </c>
      <c r="J11899" s="6" t="n">
        <f aca="false">Sens!I11899*(1+Sens!J11900)</f>
        <v>154.932702785465</v>
      </c>
      <c r="K11899" s="6" t="n">
        <f aca="false">Sens!J11899*(1+Sens!K11900)</f>
        <v>165.777991980448</v>
      </c>
    </row>
    <row r="11900" customFormat="false" ht="15" hidden="false" customHeight="false" outlineLevel="0" collapsed="false">
      <c r="A11900" s="1" t="s">
        <v>876</v>
      </c>
      <c r="B11900" s="0" t="s">
        <v>129</v>
      </c>
      <c r="E11900" s="7" t="n">
        <f aca="false">Sens!E11899/Sens!D11899-1</f>
        <v>0.135523564900544</v>
      </c>
      <c r="F11900" s="7" t="n">
        <f aca="false">Sens!$E$11900+(glt_m365b-Sens!$E$11900)*MIN(1,(Sens!F11855-base_fy)/n_conv)</f>
        <v>0.124602970750453</v>
      </c>
      <c r="G11900" s="7" t="n">
        <f aca="false">Sens!$E$11900+(glt_m365b-Sens!$E$11900)*MIN(1,(Sens!G11855-base_fy)/n_conv)</f>
        <v>0.113682376600363</v>
      </c>
      <c r="H11900" s="7" t="n">
        <f aca="false">Sens!$E$11900+(glt_m365b-Sens!$E$11900)*MIN(1,(Sens!H11855-base_fy)/n_conv)</f>
        <v>0.102761782450272</v>
      </c>
      <c r="I11900" s="7" t="n">
        <f aca="false">Sens!$E$11900+(glt_m365b-Sens!$E$11900)*MIN(1,(Sens!I11855-base_fy)/n_conv)</f>
        <v>0.0918411883001813</v>
      </c>
      <c r="J11900" s="7" t="n">
        <f aca="false">Sens!$E$11900+(glt_m365b-Sens!$E$11900)*MIN(1,(Sens!J11855-base_fy)/n_conv)</f>
        <v>0.0809205941500906</v>
      </c>
      <c r="K11900" s="7" t="n">
        <f aca="false">Sens!$E$11900+(glt_m365b-Sens!$E$11900)*MIN(1,(Sens!K11855-base_fy)/n_conv)</f>
        <v>0.07</v>
      </c>
    </row>
    <row r="11901" customFormat="false" ht="15" hidden="false" customHeight="false" outlineLevel="0" collapsed="false">
      <c r="A11901" s="0" t="s">
        <v>883</v>
      </c>
      <c r="B11901" s="0" t="s">
        <v>98</v>
      </c>
      <c r="D11901" s="6" t="n">
        <f aca="false">Sens!D11899+Sens!D11898</f>
        <v>84.605</v>
      </c>
      <c r="E11901" s="6" t="n">
        <f aca="false">Sens!E11899+Sens!E11898</f>
        <v>100.299</v>
      </c>
      <c r="F11901" s="6" t="n">
        <f aca="false">Sens!F11899+Sens!F11898</f>
        <v>118.89238776686</v>
      </c>
      <c r="G11901" s="6" t="n">
        <f aca="false">Sens!G11899+Sens!G11898</f>
        <v>137.044168448684</v>
      </c>
      <c r="H11901" s="6" t="n">
        <f aca="false">Sens!H11899+Sens!H11898</f>
        <v>155.277359388781</v>
      </c>
      <c r="I11901" s="6" t="n">
        <f aca="false">Sens!I11899+Sens!I11898</f>
        <v>171.834028071957</v>
      </c>
      <c r="J11901" s="6" t="n">
        <f aca="false">Sens!J11899+Sens!J11898</f>
        <v>186.432702785465</v>
      </c>
      <c r="K11901" s="6" t="n">
        <f aca="false">Sens!K11899+Sens!K11898</f>
        <v>200.277991980448</v>
      </c>
    </row>
    <row r="11902" customFormat="false" ht="15" hidden="false" customHeight="false" outlineLevel="0" collapsed="false">
      <c r="A11902" s="0" t="s">
        <v>884</v>
      </c>
      <c r="B11902" s="0" t="s">
        <v>98</v>
      </c>
      <c r="D11902" s="6" t="n">
        <f aca="false">Q!L8</f>
        <v>35.391</v>
      </c>
      <c r="E11902" s="6" t="n">
        <f aca="false">Q!M8</f>
        <v>37.285</v>
      </c>
      <c r="F11902" s="6" t="n">
        <f aca="false">Sens!E11902*(1+Sens!F11903)</f>
        <v>39.0720834331704</v>
      </c>
      <c r="G11902" s="6" t="n">
        <f aca="false">Sens!F11902*(1+Sens!G11903)</f>
        <v>40.726562953769</v>
      </c>
      <c r="H11902" s="6" t="n">
        <f aca="false">Sens!G11902*(1+Sens!H11903)</f>
        <v>42.2235987259198</v>
      </c>
      <c r="I11902" s="6" t="n">
        <f aca="false">Sens!H11902*(1+Sens!I11903)</f>
        <v>43.5397988077414</v>
      </c>
      <c r="J11902" s="6" t="n">
        <f aca="false">Sens!I11902*(1+Sens!J11903)</f>
        <v>44.653811225693</v>
      </c>
      <c r="K11902" s="6" t="n">
        <f aca="false">Sens!J11902*(1+Sens!K11903)</f>
        <v>45.5468874502068</v>
      </c>
    </row>
    <row r="11903" customFormat="false" ht="15" hidden="false" customHeight="false" outlineLevel="0" collapsed="false">
      <c r="A11903" s="1" t="s">
        <v>876</v>
      </c>
      <c r="B11903" s="0" t="s">
        <v>129</v>
      </c>
      <c r="E11903" s="7" t="n">
        <f aca="false">Sens!E11902/Sens!D11902-1</f>
        <v>0.0535164307309768</v>
      </c>
      <c r="F11903" s="7" t="n">
        <f aca="false">Sens!$E$11903+(glt_lic-Sens!$E$11903)*MIN(1,(Sens!F11855-base_fy)/n_conv)</f>
        <v>0.0479303589424807</v>
      </c>
      <c r="G11903" s="7" t="n">
        <f aca="false">Sens!$E$11903+(glt_lic-Sens!$E$11903)*MIN(1,(Sens!G11855-base_fy)/n_conv)</f>
        <v>0.0423442871539845</v>
      </c>
      <c r="H11903" s="7" t="n">
        <f aca="false">Sens!$E$11903+(glt_lic-Sens!$E$11903)*MIN(1,(Sens!H11855-base_fy)/n_conv)</f>
        <v>0.0367582153654884</v>
      </c>
      <c r="I11903" s="7" t="n">
        <f aca="false">Sens!$E$11903+(glt_lic-Sens!$E$11903)*MIN(1,(Sens!I11855-base_fy)/n_conv)</f>
        <v>0.0311721435769923</v>
      </c>
      <c r="J11903" s="7" t="n">
        <f aca="false">Sens!$E$11903+(glt_lic-Sens!$E$11903)*MIN(1,(Sens!J11855-base_fy)/n_conv)</f>
        <v>0.0255860717884961</v>
      </c>
      <c r="K11903" s="7" t="n">
        <f aca="false">Sens!$E$11903+(glt_lic-Sens!$E$11903)*MIN(1,(Sens!K11855-base_fy)/n_conv)</f>
        <v>0.02</v>
      </c>
    </row>
    <row r="11904" customFormat="false" ht="15" hidden="false" customHeight="false" outlineLevel="0" collapsed="false">
      <c r="A11904" s="0" t="s">
        <v>885</v>
      </c>
      <c r="B11904" s="0" t="s">
        <v>98</v>
      </c>
      <c r="D11904" s="6" t="n">
        <f aca="false">Q!L9</f>
        <v>18.417</v>
      </c>
      <c r="E11904" s="6" t="n">
        <f aca="false">Q!M9</f>
        <v>20.345</v>
      </c>
      <c r="F11904" s="6" t="n">
        <f aca="false">Sens!E11904*(1+Sens!F11905)</f>
        <v>22.3572203267814</v>
      </c>
      <c r="G11904" s="6" t="n">
        <f aca="false">Sens!F11904*(1+Sens!G11905)</f>
        <v>24.4392124437232</v>
      </c>
      <c r="H11904" s="6" t="n">
        <f aca="false">Sens!G11904*(1+Sens!H11905)</f>
        <v>26.5738052080665</v>
      </c>
      <c r="I11904" s="6" t="n">
        <f aca="false">Sens!H11904*(1+Sens!I11905)</f>
        <v>28.7412169166967</v>
      </c>
      <c r="J11904" s="6" t="n">
        <f aca="false">Sens!I11904*(1+Sens!J11905)</f>
        <v>30.9192545395413</v>
      </c>
      <c r="K11904" s="6" t="n">
        <f aca="false">Sens!J11904*(1+Sens!K11905)</f>
        <v>33.0836023573092</v>
      </c>
    </row>
    <row r="11905" customFormat="false" ht="15" hidden="false" customHeight="false" outlineLevel="0" collapsed="false">
      <c r="A11905" s="1" t="s">
        <v>876</v>
      </c>
      <c r="B11905" s="0" t="s">
        <v>129</v>
      </c>
      <c r="E11905" s="7" t="n">
        <f aca="false">Sens!E11904/Sens!D11904-1</f>
        <v>0.104685888038225</v>
      </c>
      <c r="F11905" s="7" t="n">
        <f aca="false">Sens!$E$11905+(glt_ind-Sens!$E$11905)*MIN(1,(Sens!F11855-base_fy)/n_conv)</f>
        <v>0.0989049066985211</v>
      </c>
      <c r="G11905" s="7" t="n">
        <f aca="false">Sens!$E$11905+(glt_ind-Sens!$E$11905)*MIN(1,(Sens!G11855-base_fy)/n_conv)</f>
        <v>0.0931239253588169</v>
      </c>
      <c r="H11905" s="7" t="n">
        <f aca="false">Sens!$E$11905+(glt_ind-Sens!$E$11905)*MIN(1,(Sens!H11855-base_fy)/n_conv)</f>
        <v>0.0873429440191127</v>
      </c>
      <c r="I11905" s="7" t="n">
        <f aca="false">Sens!$E$11905+(glt_ind-Sens!$E$11905)*MIN(1,(Sens!I11855-base_fy)/n_conv)</f>
        <v>0.0815619626794085</v>
      </c>
      <c r="J11905" s="7" t="n">
        <f aca="false">Sens!$E$11905+(glt_ind-Sens!$E$11905)*MIN(1,(Sens!J11855-base_fy)/n_conv)</f>
        <v>0.0757809813397042</v>
      </c>
      <c r="K11905" s="7" t="n">
        <f aca="false">Sens!$E$11905+(glt_ind-Sens!$E$11905)*MIN(1,(Sens!K11855-base_fy)/n_conv)</f>
        <v>0.07</v>
      </c>
    </row>
    <row r="11906" customFormat="false" ht="15" hidden="false" customHeight="false" outlineLevel="0" collapsed="false">
      <c r="A11906" s="0" t="s">
        <v>886</v>
      </c>
      <c r="B11906" s="0" t="s">
        <v>98</v>
      </c>
      <c r="D11906" s="6" t="n">
        <f aca="false">Q!L10</f>
        <v>7.76</v>
      </c>
      <c r="E11906" s="6" t="n">
        <f aca="false">Q!M10</f>
        <v>8.26</v>
      </c>
      <c r="F11906" s="6" t="n">
        <f aca="false">Sens!E11906*(1+Sens!F11907)</f>
        <v>8.79988041237113</v>
      </c>
      <c r="G11906" s="6" t="n">
        <f aca="false">Sens!F11906*(1+Sens!G11907)</f>
        <v>9.38321269125306</v>
      </c>
      <c r="H11906" s="6" t="n">
        <f aca="false">Sens!G11906*(1+Sens!H11907)</f>
        <v>10.0139193587476</v>
      </c>
      <c r="I11906" s="6" t="n">
        <f aca="false">Sens!H11906*(1+Sens!I11907)</f>
        <v>10.6963111830911</v>
      </c>
      <c r="J11906" s="6" t="n">
        <f aca="false">Sens!I11906*(1+Sens!J11907)</f>
        <v>11.4351285534696</v>
      </c>
      <c r="K11906" s="6" t="n">
        <f aca="false">Sens!J11906*(1+Sens!K11907)</f>
        <v>12.2355875522124</v>
      </c>
    </row>
    <row r="11907" customFormat="false" ht="15" hidden="false" customHeight="false" outlineLevel="0" collapsed="false">
      <c r="A11907" s="1" t="s">
        <v>876</v>
      </c>
      <c r="B11907" s="0" t="s">
        <v>129</v>
      </c>
      <c r="E11907" s="7" t="n">
        <f aca="false">Sens!E11906/Sens!D11906-1</f>
        <v>0.0644329896907216</v>
      </c>
      <c r="F11907" s="7" t="n">
        <f aca="false">Sens!$E$11907+(glt_fro-Sens!$E$11907)*MIN(1,(Sens!F11855-base_fy)/n_conv)</f>
        <v>0.065360824742268</v>
      </c>
      <c r="G11907" s="7" t="n">
        <f aca="false">Sens!$E$11907+(glt_fro-Sens!$E$11907)*MIN(1,(Sens!G11855-base_fy)/n_conv)</f>
        <v>0.0662886597938144</v>
      </c>
      <c r="H11907" s="7" t="n">
        <f aca="false">Sens!$E$11907+(glt_fro-Sens!$E$11907)*MIN(1,(Sens!H11855-base_fy)/n_conv)</f>
        <v>0.0672164948453608</v>
      </c>
      <c r="I11907" s="7" t="n">
        <f aca="false">Sens!$E$11907+(glt_fro-Sens!$E$11907)*MIN(1,(Sens!I11855-base_fy)/n_conv)</f>
        <v>0.0681443298969072</v>
      </c>
      <c r="J11907" s="7" t="n">
        <f aca="false">Sens!$E$11907+(glt_fro-Sens!$E$11907)*MIN(1,(Sens!J11855-base_fy)/n_conv)</f>
        <v>0.0690721649484536</v>
      </c>
      <c r="K11907" s="7" t="n">
        <f aca="false">Sens!$E$11907+(glt_fro-Sens!$E$11907)*MIN(1,(Sens!K11855-base_fy)/n_conv)</f>
        <v>0.07</v>
      </c>
    </row>
    <row r="11908" customFormat="false" ht="15" hidden="false" customHeight="false" outlineLevel="0" collapsed="false">
      <c r="A11908" s="0" t="s">
        <v>715</v>
      </c>
      <c r="B11908" s="0" t="s">
        <v>98</v>
      </c>
      <c r="D11908" s="6" t="n">
        <f aca="false">Sens!D11896+Sens!D11901+Sens!D11902+Sens!D11904+Sens!D11906</f>
        <v>218.783</v>
      </c>
      <c r="E11908" s="6" t="n">
        <f aca="false">Sens!E11896+Sens!E11901+Sens!E11902+Sens!E11904+Sens!E11906</f>
        <v>268.127</v>
      </c>
      <c r="F11908" s="6" t="n">
        <f aca="false">Sens!F11896+Sens!F11901+Sens!F11902+Sens!F11904+Sens!F11906</f>
        <v>334.265528251508</v>
      </c>
      <c r="G11908" s="6" t="n">
        <f aca="false">Sens!G11896+Sens!G11901+Sens!G11902+Sens!G11904+Sens!G11906</f>
        <v>408.072123059793</v>
      </c>
      <c r="H11908" s="6" t="n">
        <f aca="false">Sens!H11896+Sens!H11901+Sens!H11902+Sens!H11904+Sens!H11906</f>
        <v>483.196296004025</v>
      </c>
      <c r="I11908" s="6" t="n">
        <f aca="false">Sens!I11896+Sens!I11901+Sens!I11902+Sens!I11904+Sens!I11906</f>
        <v>551.903517626826</v>
      </c>
      <c r="J11908" s="6" t="n">
        <f aca="false">Sens!J11896+Sens!J11901+Sens!J11902+Sens!J11904+Sens!J11906</f>
        <v>607.719049711612</v>
      </c>
      <c r="K11908" s="6" t="n">
        <f aca="false">Sens!K11896+Sens!K11901+Sens!K11902+Sens!K11904+Sens!K11906</f>
        <v>652.377736249452</v>
      </c>
    </row>
    <row r="11909" customFormat="false" ht="15" hidden="false" customHeight="false" outlineLevel="0" collapsed="false">
      <c r="A11909" s="0" t="s">
        <v>887</v>
      </c>
      <c r="B11909" s="0" t="s">
        <v>98</v>
      </c>
      <c r="D11909" s="6" t="n">
        <f aca="false">Q!L13</f>
        <v>22.171</v>
      </c>
      <c r="E11909" s="6" t="n">
        <f aca="false">Q!M13</f>
        <v>24.835</v>
      </c>
      <c r="F11909" s="6" t="n">
        <f aca="false">Sens!E11909*(1+Sens!F11910)</f>
        <v>27.6114901218559</v>
      </c>
      <c r="G11909" s="6" t="n">
        <f aca="false">Sens!F11909*(1+Sens!G11910)</f>
        <v>30.4675667338515</v>
      </c>
      <c r="H11909" s="6" t="n">
        <f aca="false">Sens!G11909*(1+Sens!H11910)</f>
        <v>33.3643766955789</v>
      </c>
      <c r="I11909" s="6" t="n">
        <f aca="false">Sens!H11909*(1+Sens!I11910)</f>
        <v>36.2577016533691</v>
      </c>
      <c r="J11909" s="6" t="n">
        <f aca="false">Sens!I11909*(1+Sens!J11910)</f>
        <v>39.0988367952171</v>
      </c>
      <c r="K11909" s="6" t="n">
        <f aca="false">Sens!J11909*(1+Sens!K11910)</f>
        <v>41.8357553708823</v>
      </c>
    </row>
    <row r="11910" customFormat="false" ht="15" hidden="false" customHeight="false" outlineLevel="0" collapsed="false">
      <c r="A11910" s="1" t="s">
        <v>876</v>
      </c>
      <c r="B11910" s="0" t="s">
        <v>129</v>
      </c>
      <c r="E11910" s="7" t="n">
        <f aca="false">Sens!E11909/Sens!D11909-1</f>
        <v>0.120156961796942</v>
      </c>
      <c r="F11910" s="7" t="n">
        <f aca="false">Sens!$E$11910+(glt_srch-Sens!$E$11910)*MIN(1,(Sens!F11855-base_fy)/n_conv)</f>
        <v>0.111797468164118</v>
      </c>
      <c r="G11910" s="7" t="n">
        <f aca="false">Sens!$E$11910+(glt_srch-Sens!$E$11910)*MIN(1,(Sens!G11855-base_fy)/n_conv)</f>
        <v>0.103437974531295</v>
      </c>
      <c r="H11910" s="7" t="n">
        <f aca="false">Sens!$E$11910+(glt_srch-Sens!$E$11910)*MIN(1,(Sens!H11855-base_fy)/n_conv)</f>
        <v>0.095078480898471</v>
      </c>
      <c r="I11910" s="7" t="n">
        <f aca="false">Sens!$E$11910+(glt_srch-Sens!$E$11910)*MIN(1,(Sens!I11855-base_fy)/n_conv)</f>
        <v>0.0867189872656474</v>
      </c>
      <c r="J11910" s="7" t="n">
        <f aca="false">Sens!$E$11910+(glt_srch-Sens!$E$11910)*MIN(1,(Sens!J11855-base_fy)/n_conv)</f>
        <v>0.0783594936328237</v>
      </c>
      <c r="K11910" s="7" t="n">
        <f aca="false">Sens!$E$11910+(glt_srch-Sens!$E$11910)*MIN(1,(Sens!K11855-base_fy)/n_conv)</f>
        <v>0.07</v>
      </c>
    </row>
    <row r="11911" customFormat="false" ht="15" hidden="false" customHeight="false" outlineLevel="0" collapsed="false">
      <c r="A11911" s="0" t="s">
        <v>888</v>
      </c>
      <c r="B11911" s="0" t="s">
        <v>98</v>
      </c>
      <c r="D11911" s="6" t="n">
        <f aca="false">Q!L14</f>
        <v>23.455</v>
      </c>
      <c r="E11911" s="6" t="n">
        <f aca="false">Q!M14</f>
        <v>21.79</v>
      </c>
      <c r="F11911" s="6" t="n">
        <f aca="false">Sens!E11911*(1+Sens!F11912)</f>
        <v>20.5736277908051</v>
      </c>
      <c r="G11911" s="6" t="n">
        <f aca="false">Sens!F11911*(1+Sens!G11912)</f>
        <v>19.7371452817919</v>
      </c>
      <c r="H11911" s="6" t="n">
        <f aca="false">Sens!G11911*(1+Sens!H11912)</f>
        <v>19.2339764043138</v>
      </c>
      <c r="I11911" s="6" t="n">
        <f aca="false">Sens!H11911*(1+Sens!I11912)</f>
        <v>19.0353086852681</v>
      </c>
      <c r="J11911" s="6" t="n">
        <f aca="false">Sens!I11911*(1+Sens!J11912)</f>
        <v>19.1273539319129</v>
      </c>
      <c r="K11911" s="6" t="n">
        <f aca="false">Sens!J11911*(1+Sens!K11912)</f>
        <v>19.5099010105511</v>
      </c>
    </row>
    <row r="11912" customFormat="false" ht="15" hidden="false" customHeight="false" outlineLevel="0" collapsed="false">
      <c r="A11912" s="1" t="s">
        <v>876</v>
      </c>
      <c r="B11912" s="0" t="s">
        <v>129</v>
      </c>
      <c r="E11912" s="7" t="n">
        <f aca="false">Sens!E11911/Sens!D11911-1</f>
        <v>-0.0709869963760392</v>
      </c>
      <c r="F11912" s="7" t="n">
        <f aca="false">Sens!$E$11912+(glt_xbox-Sens!$E$11912)*MIN(1,(Sens!F11855-base_fy)/n_conv)</f>
        <v>-0.0558224969800327</v>
      </c>
      <c r="G11912" s="7" t="n">
        <f aca="false">Sens!$E$11912+(glt_xbox-Sens!$E$11912)*MIN(1,(Sens!G11855-base_fy)/n_conv)</f>
        <v>-0.0406579975840262</v>
      </c>
      <c r="H11912" s="7" t="n">
        <f aca="false">Sens!$E$11912+(glt_xbox-Sens!$E$11912)*MIN(1,(Sens!H11855-base_fy)/n_conv)</f>
        <v>-0.0254934981880196</v>
      </c>
      <c r="I11912" s="7" t="n">
        <f aca="false">Sens!$E$11912+(glt_xbox-Sens!$E$11912)*MIN(1,(Sens!I11855-base_fy)/n_conv)</f>
        <v>-0.0103289987920131</v>
      </c>
      <c r="J11912" s="7" t="n">
        <f aca="false">Sens!$E$11912+(glt_xbox-Sens!$E$11912)*MIN(1,(Sens!J11855-base_fy)/n_conv)</f>
        <v>0.00483550060399347</v>
      </c>
      <c r="K11912" s="7" t="n">
        <f aca="false">Sens!$E$11912+(glt_xbox-Sens!$E$11912)*MIN(1,(Sens!K11855-base_fy)/n_conv)</f>
        <v>0.02</v>
      </c>
    </row>
    <row r="11913" customFormat="false" ht="15" hidden="false" customHeight="false" outlineLevel="0" collapsed="false">
      <c r="A11913" s="0" t="s">
        <v>889</v>
      </c>
      <c r="B11913" s="0" t="s">
        <v>98</v>
      </c>
      <c r="D11913" s="6" t="n">
        <f aca="false">Q!L15</f>
        <v>17.315</v>
      </c>
      <c r="E11913" s="6" t="n">
        <f aca="false">Q!M15</f>
        <v>17.087</v>
      </c>
      <c r="F11913" s="6" t="n">
        <f aca="false">Sens!E11913*(1+Sens!F11914)</f>
        <v>16.9564585436519</v>
      </c>
      <c r="G11913" s="6" t="n">
        <f aca="false">Sens!F11913*(1+Sens!G11914)</f>
        <v>16.9206490624268</v>
      </c>
      <c r="H11913" s="6" t="n">
        <f aca="false">Sens!G11913*(1+Sens!H11914)</f>
        <v>16.9784519149849</v>
      </c>
      <c r="I11913" s="6" t="n">
        <f aca="false">Sens!H11913*(1+Sens!I11914)</f>
        <v>17.1303084701817</v>
      </c>
      <c r="J11913" s="6" t="n">
        <f aca="false">Sens!I11913*(1+Sens!J11914)</f>
        <v>17.3782189407267</v>
      </c>
      <c r="K11913" s="6" t="n">
        <f aca="false">Sens!J11913*(1+Sens!K11914)</f>
        <v>17.7257833195413</v>
      </c>
    </row>
    <row r="11914" customFormat="false" ht="15" hidden="false" customHeight="false" outlineLevel="0" collapsed="false">
      <c r="A11914" s="1" t="s">
        <v>876</v>
      </c>
      <c r="B11914" s="0" t="s">
        <v>129</v>
      </c>
      <c r="E11914" s="7" t="n">
        <f aca="false">Sens!E11913/Sens!D11913-1</f>
        <v>-0.0131677736066995</v>
      </c>
      <c r="F11914" s="7" t="n">
        <f aca="false">Sens!$E$11914+(glt_win-Sens!$E$11914)*MIN(1,(Sens!F11855-base_fy)/n_conv)</f>
        <v>-0.00763981133891627</v>
      </c>
      <c r="G11914" s="7" t="n">
        <f aca="false">Sens!$E$11914+(glt_win-Sens!$E$11914)*MIN(1,(Sens!G11855-base_fy)/n_conv)</f>
        <v>-0.00211184907113301</v>
      </c>
      <c r="H11914" s="7" t="n">
        <f aca="false">Sens!$E$11914+(glt_win-Sens!$E$11914)*MIN(1,(Sens!H11855-base_fy)/n_conv)</f>
        <v>0.00341611319665024</v>
      </c>
      <c r="I11914" s="7" t="n">
        <f aca="false">Sens!$E$11914+(glt_win-Sens!$E$11914)*MIN(1,(Sens!I11855-base_fy)/n_conv)</f>
        <v>0.00894407546443349</v>
      </c>
      <c r="J11914" s="7" t="n">
        <f aca="false">Sens!$E$11914+(glt_win-Sens!$E$11914)*MIN(1,(Sens!J11855-base_fy)/n_conv)</f>
        <v>0.0144720377322168</v>
      </c>
      <c r="K11914" s="7" t="n">
        <f aca="false">Sens!$E$11914+(glt_win-Sens!$E$11914)*MIN(1,(Sens!K11855-base_fy)/n_conv)</f>
        <v>0.02</v>
      </c>
    </row>
    <row r="11915" customFormat="false" ht="15" hidden="false" customHeight="false" outlineLevel="0" collapsed="false">
      <c r="A11915" s="0" t="s">
        <v>729</v>
      </c>
      <c r="B11915" s="0" t="s">
        <v>98</v>
      </c>
      <c r="D11915" s="6" t="n">
        <f aca="false">Sens!D11909+Sens!D11911+Sens!D11913</f>
        <v>62.941</v>
      </c>
      <c r="E11915" s="6" t="n">
        <f aca="false">Sens!E11909+Sens!E11911+Sens!E11913</f>
        <v>63.712</v>
      </c>
      <c r="F11915" s="6" t="n">
        <f aca="false">Sens!F11909+Sens!F11911+Sens!F11913</f>
        <v>65.1415764563129</v>
      </c>
      <c r="G11915" s="6" t="n">
        <f aca="false">Sens!G11909+Sens!G11911+Sens!G11913</f>
        <v>67.1253610780702</v>
      </c>
      <c r="H11915" s="6" t="n">
        <f aca="false">Sens!H11909+Sens!H11911+Sens!H11913</f>
        <v>69.5768050148776</v>
      </c>
      <c r="I11915" s="6" t="n">
        <f aca="false">Sens!I11909+Sens!I11911+Sens!I11913</f>
        <v>72.4233188088189</v>
      </c>
      <c r="J11915" s="6" t="n">
        <f aca="false">Sens!J11909+Sens!J11911+Sens!J11913</f>
        <v>75.6044096678567</v>
      </c>
      <c r="K11915" s="6" t="n">
        <f aca="false">Sens!K11909+Sens!K11911+Sens!K11913</f>
        <v>79.0714397009747</v>
      </c>
    </row>
    <row r="11916" customFormat="false" ht="15" hidden="false" customHeight="false" outlineLevel="0" collapsed="false">
      <c r="A11916" s="1" t="s">
        <v>890</v>
      </c>
      <c r="B11916" s="0" t="s">
        <v>98</v>
      </c>
      <c r="D11916" s="6" t="n">
        <f aca="false">Sens!D11908+Sens!D11915</f>
        <v>281.724</v>
      </c>
      <c r="E11916" s="6" t="n">
        <f aca="false">Sens!E11908+Sens!E11915</f>
        <v>331.839</v>
      </c>
      <c r="F11916" s="6" t="n">
        <f aca="false">Sens!F11908+Sens!F11915</f>
        <v>399.407104707821</v>
      </c>
      <c r="G11916" s="6" t="n">
        <f aca="false">Sens!G11908+Sens!G11915</f>
        <v>475.197484137863</v>
      </c>
      <c r="H11916" s="6" t="n">
        <f aca="false">Sens!H11908+Sens!H11915</f>
        <v>552.773101018903</v>
      </c>
      <c r="I11916" s="6" t="n">
        <f aca="false">Sens!I11908+Sens!I11915</f>
        <v>624.326836435645</v>
      </c>
      <c r="J11916" s="6" t="n">
        <f aca="false">Sens!J11908+Sens!J11915</f>
        <v>683.323459379469</v>
      </c>
      <c r="K11916" s="6" t="n">
        <f aca="false">Sens!K11908+Sens!K11915</f>
        <v>731.449175950427</v>
      </c>
    </row>
    <row r="11917" customFormat="false" ht="15" hidden="false" customHeight="false" outlineLevel="0" collapsed="false">
      <c r="A11917" s="23" t="s">
        <v>891</v>
      </c>
      <c r="B11917" s="30" t="s">
        <v>98</v>
      </c>
      <c r="C11917" s="30"/>
      <c r="D11917" s="24" t="n">
        <f aca="false">(Sens!D11896+Sens!D11901+Sens!D11902+Sens!D11904+Sens!D11906-Sens!D11908)+(Sens!D11909+Sens!D11911+Sens!D11913-Sens!D11915)+(Sens!D11908-Q!L5)+(Sens!D11915-Q!L12)+(Sens!D11896-Q!L6)+(Sens!D11901-Q!L7)</f>
        <v>0</v>
      </c>
      <c r="E11917" s="24" t="n">
        <f aca="false">(Sens!E11896+Sens!E11901+Sens!E11902+Sens!E11904+Sens!E11906-Sens!E11908)+(Sens!E11909+Sens!E11911+Sens!E11913-Sens!E11915)+(Sens!E11908-Q!M5)+(Sens!E11915-Q!M12)+(Sens!E11896-Q!M6)+(Sens!E11901-Q!M7)</f>
        <v>0</v>
      </c>
      <c r="F11917" s="24" t="n">
        <f aca="false">(Sens!F11896+Sens!F11901+Sens!F11902+Sens!F11904+Sens!F11906-Sens!F11908)+(Sens!F11909+Sens!F11911+Sens!F11913-Sens!F11915)</f>
        <v>0</v>
      </c>
      <c r="G11917" s="24" t="n">
        <f aca="false">(Sens!G11896+Sens!G11901+Sens!G11902+Sens!G11904+Sens!G11906-Sens!G11908)+(Sens!G11909+Sens!G11911+Sens!G11913-Sens!G11915)</f>
        <v>0</v>
      </c>
      <c r="H11917" s="24" t="n">
        <f aca="false">(Sens!H11896+Sens!H11901+Sens!H11902+Sens!H11904+Sens!H11906-Sens!H11908)+(Sens!H11909+Sens!H11911+Sens!H11913-Sens!H11915)</f>
        <v>0</v>
      </c>
      <c r="I11917" s="24" t="n">
        <f aca="false">(Sens!I11896+Sens!I11901+Sens!I11902+Sens!I11904+Sens!I11906-Sens!I11908)+(Sens!I11909+Sens!I11911+Sens!I11913-Sens!I11915)</f>
        <v>0</v>
      </c>
      <c r="J11917" s="24" t="n">
        <f aca="false">(Sens!J11896+Sens!J11901+Sens!J11902+Sens!J11904+Sens!J11906-Sens!J11908)+(Sens!J11909+Sens!J11911+Sens!J11913-Sens!J11915)</f>
        <v>0</v>
      </c>
      <c r="K11917" s="24" t="n">
        <f aca="false">(Sens!K11896+Sens!K11901+Sens!K11902+Sens!K11904+Sens!K11906-Sens!K11908)+(Sens!K11909+Sens!K11911+Sens!K11913-Sens!K11915)</f>
        <v>0</v>
      </c>
    </row>
    <row r="11918" customFormat="false" ht="17.15" hidden="false" customHeight="false" outlineLevel="0" collapsed="false">
      <c r="A11918" s="3" t="s">
        <v>1569</v>
      </c>
    </row>
    <row r="11919" customFormat="false" ht="15" hidden="false" customHeight="false" outlineLevel="0" collapsed="false">
      <c r="A11919" s="4" t="s">
        <v>43</v>
      </c>
      <c r="B11919" s="4" t="s">
        <v>65</v>
      </c>
      <c r="C11919" s="20" t="s">
        <v>799</v>
      </c>
      <c r="D11919" s="20" t="s">
        <v>800</v>
      </c>
      <c r="E11919" s="20" t="s">
        <v>801</v>
      </c>
      <c r="F11919" s="20" t="s">
        <v>802</v>
      </c>
      <c r="G11919" s="20" t="s">
        <v>803</v>
      </c>
      <c r="H11919" s="20" t="s">
        <v>804</v>
      </c>
      <c r="I11919" s="20" t="s">
        <v>805</v>
      </c>
      <c r="J11919" s="20" t="s">
        <v>806</v>
      </c>
      <c r="K11919" s="20" t="s">
        <v>807</v>
      </c>
      <c r="L11919" s="4" t="s">
        <v>47</v>
      </c>
    </row>
    <row r="11920" customFormat="false" ht="15" hidden="false" customHeight="false" outlineLevel="0" collapsed="false">
      <c r="A11920" s="0" t="s">
        <v>877</v>
      </c>
      <c r="B11920" s="0" t="s">
        <v>98</v>
      </c>
      <c r="D11920" s="6" t="n">
        <f aca="false">Sens!D11896</f>
        <v>72.61</v>
      </c>
      <c r="E11920" s="6" t="n">
        <f aca="false">Sens!E11896</f>
        <v>101.938</v>
      </c>
      <c r="F11920" s="6" t="n">
        <f aca="false">Sens!F11896</f>
        <v>145.143956312325</v>
      </c>
      <c r="G11920" s="6" t="n">
        <f aca="false">Sens!G11896</f>
        <v>196.478966522364</v>
      </c>
      <c r="H11920" s="6" t="n">
        <f aca="false">Sens!H11896</f>
        <v>249.10761332251</v>
      </c>
      <c r="I11920" s="6" t="n">
        <f aca="false">Sens!I11896</f>
        <v>297.09216264734</v>
      </c>
      <c r="J11920" s="6" t="n">
        <f aca="false">Sens!J11896</f>
        <v>334.278152607443</v>
      </c>
      <c r="K11920" s="6" t="n">
        <f aca="false">Sens!K11896</f>
        <v>361.233666909276</v>
      </c>
    </row>
    <row r="11921" customFormat="false" ht="17.15" hidden="false" customHeight="false" outlineLevel="0" collapsed="false">
      <c r="A11921" s="0" t="s">
        <v>874</v>
      </c>
      <c r="B11921" s="0" t="s">
        <v>98</v>
      </c>
      <c r="D11921" s="6" t="n">
        <f aca="false">Sens!D11893</f>
        <v>12.9359794422418</v>
      </c>
      <c r="E11921" s="6" t="n">
        <f aca="false">Sens!E11893</f>
        <v>27.8095064661409</v>
      </c>
      <c r="F11921" s="6" t="n">
        <f aca="false">Sens!F11893</f>
        <v>55.0640065749585</v>
      </c>
      <c r="G11921" s="6" t="n">
        <f aca="false">Sens!G11893</f>
        <v>89.4505413190538</v>
      </c>
      <c r="H11921" s="6" t="n">
        <f aca="false">Sens!H11893</f>
        <v>124.835630736874</v>
      </c>
      <c r="I11921" s="6" t="n">
        <f aca="false">Sens!I11893</f>
        <v>156.158460265485</v>
      </c>
      <c r="J11921" s="6" t="n">
        <f aca="false">Sens!J11893</f>
        <v>178.259285293112</v>
      </c>
      <c r="K11921" s="6" t="n">
        <f aca="false">Sens!K11893</f>
        <v>192.733290209798</v>
      </c>
    </row>
    <row r="11922" customFormat="false" ht="17.15" hidden="false" customHeight="false" outlineLevel="0" collapsed="false">
      <c r="A11922" s="0" t="s">
        <v>902</v>
      </c>
      <c r="B11922" s="0" t="s">
        <v>98</v>
      </c>
      <c r="D11922" s="6" t="n">
        <f aca="false">Sens!D11894</f>
        <v>59.6740205577583</v>
      </c>
      <c r="E11922" s="6" t="n">
        <f aca="false">Sens!E11894</f>
        <v>74.1284935338591</v>
      </c>
      <c r="F11922" s="6" t="n">
        <f aca="false">Sens!F11894</f>
        <v>90.0799497373663</v>
      </c>
      <c r="G11922" s="6" t="n">
        <f aca="false">Sens!G11894</f>
        <v>107.02842520331</v>
      </c>
      <c r="H11922" s="6" t="n">
        <f aca="false">Sens!H11894</f>
        <v>124.271982585636</v>
      </c>
      <c r="I11922" s="6" t="n">
        <f aca="false">Sens!I11894</f>
        <v>140.933702381855</v>
      </c>
      <c r="J11922" s="6" t="n">
        <f aca="false">Sens!J11894</f>
        <v>156.018867314332</v>
      </c>
      <c r="K11922" s="6" t="n">
        <f aca="false">Sens!K11894</f>
        <v>168.500376699478</v>
      </c>
    </row>
    <row r="11923" customFormat="false" ht="15" hidden="false" customHeight="false" outlineLevel="0" collapsed="false">
      <c r="A11923" s="0" t="s">
        <v>883</v>
      </c>
      <c r="B11923" s="0" t="s">
        <v>98</v>
      </c>
      <c r="D11923" s="6" t="n">
        <f aca="false">Sens!D11901</f>
        <v>84.605</v>
      </c>
      <c r="E11923" s="6" t="n">
        <f aca="false">Sens!E11901</f>
        <v>100.299</v>
      </c>
      <c r="F11923" s="6" t="n">
        <f aca="false">Sens!F11901</f>
        <v>118.89238776686</v>
      </c>
      <c r="G11923" s="6" t="n">
        <f aca="false">Sens!G11901</f>
        <v>137.044168448684</v>
      </c>
      <c r="H11923" s="6" t="n">
        <f aca="false">Sens!H11901</f>
        <v>155.277359388781</v>
      </c>
      <c r="I11923" s="6" t="n">
        <f aca="false">Sens!I11901</f>
        <v>171.834028071957</v>
      </c>
      <c r="J11923" s="6" t="n">
        <f aca="false">Sens!J11901</f>
        <v>186.432702785465</v>
      </c>
      <c r="K11923" s="6" t="n">
        <f aca="false">Sens!K11901</f>
        <v>200.277991980448</v>
      </c>
    </row>
    <row r="11924" customFormat="false" ht="17.15" hidden="false" customHeight="false" outlineLevel="0" collapsed="false">
      <c r="A11924" s="0" t="s">
        <v>903</v>
      </c>
      <c r="B11924" s="0" t="s">
        <v>98</v>
      </c>
      <c r="D11924" s="6" t="n">
        <f aca="false">Sens!D11899</f>
        <v>83.705</v>
      </c>
      <c r="E11924" s="6" t="n">
        <f aca="false">Sens!E11899</f>
        <v>95.049</v>
      </c>
      <c r="F11924" s="6" t="n">
        <f aca="false">Sens!F11899</f>
        <v>106.89238776686</v>
      </c>
      <c r="G11924" s="6" t="n">
        <f aca="false">Sens!G11899</f>
        <v>119.044168448684</v>
      </c>
      <c r="H11924" s="6" t="n">
        <f aca="false">Sens!H11899</f>
        <v>131.277359388781</v>
      </c>
      <c r="I11924" s="6" t="n">
        <f aca="false">Sens!I11899</f>
        <v>143.334028071957</v>
      </c>
      <c r="J11924" s="6" t="n">
        <f aca="false">Sens!J11899</f>
        <v>154.932702785465</v>
      </c>
      <c r="K11924" s="6" t="n">
        <f aca="false">Sens!K11899</f>
        <v>165.777991980448</v>
      </c>
    </row>
    <row r="11925" customFormat="false" ht="17.15" hidden="false" customHeight="false" outlineLevel="0" collapsed="false">
      <c r="A11925" s="0" t="s">
        <v>904</v>
      </c>
      <c r="B11925" s="0" t="s">
        <v>98</v>
      </c>
      <c r="D11925" s="6" t="n">
        <f aca="false">Sens!D11898</f>
        <v>0.9</v>
      </c>
      <c r="E11925" s="6" t="n">
        <f aca="false">Sens!E11898</f>
        <v>5.25</v>
      </c>
      <c r="F11925" s="6" t="n">
        <f aca="false">Sens!F11898</f>
        <v>12</v>
      </c>
      <c r="G11925" s="6" t="n">
        <f aca="false">Sens!G11898</f>
        <v>18</v>
      </c>
      <c r="H11925" s="6" t="n">
        <f aca="false">Sens!H11898</f>
        <v>24</v>
      </c>
      <c r="I11925" s="6" t="n">
        <f aca="false">Sens!I11898</f>
        <v>28.5</v>
      </c>
      <c r="J11925" s="6" t="n">
        <f aca="false">Sens!J11898</f>
        <v>31.5</v>
      </c>
      <c r="K11925" s="6" t="n">
        <f aca="false">Sens!K11898</f>
        <v>34.5</v>
      </c>
    </row>
    <row r="11926" customFormat="false" ht="15" hidden="false" customHeight="false" outlineLevel="0" collapsed="false">
      <c r="A11926" s="0" t="s">
        <v>884</v>
      </c>
      <c r="B11926" s="0" t="s">
        <v>98</v>
      </c>
      <c r="D11926" s="6" t="n">
        <f aca="false">Sens!D11902</f>
        <v>35.391</v>
      </c>
      <c r="E11926" s="6" t="n">
        <f aca="false">Sens!E11902</f>
        <v>37.285</v>
      </c>
      <c r="F11926" s="6" t="n">
        <f aca="false">Sens!F11902</f>
        <v>39.0720834331704</v>
      </c>
      <c r="G11926" s="6" t="n">
        <f aca="false">Sens!G11902</f>
        <v>40.726562953769</v>
      </c>
      <c r="H11926" s="6" t="n">
        <f aca="false">Sens!H11902</f>
        <v>42.2235987259198</v>
      </c>
      <c r="I11926" s="6" t="n">
        <f aca="false">Sens!I11902</f>
        <v>43.5397988077414</v>
      </c>
      <c r="J11926" s="6" t="n">
        <f aca="false">Sens!J11902</f>
        <v>44.653811225693</v>
      </c>
      <c r="K11926" s="6" t="n">
        <f aca="false">Sens!K11902</f>
        <v>45.5468874502068</v>
      </c>
    </row>
    <row r="11927" customFormat="false" ht="15" hidden="false" customHeight="false" outlineLevel="0" collapsed="false">
      <c r="A11927" s="0" t="s">
        <v>885</v>
      </c>
      <c r="B11927" s="0" t="s">
        <v>98</v>
      </c>
      <c r="D11927" s="6" t="n">
        <f aca="false">Sens!D11904</f>
        <v>18.417</v>
      </c>
      <c r="E11927" s="6" t="n">
        <f aca="false">Sens!E11904</f>
        <v>20.345</v>
      </c>
      <c r="F11927" s="6" t="n">
        <f aca="false">Sens!F11904</f>
        <v>22.3572203267814</v>
      </c>
      <c r="G11927" s="6" t="n">
        <f aca="false">Sens!G11904</f>
        <v>24.4392124437232</v>
      </c>
      <c r="H11927" s="6" t="n">
        <f aca="false">Sens!H11904</f>
        <v>26.5738052080665</v>
      </c>
      <c r="I11927" s="6" t="n">
        <f aca="false">Sens!I11904</f>
        <v>28.7412169166967</v>
      </c>
      <c r="J11927" s="6" t="n">
        <f aca="false">Sens!J11904</f>
        <v>30.9192545395413</v>
      </c>
      <c r="K11927" s="6" t="n">
        <f aca="false">Sens!K11904</f>
        <v>33.0836023573092</v>
      </c>
    </row>
    <row r="11928" customFormat="false" ht="15" hidden="false" customHeight="false" outlineLevel="0" collapsed="false">
      <c r="A11928" s="0" t="s">
        <v>886</v>
      </c>
      <c r="B11928" s="0" t="s">
        <v>98</v>
      </c>
      <c r="D11928" s="6" t="n">
        <f aca="false">Sens!D11906</f>
        <v>7.76</v>
      </c>
      <c r="E11928" s="6" t="n">
        <f aca="false">Sens!E11906</f>
        <v>8.26</v>
      </c>
      <c r="F11928" s="6" t="n">
        <f aca="false">Sens!F11906</f>
        <v>8.79988041237113</v>
      </c>
      <c r="G11928" s="6" t="n">
        <f aca="false">Sens!G11906</f>
        <v>9.38321269125306</v>
      </c>
      <c r="H11928" s="6" t="n">
        <f aca="false">Sens!H11906</f>
        <v>10.0139193587476</v>
      </c>
      <c r="I11928" s="6" t="n">
        <f aca="false">Sens!I11906</f>
        <v>10.6963111830911</v>
      </c>
      <c r="J11928" s="6" t="n">
        <f aca="false">Sens!J11906</f>
        <v>11.4351285534696</v>
      </c>
      <c r="K11928" s="6" t="n">
        <f aca="false">Sens!K11906</f>
        <v>12.2355875522124</v>
      </c>
    </row>
    <row r="11929" customFormat="false" ht="15" hidden="false" customHeight="false" outlineLevel="0" collapsed="false">
      <c r="A11929" s="0" t="s">
        <v>715</v>
      </c>
      <c r="B11929" s="0" t="s">
        <v>98</v>
      </c>
      <c r="D11929" s="6" t="n">
        <f aca="false">Sens!D11908</f>
        <v>218.783</v>
      </c>
      <c r="E11929" s="6" t="n">
        <f aca="false">Sens!E11908</f>
        <v>268.127</v>
      </c>
      <c r="F11929" s="6" t="n">
        <f aca="false">Sens!F11908</f>
        <v>334.265528251508</v>
      </c>
      <c r="G11929" s="6" t="n">
        <f aca="false">Sens!G11908</f>
        <v>408.072123059793</v>
      </c>
      <c r="H11929" s="6" t="n">
        <f aca="false">Sens!H11908</f>
        <v>483.196296004025</v>
      </c>
      <c r="I11929" s="6" t="n">
        <f aca="false">Sens!I11908</f>
        <v>551.903517626826</v>
      </c>
      <c r="J11929" s="6" t="n">
        <f aca="false">Sens!J11908</f>
        <v>607.719049711612</v>
      </c>
      <c r="K11929" s="6" t="n">
        <f aca="false">Sens!K11908</f>
        <v>652.377736249452</v>
      </c>
    </row>
    <row r="11930" customFormat="false" ht="15" hidden="false" customHeight="false" outlineLevel="0" collapsed="false">
      <c r="A11930" s="0" t="s">
        <v>887</v>
      </c>
      <c r="B11930" s="0" t="s">
        <v>98</v>
      </c>
      <c r="D11930" s="6" t="n">
        <f aca="false">Sens!D11909</f>
        <v>22.171</v>
      </c>
      <c r="E11930" s="6" t="n">
        <f aca="false">Sens!E11909</f>
        <v>24.835</v>
      </c>
      <c r="F11930" s="6" t="n">
        <f aca="false">Sens!F11909</f>
        <v>27.6114901218559</v>
      </c>
      <c r="G11930" s="6" t="n">
        <f aca="false">Sens!G11909</f>
        <v>30.4675667338515</v>
      </c>
      <c r="H11930" s="6" t="n">
        <f aca="false">Sens!H11909</f>
        <v>33.3643766955789</v>
      </c>
      <c r="I11930" s="6" t="n">
        <f aca="false">Sens!I11909</f>
        <v>36.2577016533691</v>
      </c>
      <c r="J11930" s="6" t="n">
        <f aca="false">Sens!J11909</f>
        <v>39.0988367952171</v>
      </c>
      <c r="K11930" s="6" t="n">
        <f aca="false">Sens!K11909</f>
        <v>41.8357553708823</v>
      </c>
    </row>
    <row r="11931" customFormat="false" ht="15" hidden="false" customHeight="false" outlineLevel="0" collapsed="false">
      <c r="A11931" s="0" t="s">
        <v>888</v>
      </c>
      <c r="B11931" s="0" t="s">
        <v>98</v>
      </c>
      <c r="D11931" s="6" t="n">
        <f aca="false">Sens!D11911</f>
        <v>23.455</v>
      </c>
      <c r="E11931" s="6" t="n">
        <f aca="false">Sens!E11911</f>
        <v>21.79</v>
      </c>
      <c r="F11931" s="6" t="n">
        <f aca="false">Sens!F11911</f>
        <v>20.5736277908051</v>
      </c>
      <c r="G11931" s="6" t="n">
        <f aca="false">Sens!G11911</f>
        <v>19.7371452817919</v>
      </c>
      <c r="H11931" s="6" t="n">
        <f aca="false">Sens!H11911</f>
        <v>19.2339764043138</v>
      </c>
      <c r="I11931" s="6" t="n">
        <f aca="false">Sens!I11911</f>
        <v>19.0353086852681</v>
      </c>
      <c r="J11931" s="6" t="n">
        <f aca="false">Sens!J11911</f>
        <v>19.1273539319129</v>
      </c>
      <c r="K11931" s="6" t="n">
        <f aca="false">Sens!K11911</f>
        <v>19.5099010105511</v>
      </c>
    </row>
    <row r="11932" customFormat="false" ht="15" hidden="false" customHeight="false" outlineLevel="0" collapsed="false">
      <c r="A11932" s="0" t="s">
        <v>889</v>
      </c>
      <c r="B11932" s="0" t="s">
        <v>98</v>
      </c>
      <c r="D11932" s="6" t="n">
        <f aca="false">Sens!D11913</f>
        <v>17.315</v>
      </c>
      <c r="E11932" s="6" t="n">
        <f aca="false">Sens!E11913</f>
        <v>17.087</v>
      </c>
      <c r="F11932" s="6" t="n">
        <f aca="false">Sens!F11913</f>
        <v>16.9564585436519</v>
      </c>
      <c r="G11932" s="6" t="n">
        <f aca="false">Sens!G11913</f>
        <v>16.9206490624268</v>
      </c>
      <c r="H11932" s="6" t="n">
        <f aca="false">Sens!H11913</f>
        <v>16.9784519149849</v>
      </c>
      <c r="I11932" s="6" t="n">
        <f aca="false">Sens!I11913</f>
        <v>17.1303084701817</v>
      </c>
      <c r="J11932" s="6" t="n">
        <f aca="false">Sens!J11913</f>
        <v>17.3782189407267</v>
      </c>
      <c r="K11932" s="6" t="n">
        <f aca="false">Sens!K11913</f>
        <v>17.7257833195413</v>
      </c>
    </row>
    <row r="11933" customFormat="false" ht="15" hidden="false" customHeight="false" outlineLevel="0" collapsed="false">
      <c r="A11933" s="0" t="s">
        <v>729</v>
      </c>
      <c r="B11933" s="0" t="s">
        <v>98</v>
      </c>
      <c r="D11933" s="6" t="n">
        <f aca="false">Sens!D11915</f>
        <v>62.941</v>
      </c>
      <c r="E11933" s="6" t="n">
        <f aca="false">Sens!E11915</f>
        <v>63.712</v>
      </c>
      <c r="F11933" s="6" t="n">
        <f aca="false">Sens!F11915</f>
        <v>65.1415764563129</v>
      </c>
      <c r="G11933" s="6" t="n">
        <f aca="false">Sens!G11915</f>
        <v>67.1253610780702</v>
      </c>
      <c r="H11933" s="6" t="n">
        <f aca="false">Sens!H11915</f>
        <v>69.5768050148776</v>
      </c>
      <c r="I11933" s="6" t="n">
        <f aca="false">Sens!I11915</f>
        <v>72.4233188088189</v>
      </c>
      <c r="J11933" s="6" t="n">
        <f aca="false">Sens!J11915</f>
        <v>75.6044096678567</v>
      </c>
      <c r="K11933" s="6" t="n">
        <f aca="false">Sens!K11915</f>
        <v>79.0714397009747</v>
      </c>
    </row>
    <row r="11934" customFormat="false" ht="15" hidden="false" customHeight="false" outlineLevel="0" collapsed="false">
      <c r="A11934" s="1" t="s">
        <v>905</v>
      </c>
      <c r="B11934" s="0" t="s">
        <v>98</v>
      </c>
      <c r="D11934" s="6" t="n">
        <f aca="false">Sens!D11916</f>
        <v>281.724</v>
      </c>
      <c r="E11934" s="6" t="n">
        <f aca="false">Sens!E11916</f>
        <v>331.839</v>
      </c>
      <c r="F11934" s="6" t="n">
        <f aca="false">Sens!F11916</f>
        <v>399.407104707821</v>
      </c>
      <c r="G11934" s="6" t="n">
        <f aca="false">Sens!G11916</f>
        <v>475.197484137863</v>
      </c>
      <c r="H11934" s="6" t="n">
        <f aca="false">Sens!H11916</f>
        <v>552.773101018903</v>
      </c>
      <c r="I11934" s="6" t="n">
        <f aca="false">Sens!I11916</f>
        <v>624.326836435645</v>
      </c>
      <c r="J11934" s="6" t="n">
        <f aca="false">Sens!J11916</f>
        <v>683.323459379469</v>
      </c>
      <c r="K11934" s="6" t="n">
        <f aca="false">Sens!K11916</f>
        <v>731.449175950427</v>
      </c>
    </row>
    <row r="11935" customFormat="false" ht="15" hidden="false" customHeight="false" outlineLevel="0" collapsed="false">
      <c r="A11935" s="1" t="s">
        <v>906</v>
      </c>
      <c r="B11935" s="0" t="s">
        <v>129</v>
      </c>
      <c r="E11935" s="7" t="n">
        <f aca="false">Sens!E11934/Sens!D11934-1</f>
        <v>0.177886867998467</v>
      </c>
      <c r="F11935" s="7" t="n">
        <f aca="false">Sens!F11934/Sens!E11934-1</f>
        <v>0.203617129715978</v>
      </c>
      <c r="G11935" s="7" t="n">
        <f aca="false">Sens!G11934/Sens!F11934-1</f>
        <v>0.189757213972159</v>
      </c>
      <c r="H11935" s="7" t="n">
        <f aca="false">Sens!H11934/Sens!G11934-1</f>
        <v>0.163249216316418</v>
      </c>
      <c r="I11935" s="7" t="n">
        <f aca="false">Sens!I11934/Sens!H11934-1</f>
        <v>0.129445038633121</v>
      </c>
      <c r="J11935" s="7" t="n">
        <f aca="false">Sens!J11934/Sens!I11934-1</f>
        <v>0.0944963751368479</v>
      </c>
      <c r="K11935" s="7" t="n">
        <f aca="false">Sens!K11934/Sens!J11934-1</f>
        <v>0.0704288955843271</v>
      </c>
    </row>
    <row r="11936" customFormat="false" ht="17.15" hidden="false" customHeight="false" outlineLevel="0" collapsed="false">
      <c r="A11936" s="23" t="s">
        <v>907</v>
      </c>
      <c r="B11936" s="30" t="s">
        <v>98</v>
      </c>
      <c r="C11936" s="30"/>
      <c r="D11936" s="24" t="n">
        <f aca="false">(Sens!D11929+Sens!D11933-Sens!D11934)+(Sens!D11921+Sens!D11922-Sens!D11920)+(Sens!D11924+Sens!D11925-Sens!D11923)+(Sens!D11934-Q!L18)</f>
        <v>0</v>
      </c>
      <c r="E11936" s="24" t="n">
        <f aca="false">(Sens!E11929+Sens!E11933-Sens!E11934)+(Sens!E11921+Sens!E11922-Sens!E11920)+(Sens!E11924+Sens!E11925-Sens!E11923)+(Sens!E11934-Q!M18)</f>
        <v>0</v>
      </c>
      <c r="F11936" s="24" t="n">
        <f aca="false">(Sens!F11929+Sens!F11933-Sens!F11934)+(Sens!F11921+Sens!F11922-Sens!F11920)+(Sens!F11924+Sens!F11925-Sens!F11923)</f>
        <v>0</v>
      </c>
      <c r="G11936" s="24" t="n">
        <f aca="false">(Sens!G11929+Sens!G11933-Sens!G11934)+(Sens!G11921+Sens!G11922-Sens!G11920)+(Sens!G11924+Sens!G11925-Sens!G11923)</f>
        <v>0</v>
      </c>
      <c r="H11936" s="24" t="n">
        <f aca="false">(Sens!H11929+Sens!H11933-Sens!H11934)+(Sens!H11921+Sens!H11922-Sens!H11920)+(Sens!H11924+Sens!H11925-Sens!H11923)</f>
        <v>0</v>
      </c>
      <c r="I11936" s="24" t="n">
        <f aca="false">(Sens!I11929+Sens!I11933-Sens!I11934)+(Sens!I11921+Sens!I11922-Sens!I11920)+(Sens!I11924+Sens!I11925-Sens!I11923)</f>
        <v>0</v>
      </c>
      <c r="J11936" s="24" t="n">
        <f aca="false">(Sens!J11929+Sens!J11933-Sens!J11934)+(Sens!J11921+Sens!J11922-Sens!J11920)+(Sens!J11924+Sens!J11925-Sens!J11923)</f>
        <v>0</v>
      </c>
      <c r="K11936" s="24" t="n">
        <f aca="false">(Sens!K11929+Sens!K11933-Sens!K11934)+(Sens!K11921+Sens!K11922-Sens!K11920)+(Sens!K11924+Sens!K11925-Sens!K11923)</f>
        <v>0</v>
      </c>
    </row>
    <row r="11937" customFormat="false" ht="17.15" hidden="false" customHeight="false" outlineLevel="0" collapsed="false">
      <c r="A11937" s="0" t="s">
        <v>908</v>
      </c>
      <c r="B11937" s="0" t="s">
        <v>129</v>
      </c>
      <c r="E11937" s="7" t="n">
        <f aca="false">(Q!M21+Sens!E11874+Sens!E11875+Sens!E11876+Sens!E11889-Sens!E11872)/(Q!M5-Sens!E11872)</f>
        <v>0.570957350878296</v>
      </c>
      <c r="F11937" s="7" t="n">
        <f aca="false">Sens!$E$11937+dm_seg_hi</f>
        <v>0.590957350878296</v>
      </c>
      <c r="G11937" s="7" t="n">
        <f aca="false">Sens!$E$11937+dm_seg_hi</f>
        <v>0.590957350878296</v>
      </c>
      <c r="H11937" s="7" t="n">
        <f aca="false">Sens!$E$11937+dm_seg_hi</f>
        <v>0.590957350878296</v>
      </c>
      <c r="I11937" s="7" t="n">
        <f aca="false">Sens!$E$11937+dm_seg_hi</f>
        <v>0.590957350878296</v>
      </c>
      <c r="J11937" s="7" t="n">
        <f aca="false">Sens!$E$11937+dm_seg_hi</f>
        <v>0.590957350878296</v>
      </c>
      <c r="K11937" s="7" t="n">
        <f aca="false">Sens!$E$11937+dm_seg_hi</f>
        <v>0.590957350878296</v>
      </c>
      <c r="L11937" s="11" t="s">
        <v>909</v>
      </c>
    </row>
    <row r="11938" customFormat="false" ht="17.15" hidden="false" customHeight="false" outlineLevel="0" collapsed="false">
      <c r="A11938" s="0" t="s">
        <v>743</v>
      </c>
      <c r="B11938" s="0" t="s">
        <v>98</v>
      </c>
      <c r="D11938" s="6" t="n">
        <f aca="false">Q!L21</f>
        <v>110.814</v>
      </c>
      <c r="E11938" s="6" t="n">
        <f aca="false">Q!M21</f>
        <v>136.365</v>
      </c>
      <c r="F11938" s="6" t="n">
        <f aca="false">Sens!F11937*(Sens!F11908-Sens!F11872)+Sens!F11872-(Sens!F11874+Sens!F11875+Sens!F11876)-Sens!F11889-Sens!F11972</f>
        <v>163.044036738994</v>
      </c>
      <c r="G11938" s="6" t="n">
        <f aca="false">Sens!G11937*(Sens!G11908-Sens!G11872)+Sens!G11872-(Sens!G11874+Sens!G11875+Sens!G11876)-Sens!G11889-Sens!G11972</f>
        <v>184.188552230382</v>
      </c>
      <c r="H11938" s="6" t="n">
        <f aca="false">Sens!H11937*(Sens!H11908-Sens!H11872)+Sens!H11872-(Sens!H11874+Sens!H11875+Sens!H11876)-Sens!H11889-Sens!H11972</f>
        <v>204.699754114981</v>
      </c>
      <c r="I11938" s="6" t="n">
        <f aca="false">Sens!I11937*(Sens!I11908-Sens!I11872)+Sens!I11872-(Sens!I11874+Sens!I11875+Sens!I11876)-Sens!I11889-Sens!I11972</f>
        <v>224.2377661391</v>
      </c>
      <c r="J11938" s="6" t="n">
        <f aca="false">Sens!J11937*(Sens!J11908-Sens!J11872)+Sens!J11872-(Sens!J11874+Sens!J11875+Sens!J11876)-Sens!J11889-Sens!J11972</f>
        <v>242.312996727983</v>
      </c>
      <c r="K11938" s="6" t="n">
        <f aca="false">Sens!K11937*(Sens!K11908-Sens!K11872)+Sens!K11872-(Sens!K11874+Sens!K11875+Sens!K11876)-Sens!K11889-Sens!K11972</f>
        <v>259.764732687846</v>
      </c>
      <c r="L11938" s="1" t="s">
        <v>910</v>
      </c>
    </row>
    <row r="11939" customFormat="false" ht="17.15" hidden="false" customHeight="false" outlineLevel="0" collapsed="false">
      <c r="A11939" s="0" t="s">
        <v>911</v>
      </c>
      <c r="B11939" s="0" t="s">
        <v>129</v>
      </c>
      <c r="E11939" s="7" t="n">
        <f aca="false">Q!M22/Q!M12</f>
        <v>0.296207935710698</v>
      </c>
      <c r="F11939" s="7" t="n">
        <f aca="false">Sens!$E$11939+dm_seg_hi</f>
        <v>0.316207935710698</v>
      </c>
      <c r="G11939" s="7" t="n">
        <f aca="false">Sens!$E$11939+dm_seg_hi</f>
        <v>0.316207935710698</v>
      </c>
      <c r="H11939" s="7" t="n">
        <f aca="false">Sens!$E$11939+dm_seg_hi</f>
        <v>0.316207935710698</v>
      </c>
      <c r="I11939" s="7" t="n">
        <f aca="false">Sens!$E$11939+dm_seg_hi</f>
        <v>0.316207935710698</v>
      </c>
      <c r="J11939" s="7" t="n">
        <f aca="false">Sens!$E$11939+dm_seg_hi</f>
        <v>0.316207935710698</v>
      </c>
      <c r="K11939" s="7" t="n">
        <f aca="false">Sens!$E$11939+dm_seg_hi</f>
        <v>0.316207935710698</v>
      </c>
      <c r="L11939" s="11" t="s">
        <v>912</v>
      </c>
    </row>
    <row r="11940" customFormat="false" ht="17.15" hidden="false" customHeight="false" outlineLevel="0" collapsed="false">
      <c r="A11940" s="0" t="s">
        <v>745</v>
      </c>
      <c r="B11940" s="0" t="s">
        <v>98</v>
      </c>
      <c r="D11940" s="6" t="n">
        <f aca="false">Q!L22</f>
        <v>17.714</v>
      </c>
      <c r="E11940" s="6" t="n">
        <f aca="false">Q!M22</f>
        <v>18.872</v>
      </c>
      <c r="F11940" s="6" t="n">
        <f aca="false">Sens!F11915*Sens!F11939</f>
        <v>20.5982834201913</v>
      </c>
      <c r="G11940" s="6" t="n">
        <f aca="false">Sens!G11915*Sens!G11939</f>
        <v>21.2255718603318</v>
      </c>
      <c r="H11940" s="6" t="n">
        <f aca="false">Sens!H11915*Sens!H11939</f>
        <v>22.0007378871002</v>
      </c>
      <c r="I11940" s="6" t="n">
        <f aca="false">Sens!I11915*Sens!I11939</f>
        <v>22.9008281378544</v>
      </c>
      <c r="J11940" s="6" t="n">
        <f aca="false">Sens!J11915*Sens!J11939</f>
        <v>23.9067143116989</v>
      </c>
      <c r="K11940" s="6" t="n">
        <f aca="false">Sens!K11915*Sens!K11939</f>
        <v>25.0030167215181</v>
      </c>
    </row>
    <row r="11941" customFormat="false" ht="15" hidden="false" customHeight="false" outlineLevel="0" collapsed="false">
      <c r="A11941" s="1" t="s">
        <v>913</v>
      </c>
      <c r="B11941" s="0" t="s">
        <v>98</v>
      </c>
      <c r="D11941" s="6" t="n">
        <f aca="false">Sens!D11938+Sens!D11940</f>
        <v>128.528</v>
      </c>
      <c r="E11941" s="6" t="n">
        <f aca="false">Sens!E11938+Sens!E11940</f>
        <v>155.237</v>
      </c>
      <c r="F11941" s="6" t="n">
        <f aca="false">Sens!F11938+Sens!F11940</f>
        <v>183.642320159185</v>
      </c>
      <c r="G11941" s="6" t="n">
        <f aca="false">Sens!G11938+Sens!G11940</f>
        <v>205.414124090714</v>
      </c>
      <c r="H11941" s="6" t="n">
        <f aca="false">Sens!H11938+Sens!H11940</f>
        <v>226.700492002081</v>
      </c>
      <c r="I11941" s="6" t="n">
        <f aca="false">Sens!I11938+Sens!I11940</f>
        <v>247.138594276955</v>
      </c>
      <c r="J11941" s="6" t="n">
        <f aca="false">Sens!J11938+Sens!J11940</f>
        <v>266.219711039682</v>
      </c>
      <c r="K11941" s="6" t="n">
        <f aca="false">Sens!K11938+Sens!K11940</f>
        <v>284.767749409364</v>
      </c>
    </row>
    <row r="11942" customFormat="false" ht="15" hidden="false" customHeight="false" outlineLevel="0" collapsed="false">
      <c r="A11942" s="23" t="s">
        <v>914</v>
      </c>
      <c r="B11942" s="30" t="s">
        <v>98</v>
      </c>
      <c r="C11942" s="30"/>
      <c r="D11942" s="24" t="n">
        <f aca="false">Sens!D11941-Q!L23</f>
        <v>0</v>
      </c>
      <c r="E11942" s="24" t="n">
        <f aca="false">Sens!E11941-Q!M23</f>
        <v>0</v>
      </c>
      <c r="F11942" s="30"/>
      <c r="G11942" s="30"/>
      <c r="H11942" s="30"/>
      <c r="I11942" s="30"/>
      <c r="J11942" s="30"/>
      <c r="K11942" s="30"/>
    </row>
    <row r="11943" customFormat="false" ht="15" hidden="false" customHeight="false" outlineLevel="0" collapsed="false">
      <c r="A11943" s="1" t="s">
        <v>915</v>
      </c>
      <c r="B11943" s="0" t="s">
        <v>129</v>
      </c>
      <c r="D11943" s="7" t="n">
        <f aca="false">Sens!D11941/Sens!D11934</f>
        <v>0.456219562408598</v>
      </c>
      <c r="E11943" s="7" t="n">
        <f aca="false">Sens!E11941/Sens!E11934</f>
        <v>0.467808184089272</v>
      </c>
      <c r="F11943" s="7" t="n">
        <f aca="false">Sens!F11941/Sens!F11934</f>
        <v>0.459787314733737</v>
      </c>
      <c r="G11943" s="7" t="n">
        <f aca="false">Sens!G11941/Sens!G11934</f>
        <v>0.432271068234696</v>
      </c>
      <c r="H11943" s="7" t="n">
        <f aca="false">Sens!H11941/Sens!H11934</f>
        <v>0.410114912582059</v>
      </c>
      <c r="I11943" s="7" t="n">
        <f aca="false">Sens!I11941/Sens!I11934</f>
        <v>0.395848103675789</v>
      </c>
      <c r="J11943" s="7" t="n">
        <f aca="false">Sens!J11941/Sens!J11934</f>
        <v>0.389595450566614</v>
      </c>
      <c r="K11943" s="7" t="n">
        <f aca="false">Sens!K11941/Sens!K11934</f>
        <v>0.389319940157624</v>
      </c>
    </row>
    <row r="11944" customFormat="false" ht="17.15" hidden="false" customHeight="false" outlineLevel="0" collapsed="false">
      <c r="A11944" s="1" t="s">
        <v>916</v>
      </c>
      <c r="B11944" s="0" t="s">
        <v>98</v>
      </c>
      <c r="F11944" s="6" t="n">
        <f aca="false">Sens!F11959</f>
        <v>9.16392047395526</v>
      </c>
      <c r="G11944" s="6" t="n">
        <f aca="false">Sens!G11959</f>
        <v>23.6796303607031</v>
      </c>
      <c r="H11944" s="6" t="n">
        <f aca="false">Sens!H11959</f>
        <v>39.7293191979728</v>
      </c>
      <c r="I11944" s="6" t="n">
        <f aca="false">Sens!I11959</f>
        <v>54.4710183203111</v>
      </c>
      <c r="J11944" s="6" t="n">
        <f aca="false">Sens!J11959</f>
        <v>64.9305422613168</v>
      </c>
      <c r="K11944" s="6" t="n">
        <f aca="false">Sens!K11959</f>
        <v>70.9142160033785</v>
      </c>
      <c r="L11944" s="1" t="s">
        <v>917</v>
      </c>
    </row>
    <row r="11945" customFormat="false" ht="17.15" hidden="false" customHeight="false" outlineLevel="0" collapsed="false">
      <c r="A11945" s="1" t="s">
        <v>918</v>
      </c>
      <c r="B11945" s="0" t="s">
        <v>98</v>
      </c>
      <c r="D11945" s="6" t="n">
        <f aca="false">Sens!D11941</f>
        <v>128.528</v>
      </c>
      <c r="E11945" s="6" t="n">
        <f aca="false">Sens!E11941</f>
        <v>155.237</v>
      </c>
      <c r="F11945" s="6" t="n">
        <f aca="false">Sens!F11941+Sens!F11944</f>
        <v>192.806240633141</v>
      </c>
      <c r="G11945" s="6" t="n">
        <f aca="false">Sens!G11941+Sens!G11944</f>
        <v>229.093754451417</v>
      </c>
      <c r="H11945" s="6" t="n">
        <f aca="false">Sens!H11941+Sens!H11944</f>
        <v>266.429811200054</v>
      </c>
      <c r="I11945" s="6" t="n">
        <f aca="false">Sens!I11941+Sens!I11944</f>
        <v>301.609612597266</v>
      </c>
      <c r="J11945" s="6" t="n">
        <f aca="false">Sens!J11941+Sens!J11944</f>
        <v>331.150253300998</v>
      </c>
      <c r="K11945" s="6" t="n">
        <f aca="false">Sens!K11941+Sens!K11944</f>
        <v>355.681965412742</v>
      </c>
    </row>
    <row r="11946" customFormat="false" ht="17.15" hidden="false" customHeight="false" outlineLevel="0" collapsed="false">
      <c r="A11946" s="1" t="s">
        <v>919</v>
      </c>
      <c r="B11946" s="0" t="s">
        <v>98</v>
      </c>
      <c r="E11946" s="6" t="n">
        <f aca="false">Sens!E11889</f>
        <v>16.3054059770833</v>
      </c>
      <c r="F11946" s="6" t="n">
        <f aca="false">Sens!F11889</f>
        <v>34.0498873809555</v>
      </c>
      <c r="G11946" s="6" t="n">
        <f aca="false">Sens!G11889</f>
        <v>59.1254371105111</v>
      </c>
      <c r="H11946" s="6" t="n">
        <f aca="false">Sens!H11889</f>
        <v>86.3610198433111</v>
      </c>
      <c r="I11946" s="6" t="n">
        <f aca="false">Sens!I11889</f>
        <v>110.605743832393</v>
      </c>
      <c r="J11946" s="6" t="n">
        <f aca="false">Sens!J11889</f>
        <v>127.998322852843</v>
      </c>
      <c r="K11946" s="6" t="n">
        <f aca="false">Sens!K11889</f>
        <v>139.131464044308</v>
      </c>
    </row>
    <row r="11947" customFormat="false" ht="17.15" hidden="false" customHeight="false" outlineLevel="0" collapsed="false">
      <c r="A11947" s="1" t="s">
        <v>920</v>
      </c>
      <c r="B11947" s="0" t="s">
        <v>98</v>
      </c>
      <c r="E11947" s="6" t="n">
        <f aca="false">Sens!E11971</f>
        <v>22.2285940229167</v>
      </c>
      <c r="F11947" s="6" t="n">
        <f aca="false">Sens!F11971</f>
        <v>24.3924470334783</v>
      </c>
      <c r="G11947" s="6" t="n">
        <f aca="false">Sens!G11971</f>
        <v>26.0684916871694</v>
      </c>
      <c r="H11947" s="6" t="n">
        <f aca="false">Sens!H11971</f>
        <v>28.1427938828615</v>
      </c>
      <c r="I11947" s="6" t="n">
        <f aca="false">Sens!I11971</f>
        <v>30.5483545257397</v>
      </c>
      <c r="J11947" s="6" t="n">
        <f aca="false">Sens!J11971</f>
        <v>33.2016103982031</v>
      </c>
      <c r="K11947" s="6" t="n">
        <f aca="false">Sens!K11971</f>
        <v>36.0183196325822</v>
      </c>
    </row>
    <row r="11948" customFormat="false" ht="17.15" hidden="false" customHeight="false" outlineLevel="0" collapsed="false">
      <c r="A11948" s="1" t="s">
        <v>921</v>
      </c>
      <c r="B11948" s="0" t="s">
        <v>98</v>
      </c>
      <c r="D11948" s="6" t="n">
        <f aca="false">Q!L27</f>
        <v>-4.901</v>
      </c>
      <c r="E11948" s="6" t="n">
        <f aca="false">Q!M27</f>
        <v>10.697</v>
      </c>
      <c r="F11948" s="6" t="n">
        <f aca="false">oie_f</f>
        <v>-0.4</v>
      </c>
      <c r="G11948" s="6" t="n">
        <f aca="false">oie_f</f>
        <v>-0.4</v>
      </c>
      <c r="H11948" s="6" t="n">
        <f aca="false">oie_f</f>
        <v>-0.4</v>
      </c>
      <c r="I11948" s="6" t="n">
        <f aca="false">oie_f</f>
        <v>-0.4</v>
      </c>
      <c r="J11948" s="6" t="n">
        <f aca="false">oie_f</f>
        <v>-0.4</v>
      </c>
      <c r="K11948" s="6" t="n">
        <f aca="false">oie_f</f>
        <v>-0.4</v>
      </c>
      <c r="L11948" s="11" t="s">
        <v>922</v>
      </c>
    </row>
    <row r="11949" customFormat="false" ht="15" hidden="false" customHeight="false" outlineLevel="0" collapsed="false">
      <c r="A11949" s="1" t="s">
        <v>923</v>
      </c>
      <c r="B11949" s="0" t="s">
        <v>98</v>
      </c>
      <c r="D11949" s="6" t="n">
        <f aca="false">Sens!D11941+Sens!D11948</f>
        <v>123.627</v>
      </c>
      <c r="E11949" s="6" t="n">
        <f aca="false">Sens!E11941+Sens!E11948</f>
        <v>165.934</v>
      </c>
      <c r="F11949" s="6" t="n">
        <f aca="false">Sens!F11941+Sens!F11948</f>
        <v>183.242320159185</v>
      </c>
      <c r="G11949" s="6" t="n">
        <f aca="false">Sens!G11941+Sens!G11948</f>
        <v>205.014124090714</v>
      </c>
      <c r="H11949" s="6" t="n">
        <f aca="false">Sens!H11941+Sens!H11948</f>
        <v>226.300492002081</v>
      </c>
      <c r="I11949" s="6" t="n">
        <f aca="false">Sens!I11941+Sens!I11948</f>
        <v>246.738594276955</v>
      </c>
      <c r="J11949" s="6" t="n">
        <f aca="false">Sens!J11941+Sens!J11948</f>
        <v>265.819711039682</v>
      </c>
      <c r="K11949" s="6" t="n">
        <f aca="false">Sens!K11941+Sens!K11948</f>
        <v>284.367749409364</v>
      </c>
    </row>
    <row r="11950" customFormat="false" ht="15" hidden="false" customHeight="false" outlineLevel="0" collapsed="false">
      <c r="A11950" s="1" t="s">
        <v>924</v>
      </c>
      <c r="B11950" s="0" t="s">
        <v>98</v>
      </c>
      <c r="D11950" s="6" t="n">
        <f aca="false">Q!L29</f>
        <v>21.795</v>
      </c>
      <c r="E11950" s="6" t="n">
        <f aca="false">Q!M29</f>
        <v>32.185</v>
      </c>
      <c r="F11950" s="6" t="n">
        <f aca="false">Sens!F11949*tax_f</f>
        <v>36.6484640318371</v>
      </c>
      <c r="G11950" s="6" t="n">
        <f aca="false">Sens!G11949*tax_f</f>
        <v>41.0028248181428</v>
      </c>
      <c r="H11950" s="6" t="n">
        <f aca="false">Sens!H11949*tax_f</f>
        <v>45.2600984004162</v>
      </c>
      <c r="I11950" s="6" t="n">
        <f aca="false">Sens!I11949*tax_f</f>
        <v>49.3477188553909</v>
      </c>
      <c r="J11950" s="6" t="n">
        <f aca="false">Sens!J11949*tax_f</f>
        <v>53.1639422079363</v>
      </c>
      <c r="K11950" s="6" t="n">
        <f aca="false">Sens!K11949*tax_f</f>
        <v>56.8735498818727</v>
      </c>
    </row>
    <row r="11951" customFormat="false" ht="15" hidden="false" customHeight="false" outlineLevel="0" collapsed="false">
      <c r="A11951" s="1" t="s">
        <v>925</v>
      </c>
      <c r="B11951" s="0" t="s">
        <v>98</v>
      </c>
      <c r="D11951" s="6" t="n">
        <f aca="false">Sens!D11949-Sens!D11950</f>
        <v>101.832</v>
      </c>
      <c r="E11951" s="6" t="n">
        <f aca="false">Sens!E11949-Sens!E11950</f>
        <v>133.749</v>
      </c>
      <c r="F11951" s="6" t="n">
        <f aca="false">Sens!F11949-Sens!F11950</f>
        <v>146.593856127348</v>
      </c>
      <c r="G11951" s="6" t="n">
        <f aca="false">Sens!G11949-Sens!G11950</f>
        <v>164.011299272571</v>
      </c>
      <c r="H11951" s="6" t="n">
        <f aca="false">Sens!H11949-Sens!H11950</f>
        <v>181.040393601665</v>
      </c>
      <c r="I11951" s="6" t="n">
        <f aca="false">Sens!I11949-Sens!I11950</f>
        <v>197.390875421564</v>
      </c>
      <c r="J11951" s="6" t="n">
        <f aca="false">Sens!J11949-Sens!J11950</f>
        <v>212.655768831745</v>
      </c>
      <c r="K11951" s="6" t="n">
        <f aca="false">Sens!K11949-Sens!K11950</f>
        <v>227.494199527491</v>
      </c>
    </row>
    <row r="11952" customFormat="false" ht="17.15" hidden="false" customHeight="false" outlineLevel="0" collapsed="false">
      <c r="A11952" s="1" t="s">
        <v>926</v>
      </c>
      <c r="B11952" s="1" t="s">
        <v>81</v>
      </c>
      <c r="D11952" s="14" t="n">
        <f aca="false">Q!L31</f>
        <v>7.465</v>
      </c>
      <c r="E11952" s="14" t="n">
        <f aca="false">Q!M31</f>
        <v>7.453</v>
      </c>
      <c r="F11952" s="14" t="n">
        <f aca="false">Sens!F11995</f>
        <v>7.4735</v>
      </c>
      <c r="G11952" s="14" t="n">
        <f aca="false">Sens!G11995</f>
        <v>7.51290354529141</v>
      </c>
      <c r="H11952" s="14" t="n">
        <f aca="false">Sens!H11995</f>
        <v>7.53505867643278</v>
      </c>
      <c r="I11952" s="14" t="n">
        <f aca="false">Sens!I11995</f>
        <v>7.54683950844009</v>
      </c>
      <c r="J11952" s="14" t="n">
        <f aca="false">Sens!J11995</f>
        <v>7.56108101955797</v>
      </c>
      <c r="K11952" s="14" t="n">
        <f aca="false">Sens!K11995</f>
        <v>7.57760093725971</v>
      </c>
    </row>
    <row r="11953" customFormat="false" ht="17.15" hidden="false" customHeight="false" outlineLevel="0" collapsed="false">
      <c r="A11953" s="0" t="s">
        <v>927</v>
      </c>
      <c r="B11953" s="0" t="s">
        <v>75</v>
      </c>
      <c r="D11953" s="8" t="n">
        <f aca="false">Sens!D11951/Sens!D11952</f>
        <v>13.641259209645</v>
      </c>
      <c r="E11953" s="8" t="n">
        <f aca="false">Sens!E11951/Sens!E11952</f>
        <v>17.9456594659869</v>
      </c>
      <c r="F11953" s="8" t="n">
        <f aca="false">Sens!F11951/Sens!F11952</f>
        <v>19.6151543623936</v>
      </c>
      <c r="G11953" s="8" t="n">
        <f aca="false">Sens!G11951/Sens!G11952</f>
        <v>21.8306142603631</v>
      </c>
      <c r="H11953" s="8" t="n">
        <f aca="false">Sens!H11951/Sens!H11952</f>
        <v>24.0264079386535</v>
      </c>
      <c r="I11953" s="8" t="n">
        <f aca="false">Sens!I11951/Sens!I11952</f>
        <v>26.1554356894445</v>
      </c>
      <c r="J11953" s="8" t="n">
        <f aca="false">Sens!J11951/Sens!J11952</f>
        <v>28.1250482942421</v>
      </c>
      <c r="K11953" s="8" t="n">
        <f aca="false">Sens!K11951/Sens!K11952</f>
        <v>30.0219292901639</v>
      </c>
      <c r="L11953" s="1" t="s">
        <v>928</v>
      </c>
    </row>
    <row r="11954" customFormat="false" ht="17.15" hidden="false" customHeight="false" outlineLevel="0" collapsed="false">
      <c r="A11954" s="1" t="s">
        <v>929</v>
      </c>
      <c r="B11954" s="0" t="s">
        <v>98</v>
      </c>
      <c r="D11954" s="6" t="n">
        <f aca="false">Sens!D11951</f>
        <v>101.832</v>
      </c>
      <c r="E11954" s="6" t="n">
        <f aca="false">Sens!E11951</f>
        <v>133.749</v>
      </c>
      <c r="F11954" s="6" t="n">
        <f aca="false">Sens!F11951+Sens!F11944*(1-tax_f)</f>
        <v>153.924992506513</v>
      </c>
      <c r="G11954" s="6" t="n">
        <f aca="false">Sens!G11951+Sens!G11944*(1-tax_f)</f>
        <v>182.955003561134</v>
      </c>
      <c r="H11954" s="6" t="n">
        <f aca="false">Sens!H11951+Sens!H11944*(1-tax_f)</f>
        <v>212.823848960043</v>
      </c>
      <c r="I11954" s="6" t="n">
        <f aca="false">Sens!I11951+Sens!I11944*(1-tax_f)</f>
        <v>240.967690077813</v>
      </c>
      <c r="J11954" s="6" t="n">
        <f aca="false">Sens!J11951+Sens!J11944*(1-tax_f)</f>
        <v>264.600202640799</v>
      </c>
      <c r="K11954" s="6" t="n">
        <f aca="false">Sens!K11951+Sens!K11944*(1-tax_f)</f>
        <v>284.225572330194</v>
      </c>
    </row>
    <row r="11955" customFormat="false" ht="17.15" hidden="false" customHeight="false" outlineLevel="0" collapsed="false">
      <c r="A11955" s="0" t="s">
        <v>930</v>
      </c>
      <c r="B11955" s="0" t="s">
        <v>75</v>
      </c>
      <c r="D11955" s="8" t="n">
        <f aca="false">Sens!D11954/Sens!D11952</f>
        <v>13.641259209645</v>
      </c>
      <c r="E11955" s="8" t="n">
        <f aca="false">Sens!E11954/Sens!E11952</f>
        <v>17.9456594659869</v>
      </c>
      <c r="F11955" s="8" t="n">
        <f aca="false">Sens!F11954/Sens!F11952</f>
        <v>20.5961052393808</v>
      </c>
      <c r="G11955" s="8" t="n">
        <f aca="false">Sens!G11954/Sens!G11952</f>
        <v>24.3521033456895</v>
      </c>
      <c r="H11955" s="8" t="n">
        <f aca="false">Sens!H11954/Sens!H11952</f>
        <v>28.2444846283264</v>
      </c>
      <c r="I11955" s="8" t="n">
        <f aca="false">Sens!I11954/Sens!I11952</f>
        <v>31.929616339174</v>
      </c>
      <c r="J11955" s="8" t="n">
        <f aca="false">Sens!J11954/Sens!J11952</f>
        <v>34.9950227958631</v>
      </c>
      <c r="K11955" s="8" t="n">
        <f aca="false">Sens!K11954/Sens!K11952</f>
        <v>37.5086488036909</v>
      </c>
      <c r="L11955" s="1" t="s">
        <v>931</v>
      </c>
    </row>
    <row r="11956" customFormat="false" ht="17.15" hidden="false" customHeight="false" outlineLevel="0" collapsed="false">
      <c r="A11956" s="0" t="s">
        <v>932</v>
      </c>
      <c r="B11956" s="0" t="s">
        <v>129</v>
      </c>
      <c r="E11956" s="7" t="n">
        <f aca="false">Sens!E11955/Sens!D11955-1</f>
        <v>0.315542736208578</v>
      </c>
      <c r="F11956" s="7" t="n">
        <f aca="false">Sens!F11955/Sens!E11955-1</f>
        <v>0.147692860126843</v>
      </c>
      <c r="G11956" s="7" t="n">
        <f aca="false">Sens!G11955/Sens!F11955-1</f>
        <v>0.182364484093189</v>
      </c>
      <c r="H11956" s="7" t="n">
        <f aca="false">Sens!H11955/Sens!G11955-1</f>
        <v>0.159837580655054</v>
      </c>
      <c r="I11956" s="7" t="n">
        <f aca="false">Sens!I11955/Sens!H11955-1</f>
        <v>0.130472612948718</v>
      </c>
      <c r="J11956" s="7" t="n">
        <f aca="false">Sens!J11955/Sens!I11955-1</f>
        <v>0.0960051140022047</v>
      </c>
      <c r="K11956" s="7" t="n">
        <f aca="false">Sens!K11955/Sens!J11955-1</f>
        <v>0.0718281003127395</v>
      </c>
    </row>
    <row r="11957" customFormat="false" ht="17.15" hidden="false" customHeight="false" outlineLevel="0" collapsed="false">
      <c r="A11957" s="0" t="s">
        <v>856</v>
      </c>
      <c r="B11957" s="0" t="s">
        <v>98</v>
      </c>
      <c r="E11957" s="6" t="n">
        <f aca="false">Sens!E11898</f>
        <v>5.25</v>
      </c>
      <c r="F11957" s="6" t="n">
        <f aca="false">Sens!F11898</f>
        <v>12</v>
      </c>
      <c r="G11957" s="6" t="n">
        <f aca="false">Sens!G11898</f>
        <v>18</v>
      </c>
      <c r="H11957" s="6" t="n">
        <f aca="false">Sens!H11898</f>
        <v>24</v>
      </c>
      <c r="I11957" s="6" t="n">
        <f aca="false">Sens!I11898</f>
        <v>28.5</v>
      </c>
      <c r="J11957" s="6" t="n">
        <f aca="false">Sens!J11898</f>
        <v>31.5</v>
      </c>
      <c r="K11957" s="6" t="n">
        <f aca="false">Sens!K11898</f>
        <v>34.5</v>
      </c>
    </row>
    <row r="11958" customFormat="false" ht="17.15" hidden="false" customHeight="false" outlineLevel="0" collapsed="false">
      <c r="A11958" s="1" t="s">
        <v>857</v>
      </c>
      <c r="B11958" s="0" t="s">
        <v>98</v>
      </c>
      <c r="F11958" s="6" t="n">
        <f aca="false">MAX(0,((Sens!E11861+Sens!F11861)/2-(shadow_base*(Sens!$D$11861+Sens!$E$11861)/2+(1-shadow_base)*Sens!$E$11861))*Sens!F11869/1000-(Sens!F11957-Sens!$E$11957)*Sens!F11937)</f>
        <v>9.16392047395526</v>
      </c>
      <c r="G11958" s="6" t="n">
        <f aca="false">MAX(0,((Sens!F11861+Sens!G11861)/2-(shadow_base*(Sens!$D$11861+Sens!$E$11861)/2+(1-shadow_base)*Sens!$E$11861))*Sens!G11869/1000-(Sens!G11957-Sens!$E$11957)*Sens!G11937)</f>
        <v>23.6796303607031</v>
      </c>
      <c r="H11958" s="6" t="n">
        <f aca="false">MAX(0,((Sens!G11861+Sens!H11861)/2-(shadow_base*(Sens!$D$11861+Sens!$E$11861)/2+(1-shadow_base)*Sens!$E$11861))*Sens!H11869/1000-(Sens!H11957-Sens!$E$11957)*Sens!H11937)</f>
        <v>39.7293191979728</v>
      </c>
      <c r="I11958" s="6" t="n">
        <f aca="false">MAX(0,((Sens!H11861+Sens!I11861)/2-(shadow_base*(Sens!$D$11861+Sens!$E$11861)/2+(1-shadow_base)*Sens!$E$11861))*Sens!I11869/1000-(Sens!I11957-Sens!$E$11957)*Sens!I11937)</f>
        <v>54.4710183203111</v>
      </c>
      <c r="J11958" s="6" t="n">
        <f aca="false">MAX(0,((Sens!I11861+Sens!J11861)/2-(shadow_base*(Sens!$D$11861+Sens!$E$11861)/2+(1-shadow_base)*Sens!$E$11861))*Sens!J11869/1000-(Sens!J11957-Sens!$E$11957)*Sens!J11937)</f>
        <v>64.9305422613168</v>
      </c>
      <c r="K11958" s="6" t="n">
        <f aca="false">MAX(0,((Sens!J11861+Sens!K11861)/2-(shadow_base*(Sens!$D$11861+Sens!$E$11861)/2+(1-shadow_base)*Sens!$E$11861))*Sens!K11869/1000-(Sens!K11957-Sens!$E$11957)*Sens!K11937)</f>
        <v>70.9142160033785</v>
      </c>
      <c r="L11958" s="1" t="s">
        <v>858</v>
      </c>
    </row>
    <row r="11959" customFormat="false" ht="17.15" hidden="false" customHeight="false" outlineLevel="0" collapsed="false">
      <c r="A11959" s="1" t="s">
        <v>859</v>
      </c>
      <c r="B11959" s="0" t="s">
        <v>98</v>
      </c>
      <c r="F11959" s="6" t="n">
        <f aca="false">IF(internal_ai_reading=2,1,0)*Sens!F11958</f>
        <v>9.16392047395526</v>
      </c>
      <c r="G11959" s="6" t="n">
        <f aca="false">IF(internal_ai_reading=2,1,0)*Sens!G11958</f>
        <v>23.6796303607031</v>
      </c>
      <c r="H11959" s="6" t="n">
        <f aca="false">IF(internal_ai_reading=2,1,0)*Sens!H11958</f>
        <v>39.7293191979728</v>
      </c>
      <c r="I11959" s="6" t="n">
        <f aca="false">IF(internal_ai_reading=2,1,0)*Sens!I11958</f>
        <v>54.4710183203111</v>
      </c>
      <c r="J11959" s="6" t="n">
        <f aca="false">IF(internal_ai_reading=2,1,0)*Sens!J11958</f>
        <v>64.9305422613168</v>
      </c>
      <c r="K11959" s="6" t="n">
        <f aca="false">IF(internal_ai_reading=2,1,0)*Sens!K11958</f>
        <v>70.9142160033785</v>
      </c>
    </row>
    <row r="11960" customFormat="false" ht="17.15" hidden="false" customHeight="false" outlineLevel="0" collapsed="false">
      <c r="A11960" s="0" t="s">
        <v>860</v>
      </c>
      <c r="B11960" s="0" t="s">
        <v>98</v>
      </c>
      <c r="F11960" s="6" t="n">
        <f aca="false">Sens!F11878+Sens!F11957*Sens!F11937+Sens!F11959-Sens!F11879-Sens!F11889</f>
        <v>15.1320315022233</v>
      </c>
      <c r="G11960" s="6" t="n">
        <f aca="false">Sens!G11878+Sens!G11957*Sens!G11937+Sens!G11959-Sens!G11879-Sens!G11889</f>
        <v>30.9595489496423</v>
      </c>
      <c r="H11960" s="6" t="n">
        <f aca="false">Sens!H11878+Sens!H11957*Sens!H11937+Sens!H11959-Sens!H11879-Sens!H11889</f>
        <v>47.5074902575898</v>
      </c>
      <c r="I11960" s="6" t="n">
        <f aca="false">Sens!I11878+Sens!I11957*Sens!I11937+Sens!I11959-Sens!I11879-Sens!I11889</f>
        <v>62.2867971739404</v>
      </c>
      <c r="J11960" s="6" t="n">
        <f aca="false">Sens!J11878+Sens!J11957*Sens!J11937+Sens!J11959-Sens!J11879-Sens!J11889</f>
        <v>72.6100518947331</v>
      </c>
      <c r="K11960" s="6" t="n">
        <f aca="false">Sens!K11878+Sens!K11957*Sens!K11937+Sens!K11959-Sens!K11879-Sens!K11889</f>
        <v>79.9260980571165</v>
      </c>
    </row>
    <row r="11961" customFormat="false" ht="17.15" hidden="false" customHeight="false" outlineLevel="0" collapsed="false">
      <c r="A11961" s="0" t="s">
        <v>861</v>
      </c>
      <c r="B11961" s="0" t="s">
        <v>98</v>
      </c>
      <c r="E11961" s="6" t="n">
        <f aca="false">Sens!E11860*(cxit_open+self_build*tk_cxfac)/1000*ai_net_open</f>
        <v>126.6980382</v>
      </c>
      <c r="F11961" s="6" t="n">
        <f aca="false">Sens!E11961+Sens!F11886-Sens!F11889</f>
        <v>252.981026690511</v>
      </c>
      <c r="G11961" s="6" t="n">
        <f aca="false">Sens!F11961+Sens!G11886-Sens!G11889</f>
        <v>377.4297700632</v>
      </c>
      <c r="H11961" s="6" t="n">
        <f aca="false">Sens!G11961+Sens!H11886-Sens!H11889</f>
        <v>479.149036130289</v>
      </c>
      <c r="I11961" s="6" t="n">
        <f aca="false">Sens!H11961+Sens!I11886-Sens!I11889</f>
        <v>532.249961452141</v>
      </c>
      <c r="J11961" s="6" t="n">
        <f aca="false">Sens!I11961+Sens!J11886-Sens!J11889</f>
        <v>531.43307519354</v>
      </c>
      <c r="K11961" s="6" t="n">
        <f aca="false">Sens!J11961+Sens!K11886-Sens!K11889</f>
        <v>513.709026452823</v>
      </c>
      <c r="L11961" s="1" t="s">
        <v>862</v>
      </c>
    </row>
    <row r="11962" customFormat="false" ht="17.15" hidden="false" customHeight="false" outlineLevel="0" collapsed="false">
      <c r="A11962" s="0" t="s">
        <v>863</v>
      </c>
      <c r="B11962" s="0" t="s">
        <v>129</v>
      </c>
      <c r="F11962" s="7" t="n">
        <f aca="false">Sens!F11960*(1-tax_f)/((Sens!E11961+Sens!F11961)/2)</f>
        <v>0.063767672864816</v>
      </c>
      <c r="G11962" s="7" t="n">
        <f aca="false">Sens!G11960*(1-tax_f)/((Sens!F11961+Sens!G11961)/2)</f>
        <v>0.0785761896441317</v>
      </c>
      <c r="H11962" s="7" t="n">
        <f aca="false">Sens!H11960*(1-tax_f)/((Sens!G11961+Sens!H11961)/2)</f>
        <v>0.0887390440465482</v>
      </c>
      <c r="I11962" s="7" t="n">
        <f aca="false">Sens!I11960*(1-tax_f)/((Sens!H11961+Sens!I11961)/2)</f>
        <v>0.0985356676410808</v>
      </c>
      <c r="J11962" s="7" t="n">
        <f aca="false">Sens!J11960*(1-tax_f)/((Sens!I11961+Sens!J11961)/2)</f>
        <v>0.109220584543619</v>
      </c>
      <c r="K11962" s="7" t="n">
        <f aca="false">Sens!K11960*(1-tax_f)/((Sens!J11961+Sens!K11961)/2)</f>
        <v>0.122358248404633</v>
      </c>
    </row>
    <row r="11963" customFormat="false" ht="17.15" hidden="false" customHeight="false" outlineLevel="0" collapsed="false">
      <c r="A11963" s="1" t="s">
        <v>864</v>
      </c>
      <c r="B11963" s="0" t="s">
        <v>129</v>
      </c>
      <c r="F11963" s="7" t="n">
        <f aca="false">(Sens!F11960-Sens!F11959)*(1-tax_f)/((Sens!E11961+Sens!F11961)/2)</f>
        <v>0.0251501294862876</v>
      </c>
      <c r="G11963" s="7" t="n">
        <f aca="false">(Sens!G11960-Sens!G11959)*(1-tax_f)/((Sens!F11961+Sens!G11961)/2)</f>
        <v>0.0184766342871715</v>
      </c>
      <c r="H11963" s="7" t="n">
        <f aca="false">(Sens!H11960-Sens!H11959)*(1-tax_f)/((Sens!G11961+Sens!H11961)/2)</f>
        <v>0.0145288134674861</v>
      </c>
      <c r="I11963" s="7" t="n">
        <f aca="false">(Sens!I11960-Sens!I11959)*(1-tax_f)/((Sens!H11961+Sens!I11961)/2)</f>
        <v>0.0123643054775596</v>
      </c>
      <c r="J11963" s="7" t="n">
        <f aca="false">(Sens!J11960-Sens!J11959)*(1-tax_f)/((Sens!I11961+Sens!J11961)/2)</f>
        <v>0.0115515759771951</v>
      </c>
      <c r="K11963" s="7" t="n">
        <f aca="false">(Sens!K11960-Sens!K11959)*(1-tax_f)/((Sens!J11961+Sens!K11961)/2)</f>
        <v>0.0137962208806508</v>
      </c>
    </row>
    <row r="11964" customFormat="false" ht="17.15" hidden="false" customHeight="false" outlineLevel="0" collapsed="false">
      <c r="A11964" s="1" t="s">
        <v>865</v>
      </c>
      <c r="B11964" s="0" t="s">
        <v>129</v>
      </c>
      <c r="F11964" s="7" t="n">
        <f aca="false">(Sens!F11960-Sens!F11959+Sens!F11958)*(1-tax_f)/((Sens!E11961+Sens!F11961)/2)</f>
        <v>0.063767672864816</v>
      </c>
      <c r="G11964" s="7" t="n">
        <f aca="false">(Sens!G11960-Sens!G11959+Sens!G11958)*(1-tax_f)/((Sens!F11961+Sens!G11961)/2)</f>
        <v>0.0785761896441317</v>
      </c>
      <c r="H11964" s="7" t="n">
        <f aca="false">(Sens!H11960-Sens!H11959+Sens!H11958)*(1-tax_f)/((Sens!G11961+Sens!H11961)/2)</f>
        <v>0.0887390440465482</v>
      </c>
      <c r="I11964" s="7" t="n">
        <f aca="false">(Sens!I11960-Sens!I11959+Sens!I11958)*(1-tax_f)/((Sens!H11961+Sens!I11961)/2)</f>
        <v>0.0985356676410808</v>
      </c>
      <c r="J11964" s="7" t="n">
        <f aca="false">(Sens!J11960-Sens!J11959+Sens!J11958)*(1-tax_f)/((Sens!I11961+Sens!J11961)/2)</f>
        <v>0.109220584543619</v>
      </c>
      <c r="K11964" s="7" t="n">
        <f aca="false">(Sens!K11960-Sens!K11959+Sens!K11958)*(1-tax_f)/((Sens!J11961+Sens!K11961)/2)</f>
        <v>0.122358248404633</v>
      </c>
    </row>
    <row r="11965" customFormat="false" ht="17.15" hidden="false" customHeight="false" outlineLevel="0" collapsed="false">
      <c r="A11965" s="1" t="s">
        <v>866</v>
      </c>
      <c r="B11965" s="0" t="s">
        <v>129</v>
      </c>
      <c r="F11965" s="7" t="n">
        <f aca="false">Sens!F11890*(1-tax_f)/(Sens!F11877*(Sens!E11961+Sens!F11961)/2)</f>
        <v>0.133653288300971</v>
      </c>
      <c r="G11965" s="7" t="n">
        <f aca="false">Sens!G11890*(1-tax_f)/(Sens!G11877*(Sens!F11961+Sens!G11961)/2)</f>
        <v>0.131459221834535</v>
      </c>
      <c r="H11965" s="7" t="n">
        <f aca="false">Sens!H11890*(1-tax_f)/(Sens!H11877*(Sens!G11961+Sens!H11961)/2)</f>
        <v>0.135120575835084</v>
      </c>
      <c r="I11965" s="7" t="n">
        <f aca="false">Sens!I11890*(1-tax_f)/(Sens!I11877*(Sens!H11961+Sens!I11961)/2)</f>
        <v>0.143323969665222</v>
      </c>
      <c r="J11965" s="7" t="n">
        <f aca="false">Sens!J11890*(1-tax_f)/(Sens!J11877*(Sens!I11961+Sens!J11961)/2)</f>
        <v>0.155570128388075</v>
      </c>
      <c r="K11965" s="7" t="n">
        <f aca="false">Sens!K11890*(1-tax_f)/(Sens!K11877*(Sens!J11961+Sens!K11961)/2)</f>
        <v>0.172427697111622</v>
      </c>
    </row>
    <row r="11966" customFormat="false" ht="17.15" hidden="false" customHeight="false" outlineLevel="0" collapsed="false">
      <c r="A11966" s="0" t="s">
        <v>867</v>
      </c>
      <c r="B11966" s="0" t="s">
        <v>209</v>
      </c>
      <c r="F11966" s="7" t="n">
        <f aca="false">Sens!F11962-wacc</f>
        <v>-0.0391667472280598</v>
      </c>
      <c r="G11966" s="7" t="n">
        <f aca="false">Sens!G11962-wacc</f>
        <v>-0.0243582304487441</v>
      </c>
      <c r="H11966" s="7" t="n">
        <f aca="false">Sens!H11962-wacc</f>
        <v>-0.0141953760463276</v>
      </c>
      <c r="I11966" s="7" t="n">
        <f aca="false">Sens!I11962-wacc</f>
        <v>-0.00439875245179498</v>
      </c>
      <c r="J11966" s="7" t="n">
        <f aca="false">Sens!J11962-wacc</f>
        <v>0.00628616445074322</v>
      </c>
      <c r="K11966" s="7" t="n">
        <f aca="false">Sens!K11962-wacc</f>
        <v>0.0194238283117577</v>
      </c>
    </row>
    <row r="11967" customFormat="false" ht="17.15" hidden="false" customHeight="false" outlineLevel="0" collapsed="false">
      <c r="A11967" s="0" t="s">
        <v>868</v>
      </c>
      <c r="B11967" s="0" t="s">
        <v>98</v>
      </c>
      <c r="F11967" s="6" t="n">
        <f aca="false">Sens!F11960*(1-tax_f)-wacc*(Sens!E11961+Sens!F11961)/2</f>
        <v>-7.43539698117638</v>
      </c>
      <c r="G11967" s="6" t="n">
        <f aca="false">Sens!G11960*(1-tax_f)-wacc*(Sens!F11961+Sens!G11961)/2</f>
        <v>-7.67784573235163</v>
      </c>
      <c r="H11967" s="6" t="n">
        <f aca="false">Sens!H11960*(1-tax_f)-wacc*(Sens!G11961+Sens!H11961)/2</f>
        <v>-6.07972913361546</v>
      </c>
      <c r="I11967" s="6" t="n">
        <f aca="false">Sens!I11960*(1-tax_f)-wacc*(Sens!H11961+Sens!I11961)/2</f>
        <v>-2.22444691017935</v>
      </c>
      <c r="J11967" s="6" t="n">
        <f aca="false">Sens!J11960*(1-tax_f)-wacc*(Sens!I11961+Sens!J11961)/2</f>
        <v>3.34324324591034</v>
      </c>
      <c r="K11967" s="6" t="n">
        <f aca="false">Sens!K11960*(1-tax_f)-wacc*(Sens!J11961+Sens!K11961)/2</f>
        <v>10.1503303718843</v>
      </c>
    </row>
    <row r="11968" customFormat="false" ht="17.15" hidden="false" customHeight="false" outlineLevel="0" collapsed="false">
      <c r="A11968" s="3" t="s">
        <v>1570</v>
      </c>
    </row>
    <row r="11969" customFormat="false" ht="15" hidden="false" customHeight="false" outlineLevel="0" collapsed="false">
      <c r="A11969" s="4" t="s">
        <v>43</v>
      </c>
      <c r="B11969" s="4" t="s">
        <v>65</v>
      </c>
      <c r="C11969" s="20" t="s">
        <v>799</v>
      </c>
      <c r="D11969" s="20" t="s">
        <v>800</v>
      </c>
      <c r="E11969" s="20" t="s">
        <v>801</v>
      </c>
      <c r="F11969" s="20" t="s">
        <v>802</v>
      </c>
      <c r="G11969" s="20" t="s">
        <v>803</v>
      </c>
      <c r="H11969" s="20" t="s">
        <v>804</v>
      </c>
      <c r="I11969" s="20" t="s">
        <v>805</v>
      </c>
      <c r="J11969" s="20" t="s">
        <v>806</v>
      </c>
      <c r="K11969" s="20" t="s">
        <v>807</v>
      </c>
      <c r="L11969" s="4" t="s">
        <v>47</v>
      </c>
    </row>
    <row r="11970" customFormat="false" ht="15" hidden="false" customHeight="false" outlineLevel="0" collapsed="false">
      <c r="A11970" s="1" t="s">
        <v>925</v>
      </c>
      <c r="B11970" s="0" t="s">
        <v>98</v>
      </c>
      <c r="F11970" s="6" t="n">
        <f aca="false">Sens!F11951</f>
        <v>146.593856127348</v>
      </c>
      <c r="G11970" s="6" t="n">
        <f aca="false">Sens!G11951</f>
        <v>164.011299272571</v>
      </c>
      <c r="H11970" s="6" t="n">
        <f aca="false">Sens!H11951</f>
        <v>181.040393601665</v>
      </c>
      <c r="I11970" s="6" t="n">
        <f aca="false">Sens!I11951</f>
        <v>197.390875421564</v>
      </c>
      <c r="J11970" s="6" t="n">
        <f aca="false">Sens!J11951</f>
        <v>212.655768831745</v>
      </c>
      <c r="K11970" s="6" t="n">
        <f aca="false">Sens!K11951</f>
        <v>227.494199527491</v>
      </c>
    </row>
    <row r="11971" customFormat="false" ht="17.15" hidden="false" customHeight="false" outlineLevel="0" collapsed="false">
      <c r="A11971" s="1" t="s">
        <v>947</v>
      </c>
      <c r="B11971" s="0" t="s">
        <v>98</v>
      </c>
      <c r="E11971" s="6" t="n">
        <f aca="false">Q!M38-Sens!E11889</f>
        <v>22.2285940229167</v>
      </c>
      <c r="F11971" s="6" t="n">
        <f aca="false">Sens!E11971*(1-1/life_nonai)+(Sens!F11978+Sens!F11979)/life_nonai</f>
        <v>24.3924470334783</v>
      </c>
      <c r="G11971" s="6" t="n">
        <f aca="false">Sens!F11971*(1-1/life_nonai)+(Sens!G11978)/life_nonai</f>
        <v>26.0684916871694</v>
      </c>
      <c r="H11971" s="6" t="n">
        <f aca="false">Sens!G11971*(1-1/life_nonai)+(Sens!H11978)/life_nonai</f>
        <v>28.1427938828615</v>
      </c>
      <c r="I11971" s="6" t="n">
        <f aca="false">Sens!H11971*(1-1/life_nonai)+(Sens!I11978)/life_nonai</f>
        <v>30.5483545257397</v>
      </c>
      <c r="J11971" s="6" t="n">
        <f aca="false">Sens!I11971*(1-1/life_nonai)+(Sens!J11978)/life_nonai</f>
        <v>33.2016103982031</v>
      </c>
      <c r="K11971" s="6" t="n">
        <f aca="false">Sens!J11971*(1-1/life_nonai)+(Sens!K11978)/life_nonai</f>
        <v>36.0183196325822</v>
      </c>
      <c r="L11971" s="11" t="s">
        <v>948</v>
      </c>
    </row>
    <row r="11972" customFormat="false" ht="17.15" hidden="false" customHeight="false" outlineLevel="0" collapsed="false">
      <c r="A11972" s="1" t="s">
        <v>949</v>
      </c>
      <c r="B11972" s="0" t="s">
        <v>98</v>
      </c>
      <c r="F11972" s="6" t="n">
        <f aca="false">Sens!$F$11979/life_nonai*(1-1/life_nonai)^(Sens!F11855-2027)</f>
        <v>0.828777689897088</v>
      </c>
      <c r="G11972" s="6" t="n">
        <f aca="false">Sens!$F$11979/life_nonai*(1-1/life_nonai)^(Sens!G11855-2027)</f>
        <v>0.745899920907379</v>
      </c>
      <c r="H11972" s="6" t="n">
        <f aca="false">Sens!$F$11979/life_nonai*(1-1/life_nonai)^(Sens!H11855-2027)</f>
        <v>0.671309928816642</v>
      </c>
      <c r="I11972" s="6" t="n">
        <f aca="false">Sens!$F$11979/life_nonai*(1-1/life_nonai)^(Sens!I11855-2027)</f>
        <v>0.604178935934977</v>
      </c>
      <c r="J11972" s="6" t="n">
        <f aca="false">Sens!$F$11979/life_nonai*(1-1/life_nonai)^(Sens!J11855-2027)</f>
        <v>0.54376104234148</v>
      </c>
      <c r="K11972" s="6" t="n">
        <f aca="false">Sens!$F$11979/life_nonai*(1-1/life_nonai)^(Sens!K11855-2027)</f>
        <v>0.489384938107332</v>
      </c>
      <c r="L11972" s="1" t="s">
        <v>950</v>
      </c>
    </row>
    <row r="11973" customFormat="false" ht="17.15" hidden="false" customHeight="false" outlineLevel="0" collapsed="false">
      <c r="A11973" s="1" t="s">
        <v>951</v>
      </c>
      <c r="B11973" s="0" t="s">
        <v>98</v>
      </c>
      <c r="E11973" s="6" t="n">
        <f aca="false">Sens!E11889+Sens!E11971</f>
        <v>38.534</v>
      </c>
      <c r="F11973" s="6" t="n">
        <f aca="false">Sens!F11889+Sens!F11971</f>
        <v>58.4423344144339</v>
      </c>
      <c r="G11973" s="6" t="n">
        <f aca="false">Sens!G11889+Sens!G11971</f>
        <v>85.1939287976805</v>
      </c>
      <c r="H11973" s="6" t="n">
        <f aca="false">Sens!H11889+Sens!H11971</f>
        <v>114.503813726173</v>
      </c>
      <c r="I11973" s="6" t="n">
        <f aca="false">Sens!I11889+Sens!I11971</f>
        <v>141.154098358132</v>
      </c>
      <c r="J11973" s="6" t="n">
        <f aca="false">Sens!J11889+Sens!J11971</f>
        <v>161.199933251046</v>
      </c>
      <c r="K11973" s="6" t="n">
        <f aca="false">Sens!K11889+Sens!K11971</f>
        <v>175.14978367689</v>
      </c>
    </row>
    <row r="11974" customFormat="false" ht="17.15" hidden="false" customHeight="false" outlineLevel="0" collapsed="false">
      <c r="A11974" s="1" t="s">
        <v>952</v>
      </c>
      <c r="B11974" s="0" t="s">
        <v>98</v>
      </c>
      <c r="F11974" s="6" t="n">
        <f aca="false">Sens!F11916*sbc_r</f>
        <v>14.9308704941267</v>
      </c>
      <c r="G11974" s="6" t="n">
        <f aca="false">Sens!G11916*sbc_r</f>
        <v>17.7641108812713</v>
      </c>
      <c r="H11974" s="6" t="n">
        <f aca="false">Sens!H11916*sbc_r</f>
        <v>20.6640880611968</v>
      </c>
      <c r="I11974" s="6" t="n">
        <f aca="false">Sens!I11916*sbc_r</f>
        <v>23.3389517385966</v>
      </c>
      <c r="J11974" s="6" t="n">
        <f aca="false">Sens!J11916*sbc_r</f>
        <v>25.5443980773879</v>
      </c>
      <c r="K11974" s="6" t="n">
        <f aca="false">Sens!K11916*sbc_r</f>
        <v>27.3434618223447</v>
      </c>
    </row>
    <row r="11975" customFormat="false" ht="17.15" hidden="false" customHeight="false" outlineLevel="0" collapsed="false">
      <c r="A11975" s="1" t="s">
        <v>953</v>
      </c>
      <c r="B11975" s="0" t="s">
        <v>98</v>
      </c>
      <c r="F11975" s="6" t="n">
        <f aca="false">wc27</f>
        <v>-4.895</v>
      </c>
      <c r="G11975" s="6" t="n">
        <f aca="false">wc_f</f>
        <v>0</v>
      </c>
      <c r="H11975" s="6" t="n">
        <f aca="false">wc_f</f>
        <v>0</v>
      </c>
      <c r="I11975" s="6" t="n">
        <f aca="false">wc_f</f>
        <v>0</v>
      </c>
      <c r="J11975" s="6" t="n">
        <f aca="false">wc_f</f>
        <v>0</v>
      </c>
      <c r="K11975" s="6" t="n">
        <f aca="false">wc_f</f>
        <v>0</v>
      </c>
      <c r="L11975" s="11" t="s">
        <v>954</v>
      </c>
    </row>
    <row r="11976" customFormat="false" ht="15" hidden="false" customHeight="false" outlineLevel="0" collapsed="false">
      <c r="A11976" s="1" t="s">
        <v>767</v>
      </c>
      <c r="B11976" s="0" t="s">
        <v>98</v>
      </c>
      <c r="E11976" s="6" t="n">
        <f aca="false">Q!M35</f>
        <v>182.935</v>
      </c>
      <c r="F11976" s="6" t="n">
        <f aca="false">Sens!F11970+Sens!F11973+Sens!F11974+Sens!F11975</f>
        <v>215.072061035909</v>
      </c>
      <c r="G11976" s="6" t="n">
        <f aca="false">Sens!G11970+Sens!G11973+Sens!G11974+Sens!G11975</f>
        <v>266.969338951523</v>
      </c>
      <c r="H11976" s="6" t="n">
        <f aca="false">Sens!H11970+Sens!H11973+Sens!H11974+Sens!H11975</f>
        <v>316.208295389034</v>
      </c>
      <c r="I11976" s="6" t="n">
        <f aca="false">Sens!I11970+Sens!I11973+Sens!I11974+Sens!I11975</f>
        <v>361.883925518293</v>
      </c>
      <c r="J11976" s="6" t="n">
        <f aca="false">Sens!J11970+Sens!J11973+Sens!J11974+Sens!J11975</f>
        <v>399.40010016018</v>
      </c>
      <c r="K11976" s="6" t="n">
        <f aca="false">Sens!K11970+Sens!K11973+Sens!K11974+Sens!K11975</f>
        <v>429.987445026726</v>
      </c>
    </row>
    <row r="11977" customFormat="false" ht="17.15" hidden="false" customHeight="false" outlineLevel="0" collapsed="false">
      <c r="A11977" s="0" t="s">
        <v>955</v>
      </c>
      <c r="B11977" s="0" t="s">
        <v>98</v>
      </c>
      <c r="F11977" s="6" t="n">
        <f aca="false">Sens!F11886</f>
        <v>160.332875871467</v>
      </c>
      <c r="G11977" s="6" t="n">
        <f aca="false">Sens!G11886</f>
        <v>183.5741804832</v>
      </c>
      <c r="H11977" s="6" t="n">
        <f aca="false">Sens!H11886</f>
        <v>188.0802859104</v>
      </c>
      <c r="I11977" s="6" t="n">
        <f aca="false">Sens!I11886</f>
        <v>163.706669154245</v>
      </c>
      <c r="J11977" s="6" t="n">
        <f aca="false">Sens!J11886</f>
        <v>127.181436594242</v>
      </c>
      <c r="K11977" s="6" t="n">
        <f aca="false">Sens!K11886</f>
        <v>121.407415303591</v>
      </c>
    </row>
    <row r="11978" customFormat="false" ht="17.15" hidden="false" customHeight="false" outlineLevel="0" collapsed="false">
      <c r="A11978" s="1" t="s">
        <v>956</v>
      </c>
      <c r="B11978" s="0" t="s">
        <v>98</v>
      </c>
      <c r="E11978" s="6" t="n">
        <f aca="false">Sens!E11894*cx_azo+Sens!E11901*cx_m365+Sens!E11902*cx_lic+(Sens!E11904+Sens!E11906)*cx_ind+Sens!E11909*cx_srch+(Sens!E11911+Sens!E11913)*cx_dev</f>
        <v>30.1846587067718</v>
      </c>
      <c r="F11978" s="6" t="n">
        <f aca="false">Sens!F11894*cx_azo+Sens!F11901*cx_m365+Sens!F11902*cx_lic+(Sens!F11904+Sens!F11906)*cx_ind+Sens!F11909*cx_srch+(Sens!F11911+Sens!F11913)*cx_dev</f>
        <v>35.5793472295625</v>
      </c>
      <c r="G11978" s="6" t="n">
        <f aca="false">Sens!G11894*cx_azo+Sens!G11901*cx_m365+Sens!G11902*cx_lic+(Sens!G11904+Sens!G11906)*cx_ind+Sens!G11909*cx_srch+(Sens!G11911+Sens!G11913)*cx_dev</f>
        <v>41.1528935703892</v>
      </c>
      <c r="H11978" s="6" t="n">
        <f aca="false">Sens!H11894*cx_azo+Sens!H11901*cx_m365+Sens!H11902*cx_lic+(Sens!H11904+Sens!H11906)*cx_ind+Sens!H11909*cx_srch+(Sens!H11911+Sens!H11913)*cx_dev</f>
        <v>46.8115136440897</v>
      </c>
      <c r="I11978" s="6" t="n">
        <f aca="false">Sens!I11894*cx_azo+Sens!I11901*cx_m365+Sens!I11902*cx_lic+(Sens!I11904+Sens!I11906)*cx_ind+Sens!I11909*cx_srch+(Sens!I11911+Sens!I11913)*cx_dev</f>
        <v>52.1984003116439</v>
      </c>
      <c r="J11978" s="6" t="n">
        <f aca="false">Sens!J11894*cx_azo+Sens!J11901*cx_m365+Sens!J11902*cx_lic+(Sens!J11904+Sens!J11906)*cx_ind+Sens!J11909*cx_srch+(Sens!J11911+Sens!J11913)*cx_dev</f>
        <v>57.0809132503738</v>
      </c>
      <c r="K11978" s="6" t="n">
        <f aca="false">Sens!K11894*cx_azo+Sens!K11901*cx_m365+Sens!K11902*cx_lic+(Sens!K11904+Sens!K11906)*cx_ind+Sens!K11909*cx_srch+(Sens!K11911+Sens!K11913)*cx_dev</f>
        <v>61.368702741994</v>
      </c>
    </row>
    <row r="11979" customFormat="false" ht="17.15" hidden="false" customHeight="false" outlineLevel="0" collapsed="false">
      <c r="A11979" s="0" t="s">
        <v>957</v>
      </c>
      <c r="B11979" s="0" t="s">
        <v>98</v>
      </c>
      <c r="F11979" s="6" t="n">
        <f aca="false">Sens!F11884</f>
        <v>8.28777689897088</v>
      </c>
      <c r="L11979" s="1" t="s">
        <v>958</v>
      </c>
    </row>
    <row r="11980" customFormat="false" ht="17.15" hidden="false" customHeight="false" outlineLevel="0" collapsed="false">
      <c r="A11980" s="1" t="s">
        <v>959</v>
      </c>
      <c r="B11980" s="0" t="s">
        <v>98</v>
      </c>
      <c r="E11980" s="6" t="n">
        <f aca="false">Q!M42</f>
        <v>145.3</v>
      </c>
      <c r="F11980" s="6" t="n">
        <f aca="false">Sens!F11977+Sens!F11978+Sens!F11979</f>
        <v>204.2</v>
      </c>
      <c r="G11980" s="6" t="n">
        <f aca="false">Sens!G11977+Sens!G11978</f>
        <v>224.727074053589</v>
      </c>
      <c r="H11980" s="6" t="n">
        <f aca="false">Sens!H11977+Sens!H11978</f>
        <v>234.89179955449</v>
      </c>
      <c r="I11980" s="6" t="n">
        <f aca="false">Sens!I11977+Sens!I11978</f>
        <v>215.905069465889</v>
      </c>
      <c r="J11980" s="6" t="n">
        <f aca="false">Sens!J11977+Sens!J11978</f>
        <v>184.262349844616</v>
      </c>
      <c r="K11980" s="6" t="n">
        <f aca="false">Sens!K11977+Sens!K11978</f>
        <v>182.776118045585</v>
      </c>
      <c r="L11980" s="1" t="s">
        <v>960</v>
      </c>
    </row>
    <row r="11981" customFormat="false" ht="15" hidden="false" customHeight="false" outlineLevel="0" collapsed="false">
      <c r="A11981" s="1" t="s">
        <v>961</v>
      </c>
      <c r="B11981" s="0" t="s">
        <v>98</v>
      </c>
      <c r="E11981" s="6" t="n">
        <f aca="false">fl_liab</f>
        <v>66.594</v>
      </c>
      <c r="F11981" s="6" t="n">
        <f aca="false">Sens!E11981-Sens!F11982</f>
        <v>62.46973</v>
      </c>
      <c r="G11981" s="6" t="n">
        <f aca="false">Sens!F11981-Sens!G11982</f>
        <v>57.98686785</v>
      </c>
      <c r="H11981" s="6" t="n">
        <f aca="false">Sens!G11981-Sens!H11982</f>
        <v>53.92827690325</v>
      </c>
      <c r="I11981" s="6" t="n">
        <f aca="false">Sens!H11981-Sens!I11982</f>
        <v>49.7850493638962</v>
      </c>
      <c r="J11981" s="6" t="n">
        <f aca="false">Sens!I11981-Sens!J11982</f>
        <v>45.4823765852716</v>
      </c>
      <c r="K11981" s="6" t="n">
        <f aca="false">Sens!J11981-Sens!K11982</f>
        <v>40.9860835316088</v>
      </c>
    </row>
    <row r="11982" customFormat="false" ht="15" hidden="false" customHeight="false" outlineLevel="0" collapsed="false">
      <c r="A11982" s="1" t="s">
        <v>962</v>
      </c>
      <c r="B11982" s="0" t="s">
        <v>98</v>
      </c>
      <c r="F11982" s="6" t="n">
        <f aca="false">fl_pay_27-Sens!E11981*fl_rate</f>
        <v>4.12427</v>
      </c>
      <c r="G11982" s="6" t="n">
        <f aca="false">fl_pay_28-Sens!F11981*fl_rate</f>
        <v>4.48286215</v>
      </c>
      <c r="H11982" s="6" t="n">
        <f aca="false">fl_pay_29-Sens!G11981*fl_rate</f>
        <v>4.05859094675</v>
      </c>
      <c r="I11982" s="6" t="n">
        <f aca="false">fl_pay_30-Sens!H11981*fl_rate</f>
        <v>4.14322753935375</v>
      </c>
      <c r="J11982" s="6" t="n">
        <f aca="false">fl_pay_31-Sens!I11981*fl_rate</f>
        <v>4.30267277862467</v>
      </c>
      <c r="K11982" s="6" t="n">
        <f aca="false">fl_pay_32-Sens!J11981*fl_rate</f>
        <v>4.49629305366278</v>
      </c>
    </row>
    <row r="11983" customFormat="false" ht="17.15" hidden="false" customHeight="false" outlineLevel="0" collapsed="false">
      <c r="A11983" s="1" t="s">
        <v>963</v>
      </c>
      <c r="B11983" s="0" t="s">
        <v>98</v>
      </c>
      <c r="E11983" s="6" t="n">
        <f aca="false">Q!M35-Q!M36-Q!M43</f>
        <v>63.886</v>
      </c>
      <c r="F11983" s="6" t="n">
        <f aca="false">Sens!F11976-Sens!F11980-Sens!F11982</f>
        <v>6.74779103590884</v>
      </c>
      <c r="G11983" s="6" t="n">
        <f aca="false">Sens!G11976-Sens!G11980-Sens!G11982</f>
        <v>37.7594027479338</v>
      </c>
      <c r="H11983" s="6" t="n">
        <f aca="false">Sens!H11976-Sens!H11980-Sens!H11982</f>
        <v>77.2579048877944</v>
      </c>
      <c r="I11983" s="6" t="n">
        <f aca="false">Sens!I11976-Sens!I11980-Sens!I11982</f>
        <v>141.83562851305</v>
      </c>
      <c r="J11983" s="6" t="n">
        <f aca="false">Sens!J11976-Sens!J11980-Sens!J11982</f>
        <v>210.835077536939</v>
      </c>
      <c r="K11983" s="6" t="n">
        <f aca="false">Sens!K11976-Sens!K11980-Sens!K11982</f>
        <v>242.715033927479</v>
      </c>
      <c r="L11983" s="11" t="s">
        <v>964</v>
      </c>
    </row>
    <row r="11984" customFormat="false" ht="15" hidden="false" customHeight="false" outlineLevel="0" collapsed="false">
      <c r="A11984" s="1" t="s">
        <v>965</v>
      </c>
      <c r="B11984" s="0" t="s">
        <v>75</v>
      </c>
      <c r="F11984" s="8" t="n">
        <f aca="false">dps_27</f>
        <v>3.85</v>
      </c>
      <c r="G11984" s="8" t="n">
        <f aca="false">Sens!F11984*(1+dps_g)</f>
        <v>4.158</v>
      </c>
      <c r="H11984" s="8" t="n">
        <f aca="false">Sens!G11984*(1+dps_g)</f>
        <v>4.49064</v>
      </c>
      <c r="I11984" s="8" t="n">
        <f aca="false">Sens!H11984*(1+dps_g)</f>
        <v>4.8498912</v>
      </c>
      <c r="J11984" s="8" t="n">
        <f aca="false">Sens!I11984*(1+dps_g)</f>
        <v>5.237882496</v>
      </c>
      <c r="K11984" s="8" t="n">
        <f aca="false">Sens!J11984*(1+dps_g)</f>
        <v>5.65691309568</v>
      </c>
    </row>
    <row r="11985" customFormat="false" ht="17.15" hidden="false" customHeight="false" outlineLevel="0" collapsed="false">
      <c r="A11985" s="1" t="s">
        <v>966</v>
      </c>
      <c r="B11985" s="0" t="s">
        <v>98</v>
      </c>
      <c r="E11985" s="6" t="n">
        <f aca="false">Q!M41</f>
        <v>26.445</v>
      </c>
      <c r="F11985" s="6" t="n">
        <f aca="false">Sens!F11984*Sens!E11994</f>
        <v>28.59395</v>
      </c>
      <c r="G11985" s="6" t="n">
        <f aca="false">Sens!G11984*Sens!F11994</f>
        <v>31.068576</v>
      </c>
      <c r="H11985" s="6" t="n">
        <f aca="false">Sens!H11984*Sens!G11994</f>
        <v>33.7058775532549</v>
      </c>
      <c r="I11985" s="6" t="n">
        <f aca="false">Sens!I11984*Sens!H11994</f>
        <v>36.4532869975147</v>
      </c>
      <c r="J11985" s="6" t="n">
        <f aca="false">Sens!J11984*Sens!I11994</f>
        <v>39.4379488056353</v>
      </c>
      <c r="K11985" s="6" t="n">
        <f aca="false">Sens!K11984*Sens!J11994</f>
        <v>42.6802399353912</v>
      </c>
      <c r="L11985" s="1" t="s">
        <v>967</v>
      </c>
    </row>
    <row r="11986" customFormat="false" ht="15" hidden="false" customHeight="false" outlineLevel="0" collapsed="false">
      <c r="A11986" s="1" t="s">
        <v>968</v>
      </c>
      <c r="B11986" s="0" t="s">
        <v>98</v>
      </c>
      <c r="E11986" s="6" t="n">
        <f aca="false">Sens!E11983-Sens!E11985</f>
        <v>37.441</v>
      </c>
      <c r="F11986" s="6" t="n">
        <f aca="false">Sens!F11983-Sens!F11985</f>
        <v>-21.8461589640912</v>
      </c>
      <c r="G11986" s="6" t="n">
        <f aca="false">Sens!G11983-Sens!G11985</f>
        <v>6.69082674793378</v>
      </c>
      <c r="H11986" s="6" t="n">
        <f aca="false">Sens!H11983-Sens!H11985</f>
        <v>43.5520273345395</v>
      </c>
      <c r="I11986" s="6" t="n">
        <f aca="false">Sens!I11983-Sens!I11985</f>
        <v>105.382341515535</v>
      </c>
      <c r="J11986" s="6" t="n">
        <f aca="false">Sens!J11983-Sens!J11985</f>
        <v>171.397128731304</v>
      </c>
      <c r="K11986" s="6" t="n">
        <f aca="false">Sens!K11983-Sens!K11985</f>
        <v>200.034793992087</v>
      </c>
    </row>
    <row r="11987" customFormat="false" ht="15" hidden="false" customHeight="false" outlineLevel="0" collapsed="false">
      <c r="A11987" s="1" t="s">
        <v>969</v>
      </c>
      <c r="B11987" s="0" t="s">
        <v>98</v>
      </c>
      <c r="F11987" s="6" t="n">
        <f aca="false">debt_mat_27</f>
        <v>9.25</v>
      </c>
      <c r="G11987" s="6" t="n">
        <f aca="false">debt_mat_28</f>
        <v>0</v>
      </c>
      <c r="H11987" s="6" t="n">
        <f aca="false">debt_mat_29</f>
        <v>2.001</v>
      </c>
      <c r="I11987" s="6" t="n">
        <f aca="false">debt_mat_30</f>
        <v>0</v>
      </c>
      <c r="J11987" s="6" t="n">
        <f aca="false">debt_mat_31</f>
        <v>0.5</v>
      </c>
      <c r="K11987" s="6" t="n">
        <f aca="false">debt_mat_32</f>
        <v>0</v>
      </c>
    </row>
    <row r="11988" customFormat="false" ht="15" hidden="false" customHeight="false" outlineLevel="0" collapsed="false">
      <c r="A11988" s="1" t="s">
        <v>970</v>
      </c>
      <c r="B11988" s="0" t="s">
        <v>98</v>
      </c>
      <c r="E11988" s="6" t="n">
        <f aca="false">Q!M40</f>
        <v>22.271</v>
      </c>
      <c r="F11988" s="6" t="n">
        <f aca="false">MAX(0,MIN(bb_target,Sens!E11990+Sens!F11986-Sens!F11987-min_cash))</f>
        <v>0</v>
      </c>
      <c r="G11988" s="6" t="n">
        <f aca="false">MAX(0,MIN(bb_target,Sens!F11990+Sens!G11986-Sens!G11987-min_cash))</f>
        <v>6.69082674793378</v>
      </c>
      <c r="H11988" s="6" t="n">
        <f aca="false">MAX(0,MIN(bb_target,Sens!G11990+Sens!H11986-Sens!H11987-min_cash))</f>
        <v>22.271</v>
      </c>
      <c r="I11988" s="6" t="n">
        <f aca="false">MAX(0,MIN(bb_target,Sens!H11990+Sens!I11986-Sens!I11987-min_cash))</f>
        <v>22.271</v>
      </c>
      <c r="J11988" s="6" t="n">
        <f aca="false">MAX(0,MIN(bb_target,Sens!I11990+Sens!J11986-Sens!J11987-min_cash))</f>
        <v>22.271</v>
      </c>
      <c r="K11988" s="6" t="n">
        <f aca="false">MAX(0,MIN(bb_target,Sens!J11990+Sens!K11986-Sens!K11987-min_cash))</f>
        <v>22.271</v>
      </c>
    </row>
    <row r="11989" customFormat="false" ht="15" hidden="false" customHeight="false" outlineLevel="0" collapsed="false">
      <c r="A11989" s="1" t="s">
        <v>971</v>
      </c>
      <c r="B11989" s="0" t="s">
        <v>98</v>
      </c>
      <c r="F11989" s="6" t="n">
        <f aca="false">MAX(0,min_cash-(Sens!E11990+Sens!F11986-Sens!F11987-Sens!F11988))</f>
        <v>4.25315896409116</v>
      </c>
      <c r="G11989" s="6" t="n">
        <f aca="false">MAX(0,min_cash-(Sens!F11990+Sens!G11986-Sens!G11987-Sens!G11988))</f>
        <v>0</v>
      </c>
      <c r="H11989" s="6" t="n">
        <f aca="false">MAX(0,min_cash-(Sens!G11990+Sens!H11986-Sens!H11987-Sens!H11988))</f>
        <v>0</v>
      </c>
      <c r="I11989" s="6" t="n">
        <f aca="false">MAX(0,min_cash-(Sens!H11990+Sens!I11986-Sens!I11987-Sens!I11988))</f>
        <v>0</v>
      </c>
      <c r="J11989" s="6" t="n">
        <f aca="false">MAX(0,min_cash-(Sens!I11990+Sens!J11986-Sens!J11987-Sens!J11988))</f>
        <v>0</v>
      </c>
      <c r="K11989" s="6" t="n">
        <f aca="false">MAX(0,min_cash-(Sens!J11990+Sens!K11986-Sens!K11987-Sens!K11988))</f>
        <v>0</v>
      </c>
    </row>
    <row r="11990" customFormat="false" ht="15" hidden="false" customHeight="false" outlineLevel="0" collapsed="false">
      <c r="A11990" s="1" t="s">
        <v>972</v>
      </c>
      <c r="B11990" s="0" t="s">
        <v>98</v>
      </c>
      <c r="E11990" s="6" t="n">
        <f aca="false">cash_open</f>
        <v>76.843</v>
      </c>
      <c r="F11990" s="6" t="n">
        <f aca="false">Sens!E11990+Sens!F11986-Sens!F11987-Sens!F11988+Sens!F11989</f>
        <v>50</v>
      </c>
      <c r="G11990" s="6" t="n">
        <f aca="false">Sens!F11990+Sens!G11986-Sens!G11987-Sens!G11988+Sens!G11989</f>
        <v>50</v>
      </c>
      <c r="H11990" s="6" t="n">
        <f aca="false">Sens!G11990+Sens!H11986-Sens!H11987-Sens!H11988+Sens!H11989</f>
        <v>69.2800273345395</v>
      </c>
      <c r="I11990" s="6" t="n">
        <f aca="false">Sens!H11990+Sens!I11986-Sens!I11987-Sens!I11988+Sens!I11989</f>
        <v>152.391368850074</v>
      </c>
      <c r="J11990" s="6" t="n">
        <f aca="false">Sens!I11990+Sens!J11986-Sens!J11987-Sens!J11988+Sens!J11989</f>
        <v>301.017497581378</v>
      </c>
      <c r="K11990" s="6" t="n">
        <f aca="false">Sens!J11990+Sens!K11986-Sens!K11987-Sens!K11988+Sens!K11989</f>
        <v>478.781291573465</v>
      </c>
    </row>
    <row r="11991" customFormat="false" ht="15" hidden="false" customHeight="false" outlineLevel="0" collapsed="false">
      <c r="A11991" s="1" t="s">
        <v>973</v>
      </c>
      <c r="B11991" s="0" t="s">
        <v>98</v>
      </c>
      <c r="E11991" s="6" t="n">
        <f aca="false">debt_face</f>
        <v>46.136</v>
      </c>
      <c r="F11991" s="6" t="n">
        <f aca="false">Sens!E11991-Sens!F11987+Sens!F11989</f>
        <v>41.1391589640912</v>
      </c>
      <c r="G11991" s="6" t="n">
        <f aca="false">Sens!F11991-Sens!G11987+Sens!G11989</f>
        <v>41.1391589640912</v>
      </c>
      <c r="H11991" s="6" t="n">
        <f aca="false">Sens!G11991-Sens!H11987+Sens!H11989</f>
        <v>39.1381589640912</v>
      </c>
      <c r="I11991" s="6" t="n">
        <f aca="false">Sens!H11991-Sens!I11987+Sens!I11989</f>
        <v>39.1381589640912</v>
      </c>
      <c r="J11991" s="6" t="n">
        <f aca="false">Sens!I11991-Sens!J11987+Sens!J11989</f>
        <v>38.6381589640912</v>
      </c>
      <c r="K11991" s="6" t="n">
        <f aca="false">Sens!J11991-Sens!K11987+Sens!K11989</f>
        <v>38.6381589640912</v>
      </c>
    </row>
    <row r="11992" customFormat="false" ht="15" hidden="false" customHeight="false" outlineLevel="0" collapsed="false">
      <c r="A11992" s="1" t="s">
        <v>974</v>
      </c>
      <c r="B11992" s="0" t="s">
        <v>98</v>
      </c>
      <c r="E11992" s="6" t="n">
        <f aca="false">Sens!E11990-Sens!E11991</f>
        <v>30.707</v>
      </c>
      <c r="F11992" s="6" t="n">
        <f aca="false">Sens!F11990-Sens!F11991</f>
        <v>8.86084103590884</v>
      </c>
      <c r="G11992" s="6" t="n">
        <f aca="false">Sens!G11990-Sens!G11991</f>
        <v>8.86084103590884</v>
      </c>
      <c r="H11992" s="6" t="n">
        <f aca="false">Sens!H11990-Sens!H11991</f>
        <v>30.1418683704483</v>
      </c>
      <c r="I11992" s="6" t="n">
        <f aca="false">Sens!I11990-Sens!I11991</f>
        <v>113.253209885983</v>
      </c>
      <c r="J11992" s="6" t="n">
        <f aca="false">Sens!J11990-Sens!J11991</f>
        <v>262.379338617287</v>
      </c>
      <c r="K11992" s="6" t="n">
        <f aca="false">Sens!K11990-Sens!K11991</f>
        <v>440.143132609374</v>
      </c>
    </row>
    <row r="11993" customFormat="false" ht="15" hidden="false" customHeight="false" outlineLevel="0" collapsed="false">
      <c r="A11993" s="1" t="s">
        <v>975</v>
      </c>
      <c r="B11993" s="0" t="s">
        <v>75</v>
      </c>
      <c r="F11993" s="29" t="n">
        <f aca="false">px*(1+bb_g)^(Sens!F11855-base_fy-mid_yr)</f>
        <v>553.494156066711</v>
      </c>
      <c r="G11993" s="29" t="n">
        <f aca="false">px*(1+bb_g)^(Sens!G11855-base_fy-mid_yr)</f>
        <v>597.773688552047</v>
      </c>
      <c r="H11993" s="29" t="n">
        <f aca="false">px*(1+bb_g)^(Sens!H11855-base_fy-mid_yr)</f>
        <v>645.595583636211</v>
      </c>
      <c r="I11993" s="29" t="n">
        <f aca="false">px*(1+bb_g)^(Sens!I11855-base_fy-mid_yr)</f>
        <v>697.243230327108</v>
      </c>
      <c r="J11993" s="29" t="n">
        <f aca="false">px*(1+bb_g)^(Sens!J11855-base_fy-mid_yr)</f>
        <v>753.022688753277</v>
      </c>
      <c r="K11993" s="29" t="n">
        <f aca="false">px*(1+bb_g)^(Sens!K11855-base_fy-mid_yr)</f>
        <v>813.264503853539</v>
      </c>
    </row>
    <row r="11994" customFormat="false" ht="15" hidden="false" customHeight="false" outlineLevel="0" collapsed="false">
      <c r="A11994" s="1" t="s">
        <v>976</v>
      </c>
      <c r="B11994" s="1" t="s">
        <v>81</v>
      </c>
      <c r="E11994" s="14" t="n">
        <f aca="false">sh_out26</f>
        <v>7.427</v>
      </c>
      <c r="F11994" s="14" t="n">
        <f aca="false">Sens!E11994+sh_iss-Sens!F11988/Sens!F11993</f>
        <v>7.472</v>
      </c>
      <c r="G11994" s="14" t="n">
        <f aca="false">Sens!F11994+sh_iss-Sens!G11988/Sens!G11993</f>
        <v>7.50580709058282</v>
      </c>
      <c r="H11994" s="14" t="n">
        <f aca="false">Sens!G11994+sh_iss-Sens!H11988/Sens!H11993</f>
        <v>7.51631026228273</v>
      </c>
      <c r="I11994" s="14" t="n">
        <f aca="false">Sens!H11994+sh_iss-Sens!I11988/Sens!I11993</f>
        <v>7.52936875459745</v>
      </c>
      <c r="J11994" s="14" t="n">
        <f aca="false">Sens!I11994+sh_iss-Sens!J11988/Sens!J11993</f>
        <v>7.54479328451849</v>
      </c>
      <c r="K11994" s="14" t="n">
        <f aca="false">Sens!J11994+sh_iss-Sens!K11988/Sens!K11993</f>
        <v>7.56240859000094</v>
      </c>
    </row>
    <row r="11995" customFormat="false" ht="15" hidden="false" customHeight="false" outlineLevel="0" collapsed="false">
      <c r="A11995" s="1" t="s">
        <v>977</v>
      </c>
      <c r="B11995" s="1" t="s">
        <v>81</v>
      </c>
      <c r="E11995" s="14" t="n">
        <f aca="false">sh_dil26</f>
        <v>7.453</v>
      </c>
      <c r="F11995" s="14" t="n">
        <f aca="false">(Sens!E11994+Sens!F11994)/2+dil_gap</f>
        <v>7.4735</v>
      </c>
      <c r="G11995" s="14" t="n">
        <f aca="false">(Sens!F11994+Sens!G11994)/2+dil_gap</f>
        <v>7.51290354529141</v>
      </c>
      <c r="H11995" s="14" t="n">
        <f aca="false">(Sens!G11994+Sens!H11994)/2+dil_gap</f>
        <v>7.53505867643278</v>
      </c>
      <c r="I11995" s="14" t="n">
        <f aca="false">(Sens!H11994+Sens!I11994)/2+dil_gap</f>
        <v>7.54683950844009</v>
      </c>
      <c r="J11995" s="14" t="n">
        <f aca="false">(Sens!I11994+Sens!J11994)/2+dil_gap</f>
        <v>7.56108101955797</v>
      </c>
      <c r="K11995" s="14" t="n">
        <f aca="false">(Sens!J11994+Sens!K11994)/2+dil_gap</f>
        <v>7.57760093725971</v>
      </c>
    </row>
    <row r="11996" customFormat="false" ht="17.15" hidden="false" customHeight="false" outlineLevel="0" collapsed="false">
      <c r="A11996" s="1" t="s">
        <v>978</v>
      </c>
      <c r="B11996" s="0" t="s">
        <v>98</v>
      </c>
      <c r="C11996" s="6" t="n">
        <f aca="false">SUM(Sens!F11986:J11986)</f>
        <v>305.176165365221</v>
      </c>
    </row>
    <row r="11997" customFormat="false" ht="15" hidden="false" customHeight="false" outlineLevel="0" collapsed="false">
      <c r="A11997" s="23" t="s">
        <v>945</v>
      </c>
      <c r="B11997" s="30" t="s">
        <v>98</v>
      </c>
      <c r="C11997" s="24" t="n">
        <f aca="false">Sens!$C$11996-(Sens!F11986+Sens!G11986+Sens!H11986+Sens!I11986+Sens!J11986)</f>
        <v>0</v>
      </c>
      <c r="D11997" s="30"/>
      <c r="E11997" s="30"/>
      <c r="F11997" s="30"/>
      <c r="G11997" s="30"/>
      <c r="H11997" s="30"/>
      <c r="I11997" s="30"/>
      <c r="J11997" s="30"/>
      <c r="K11997" s="30"/>
    </row>
    <row r="11998" customFormat="false" ht="17.15" hidden="false" customHeight="false" outlineLevel="0" collapsed="false">
      <c r="A11998" s="1" t="s">
        <v>939</v>
      </c>
      <c r="B11998" s="1" t="s">
        <v>979</v>
      </c>
      <c r="C11998" s="32" t="str">
        <f aca="false">IF(SUM(Sens!F11989:J11989)&gt;0.05,"需要舉債 "&amp;TEXT(SUM(Sens!F11989:J11989),"0.0")&amp;" 十億美元","不需舉債")&amp;"；"&amp;IF(SUM(Sens!F11988:J11988)&lt;COUNT(Sens!F11988:J11988)*bb_target-0.05,"回購較每年 "&amp;TEXT(bb_target,"0.0")&amp;" 的目標少 "&amp;TEXT(COUNT(Sens!F11988:J11988)*bb_target-SUM(Sens!F11988:J11988),"0.0")&amp;" 十億美元（"&amp;TEXT(COUNTIF(Sens!F11988:J11988,"&lt;"&amp;(bb_target-0.05)),"0")&amp;" 年減少）","回購不減")</f>
        <v>需要舉債 4.3 十億美元；回購較每年 22.3 的目標少 37.9 十億美元（2 年減少）</v>
      </c>
    </row>
    <row r="11999" customFormat="false" ht="17.15" hidden="false" customHeight="false" outlineLevel="0" collapsed="false">
      <c r="A11999" s="3" t="s">
        <v>1571</v>
      </c>
    </row>
    <row r="12000" customFormat="false" ht="15" hidden="false" customHeight="false" outlineLevel="0" collapsed="false">
      <c r="A12000" s="4" t="s">
        <v>43</v>
      </c>
      <c r="B12000" s="4" t="s">
        <v>65</v>
      </c>
      <c r="C12000" s="20" t="s">
        <v>799</v>
      </c>
      <c r="D12000" s="20" t="s">
        <v>800</v>
      </c>
      <c r="E12000" s="20" t="s">
        <v>801</v>
      </c>
      <c r="F12000" s="20" t="s">
        <v>802</v>
      </c>
      <c r="G12000" s="20" t="s">
        <v>803</v>
      </c>
      <c r="H12000" s="20" t="s">
        <v>804</v>
      </c>
      <c r="I12000" s="20" t="s">
        <v>805</v>
      </c>
      <c r="J12000" s="20" t="s">
        <v>806</v>
      </c>
      <c r="K12000" s="20" t="s">
        <v>807</v>
      </c>
      <c r="L12000" s="4" t="s">
        <v>47</v>
      </c>
    </row>
    <row r="12001" customFormat="false" ht="15" hidden="false" customHeight="false" outlineLevel="0" collapsed="false">
      <c r="A12001" s="1" t="s">
        <v>1057</v>
      </c>
      <c r="B12001" s="1" t="s">
        <v>235</v>
      </c>
      <c r="F12001" s="36" t="n">
        <f aca="false">Sens!F11855-base_fy-mid_yr</f>
        <v>0.5</v>
      </c>
      <c r="G12001" s="36" t="n">
        <f aca="false">Sens!G11855-base_fy-mid_yr</f>
        <v>1.5</v>
      </c>
      <c r="H12001" s="36" t="n">
        <f aca="false">Sens!H11855-base_fy-mid_yr</f>
        <v>2.5</v>
      </c>
      <c r="I12001" s="36" t="n">
        <f aca="false">Sens!I11855-base_fy-mid_yr</f>
        <v>3.5</v>
      </c>
      <c r="J12001" s="36" t="n">
        <f aca="false">Sens!J11855-base_fy-mid_yr</f>
        <v>4.5</v>
      </c>
      <c r="K12001" s="36" t="n">
        <f aca="false">Sens!K11855-base_fy-mid_yr</f>
        <v>5.5</v>
      </c>
    </row>
    <row r="12002" customFormat="false" ht="15" hidden="false" customHeight="false" outlineLevel="0" collapsed="false">
      <c r="A12002" s="1" t="s">
        <v>1058</v>
      </c>
      <c r="B12002" s="0" t="s">
        <v>185</v>
      </c>
      <c r="F12002" s="14" t="n">
        <f aca="false">1/(1+wacc)^Sens!F12001</f>
        <v>0.952193373608246</v>
      </c>
      <c r="G12002" s="14" t="n">
        <f aca="false">1/(1+wacc)^Sens!G12001</f>
        <v>0.863327280626589</v>
      </c>
      <c r="H12002" s="14" t="n">
        <f aca="false">1/(1+wacc)^Sens!H12001</f>
        <v>0.782754862754115</v>
      </c>
      <c r="I12002" s="14" t="n">
        <f aca="false">1/(1+wacc)^Sens!I12001</f>
        <v>0.709702089711011</v>
      </c>
      <c r="J12002" s="14" t="n">
        <f aca="false">1/(1+wacc)^Sens!J12001</f>
        <v>0.643467169744551</v>
      </c>
      <c r="K12002" s="14" t="n">
        <f aca="false">1/(1+wacc)^Sens!K12001</f>
        <v>0.583413807767797</v>
      </c>
    </row>
    <row r="12003" customFormat="false" ht="17.15" hidden="false" customHeight="false" outlineLevel="0" collapsed="false">
      <c r="A12003" s="1" t="s">
        <v>1059</v>
      </c>
      <c r="B12003" s="0" t="s">
        <v>98</v>
      </c>
      <c r="F12003" s="6" t="n">
        <f aca="false">Sens!F11976-Sens!F11974-Sens!F11980+Sens!F11959*(1-tax_f)</f>
        <v>3.27232692094634</v>
      </c>
      <c r="G12003" s="6" t="n">
        <f aca="false">Sens!G11976-Sens!G11974-Sens!G11980+Sens!G11959*(1-tax_f)</f>
        <v>43.421858305225</v>
      </c>
      <c r="H12003" s="6" t="n">
        <f aca="false">Sens!H11976-Sens!H11974-Sens!H11980+Sens!H11959*(1-tax_f)</f>
        <v>92.4358631317258</v>
      </c>
      <c r="I12003" s="6" t="n">
        <f aca="false">Sens!I11976-Sens!I11974-Sens!I11980+Sens!I11959*(1-tax_f)</f>
        <v>166.216718970056</v>
      </c>
      <c r="J12003" s="6" t="n">
        <f aca="false">Sens!J11976-Sens!J11974-Sens!J11980+Sens!J11959*(1-tax_f)</f>
        <v>241.537786047229</v>
      </c>
      <c r="K12003" s="6" t="n">
        <f aca="false">Sens!K11976-Sens!K11974-Sens!K11980+Sens!K11959*(1-tax_f)</f>
        <v>276.599237961499</v>
      </c>
      <c r="L12003" s="1" t="s">
        <v>1060</v>
      </c>
    </row>
    <row r="12004" customFormat="false" ht="15" hidden="false" customHeight="false" outlineLevel="0" collapsed="false">
      <c r="A12004" s="1" t="s">
        <v>1061</v>
      </c>
      <c r="B12004" s="0" t="s">
        <v>98</v>
      </c>
      <c r="F12004" s="6" t="n">
        <f aca="false">Sens!F12003*Sens!F12002</f>
        <v>3.11588801040498</v>
      </c>
      <c r="G12004" s="6" t="n">
        <f aca="false">Sens!G12003*Sens!G12002</f>
        <v>37.487274850403</v>
      </c>
      <c r="H12004" s="6" t="n">
        <f aca="false">Sens!H12003*Sens!H12002</f>
        <v>72.3546213592322</v>
      </c>
      <c r="I12004" s="6" t="n">
        <f aca="false">Sens!I12003*Sens!I12002</f>
        <v>117.964352797956</v>
      </c>
      <c r="J12004" s="6" t="n">
        <f aca="false">Sens!J12003*Sens!J12002</f>
        <v>155.421635574176</v>
      </c>
      <c r="K12004" s="6" t="n">
        <f aca="false">Sens!K12003*Sens!K12002</f>
        <v>161.371814644789</v>
      </c>
    </row>
    <row r="12005" customFormat="false" ht="17.15" hidden="false" customHeight="false" outlineLevel="0" collapsed="false">
      <c r="A12005" s="1" t="s">
        <v>1062</v>
      </c>
      <c r="B12005" s="0" t="s">
        <v>98</v>
      </c>
      <c r="C12005" s="6" t="n">
        <f aca="false">SUM(Sens!F12004:K12004)</f>
        <v>547.715587236961</v>
      </c>
    </row>
    <row r="12006" customFormat="false" ht="17.15" hidden="false" customHeight="false" outlineLevel="0" collapsed="false">
      <c r="A12006" s="1" t="s">
        <v>1063</v>
      </c>
      <c r="B12006" s="0" t="s">
        <v>98</v>
      </c>
      <c r="C12006" s="6" t="n">
        <f aca="false">Sens!K11945*(1+g_tv)*(1-tax_f)</f>
        <v>293.0819395001</v>
      </c>
    </row>
    <row r="12007" customFormat="false" ht="17.15" hidden="false" customHeight="false" outlineLevel="0" collapsed="false">
      <c r="A12007" s="1" t="s">
        <v>1064</v>
      </c>
      <c r="B12007" s="0" t="s">
        <v>98</v>
      </c>
      <c r="C12007" s="6" t="n">
        <f aca="false">Sens!$C$12006*(1-g_tv/(wacc+ronic_prem))</f>
        <v>207.663882283964</v>
      </c>
    </row>
    <row r="12008" customFormat="false" ht="17.15" hidden="false" customHeight="false" outlineLevel="0" collapsed="false">
      <c r="A12008" s="1" t="s">
        <v>1065</v>
      </c>
      <c r="B12008" s="0" t="s">
        <v>98</v>
      </c>
      <c r="C12008" s="6" t="n">
        <f aca="false">Sens!$C$12007/(wacc-g_tv)</f>
        <v>2847.26857387118</v>
      </c>
    </row>
    <row r="12009" customFormat="false" ht="15" hidden="false" customHeight="false" outlineLevel="0" collapsed="false">
      <c r="A12009" s="1" t="s">
        <v>1066</v>
      </c>
      <c r="B12009" s="0" t="s">
        <v>98</v>
      </c>
      <c r="C12009" s="6" t="n">
        <f aca="false">Sens!$C$12008/(1+wacc)^(Sens!K12001+mid_yr)</f>
        <v>1581.72250182314</v>
      </c>
    </row>
    <row r="12010" customFormat="false" ht="17.15" hidden="false" customHeight="false" outlineLevel="0" collapsed="false">
      <c r="A12010" s="0" t="s">
        <v>986</v>
      </c>
      <c r="B12010" s="0" t="s">
        <v>98</v>
      </c>
      <c r="C12010" s="6" t="n">
        <f aca="false">Sens!$C$12005+Sens!$C$12009</f>
        <v>2129.4380890601</v>
      </c>
    </row>
    <row r="12011" customFormat="false" ht="15" hidden="false" customHeight="false" outlineLevel="0" collapsed="false">
      <c r="A12011" s="1" t="s">
        <v>987</v>
      </c>
      <c r="B12011" s="0" t="s">
        <v>129</v>
      </c>
      <c r="C12011" s="7" t="n">
        <f aca="false">Sens!$C$12009/Sens!$C$12010</f>
        <v>0.742788677421134</v>
      </c>
    </row>
    <row r="12012" customFormat="false" ht="17.15" hidden="false" customHeight="false" outlineLevel="0" collapsed="false">
      <c r="A12012" s="1" t="s">
        <v>1067</v>
      </c>
      <c r="B12012" s="0" t="s">
        <v>98</v>
      </c>
      <c r="C12012" s="6" t="n">
        <f aca="false">Sens!$C$12010+Sens!E11992-Sens!E11981+oai_v</f>
        <v>2263.9510890601</v>
      </c>
    </row>
    <row r="12013" customFormat="false" ht="17.15" hidden="false" customHeight="false" outlineLevel="0" collapsed="false">
      <c r="A12013" s="0" t="s">
        <v>994</v>
      </c>
      <c r="B12013" s="0" t="s">
        <v>75</v>
      </c>
      <c r="C12013" s="5" t="n">
        <f aca="false">Sens!$C$12012/sh_dil26</f>
        <v>303.763731257225</v>
      </c>
    </row>
    <row r="12014" customFormat="false" ht="15" hidden="false" customHeight="false" outlineLevel="0" collapsed="false">
      <c r="A12014" s="1" t="s">
        <v>1068</v>
      </c>
      <c r="B12014" s="0" t="s">
        <v>75</v>
      </c>
      <c r="C12014" s="8" t="n">
        <f aca="false">dps_27+Sens!G11984*roll_div_q/q_per_yr</f>
        <v>4.8895</v>
      </c>
    </row>
    <row r="12015" customFormat="false" ht="17.15" hidden="false" customHeight="false" outlineLevel="0" collapsed="false">
      <c r="A12015" s="0" t="s">
        <v>1069</v>
      </c>
      <c r="B12015" s="0" t="s">
        <v>75</v>
      </c>
      <c r="C12015" s="5" t="n">
        <f aca="false">Sens!$C$12013*(1+wacc)^t_roll-Sens!$C$12014</f>
        <v>341.016403309527</v>
      </c>
    </row>
    <row r="12016" customFormat="false" ht="17.15" hidden="false" customHeight="false" outlineLevel="0" collapsed="false">
      <c r="A12016" s="1" t="s">
        <v>1070</v>
      </c>
      <c r="B12016" s="0" t="s">
        <v>129</v>
      </c>
      <c r="F12016" s="7" t="n">
        <f aca="false">Sens!F11971/(Sens!F11916-Sens!F11872)</f>
        <v>0.0708376243512414</v>
      </c>
      <c r="G12016" s="7" t="n">
        <f aca="false">Sens!G11971/(Sens!G11916-Sens!G11872)</f>
        <v>0.0675792567445289</v>
      </c>
      <c r="H12016" s="7" t="n">
        <f aca="false">Sens!H11971/(Sens!H11916-Sens!H11872)</f>
        <v>0.0657637992399081</v>
      </c>
      <c r="I12016" s="7" t="n">
        <f aca="false">Sens!I11971/(Sens!I11916-Sens!I11872)</f>
        <v>0.0652507860006261</v>
      </c>
      <c r="J12016" s="7" t="n">
        <f aca="false">Sens!J11971/(Sens!J11916-Sens!J11872)</f>
        <v>0.0657374094257698</v>
      </c>
      <c r="K12016" s="7" t="n">
        <f aca="false">Sens!K11971/(Sens!K11916-Sens!K11872)</f>
        <v>0.0668595832904836</v>
      </c>
    </row>
    <row r="12017" customFormat="false" ht="17.15" hidden="false" customHeight="false" outlineLevel="0" collapsed="false">
      <c r="A12017" s="0" t="s">
        <v>1071</v>
      </c>
      <c r="B12017" s="0" t="s">
        <v>98</v>
      </c>
      <c r="F12017" s="6" t="n">
        <f aca="false">Sens!F11901*(al_m365+Sens!F12016+sbc_r)</f>
        <v>84.2019918892952</v>
      </c>
      <c r="G12017" s="6" t="n">
        <f aca="false">Sens!G11901*(al_m365+Sens!G12016+sbc_r)</f>
        <v>96.61090954529</v>
      </c>
      <c r="H12017" s="6" t="n">
        <f aca="false">Sens!H11901*(al_m365+Sens!H12016+sbc_r)</f>
        <v>109.18271398457</v>
      </c>
      <c r="I12017" s="6" t="n">
        <f aca="false">Sens!I11901*(al_m365+Sens!I12016+sbc_r)</f>
        <v>120.736322591613</v>
      </c>
      <c r="J12017" s="6" t="n">
        <f aca="false">Sens!J11901*(al_m365+Sens!J12016+sbc_r)</f>
        <v>131.084561154645</v>
      </c>
      <c r="K12017" s="6" t="n">
        <f aca="false">Sens!K11901*(al_m365+Sens!K12016+sbc_r)</f>
        <v>141.044207560217</v>
      </c>
      <c r="L12017" s="11" t="s">
        <v>1072</v>
      </c>
    </row>
    <row r="12018" customFormat="false" ht="17.15" hidden="false" customHeight="false" outlineLevel="0" collapsed="false">
      <c r="A12018" s="0" t="s">
        <v>1073</v>
      </c>
      <c r="B12018" s="0" t="s">
        <v>98</v>
      </c>
      <c r="F12018" s="6" t="n">
        <f aca="false">Sens!F11902*(al_lic+Sens!F12016+sbc_r)</f>
        <v>33.5324516680982</v>
      </c>
      <c r="G12018" s="6" t="n">
        <f aca="false">Sens!G11902*(al_lic+Sens!G12016+sbc_r)</f>
        <v>34.819657317048</v>
      </c>
      <c r="H12018" s="6" t="n">
        <f aca="false">Sens!H11902*(al_lic+Sens!H12016+sbc_r)</f>
        <v>36.0229106304815</v>
      </c>
      <c r="I12018" s="6" t="n">
        <f aca="false">Sens!I11902*(al_lic+Sens!I12016+sbc_r)</f>
        <v>37.1234854794919</v>
      </c>
      <c r="J12018" s="6" t="n">
        <f aca="false">Sens!J11902*(al_lic+Sens!J12016+sbc_r)</f>
        <v>38.0950592345738</v>
      </c>
      <c r="K12018" s="6" t="n">
        <f aca="false">Sens!K11902*(al_lic+Sens!K12016+sbc_r)</f>
        <v>38.9080719459809</v>
      </c>
    </row>
    <row r="12019" customFormat="false" ht="17.15" hidden="false" customHeight="false" outlineLevel="0" collapsed="false">
      <c r="A12019" s="0" t="s">
        <v>1074</v>
      </c>
      <c r="B12019" s="0" t="s">
        <v>98</v>
      </c>
      <c r="F12019" s="6" t="n">
        <f aca="false">Sens!F11904*(al_ind+Sens!F12016+sbc_r)</f>
        <v>9.12666918765551</v>
      </c>
      <c r="G12019" s="6" t="n">
        <f aca="false">Sens!G11904*(al_ind+Sens!G12016+sbc_r)</f>
        <v>9.89694850970116</v>
      </c>
      <c r="H12019" s="6" t="n">
        <f aca="false">Sens!H11904*(al_ind+Sens!H12016+sbc_r)</f>
        <v>10.7131335152527</v>
      </c>
      <c r="I12019" s="6" t="n">
        <f aca="false">Sens!I11904*(al_ind+Sens!I12016+sbc_r)</f>
        <v>11.5721730864119</v>
      </c>
      <c r="J12019" s="6" t="n">
        <f aca="false">Sens!J11904*(al_ind+Sens!J12016+sbc_r)</f>
        <v>12.4641697526801</v>
      </c>
      <c r="K12019" s="6" t="n">
        <f aca="false">Sens!K11904*(al_ind+Sens!K12016+sbc_r)</f>
        <v>13.3737871892836</v>
      </c>
    </row>
    <row r="12020" customFormat="false" ht="17.15" hidden="false" customHeight="false" outlineLevel="0" collapsed="false">
      <c r="A12020" s="0" t="s">
        <v>1075</v>
      </c>
      <c r="B12020" s="0" t="s">
        <v>98</v>
      </c>
      <c r="F12020" s="6" t="n">
        <f aca="false">Sens!F11906*(al_fro+Sens!F12016+sbc_r)</f>
        <v>3.5922890341799</v>
      </c>
      <c r="G12020" s="6" t="n">
        <f aca="false">Sens!G11906*(al_fro+Sens!G12016+sbc_r)</f>
        <v>3.79984310356763</v>
      </c>
      <c r="H12020" s="6" t="n">
        <f aca="false">Sens!H11906*(al_fro+Sens!H12016+sbc_r)</f>
        <v>4.03707539290126</v>
      </c>
      <c r="I12020" s="6" t="n">
        <f aca="false">Sens!I11906*(al_fro+Sens!I12016+sbc_r)</f>
        <v>4.30669184104541</v>
      </c>
      <c r="J12020" s="6" t="n">
        <f aca="false">Sens!J11906*(al_fro+Sens!J12016+sbc_r)</f>
        <v>4.6097289716959</v>
      </c>
      <c r="K12020" s="6" t="n">
        <f aca="false">Sens!K11906*(al_fro+Sens!K12016+sbc_r)</f>
        <v>4.94614045628512</v>
      </c>
    </row>
    <row r="12021" customFormat="false" ht="17.15" hidden="false" customHeight="false" outlineLevel="0" collapsed="false">
      <c r="A12021" s="0" t="s">
        <v>1076</v>
      </c>
      <c r="B12021" s="0" t="s">
        <v>98</v>
      </c>
      <c r="F12021" s="6" t="n">
        <f aca="false">Sens!F11909*(al_srch+Sens!F12016+sbc_r)</f>
        <v>11.2715683093452</v>
      </c>
      <c r="G12021" s="6" t="n">
        <f aca="false">Sens!G11909*(al_srch+Sens!G12016+sbc_r)</f>
        <v>12.338201972554</v>
      </c>
      <c r="H12021" s="6" t="n">
        <f aca="false">Sens!H11909*(al_srch+Sens!H12016+sbc_r)</f>
        <v>13.450727865064</v>
      </c>
      <c r="I12021" s="6" t="n">
        <f aca="false">Sens!I11909*(al_srch+Sens!I12016+sbc_r)</f>
        <v>14.598560682534</v>
      </c>
      <c r="J12021" s="6" t="n">
        <f aca="false">Sens!J11909*(al_srch+Sens!J12016+sbc_r)</f>
        <v>15.7615229152659</v>
      </c>
      <c r="K12021" s="6" t="n">
        <f aca="false">Sens!K11909*(al_srch+Sens!K12016+sbc_r)</f>
        <v>16.9117765106222</v>
      </c>
    </row>
    <row r="12022" customFormat="false" ht="17.15" hidden="false" customHeight="false" outlineLevel="0" collapsed="false">
      <c r="A12022" s="0" t="s">
        <v>1077</v>
      </c>
      <c r="B12022" s="0" t="s">
        <v>98</v>
      </c>
      <c r="F12022" s="6" t="n">
        <f aca="false">Sens!F11878-Sens!F11879+Sens!F11959</f>
        <v>42.0904306726393</v>
      </c>
      <c r="G12022" s="6" t="n">
        <f aca="false">Sens!G11878-Sens!G11879+Sens!G11959</f>
        <v>79.4477537443441</v>
      </c>
      <c r="H12022" s="6" t="n">
        <f aca="false">Sens!H11878-Sens!H11879+Sens!H11959</f>
        <v>119.685533679822</v>
      </c>
      <c r="I12022" s="6" t="n">
        <f aca="false">Sens!I11878-Sens!I11879+Sens!I11959</f>
        <v>156.050256506302</v>
      </c>
      <c r="J12022" s="6" t="n">
        <f aca="false">Sens!J11878-Sens!J11879+Sens!J11959</f>
        <v>181.99321819491</v>
      </c>
      <c r="K12022" s="6" t="n">
        <f aca="false">Sens!K11878-Sens!K11879+Sens!K11959</f>
        <v>198.669533496123</v>
      </c>
    </row>
    <row r="12023" customFormat="false" ht="17.15" hidden="false" customHeight="false" outlineLevel="0" collapsed="false">
      <c r="A12023" s="0" t="s">
        <v>1078</v>
      </c>
      <c r="B12023" s="0" t="s">
        <v>98</v>
      </c>
      <c r="F12023" s="6" t="n">
        <f aca="false">Sens!F11938+Sens!F11959+Sens!F11889+Sens!F12016*(Sens!F11908-Sens!F11872)+sbc_r*Sens!F11908</f>
        <v>238.531527006091</v>
      </c>
      <c r="G12023" s="6" t="n">
        <f aca="false">Sens!G11938+Sens!G11959+Sens!G11889+Sens!G12016*(Sens!G11908-Sens!G11872)+sbc_r*Sens!G11908</f>
        <v>303.780620667421</v>
      </c>
      <c r="H12023" s="6" t="n">
        <f aca="false">Sens!H11938+Sens!H11959+Sens!H11889+Sens!H12016*(Sens!H11908-Sens!H11872)+sbc_r*Sens!H11908</f>
        <v>372.420379157198</v>
      </c>
      <c r="I12023" s="6" t="n">
        <f aca="false">Sens!I11938+Sens!I11959+Sens!I11889+Sens!I12016*(Sens!I11908-Sens!I11872)+sbc_r*Sens!I11908</f>
        <v>435.768785125636</v>
      </c>
      <c r="J12023" s="6" t="n">
        <f aca="false">Sens!J11938+Sens!J11959+Sens!J11889+Sens!J12016*(Sens!J11908-Sens!J11872)+sbc_r*Sens!J11908</f>
        <v>486.191543928513</v>
      </c>
      <c r="K12023" s="6" t="n">
        <f aca="false">Sens!K11938+Sens!K11959+Sens!K11889+Sens!K12016*(Sens!K11908-Sens!K11872)+sbc_r*Sens!K11908</f>
        <v>524.929615776541</v>
      </c>
    </row>
    <row r="12024" customFormat="false" ht="17.15" hidden="false" customHeight="false" outlineLevel="0" collapsed="false">
      <c r="A12024" s="0" t="s">
        <v>1079</v>
      </c>
      <c r="B12024" s="0" t="s">
        <v>98</v>
      </c>
      <c r="F12024" s="6" t="n">
        <f aca="false">Sens!F12023-Sens!F12017-Sens!F12018-Sens!F12019-Sens!F12020-Sens!F12022</f>
        <v>65.9876945542227</v>
      </c>
      <c r="G12024" s="6" t="n">
        <f aca="false">Sens!G12023-Sens!G12017-Sens!G12018-Sens!G12019-Sens!G12020-Sens!G12022</f>
        <v>79.2055084474696</v>
      </c>
      <c r="H12024" s="6" t="n">
        <f aca="false">Sens!H12023-Sens!H12017-Sens!H12018-Sens!H12019-Sens!H12020-Sens!H12022</f>
        <v>92.7790119541705</v>
      </c>
      <c r="I12024" s="6" t="n">
        <f aca="false">Sens!I12023-Sens!I12017-Sens!I12018-Sens!I12019-Sens!I12020-Sens!I12022</f>
        <v>105.979855620773</v>
      </c>
      <c r="J12024" s="6" t="n">
        <f aca="false">Sens!J12023-Sens!J12017-Sens!J12018-Sens!J12019-Sens!J12020-Sens!J12022</f>
        <v>117.944806620008</v>
      </c>
      <c r="K12024" s="6" t="n">
        <f aca="false">Sens!K12023-Sens!K12017-Sens!K12018-Sens!K12019-Sens!K12020-Sens!K12022</f>
        <v>127.987875128651</v>
      </c>
    </row>
    <row r="12025" customFormat="false" ht="17.15" hidden="false" customHeight="false" outlineLevel="0" collapsed="false">
      <c r="A12025" s="0" t="s">
        <v>1080</v>
      </c>
      <c r="B12025" s="0" t="s">
        <v>98</v>
      </c>
      <c r="F12025" s="6" t="n">
        <f aca="false">Sens!F11940+Sens!F12016*Sens!F11915+sbc_r*Sens!F11915</f>
        <v>27.6479185356103</v>
      </c>
      <c r="G12025" s="6" t="n">
        <f aca="false">Sens!G11940+Sens!G12016*Sens!G11915+sbc_r*Sens!G11915</f>
        <v>28.2711734629484</v>
      </c>
      <c r="H12025" s="6" t="n">
        <f aca="false">Sens!H11940+Sens!H12016*Sens!H11915+sbc_r*Sens!H11915</f>
        <v>29.1773338302248</v>
      </c>
      <c r="I12025" s="6" t="n">
        <f aca="false">Sens!I11940+Sens!I12016*Sens!I11915+sbc_r*Sens!I11915</f>
        <v>30.3338775683583</v>
      </c>
      <c r="J12025" s="6" t="n">
        <f aca="false">Sens!J11940+Sens!J12016*Sens!J11915+sbc_r*Sens!J11915</f>
        <v>31.7030407009199</v>
      </c>
      <c r="K12025" s="6" t="n">
        <f aca="false">Sens!K11940+Sens!K12016*Sens!K11915+sbc_r*Sens!K11915</f>
        <v>33.2455951354363</v>
      </c>
    </row>
    <row r="12026" customFormat="false" ht="17.15" hidden="false" customHeight="false" outlineLevel="0" collapsed="false">
      <c r="A12026" s="0" t="s">
        <v>1081</v>
      </c>
      <c r="B12026" s="0" t="s">
        <v>98</v>
      </c>
      <c r="F12026" s="6" t="n">
        <f aca="false">(Sens!F12025-Sens!F12021)*Sens!F11911/(Sens!F11911+Sens!F11913)</f>
        <v>8.97735569069856</v>
      </c>
      <c r="G12026" s="6" t="n">
        <f aca="false">(Sens!G12025-Sens!G12021)*Sens!G11911/(Sens!G11911+Sens!G11913)</f>
        <v>8.57856776988977</v>
      </c>
      <c r="H12026" s="6" t="n">
        <f aca="false">(Sens!H12025-Sens!H12021)*Sens!H11911/(Sens!H11911+Sens!H11913)</f>
        <v>8.35307605959804</v>
      </c>
      <c r="I12026" s="6" t="n">
        <f aca="false">(Sens!I12025-Sens!I12021)*Sens!I11911/(Sens!I11911+Sens!I11913)</f>
        <v>8.28208220240588</v>
      </c>
      <c r="J12026" s="6" t="n">
        <f aca="false">(Sens!J12025-Sens!J12021)*Sens!J11911/(Sens!J11911+Sens!J11913)</f>
        <v>8.35267135683331</v>
      </c>
      <c r="K12026" s="6" t="n">
        <f aca="false">(Sens!K12025-Sens!K12021)*Sens!K11911/(Sens!K11911+Sens!K11913)</f>
        <v>8.55822016508184</v>
      </c>
    </row>
    <row r="12027" customFormat="false" ht="17.15" hidden="false" customHeight="false" outlineLevel="0" collapsed="false">
      <c r="A12027" s="0" t="s">
        <v>1082</v>
      </c>
      <c r="B12027" s="0" t="s">
        <v>98</v>
      </c>
      <c r="F12027" s="6" t="n">
        <f aca="false">Sens!F12025-Sens!F12021-Sens!F12026</f>
        <v>7.3989945355666</v>
      </c>
      <c r="G12027" s="6" t="n">
        <f aca="false">Sens!G12025-Sens!G12021-Sens!G12026</f>
        <v>7.35440372050461</v>
      </c>
      <c r="H12027" s="6" t="n">
        <f aca="false">Sens!H12025-Sens!H12021-Sens!H12026</f>
        <v>7.37352990556275</v>
      </c>
      <c r="I12027" s="6" t="n">
        <f aca="false">Sens!I12025-Sens!I12021-Sens!I12026</f>
        <v>7.45323468341836</v>
      </c>
      <c r="J12027" s="6" t="n">
        <f aca="false">Sens!J12025-Sens!J12021-Sens!J12026</f>
        <v>7.58884642882068</v>
      </c>
      <c r="K12027" s="6" t="n">
        <f aca="false">Sens!K12025-Sens!K12021-Sens!K12026</f>
        <v>7.7755984597322</v>
      </c>
    </row>
    <row r="12028" customFormat="false" ht="17.15" hidden="false" customHeight="false" outlineLevel="0" collapsed="false">
      <c r="A12028" s="0" t="s">
        <v>1083</v>
      </c>
      <c r="B12028" s="0" t="s">
        <v>98</v>
      </c>
      <c r="F12028" s="6" t="n">
        <f aca="false">Sens!F12022-tax_f*(Sens!F12022-Sens!F11889)-Sens!F11886</f>
        <v>-119.850553857164</v>
      </c>
      <c r="G12028" s="6" t="n">
        <f aca="false">Sens!G12022-tax_f*(Sens!G12022-Sens!G11889)-Sens!G11886</f>
        <v>-108.190890065622</v>
      </c>
      <c r="H12028" s="6" t="n">
        <f aca="false">Sens!H12022-tax_f*(Sens!H12022-Sens!H11889)-Sens!H11886</f>
        <v>-75.0596549978803</v>
      </c>
      <c r="I12028" s="6" t="n">
        <f aca="false">Sens!I12022-tax_f*(Sens!I12022-Sens!I11889)-Sens!I11886</f>
        <v>-16.7453151827256</v>
      </c>
      <c r="J12028" s="6" t="n">
        <f aca="false">Sens!J12022-tax_f*(Sens!J12022-Sens!J11889)-Sens!J11886</f>
        <v>44.0128025322546</v>
      </c>
      <c r="K12028" s="6" t="n">
        <f aca="false">Sens!K12022-tax_f*(Sens!K12022-Sens!K11889)-Sens!K11886</f>
        <v>65.3545043021697</v>
      </c>
    </row>
    <row r="12029" customFormat="false" ht="17.15" hidden="false" customHeight="false" outlineLevel="0" collapsed="false">
      <c r="A12029" s="0" t="s">
        <v>1084</v>
      </c>
      <c r="B12029" s="0" t="s">
        <v>98</v>
      </c>
      <c r="G12029" s="6" t="n">
        <f aca="false">Sens!G12028/(1+wacc)^(Sens!G12001-(Sens!F12001+mid_yr))</f>
        <v>-103.018648605264</v>
      </c>
      <c r="H12029" s="6" t="n">
        <f aca="false">Sens!H12028/(1+wacc)^(Sens!H12001-(Sens!F12001+mid_yr))</f>
        <v>-64.8010478340899</v>
      </c>
      <c r="I12029" s="6" t="n">
        <f aca="false">Sens!I12028/(1+wacc)^(Sens!I12001-(Sens!F12001+mid_yr))</f>
        <v>-13.1074768876288</v>
      </c>
      <c r="J12029" s="6" t="n">
        <f aca="false">Sens!J12028/(1+wacc)^(Sens!J12001-(Sens!F12001+mid_yr))</f>
        <v>31.2359779311791</v>
      </c>
      <c r="K12029" s="6" t="n">
        <f aca="false">Sens!K12028/(1+wacc)^(Sens!K12001-(Sens!F12001+mid_yr))</f>
        <v>42.0534779133752</v>
      </c>
      <c r="L12029" s="1" t="s">
        <v>1085</v>
      </c>
    </row>
    <row r="12030" customFormat="false" ht="17.15" hidden="false" customHeight="false" outlineLevel="0" collapsed="false">
      <c r="A12030" s="0" t="s">
        <v>1086</v>
      </c>
      <c r="B12030" s="0" t="s">
        <v>98</v>
      </c>
      <c r="C12030" s="6" t="n">
        <f aca="false">(Sens!K12022-Sens!K11889)*(1-tax_f)*(1+g_tv)*(1-g_tv/(wacc+ronic_prem))/(wacc-g_tv)/(1+wacc)^(Sens!K12001+mid_yr-(Sens!F12001+mid_yr))</f>
        <v>292.020194891041</v>
      </c>
    </row>
    <row r="12031" customFormat="false" ht="17.15" hidden="false" customHeight="false" outlineLevel="0" collapsed="false">
      <c r="A12031" s="1" t="s">
        <v>1087</v>
      </c>
      <c r="B12031" s="0" t="s">
        <v>98</v>
      </c>
      <c r="C12031" s="6" t="n">
        <f aca="false">(SUM(Sens!G12029:K12029)+Sens!$C$12030)*(1+wacc)^(t_roll-(Sens!F12001+mid_yr))</f>
        <v>190.367151159344</v>
      </c>
      <c r="L12031" s="11" t="s">
        <v>1088</v>
      </c>
    </row>
    <row r="12032" customFormat="false" ht="17.15" hidden="false" customHeight="false" outlineLevel="0" collapsed="false">
      <c r="A12032" s="1" t="s">
        <v>1089</v>
      </c>
      <c r="B12032" s="0" t="s">
        <v>98</v>
      </c>
      <c r="C12032" s="6" t="n">
        <f aca="false">(w_ntm28*Sens!G11878+(1-w_ntm28)*Sens!H11878)*m_ai</f>
        <v>454.922440830797</v>
      </c>
    </row>
    <row r="12033" customFormat="false" ht="17.15" hidden="false" customHeight="false" outlineLevel="0" collapsed="false">
      <c r="A12033" s="1" t="s">
        <v>1090</v>
      </c>
      <c r="B12033" s="0" t="s">
        <v>98</v>
      </c>
      <c r="C12033" s="6" t="n">
        <f aca="false">(w_ntm28*Sens!G12024+(1-w_ntm28)*Sens!H12024)*m_cloud</f>
        <v>1155.26430915112</v>
      </c>
    </row>
    <row r="12034" customFormat="false" ht="17.15" hidden="false" customHeight="false" outlineLevel="0" collapsed="false">
      <c r="A12034" s="1" t="s">
        <v>1091</v>
      </c>
      <c r="B12034" s="0" t="s">
        <v>98</v>
      </c>
      <c r="C12034" s="6" t="n">
        <f aca="false">(w_ntm28*Sens!G12017+(1-w_ntm28)*Sens!H12017)*m_sw</f>
        <v>1087.29236439713</v>
      </c>
    </row>
    <row r="12035" customFormat="false" ht="17.15" hidden="false" customHeight="false" outlineLevel="0" collapsed="false">
      <c r="A12035" s="1" t="s">
        <v>1092</v>
      </c>
      <c r="B12035" s="0" t="s">
        <v>98</v>
      </c>
      <c r="C12035" s="6" t="n">
        <f aca="false">(w_ntm28*Sens!G12018+(1-w_ntm28)*Sens!H12018)*m_sw</f>
        <v>380.253466209432</v>
      </c>
    </row>
    <row r="12036" customFormat="false" ht="17.15" hidden="false" customHeight="false" outlineLevel="0" collapsed="false">
      <c r="A12036" s="1" t="s">
        <v>1093</v>
      </c>
      <c r="B12036" s="0" t="s">
        <v>98</v>
      </c>
      <c r="C12036" s="6" t="n">
        <f aca="false">(w_ntm28*Sens!G12019+(1-w_ntm28)*Sens!H12019)*m_sw</f>
        <v>109.736759441964</v>
      </c>
    </row>
    <row r="12037" customFormat="false" ht="17.15" hidden="false" customHeight="false" outlineLevel="0" collapsed="false">
      <c r="A12037" s="1" t="s">
        <v>1094</v>
      </c>
      <c r="B12037" s="0" t="s">
        <v>98</v>
      </c>
      <c r="C12037" s="6" t="n">
        <f aca="false">(w_ntm28*Sens!G12020+(1-w_ntm28)*Sens!H12020)*m_sw</f>
        <v>41.8666036816175</v>
      </c>
    </row>
    <row r="12038" customFormat="false" ht="17.15" hidden="false" customHeight="false" outlineLevel="0" collapsed="false">
      <c r="A12038" s="1" t="s">
        <v>1095</v>
      </c>
      <c r="B12038" s="0" t="s">
        <v>98</v>
      </c>
      <c r="C12038" s="6" t="n">
        <f aca="false">(w_ntm28*Sens!G12021+(1-w_ntm28)*Sens!H12021)*m_ads</f>
        <v>115.677576364297</v>
      </c>
    </row>
    <row r="12039" customFormat="false" ht="17.15" hidden="false" customHeight="false" outlineLevel="0" collapsed="false">
      <c r="A12039" s="1" t="s">
        <v>1096</v>
      </c>
      <c r="B12039" s="0" t="s">
        <v>98</v>
      </c>
      <c r="C12039" s="6" t="n">
        <f aca="false">(w_ntm28*Sens!G12026+(1-w_ntm28)*Sens!H12026)*m_game</f>
        <v>107.426600480239</v>
      </c>
    </row>
    <row r="12040" customFormat="false" ht="17.15" hidden="false" customHeight="false" outlineLevel="0" collapsed="false">
      <c r="A12040" s="1" t="s">
        <v>1097</v>
      </c>
      <c r="B12040" s="0" t="s">
        <v>98</v>
      </c>
      <c r="C12040" s="6" t="n">
        <f aca="false">(w_ntm28*Sens!G12027+(1-w_ntm28)*Sens!H12027)*m_pc</f>
        <v>106.507693605399</v>
      </c>
    </row>
    <row r="12041" customFormat="false" ht="17.15" hidden="false" customHeight="false" outlineLevel="0" collapsed="false">
      <c r="A12041" s="1" t="s">
        <v>1098</v>
      </c>
      <c r="B12041" s="0" t="s">
        <v>98</v>
      </c>
      <c r="C12041" s="6" t="n">
        <f aca="false">Sens!$C$12031+Sens!$C$12033+Sens!$C$12034+Sens!$C$12035+Sens!$C$12036+Sens!$C$12037+Sens!$C$12038+Sens!$C$12039+Sens!$C$12040</f>
        <v>3294.39252449054</v>
      </c>
    </row>
    <row r="12042" customFormat="false" ht="17.15" hidden="false" customHeight="false" outlineLevel="0" collapsed="false">
      <c r="A12042" s="1" t="s">
        <v>1099</v>
      </c>
      <c r="B12042" s="0" t="s">
        <v>98</v>
      </c>
      <c r="C12042" s="6" t="n">
        <f aca="false">(Sens!G12003-Sens!G12028)*t_stub</f>
        <v>49.4299097428242</v>
      </c>
      <c r="L12042" s="1" t="s">
        <v>1100</v>
      </c>
    </row>
    <row r="12043" customFormat="false" ht="17.15" hidden="false" customHeight="false" outlineLevel="0" collapsed="false">
      <c r="A12043" s="1" t="s">
        <v>1014</v>
      </c>
      <c r="B12043" s="0" t="s">
        <v>98</v>
      </c>
      <c r="C12043" s="6" t="n">
        <f aca="false">Sens!F11992+oai_v-Sens!F11981+Sens!$C$12042</f>
        <v>166.221020778733</v>
      </c>
      <c r="L12043" s="1" t="s">
        <v>1101</v>
      </c>
    </row>
    <row r="12044" customFormat="false" ht="17.15" hidden="false" customHeight="false" outlineLevel="0" collapsed="false">
      <c r="A12044" s="1" t="s">
        <v>1102</v>
      </c>
      <c r="B12044" s="0" t="s">
        <v>75</v>
      </c>
      <c r="C12044" s="5" t="n">
        <f aca="false">(Sens!$C$12041+Sens!$C$12043)/(Sens!F11994+dil_gap)-Sens!G11984*roll_div_q/q_per_yr</f>
        <v>460.621858760576</v>
      </c>
      <c r="L12044" s="1" t="s">
        <v>1103</v>
      </c>
    </row>
    <row r="12045" customFormat="false" ht="17.15" hidden="false" customHeight="false" outlineLevel="0" collapsed="false">
      <c r="A12045" s="1" t="s">
        <v>1104</v>
      </c>
      <c r="B12045" s="0" t="s">
        <v>75</v>
      </c>
      <c r="C12045" s="5" t="n">
        <f aca="false">w_dcf*Sens!$C$12015+(1-w_dcf)*Sens!$C$12044</f>
        <v>400.819131035051</v>
      </c>
    </row>
    <row r="12046" customFormat="false" ht="17.15" hidden="false" customHeight="false" outlineLevel="0" collapsed="false">
      <c r="A12046" s="3" t="s">
        <v>1572</v>
      </c>
    </row>
    <row r="12047" customFormat="false" ht="15" hidden="false" customHeight="false" outlineLevel="0" collapsed="false">
      <c r="A12047" s="4" t="s">
        <v>43</v>
      </c>
      <c r="B12047" s="4" t="s">
        <v>65</v>
      </c>
      <c r="C12047" s="20" t="s">
        <v>799</v>
      </c>
      <c r="D12047" s="20" t="s">
        <v>800</v>
      </c>
      <c r="E12047" s="20" t="s">
        <v>801</v>
      </c>
      <c r="F12047" s="20" t="s">
        <v>802</v>
      </c>
      <c r="G12047" s="20" t="s">
        <v>803</v>
      </c>
      <c r="H12047" s="20" t="s">
        <v>804</v>
      </c>
      <c r="I12047" s="20" t="s">
        <v>805</v>
      </c>
      <c r="J12047" s="20" t="s">
        <v>806</v>
      </c>
      <c r="K12047" s="20" t="s">
        <v>807</v>
      </c>
      <c r="L12047" s="4" t="s">
        <v>47</v>
      </c>
    </row>
    <row r="12048" customFormat="false" ht="17.15" hidden="false" customHeight="false" outlineLevel="0" collapsed="false">
      <c r="A12048" s="1" t="s">
        <v>808</v>
      </c>
      <c r="B12048" s="1" t="s">
        <v>235</v>
      </c>
      <c r="C12048" s="28" t="n">
        <v>2024</v>
      </c>
      <c r="D12048" s="28" t="n">
        <v>2025</v>
      </c>
      <c r="E12048" s="28" t="n">
        <v>2026</v>
      </c>
      <c r="F12048" s="28" t="n">
        <v>2027</v>
      </c>
      <c r="G12048" s="28" t="n">
        <v>2028</v>
      </c>
      <c r="H12048" s="28" t="n">
        <v>2029</v>
      </c>
      <c r="I12048" s="28" t="n">
        <v>2030</v>
      </c>
      <c r="J12048" s="28" t="n">
        <v>2031</v>
      </c>
      <c r="K12048" s="28" t="n">
        <v>2032</v>
      </c>
    </row>
    <row r="12049" customFormat="false" ht="17.15" hidden="false" customHeight="false" outlineLevel="0" collapsed="false">
      <c r="A12049" s="1" t="s">
        <v>809</v>
      </c>
      <c r="B12049" s="0" t="s">
        <v>399</v>
      </c>
      <c r="F12049" s="29" t="n">
        <f aca="false">pace</f>
        <v>2527.2</v>
      </c>
      <c r="G12049" s="29" t="n">
        <f aca="false">pace</f>
        <v>2527.2</v>
      </c>
      <c r="H12049" s="29" t="n">
        <f aca="false">pace</f>
        <v>2527.2</v>
      </c>
      <c r="I12049" s="29" t="n">
        <f aca="false">pace+(g_tv*Sens!H12050-pace)*MIN(1,(Sens!I12048-pace_y0)/(pace_y1-pace_y0))</f>
        <v>1793.116</v>
      </c>
      <c r="J12049" s="29" t="n">
        <f aca="false">pace+(g_tv*Sens!I12050-pace)*MIN(1,(Sens!J12048-pace_y0)/(pace_y1-pace_y0))</f>
        <v>1094.89432</v>
      </c>
      <c r="K12049" s="29" t="n">
        <f aca="false">pace+(g_tv*Sens!J12050-pace)*MIN(1,(Sens!K12048-pace_y0)/(pace_y1-pace_y0))</f>
        <v>411.5883096</v>
      </c>
      <c r="L12049" s="11" t="s">
        <v>810</v>
      </c>
    </row>
    <row r="12050" customFormat="false" ht="17.15" hidden="false" customHeight="false" outlineLevel="0" collapsed="false">
      <c r="A12050" s="1" t="s">
        <v>811</v>
      </c>
      <c r="B12050" s="0" t="s">
        <v>399</v>
      </c>
      <c r="C12050" s="29" t="n">
        <f aca="false">mw_ext_24</f>
        <v>640</v>
      </c>
      <c r="D12050" s="29" t="n">
        <f aca="false">mw_ext_25</f>
        <v>1630</v>
      </c>
      <c r="E12050" s="29" t="n">
        <f aca="false">mw_ext_26</f>
        <v>3250</v>
      </c>
      <c r="F12050" s="29" t="n">
        <f aca="false">Sens!E12050+Sens!F12049</f>
        <v>5777.2</v>
      </c>
      <c r="G12050" s="29" t="n">
        <f aca="false">Sens!F12050+Sens!G12049</f>
        <v>8304.4</v>
      </c>
      <c r="H12050" s="29" t="n">
        <f aca="false">Sens!G12050+Sens!H12049</f>
        <v>10831.6</v>
      </c>
      <c r="I12050" s="29" t="n">
        <f aca="false">Sens!H12050+Sens!I12049</f>
        <v>12624.716</v>
      </c>
      <c r="J12050" s="29" t="n">
        <f aca="false">Sens!I12050+Sens!J12049</f>
        <v>13719.61032</v>
      </c>
      <c r="K12050" s="29" t="n">
        <f aca="false">Sens!J12050+Sens!K12049</f>
        <v>14131.1986296</v>
      </c>
      <c r="L12050" s="1" t="s">
        <v>812</v>
      </c>
    </row>
    <row r="12051" customFormat="false" ht="17.15" hidden="false" customHeight="false" outlineLevel="0" collapsed="false">
      <c r="A12051" s="1" t="s">
        <v>813</v>
      </c>
      <c r="B12051" s="0" t="s">
        <v>399</v>
      </c>
      <c r="C12051" s="29" t="n">
        <f aca="false">rent_ext_24</f>
        <v>150</v>
      </c>
      <c r="D12051" s="29" t="n">
        <f aca="false">rent_ext_25</f>
        <v>400</v>
      </c>
      <c r="E12051" s="29" t="n">
        <f aca="false">rent_ext_26</f>
        <v>550</v>
      </c>
      <c r="F12051" s="29" t="n">
        <f aca="false">rent_ext_f</f>
        <v>756</v>
      </c>
      <c r="G12051" s="29" t="n">
        <f aca="false">rent_ext_f</f>
        <v>756</v>
      </c>
      <c r="H12051" s="29" t="n">
        <f aca="false">rent_ext_f</f>
        <v>756</v>
      </c>
      <c r="I12051" s="29" t="n">
        <f aca="false">rent_ext_f</f>
        <v>756</v>
      </c>
      <c r="J12051" s="29" t="n">
        <f aca="false">rent_ext_f</f>
        <v>756</v>
      </c>
      <c r="K12051" s="29" t="n">
        <f aca="false">rent_ext_f</f>
        <v>756</v>
      </c>
      <c r="L12051" s="1" t="s">
        <v>814</v>
      </c>
    </row>
    <row r="12052" customFormat="false" ht="17.15" hidden="false" customHeight="false" outlineLevel="0" collapsed="false">
      <c r="A12052" s="1" t="s">
        <v>815</v>
      </c>
      <c r="B12052" s="0" t="s">
        <v>399</v>
      </c>
      <c r="C12052" s="29" t="n">
        <f aca="false">Sens!C12050-Sens!C12051</f>
        <v>490</v>
      </c>
      <c r="D12052" s="29" t="n">
        <f aca="false">Sens!D12050-Sens!D12051</f>
        <v>1230</v>
      </c>
      <c r="E12052" s="29" t="n">
        <f aca="false">Sens!E12050-Sens!E12051</f>
        <v>2700</v>
      </c>
      <c r="F12052" s="29" t="n">
        <f aca="false">Sens!F12050-Sens!F12051</f>
        <v>5021.2</v>
      </c>
      <c r="G12052" s="29" t="n">
        <f aca="false">Sens!G12050-Sens!G12051</f>
        <v>7548.4</v>
      </c>
      <c r="H12052" s="29" t="n">
        <f aca="false">Sens!H12050-Sens!H12051</f>
        <v>10075.6</v>
      </c>
      <c r="I12052" s="29" t="n">
        <f aca="false">Sens!I12050-Sens!I12051</f>
        <v>11868.716</v>
      </c>
      <c r="J12052" s="29" t="n">
        <f aca="false">Sens!J12050-Sens!J12051</f>
        <v>12963.61032</v>
      </c>
      <c r="K12052" s="29" t="n">
        <f aca="false">Sens!K12050-Sens!K12051</f>
        <v>13375.1986296</v>
      </c>
    </row>
    <row r="12053" customFormat="false" ht="17.15" hidden="false" customHeight="false" outlineLevel="0" collapsed="false">
      <c r="A12053" s="1" t="s">
        <v>816</v>
      </c>
      <c r="B12053" s="0" t="s">
        <v>399</v>
      </c>
      <c r="C12053" s="29" t="n">
        <f aca="false">Sens!C12052/ext_sh</f>
        <v>816.666666666667</v>
      </c>
      <c r="D12053" s="29" t="n">
        <f aca="false">Sens!D12052/ext_sh</f>
        <v>2050</v>
      </c>
      <c r="E12053" s="29" t="n">
        <f aca="false">Sens!E12052/ext_sh</f>
        <v>4500</v>
      </c>
      <c r="F12053" s="29" t="n">
        <f aca="false">Sens!F12052/ext_sh</f>
        <v>8368.66666666667</v>
      </c>
      <c r="G12053" s="29" t="n">
        <f aca="false">Sens!G12052/ext_sh</f>
        <v>12580.6666666667</v>
      </c>
      <c r="H12053" s="29" t="n">
        <f aca="false">Sens!H12052/ext_sh</f>
        <v>16792.6666666667</v>
      </c>
      <c r="I12053" s="29" t="n">
        <f aca="false">Sens!I12052/ext_sh</f>
        <v>19781.1933333333</v>
      </c>
      <c r="J12053" s="29" t="n">
        <f aca="false">Sens!J12052/ext_sh</f>
        <v>21606.0172</v>
      </c>
      <c r="K12053" s="29" t="n">
        <f aca="false">Sens!K12052/ext_sh</f>
        <v>22291.997716</v>
      </c>
      <c r="L12053" s="1" t="s">
        <v>817</v>
      </c>
    </row>
    <row r="12054" customFormat="false" ht="17.15" hidden="false" customHeight="false" outlineLevel="0" collapsed="false">
      <c r="A12054" s="1" t="s">
        <v>818</v>
      </c>
      <c r="B12054" s="0" t="s">
        <v>399</v>
      </c>
      <c r="C12054" s="29" t="n">
        <f aca="false">Sens!C12053-Sens!C12052</f>
        <v>326.666666666667</v>
      </c>
      <c r="D12054" s="29" t="n">
        <f aca="false">Sens!D12053-Sens!D12052</f>
        <v>820</v>
      </c>
      <c r="E12054" s="29" t="n">
        <f aca="false">Sens!E12053-Sens!E12052</f>
        <v>1800</v>
      </c>
      <c r="F12054" s="29" t="n">
        <f aca="false">Sens!F12053-Sens!F12052</f>
        <v>3347.46666666667</v>
      </c>
      <c r="G12054" s="29" t="n">
        <f aca="false">Sens!G12053-Sens!G12052</f>
        <v>5032.26666666667</v>
      </c>
      <c r="H12054" s="29" t="n">
        <f aca="false">Sens!H12053-Sens!H12052</f>
        <v>6717.06666666667</v>
      </c>
      <c r="I12054" s="29" t="n">
        <f aca="false">Sens!I12053-Sens!I12052</f>
        <v>7912.47733333333</v>
      </c>
      <c r="J12054" s="29" t="n">
        <f aca="false">Sens!J12053-Sens!J12052</f>
        <v>8642.40688</v>
      </c>
      <c r="K12054" s="29" t="n">
        <f aca="false">Sens!K12053-Sens!K12052</f>
        <v>8916.7990864</v>
      </c>
    </row>
    <row r="12055" customFormat="false" ht="17.15" hidden="false" customHeight="false" outlineLevel="0" collapsed="false">
      <c r="A12055" s="1" t="s">
        <v>819</v>
      </c>
      <c r="B12055" s="0" t="s">
        <v>399</v>
      </c>
      <c r="C12055" s="29" t="n">
        <f aca="false">Sens!C12053</f>
        <v>816.666666666667</v>
      </c>
      <c r="D12055" s="29" t="n">
        <f aca="false">Sens!D12053-Sens!C12053</f>
        <v>1233.33333333333</v>
      </c>
      <c r="E12055" s="29" t="n">
        <f aca="false">Sens!E12053-Sens!D12053</f>
        <v>2450</v>
      </c>
      <c r="F12055" s="29" t="n">
        <f aca="false">Sens!F12053-Sens!E12053</f>
        <v>3868.66666666667</v>
      </c>
      <c r="G12055" s="29" t="n">
        <f aca="false">Sens!G12053-Sens!F12053</f>
        <v>4212</v>
      </c>
      <c r="H12055" s="29" t="n">
        <f aca="false">Sens!H12053-Sens!G12053</f>
        <v>4212</v>
      </c>
      <c r="I12055" s="29" t="n">
        <f aca="false">Sens!I12053-Sens!H12053</f>
        <v>2988.52666666667</v>
      </c>
      <c r="J12055" s="29" t="n">
        <f aca="false">Sens!J12053-Sens!I12053</f>
        <v>1824.82386666667</v>
      </c>
      <c r="K12055" s="29" t="n">
        <f aca="false">Sens!K12053-Sens!J12053</f>
        <v>685.980516</v>
      </c>
    </row>
    <row r="12056" customFormat="false" ht="17.15" hidden="false" customHeight="false" outlineLevel="0" collapsed="false">
      <c r="A12056" s="1" t="s">
        <v>820</v>
      </c>
      <c r="B12056" s="0" t="s">
        <v>399</v>
      </c>
      <c r="D12056" s="29" t="n">
        <f aca="false">Sens!D12050-Sens!C12050</f>
        <v>990</v>
      </c>
      <c r="E12056" s="29" t="n">
        <f aca="false">Sens!E12050-Sens!D12050</f>
        <v>1620</v>
      </c>
      <c r="F12056" s="29" t="n">
        <f aca="false">Sens!F12050-Sens!E12050</f>
        <v>2527.2</v>
      </c>
      <c r="G12056" s="29" t="n">
        <f aca="false">Sens!G12050-Sens!F12050</f>
        <v>2527.2</v>
      </c>
      <c r="H12056" s="29" t="n">
        <f aca="false">Sens!H12050-Sens!G12050</f>
        <v>2527.2</v>
      </c>
      <c r="I12056" s="29" t="n">
        <f aca="false">Sens!I12050-Sens!H12050</f>
        <v>1793.116</v>
      </c>
      <c r="J12056" s="29" t="n">
        <f aca="false">Sens!J12050-Sens!I12050</f>
        <v>1094.89432</v>
      </c>
      <c r="K12056" s="29" t="n">
        <f aca="false">Sens!K12050-Sens!J12050</f>
        <v>411.5883096</v>
      </c>
    </row>
    <row r="12057" customFormat="false" ht="17.15" hidden="false" customHeight="false" outlineLevel="0" collapsed="false">
      <c r="A12057" s="1" t="s">
        <v>821</v>
      </c>
      <c r="B12057" s="0" t="s">
        <v>399</v>
      </c>
      <c r="F12057" s="29" t="n">
        <f aca="false">Sens!F12074*ext_sh</f>
        <v>0</v>
      </c>
      <c r="G12057" s="29" t="n">
        <f aca="false">Sens!G12074*ext_sh</f>
        <v>0</v>
      </c>
      <c r="H12057" s="29" t="n">
        <f aca="false">Sens!H12074*ext_sh</f>
        <v>0</v>
      </c>
      <c r="I12057" s="29" t="n">
        <f aca="false">Sens!I12074*ext_sh</f>
        <v>490</v>
      </c>
      <c r="J12057" s="29" t="n">
        <f aca="false">Sens!J12074*ext_sh</f>
        <v>740</v>
      </c>
      <c r="K12057" s="29" t="n">
        <f aca="false">Sens!K12074*ext_sh</f>
        <v>1470</v>
      </c>
      <c r="L12057" s="1" t="s">
        <v>822</v>
      </c>
    </row>
    <row r="12058" customFormat="false" ht="17.15" hidden="false" customHeight="false" outlineLevel="0" collapsed="false">
      <c r="A12058" s="1" t="s">
        <v>823</v>
      </c>
      <c r="B12058" s="0" t="s">
        <v>399</v>
      </c>
      <c r="C12058" s="29" t="n">
        <f aca="false">mix_h*Sens!C12050</f>
        <v>128</v>
      </c>
      <c r="D12058" s="29" t="n">
        <f aca="false">mix_h*Sens!D12050</f>
        <v>326</v>
      </c>
      <c r="E12058" s="29" t="n">
        <f aca="false">mix_h*Sens!E12050</f>
        <v>650</v>
      </c>
      <c r="F12058" s="29" t="n">
        <f aca="false">Sens!E12058-Sens!F12057*mix_h</f>
        <v>650</v>
      </c>
      <c r="G12058" s="29" t="n">
        <f aca="false">Sens!F12058-Sens!G12057*mix_h</f>
        <v>650</v>
      </c>
      <c r="H12058" s="29" t="n">
        <f aca="false">Sens!G12058-Sens!H12057*mix_h</f>
        <v>650</v>
      </c>
      <c r="I12058" s="29" t="n">
        <f aca="false">Sens!H12058-Sens!I12057*mix_h</f>
        <v>552</v>
      </c>
      <c r="J12058" s="29" t="n">
        <f aca="false">Sens!I12058-Sens!J12057*mix_h</f>
        <v>404</v>
      </c>
      <c r="K12058" s="29" t="n">
        <f aca="false">Sens!J12058-Sens!K12057*mix_h</f>
        <v>110</v>
      </c>
    </row>
    <row r="12059" customFormat="false" ht="17.15" hidden="false" customHeight="false" outlineLevel="0" collapsed="false">
      <c r="A12059" s="1" t="s">
        <v>824</v>
      </c>
      <c r="B12059" s="0" t="s">
        <v>399</v>
      </c>
      <c r="C12059" s="29" t="n">
        <f aca="false">mix_g2*Sens!C12050</f>
        <v>288</v>
      </c>
      <c r="D12059" s="29" t="n">
        <f aca="false">mix_g2*Sens!D12050</f>
        <v>733.5</v>
      </c>
      <c r="E12059" s="29" t="n">
        <f aca="false">mix_g2*Sens!E12050</f>
        <v>1462.5</v>
      </c>
      <c r="F12059" s="29" t="n">
        <f aca="false">Sens!E12059-Sens!F12057*mix_g2</f>
        <v>1462.5</v>
      </c>
      <c r="G12059" s="29" t="n">
        <f aca="false">Sens!F12059-Sens!G12057*mix_g2</f>
        <v>1462.5</v>
      </c>
      <c r="H12059" s="29" t="n">
        <f aca="false">Sens!G12059-Sens!H12057*mix_g2</f>
        <v>1462.5</v>
      </c>
      <c r="I12059" s="29" t="n">
        <f aca="false">Sens!H12059-Sens!I12057*mix_g2</f>
        <v>1242</v>
      </c>
      <c r="J12059" s="29" t="n">
        <f aca="false">Sens!I12059-Sens!J12057*mix_g2</f>
        <v>909</v>
      </c>
      <c r="K12059" s="29" t="n">
        <f aca="false">Sens!J12059-Sens!K12057*mix_g2</f>
        <v>247.5</v>
      </c>
    </row>
    <row r="12060" customFormat="false" ht="17.15" hidden="false" customHeight="false" outlineLevel="0" collapsed="false">
      <c r="A12060" s="1" t="s">
        <v>825</v>
      </c>
      <c r="B12060" s="0" t="s">
        <v>399</v>
      </c>
      <c r="C12060" s="29" t="n">
        <f aca="false">mix_g3*Sens!C12050</f>
        <v>224</v>
      </c>
      <c r="D12060" s="29" t="n">
        <f aca="false">mix_g3*Sens!D12050</f>
        <v>570.5</v>
      </c>
      <c r="E12060" s="29" t="n">
        <f aca="false">mix_g3*Sens!E12050</f>
        <v>1137.5</v>
      </c>
      <c r="F12060" s="29" t="n">
        <f aca="false">Sens!E12060+(Sens!F12056+Sens!F12057)*a_g3_27-Sens!F12057*mix_g3</f>
        <v>2906.54</v>
      </c>
      <c r="G12060" s="29" t="n">
        <f aca="false">Sens!F12060+(Sens!G12056+Sens!G12057)*a_g3_28-Sens!G12057*mix_g3</f>
        <v>3664.7</v>
      </c>
      <c r="H12060" s="29" t="n">
        <f aca="false">Sens!G12060+(Sens!H12056+Sens!H12057)*a_g3_29-Sens!H12057*mix_g3</f>
        <v>3917.42</v>
      </c>
      <c r="I12060" s="29" t="n">
        <f aca="false">Sens!H12060+(Sens!I12056+Sens!I12057)*a_g3_29-Sens!I12057*mix_g3</f>
        <v>3974.2316</v>
      </c>
      <c r="J12060" s="29" t="n">
        <f aca="false">Sens!I12060+(Sens!J12056+Sens!J12057)*a_g3_29-Sens!J12057*mix_g3</f>
        <v>3898.721032</v>
      </c>
      <c r="K12060" s="29" t="n">
        <f aca="false">Sens!J12060+(Sens!K12056+Sens!K12057)*a_g3_29-Sens!K12057*mix_g3</f>
        <v>3572.37986296</v>
      </c>
    </row>
    <row r="12061" customFormat="false" ht="17.15" hidden="false" customHeight="false" outlineLevel="0" collapsed="false">
      <c r="A12061" s="1" t="s">
        <v>826</v>
      </c>
      <c r="B12061" s="0" t="s">
        <v>399</v>
      </c>
      <c r="C12061" s="29" t="n">
        <v>0</v>
      </c>
      <c r="D12061" s="29" t="n">
        <v>0</v>
      </c>
      <c r="E12061" s="29" t="n">
        <v>0</v>
      </c>
      <c r="F12061" s="29" t="n">
        <f aca="false">Sens!E12061+(Sens!F12056+Sens!F12057)*(1-a_g3_27)</f>
        <v>758.16</v>
      </c>
      <c r="G12061" s="29" t="n">
        <f aca="false">Sens!F12061+(Sens!G12056+Sens!G12057)*(1-a_g3_28)</f>
        <v>2527.2</v>
      </c>
      <c r="H12061" s="29" t="n">
        <f aca="false">Sens!G12061+(Sens!H12056+Sens!H12057)*(1-a_g3_29)</f>
        <v>4801.68</v>
      </c>
      <c r="I12061" s="29" t="n">
        <f aca="false">Sens!H12061+(Sens!I12056+Sens!I12057)*(1-a_g3_29)</f>
        <v>6856.4844</v>
      </c>
      <c r="J12061" s="29" t="n">
        <f aca="false">Sens!I12061+(Sens!J12056+Sens!J12057)*(1-a_g3_29)</f>
        <v>8507.889288</v>
      </c>
      <c r="K12061" s="29" t="n">
        <f aca="false">Sens!J12061+(Sens!K12056+Sens!K12057)*(1-a_g3_29)</f>
        <v>10201.31876664</v>
      </c>
    </row>
    <row r="12062" customFormat="false" ht="17.15" hidden="false" customHeight="false" outlineLevel="0" collapsed="false">
      <c r="A12062" s="1" t="s">
        <v>827</v>
      </c>
      <c r="B12062" s="0" t="s">
        <v>346</v>
      </c>
      <c r="C12062" s="14" t="n">
        <f aca="false">(Sens!C12058*tk_hold_h100+Sens!C12059*tk_hold_gb200+Sens!C12060*tk_hold_gb300+Sens!C12061*tk_hold_vr200)/Sens!C12050</f>
        <v>9.7235358126469</v>
      </c>
      <c r="D12062" s="14" t="n">
        <f aca="false">(Sens!D12058*tk_hold_h100+Sens!D12059*tk_hold_gb200+Sens!D12060*tk_hold_gb300+Sens!D12061*tk_hold_vr200)/Sens!D12050</f>
        <v>9.7235358126469</v>
      </c>
      <c r="E12062" s="14" t="n">
        <f aca="false">(Sens!E12058*tk_hold_h100+Sens!E12059*tk_hold_gb200+Sens!E12060*tk_hold_gb300+Sens!E12061*tk_hold_vr200)/Sens!E12050</f>
        <v>9.7235358126469</v>
      </c>
      <c r="F12062" s="14" t="n">
        <f aca="false">(Sens!F12058*tk_hold_h100+Sens!F12059*tk_hold_gb200+Sens!F12060*tk_hold_gb300+Sens!F12061*tk_hold_vr200)/Sens!F12050</f>
        <v>10.4079573161931</v>
      </c>
      <c r="G12062" s="14" t="n">
        <f aca="false">(Sens!G12058*tk_hold_h100+Sens!G12059*tk_hold_gb200+Sens!G12060*tk_hold_gb300+Sens!G12061*tk_hold_vr200)/Sens!G12050</f>
        <v>10.8388131109316</v>
      </c>
      <c r="H12062" s="14" t="n">
        <f aca="false">(Sens!H12058*tk_hold_h100+Sens!H12059*tk_hold_gb200+Sens!H12060*tk_hold_gb300+Sens!H12061*tk_hold_vr200)/Sens!H12050</f>
        <v>11.1311018388216</v>
      </c>
      <c r="I12062" s="14" t="n">
        <f aca="false">(Sens!I12058*tk_hold_h100+Sens!I12059*tk_hold_gb200+Sens!I12060*tk_hold_gb300+Sens!I12061*tk_hold_vr200)/Sens!I12050</f>
        <v>11.3594282560989</v>
      </c>
      <c r="J12062" s="14" t="n">
        <f aca="false">(Sens!J12058*tk_hold_h100+Sens!J12059*tk_hold_gb200+Sens!J12060*tk_hold_gb300+Sens!J12061*tk_hold_vr200)/Sens!J12050</f>
        <v>11.5455817917599</v>
      </c>
      <c r="K12062" s="14" t="n">
        <f aca="false">(Sens!K12058*tk_hold_h100+Sens!K12059*tk_hold_gb200+Sens!K12060*tk_hold_gb300+Sens!K12061*tk_hold_vr200)/Sens!K12050</f>
        <v>11.8078187977246</v>
      </c>
    </row>
    <row r="12063" customFormat="false" ht="17.15" hidden="false" customHeight="false" outlineLevel="0" collapsed="false">
      <c r="A12063" s="0" t="s">
        <v>828</v>
      </c>
      <c r="B12063" s="0" t="s">
        <v>185</v>
      </c>
      <c r="C12063" s="14" t="n">
        <f aca="false">k_B</f>
        <v>1.17213932619116</v>
      </c>
      <c r="D12063" s="14" t="n">
        <f aca="false">k_B</f>
        <v>1.17213932619116</v>
      </c>
      <c r="E12063" s="14" t="n">
        <f aca="false">k_B</f>
        <v>1.17213932619116</v>
      </c>
      <c r="F12063" s="14" t="n">
        <f aca="false">(k_B+((ls_C*k_long+(1-ls_C)*k_spot)-k_B)*MIN(1,(Sens!F12048-base_fy)/k_ramp))</f>
        <v>1.07843258004497</v>
      </c>
      <c r="G12063" s="14" t="n">
        <f aca="false">(k_B+((ls_C*k_long+(1-ls_C)*k_spot)-k_B)*MIN(1,(Sens!G12048-base_fy)/k_ramp))</f>
        <v>0.984725833898784</v>
      </c>
      <c r="H12063" s="14" t="n">
        <f aca="false">(k_B+((ls_C*k_long+(1-ls_C)*k_spot)-k_B)*MIN(1,(Sens!H12048-base_fy)/k_ramp))</f>
        <v>0.891019087752599</v>
      </c>
      <c r="I12063" s="14" t="n">
        <f aca="false">(k_B+((ls_C*k_long+(1-ls_C)*k_spot)-k_B)*MIN(1,(Sens!I12048-base_fy)/k_ramp))</f>
        <v>0.891019087752599</v>
      </c>
      <c r="J12063" s="14" t="n">
        <f aca="false">(k_B+((ls_C*k_long+(1-ls_C)*k_spot)-k_B)*MIN(1,(Sens!J12048-base_fy)/k_ramp))</f>
        <v>0.891019087752599</v>
      </c>
      <c r="K12063" s="14" t="n">
        <f aca="false">(k_B+((ls_C*k_long+(1-ls_C)*k_spot)-k_B)*MIN(1,(Sens!K12048-base_fy)/k_ramp))</f>
        <v>0.891019087752599</v>
      </c>
      <c r="L12063" s="1" t="s">
        <v>829</v>
      </c>
    </row>
    <row r="12064" customFormat="false" ht="17.15" hidden="false" customHeight="false" outlineLevel="0" collapsed="false">
      <c r="A12064" s="1" t="s">
        <v>830</v>
      </c>
      <c r="B12064" s="0" t="s">
        <v>346</v>
      </c>
      <c r="C12064" s="14" t="n">
        <f aca="false">Sens!C12062*Sens!C12063*chip_f</f>
        <v>11.3973387156315</v>
      </c>
      <c r="D12064" s="14" t="n">
        <f aca="false">Sens!D12062*Sens!D12063*chip_f</f>
        <v>11.3973387156315</v>
      </c>
      <c r="E12064" s="14" t="n">
        <f aca="false">Sens!E12062*Sens!E12063*chip_f</f>
        <v>11.3973387156315</v>
      </c>
      <c r="F12064" s="14" t="n">
        <f aca="false">Sens!F12062*Sens!F12063*chip_f</f>
        <v>11.2242802615</v>
      </c>
      <c r="G12064" s="14" t="n">
        <f aca="false">Sens!G12062*Sens!G12063*chip_f</f>
        <v>10.6732592791352</v>
      </c>
      <c r="H12064" s="14" t="n">
        <f aca="false">Sens!H12062*Sens!H12063*chip_f</f>
        <v>9.91802420610807</v>
      </c>
      <c r="I12064" s="14" t="n">
        <f aca="false">Sens!I12062*Sens!I12063*chip_f</f>
        <v>10.1214674021403</v>
      </c>
      <c r="J12064" s="14" t="n">
        <f aca="false">Sens!J12062*Sens!J12063*chip_f</f>
        <v>10.2873337556669</v>
      </c>
      <c r="K12064" s="14" t="n">
        <f aca="false">Sens!K12062*Sens!K12063*chip_f</f>
        <v>10.5209919334966</v>
      </c>
      <c r="L12064" s="1" t="s">
        <v>831</v>
      </c>
    </row>
    <row r="12065" customFormat="false" ht="17.15" hidden="false" customHeight="false" outlineLevel="0" collapsed="false">
      <c r="A12065" s="0" t="s">
        <v>832</v>
      </c>
      <c r="B12065" s="0" t="s">
        <v>98</v>
      </c>
      <c r="D12065" s="6" t="n">
        <f aca="false">(Sens!C12050+Sens!D12050)/2*Sens!D12064/1000</f>
        <v>12.9359794422418</v>
      </c>
      <c r="E12065" s="6" t="n">
        <f aca="false">(Sens!D12050+Sens!E12050)/2*Sens!E12064/1000</f>
        <v>27.8095064661409</v>
      </c>
      <c r="F12065" s="6" t="n">
        <f aca="false">(Sens!E12050+Sens!F12050)/2*Sens!F12064/1000</f>
        <v>50.6619113883066</v>
      </c>
      <c r="G12065" s="6" t="n">
        <f aca="false">(Sens!F12050+Sens!G12050)/2*Sens!G12064/1000</f>
        <v>75.1482839325348</v>
      </c>
      <c r="H12065" s="6" t="n">
        <f aca="false">(Sens!G12050+Sens!H12050)/2*Sens!H12064/1000</f>
        <v>94.895655604042</v>
      </c>
      <c r="I12065" s="6" t="n">
        <f aca="false">(Sens!H12050+Sens!I12050)/2*Sens!I12064/1000</f>
        <v>118.706168884151</v>
      </c>
      <c r="J12065" s="6" t="n">
        <f aca="false">(Sens!I12050+Sens!J12050)/2*Sens!J12064/1000</f>
        <v>135.50643871102</v>
      </c>
      <c r="K12065" s="6" t="n">
        <f aca="false">(Sens!J12050+Sens!K12050)/2*Sens!K12064/1000</f>
        <v>146.509068150048</v>
      </c>
      <c r="L12065" s="11" t="s">
        <v>833</v>
      </c>
    </row>
    <row r="12066" customFormat="false" ht="17.15" hidden="false" customHeight="false" outlineLevel="0" collapsed="false">
      <c r="A12066" s="1" t="s">
        <v>834</v>
      </c>
      <c r="B12066" s="0" t="s">
        <v>346</v>
      </c>
      <c r="C12066" s="14" t="n">
        <f aca="false">(Sens!C12058*tk_opex_h100+Sens!C12059*tk_opex_gb200+Sens!C12060*tk_opex_gb300+Sens!C12061*tk_opex_vr200)/Sens!C12050</f>
        <v>1.88636041306092</v>
      </c>
      <c r="D12066" s="14" t="n">
        <f aca="false">(Sens!D12058*tk_opex_h100+Sens!D12059*tk_opex_gb200+Sens!D12060*tk_opex_gb300+Sens!D12061*tk_opex_vr200)/Sens!D12050</f>
        <v>1.88636041306092</v>
      </c>
      <c r="E12066" s="14" t="n">
        <f aca="false">(Sens!E12058*tk_opex_h100+Sens!E12059*tk_opex_gb200+Sens!E12060*tk_opex_gb300+Sens!E12061*tk_opex_vr200)/Sens!E12050</f>
        <v>1.88636041306092</v>
      </c>
      <c r="F12066" s="14" t="n">
        <f aca="false">(Sens!F12058*tk_opex_h100+Sens!F12059*tk_opex_gb200+Sens!F12060*tk_opex_gb300+Sens!F12061*tk_opex_vr200)/Sens!F12050</f>
        <v>1.9430236476499</v>
      </c>
      <c r="G12066" s="14" t="n">
        <f aca="false">(Sens!G12058*tk_opex_h100+Sens!G12059*tk_opex_gb200+Sens!G12060*tk_opex_gb300+Sens!G12061*tk_opex_vr200)/Sens!G12050</f>
        <v>1.9786941852423</v>
      </c>
      <c r="H12066" s="14" t="n">
        <f aca="false">(Sens!H12058*tk_opex_h100+Sens!H12059*tk_opex_gb200+Sens!H12060*tk_opex_gb300+Sens!H12061*tk_opex_vr200)/Sens!H12050</f>
        <v>2.00289275976156</v>
      </c>
      <c r="I12066" s="14" t="n">
        <f aca="false">(Sens!I12058*tk_opex_h100+Sens!I12059*tk_opex_gb200+Sens!I12060*tk_opex_gb300+Sens!I12061*tk_opex_vr200)/Sens!I12050</f>
        <v>2.02179589661219</v>
      </c>
      <c r="J12066" s="14" t="n">
        <f aca="false">(Sens!J12058*tk_opex_h100+Sens!J12059*tk_opex_gb200+Sens!J12060*tk_opex_gb300+Sens!J12061*tk_opex_vr200)/Sens!J12050</f>
        <v>2.03720754193029</v>
      </c>
      <c r="K12066" s="14" t="n">
        <f aca="false">(Sens!K12058*tk_opex_h100+Sens!K12059*tk_opex_gb200+Sens!K12060*tk_opex_gb300+Sens!K12061*tk_opex_vr200)/Sens!K12050</f>
        <v>2.0589181353437</v>
      </c>
    </row>
    <row r="12067" customFormat="false" ht="17.15" hidden="false" customHeight="false" outlineLevel="0" collapsed="false">
      <c r="A12067" s="0" t="s">
        <v>835</v>
      </c>
      <c r="B12067" s="0" t="s">
        <v>98</v>
      </c>
      <c r="D12067" s="6" t="n">
        <f aca="false">(Sens!C12053+Sens!D12053)/2*Sens!D12066/1000</f>
        <v>2.70378325872065</v>
      </c>
      <c r="E12067" s="6" t="n">
        <f aca="false">(Sens!D12053+Sens!E12053)/2*Sens!E12066/1000</f>
        <v>6.17783035277451</v>
      </c>
      <c r="F12067" s="6" t="n">
        <f aca="false">(Sens!E12053+Sens!F12053)/2*Sens!F12066/1000</f>
        <v>12.5020618235287</v>
      </c>
      <c r="G12067" s="6" t="n">
        <f aca="false">(Sens!F12053+Sens!G12053)/2*Sens!G12066/1000</f>
        <v>20.7261620256847</v>
      </c>
      <c r="H12067" s="6" t="n">
        <f aca="false">(Sens!G12053+Sens!H12053)/2*Sens!H12066/1000</f>
        <v>29.4158183316982</v>
      </c>
      <c r="I12067" s="6" t="n">
        <f aca="false">(Sens!H12053+Sens!I12053)/2*Sens!I12066/1000</f>
        <v>36.9724400356344</v>
      </c>
      <c r="J12067" s="6" t="n">
        <f aca="false">(Sens!I12053+Sens!J12053)/2*Sens!J12066/1000</f>
        <v>42.1571687189816</v>
      </c>
      <c r="K12067" s="6" t="n">
        <f aca="false">(Sens!J12053+Sens!K12053)/2*Sens!K12066/1000</f>
        <v>45.1912095080704</v>
      </c>
    </row>
    <row r="12068" customFormat="false" ht="17.15" hidden="false" customHeight="false" outlineLevel="0" collapsed="false">
      <c r="A12068" s="0" t="s">
        <v>836</v>
      </c>
      <c r="B12068" s="0" t="s">
        <v>98</v>
      </c>
      <c r="D12068" s="6" t="n">
        <f aca="false">(Sens!C12051+Sens!D12051)/2*rent_mw/1000</f>
        <v>2.44475</v>
      </c>
      <c r="E12068" s="6" t="n">
        <f aca="false">(Sens!D12051+Sens!E12051)/2*rent_mw/1000</f>
        <v>4.22275</v>
      </c>
      <c r="F12068" s="6" t="n">
        <f aca="false">(Sens!E12051+Sens!F12051)/2*rent_mw/1000</f>
        <v>5.80517</v>
      </c>
      <c r="G12068" s="6" t="n">
        <f aca="false">(Sens!F12051+Sens!G12051)/2*rent_mw/1000</f>
        <v>6.72084</v>
      </c>
      <c r="H12068" s="6" t="n">
        <f aca="false">(Sens!G12051+Sens!H12051)/2*rent_mw/1000</f>
        <v>6.72084</v>
      </c>
      <c r="I12068" s="6" t="n">
        <f aca="false">(Sens!H12051+Sens!I12051)/2*rent_mw/1000</f>
        <v>6.72084</v>
      </c>
      <c r="J12068" s="6" t="n">
        <f aca="false">(Sens!I12051+Sens!J12051)/2*rent_mw/1000</f>
        <v>6.72084</v>
      </c>
      <c r="K12068" s="6" t="n">
        <f aca="false">(Sens!J12051+Sens!K12051)/2*rent_mw/1000</f>
        <v>6.72084</v>
      </c>
    </row>
    <row r="12069" customFormat="false" ht="17.15" hidden="false" customHeight="false" outlineLevel="0" collapsed="false">
      <c r="A12069" s="0" t="s">
        <v>837</v>
      </c>
      <c r="B12069" s="0" t="s">
        <v>98</v>
      </c>
      <c r="D12069" s="6" t="n">
        <f aca="false">(Sens!C12053+Sens!D12053)/2*(1-self_build)*fac_rent/1000</f>
        <v>0.853242375631075</v>
      </c>
      <c r="E12069" s="6" t="n">
        <f aca="false">(Sens!D12053+Sens!E12053)/2*(1-self_build)*fac_rent/1000</f>
        <v>1.94955961408728</v>
      </c>
      <c r="F12069" s="6" t="n">
        <f aca="false">(Sens!E12053+Sens!F12053)/2*(1-self_build)*fac_rent/1000</f>
        <v>3.83026455274573</v>
      </c>
      <c r="G12069" s="6" t="n">
        <f aca="false">(Sens!F12053+Sens!G12053)/2*(1-self_build)*fac_rent/1000</f>
        <v>6.23541590972812</v>
      </c>
      <c r="H12069" s="6" t="n">
        <f aca="false">(Sens!G12053+Sens!H12053)/2*(1-self_build)*fac_rent/1000</f>
        <v>8.74275792332679</v>
      </c>
      <c r="I12069" s="6" t="n">
        <f aca="false">(Sens!H12053+Sens!I12053)/2*(1-self_build)*fac_rent/1000</f>
        <v>10.8859420438599</v>
      </c>
      <c r="J12069" s="6" t="n">
        <f aca="false">(Sens!I12053+Sens!J12053)/2*(1-self_build)*fac_rent/1000</f>
        <v>12.3186006405366</v>
      </c>
      <c r="K12069" s="6" t="n">
        <f aca="false">(Sens!J12053+Sens!K12053)/2*(1-self_build)*fac_rent/1000</f>
        <v>13.0659232089824</v>
      </c>
      <c r="L12069" s="11" t="s">
        <v>838</v>
      </c>
    </row>
    <row r="12070" customFormat="false" ht="17.15" hidden="false" customHeight="false" outlineLevel="0" collapsed="false">
      <c r="A12070" s="1" t="s">
        <v>839</v>
      </c>
      <c r="B12070" s="0" t="s">
        <v>129</v>
      </c>
      <c r="D12070" s="7" t="n">
        <f aca="false">(Sens!C12052+Sens!D12052)/(Sens!C12053+Sens!D12053)</f>
        <v>0.6</v>
      </c>
      <c r="E12070" s="7" t="n">
        <f aca="false">(Sens!D12052+Sens!E12052)/(Sens!D12053+Sens!E12053)</f>
        <v>0.6</v>
      </c>
      <c r="F12070" s="7" t="n">
        <f aca="false">(Sens!E12052+Sens!F12052)/(Sens!E12053+Sens!F12053)</f>
        <v>0.6</v>
      </c>
      <c r="G12070" s="7" t="n">
        <f aca="false">(Sens!F12052+Sens!G12052)/(Sens!F12053+Sens!G12053)</f>
        <v>0.6</v>
      </c>
      <c r="H12070" s="7" t="n">
        <f aca="false">(Sens!G12052+Sens!H12052)/(Sens!G12053+Sens!H12053)</f>
        <v>0.6</v>
      </c>
      <c r="I12070" s="7" t="n">
        <f aca="false">(Sens!H12052+Sens!I12052)/(Sens!H12053+Sens!I12053)</f>
        <v>0.6</v>
      </c>
      <c r="J12070" s="7" t="n">
        <f aca="false">(Sens!I12052+Sens!J12052)/(Sens!I12053+Sens!J12053)</f>
        <v>0.6</v>
      </c>
      <c r="K12070" s="7" t="n">
        <f aca="false">(Sens!J12052+Sens!K12052)/(Sens!J12053+Sens!K12053)</f>
        <v>0.6</v>
      </c>
    </row>
    <row r="12071" customFormat="false" ht="17.15" hidden="false" customHeight="false" outlineLevel="0" collapsed="false">
      <c r="A12071" s="0" t="s">
        <v>840</v>
      </c>
      <c r="B12071" s="0" t="s">
        <v>98</v>
      </c>
      <c r="D12071" s="6" t="n">
        <f aca="false">Sens!D12065-Sens!D12070*(Sens!D12067+Sens!D12069)-Sens!D12068</f>
        <v>8.35701406163072</v>
      </c>
      <c r="E12071" s="6" t="n">
        <f aca="false">Sens!E12065-Sens!E12070*(Sens!E12067+Sens!E12069)-Sens!E12068</f>
        <v>18.7103224860238</v>
      </c>
      <c r="F12071" s="6" t="n">
        <f aca="false">Sens!F12065-Sens!F12070*(Sens!F12067+Sens!F12069)-Sens!F12068</f>
        <v>35.0573455625419</v>
      </c>
      <c r="G12071" s="6" t="n">
        <f aca="false">Sens!G12065-Sens!G12070*(Sens!G12067+Sens!G12069)-Sens!G12068</f>
        <v>52.2504971712871</v>
      </c>
      <c r="H12071" s="6" t="n">
        <f aca="false">Sens!H12065-Sens!H12070*(Sens!H12067+Sens!H12069)-Sens!H12068</f>
        <v>65.2796698510271</v>
      </c>
      <c r="I12071" s="6" t="n">
        <f aca="false">Sens!I12065-Sens!I12070*(Sens!I12067+Sens!I12069)-Sens!I12068</f>
        <v>83.2702996364549</v>
      </c>
      <c r="J12071" s="6" t="n">
        <f aca="false">Sens!J12065-Sens!J12070*(Sens!J12067+Sens!J12069)-Sens!J12068</f>
        <v>96.1001370953095</v>
      </c>
      <c r="K12071" s="6" t="n">
        <f aca="false">Sens!K12065-Sens!K12070*(Sens!K12067+Sens!K12069)-Sens!K12068</f>
        <v>104.833948519816</v>
      </c>
    </row>
    <row r="12072" customFormat="false" ht="17.15" hidden="false" customHeight="false" outlineLevel="0" collapsed="false">
      <c r="A12072" s="1" t="s">
        <v>841</v>
      </c>
      <c r="B12072" s="0" t="s">
        <v>98</v>
      </c>
      <c r="D12072" s="6" t="n">
        <f aca="false">(1-Sens!D12070)*(Sens!D12067+Sens!D12069)</f>
        <v>1.42281025374069</v>
      </c>
      <c r="E12072" s="6" t="n">
        <f aca="false">(1-Sens!E12070)*(Sens!E12067+Sens!E12069)</f>
        <v>3.25095598674472</v>
      </c>
      <c r="F12072" s="6" t="n">
        <f aca="false">(1-Sens!F12070)*(Sens!F12067+Sens!F12069)</f>
        <v>6.53293055050977</v>
      </c>
      <c r="G12072" s="6" t="n">
        <f aca="false">(1-Sens!G12070)*(Sens!G12067+Sens!G12069)</f>
        <v>10.7846311741651</v>
      </c>
      <c r="H12072" s="6" t="n">
        <f aca="false">(1-Sens!H12070)*(Sens!H12067+Sens!H12069)</f>
        <v>15.26343050201</v>
      </c>
      <c r="I12072" s="6" t="n">
        <f aca="false">(1-Sens!I12070)*(Sens!I12067+Sens!I12069)</f>
        <v>19.1433528317977</v>
      </c>
      <c r="J12072" s="6" t="n">
        <f aca="false">(1-Sens!J12070)*(Sens!J12067+Sens!J12069)</f>
        <v>21.7903077438073</v>
      </c>
      <c r="K12072" s="6" t="n">
        <f aca="false">(1-Sens!K12070)*(Sens!K12067+Sens!K12069)</f>
        <v>23.3028530868211</v>
      </c>
    </row>
    <row r="12073" customFormat="false" ht="17.15" hidden="false" customHeight="false" outlineLevel="0" collapsed="false">
      <c r="A12073" s="1" t="s">
        <v>842</v>
      </c>
      <c r="B12073" s="0" t="s">
        <v>357</v>
      </c>
      <c r="C12073" s="8" t="n">
        <f aca="false">cxit_open</f>
        <v>27.5918995</v>
      </c>
      <c r="D12073" s="8" t="n">
        <f aca="false">cxit_open</f>
        <v>27.5918995</v>
      </c>
      <c r="E12073" s="8" t="n">
        <f aca="false">cxit_open</f>
        <v>27.5918995</v>
      </c>
      <c r="F12073" s="8" t="n">
        <f aca="false">(a_g3_27*tk_cxit_gb300+(1-a_g3_27)*tk_cxit_vr200)</f>
        <v>33.8419624</v>
      </c>
      <c r="G12073" s="8" t="n">
        <f aca="false">(a_g3_28*tk_cxit_gb300+(1-a_g3_28)*tk_cxit_vr200)</f>
        <v>35.9816136</v>
      </c>
      <c r="H12073" s="8" t="n">
        <f aca="false">(a_g3_29*tk_cxit_gb300+(1-a_g3_29)*tk_cxit_vr200)</f>
        <v>37.0514392</v>
      </c>
      <c r="I12073" s="8" t="n">
        <f aca="false">(a_g3_29*tk_cxit_gb300+(1-a_g3_29)*tk_cxit_vr200)</f>
        <v>37.0514392</v>
      </c>
      <c r="J12073" s="8" t="n">
        <f aca="false">(a_g3_29*tk_cxit_gb300+(1-a_g3_29)*tk_cxit_vr200)</f>
        <v>37.0514392</v>
      </c>
      <c r="K12073" s="8" t="n">
        <f aca="false">(a_g3_29*tk_cxit_gb300+(1-a_g3_29)*tk_cxit_vr200)</f>
        <v>37.0514392</v>
      </c>
      <c r="L12073" s="11" t="s">
        <v>843</v>
      </c>
    </row>
    <row r="12074" customFormat="false" ht="17.15" hidden="false" customHeight="false" outlineLevel="0" collapsed="false">
      <c r="A12074" s="0" t="s">
        <v>844</v>
      </c>
      <c r="B12074" s="0" t="s">
        <v>399</v>
      </c>
      <c r="F12074" s="29" t="n">
        <f aca="false">Sens!C12055*IF(Sens!F12048-Sens!C12048=life_it,1,0)+Sens!D12055*IF(Sens!F12048-Sens!D12048=life_it,1,0)+Sens!E12055*IF(Sens!F12048-Sens!E12048=life_it,1,0)</f>
        <v>0</v>
      </c>
      <c r="G12074" s="29" t="n">
        <f aca="false">Sens!C12055*IF(Sens!G12048-Sens!C12048=life_it,1,0)+Sens!D12055*IF(Sens!G12048-Sens!D12048=life_it,1,0)+Sens!E12055*IF(Sens!G12048-Sens!E12048=life_it,1,0)+Sens!F12055*IF(Sens!G12048-Sens!F12048=life_it,1,0)</f>
        <v>0</v>
      </c>
      <c r="H12074" s="29" t="n">
        <f aca="false">Sens!C12055*IF(Sens!H12048-Sens!C12048=life_it,1,0)+Sens!D12055*IF(Sens!H12048-Sens!D12048=life_it,1,0)+Sens!E12055*IF(Sens!H12048-Sens!E12048=life_it,1,0)+Sens!F12055*IF(Sens!H12048-Sens!F12048=life_it,1,0)+Sens!G12055*IF(Sens!H12048-Sens!G12048=life_it,1,0)</f>
        <v>0</v>
      </c>
      <c r="I12074" s="29" t="n">
        <f aca="false">Sens!C12055*IF(Sens!I12048-Sens!C12048=life_it,1,0)+Sens!D12055*IF(Sens!I12048-Sens!D12048=life_it,1,0)+Sens!E12055*IF(Sens!I12048-Sens!E12048=life_it,1,0)+Sens!F12055*IF(Sens!I12048-Sens!F12048=life_it,1,0)+Sens!G12055*IF(Sens!I12048-Sens!G12048=life_it,1,0)+Sens!H12055*IF(Sens!I12048-Sens!H12048=life_it,1,0)</f>
        <v>816.666666666667</v>
      </c>
      <c r="J12074" s="29" t="n">
        <f aca="false">Sens!C12055*IF(Sens!J12048-Sens!C12048=life_it,1,0)+Sens!D12055*IF(Sens!J12048-Sens!D12048=life_it,1,0)+Sens!E12055*IF(Sens!J12048-Sens!E12048=life_it,1,0)+Sens!F12055*IF(Sens!J12048-Sens!F12048=life_it,1,0)+Sens!G12055*IF(Sens!J12048-Sens!G12048=life_it,1,0)+Sens!H12055*IF(Sens!J12048-Sens!H12048=life_it,1,0)+Sens!I12055*IF(Sens!J12048-Sens!I12048=life_it,1,0)</f>
        <v>1233.33333333333</v>
      </c>
      <c r="K12074" s="29" t="n">
        <f aca="false">Sens!C12055*IF(Sens!K12048-Sens!C12048=life_it,1,0)+Sens!D12055*IF(Sens!K12048-Sens!D12048=life_it,1,0)+Sens!E12055*IF(Sens!K12048-Sens!E12048=life_it,1,0)+Sens!F12055*IF(Sens!K12048-Sens!F12048=life_it,1,0)+Sens!G12055*IF(Sens!K12048-Sens!G12048=life_it,1,0)+Sens!H12055*IF(Sens!K12048-Sens!H12048=life_it,1,0)+Sens!I12055*IF(Sens!K12048-Sens!I12048=life_it,1,0)+Sens!J12055*IF(Sens!K12048-Sens!J12048=life_it,1,0)</f>
        <v>2450</v>
      </c>
      <c r="L12074" s="1" t="s">
        <v>845</v>
      </c>
    </row>
    <row r="12075" customFormat="false" ht="17.15" hidden="false" customHeight="false" outlineLevel="0" collapsed="false">
      <c r="A12075" s="0" t="s">
        <v>846</v>
      </c>
      <c r="B12075" s="0" t="s">
        <v>98</v>
      </c>
      <c r="C12075" s="6" t="n">
        <f aca="false">Sens!C12055*Sens!C12073/1000</f>
        <v>22.5333845916667</v>
      </c>
      <c r="D12075" s="6" t="n">
        <f aca="false">Sens!D12055*Sens!D12073/1000</f>
        <v>34.0300093833333</v>
      </c>
      <c r="E12075" s="6" t="n">
        <f aca="false">Sens!E12055*Sens!E12073/1000</f>
        <v>67.600153775</v>
      </c>
      <c r="F12075" s="6" t="n">
        <f aca="false">(Sens!F12055+Sens!F12074)*Sens!F12073/1000</f>
        <v>130.923271871467</v>
      </c>
      <c r="G12075" s="6" t="n">
        <f aca="false">(Sens!G12055+Sens!G12074)*Sens!G12073/1000</f>
        <v>151.5545564832</v>
      </c>
      <c r="H12075" s="6" t="n">
        <f aca="false">(Sens!H12055+Sens!H12074)*Sens!H12073/1000</f>
        <v>156.0606619104</v>
      </c>
      <c r="I12075" s="6" t="n">
        <f aca="false">(Sens!I12055+Sens!I12074)*Sens!I12073/1000</f>
        <v>140.987889434245</v>
      </c>
      <c r="J12075" s="6" t="n">
        <f aca="false">(Sens!J12055+Sens!J12074)*Sens!J12073/1000</f>
        <v>113.309125559842</v>
      </c>
      <c r="K12075" s="6" t="n">
        <f aca="false">(Sens!K12055+Sens!K12074)*Sens!K12073/1000</f>
        <v>116.192591420959</v>
      </c>
    </row>
    <row r="12076" customFormat="false" ht="17.15" hidden="false" customHeight="false" outlineLevel="0" collapsed="false">
      <c r="A12076" s="0" t="s">
        <v>847</v>
      </c>
      <c r="B12076" s="0" t="s">
        <v>98</v>
      </c>
      <c r="C12076" s="6" t="n">
        <f aca="false">Sens!C12055*self_build*tk_cxfac/1000</f>
        <v>6.2083</v>
      </c>
      <c r="D12076" s="6" t="n">
        <f aca="false">Sens!D12055*self_build*tk_cxfac/1000</f>
        <v>9.3758</v>
      </c>
      <c r="E12076" s="6" t="n">
        <f aca="false">Sens!E12055*self_build*tk_cxfac/1000</f>
        <v>18.6249</v>
      </c>
      <c r="F12076" s="6" t="n">
        <f aca="false">Sens!F12055*self_build*tk_cxfac/1000</f>
        <v>29.409604</v>
      </c>
      <c r="G12076" s="6" t="n">
        <f aca="false">Sens!G12055*self_build*tk_cxfac/1000</f>
        <v>32.019624</v>
      </c>
      <c r="H12076" s="6" t="n">
        <f aca="false">Sens!H12055*self_build*tk_cxfac/1000</f>
        <v>32.019624</v>
      </c>
      <c r="I12076" s="6" t="n">
        <f aca="false">Sens!I12055*self_build*tk_cxfac/1000</f>
        <v>22.71877972</v>
      </c>
      <c r="J12076" s="6" t="n">
        <f aca="false">Sens!J12055*self_build*tk_cxfac/1000</f>
        <v>13.8723110344</v>
      </c>
      <c r="K12076" s="6" t="n">
        <f aca="false">Sens!K12055*self_build*tk_cxfac/1000</f>
        <v>5.214823882632</v>
      </c>
    </row>
    <row r="12077" customFormat="false" ht="17.15" hidden="false" customHeight="false" outlineLevel="0" collapsed="false">
      <c r="A12077" s="0" t="s">
        <v>848</v>
      </c>
      <c r="B12077" s="0" t="s">
        <v>98</v>
      </c>
      <c r="F12077" s="6" t="n">
        <f aca="false">MAX(0,capex_floor27-Sens!F12075-Sens!F12076-Sens!F12171)</f>
        <v>8.43777689897088</v>
      </c>
    </row>
    <row r="12078" customFormat="false" ht="17.15" hidden="false" customHeight="false" outlineLevel="0" collapsed="false">
      <c r="A12078" s="0" t="s">
        <v>849</v>
      </c>
      <c r="B12078" s="0" t="s">
        <v>98</v>
      </c>
      <c r="C12078" s="6" t="n">
        <f aca="false">Sens!C12075</f>
        <v>22.5333845916667</v>
      </c>
      <c r="D12078" s="6" t="n">
        <f aca="false">Sens!D12075</f>
        <v>34.0300093833333</v>
      </c>
      <c r="E12078" s="6" t="n">
        <f aca="false">Sens!E12075</f>
        <v>67.600153775</v>
      </c>
      <c r="F12078" s="6" t="n">
        <f aca="false">Sens!F12075</f>
        <v>130.923271871467</v>
      </c>
      <c r="G12078" s="6" t="n">
        <f aca="false">Sens!G12075</f>
        <v>151.5545564832</v>
      </c>
      <c r="H12078" s="6" t="n">
        <f aca="false">Sens!H12075</f>
        <v>156.0606619104</v>
      </c>
      <c r="I12078" s="6" t="n">
        <f aca="false">Sens!I12075</f>
        <v>140.987889434245</v>
      </c>
      <c r="J12078" s="6" t="n">
        <f aca="false">Sens!J12075</f>
        <v>113.309125559842</v>
      </c>
      <c r="K12078" s="6" t="n">
        <f aca="false">Sens!K12075</f>
        <v>116.192591420959</v>
      </c>
    </row>
    <row r="12079" customFormat="false" ht="17.15" hidden="false" customHeight="false" outlineLevel="0" collapsed="false">
      <c r="A12079" s="0" t="s">
        <v>850</v>
      </c>
      <c r="B12079" s="0" t="s">
        <v>98</v>
      </c>
      <c r="C12079" s="6" t="n">
        <f aca="false">Sens!C12078+Sens!C12076</f>
        <v>28.7416845916667</v>
      </c>
      <c r="D12079" s="6" t="n">
        <f aca="false">Sens!D12078+Sens!D12076</f>
        <v>43.4058093833333</v>
      </c>
      <c r="E12079" s="6" t="n">
        <f aca="false">Sens!E12078+Sens!E12076</f>
        <v>86.225053775</v>
      </c>
      <c r="F12079" s="6" t="n">
        <f aca="false">Sens!F12078+Sens!F12076</f>
        <v>160.332875871467</v>
      </c>
      <c r="G12079" s="6" t="n">
        <f aca="false">Sens!G12078+Sens!G12076</f>
        <v>183.5741804832</v>
      </c>
      <c r="H12079" s="6" t="n">
        <f aca="false">Sens!H12078+Sens!H12076</f>
        <v>188.0802859104</v>
      </c>
      <c r="I12079" s="6" t="n">
        <f aca="false">Sens!I12078+Sens!I12076</f>
        <v>163.706669154245</v>
      </c>
      <c r="J12079" s="6" t="n">
        <f aca="false">Sens!J12078+Sens!J12076</f>
        <v>127.181436594242</v>
      </c>
      <c r="K12079" s="6" t="n">
        <f aca="false">Sens!K12078+Sens!K12076</f>
        <v>121.407415303591</v>
      </c>
      <c r="L12079" s="11" t="s">
        <v>851</v>
      </c>
    </row>
    <row r="12080" customFormat="false" ht="17.15" hidden="false" customHeight="false" outlineLevel="0" collapsed="false">
      <c r="A12080" s="0" t="s">
        <v>852</v>
      </c>
      <c r="B12080" s="0" t="s">
        <v>98</v>
      </c>
      <c r="E12080" s="6" t="n">
        <f aca="false">(Sens!C12078*IF(2&lt;life_it,1,IF(2=life_it,0.5,0))+Sens!D12078*IF(1&lt;life_it,1,IF(1=life_it,0.5,0))+Sens!E12078*0.5)/life_it</f>
        <v>15.0605784770833</v>
      </c>
      <c r="F12080" s="6" t="n">
        <f aca="false">(Sens!C12078*IF(3&lt;life_it,1,IF(3=life_it,0.5,0))+Sens!D12078*IF(2&lt;life_it,1,IF(2=life_it,0.5,0))+Sens!E12078*IF(1&lt;life_it,1,IF(1=life_it,0.5,0))+Sens!F12078*0.5)/life_it</f>
        <v>31.6041972809556</v>
      </c>
      <c r="G12080" s="6" t="n">
        <f aca="false">(Sens!C12078*IF(4&lt;life_it,1,IF(4=life_it,0.5,0))+Sens!D12078*IF(3&lt;life_it,1,IF(3=life_it,0.5,0))+Sens!E12078*IF(2&lt;life_it,1,IF(2=life_it,0.5,0))+Sens!F12078*IF(1&lt;life_it,1,IF(1=life_it,0.5,0))+Sens!G12078*0.5)/life_it</f>
        <v>55.1440163105111</v>
      </c>
      <c r="H12080" s="6" t="n">
        <f aca="false">(Sens!C12078*IF(5&lt;life_it,1,IF(5=life_it,0.5,0))+Sens!D12078*IF(4&lt;life_it,1,IF(4=life_it,0.5,0))+Sens!E12078*IF(3&lt;life_it,1,IF(3=life_it,0.5,0))+Sens!F12078*IF(2&lt;life_it,1,IF(2=life_it,0.5,0))+Sens!G12078*IF(1&lt;life_it,1,IF(1=life_it,0.5,0))+Sens!H12078*0.5)/life_it</f>
        <v>80.7786178433111</v>
      </c>
      <c r="I12080" s="6" t="n">
        <f aca="false">(Sens!C12078*IF(6&lt;life_it,1,IF(6=life_it,0.5,0))+Sens!D12078*IF(5&lt;life_it,1,IF(5=life_it,0.5,0))+Sens!E12078*IF(4&lt;life_it,1,IF(4=life_it,0.5,0))+Sens!F12078*IF(3&lt;life_it,1,IF(3=life_it,0.5,0))+Sens!G12078*IF(2&lt;life_it,1,IF(2=life_it,0.5,0))+Sens!H12078*IF(1&lt;life_it,1,IF(1=life_it,0.5,0))+Sens!I12078*0.5)/life_it</f>
        <v>103.654881739393</v>
      </c>
      <c r="J12080" s="6" t="n">
        <f aca="false">(Sens!C12078*IF(7&lt;life_it,1,IF(7=life_it,0.5,0))+Sens!D12078*IF(6&lt;life_it,1,IF(6=life_it,0.5,0))+Sens!E12078*IF(5&lt;life_it,1,IF(5=life_it,0.5,0))+Sens!F12078*IF(4&lt;life_it,1,IF(4=life_it,0.5,0))+Sens!G12078*IF(3&lt;life_it,1,IF(3=life_it,0.5,0))+Sens!H12078*IF(2&lt;life_it,1,IF(2=life_it,0.5,0))+Sens!I12078*IF(1&lt;life_it,1,IF(1=life_it,0.5,0))+Sens!J12078*0.5)/life_it</f>
        <v>120.132683490983</v>
      </c>
      <c r="K12080" s="6" t="n">
        <f aca="false">(Sens!C12078*IF(8&lt;life_it,1,IF(8=life_it,0.5,0))+Sens!D12078*IF(7&lt;life_it,1,IF(7=life_it,0.5,0))+Sens!E12078*IF(6&lt;life_it,1,IF(6=life_it,0.5,0))+Sens!F12078*IF(5&lt;life_it,1,IF(5=life_it,0.5,0))+Sens!G12078*IF(4&lt;life_it,1,IF(4=life_it,0.5,0))+Sens!H12078*IF(3&lt;life_it,1,IF(3=life_it,0.5,0))+Sens!I12078*IF(2&lt;life_it,1,IF(2=life_it,0.5,0))+Sens!J12078*IF(1&lt;life_it,1,IF(1=life_it,0.5,0))+Sens!K12078*0.5)/life_it</f>
        <v>130.788646309522</v>
      </c>
    </row>
    <row r="12081" customFormat="false" ht="17.15" hidden="false" customHeight="false" outlineLevel="0" collapsed="false">
      <c r="A12081" s="0" t="s">
        <v>853</v>
      </c>
      <c r="B12081" s="0" t="s">
        <v>98</v>
      </c>
      <c r="E12081" s="6" t="n">
        <f aca="false">(Sens!C12076*IF(2&lt;life_fac,1,IF(2=life_fac,0.5,0))+Sens!D12076*IF(1&lt;life_fac,1,IF(1=life_fac,0.5,0))+Sens!E12076*0.5)/life_fac</f>
        <v>1.2448275</v>
      </c>
      <c r="F12081" s="6" t="n">
        <f aca="false">(Sens!C12076*IF(3&lt;life_fac,1,IF(3=life_fac,0.5,0))+Sens!D12076*IF(2&lt;life_fac,1,IF(2=life_fac,0.5,0))+Sens!E12076*IF(1&lt;life_fac,1,IF(1=life_fac,0.5,0))+Sens!F12076*0.5)/life_fac</f>
        <v>2.4456901</v>
      </c>
      <c r="G12081" s="6" t="n">
        <f aca="false">(Sens!C12076*IF(4&lt;life_fac,1,IF(4=life_fac,0.5,0))+Sens!D12076*IF(3&lt;life_fac,1,IF(3=life_fac,0.5,0))+Sens!E12076*IF(2&lt;life_fac,1,IF(2=life_fac,0.5,0))+Sens!F12076*IF(1&lt;life_fac,1,IF(1=life_fac,0.5,0))+Sens!G12076*0.5)/life_fac</f>
        <v>3.9814208</v>
      </c>
      <c r="H12081" s="6" t="n">
        <f aca="false">(Sens!C12076*IF(5&lt;life_fac,1,IF(5=life_fac,0.5,0))+Sens!D12076*IF(4&lt;life_fac,1,IF(4=life_fac,0.5,0))+Sens!E12076*IF(3&lt;life_fac,1,IF(3=life_fac,0.5,0))+Sens!F12076*IF(2&lt;life_fac,1,IF(2=life_fac,0.5,0))+Sens!G12076*IF(1&lt;life_fac,1,IF(1=life_fac,0.5,0))+Sens!H12076*0.5)/life_fac</f>
        <v>5.582402</v>
      </c>
      <c r="I12081" s="6" t="n">
        <f aca="false">(Sens!C12076*IF(6&lt;life_fac,1,IF(6=life_fac,0.5,0))+Sens!D12076*IF(5&lt;life_fac,1,IF(5=life_fac,0.5,0))+Sens!E12076*IF(4&lt;life_fac,1,IF(4=life_fac,0.5,0))+Sens!F12076*IF(3&lt;life_fac,1,IF(3=life_fac,0.5,0))+Sens!G12076*IF(2&lt;life_fac,1,IF(2=life_fac,0.5,0))+Sens!H12076*IF(1&lt;life_fac,1,IF(1=life_fac,0.5,0))+Sens!I12076*0.5)/life_fac</f>
        <v>6.950862093</v>
      </c>
      <c r="J12081" s="6" t="n">
        <f aca="false">(Sens!C12076*IF(7&lt;life_fac,1,IF(7=life_fac,0.5,0))+Sens!D12076*IF(6&lt;life_fac,1,IF(6=life_fac,0.5,0))+Sens!E12076*IF(5&lt;life_fac,1,IF(5=life_fac,0.5,0))+Sens!F12076*IF(4&lt;life_fac,1,IF(4=life_fac,0.5,0))+Sens!G12076*IF(3&lt;life_fac,1,IF(3=life_fac,0.5,0))+Sens!H12076*IF(2&lt;life_fac,1,IF(2=life_fac,0.5,0))+Sens!I12076*IF(1&lt;life_fac,1,IF(1=life_fac,0.5,0))+Sens!J12076*0.5)/life_fac</f>
        <v>7.86563936186</v>
      </c>
      <c r="K12081" s="6" t="n">
        <f aca="false">(Sens!C12076*IF(8&lt;life_fac,1,IF(8=life_fac,0.5,0))+Sens!D12076*IF(7&lt;life_fac,1,IF(7=life_fac,0.5,0))+Sens!E12076*IF(6&lt;life_fac,1,IF(6=life_fac,0.5,0))+Sens!F12076*IF(5&lt;life_fac,1,IF(5=life_fac,0.5,0))+Sens!G12076*IF(4&lt;life_fac,1,IF(4=life_fac,0.5,0))+Sens!H12076*IF(3&lt;life_fac,1,IF(3=life_fac,0.5,0))+Sens!I12076*IF(2&lt;life_fac,1,IF(2=life_fac,0.5,0))+Sens!J12076*IF(1&lt;life_fac,1,IF(1=life_fac,0.5,0))+Sens!K12076*0.5)/life_fac</f>
        <v>8.3428177347858</v>
      </c>
    </row>
    <row r="12082" customFormat="false" ht="17.15" hidden="false" customHeight="false" outlineLevel="0" collapsed="false">
      <c r="A12082" s="0" t="s">
        <v>854</v>
      </c>
      <c r="B12082" s="0" t="s">
        <v>98</v>
      </c>
      <c r="E12082" s="6" t="n">
        <f aca="false">Sens!E12080+Sens!E12081</f>
        <v>16.3054059770833</v>
      </c>
      <c r="F12082" s="6" t="n">
        <f aca="false">Sens!F12080+Sens!F12081</f>
        <v>34.0498873809555</v>
      </c>
      <c r="G12082" s="6" t="n">
        <f aca="false">Sens!G12080+Sens!G12081</f>
        <v>59.1254371105111</v>
      </c>
      <c r="H12082" s="6" t="n">
        <f aca="false">Sens!H12080+Sens!H12081</f>
        <v>86.3610198433111</v>
      </c>
      <c r="I12082" s="6" t="n">
        <f aca="false">Sens!I12080+Sens!I12081</f>
        <v>110.605743832393</v>
      </c>
      <c r="J12082" s="6" t="n">
        <f aca="false">Sens!J12080+Sens!J12081</f>
        <v>127.998322852843</v>
      </c>
      <c r="K12082" s="6" t="n">
        <f aca="false">Sens!K12080+Sens!K12081</f>
        <v>139.131464044308</v>
      </c>
    </row>
    <row r="12083" customFormat="false" ht="17.15" hidden="false" customHeight="false" outlineLevel="0" collapsed="false">
      <c r="A12083" s="0" t="s">
        <v>855</v>
      </c>
      <c r="B12083" s="0" t="s">
        <v>98</v>
      </c>
      <c r="E12083" s="6" t="n">
        <f aca="false">Sens!E12071-Sens!E12070*Sens!E12082</f>
        <v>8.92707889977379</v>
      </c>
      <c r="F12083" s="6" t="n">
        <f aca="false">Sens!F12071-Sens!F12070*Sens!F12082</f>
        <v>14.6274131339686</v>
      </c>
      <c r="G12083" s="6" t="n">
        <f aca="false">Sens!G12071-Sens!G12070*Sens!G12082</f>
        <v>16.7752349049804</v>
      </c>
      <c r="H12083" s="6" t="n">
        <f aca="false">Sens!H12071-Sens!H12070*Sens!H12082</f>
        <v>13.4630579450404</v>
      </c>
      <c r="I12083" s="6" t="n">
        <f aca="false">Sens!I12071-Sens!I12070*Sens!I12082</f>
        <v>16.9068533370192</v>
      </c>
      <c r="J12083" s="6" t="n">
        <f aca="false">Sens!J12071-Sens!J12070*Sens!J12082</f>
        <v>19.3011433836036</v>
      </c>
      <c r="K12083" s="6" t="n">
        <f aca="false">Sens!K12071-Sens!K12070*Sens!K12082</f>
        <v>21.3550700932312</v>
      </c>
    </row>
    <row r="12084" customFormat="false" ht="17.15" hidden="false" customHeight="false" outlineLevel="0" collapsed="false">
      <c r="A12084" s="3" t="s">
        <v>1573</v>
      </c>
    </row>
    <row r="12085" customFormat="false" ht="15" hidden="false" customHeight="false" outlineLevel="0" collapsed="false">
      <c r="A12085" s="4" t="s">
        <v>43</v>
      </c>
      <c r="B12085" s="4" t="s">
        <v>65</v>
      </c>
      <c r="C12085" s="20" t="s">
        <v>799</v>
      </c>
      <c r="D12085" s="20" t="s">
        <v>800</v>
      </c>
      <c r="E12085" s="20" t="s">
        <v>801</v>
      </c>
      <c r="F12085" s="20" t="s">
        <v>802</v>
      </c>
      <c r="G12085" s="20" t="s">
        <v>803</v>
      </c>
      <c r="H12085" s="20" t="s">
        <v>804</v>
      </c>
      <c r="I12085" s="20" t="s">
        <v>805</v>
      </c>
      <c r="J12085" s="20" t="s">
        <v>806</v>
      </c>
      <c r="K12085" s="20" t="s">
        <v>807</v>
      </c>
      <c r="L12085" s="4" t="s">
        <v>47</v>
      </c>
    </row>
    <row r="12086" customFormat="false" ht="17.15" hidden="false" customHeight="false" outlineLevel="0" collapsed="false">
      <c r="A12086" s="0" t="s">
        <v>874</v>
      </c>
      <c r="B12086" s="0" t="s">
        <v>98</v>
      </c>
      <c r="D12086" s="6" t="n">
        <f aca="false">Sens!D12065</f>
        <v>12.9359794422418</v>
      </c>
      <c r="E12086" s="6" t="n">
        <f aca="false">Sens!E12065</f>
        <v>27.8095064661409</v>
      </c>
      <c r="F12086" s="6" t="n">
        <f aca="false">Sens!F12065</f>
        <v>50.6619113883066</v>
      </c>
      <c r="G12086" s="6" t="n">
        <f aca="false">Sens!G12065</f>
        <v>75.1482839325348</v>
      </c>
      <c r="H12086" s="6" t="n">
        <f aca="false">Sens!H12065</f>
        <v>94.895655604042</v>
      </c>
      <c r="I12086" s="6" t="n">
        <f aca="false">Sens!I12065</f>
        <v>118.706168884151</v>
      </c>
      <c r="J12086" s="6" t="n">
        <f aca="false">Sens!J12065</f>
        <v>135.50643871102</v>
      </c>
      <c r="K12086" s="6" t="n">
        <f aca="false">Sens!K12065</f>
        <v>146.509068150048</v>
      </c>
    </row>
    <row r="12087" customFormat="false" ht="17.15" hidden="false" customHeight="false" outlineLevel="0" collapsed="false">
      <c r="A12087" s="0" t="s">
        <v>875</v>
      </c>
      <c r="B12087" s="0" t="s">
        <v>98</v>
      </c>
      <c r="D12087" s="6" t="n">
        <f aca="false">Q!L6-Sens!D12086</f>
        <v>59.6740205577583</v>
      </c>
      <c r="E12087" s="6" t="n">
        <f aca="false">Q!M6-Sens!E12086</f>
        <v>74.1284935338591</v>
      </c>
      <c r="F12087" s="6" t="n">
        <f aca="false">Sens!E12087*(1+Sens!F12088)</f>
        <v>90.0799497373663</v>
      </c>
      <c r="G12087" s="6" t="n">
        <f aca="false">Sens!F12087*(1+Sens!G12088)</f>
        <v>107.02842520331</v>
      </c>
      <c r="H12087" s="6" t="n">
        <f aca="false">Sens!G12087*(1+Sens!H12088)</f>
        <v>124.271982585636</v>
      </c>
      <c r="I12087" s="6" t="n">
        <f aca="false">Sens!H12087*(1+Sens!I12088)</f>
        <v>140.933702381855</v>
      </c>
      <c r="J12087" s="6" t="n">
        <f aca="false">Sens!I12087*(1+Sens!J12088)</f>
        <v>156.018867314332</v>
      </c>
      <c r="K12087" s="6" t="n">
        <f aca="false">Sens!J12087*(1+Sens!K12088)</f>
        <v>168.500376699478</v>
      </c>
    </row>
    <row r="12088" customFormat="false" ht="15" hidden="false" customHeight="false" outlineLevel="0" collapsed="false">
      <c r="A12088" s="1" t="s">
        <v>876</v>
      </c>
      <c r="B12088" s="0" t="s">
        <v>129</v>
      </c>
      <c r="E12088" s="7" t="n">
        <f aca="false">Sens!E12087/Sens!D12087-1</f>
        <v>0.242223883039864</v>
      </c>
      <c r="F12088" s="7" t="n">
        <f aca="false">Sens!$E$12088+(glt_azo-Sens!$E$12088)*MIN(1,(Sens!F12048-base_fy)/n_conv)</f>
        <v>0.215186569199887</v>
      </c>
      <c r="G12088" s="7" t="n">
        <f aca="false">Sens!$E$12088+(glt_azo-Sens!$E$12088)*MIN(1,(Sens!G12048-base_fy)/n_conv)</f>
        <v>0.18814925535991</v>
      </c>
      <c r="H12088" s="7" t="n">
        <f aca="false">Sens!$E$12088+(glt_azo-Sens!$E$12088)*MIN(1,(Sens!H12048-base_fy)/n_conv)</f>
        <v>0.161111941519932</v>
      </c>
      <c r="I12088" s="7" t="n">
        <f aca="false">Sens!$E$12088+(glt_azo-Sens!$E$12088)*MIN(1,(Sens!I12048-base_fy)/n_conv)</f>
        <v>0.134074627679955</v>
      </c>
      <c r="J12088" s="7" t="n">
        <f aca="false">Sens!$E$12088+(glt_azo-Sens!$E$12088)*MIN(1,(Sens!J12048-base_fy)/n_conv)</f>
        <v>0.107037313839977</v>
      </c>
      <c r="K12088" s="7" t="n">
        <f aca="false">Sens!$E$12088+(glt_azo-Sens!$E$12088)*MIN(1,(Sens!K12048-base_fy)/n_conv)</f>
        <v>0.08</v>
      </c>
    </row>
    <row r="12089" customFormat="false" ht="15" hidden="false" customHeight="false" outlineLevel="0" collapsed="false">
      <c r="A12089" s="0" t="s">
        <v>877</v>
      </c>
      <c r="B12089" s="0" t="s">
        <v>98</v>
      </c>
      <c r="D12089" s="6" t="n">
        <f aca="false">Sens!D12086+Sens!D12087</f>
        <v>72.61</v>
      </c>
      <c r="E12089" s="6" t="n">
        <f aca="false">Sens!E12086+Sens!E12087</f>
        <v>101.938</v>
      </c>
      <c r="F12089" s="6" t="n">
        <f aca="false">Sens!F12086+Sens!F12087</f>
        <v>140.741861125673</v>
      </c>
      <c r="G12089" s="6" t="n">
        <f aca="false">Sens!G12086+Sens!G12087</f>
        <v>182.176709135845</v>
      </c>
      <c r="H12089" s="6" t="n">
        <f aca="false">Sens!H12086+Sens!H12087</f>
        <v>219.167638189678</v>
      </c>
      <c r="I12089" s="6" t="n">
        <f aca="false">Sens!I12086+Sens!I12087</f>
        <v>259.639871266006</v>
      </c>
      <c r="J12089" s="6" t="n">
        <f aca="false">Sens!J12086+Sens!J12087</f>
        <v>291.525306025352</v>
      </c>
      <c r="K12089" s="6" t="n">
        <f aca="false">Sens!K12086+Sens!K12087</f>
        <v>315.009444849526</v>
      </c>
    </row>
    <row r="12090" customFormat="false" ht="17.15" hidden="false" customHeight="false" outlineLevel="0" collapsed="false">
      <c r="A12090" s="0" t="s">
        <v>878</v>
      </c>
      <c r="B12090" s="1" t="s">
        <v>528</v>
      </c>
      <c r="C12090" s="29" t="n">
        <f aca="false">cop_s24</f>
        <v>1</v>
      </c>
      <c r="D12090" s="29" t="n">
        <f aca="false">cop_s25</f>
        <v>5</v>
      </c>
      <c r="E12090" s="29" t="n">
        <f aca="false">cop_s26</f>
        <v>30</v>
      </c>
      <c r="F12090" s="29" t="n">
        <f aca="false">Sens!E12090+cop_add_C</f>
        <v>40</v>
      </c>
      <c r="G12090" s="29" t="n">
        <f aca="false">Sens!F12090+cop_add_C</f>
        <v>50</v>
      </c>
      <c r="H12090" s="29" t="n">
        <f aca="false">Sens!G12090+cop_add_C</f>
        <v>60</v>
      </c>
      <c r="I12090" s="29" t="n">
        <f aca="false">Sens!H12090+cop_add_C*cop_tail</f>
        <v>65</v>
      </c>
      <c r="J12090" s="29" t="n">
        <f aca="false">Sens!I12090+cop_add_C*cop_tail</f>
        <v>70</v>
      </c>
      <c r="K12090" s="29" t="n">
        <f aca="false">Sens!J12090+cop_add_C*cop_tail</f>
        <v>75</v>
      </c>
      <c r="L12090" s="11" t="s">
        <v>879</v>
      </c>
    </row>
    <row r="12091" customFormat="false" ht="17.15" hidden="false" customHeight="false" outlineLevel="0" collapsed="false">
      <c r="A12091" s="0" t="s">
        <v>880</v>
      </c>
      <c r="B12091" s="0" t="s">
        <v>98</v>
      </c>
      <c r="D12091" s="6" t="n">
        <f aca="false">(Sens!C12090+Sens!D12090)/2*cop_px*12/1000</f>
        <v>0.9</v>
      </c>
      <c r="E12091" s="6" t="n">
        <f aca="false">(Sens!D12090+Sens!E12090)/2*cop_px*12/1000</f>
        <v>5.25</v>
      </c>
      <c r="F12091" s="6" t="n">
        <f aca="false">(Sens!E12090+Sens!F12090)/2*cop_px*12/1000</f>
        <v>10.5</v>
      </c>
      <c r="G12091" s="6" t="n">
        <f aca="false">(Sens!F12090+Sens!G12090)/2*cop_px*12/1000</f>
        <v>13.5</v>
      </c>
      <c r="H12091" s="6" t="n">
        <f aca="false">(Sens!G12090+Sens!H12090)/2*cop_px*12/1000</f>
        <v>16.5</v>
      </c>
      <c r="I12091" s="6" t="n">
        <f aca="false">(Sens!H12090+Sens!I12090)/2*cop_px*12/1000</f>
        <v>18.75</v>
      </c>
      <c r="J12091" s="6" t="n">
        <f aca="false">(Sens!I12090+Sens!J12090)/2*cop_px*12/1000</f>
        <v>20.25</v>
      </c>
      <c r="K12091" s="6" t="n">
        <f aca="false">(Sens!J12090+Sens!K12090)/2*cop_px*12/1000</f>
        <v>21.75</v>
      </c>
      <c r="L12091" s="1" t="s">
        <v>881</v>
      </c>
    </row>
    <row r="12092" customFormat="false" ht="17.15" hidden="false" customHeight="false" outlineLevel="0" collapsed="false">
      <c r="A12092" s="0" t="s">
        <v>882</v>
      </c>
      <c r="B12092" s="0" t="s">
        <v>98</v>
      </c>
      <c r="D12092" s="6" t="n">
        <f aca="false">Q!L7-Sens!D12091</f>
        <v>83.705</v>
      </c>
      <c r="E12092" s="6" t="n">
        <f aca="false">Q!M7-Sens!E12091</f>
        <v>95.049</v>
      </c>
      <c r="F12092" s="6" t="n">
        <f aca="false">Sens!E12092*(1+Sens!F12093)</f>
        <v>106.89238776686</v>
      </c>
      <c r="G12092" s="6" t="n">
        <f aca="false">Sens!F12092*(1+Sens!G12093)</f>
        <v>119.044168448684</v>
      </c>
      <c r="H12092" s="6" t="n">
        <f aca="false">Sens!G12092*(1+Sens!H12093)</f>
        <v>131.277359388781</v>
      </c>
      <c r="I12092" s="6" t="n">
        <f aca="false">Sens!H12092*(1+Sens!I12093)</f>
        <v>143.334028071957</v>
      </c>
      <c r="J12092" s="6" t="n">
        <f aca="false">Sens!I12092*(1+Sens!J12093)</f>
        <v>154.932702785465</v>
      </c>
      <c r="K12092" s="6" t="n">
        <f aca="false">Sens!J12092*(1+Sens!K12093)</f>
        <v>165.777991980448</v>
      </c>
    </row>
    <row r="12093" customFormat="false" ht="15" hidden="false" customHeight="false" outlineLevel="0" collapsed="false">
      <c r="A12093" s="1" t="s">
        <v>876</v>
      </c>
      <c r="B12093" s="0" t="s">
        <v>129</v>
      </c>
      <c r="E12093" s="7" t="n">
        <f aca="false">Sens!E12092/Sens!D12092-1</f>
        <v>0.135523564900544</v>
      </c>
      <c r="F12093" s="7" t="n">
        <f aca="false">Sens!$E$12093+(glt_m365b-Sens!$E$12093)*MIN(1,(Sens!F12048-base_fy)/n_conv)</f>
        <v>0.124602970750453</v>
      </c>
      <c r="G12093" s="7" t="n">
        <f aca="false">Sens!$E$12093+(glt_m365b-Sens!$E$12093)*MIN(1,(Sens!G12048-base_fy)/n_conv)</f>
        <v>0.113682376600363</v>
      </c>
      <c r="H12093" s="7" t="n">
        <f aca="false">Sens!$E$12093+(glt_m365b-Sens!$E$12093)*MIN(1,(Sens!H12048-base_fy)/n_conv)</f>
        <v>0.102761782450272</v>
      </c>
      <c r="I12093" s="7" t="n">
        <f aca="false">Sens!$E$12093+(glt_m365b-Sens!$E$12093)*MIN(1,(Sens!I12048-base_fy)/n_conv)</f>
        <v>0.0918411883001813</v>
      </c>
      <c r="J12093" s="7" t="n">
        <f aca="false">Sens!$E$12093+(glt_m365b-Sens!$E$12093)*MIN(1,(Sens!J12048-base_fy)/n_conv)</f>
        <v>0.0809205941500906</v>
      </c>
      <c r="K12093" s="7" t="n">
        <f aca="false">Sens!$E$12093+(glt_m365b-Sens!$E$12093)*MIN(1,(Sens!K12048-base_fy)/n_conv)</f>
        <v>0.07</v>
      </c>
    </row>
    <row r="12094" customFormat="false" ht="15" hidden="false" customHeight="false" outlineLevel="0" collapsed="false">
      <c r="A12094" s="0" t="s">
        <v>883</v>
      </c>
      <c r="B12094" s="0" t="s">
        <v>98</v>
      </c>
      <c r="D12094" s="6" t="n">
        <f aca="false">Sens!D12092+Sens!D12091</f>
        <v>84.605</v>
      </c>
      <c r="E12094" s="6" t="n">
        <f aca="false">Sens!E12092+Sens!E12091</f>
        <v>100.299</v>
      </c>
      <c r="F12094" s="6" t="n">
        <f aca="false">Sens!F12092+Sens!F12091</f>
        <v>117.39238776686</v>
      </c>
      <c r="G12094" s="6" t="n">
        <f aca="false">Sens!G12092+Sens!G12091</f>
        <v>132.544168448684</v>
      </c>
      <c r="H12094" s="6" t="n">
        <f aca="false">Sens!H12092+Sens!H12091</f>
        <v>147.777359388781</v>
      </c>
      <c r="I12094" s="6" t="n">
        <f aca="false">Sens!I12092+Sens!I12091</f>
        <v>162.084028071957</v>
      </c>
      <c r="J12094" s="6" t="n">
        <f aca="false">Sens!J12092+Sens!J12091</f>
        <v>175.182702785465</v>
      </c>
      <c r="K12094" s="6" t="n">
        <f aca="false">Sens!K12092+Sens!K12091</f>
        <v>187.527991980448</v>
      </c>
    </row>
    <row r="12095" customFormat="false" ht="15" hidden="false" customHeight="false" outlineLevel="0" collapsed="false">
      <c r="A12095" s="0" t="s">
        <v>884</v>
      </c>
      <c r="B12095" s="0" t="s">
        <v>98</v>
      </c>
      <c r="D12095" s="6" t="n">
        <f aca="false">Q!L8</f>
        <v>35.391</v>
      </c>
      <c r="E12095" s="6" t="n">
        <f aca="false">Q!M8</f>
        <v>37.285</v>
      </c>
      <c r="F12095" s="6" t="n">
        <f aca="false">Sens!E12095*(1+Sens!F12096)</f>
        <v>39.0720834331704</v>
      </c>
      <c r="G12095" s="6" t="n">
        <f aca="false">Sens!F12095*(1+Sens!G12096)</f>
        <v>40.726562953769</v>
      </c>
      <c r="H12095" s="6" t="n">
        <f aca="false">Sens!G12095*(1+Sens!H12096)</f>
        <v>42.2235987259198</v>
      </c>
      <c r="I12095" s="6" t="n">
        <f aca="false">Sens!H12095*(1+Sens!I12096)</f>
        <v>43.5397988077414</v>
      </c>
      <c r="J12095" s="6" t="n">
        <f aca="false">Sens!I12095*(1+Sens!J12096)</f>
        <v>44.653811225693</v>
      </c>
      <c r="K12095" s="6" t="n">
        <f aca="false">Sens!J12095*(1+Sens!K12096)</f>
        <v>45.5468874502068</v>
      </c>
    </row>
    <row r="12096" customFormat="false" ht="15" hidden="false" customHeight="false" outlineLevel="0" collapsed="false">
      <c r="A12096" s="1" t="s">
        <v>876</v>
      </c>
      <c r="B12096" s="0" t="s">
        <v>129</v>
      </c>
      <c r="E12096" s="7" t="n">
        <f aca="false">Sens!E12095/Sens!D12095-1</f>
        <v>0.0535164307309768</v>
      </c>
      <c r="F12096" s="7" t="n">
        <f aca="false">Sens!$E$12096+(glt_lic-Sens!$E$12096)*MIN(1,(Sens!F12048-base_fy)/n_conv)</f>
        <v>0.0479303589424807</v>
      </c>
      <c r="G12096" s="7" t="n">
        <f aca="false">Sens!$E$12096+(glt_lic-Sens!$E$12096)*MIN(1,(Sens!G12048-base_fy)/n_conv)</f>
        <v>0.0423442871539845</v>
      </c>
      <c r="H12096" s="7" t="n">
        <f aca="false">Sens!$E$12096+(glt_lic-Sens!$E$12096)*MIN(1,(Sens!H12048-base_fy)/n_conv)</f>
        <v>0.0367582153654884</v>
      </c>
      <c r="I12096" s="7" t="n">
        <f aca="false">Sens!$E$12096+(glt_lic-Sens!$E$12096)*MIN(1,(Sens!I12048-base_fy)/n_conv)</f>
        <v>0.0311721435769923</v>
      </c>
      <c r="J12096" s="7" t="n">
        <f aca="false">Sens!$E$12096+(glt_lic-Sens!$E$12096)*MIN(1,(Sens!J12048-base_fy)/n_conv)</f>
        <v>0.0255860717884961</v>
      </c>
      <c r="K12096" s="7" t="n">
        <f aca="false">Sens!$E$12096+(glt_lic-Sens!$E$12096)*MIN(1,(Sens!K12048-base_fy)/n_conv)</f>
        <v>0.02</v>
      </c>
    </row>
    <row r="12097" customFormat="false" ht="15" hidden="false" customHeight="false" outlineLevel="0" collapsed="false">
      <c r="A12097" s="0" t="s">
        <v>885</v>
      </c>
      <c r="B12097" s="0" t="s">
        <v>98</v>
      </c>
      <c r="D12097" s="6" t="n">
        <f aca="false">Q!L9</f>
        <v>18.417</v>
      </c>
      <c r="E12097" s="6" t="n">
        <f aca="false">Q!M9</f>
        <v>20.345</v>
      </c>
      <c r="F12097" s="6" t="n">
        <f aca="false">Sens!E12097*(1+Sens!F12098)</f>
        <v>22.3572203267814</v>
      </c>
      <c r="G12097" s="6" t="n">
        <f aca="false">Sens!F12097*(1+Sens!G12098)</f>
        <v>24.4392124437232</v>
      </c>
      <c r="H12097" s="6" t="n">
        <f aca="false">Sens!G12097*(1+Sens!H12098)</f>
        <v>26.5738052080665</v>
      </c>
      <c r="I12097" s="6" t="n">
        <f aca="false">Sens!H12097*(1+Sens!I12098)</f>
        <v>28.7412169166967</v>
      </c>
      <c r="J12097" s="6" t="n">
        <f aca="false">Sens!I12097*(1+Sens!J12098)</f>
        <v>30.9192545395413</v>
      </c>
      <c r="K12097" s="6" t="n">
        <f aca="false">Sens!J12097*(1+Sens!K12098)</f>
        <v>33.0836023573092</v>
      </c>
    </row>
    <row r="12098" customFormat="false" ht="15" hidden="false" customHeight="false" outlineLevel="0" collapsed="false">
      <c r="A12098" s="1" t="s">
        <v>876</v>
      </c>
      <c r="B12098" s="0" t="s">
        <v>129</v>
      </c>
      <c r="E12098" s="7" t="n">
        <f aca="false">Sens!E12097/Sens!D12097-1</f>
        <v>0.104685888038225</v>
      </c>
      <c r="F12098" s="7" t="n">
        <f aca="false">Sens!$E$12098+(glt_ind-Sens!$E$12098)*MIN(1,(Sens!F12048-base_fy)/n_conv)</f>
        <v>0.0989049066985211</v>
      </c>
      <c r="G12098" s="7" t="n">
        <f aca="false">Sens!$E$12098+(glt_ind-Sens!$E$12098)*MIN(1,(Sens!G12048-base_fy)/n_conv)</f>
        <v>0.0931239253588169</v>
      </c>
      <c r="H12098" s="7" t="n">
        <f aca="false">Sens!$E$12098+(glt_ind-Sens!$E$12098)*MIN(1,(Sens!H12048-base_fy)/n_conv)</f>
        <v>0.0873429440191127</v>
      </c>
      <c r="I12098" s="7" t="n">
        <f aca="false">Sens!$E$12098+(glt_ind-Sens!$E$12098)*MIN(1,(Sens!I12048-base_fy)/n_conv)</f>
        <v>0.0815619626794085</v>
      </c>
      <c r="J12098" s="7" t="n">
        <f aca="false">Sens!$E$12098+(glt_ind-Sens!$E$12098)*MIN(1,(Sens!J12048-base_fy)/n_conv)</f>
        <v>0.0757809813397042</v>
      </c>
      <c r="K12098" s="7" t="n">
        <f aca="false">Sens!$E$12098+(glt_ind-Sens!$E$12098)*MIN(1,(Sens!K12048-base_fy)/n_conv)</f>
        <v>0.07</v>
      </c>
    </row>
    <row r="12099" customFormat="false" ht="15" hidden="false" customHeight="false" outlineLevel="0" collapsed="false">
      <c r="A12099" s="0" t="s">
        <v>886</v>
      </c>
      <c r="B12099" s="0" t="s">
        <v>98</v>
      </c>
      <c r="D12099" s="6" t="n">
        <f aca="false">Q!L10</f>
        <v>7.76</v>
      </c>
      <c r="E12099" s="6" t="n">
        <f aca="false">Q!M10</f>
        <v>8.26</v>
      </c>
      <c r="F12099" s="6" t="n">
        <f aca="false">Sens!E12099*(1+Sens!F12100)</f>
        <v>8.79988041237113</v>
      </c>
      <c r="G12099" s="6" t="n">
        <f aca="false">Sens!F12099*(1+Sens!G12100)</f>
        <v>9.38321269125306</v>
      </c>
      <c r="H12099" s="6" t="n">
        <f aca="false">Sens!G12099*(1+Sens!H12100)</f>
        <v>10.0139193587476</v>
      </c>
      <c r="I12099" s="6" t="n">
        <f aca="false">Sens!H12099*(1+Sens!I12100)</f>
        <v>10.6963111830911</v>
      </c>
      <c r="J12099" s="6" t="n">
        <f aca="false">Sens!I12099*(1+Sens!J12100)</f>
        <v>11.4351285534696</v>
      </c>
      <c r="K12099" s="6" t="n">
        <f aca="false">Sens!J12099*(1+Sens!K12100)</f>
        <v>12.2355875522124</v>
      </c>
    </row>
    <row r="12100" customFormat="false" ht="15" hidden="false" customHeight="false" outlineLevel="0" collapsed="false">
      <c r="A12100" s="1" t="s">
        <v>876</v>
      </c>
      <c r="B12100" s="0" t="s">
        <v>129</v>
      </c>
      <c r="E12100" s="7" t="n">
        <f aca="false">Sens!E12099/Sens!D12099-1</f>
        <v>0.0644329896907216</v>
      </c>
      <c r="F12100" s="7" t="n">
        <f aca="false">Sens!$E$12100+(glt_fro-Sens!$E$12100)*MIN(1,(Sens!F12048-base_fy)/n_conv)</f>
        <v>0.065360824742268</v>
      </c>
      <c r="G12100" s="7" t="n">
        <f aca="false">Sens!$E$12100+(glt_fro-Sens!$E$12100)*MIN(1,(Sens!G12048-base_fy)/n_conv)</f>
        <v>0.0662886597938144</v>
      </c>
      <c r="H12100" s="7" t="n">
        <f aca="false">Sens!$E$12100+(glt_fro-Sens!$E$12100)*MIN(1,(Sens!H12048-base_fy)/n_conv)</f>
        <v>0.0672164948453608</v>
      </c>
      <c r="I12100" s="7" t="n">
        <f aca="false">Sens!$E$12100+(glt_fro-Sens!$E$12100)*MIN(1,(Sens!I12048-base_fy)/n_conv)</f>
        <v>0.0681443298969072</v>
      </c>
      <c r="J12100" s="7" t="n">
        <f aca="false">Sens!$E$12100+(glt_fro-Sens!$E$12100)*MIN(1,(Sens!J12048-base_fy)/n_conv)</f>
        <v>0.0690721649484536</v>
      </c>
      <c r="K12100" s="7" t="n">
        <f aca="false">Sens!$E$12100+(glt_fro-Sens!$E$12100)*MIN(1,(Sens!K12048-base_fy)/n_conv)</f>
        <v>0.07</v>
      </c>
    </row>
    <row r="12101" customFormat="false" ht="15" hidden="false" customHeight="false" outlineLevel="0" collapsed="false">
      <c r="A12101" s="0" t="s">
        <v>715</v>
      </c>
      <c r="B12101" s="0" t="s">
        <v>98</v>
      </c>
      <c r="D12101" s="6" t="n">
        <f aca="false">Sens!D12089+Sens!D12094+Sens!D12095+Sens!D12097+Sens!D12099</f>
        <v>218.783</v>
      </c>
      <c r="E12101" s="6" t="n">
        <f aca="false">Sens!E12089+Sens!E12094+Sens!E12095+Sens!E12097+Sens!E12099</f>
        <v>268.127</v>
      </c>
      <c r="F12101" s="6" t="n">
        <f aca="false">Sens!F12089+Sens!F12094+Sens!F12095+Sens!F12097+Sens!F12099</f>
        <v>328.363433064856</v>
      </c>
      <c r="G12101" s="6" t="n">
        <f aca="false">Sens!G12089+Sens!G12094+Sens!G12095+Sens!G12097+Sens!G12099</f>
        <v>389.269865673274</v>
      </c>
      <c r="H12101" s="6" t="n">
        <f aca="false">Sens!H12089+Sens!H12094+Sens!H12095+Sens!H12097+Sens!H12099</f>
        <v>445.756320871193</v>
      </c>
      <c r="I12101" s="6" t="n">
        <f aca="false">Sens!I12089+Sens!I12094+Sens!I12095+Sens!I12097+Sens!I12099</f>
        <v>504.701226245492</v>
      </c>
      <c r="J12101" s="6" t="n">
        <f aca="false">Sens!J12089+Sens!J12094+Sens!J12095+Sens!J12097+Sens!J12099</f>
        <v>553.716203129521</v>
      </c>
      <c r="K12101" s="6" t="n">
        <f aca="false">Sens!K12089+Sens!K12094+Sens!K12095+Sens!K12097+Sens!K12099</f>
        <v>593.403514189702</v>
      </c>
    </row>
    <row r="12102" customFormat="false" ht="15" hidden="false" customHeight="false" outlineLevel="0" collapsed="false">
      <c r="A12102" s="0" t="s">
        <v>887</v>
      </c>
      <c r="B12102" s="0" t="s">
        <v>98</v>
      </c>
      <c r="D12102" s="6" t="n">
        <f aca="false">Q!L13</f>
        <v>22.171</v>
      </c>
      <c r="E12102" s="6" t="n">
        <f aca="false">Q!M13</f>
        <v>24.835</v>
      </c>
      <c r="F12102" s="6" t="n">
        <f aca="false">Sens!E12102*(1+Sens!F12103)</f>
        <v>27.6114901218559</v>
      </c>
      <c r="G12102" s="6" t="n">
        <f aca="false">Sens!F12102*(1+Sens!G12103)</f>
        <v>30.4675667338515</v>
      </c>
      <c r="H12102" s="6" t="n">
        <f aca="false">Sens!G12102*(1+Sens!H12103)</f>
        <v>33.3643766955789</v>
      </c>
      <c r="I12102" s="6" t="n">
        <f aca="false">Sens!H12102*(1+Sens!I12103)</f>
        <v>36.2577016533691</v>
      </c>
      <c r="J12102" s="6" t="n">
        <f aca="false">Sens!I12102*(1+Sens!J12103)</f>
        <v>39.0988367952171</v>
      </c>
      <c r="K12102" s="6" t="n">
        <f aca="false">Sens!J12102*(1+Sens!K12103)</f>
        <v>41.8357553708823</v>
      </c>
    </row>
    <row r="12103" customFormat="false" ht="15" hidden="false" customHeight="false" outlineLevel="0" collapsed="false">
      <c r="A12103" s="1" t="s">
        <v>876</v>
      </c>
      <c r="B12103" s="0" t="s">
        <v>129</v>
      </c>
      <c r="E12103" s="7" t="n">
        <f aca="false">Sens!E12102/Sens!D12102-1</f>
        <v>0.120156961796942</v>
      </c>
      <c r="F12103" s="7" t="n">
        <f aca="false">Sens!$E$12103+(glt_srch-Sens!$E$12103)*MIN(1,(Sens!F12048-base_fy)/n_conv)</f>
        <v>0.111797468164118</v>
      </c>
      <c r="G12103" s="7" t="n">
        <f aca="false">Sens!$E$12103+(glt_srch-Sens!$E$12103)*MIN(1,(Sens!G12048-base_fy)/n_conv)</f>
        <v>0.103437974531295</v>
      </c>
      <c r="H12103" s="7" t="n">
        <f aca="false">Sens!$E$12103+(glt_srch-Sens!$E$12103)*MIN(1,(Sens!H12048-base_fy)/n_conv)</f>
        <v>0.095078480898471</v>
      </c>
      <c r="I12103" s="7" t="n">
        <f aca="false">Sens!$E$12103+(glt_srch-Sens!$E$12103)*MIN(1,(Sens!I12048-base_fy)/n_conv)</f>
        <v>0.0867189872656474</v>
      </c>
      <c r="J12103" s="7" t="n">
        <f aca="false">Sens!$E$12103+(glt_srch-Sens!$E$12103)*MIN(1,(Sens!J12048-base_fy)/n_conv)</f>
        <v>0.0783594936328237</v>
      </c>
      <c r="K12103" s="7" t="n">
        <f aca="false">Sens!$E$12103+(glt_srch-Sens!$E$12103)*MIN(1,(Sens!K12048-base_fy)/n_conv)</f>
        <v>0.07</v>
      </c>
    </row>
    <row r="12104" customFormat="false" ht="15" hidden="false" customHeight="false" outlineLevel="0" collapsed="false">
      <c r="A12104" s="0" t="s">
        <v>888</v>
      </c>
      <c r="B12104" s="0" t="s">
        <v>98</v>
      </c>
      <c r="D12104" s="6" t="n">
        <f aca="false">Q!L14</f>
        <v>23.455</v>
      </c>
      <c r="E12104" s="6" t="n">
        <f aca="false">Q!M14</f>
        <v>21.79</v>
      </c>
      <c r="F12104" s="6" t="n">
        <f aca="false">Sens!E12104*(1+Sens!F12105)</f>
        <v>20.5736277908051</v>
      </c>
      <c r="G12104" s="6" t="n">
        <f aca="false">Sens!F12104*(1+Sens!G12105)</f>
        <v>19.7371452817919</v>
      </c>
      <c r="H12104" s="6" t="n">
        <f aca="false">Sens!G12104*(1+Sens!H12105)</f>
        <v>19.2339764043138</v>
      </c>
      <c r="I12104" s="6" t="n">
        <f aca="false">Sens!H12104*(1+Sens!I12105)</f>
        <v>19.0353086852681</v>
      </c>
      <c r="J12104" s="6" t="n">
        <f aca="false">Sens!I12104*(1+Sens!J12105)</f>
        <v>19.1273539319129</v>
      </c>
      <c r="K12104" s="6" t="n">
        <f aca="false">Sens!J12104*(1+Sens!K12105)</f>
        <v>19.5099010105511</v>
      </c>
    </row>
    <row r="12105" customFormat="false" ht="15" hidden="false" customHeight="false" outlineLevel="0" collapsed="false">
      <c r="A12105" s="1" t="s">
        <v>876</v>
      </c>
      <c r="B12105" s="0" t="s">
        <v>129</v>
      </c>
      <c r="E12105" s="7" t="n">
        <f aca="false">Sens!E12104/Sens!D12104-1</f>
        <v>-0.0709869963760392</v>
      </c>
      <c r="F12105" s="7" t="n">
        <f aca="false">Sens!$E$12105+(glt_xbox-Sens!$E$12105)*MIN(1,(Sens!F12048-base_fy)/n_conv)</f>
        <v>-0.0558224969800327</v>
      </c>
      <c r="G12105" s="7" t="n">
        <f aca="false">Sens!$E$12105+(glt_xbox-Sens!$E$12105)*MIN(1,(Sens!G12048-base_fy)/n_conv)</f>
        <v>-0.0406579975840262</v>
      </c>
      <c r="H12105" s="7" t="n">
        <f aca="false">Sens!$E$12105+(glt_xbox-Sens!$E$12105)*MIN(1,(Sens!H12048-base_fy)/n_conv)</f>
        <v>-0.0254934981880196</v>
      </c>
      <c r="I12105" s="7" t="n">
        <f aca="false">Sens!$E$12105+(glt_xbox-Sens!$E$12105)*MIN(1,(Sens!I12048-base_fy)/n_conv)</f>
        <v>-0.0103289987920131</v>
      </c>
      <c r="J12105" s="7" t="n">
        <f aca="false">Sens!$E$12105+(glt_xbox-Sens!$E$12105)*MIN(1,(Sens!J12048-base_fy)/n_conv)</f>
        <v>0.00483550060399347</v>
      </c>
      <c r="K12105" s="7" t="n">
        <f aca="false">Sens!$E$12105+(glt_xbox-Sens!$E$12105)*MIN(1,(Sens!K12048-base_fy)/n_conv)</f>
        <v>0.02</v>
      </c>
    </row>
    <row r="12106" customFormat="false" ht="15" hidden="false" customHeight="false" outlineLevel="0" collapsed="false">
      <c r="A12106" s="0" t="s">
        <v>889</v>
      </c>
      <c r="B12106" s="0" t="s">
        <v>98</v>
      </c>
      <c r="D12106" s="6" t="n">
        <f aca="false">Q!L15</f>
        <v>17.315</v>
      </c>
      <c r="E12106" s="6" t="n">
        <f aca="false">Q!M15</f>
        <v>17.087</v>
      </c>
      <c r="F12106" s="6" t="n">
        <f aca="false">Sens!E12106*(1+Sens!F12107)</f>
        <v>16.9564585436519</v>
      </c>
      <c r="G12106" s="6" t="n">
        <f aca="false">Sens!F12106*(1+Sens!G12107)</f>
        <v>16.9206490624268</v>
      </c>
      <c r="H12106" s="6" t="n">
        <f aca="false">Sens!G12106*(1+Sens!H12107)</f>
        <v>16.9784519149849</v>
      </c>
      <c r="I12106" s="6" t="n">
        <f aca="false">Sens!H12106*(1+Sens!I12107)</f>
        <v>17.1303084701817</v>
      </c>
      <c r="J12106" s="6" t="n">
        <f aca="false">Sens!I12106*(1+Sens!J12107)</f>
        <v>17.3782189407267</v>
      </c>
      <c r="K12106" s="6" t="n">
        <f aca="false">Sens!J12106*(1+Sens!K12107)</f>
        <v>17.7257833195413</v>
      </c>
    </row>
    <row r="12107" customFormat="false" ht="15" hidden="false" customHeight="false" outlineLevel="0" collapsed="false">
      <c r="A12107" s="1" t="s">
        <v>876</v>
      </c>
      <c r="B12107" s="0" t="s">
        <v>129</v>
      </c>
      <c r="E12107" s="7" t="n">
        <f aca="false">Sens!E12106/Sens!D12106-1</f>
        <v>-0.0131677736066995</v>
      </c>
      <c r="F12107" s="7" t="n">
        <f aca="false">Sens!$E$12107+(glt_win-Sens!$E$12107)*MIN(1,(Sens!F12048-base_fy)/n_conv)</f>
        <v>-0.00763981133891627</v>
      </c>
      <c r="G12107" s="7" t="n">
        <f aca="false">Sens!$E$12107+(glt_win-Sens!$E$12107)*MIN(1,(Sens!G12048-base_fy)/n_conv)</f>
        <v>-0.00211184907113301</v>
      </c>
      <c r="H12107" s="7" t="n">
        <f aca="false">Sens!$E$12107+(glt_win-Sens!$E$12107)*MIN(1,(Sens!H12048-base_fy)/n_conv)</f>
        <v>0.00341611319665024</v>
      </c>
      <c r="I12107" s="7" t="n">
        <f aca="false">Sens!$E$12107+(glt_win-Sens!$E$12107)*MIN(1,(Sens!I12048-base_fy)/n_conv)</f>
        <v>0.00894407546443349</v>
      </c>
      <c r="J12107" s="7" t="n">
        <f aca="false">Sens!$E$12107+(glt_win-Sens!$E$12107)*MIN(1,(Sens!J12048-base_fy)/n_conv)</f>
        <v>0.0144720377322168</v>
      </c>
      <c r="K12107" s="7" t="n">
        <f aca="false">Sens!$E$12107+(glt_win-Sens!$E$12107)*MIN(1,(Sens!K12048-base_fy)/n_conv)</f>
        <v>0.02</v>
      </c>
    </row>
    <row r="12108" customFormat="false" ht="15" hidden="false" customHeight="false" outlineLevel="0" collapsed="false">
      <c r="A12108" s="0" t="s">
        <v>729</v>
      </c>
      <c r="B12108" s="0" t="s">
        <v>98</v>
      </c>
      <c r="D12108" s="6" t="n">
        <f aca="false">Sens!D12102+Sens!D12104+Sens!D12106</f>
        <v>62.941</v>
      </c>
      <c r="E12108" s="6" t="n">
        <f aca="false">Sens!E12102+Sens!E12104+Sens!E12106</f>
        <v>63.712</v>
      </c>
      <c r="F12108" s="6" t="n">
        <f aca="false">Sens!F12102+Sens!F12104+Sens!F12106</f>
        <v>65.1415764563129</v>
      </c>
      <c r="G12108" s="6" t="n">
        <f aca="false">Sens!G12102+Sens!G12104+Sens!G12106</f>
        <v>67.1253610780702</v>
      </c>
      <c r="H12108" s="6" t="n">
        <f aca="false">Sens!H12102+Sens!H12104+Sens!H12106</f>
        <v>69.5768050148776</v>
      </c>
      <c r="I12108" s="6" t="n">
        <f aca="false">Sens!I12102+Sens!I12104+Sens!I12106</f>
        <v>72.4233188088189</v>
      </c>
      <c r="J12108" s="6" t="n">
        <f aca="false">Sens!J12102+Sens!J12104+Sens!J12106</f>
        <v>75.6044096678567</v>
      </c>
      <c r="K12108" s="6" t="n">
        <f aca="false">Sens!K12102+Sens!K12104+Sens!K12106</f>
        <v>79.0714397009747</v>
      </c>
    </row>
    <row r="12109" customFormat="false" ht="15" hidden="false" customHeight="false" outlineLevel="0" collapsed="false">
      <c r="A12109" s="1" t="s">
        <v>890</v>
      </c>
      <c r="B12109" s="0" t="s">
        <v>98</v>
      </c>
      <c r="D12109" s="6" t="n">
        <f aca="false">Sens!D12101+Sens!D12108</f>
        <v>281.724</v>
      </c>
      <c r="E12109" s="6" t="n">
        <f aca="false">Sens!E12101+Sens!E12108</f>
        <v>331.839</v>
      </c>
      <c r="F12109" s="6" t="n">
        <f aca="false">Sens!F12101+Sens!F12108</f>
        <v>393.505009521169</v>
      </c>
      <c r="G12109" s="6" t="n">
        <f aca="false">Sens!G12101+Sens!G12108</f>
        <v>456.395226751344</v>
      </c>
      <c r="H12109" s="6" t="n">
        <f aca="false">Sens!H12101+Sens!H12108</f>
        <v>515.333125886071</v>
      </c>
      <c r="I12109" s="6" t="n">
        <f aca="false">Sens!I12101+Sens!I12108</f>
        <v>577.124545054311</v>
      </c>
      <c r="J12109" s="6" t="n">
        <f aca="false">Sens!J12101+Sens!J12108</f>
        <v>629.320612797378</v>
      </c>
      <c r="K12109" s="6" t="n">
        <f aca="false">Sens!K12101+Sens!K12108</f>
        <v>672.474953890677</v>
      </c>
    </row>
    <row r="12110" customFormat="false" ht="15" hidden="false" customHeight="false" outlineLevel="0" collapsed="false">
      <c r="A12110" s="23" t="s">
        <v>891</v>
      </c>
      <c r="B12110" s="30" t="s">
        <v>98</v>
      </c>
      <c r="C12110" s="30"/>
      <c r="D12110" s="24" t="n">
        <f aca="false">(Sens!D12089+Sens!D12094+Sens!D12095+Sens!D12097+Sens!D12099-Sens!D12101)+(Sens!D12102+Sens!D12104+Sens!D12106-Sens!D12108)+(Sens!D12101-Q!L5)+(Sens!D12108-Q!L12)+(Sens!D12089-Q!L6)+(Sens!D12094-Q!L7)</f>
        <v>0</v>
      </c>
      <c r="E12110" s="24" t="n">
        <f aca="false">(Sens!E12089+Sens!E12094+Sens!E12095+Sens!E12097+Sens!E12099-Sens!E12101)+(Sens!E12102+Sens!E12104+Sens!E12106-Sens!E12108)+(Sens!E12101-Q!M5)+(Sens!E12108-Q!M12)+(Sens!E12089-Q!M6)+(Sens!E12094-Q!M7)</f>
        <v>0</v>
      </c>
      <c r="F12110" s="24" t="n">
        <f aca="false">(Sens!F12089+Sens!F12094+Sens!F12095+Sens!F12097+Sens!F12099-Sens!F12101)+(Sens!F12102+Sens!F12104+Sens!F12106-Sens!F12108)</f>
        <v>0</v>
      </c>
      <c r="G12110" s="24" t="n">
        <f aca="false">(Sens!G12089+Sens!G12094+Sens!G12095+Sens!G12097+Sens!G12099-Sens!G12101)+(Sens!G12102+Sens!G12104+Sens!G12106-Sens!G12108)</f>
        <v>0</v>
      </c>
      <c r="H12110" s="24" t="n">
        <f aca="false">(Sens!H12089+Sens!H12094+Sens!H12095+Sens!H12097+Sens!H12099-Sens!H12101)+(Sens!H12102+Sens!H12104+Sens!H12106-Sens!H12108)</f>
        <v>0</v>
      </c>
      <c r="I12110" s="24" t="n">
        <f aca="false">(Sens!I12089+Sens!I12094+Sens!I12095+Sens!I12097+Sens!I12099-Sens!I12101)+(Sens!I12102+Sens!I12104+Sens!I12106-Sens!I12108)</f>
        <v>0</v>
      </c>
      <c r="J12110" s="24" t="n">
        <f aca="false">(Sens!J12089+Sens!J12094+Sens!J12095+Sens!J12097+Sens!J12099-Sens!J12101)+(Sens!J12102+Sens!J12104+Sens!J12106-Sens!J12108)</f>
        <v>0</v>
      </c>
      <c r="K12110" s="24" t="n">
        <f aca="false">(Sens!K12089+Sens!K12094+Sens!K12095+Sens!K12097+Sens!K12099-Sens!K12101)+(Sens!K12102+Sens!K12104+Sens!K12106-Sens!K12108)</f>
        <v>0</v>
      </c>
    </row>
    <row r="12111" customFormat="false" ht="17.15" hidden="false" customHeight="false" outlineLevel="0" collapsed="false">
      <c r="A12111" s="3" t="s">
        <v>1574</v>
      </c>
    </row>
    <row r="12112" customFormat="false" ht="15" hidden="false" customHeight="false" outlineLevel="0" collapsed="false">
      <c r="A12112" s="4" t="s">
        <v>43</v>
      </c>
      <c r="B12112" s="4" t="s">
        <v>65</v>
      </c>
      <c r="C12112" s="20" t="s">
        <v>799</v>
      </c>
      <c r="D12112" s="20" t="s">
        <v>800</v>
      </c>
      <c r="E12112" s="20" t="s">
        <v>801</v>
      </c>
      <c r="F12112" s="20" t="s">
        <v>802</v>
      </c>
      <c r="G12112" s="20" t="s">
        <v>803</v>
      </c>
      <c r="H12112" s="20" t="s">
        <v>804</v>
      </c>
      <c r="I12112" s="20" t="s">
        <v>805</v>
      </c>
      <c r="J12112" s="20" t="s">
        <v>806</v>
      </c>
      <c r="K12112" s="20" t="s">
        <v>807</v>
      </c>
      <c r="L12112" s="4" t="s">
        <v>47</v>
      </c>
    </row>
    <row r="12113" customFormat="false" ht="15" hidden="false" customHeight="false" outlineLevel="0" collapsed="false">
      <c r="A12113" s="0" t="s">
        <v>877</v>
      </c>
      <c r="B12113" s="0" t="s">
        <v>98</v>
      </c>
      <c r="D12113" s="6" t="n">
        <f aca="false">Sens!D12089</f>
        <v>72.61</v>
      </c>
      <c r="E12113" s="6" t="n">
        <f aca="false">Sens!E12089</f>
        <v>101.938</v>
      </c>
      <c r="F12113" s="6" t="n">
        <f aca="false">Sens!F12089</f>
        <v>140.741861125673</v>
      </c>
      <c r="G12113" s="6" t="n">
        <f aca="false">Sens!G12089</f>
        <v>182.176709135845</v>
      </c>
      <c r="H12113" s="6" t="n">
        <f aca="false">Sens!H12089</f>
        <v>219.167638189678</v>
      </c>
      <c r="I12113" s="6" t="n">
        <f aca="false">Sens!I12089</f>
        <v>259.639871266006</v>
      </c>
      <c r="J12113" s="6" t="n">
        <f aca="false">Sens!J12089</f>
        <v>291.525306025352</v>
      </c>
      <c r="K12113" s="6" t="n">
        <f aca="false">Sens!K12089</f>
        <v>315.009444849526</v>
      </c>
    </row>
    <row r="12114" customFormat="false" ht="17.15" hidden="false" customHeight="false" outlineLevel="0" collapsed="false">
      <c r="A12114" s="0" t="s">
        <v>874</v>
      </c>
      <c r="B12114" s="0" t="s">
        <v>98</v>
      </c>
      <c r="D12114" s="6" t="n">
        <f aca="false">Sens!D12086</f>
        <v>12.9359794422418</v>
      </c>
      <c r="E12114" s="6" t="n">
        <f aca="false">Sens!E12086</f>
        <v>27.8095064661409</v>
      </c>
      <c r="F12114" s="6" t="n">
        <f aca="false">Sens!F12086</f>
        <v>50.6619113883066</v>
      </c>
      <c r="G12114" s="6" t="n">
        <f aca="false">Sens!G12086</f>
        <v>75.1482839325348</v>
      </c>
      <c r="H12114" s="6" t="n">
        <f aca="false">Sens!H12086</f>
        <v>94.895655604042</v>
      </c>
      <c r="I12114" s="6" t="n">
        <f aca="false">Sens!I12086</f>
        <v>118.706168884151</v>
      </c>
      <c r="J12114" s="6" t="n">
        <f aca="false">Sens!J12086</f>
        <v>135.50643871102</v>
      </c>
      <c r="K12114" s="6" t="n">
        <f aca="false">Sens!K12086</f>
        <v>146.509068150048</v>
      </c>
    </row>
    <row r="12115" customFormat="false" ht="17.15" hidden="false" customHeight="false" outlineLevel="0" collapsed="false">
      <c r="A12115" s="0" t="s">
        <v>902</v>
      </c>
      <c r="B12115" s="0" t="s">
        <v>98</v>
      </c>
      <c r="D12115" s="6" t="n">
        <f aca="false">Sens!D12087</f>
        <v>59.6740205577583</v>
      </c>
      <c r="E12115" s="6" t="n">
        <f aca="false">Sens!E12087</f>
        <v>74.1284935338591</v>
      </c>
      <c r="F12115" s="6" t="n">
        <f aca="false">Sens!F12087</f>
        <v>90.0799497373663</v>
      </c>
      <c r="G12115" s="6" t="n">
        <f aca="false">Sens!G12087</f>
        <v>107.02842520331</v>
      </c>
      <c r="H12115" s="6" t="n">
        <f aca="false">Sens!H12087</f>
        <v>124.271982585636</v>
      </c>
      <c r="I12115" s="6" t="n">
        <f aca="false">Sens!I12087</f>
        <v>140.933702381855</v>
      </c>
      <c r="J12115" s="6" t="n">
        <f aca="false">Sens!J12087</f>
        <v>156.018867314332</v>
      </c>
      <c r="K12115" s="6" t="n">
        <f aca="false">Sens!K12087</f>
        <v>168.500376699478</v>
      </c>
    </row>
    <row r="12116" customFormat="false" ht="15" hidden="false" customHeight="false" outlineLevel="0" collapsed="false">
      <c r="A12116" s="0" t="s">
        <v>883</v>
      </c>
      <c r="B12116" s="0" t="s">
        <v>98</v>
      </c>
      <c r="D12116" s="6" t="n">
        <f aca="false">Sens!D12094</f>
        <v>84.605</v>
      </c>
      <c r="E12116" s="6" t="n">
        <f aca="false">Sens!E12094</f>
        <v>100.299</v>
      </c>
      <c r="F12116" s="6" t="n">
        <f aca="false">Sens!F12094</f>
        <v>117.39238776686</v>
      </c>
      <c r="G12116" s="6" t="n">
        <f aca="false">Sens!G12094</f>
        <v>132.544168448684</v>
      </c>
      <c r="H12116" s="6" t="n">
        <f aca="false">Sens!H12094</f>
        <v>147.777359388781</v>
      </c>
      <c r="I12116" s="6" t="n">
        <f aca="false">Sens!I12094</f>
        <v>162.084028071957</v>
      </c>
      <c r="J12116" s="6" t="n">
        <f aca="false">Sens!J12094</f>
        <v>175.182702785465</v>
      </c>
      <c r="K12116" s="6" t="n">
        <f aca="false">Sens!K12094</f>
        <v>187.527991980448</v>
      </c>
    </row>
    <row r="12117" customFormat="false" ht="17.15" hidden="false" customHeight="false" outlineLevel="0" collapsed="false">
      <c r="A12117" s="0" t="s">
        <v>903</v>
      </c>
      <c r="B12117" s="0" t="s">
        <v>98</v>
      </c>
      <c r="D12117" s="6" t="n">
        <f aca="false">Sens!D12092</f>
        <v>83.705</v>
      </c>
      <c r="E12117" s="6" t="n">
        <f aca="false">Sens!E12092</f>
        <v>95.049</v>
      </c>
      <c r="F12117" s="6" t="n">
        <f aca="false">Sens!F12092</f>
        <v>106.89238776686</v>
      </c>
      <c r="G12117" s="6" t="n">
        <f aca="false">Sens!G12092</f>
        <v>119.044168448684</v>
      </c>
      <c r="H12117" s="6" t="n">
        <f aca="false">Sens!H12092</f>
        <v>131.277359388781</v>
      </c>
      <c r="I12117" s="6" t="n">
        <f aca="false">Sens!I12092</f>
        <v>143.334028071957</v>
      </c>
      <c r="J12117" s="6" t="n">
        <f aca="false">Sens!J12092</f>
        <v>154.932702785465</v>
      </c>
      <c r="K12117" s="6" t="n">
        <f aca="false">Sens!K12092</f>
        <v>165.777991980448</v>
      </c>
    </row>
    <row r="12118" customFormat="false" ht="17.15" hidden="false" customHeight="false" outlineLevel="0" collapsed="false">
      <c r="A12118" s="0" t="s">
        <v>904</v>
      </c>
      <c r="B12118" s="0" t="s">
        <v>98</v>
      </c>
      <c r="D12118" s="6" t="n">
        <f aca="false">Sens!D12091</f>
        <v>0.9</v>
      </c>
      <c r="E12118" s="6" t="n">
        <f aca="false">Sens!E12091</f>
        <v>5.25</v>
      </c>
      <c r="F12118" s="6" t="n">
        <f aca="false">Sens!F12091</f>
        <v>10.5</v>
      </c>
      <c r="G12118" s="6" t="n">
        <f aca="false">Sens!G12091</f>
        <v>13.5</v>
      </c>
      <c r="H12118" s="6" t="n">
        <f aca="false">Sens!H12091</f>
        <v>16.5</v>
      </c>
      <c r="I12118" s="6" t="n">
        <f aca="false">Sens!I12091</f>
        <v>18.75</v>
      </c>
      <c r="J12118" s="6" t="n">
        <f aca="false">Sens!J12091</f>
        <v>20.25</v>
      </c>
      <c r="K12118" s="6" t="n">
        <f aca="false">Sens!K12091</f>
        <v>21.75</v>
      </c>
    </row>
    <row r="12119" customFormat="false" ht="15" hidden="false" customHeight="false" outlineLevel="0" collapsed="false">
      <c r="A12119" s="0" t="s">
        <v>884</v>
      </c>
      <c r="B12119" s="0" t="s">
        <v>98</v>
      </c>
      <c r="D12119" s="6" t="n">
        <f aca="false">Sens!D12095</f>
        <v>35.391</v>
      </c>
      <c r="E12119" s="6" t="n">
        <f aca="false">Sens!E12095</f>
        <v>37.285</v>
      </c>
      <c r="F12119" s="6" t="n">
        <f aca="false">Sens!F12095</f>
        <v>39.0720834331704</v>
      </c>
      <c r="G12119" s="6" t="n">
        <f aca="false">Sens!G12095</f>
        <v>40.726562953769</v>
      </c>
      <c r="H12119" s="6" t="n">
        <f aca="false">Sens!H12095</f>
        <v>42.2235987259198</v>
      </c>
      <c r="I12119" s="6" t="n">
        <f aca="false">Sens!I12095</f>
        <v>43.5397988077414</v>
      </c>
      <c r="J12119" s="6" t="n">
        <f aca="false">Sens!J12095</f>
        <v>44.653811225693</v>
      </c>
      <c r="K12119" s="6" t="n">
        <f aca="false">Sens!K12095</f>
        <v>45.5468874502068</v>
      </c>
    </row>
    <row r="12120" customFormat="false" ht="15" hidden="false" customHeight="false" outlineLevel="0" collapsed="false">
      <c r="A12120" s="0" t="s">
        <v>885</v>
      </c>
      <c r="B12120" s="0" t="s">
        <v>98</v>
      </c>
      <c r="D12120" s="6" t="n">
        <f aca="false">Sens!D12097</f>
        <v>18.417</v>
      </c>
      <c r="E12120" s="6" t="n">
        <f aca="false">Sens!E12097</f>
        <v>20.345</v>
      </c>
      <c r="F12120" s="6" t="n">
        <f aca="false">Sens!F12097</f>
        <v>22.3572203267814</v>
      </c>
      <c r="G12120" s="6" t="n">
        <f aca="false">Sens!G12097</f>
        <v>24.4392124437232</v>
      </c>
      <c r="H12120" s="6" t="n">
        <f aca="false">Sens!H12097</f>
        <v>26.5738052080665</v>
      </c>
      <c r="I12120" s="6" t="n">
        <f aca="false">Sens!I12097</f>
        <v>28.7412169166967</v>
      </c>
      <c r="J12120" s="6" t="n">
        <f aca="false">Sens!J12097</f>
        <v>30.9192545395413</v>
      </c>
      <c r="K12120" s="6" t="n">
        <f aca="false">Sens!K12097</f>
        <v>33.0836023573092</v>
      </c>
    </row>
    <row r="12121" customFormat="false" ht="15" hidden="false" customHeight="false" outlineLevel="0" collapsed="false">
      <c r="A12121" s="0" t="s">
        <v>886</v>
      </c>
      <c r="B12121" s="0" t="s">
        <v>98</v>
      </c>
      <c r="D12121" s="6" t="n">
        <f aca="false">Sens!D12099</f>
        <v>7.76</v>
      </c>
      <c r="E12121" s="6" t="n">
        <f aca="false">Sens!E12099</f>
        <v>8.26</v>
      </c>
      <c r="F12121" s="6" t="n">
        <f aca="false">Sens!F12099</f>
        <v>8.79988041237113</v>
      </c>
      <c r="G12121" s="6" t="n">
        <f aca="false">Sens!G12099</f>
        <v>9.38321269125306</v>
      </c>
      <c r="H12121" s="6" t="n">
        <f aca="false">Sens!H12099</f>
        <v>10.0139193587476</v>
      </c>
      <c r="I12121" s="6" t="n">
        <f aca="false">Sens!I12099</f>
        <v>10.6963111830911</v>
      </c>
      <c r="J12121" s="6" t="n">
        <f aca="false">Sens!J12099</f>
        <v>11.4351285534696</v>
      </c>
      <c r="K12121" s="6" t="n">
        <f aca="false">Sens!K12099</f>
        <v>12.2355875522124</v>
      </c>
    </row>
    <row r="12122" customFormat="false" ht="15" hidden="false" customHeight="false" outlineLevel="0" collapsed="false">
      <c r="A12122" s="0" t="s">
        <v>715</v>
      </c>
      <c r="B12122" s="0" t="s">
        <v>98</v>
      </c>
      <c r="D12122" s="6" t="n">
        <f aca="false">Sens!D12101</f>
        <v>218.783</v>
      </c>
      <c r="E12122" s="6" t="n">
        <f aca="false">Sens!E12101</f>
        <v>268.127</v>
      </c>
      <c r="F12122" s="6" t="n">
        <f aca="false">Sens!F12101</f>
        <v>328.363433064856</v>
      </c>
      <c r="G12122" s="6" t="n">
        <f aca="false">Sens!G12101</f>
        <v>389.269865673274</v>
      </c>
      <c r="H12122" s="6" t="n">
        <f aca="false">Sens!H12101</f>
        <v>445.756320871193</v>
      </c>
      <c r="I12122" s="6" t="n">
        <f aca="false">Sens!I12101</f>
        <v>504.701226245492</v>
      </c>
      <c r="J12122" s="6" t="n">
        <f aca="false">Sens!J12101</f>
        <v>553.716203129521</v>
      </c>
      <c r="K12122" s="6" t="n">
        <f aca="false">Sens!K12101</f>
        <v>593.403514189702</v>
      </c>
    </row>
    <row r="12123" customFormat="false" ht="15" hidden="false" customHeight="false" outlineLevel="0" collapsed="false">
      <c r="A12123" s="0" t="s">
        <v>887</v>
      </c>
      <c r="B12123" s="0" t="s">
        <v>98</v>
      </c>
      <c r="D12123" s="6" t="n">
        <f aca="false">Sens!D12102</f>
        <v>22.171</v>
      </c>
      <c r="E12123" s="6" t="n">
        <f aca="false">Sens!E12102</f>
        <v>24.835</v>
      </c>
      <c r="F12123" s="6" t="n">
        <f aca="false">Sens!F12102</f>
        <v>27.6114901218559</v>
      </c>
      <c r="G12123" s="6" t="n">
        <f aca="false">Sens!G12102</f>
        <v>30.4675667338515</v>
      </c>
      <c r="H12123" s="6" t="n">
        <f aca="false">Sens!H12102</f>
        <v>33.3643766955789</v>
      </c>
      <c r="I12123" s="6" t="n">
        <f aca="false">Sens!I12102</f>
        <v>36.2577016533691</v>
      </c>
      <c r="J12123" s="6" t="n">
        <f aca="false">Sens!J12102</f>
        <v>39.0988367952171</v>
      </c>
      <c r="K12123" s="6" t="n">
        <f aca="false">Sens!K12102</f>
        <v>41.8357553708823</v>
      </c>
    </row>
    <row r="12124" customFormat="false" ht="15" hidden="false" customHeight="false" outlineLevel="0" collapsed="false">
      <c r="A12124" s="0" t="s">
        <v>888</v>
      </c>
      <c r="B12124" s="0" t="s">
        <v>98</v>
      </c>
      <c r="D12124" s="6" t="n">
        <f aca="false">Sens!D12104</f>
        <v>23.455</v>
      </c>
      <c r="E12124" s="6" t="n">
        <f aca="false">Sens!E12104</f>
        <v>21.79</v>
      </c>
      <c r="F12124" s="6" t="n">
        <f aca="false">Sens!F12104</f>
        <v>20.5736277908051</v>
      </c>
      <c r="G12124" s="6" t="n">
        <f aca="false">Sens!G12104</f>
        <v>19.7371452817919</v>
      </c>
      <c r="H12124" s="6" t="n">
        <f aca="false">Sens!H12104</f>
        <v>19.2339764043138</v>
      </c>
      <c r="I12124" s="6" t="n">
        <f aca="false">Sens!I12104</f>
        <v>19.0353086852681</v>
      </c>
      <c r="J12124" s="6" t="n">
        <f aca="false">Sens!J12104</f>
        <v>19.1273539319129</v>
      </c>
      <c r="K12124" s="6" t="n">
        <f aca="false">Sens!K12104</f>
        <v>19.5099010105511</v>
      </c>
    </row>
    <row r="12125" customFormat="false" ht="15" hidden="false" customHeight="false" outlineLevel="0" collapsed="false">
      <c r="A12125" s="0" t="s">
        <v>889</v>
      </c>
      <c r="B12125" s="0" t="s">
        <v>98</v>
      </c>
      <c r="D12125" s="6" t="n">
        <f aca="false">Sens!D12106</f>
        <v>17.315</v>
      </c>
      <c r="E12125" s="6" t="n">
        <f aca="false">Sens!E12106</f>
        <v>17.087</v>
      </c>
      <c r="F12125" s="6" t="n">
        <f aca="false">Sens!F12106</f>
        <v>16.9564585436519</v>
      </c>
      <c r="G12125" s="6" t="n">
        <f aca="false">Sens!G12106</f>
        <v>16.9206490624268</v>
      </c>
      <c r="H12125" s="6" t="n">
        <f aca="false">Sens!H12106</f>
        <v>16.9784519149849</v>
      </c>
      <c r="I12125" s="6" t="n">
        <f aca="false">Sens!I12106</f>
        <v>17.1303084701817</v>
      </c>
      <c r="J12125" s="6" t="n">
        <f aca="false">Sens!J12106</f>
        <v>17.3782189407267</v>
      </c>
      <c r="K12125" s="6" t="n">
        <f aca="false">Sens!K12106</f>
        <v>17.7257833195413</v>
      </c>
    </row>
    <row r="12126" customFormat="false" ht="15" hidden="false" customHeight="false" outlineLevel="0" collapsed="false">
      <c r="A12126" s="0" t="s">
        <v>729</v>
      </c>
      <c r="B12126" s="0" t="s">
        <v>98</v>
      </c>
      <c r="D12126" s="6" t="n">
        <f aca="false">Sens!D12108</f>
        <v>62.941</v>
      </c>
      <c r="E12126" s="6" t="n">
        <f aca="false">Sens!E12108</f>
        <v>63.712</v>
      </c>
      <c r="F12126" s="6" t="n">
        <f aca="false">Sens!F12108</f>
        <v>65.1415764563129</v>
      </c>
      <c r="G12126" s="6" t="n">
        <f aca="false">Sens!G12108</f>
        <v>67.1253610780702</v>
      </c>
      <c r="H12126" s="6" t="n">
        <f aca="false">Sens!H12108</f>
        <v>69.5768050148776</v>
      </c>
      <c r="I12126" s="6" t="n">
        <f aca="false">Sens!I12108</f>
        <v>72.4233188088189</v>
      </c>
      <c r="J12126" s="6" t="n">
        <f aca="false">Sens!J12108</f>
        <v>75.6044096678567</v>
      </c>
      <c r="K12126" s="6" t="n">
        <f aca="false">Sens!K12108</f>
        <v>79.0714397009747</v>
      </c>
    </row>
    <row r="12127" customFormat="false" ht="15" hidden="false" customHeight="false" outlineLevel="0" collapsed="false">
      <c r="A12127" s="1" t="s">
        <v>905</v>
      </c>
      <c r="B12127" s="0" t="s">
        <v>98</v>
      </c>
      <c r="D12127" s="6" t="n">
        <f aca="false">Sens!D12109</f>
        <v>281.724</v>
      </c>
      <c r="E12127" s="6" t="n">
        <f aca="false">Sens!E12109</f>
        <v>331.839</v>
      </c>
      <c r="F12127" s="6" t="n">
        <f aca="false">Sens!F12109</f>
        <v>393.505009521169</v>
      </c>
      <c r="G12127" s="6" t="n">
        <f aca="false">Sens!G12109</f>
        <v>456.395226751344</v>
      </c>
      <c r="H12127" s="6" t="n">
        <f aca="false">Sens!H12109</f>
        <v>515.333125886071</v>
      </c>
      <c r="I12127" s="6" t="n">
        <f aca="false">Sens!I12109</f>
        <v>577.124545054311</v>
      </c>
      <c r="J12127" s="6" t="n">
        <f aca="false">Sens!J12109</f>
        <v>629.320612797378</v>
      </c>
      <c r="K12127" s="6" t="n">
        <f aca="false">Sens!K12109</f>
        <v>672.474953890677</v>
      </c>
    </row>
    <row r="12128" customFormat="false" ht="15" hidden="false" customHeight="false" outlineLevel="0" collapsed="false">
      <c r="A12128" s="1" t="s">
        <v>906</v>
      </c>
      <c r="B12128" s="0" t="s">
        <v>129</v>
      </c>
      <c r="E12128" s="7" t="n">
        <f aca="false">Sens!E12127/Sens!D12127-1</f>
        <v>0.177886867998467</v>
      </c>
      <c r="F12128" s="7" t="n">
        <f aca="false">Sens!F12127/Sens!E12127-1</f>
        <v>0.185831109427067</v>
      </c>
      <c r="G12128" s="7" t="n">
        <f aca="false">Sens!G12127/Sens!F12127-1</f>
        <v>0.159820626697237</v>
      </c>
      <c r="H12128" s="7" t="n">
        <f aca="false">Sens!H12127/Sens!G12127-1</f>
        <v>0.129137851756801</v>
      </c>
      <c r="I12128" s="7" t="n">
        <f aca="false">Sens!I12127/Sens!H12127-1</f>
        <v>0.119905777572508</v>
      </c>
      <c r="J12128" s="7" t="n">
        <f aca="false">Sens!J12127/Sens!I12127-1</f>
        <v>0.0904416008474471</v>
      </c>
      <c r="K12128" s="7" t="n">
        <f aca="false">Sens!K12127/Sens!J12127-1</f>
        <v>0.0685729026123501</v>
      </c>
    </row>
    <row r="12129" customFormat="false" ht="17.15" hidden="false" customHeight="false" outlineLevel="0" collapsed="false">
      <c r="A12129" s="23" t="s">
        <v>907</v>
      </c>
      <c r="B12129" s="30" t="s">
        <v>98</v>
      </c>
      <c r="C12129" s="30"/>
      <c r="D12129" s="24" t="n">
        <f aca="false">(Sens!D12122+Sens!D12126-Sens!D12127)+(Sens!D12114+Sens!D12115-Sens!D12113)+(Sens!D12117+Sens!D12118-Sens!D12116)+(Sens!D12127-Q!L18)</f>
        <v>0</v>
      </c>
      <c r="E12129" s="24" t="n">
        <f aca="false">(Sens!E12122+Sens!E12126-Sens!E12127)+(Sens!E12114+Sens!E12115-Sens!E12113)+(Sens!E12117+Sens!E12118-Sens!E12116)+(Sens!E12127-Q!M18)</f>
        <v>0</v>
      </c>
      <c r="F12129" s="24" t="n">
        <f aca="false">(Sens!F12122+Sens!F12126-Sens!F12127)+(Sens!F12114+Sens!F12115-Sens!F12113)+(Sens!F12117+Sens!F12118-Sens!F12116)</f>
        <v>0</v>
      </c>
      <c r="G12129" s="24" t="n">
        <f aca="false">(Sens!G12122+Sens!G12126-Sens!G12127)+(Sens!G12114+Sens!G12115-Sens!G12113)+(Sens!G12117+Sens!G12118-Sens!G12116)</f>
        <v>0</v>
      </c>
      <c r="H12129" s="24" t="n">
        <f aca="false">(Sens!H12122+Sens!H12126-Sens!H12127)+(Sens!H12114+Sens!H12115-Sens!H12113)+(Sens!H12117+Sens!H12118-Sens!H12116)</f>
        <v>0</v>
      </c>
      <c r="I12129" s="24" t="n">
        <f aca="false">(Sens!I12122+Sens!I12126-Sens!I12127)+(Sens!I12114+Sens!I12115-Sens!I12113)+(Sens!I12117+Sens!I12118-Sens!I12116)</f>
        <v>0</v>
      </c>
      <c r="J12129" s="24" t="n">
        <f aca="false">(Sens!J12122+Sens!J12126-Sens!J12127)+(Sens!J12114+Sens!J12115-Sens!J12113)+(Sens!J12117+Sens!J12118-Sens!J12116)</f>
        <v>0</v>
      </c>
      <c r="K12129" s="24" t="n">
        <f aca="false">(Sens!K12122+Sens!K12126-Sens!K12127)+(Sens!K12114+Sens!K12115-Sens!K12113)+(Sens!K12117+Sens!K12118-Sens!K12116)</f>
        <v>0</v>
      </c>
    </row>
    <row r="12130" customFormat="false" ht="17.15" hidden="false" customHeight="false" outlineLevel="0" collapsed="false">
      <c r="A12130" s="0" t="s">
        <v>908</v>
      </c>
      <c r="B12130" s="0" t="s">
        <v>129</v>
      </c>
      <c r="E12130" s="7" t="n">
        <f aca="false">(Q!M21+Sens!E12067+Sens!E12068+Sens!E12069+Sens!E12082-Sens!E12065)/(Q!M5-Sens!E12065)</f>
        <v>0.570957350878296</v>
      </c>
      <c r="F12130" s="7" t="n">
        <f aca="false">Sens!$E$12130+dm_seg_hi</f>
        <v>0.590957350878296</v>
      </c>
      <c r="G12130" s="7" t="n">
        <f aca="false">Sens!$E$12130+dm_seg_hi</f>
        <v>0.590957350878296</v>
      </c>
      <c r="H12130" s="7" t="n">
        <f aca="false">Sens!$E$12130+dm_seg_hi</f>
        <v>0.590957350878296</v>
      </c>
      <c r="I12130" s="7" t="n">
        <f aca="false">Sens!$E$12130+dm_seg_hi</f>
        <v>0.590957350878296</v>
      </c>
      <c r="J12130" s="7" t="n">
        <f aca="false">Sens!$E$12130+dm_seg_hi</f>
        <v>0.590957350878296</v>
      </c>
      <c r="K12130" s="7" t="n">
        <f aca="false">Sens!$E$12130+dm_seg_hi</f>
        <v>0.590957350878296</v>
      </c>
      <c r="L12130" s="11" t="s">
        <v>909</v>
      </c>
    </row>
    <row r="12131" customFormat="false" ht="17.15" hidden="false" customHeight="false" outlineLevel="0" collapsed="false">
      <c r="A12131" s="0" t="s">
        <v>743</v>
      </c>
      <c r="B12131" s="0" t="s">
        <v>98</v>
      </c>
      <c r="D12131" s="6" t="n">
        <f aca="false">Q!L21</f>
        <v>110.814</v>
      </c>
      <c r="E12131" s="6" t="n">
        <f aca="false">Q!M21</f>
        <v>136.365</v>
      </c>
      <c r="F12131" s="6" t="n">
        <f aca="false">Sens!F12130*(Sens!F12101-Sens!F12065)+Sens!F12065-(Sens!F12067+Sens!F12068+Sens!F12069)-Sens!F12082-Sens!F12165</f>
        <v>157.740505526025</v>
      </c>
      <c r="G12131" s="6" t="n">
        <f aca="false">Sens!G12130*(Sens!G12101-Sens!G12065)+Sens!G12065-(Sens!G12067+Sens!G12068+Sens!G12069)-Sens!G12082-Sens!G12165</f>
        <v>167.213486764911</v>
      </c>
      <c r="H12131" s="6" t="n">
        <f aca="false">Sens!H12130*(Sens!H12101-Sens!H12065)+Sens!H12065-(Sens!H12067+Sens!H12068+Sens!H12069)-Sens!H12082-Sens!H12165</f>
        <v>170.315448850562</v>
      </c>
      <c r="I12131" s="6" t="n">
        <f aca="false">Sens!I12130*(Sens!I12101-Sens!I12065)+Sens!I12065-(Sens!I12067+Sens!I12068+Sens!I12069)-Sens!I12082-Sens!I12165</f>
        <v>181.012705586703</v>
      </c>
      <c r="J12131" s="6" t="n">
        <f aca="false">Sens!J12130*(Sens!J12101-Sens!J12065)+Sens!J12065-(Sens!J12067+Sens!J12068+Sens!J12069)-Sens!J12082-Sens!J12165</f>
        <v>192.902038448511</v>
      </c>
      <c r="K12131" s="6" t="n">
        <f aca="false">Sens!K12130*(Sens!K12101-Sens!K12065)+Sens!K12065-(Sens!K12067+Sens!K12068+Sens!K12069)-Sens!K12082-Sens!K12165</f>
        <v>205.996947054397</v>
      </c>
      <c r="L12131" s="1" t="s">
        <v>910</v>
      </c>
    </row>
    <row r="12132" customFormat="false" ht="17.15" hidden="false" customHeight="false" outlineLevel="0" collapsed="false">
      <c r="A12132" s="0" t="s">
        <v>911</v>
      </c>
      <c r="B12132" s="0" t="s">
        <v>129</v>
      </c>
      <c r="E12132" s="7" t="n">
        <f aca="false">Q!M22/Q!M12</f>
        <v>0.296207935710698</v>
      </c>
      <c r="F12132" s="7" t="n">
        <f aca="false">Sens!$E$12132+dm_seg_hi</f>
        <v>0.316207935710698</v>
      </c>
      <c r="G12132" s="7" t="n">
        <f aca="false">Sens!$E$12132+dm_seg_hi</f>
        <v>0.316207935710698</v>
      </c>
      <c r="H12132" s="7" t="n">
        <f aca="false">Sens!$E$12132+dm_seg_hi</f>
        <v>0.316207935710698</v>
      </c>
      <c r="I12132" s="7" t="n">
        <f aca="false">Sens!$E$12132+dm_seg_hi</f>
        <v>0.316207935710698</v>
      </c>
      <c r="J12132" s="7" t="n">
        <f aca="false">Sens!$E$12132+dm_seg_hi</f>
        <v>0.316207935710698</v>
      </c>
      <c r="K12132" s="7" t="n">
        <f aca="false">Sens!$E$12132+dm_seg_hi</f>
        <v>0.316207935710698</v>
      </c>
      <c r="L12132" s="11" t="s">
        <v>912</v>
      </c>
    </row>
    <row r="12133" customFormat="false" ht="17.15" hidden="false" customHeight="false" outlineLevel="0" collapsed="false">
      <c r="A12133" s="0" t="s">
        <v>745</v>
      </c>
      <c r="B12133" s="0" t="s">
        <v>98</v>
      </c>
      <c r="D12133" s="6" t="n">
        <f aca="false">Q!L22</f>
        <v>17.714</v>
      </c>
      <c r="E12133" s="6" t="n">
        <f aca="false">Q!M22</f>
        <v>18.872</v>
      </c>
      <c r="F12133" s="6" t="n">
        <f aca="false">Sens!F12108*Sens!F12132</f>
        <v>20.5982834201913</v>
      </c>
      <c r="G12133" s="6" t="n">
        <f aca="false">Sens!G12108*Sens!G12132</f>
        <v>21.2255718603318</v>
      </c>
      <c r="H12133" s="6" t="n">
        <f aca="false">Sens!H12108*Sens!H12132</f>
        <v>22.0007378871002</v>
      </c>
      <c r="I12133" s="6" t="n">
        <f aca="false">Sens!I12108*Sens!I12132</f>
        <v>22.9008281378544</v>
      </c>
      <c r="J12133" s="6" t="n">
        <f aca="false">Sens!J12108*Sens!J12132</f>
        <v>23.9067143116989</v>
      </c>
      <c r="K12133" s="6" t="n">
        <f aca="false">Sens!K12108*Sens!K12132</f>
        <v>25.0030167215181</v>
      </c>
    </row>
    <row r="12134" customFormat="false" ht="15" hidden="false" customHeight="false" outlineLevel="0" collapsed="false">
      <c r="A12134" s="1" t="s">
        <v>913</v>
      </c>
      <c r="B12134" s="0" t="s">
        <v>98</v>
      </c>
      <c r="D12134" s="6" t="n">
        <f aca="false">Sens!D12131+Sens!D12133</f>
        <v>128.528</v>
      </c>
      <c r="E12134" s="6" t="n">
        <f aca="false">Sens!E12131+Sens!E12133</f>
        <v>155.237</v>
      </c>
      <c r="F12134" s="6" t="n">
        <f aca="false">Sens!F12131+Sens!F12133</f>
        <v>178.338788946216</v>
      </c>
      <c r="G12134" s="6" t="n">
        <f aca="false">Sens!G12131+Sens!G12133</f>
        <v>188.439058625243</v>
      </c>
      <c r="H12134" s="6" t="n">
        <f aca="false">Sens!H12131+Sens!H12133</f>
        <v>192.316186737662</v>
      </c>
      <c r="I12134" s="6" t="n">
        <f aca="false">Sens!I12131+Sens!I12133</f>
        <v>203.913533724558</v>
      </c>
      <c r="J12134" s="6" t="n">
        <f aca="false">Sens!J12131+Sens!J12133</f>
        <v>216.80875276021</v>
      </c>
      <c r="K12134" s="6" t="n">
        <f aca="false">Sens!K12131+Sens!K12133</f>
        <v>230.999963775915</v>
      </c>
    </row>
    <row r="12135" customFormat="false" ht="15" hidden="false" customHeight="false" outlineLevel="0" collapsed="false">
      <c r="A12135" s="23" t="s">
        <v>914</v>
      </c>
      <c r="B12135" s="30" t="s">
        <v>98</v>
      </c>
      <c r="C12135" s="30"/>
      <c r="D12135" s="24" t="n">
        <f aca="false">Sens!D12134-Q!L23</f>
        <v>0</v>
      </c>
      <c r="E12135" s="24" t="n">
        <f aca="false">Sens!E12134-Q!M23</f>
        <v>0</v>
      </c>
      <c r="F12135" s="30"/>
      <c r="G12135" s="30"/>
      <c r="H12135" s="30"/>
      <c r="I12135" s="30"/>
      <c r="J12135" s="30"/>
      <c r="K12135" s="30"/>
    </row>
    <row r="12136" customFormat="false" ht="15" hidden="false" customHeight="false" outlineLevel="0" collapsed="false">
      <c r="A12136" s="1" t="s">
        <v>915</v>
      </c>
      <c r="B12136" s="0" t="s">
        <v>129</v>
      </c>
      <c r="D12136" s="7" t="n">
        <f aca="false">Sens!D12134/Sens!D12127</f>
        <v>0.456219562408598</v>
      </c>
      <c r="E12136" s="7" t="n">
        <f aca="false">Sens!E12134/Sens!E12127</f>
        <v>0.467808184089272</v>
      </c>
      <c r="F12136" s="7" t="n">
        <f aca="false">Sens!F12134/Sens!F12127</f>
        <v>0.45320589225338</v>
      </c>
      <c r="G12136" s="7" t="n">
        <f aca="false">Sens!G12134/Sens!G12127</f>
        <v>0.412885691129082</v>
      </c>
      <c r="H12136" s="7" t="n">
        <f aca="false">Sens!H12134/Sens!H12127</f>
        <v>0.373188093443422</v>
      </c>
      <c r="I12136" s="7" t="n">
        <f aca="false">Sens!I12134/Sens!I12127</f>
        <v>0.353326739387541</v>
      </c>
      <c r="J12136" s="7" t="n">
        <f aca="false">Sens!J12134/Sens!J12127</f>
        <v>0.344512396942599</v>
      </c>
      <c r="K12136" s="7" t="n">
        <f aca="false">Sens!K12134/Sens!K12127</f>
        <v>0.343507163262275</v>
      </c>
    </row>
    <row r="12137" customFormat="false" ht="17.15" hidden="false" customHeight="false" outlineLevel="0" collapsed="false">
      <c r="A12137" s="1" t="s">
        <v>916</v>
      </c>
      <c r="B12137" s="0" t="s">
        <v>98</v>
      </c>
      <c r="F12137" s="6" t="n">
        <f aca="false">Sens!F12152</f>
        <v>10.0503565002727</v>
      </c>
      <c r="G12137" s="6" t="n">
        <f aca="false">Sens!G12152</f>
        <v>26.3389384396555</v>
      </c>
      <c r="H12137" s="6" t="n">
        <f aca="false">Sens!H12152</f>
        <v>44.16149932956</v>
      </c>
      <c r="I12137" s="6" t="n">
        <f aca="false">Sens!I12152</f>
        <v>60.2328524913745</v>
      </c>
      <c r="J12137" s="6" t="n">
        <f aca="false">Sens!J12152</f>
        <v>71.5788124586976</v>
      </c>
      <c r="K12137" s="6" t="n">
        <f aca="false">Sens!K12152</f>
        <v>78.4489222270768</v>
      </c>
      <c r="L12137" s="1" t="s">
        <v>917</v>
      </c>
    </row>
    <row r="12138" customFormat="false" ht="17.15" hidden="false" customHeight="false" outlineLevel="0" collapsed="false">
      <c r="A12138" s="1" t="s">
        <v>918</v>
      </c>
      <c r="B12138" s="0" t="s">
        <v>98</v>
      </c>
      <c r="D12138" s="6" t="n">
        <f aca="false">Sens!D12134</f>
        <v>128.528</v>
      </c>
      <c r="E12138" s="6" t="n">
        <f aca="false">Sens!E12134</f>
        <v>155.237</v>
      </c>
      <c r="F12138" s="6" t="n">
        <f aca="false">Sens!F12134+Sens!F12137</f>
        <v>188.389145446489</v>
      </c>
      <c r="G12138" s="6" t="n">
        <f aca="false">Sens!G12134+Sens!G12137</f>
        <v>214.777997064898</v>
      </c>
      <c r="H12138" s="6" t="n">
        <f aca="false">Sens!H12134+Sens!H12137</f>
        <v>236.477686067222</v>
      </c>
      <c r="I12138" s="6" t="n">
        <f aca="false">Sens!I12134+Sens!I12137</f>
        <v>264.146386215932</v>
      </c>
      <c r="J12138" s="6" t="n">
        <f aca="false">Sens!J12134+Sens!J12137</f>
        <v>288.387565218907</v>
      </c>
      <c r="K12138" s="6" t="n">
        <f aca="false">Sens!K12134+Sens!K12137</f>
        <v>309.448886002992</v>
      </c>
    </row>
    <row r="12139" customFormat="false" ht="17.15" hidden="false" customHeight="false" outlineLevel="0" collapsed="false">
      <c r="A12139" s="1" t="s">
        <v>919</v>
      </c>
      <c r="B12139" s="0" t="s">
        <v>98</v>
      </c>
      <c r="E12139" s="6" t="n">
        <f aca="false">Sens!E12082</f>
        <v>16.3054059770833</v>
      </c>
      <c r="F12139" s="6" t="n">
        <f aca="false">Sens!F12082</f>
        <v>34.0498873809555</v>
      </c>
      <c r="G12139" s="6" t="n">
        <f aca="false">Sens!G12082</f>
        <v>59.1254371105111</v>
      </c>
      <c r="H12139" s="6" t="n">
        <f aca="false">Sens!H12082</f>
        <v>86.3610198433111</v>
      </c>
      <c r="I12139" s="6" t="n">
        <f aca="false">Sens!I12082</f>
        <v>110.605743832393</v>
      </c>
      <c r="J12139" s="6" t="n">
        <f aca="false">Sens!J12082</f>
        <v>127.998322852843</v>
      </c>
      <c r="K12139" s="6" t="n">
        <f aca="false">Sens!K12082</f>
        <v>139.131464044308</v>
      </c>
    </row>
    <row r="12140" customFormat="false" ht="17.15" hidden="false" customHeight="false" outlineLevel="0" collapsed="false">
      <c r="A12140" s="1" t="s">
        <v>920</v>
      </c>
      <c r="B12140" s="0" t="s">
        <v>98</v>
      </c>
      <c r="E12140" s="6" t="n">
        <f aca="false">Sens!E12164</f>
        <v>22.2285940229167</v>
      </c>
      <c r="F12140" s="6" t="n">
        <f aca="false">Sens!F12164</f>
        <v>24.3924470334783</v>
      </c>
      <c r="G12140" s="6" t="n">
        <f aca="false">Sens!G12164</f>
        <v>26.0234916871694</v>
      </c>
      <c r="H12140" s="6" t="n">
        <f aca="false">Sens!H12164</f>
        <v>28.0272938828615</v>
      </c>
      <c r="I12140" s="6" t="n">
        <f aca="false">Sens!I12164</f>
        <v>30.3469045257397</v>
      </c>
      <c r="J12140" s="6" t="n">
        <f aca="false">Sens!J12164</f>
        <v>32.9078053982031</v>
      </c>
      <c r="K12140" s="6" t="n">
        <f aca="false">Sens!K12164</f>
        <v>35.6263951325822</v>
      </c>
    </row>
    <row r="12141" customFormat="false" ht="17.15" hidden="false" customHeight="false" outlineLevel="0" collapsed="false">
      <c r="A12141" s="1" t="s">
        <v>921</v>
      </c>
      <c r="B12141" s="0" t="s">
        <v>98</v>
      </c>
      <c r="D12141" s="6" t="n">
        <f aca="false">Q!L27</f>
        <v>-4.901</v>
      </c>
      <c r="E12141" s="6" t="n">
        <f aca="false">Q!M27</f>
        <v>10.697</v>
      </c>
      <c r="F12141" s="6" t="n">
        <f aca="false">oie_f</f>
        <v>-0.4</v>
      </c>
      <c r="G12141" s="6" t="n">
        <f aca="false">oie_f</f>
        <v>-0.4</v>
      </c>
      <c r="H12141" s="6" t="n">
        <f aca="false">oie_f</f>
        <v>-0.4</v>
      </c>
      <c r="I12141" s="6" t="n">
        <f aca="false">oie_f</f>
        <v>-0.4</v>
      </c>
      <c r="J12141" s="6" t="n">
        <f aca="false">oie_f</f>
        <v>-0.4</v>
      </c>
      <c r="K12141" s="6" t="n">
        <f aca="false">oie_f</f>
        <v>-0.4</v>
      </c>
      <c r="L12141" s="11" t="s">
        <v>922</v>
      </c>
    </row>
    <row r="12142" customFormat="false" ht="15" hidden="false" customHeight="false" outlineLevel="0" collapsed="false">
      <c r="A12142" s="1" t="s">
        <v>923</v>
      </c>
      <c r="B12142" s="0" t="s">
        <v>98</v>
      </c>
      <c r="D12142" s="6" t="n">
        <f aca="false">Sens!D12134+Sens!D12141</f>
        <v>123.627</v>
      </c>
      <c r="E12142" s="6" t="n">
        <f aca="false">Sens!E12134+Sens!E12141</f>
        <v>165.934</v>
      </c>
      <c r="F12142" s="6" t="n">
        <f aca="false">Sens!F12134+Sens!F12141</f>
        <v>177.938788946216</v>
      </c>
      <c r="G12142" s="6" t="n">
        <f aca="false">Sens!G12134+Sens!G12141</f>
        <v>188.039058625243</v>
      </c>
      <c r="H12142" s="6" t="n">
        <f aca="false">Sens!H12134+Sens!H12141</f>
        <v>191.916186737662</v>
      </c>
      <c r="I12142" s="6" t="n">
        <f aca="false">Sens!I12134+Sens!I12141</f>
        <v>203.513533724558</v>
      </c>
      <c r="J12142" s="6" t="n">
        <f aca="false">Sens!J12134+Sens!J12141</f>
        <v>216.40875276021</v>
      </c>
      <c r="K12142" s="6" t="n">
        <f aca="false">Sens!K12134+Sens!K12141</f>
        <v>230.599963775915</v>
      </c>
    </row>
    <row r="12143" customFormat="false" ht="15" hidden="false" customHeight="false" outlineLevel="0" collapsed="false">
      <c r="A12143" s="1" t="s">
        <v>924</v>
      </c>
      <c r="B12143" s="0" t="s">
        <v>98</v>
      </c>
      <c r="D12143" s="6" t="n">
        <f aca="false">Q!L29</f>
        <v>21.795</v>
      </c>
      <c r="E12143" s="6" t="n">
        <f aca="false">Q!M29</f>
        <v>32.185</v>
      </c>
      <c r="F12143" s="6" t="n">
        <f aca="false">Sens!F12142*tax_f</f>
        <v>35.5877577892432</v>
      </c>
      <c r="G12143" s="6" t="n">
        <f aca="false">Sens!G12142*tax_f</f>
        <v>37.6078117250485</v>
      </c>
      <c r="H12143" s="6" t="n">
        <f aca="false">Sens!H12142*tax_f</f>
        <v>38.3832373475323</v>
      </c>
      <c r="I12143" s="6" t="n">
        <f aca="false">Sens!I12142*tax_f</f>
        <v>40.7027067449116</v>
      </c>
      <c r="J12143" s="6" t="n">
        <f aca="false">Sens!J12142*tax_f</f>
        <v>43.2817505520419</v>
      </c>
      <c r="K12143" s="6" t="n">
        <f aca="false">Sens!K12142*tax_f</f>
        <v>46.1199927551831</v>
      </c>
    </row>
    <row r="12144" customFormat="false" ht="15" hidden="false" customHeight="false" outlineLevel="0" collapsed="false">
      <c r="A12144" s="1" t="s">
        <v>925</v>
      </c>
      <c r="B12144" s="0" t="s">
        <v>98</v>
      </c>
      <c r="D12144" s="6" t="n">
        <f aca="false">Sens!D12142-Sens!D12143</f>
        <v>101.832</v>
      </c>
      <c r="E12144" s="6" t="n">
        <f aca="false">Sens!E12142-Sens!E12143</f>
        <v>133.749</v>
      </c>
      <c r="F12144" s="6" t="n">
        <f aca="false">Sens!F12142-Sens!F12143</f>
        <v>142.351031156973</v>
      </c>
      <c r="G12144" s="6" t="n">
        <f aca="false">Sens!G12142-Sens!G12143</f>
        <v>150.431246900194</v>
      </c>
      <c r="H12144" s="6" t="n">
        <f aca="false">Sens!H12142-Sens!H12143</f>
        <v>153.532949390129</v>
      </c>
      <c r="I12144" s="6" t="n">
        <f aca="false">Sens!I12142-Sens!I12143</f>
        <v>162.810826979646</v>
      </c>
      <c r="J12144" s="6" t="n">
        <f aca="false">Sens!J12142-Sens!J12143</f>
        <v>173.127002208168</v>
      </c>
      <c r="K12144" s="6" t="n">
        <f aca="false">Sens!K12142-Sens!K12143</f>
        <v>184.479971020732</v>
      </c>
    </row>
    <row r="12145" customFormat="false" ht="17.15" hidden="false" customHeight="false" outlineLevel="0" collapsed="false">
      <c r="A12145" s="1" t="s">
        <v>926</v>
      </c>
      <c r="B12145" s="1" t="s">
        <v>81</v>
      </c>
      <c r="D12145" s="14" t="n">
        <f aca="false">Q!L31</f>
        <v>7.465</v>
      </c>
      <c r="E12145" s="14" t="n">
        <f aca="false">Q!M31</f>
        <v>7.453</v>
      </c>
      <c r="F12145" s="14" t="n">
        <f aca="false">Sens!F12188</f>
        <v>7.4735</v>
      </c>
      <c r="G12145" s="14" t="n">
        <f aca="false">Sens!G12188</f>
        <v>7.5185</v>
      </c>
      <c r="H12145" s="14" t="n">
        <f aca="false">Sens!H12188</f>
        <v>7.55325502850677</v>
      </c>
      <c r="I12145" s="14" t="n">
        <f aca="false">Sens!I12188</f>
        <v>7.57203930317091</v>
      </c>
      <c r="J12145" s="14" t="n">
        <f aca="false">Sens!J12188</f>
        <v>7.58628081428879</v>
      </c>
      <c r="K12145" s="14" t="n">
        <f aca="false">Sens!K12188</f>
        <v>7.60280073199053</v>
      </c>
    </row>
    <row r="12146" customFormat="false" ht="17.15" hidden="false" customHeight="false" outlineLevel="0" collapsed="false">
      <c r="A12146" s="0" t="s">
        <v>927</v>
      </c>
      <c r="B12146" s="0" t="s">
        <v>75</v>
      </c>
      <c r="D12146" s="8" t="n">
        <f aca="false">Sens!D12144/Sens!D12145</f>
        <v>13.641259209645</v>
      </c>
      <c r="E12146" s="8" t="n">
        <f aca="false">Sens!E12144/Sens!E12145</f>
        <v>17.9456594659869</v>
      </c>
      <c r="F12146" s="8" t="n">
        <f aca="false">Sens!F12144/Sens!F12145</f>
        <v>19.0474384367395</v>
      </c>
      <c r="G12146" s="8" t="n">
        <f aca="false">Sens!G12144/Sens!G12145</f>
        <v>20.0081461594991</v>
      </c>
      <c r="H12146" s="8" t="n">
        <f aca="false">Sens!H12144/Sens!H12145</f>
        <v>20.3267265318965</v>
      </c>
      <c r="I12146" s="8" t="n">
        <f aca="false">Sens!I12144/Sens!I12145</f>
        <v>21.501582395573</v>
      </c>
      <c r="J12146" s="8" t="n">
        <f aca="false">Sens!J12144/Sens!J12145</f>
        <v>22.82106429307</v>
      </c>
      <c r="K12146" s="8" t="n">
        <f aca="false">Sens!K12144/Sens!K12145</f>
        <v>24.2647384199471</v>
      </c>
      <c r="L12146" s="1" t="s">
        <v>928</v>
      </c>
    </row>
    <row r="12147" customFormat="false" ht="17.15" hidden="false" customHeight="false" outlineLevel="0" collapsed="false">
      <c r="A12147" s="1" t="s">
        <v>929</v>
      </c>
      <c r="B12147" s="0" t="s">
        <v>98</v>
      </c>
      <c r="D12147" s="6" t="n">
        <f aca="false">Sens!D12144</f>
        <v>101.832</v>
      </c>
      <c r="E12147" s="6" t="n">
        <f aca="false">Sens!E12144</f>
        <v>133.749</v>
      </c>
      <c r="F12147" s="6" t="n">
        <f aca="false">Sens!F12144+Sens!F12137*(1-tax_f)</f>
        <v>150.391316357191</v>
      </c>
      <c r="G12147" s="6" t="n">
        <f aca="false">Sens!G12144+Sens!G12137*(1-tax_f)</f>
        <v>171.502397651918</v>
      </c>
      <c r="H12147" s="6" t="n">
        <f aca="false">Sens!H12144+Sens!H12137*(1-tax_f)</f>
        <v>188.862148853777</v>
      </c>
      <c r="I12147" s="6" t="n">
        <f aca="false">Sens!I12144+Sens!I12137*(1-tax_f)</f>
        <v>210.997108972746</v>
      </c>
      <c r="J12147" s="6" t="n">
        <f aca="false">Sens!J12144+Sens!J12137*(1-tax_f)</f>
        <v>230.390052175126</v>
      </c>
      <c r="K12147" s="6" t="n">
        <f aca="false">Sens!K12144+Sens!K12137*(1-tax_f)</f>
        <v>247.239108802394</v>
      </c>
    </row>
    <row r="12148" customFormat="false" ht="17.15" hidden="false" customHeight="false" outlineLevel="0" collapsed="false">
      <c r="A12148" s="0" t="s">
        <v>930</v>
      </c>
      <c r="B12148" s="0" t="s">
        <v>75</v>
      </c>
      <c r="D12148" s="8" t="n">
        <f aca="false">Sens!D12147/Sens!D12145</f>
        <v>13.641259209645</v>
      </c>
      <c r="E12148" s="8" t="n">
        <f aca="false">Sens!E12147/Sens!E12145</f>
        <v>17.9456594659869</v>
      </c>
      <c r="F12148" s="8" t="n">
        <f aca="false">Sens!F12147/Sens!F12145</f>
        <v>20.1232777623859</v>
      </c>
      <c r="G12148" s="8" t="n">
        <f aca="false">Sens!G12147/Sens!G12145</f>
        <v>22.8107199111417</v>
      </c>
      <c r="H12148" s="8" t="n">
        <f aca="false">Sens!H12147/Sens!H12145</f>
        <v>25.0040741562402</v>
      </c>
      <c r="I12148" s="8" t="n">
        <f aca="false">Sens!I12147/Sens!I12145</f>
        <v>27.8652950050573</v>
      </c>
      <c r="J12148" s="8" t="n">
        <f aca="false">Sens!J12147/Sens!J12145</f>
        <v>30.3693018773027</v>
      </c>
      <c r="K12148" s="8" t="n">
        <f aca="false">Sens!K12147/Sens!K12145</f>
        <v>32.5194776922244</v>
      </c>
      <c r="L12148" s="1" t="s">
        <v>931</v>
      </c>
    </row>
    <row r="12149" customFormat="false" ht="17.15" hidden="false" customHeight="false" outlineLevel="0" collapsed="false">
      <c r="A12149" s="0" t="s">
        <v>932</v>
      </c>
      <c r="B12149" s="0" t="s">
        <v>129</v>
      </c>
      <c r="E12149" s="7" t="n">
        <f aca="false">Sens!E12148/Sens!D12148-1</f>
        <v>0.315542736208578</v>
      </c>
      <c r="F12149" s="7" t="n">
        <f aca="false">Sens!F12148/Sens!E12148-1</f>
        <v>0.121345125294859</v>
      </c>
      <c r="G12149" s="7" t="n">
        <f aca="false">Sens!G12148/Sens!F12148-1</f>
        <v>0.133548926794574</v>
      </c>
      <c r="H12149" s="7" t="n">
        <f aca="false">Sens!H12148/Sens!G12148-1</f>
        <v>0.0961545384644882</v>
      </c>
      <c r="I12149" s="7" t="n">
        <f aca="false">Sens!I12148/Sens!H12148-1</f>
        <v>0.11443018569448</v>
      </c>
      <c r="J12149" s="7" t="n">
        <f aca="false">Sens!J12148/Sens!I12148-1</f>
        <v>0.0898611291138642</v>
      </c>
      <c r="K12149" s="7" t="n">
        <f aca="false">Sens!K12148/Sens!J12148-1</f>
        <v>0.0708009628805051</v>
      </c>
    </row>
    <row r="12150" customFormat="false" ht="17.15" hidden="false" customHeight="false" outlineLevel="0" collapsed="false">
      <c r="A12150" s="0" t="s">
        <v>856</v>
      </c>
      <c r="B12150" s="0" t="s">
        <v>98</v>
      </c>
      <c r="E12150" s="6" t="n">
        <f aca="false">Sens!E12091</f>
        <v>5.25</v>
      </c>
      <c r="F12150" s="6" t="n">
        <f aca="false">Sens!F12091</f>
        <v>10.5</v>
      </c>
      <c r="G12150" s="6" t="n">
        <f aca="false">Sens!G12091</f>
        <v>13.5</v>
      </c>
      <c r="H12150" s="6" t="n">
        <f aca="false">Sens!H12091</f>
        <v>16.5</v>
      </c>
      <c r="I12150" s="6" t="n">
        <f aca="false">Sens!I12091</f>
        <v>18.75</v>
      </c>
      <c r="J12150" s="6" t="n">
        <f aca="false">Sens!J12091</f>
        <v>20.25</v>
      </c>
      <c r="K12150" s="6" t="n">
        <f aca="false">Sens!K12091</f>
        <v>21.75</v>
      </c>
    </row>
    <row r="12151" customFormat="false" ht="17.15" hidden="false" customHeight="false" outlineLevel="0" collapsed="false">
      <c r="A12151" s="1" t="s">
        <v>857</v>
      </c>
      <c r="B12151" s="0" t="s">
        <v>98</v>
      </c>
      <c r="F12151" s="6" t="n">
        <f aca="false">MAX(0,((Sens!E12054+Sens!F12054)/2-(shadow_base*(Sens!$D$12054+Sens!$E$12054)/2+(1-shadow_base)*Sens!$E$12054))*Sens!F12062/1000-(Sens!F12150-Sens!$E$12150)*Sens!F12130)</f>
        <v>10.0503565002727</v>
      </c>
      <c r="G12151" s="6" t="n">
        <f aca="false">MAX(0,((Sens!F12054+Sens!G12054)/2-(shadow_base*(Sens!$D$12054+Sens!$E$12054)/2+(1-shadow_base)*Sens!$E$12054))*Sens!G12062/1000-(Sens!G12150-Sens!$E$12150)*Sens!G12130)</f>
        <v>26.3389384396555</v>
      </c>
      <c r="H12151" s="6" t="n">
        <f aca="false">MAX(0,((Sens!G12054+Sens!H12054)/2-(shadow_base*(Sens!$D$12054+Sens!$E$12054)/2+(1-shadow_base)*Sens!$E$12054))*Sens!H12062/1000-(Sens!H12150-Sens!$E$12150)*Sens!H12130)</f>
        <v>44.16149932956</v>
      </c>
      <c r="I12151" s="6" t="n">
        <f aca="false">MAX(0,((Sens!H12054+Sens!I12054)/2-(shadow_base*(Sens!$D$12054+Sens!$E$12054)/2+(1-shadow_base)*Sens!$E$12054))*Sens!I12062/1000-(Sens!I12150-Sens!$E$12150)*Sens!I12130)</f>
        <v>60.2328524913745</v>
      </c>
      <c r="J12151" s="6" t="n">
        <f aca="false">MAX(0,((Sens!I12054+Sens!J12054)/2-(shadow_base*(Sens!$D$12054+Sens!$E$12054)/2+(1-shadow_base)*Sens!$E$12054))*Sens!J12062/1000-(Sens!J12150-Sens!$E$12150)*Sens!J12130)</f>
        <v>71.5788124586976</v>
      </c>
      <c r="K12151" s="6" t="n">
        <f aca="false">MAX(0,((Sens!J12054+Sens!K12054)/2-(shadow_base*(Sens!$D$12054+Sens!$E$12054)/2+(1-shadow_base)*Sens!$E$12054))*Sens!K12062/1000-(Sens!K12150-Sens!$E$12150)*Sens!K12130)</f>
        <v>78.4489222270768</v>
      </c>
      <c r="L12151" s="1" t="s">
        <v>858</v>
      </c>
    </row>
    <row r="12152" customFormat="false" ht="17.15" hidden="false" customHeight="false" outlineLevel="0" collapsed="false">
      <c r="A12152" s="1" t="s">
        <v>859</v>
      </c>
      <c r="B12152" s="0" t="s">
        <v>98</v>
      </c>
      <c r="F12152" s="6" t="n">
        <f aca="false">IF(internal_ai_reading=2,1,0)*Sens!F12151</f>
        <v>10.0503565002727</v>
      </c>
      <c r="G12152" s="6" t="n">
        <f aca="false">IF(internal_ai_reading=2,1,0)*Sens!G12151</f>
        <v>26.3389384396555</v>
      </c>
      <c r="H12152" s="6" t="n">
        <f aca="false">IF(internal_ai_reading=2,1,0)*Sens!H12151</f>
        <v>44.16149932956</v>
      </c>
      <c r="I12152" s="6" t="n">
        <f aca="false">IF(internal_ai_reading=2,1,0)*Sens!I12151</f>
        <v>60.2328524913745</v>
      </c>
      <c r="J12152" s="6" t="n">
        <f aca="false">IF(internal_ai_reading=2,1,0)*Sens!J12151</f>
        <v>71.5788124586976</v>
      </c>
      <c r="K12152" s="6" t="n">
        <f aca="false">IF(internal_ai_reading=2,1,0)*Sens!K12151</f>
        <v>78.4489222270768</v>
      </c>
    </row>
    <row r="12153" customFormat="false" ht="17.15" hidden="false" customHeight="false" outlineLevel="0" collapsed="false">
      <c r="A12153" s="0" t="s">
        <v>860</v>
      </c>
      <c r="B12153" s="0" t="s">
        <v>98</v>
      </c>
      <c r="F12153" s="6" t="n">
        <f aca="false">Sens!F12071+Sens!F12150*Sens!F12130+Sens!F12152-Sens!F12072-Sens!F12082</f>
        <v>10.7299363155714</v>
      </c>
      <c r="G12153" s="6" t="n">
        <f aca="false">Sens!G12071+Sens!G12150*Sens!G12130+Sens!G12152-Sens!G12072-Sens!G12082</f>
        <v>16.6572915631234</v>
      </c>
      <c r="H12153" s="6" t="n">
        <f aca="false">Sens!H12071+Sens!H12150*Sens!H12130+Sens!H12152-Sens!H12072-Sens!H12082</f>
        <v>17.5675151247579</v>
      </c>
      <c r="I12153" s="6" t="n">
        <f aca="false">Sens!I12071+Sens!I12150*Sens!I12130+Sens!I12152-Sens!I12072-Sens!I12082</f>
        <v>24.834505792607</v>
      </c>
      <c r="J12153" s="6" t="n">
        <f aca="false">Sens!J12071+Sens!J12150*Sens!J12130+Sens!J12152-Sens!J12072-Sens!J12082</f>
        <v>29.857205312642</v>
      </c>
      <c r="K12153" s="6" t="n">
        <f aca="false">Sens!K12071+Sens!K12150*Sens!K12130+Sens!K12152-Sens!K12072-Sens!K12082</f>
        <v>33.7018759973665</v>
      </c>
    </row>
    <row r="12154" customFormat="false" ht="17.15" hidden="false" customHeight="false" outlineLevel="0" collapsed="false">
      <c r="A12154" s="0" t="s">
        <v>861</v>
      </c>
      <c r="B12154" s="0" t="s">
        <v>98</v>
      </c>
      <c r="E12154" s="6" t="n">
        <f aca="false">Sens!E12053*(cxit_open+self_build*tk_cxfac)/1000*ai_net_open</f>
        <v>126.6980382</v>
      </c>
      <c r="F12154" s="6" t="n">
        <f aca="false">Sens!E12154+Sens!F12079-Sens!F12082</f>
        <v>252.981026690511</v>
      </c>
      <c r="G12154" s="6" t="n">
        <f aca="false">Sens!F12154+Sens!G12079-Sens!G12082</f>
        <v>377.4297700632</v>
      </c>
      <c r="H12154" s="6" t="n">
        <f aca="false">Sens!G12154+Sens!H12079-Sens!H12082</f>
        <v>479.149036130289</v>
      </c>
      <c r="I12154" s="6" t="n">
        <f aca="false">Sens!H12154+Sens!I12079-Sens!I12082</f>
        <v>532.249961452141</v>
      </c>
      <c r="J12154" s="6" t="n">
        <f aca="false">Sens!I12154+Sens!J12079-Sens!J12082</f>
        <v>531.43307519354</v>
      </c>
      <c r="K12154" s="6" t="n">
        <f aca="false">Sens!J12154+Sens!K12079-Sens!K12082</f>
        <v>513.709026452823</v>
      </c>
      <c r="L12154" s="1" t="s">
        <v>862</v>
      </c>
    </row>
    <row r="12155" customFormat="false" ht="17.15" hidden="false" customHeight="false" outlineLevel="0" collapsed="false">
      <c r="A12155" s="0" t="s">
        <v>863</v>
      </c>
      <c r="B12155" s="0" t="s">
        <v>129</v>
      </c>
      <c r="F12155" s="7" t="n">
        <f aca="false">Sens!F12153*(1-tax_f)/((Sens!E12154+Sens!F12154)/2)</f>
        <v>0.0452168678561854</v>
      </c>
      <c r="G12155" s="7" t="n">
        <f aca="false">Sens!G12153*(1-tax_f)/((Sens!F12154+Sens!G12154)/2)</f>
        <v>0.0422766656888487</v>
      </c>
      <c r="H12155" s="7" t="n">
        <f aca="false">Sens!H12153*(1-tax_f)/((Sens!G12154+Sens!H12154)/2)</f>
        <v>0.0328142886519929</v>
      </c>
      <c r="I12155" s="7" t="n">
        <f aca="false">Sens!I12153*(1-tax_f)/((Sens!H12154+Sens!I12154)/2)</f>
        <v>0.0392873726028513</v>
      </c>
      <c r="J12155" s="7" t="n">
        <f aca="false">Sens!J12153*(1-tax_f)/((Sens!I12154+Sens!J12154)/2)</f>
        <v>0.0449114321225565</v>
      </c>
      <c r="K12155" s="7" t="n">
        <f aca="false">Sens!K12153*(1-tax_f)/((Sens!J12154+Sens!K12154)/2)</f>
        <v>0.0515939425948338</v>
      </c>
    </row>
    <row r="12156" customFormat="false" ht="17.15" hidden="false" customHeight="false" outlineLevel="0" collapsed="false">
      <c r="A12156" s="1" t="s">
        <v>864</v>
      </c>
      <c r="B12156" s="0" t="s">
        <v>129</v>
      </c>
      <c r="F12156" s="7" t="n">
        <f aca="false">(Sens!F12153-Sens!F12152)*(1-tax_f)/((Sens!E12154+Sens!F12154)/2)</f>
        <v>0.00286380737055257</v>
      </c>
      <c r="G12156" s="7" t="n">
        <f aca="false">(Sens!G12153-Sens!G12152)*(1-tax_f)/((Sens!F12154+Sens!G12154)/2)</f>
        <v>-0.0245722869630726</v>
      </c>
      <c r="H12156" s="7" t="n">
        <f aca="false">(Sens!H12153-Sens!H12152)*(1-tax_f)/((Sens!G12154+Sens!H12154)/2)</f>
        <v>-0.0496747928153524</v>
      </c>
      <c r="I12156" s="7" t="n">
        <f aca="false">(Sens!I12153-Sens!I12152)*(1-tax_f)/((Sens!H12154+Sens!I12154)/2)</f>
        <v>-0.0559990220016132</v>
      </c>
      <c r="J12156" s="7" t="n">
        <f aca="false">(Sens!J12153-Sens!J12152)*(1-tax_f)/((Sens!I12154+Sens!J12154)/2)</f>
        <v>-0.0627579543283862</v>
      </c>
      <c r="K12156" s="7" t="n">
        <f aca="false">(Sens!K12153-Sens!K12152)*(1-tax_f)/((Sens!J12154+Sens!K12154)/2)</f>
        <v>-0.0685029086999325</v>
      </c>
    </row>
    <row r="12157" customFormat="false" ht="17.15" hidden="false" customHeight="false" outlineLevel="0" collapsed="false">
      <c r="A12157" s="1" t="s">
        <v>865</v>
      </c>
      <c r="B12157" s="0" t="s">
        <v>129</v>
      </c>
      <c r="F12157" s="7" t="n">
        <f aca="false">(Sens!F12153-Sens!F12152+Sens!F12151)*(1-tax_f)/((Sens!E12154+Sens!F12154)/2)</f>
        <v>0.0452168678561854</v>
      </c>
      <c r="G12157" s="7" t="n">
        <f aca="false">(Sens!G12153-Sens!G12152+Sens!G12151)*(1-tax_f)/((Sens!F12154+Sens!G12154)/2)</f>
        <v>0.0422766656888487</v>
      </c>
      <c r="H12157" s="7" t="n">
        <f aca="false">(Sens!H12153-Sens!H12152+Sens!H12151)*(1-tax_f)/((Sens!G12154+Sens!H12154)/2)</f>
        <v>0.0328142886519929</v>
      </c>
      <c r="I12157" s="7" t="n">
        <f aca="false">(Sens!I12153-Sens!I12152+Sens!I12151)*(1-tax_f)/((Sens!H12154+Sens!I12154)/2)</f>
        <v>0.0392873726028513</v>
      </c>
      <c r="J12157" s="7" t="n">
        <f aca="false">(Sens!J12153-Sens!J12152+Sens!J12151)*(1-tax_f)/((Sens!I12154+Sens!J12154)/2)</f>
        <v>0.0449114321225565</v>
      </c>
      <c r="K12157" s="7" t="n">
        <f aca="false">(Sens!K12153-Sens!K12152+Sens!K12151)*(1-tax_f)/((Sens!J12154+Sens!K12154)/2)</f>
        <v>0.0515939425948338</v>
      </c>
    </row>
    <row r="12158" customFormat="false" ht="17.15" hidden="false" customHeight="false" outlineLevel="0" collapsed="false">
      <c r="A12158" s="1" t="s">
        <v>866</v>
      </c>
      <c r="B12158" s="0" t="s">
        <v>129</v>
      </c>
      <c r="F12158" s="7" t="n">
        <f aca="false">Sens!F12083*(1-tax_f)/(Sens!F12070*(Sens!E12154+Sens!F12154)/2)</f>
        <v>0.102735279953254</v>
      </c>
      <c r="G12158" s="7" t="n">
        <f aca="false">Sens!G12083*(1-tax_f)/(Sens!G12070*(Sens!F12154+Sens!G12154)/2)</f>
        <v>0.0709600152423962</v>
      </c>
      <c r="H12158" s="7" t="n">
        <f aca="false">Sens!H12083*(1-tax_f)/(Sens!H12070*(Sens!G12154+Sens!H12154)/2)</f>
        <v>0.0419126501774916</v>
      </c>
      <c r="I12158" s="7" t="n">
        <f aca="false">Sens!I12083*(1-tax_f)/(Sens!I12070*(Sens!H12154+Sens!I12154)/2)</f>
        <v>0.044576811268173</v>
      </c>
      <c r="J12158" s="7" t="n">
        <f aca="false">Sens!J12083*(1-tax_f)/(Sens!J12070*(Sens!I12154+Sens!J12154)/2)</f>
        <v>0.0483882076863038</v>
      </c>
      <c r="K12158" s="7" t="n">
        <f aca="false">Sens!K12083*(1-tax_f)/(Sens!K12070*(Sens!J12154+Sens!K12154)/2)</f>
        <v>0.0544871874286225</v>
      </c>
    </row>
    <row r="12159" customFormat="false" ht="17.15" hidden="false" customHeight="false" outlineLevel="0" collapsed="false">
      <c r="A12159" s="0" t="s">
        <v>867</v>
      </c>
      <c r="B12159" s="0" t="s">
        <v>209</v>
      </c>
      <c r="F12159" s="7" t="n">
        <f aca="false">Sens!F12155-wacc</f>
        <v>-0.0577175522366904</v>
      </c>
      <c r="G12159" s="7" t="n">
        <f aca="false">Sens!G12155-wacc</f>
        <v>-0.0606577544040271</v>
      </c>
      <c r="H12159" s="7" t="n">
        <f aca="false">Sens!H12155-wacc</f>
        <v>-0.0701201314408829</v>
      </c>
      <c r="I12159" s="7" t="n">
        <f aca="false">Sens!I12155-wacc</f>
        <v>-0.0636470474900244</v>
      </c>
      <c r="J12159" s="7" t="n">
        <f aca="false">Sens!J12155-wacc</f>
        <v>-0.0580229879703193</v>
      </c>
      <c r="K12159" s="7" t="n">
        <f aca="false">Sens!K12155-wacc</f>
        <v>-0.051340477498042</v>
      </c>
    </row>
    <row r="12160" customFormat="false" ht="17.15" hidden="false" customHeight="false" outlineLevel="0" collapsed="false">
      <c r="A12160" s="0" t="s">
        <v>868</v>
      </c>
      <c r="B12160" s="0" t="s">
        <v>98</v>
      </c>
      <c r="F12160" s="6" t="n">
        <f aca="false">Sens!F12153*(1-tax_f)-wacc*(Sens!E12154+Sens!F12154)/2</f>
        <v>-10.9570731304979</v>
      </c>
      <c r="G12160" s="6" t="n">
        <f aca="false">Sens!G12153*(1-tax_f)-wacc*(Sens!F12154+Sens!G12154)/2</f>
        <v>-19.1196516415668</v>
      </c>
      <c r="H12160" s="6" t="n">
        <f aca="false">Sens!H12153*(1-tax_f)-wacc*(Sens!G12154+Sens!H12154)/2</f>
        <v>-30.031709239881</v>
      </c>
      <c r="I12160" s="6" t="n">
        <f aca="false">Sens!I12153*(1-tax_f)-wacc*(Sens!H12154+Sens!I12154)/2</f>
        <v>-32.186280015246</v>
      </c>
      <c r="J12160" s="6" t="n">
        <f aca="false">Sens!J12153*(1-tax_f)-wacc*(Sens!I12154+Sens!J12154)/2</f>
        <v>-30.8590340197625</v>
      </c>
      <c r="K12160" s="6" t="n">
        <f aca="false">Sens!K12153*(1-tax_f)-wacc*(Sens!J12154+Sens!K12154)/2</f>
        <v>-26.8290472759157</v>
      </c>
    </row>
    <row r="12161" customFormat="false" ht="17.15" hidden="false" customHeight="false" outlineLevel="0" collapsed="false">
      <c r="A12161" s="3" t="s">
        <v>1575</v>
      </c>
    </row>
    <row r="12162" customFormat="false" ht="15" hidden="false" customHeight="false" outlineLevel="0" collapsed="false">
      <c r="A12162" s="4" t="s">
        <v>43</v>
      </c>
      <c r="B12162" s="4" t="s">
        <v>65</v>
      </c>
      <c r="C12162" s="20" t="s">
        <v>799</v>
      </c>
      <c r="D12162" s="20" t="s">
        <v>800</v>
      </c>
      <c r="E12162" s="20" t="s">
        <v>801</v>
      </c>
      <c r="F12162" s="20" t="s">
        <v>802</v>
      </c>
      <c r="G12162" s="20" t="s">
        <v>803</v>
      </c>
      <c r="H12162" s="20" t="s">
        <v>804</v>
      </c>
      <c r="I12162" s="20" t="s">
        <v>805</v>
      </c>
      <c r="J12162" s="20" t="s">
        <v>806</v>
      </c>
      <c r="K12162" s="20" t="s">
        <v>807</v>
      </c>
      <c r="L12162" s="4" t="s">
        <v>47</v>
      </c>
    </row>
    <row r="12163" customFormat="false" ht="15" hidden="false" customHeight="false" outlineLevel="0" collapsed="false">
      <c r="A12163" s="1" t="s">
        <v>925</v>
      </c>
      <c r="B12163" s="0" t="s">
        <v>98</v>
      </c>
      <c r="F12163" s="6" t="n">
        <f aca="false">Sens!F12144</f>
        <v>142.351031156973</v>
      </c>
      <c r="G12163" s="6" t="n">
        <f aca="false">Sens!G12144</f>
        <v>150.431246900194</v>
      </c>
      <c r="H12163" s="6" t="n">
        <f aca="false">Sens!H12144</f>
        <v>153.532949390129</v>
      </c>
      <c r="I12163" s="6" t="n">
        <f aca="false">Sens!I12144</f>
        <v>162.810826979646</v>
      </c>
      <c r="J12163" s="6" t="n">
        <f aca="false">Sens!J12144</f>
        <v>173.127002208168</v>
      </c>
      <c r="K12163" s="6" t="n">
        <f aca="false">Sens!K12144</f>
        <v>184.479971020732</v>
      </c>
    </row>
    <row r="12164" customFormat="false" ht="17.15" hidden="false" customHeight="false" outlineLevel="0" collapsed="false">
      <c r="A12164" s="1" t="s">
        <v>947</v>
      </c>
      <c r="B12164" s="0" t="s">
        <v>98</v>
      </c>
      <c r="E12164" s="6" t="n">
        <f aca="false">Q!M38-Sens!E12082</f>
        <v>22.2285940229167</v>
      </c>
      <c r="F12164" s="6" t="n">
        <f aca="false">Sens!E12164*(1-1/life_nonai)+(Sens!F12171+Sens!F12172)/life_nonai</f>
        <v>24.3924470334783</v>
      </c>
      <c r="G12164" s="6" t="n">
        <f aca="false">Sens!F12164*(1-1/life_nonai)+(Sens!G12171)/life_nonai</f>
        <v>26.0234916871694</v>
      </c>
      <c r="H12164" s="6" t="n">
        <f aca="false">Sens!G12164*(1-1/life_nonai)+(Sens!H12171)/life_nonai</f>
        <v>28.0272938828615</v>
      </c>
      <c r="I12164" s="6" t="n">
        <f aca="false">Sens!H12164*(1-1/life_nonai)+(Sens!I12171)/life_nonai</f>
        <v>30.3469045257397</v>
      </c>
      <c r="J12164" s="6" t="n">
        <f aca="false">Sens!I12164*(1-1/life_nonai)+(Sens!J12171)/life_nonai</f>
        <v>32.9078053982031</v>
      </c>
      <c r="K12164" s="6" t="n">
        <f aca="false">Sens!J12164*(1-1/life_nonai)+(Sens!K12171)/life_nonai</f>
        <v>35.6263951325822</v>
      </c>
      <c r="L12164" s="11" t="s">
        <v>948</v>
      </c>
    </row>
    <row r="12165" customFormat="false" ht="17.15" hidden="false" customHeight="false" outlineLevel="0" collapsed="false">
      <c r="A12165" s="1" t="s">
        <v>949</v>
      </c>
      <c r="B12165" s="0" t="s">
        <v>98</v>
      </c>
      <c r="F12165" s="6" t="n">
        <f aca="false">Sens!$F$12172/life_nonai*(1-1/life_nonai)^(Sens!F12048-2027)</f>
        <v>0.843777689897088</v>
      </c>
      <c r="G12165" s="6" t="n">
        <f aca="false">Sens!$F$12172/life_nonai*(1-1/life_nonai)^(Sens!G12048-2027)</f>
        <v>0.759399920907379</v>
      </c>
      <c r="H12165" s="6" t="n">
        <f aca="false">Sens!$F$12172/life_nonai*(1-1/life_nonai)^(Sens!H12048-2027)</f>
        <v>0.683459928816641</v>
      </c>
      <c r="I12165" s="6" t="n">
        <f aca="false">Sens!$F$12172/life_nonai*(1-1/life_nonai)^(Sens!I12048-2027)</f>
        <v>0.615113935934977</v>
      </c>
      <c r="J12165" s="6" t="n">
        <f aca="false">Sens!$F$12172/life_nonai*(1-1/life_nonai)^(Sens!J12048-2027)</f>
        <v>0.55360254234148</v>
      </c>
      <c r="K12165" s="6" t="n">
        <f aca="false">Sens!$F$12172/life_nonai*(1-1/life_nonai)^(Sens!K12048-2027)</f>
        <v>0.498242288107332</v>
      </c>
      <c r="L12165" s="1" t="s">
        <v>950</v>
      </c>
    </row>
    <row r="12166" customFormat="false" ht="17.15" hidden="false" customHeight="false" outlineLevel="0" collapsed="false">
      <c r="A12166" s="1" t="s">
        <v>951</v>
      </c>
      <c r="B12166" s="0" t="s">
        <v>98</v>
      </c>
      <c r="E12166" s="6" t="n">
        <f aca="false">Sens!E12082+Sens!E12164</f>
        <v>38.534</v>
      </c>
      <c r="F12166" s="6" t="n">
        <f aca="false">Sens!F12082+Sens!F12164</f>
        <v>58.4423344144339</v>
      </c>
      <c r="G12166" s="6" t="n">
        <f aca="false">Sens!G12082+Sens!G12164</f>
        <v>85.1489287976805</v>
      </c>
      <c r="H12166" s="6" t="n">
        <f aca="false">Sens!H12082+Sens!H12164</f>
        <v>114.388313726173</v>
      </c>
      <c r="I12166" s="6" t="n">
        <f aca="false">Sens!I12082+Sens!I12164</f>
        <v>140.952648358132</v>
      </c>
      <c r="J12166" s="6" t="n">
        <f aca="false">Sens!J12082+Sens!J12164</f>
        <v>160.906128251046</v>
      </c>
      <c r="K12166" s="6" t="n">
        <f aca="false">Sens!K12082+Sens!K12164</f>
        <v>174.75785917689</v>
      </c>
    </row>
    <row r="12167" customFormat="false" ht="17.15" hidden="false" customHeight="false" outlineLevel="0" collapsed="false">
      <c r="A12167" s="1" t="s">
        <v>952</v>
      </c>
      <c r="B12167" s="0" t="s">
        <v>98</v>
      </c>
      <c r="F12167" s="6" t="n">
        <f aca="false">Sens!F12109*sbc_r</f>
        <v>14.7102349124428</v>
      </c>
      <c r="G12167" s="6" t="n">
        <f aca="false">Sens!G12109*sbc_r</f>
        <v>17.061233875013</v>
      </c>
      <c r="H12167" s="6" t="n">
        <f aca="false">Sens!H12109*sbc_r</f>
        <v>19.2644849659525</v>
      </c>
      <c r="I12167" s="6" t="n">
        <f aca="false">Sens!I12109*sbc_r</f>
        <v>21.5744080153289</v>
      </c>
      <c r="J12167" s="6" t="n">
        <f aca="false">Sens!J12109*sbc_r</f>
        <v>23.5256320135712</v>
      </c>
      <c r="K12167" s="6" t="n">
        <f aca="false">Sens!K12109*sbc_r</f>
        <v>25.1388528865318</v>
      </c>
    </row>
    <row r="12168" customFormat="false" ht="17.15" hidden="false" customHeight="false" outlineLevel="0" collapsed="false">
      <c r="A12168" s="1" t="s">
        <v>953</v>
      </c>
      <c r="B12168" s="0" t="s">
        <v>98</v>
      </c>
      <c r="F12168" s="6" t="n">
        <f aca="false">wc27</f>
        <v>-4.895</v>
      </c>
      <c r="G12168" s="6" t="n">
        <f aca="false">wc_f</f>
        <v>0</v>
      </c>
      <c r="H12168" s="6" t="n">
        <f aca="false">wc_f</f>
        <v>0</v>
      </c>
      <c r="I12168" s="6" t="n">
        <f aca="false">wc_f</f>
        <v>0</v>
      </c>
      <c r="J12168" s="6" t="n">
        <f aca="false">wc_f</f>
        <v>0</v>
      </c>
      <c r="K12168" s="6" t="n">
        <f aca="false">wc_f</f>
        <v>0</v>
      </c>
      <c r="L12168" s="11" t="s">
        <v>954</v>
      </c>
    </row>
    <row r="12169" customFormat="false" ht="15" hidden="false" customHeight="false" outlineLevel="0" collapsed="false">
      <c r="A12169" s="1" t="s">
        <v>767</v>
      </c>
      <c r="B12169" s="0" t="s">
        <v>98</v>
      </c>
      <c r="E12169" s="6" t="n">
        <f aca="false">Q!M35</f>
        <v>182.935</v>
      </c>
      <c r="F12169" s="6" t="n">
        <f aca="false">Sens!F12163+Sens!F12166+Sens!F12167+Sens!F12168</f>
        <v>210.608600483849</v>
      </c>
      <c r="G12169" s="6" t="n">
        <f aca="false">Sens!G12163+Sens!G12166+Sens!G12167+Sens!G12168</f>
        <v>252.641409572888</v>
      </c>
      <c r="H12169" s="6" t="n">
        <f aca="false">Sens!H12163+Sens!H12166+Sens!H12167+Sens!H12168</f>
        <v>287.185748082254</v>
      </c>
      <c r="I12169" s="6" t="n">
        <f aca="false">Sens!I12163+Sens!I12166+Sens!I12167+Sens!I12168</f>
        <v>325.337883353108</v>
      </c>
      <c r="J12169" s="6" t="n">
        <f aca="false">Sens!J12163+Sens!J12166+Sens!J12167+Sens!J12168</f>
        <v>357.558762472785</v>
      </c>
      <c r="K12169" s="6" t="n">
        <f aca="false">Sens!K12163+Sens!K12166+Sens!K12167+Sens!K12168</f>
        <v>384.376683084154</v>
      </c>
    </row>
    <row r="12170" customFormat="false" ht="17.15" hidden="false" customHeight="false" outlineLevel="0" collapsed="false">
      <c r="A12170" s="0" t="s">
        <v>955</v>
      </c>
      <c r="B12170" s="0" t="s">
        <v>98</v>
      </c>
      <c r="F12170" s="6" t="n">
        <f aca="false">Sens!F12079</f>
        <v>160.332875871467</v>
      </c>
      <c r="G12170" s="6" t="n">
        <f aca="false">Sens!G12079</f>
        <v>183.5741804832</v>
      </c>
      <c r="H12170" s="6" t="n">
        <f aca="false">Sens!H12079</f>
        <v>188.0802859104</v>
      </c>
      <c r="I12170" s="6" t="n">
        <f aca="false">Sens!I12079</f>
        <v>163.706669154245</v>
      </c>
      <c r="J12170" s="6" t="n">
        <f aca="false">Sens!J12079</f>
        <v>127.181436594242</v>
      </c>
      <c r="K12170" s="6" t="n">
        <f aca="false">Sens!K12079</f>
        <v>121.407415303591</v>
      </c>
    </row>
    <row r="12171" customFormat="false" ht="17.15" hidden="false" customHeight="false" outlineLevel="0" collapsed="false">
      <c r="A12171" s="1" t="s">
        <v>956</v>
      </c>
      <c r="B12171" s="0" t="s">
        <v>98</v>
      </c>
      <c r="E12171" s="6" t="n">
        <f aca="false">Sens!E12087*cx_azo+Sens!E12094*cx_m365+Sens!E12095*cx_lic+(Sens!E12097+Sens!E12099)*cx_ind+Sens!E12102*cx_srch+(Sens!E12104+Sens!E12106)*cx_dev</f>
        <v>30.1846587067718</v>
      </c>
      <c r="F12171" s="6" t="n">
        <f aca="false">Sens!F12087*cx_azo+Sens!F12094*cx_m365+Sens!F12095*cx_lic+(Sens!F12097+Sens!F12099)*cx_ind+Sens!F12102*cx_srch+(Sens!F12104+Sens!F12106)*cx_dev</f>
        <v>35.4293472295625</v>
      </c>
      <c r="G12171" s="6" t="n">
        <f aca="false">Sens!G12087*cx_azo+Sens!G12094*cx_m365+Sens!G12095*cx_lic+(Sens!G12097+Sens!G12099)*cx_ind+Sens!G12102*cx_srch+(Sens!G12104+Sens!G12106)*cx_dev</f>
        <v>40.7028935703892</v>
      </c>
      <c r="H12171" s="6" t="n">
        <f aca="false">Sens!H12087*cx_azo+Sens!H12094*cx_m365+Sens!H12095*cx_lic+(Sens!H12097+Sens!H12099)*cx_ind+Sens!H12102*cx_srch+(Sens!H12104+Sens!H12106)*cx_dev</f>
        <v>46.0615136440897</v>
      </c>
      <c r="I12171" s="6" t="n">
        <f aca="false">Sens!I12087*cx_azo+Sens!I12094*cx_m365+Sens!I12095*cx_lic+(Sens!I12097+Sens!I12099)*cx_ind+Sens!I12102*cx_srch+(Sens!I12104+Sens!I12106)*cx_dev</f>
        <v>51.2234003116439</v>
      </c>
      <c r="J12171" s="6" t="n">
        <f aca="false">Sens!J12087*cx_azo+Sens!J12094*cx_m365+Sens!J12095*cx_lic+(Sens!J12097+Sens!J12099)*cx_ind+Sens!J12102*cx_srch+(Sens!J12104+Sens!J12106)*cx_dev</f>
        <v>55.9559132503738</v>
      </c>
      <c r="K12171" s="6" t="n">
        <f aca="false">Sens!K12087*cx_azo+Sens!K12094*cx_m365+Sens!K12095*cx_lic+(Sens!K12097+Sens!K12099)*cx_ind+Sens!K12102*cx_srch+(Sens!K12104+Sens!K12106)*cx_dev</f>
        <v>60.093702741994</v>
      </c>
    </row>
    <row r="12172" customFormat="false" ht="17.15" hidden="false" customHeight="false" outlineLevel="0" collapsed="false">
      <c r="A12172" s="0" t="s">
        <v>957</v>
      </c>
      <c r="B12172" s="0" t="s">
        <v>98</v>
      </c>
      <c r="F12172" s="6" t="n">
        <f aca="false">Sens!F12077</f>
        <v>8.43777689897088</v>
      </c>
      <c r="L12172" s="1" t="s">
        <v>958</v>
      </c>
    </row>
    <row r="12173" customFormat="false" ht="17.15" hidden="false" customHeight="false" outlineLevel="0" collapsed="false">
      <c r="A12173" s="1" t="s">
        <v>959</v>
      </c>
      <c r="B12173" s="0" t="s">
        <v>98</v>
      </c>
      <c r="E12173" s="6" t="n">
        <f aca="false">Q!M42</f>
        <v>145.3</v>
      </c>
      <c r="F12173" s="6" t="n">
        <f aca="false">Sens!F12170+Sens!F12171+Sens!F12172</f>
        <v>204.2</v>
      </c>
      <c r="G12173" s="6" t="n">
        <f aca="false">Sens!G12170+Sens!G12171</f>
        <v>224.277074053589</v>
      </c>
      <c r="H12173" s="6" t="n">
        <f aca="false">Sens!H12170+Sens!H12171</f>
        <v>234.14179955449</v>
      </c>
      <c r="I12173" s="6" t="n">
        <f aca="false">Sens!I12170+Sens!I12171</f>
        <v>214.930069465889</v>
      </c>
      <c r="J12173" s="6" t="n">
        <f aca="false">Sens!J12170+Sens!J12171</f>
        <v>183.137349844616</v>
      </c>
      <c r="K12173" s="6" t="n">
        <f aca="false">Sens!K12170+Sens!K12171</f>
        <v>181.501118045585</v>
      </c>
      <c r="L12173" s="1" t="s">
        <v>960</v>
      </c>
    </row>
    <row r="12174" customFormat="false" ht="15" hidden="false" customHeight="false" outlineLevel="0" collapsed="false">
      <c r="A12174" s="1" t="s">
        <v>961</v>
      </c>
      <c r="B12174" s="0" t="s">
        <v>98</v>
      </c>
      <c r="E12174" s="6" t="n">
        <f aca="false">fl_liab</f>
        <v>66.594</v>
      </c>
      <c r="F12174" s="6" t="n">
        <f aca="false">Sens!E12174-Sens!F12175</f>
        <v>62.46973</v>
      </c>
      <c r="G12174" s="6" t="n">
        <f aca="false">Sens!F12174-Sens!G12175</f>
        <v>57.98686785</v>
      </c>
      <c r="H12174" s="6" t="n">
        <f aca="false">Sens!G12174-Sens!H12175</f>
        <v>53.92827690325</v>
      </c>
      <c r="I12174" s="6" t="n">
        <f aca="false">Sens!H12174-Sens!I12175</f>
        <v>49.7850493638962</v>
      </c>
      <c r="J12174" s="6" t="n">
        <f aca="false">Sens!I12174-Sens!J12175</f>
        <v>45.4823765852716</v>
      </c>
      <c r="K12174" s="6" t="n">
        <f aca="false">Sens!J12174-Sens!K12175</f>
        <v>40.9860835316088</v>
      </c>
    </row>
    <row r="12175" customFormat="false" ht="15" hidden="false" customHeight="false" outlineLevel="0" collapsed="false">
      <c r="A12175" s="1" t="s">
        <v>962</v>
      </c>
      <c r="B12175" s="0" t="s">
        <v>98</v>
      </c>
      <c r="F12175" s="6" t="n">
        <f aca="false">fl_pay_27-Sens!E12174*fl_rate</f>
        <v>4.12427</v>
      </c>
      <c r="G12175" s="6" t="n">
        <f aca="false">fl_pay_28-Sens!F12174*fl_rate</f>
        <v>4.48286215</v>
      </c>
      <c r="H12175" s="6" t="n">
        <f aca="false">fl_pay_29-Sens!G12174*fl_rate</f>
        <v>4.05859094675</v>
      </c>
      <c r="I12175" s="6" t="n">
        <f aca="false">fl_pay_30-Sens!H12174*fl_rate</f>
        <v>4.14322753935375</v>
      </c>
      <c r="J12175" s="6" t="n">
        <f aca="false">fl_pay_31-Sens!I12174*fl_rate</f>
        <v>4.30267277862467</v>
      </c>
      <c r="K12175" s="6" t="n">
        <f aca="false">fl_pay_32-Sens!J12174*fl_rate</f>
        <v>4.49629305366278</v>
      </c>
    </row>
    <row r="12176" customFormat="false" ht="17.15" hidden="false" customHeight="false" outlineLevel="0" collapsed="false">
      <c r="A12176" s="1" t="s">
        <v>963</v>
      </c>
      <c r="B12176" s="0" t="s">
        <v>98</v>
      </c>
      <c r="E12176" s="6" t="n">
        <f aca="false">Q!M35-Q!M36-Q!M43</f>
        <v>63.886</v>
      </c>
      <c r="F12176" s="6" t="n">
        <f aca="false">Sens!F12169-Sens!F12173-Sens!F12175</f>
        <v>2.28433048384945</v>
      </c>
      <c r="G12176" s="6" t="n">
        <f aca="false">Sens!G12169-Sens!G12173-Sens!G12175</f>
        <v>23.8814733692983</v>
      </c>
      <c r="H12176" s="6" t="n">
        <f aca="false">Sens!H12169-Sens!H12173-Sens!H12175</f>
        <v>48.9853575810148</v>
      </c>
      <c r="I12176" s="6" t="n">
        <f aca="false">Sens!I12169-Sens!I12173-Sens!I12175</f>
        <v>106.264586347864</v>
      </c>
      <c r="J12176" s="6" t="n">
        <f aca="false">Sens!J12169-Sens!J12173-Sens!J12175</f>
        <v>170.118739849545</v>
      </c>
      <c r="K12176" s="6" t="n">
        <f aca="false">Sens!K12169-Sens!K12173-Sens!K12175</f>
        <v>198.379271984907</v>
      </c>
      <c r="L12176" s="11" t="s">
        <v>964</v>
      </c>
    </row>
    <row r="12177" customFormat="false" ht="15" hidden="false" customHeight="false" outlineLevel="0" collapsed="false">
      <c r="A12177" s="1" t="s">
        <v>965</v>
      </c>
      <c r="B12177" s="0" t="s">
        <v>75</v>
      </c>
      <c r="F12177" s="8" t="n">
        <f aca="false">dps_27</f>
        <v>3.85</v>
      </c>
      <c r="G12177" s="8" t="n">
        <f aca="false">Sens!F12177*(1+dps_g)</f>
        <v>4.158</v>
      </c>
      <c r="H12177" s="8" t="n">
        <f aca="false">Sens!G12177*(1+dps_g)</f>
        <v>4.49064</v>
      </c>
      <c r="I12177" s="8" t="n">
        <f aca="false">Sens!H12177*(1+dps_g)</f>
        <v>4.8498912</v>
      </c>
      <c r="J12177" s="8" t="n">
        <f aca="false">Sens!I12177*(1+dps_g)</f>
        <v>5.237882496</v>
      </c>
      <c r="K12177" s="8" t="n">
        <f aca="false">Sens!J12177*(1+dps_g)</f>
        <v>5.65691309568</v>
      </c>
    </row>
    <row r="12178" customFormat="false" ht="17.15" hidden="false" customHeight="false" outlineLevel="0" collapsed="false">
      <c r="A12178" s="1" t="s">
        <v>966</v>
      </c>
      <c r="B12178" s="0" t="s">
        <v>98</v>
      </c>
      <c r="E12178" s="6" t="n">
        <f aca="false">Q!M41</f>
        <v>26.445</v>
      </c>
      <c r="F12178" s="6" t="n">
        <f aca="false">Sens!F12177*Sens!E12187</f>
        <v>28.59395</v>
      </c>
      <c r="G12178" s="6" t="n">
        <f aca="false">Sens!G12177*Sens!F12187</f>
        <v>31.068576</v>
      </c>
      <c r="H12178" s="6" t="n">
        <f aca="false">Sens!H12177*Sens!G12187</f>
        <v>33.75614088</v>
      </c>
      <c r="I12178" s="6" t="n">
        <f aca="false">Sens!I12177*Sens!H12187</f>
        <v>36.5755032602215</v>
      </c>
      <c r="J12178" s="6" t="n">
        <f aca="false">Sens!J12177*Sens!I12187</f>
        <v>39.5699423693586</v>
      </c>
      <c r="K12178" s="6" t="n">
        <f aca="false">Sens!K12177*Sens!J12187</f>
        <v>42.8227929842124</v>
      </c>
      <c r="L12178" s="1" t="s">
        <v>967</v>
      </c>
    </row>
    <row r="12179" customFormat="false" ht="15" hidden="false" customHeight="false" outlineLevel="0" collapsed="false">
      <c r="A12179" s="1" t="s">
        <v>968</v>
      </c>
      <c r="B12179" s="0" t="s">
        <v>98</v>
      </c>
      <c r="E12179" s="6" t="n">
        <f aca="false">Sens!E12176-Sens!E12178</f>
        <v>37.441</v>
      </c>
      <c r="F12179" s="6" t="n">
        <f aca="false">Sens!F12176-Sens!F12178</f>
        <v>-26.3096195161505</v>
      </c>
      <c r="G12179" s="6" t="n">
        <f aca="false">Sens!G12176-Sens!G12178</f>
        <v>-7.18710263070168</v>
      </c>
      <c r="H12179" s="6" t="n">
        <f aca="false">Sens!H12176-Sens!H12178</f>
        <v>15.2292167010148</v>
      </c>
      <c r="I12179" s="6" t="n">
        <f aca="false">Sens!I12176-Sens!I12178</f>
        <v>69.6890830876429</v>
      </c>
      <c r="J12179" s="6" t="n">
        <f aca="false">Sens!J12176-Sens!J12178</f>
        <v>130.548797480186</v>
      </c>
      <c r="K12179" s="6" t="n">
        <f aca="false">Sens!K12176-Sens!K12178</f>
        <v>155.556479000695</v>
      </c>
    </row>
    <row r="12180" customFormat="false" ht="15" hidden="false" customHeight="false" outlineLevel="0" collapsed="false">
      <c r="A12180" s="1" t="s">
        <v>969</v>
      </c>
      <c r="B12180" s="0" t="s">
        <v>98</v>
      </c>
      <c r="F12180" s="6" t="n">
        <f aca="false">debt_mat_27</f>
        <v>9.25</v>
      </c>
      <c r="G12180" s="6" t="n">
        <f aca="false">debt_mat_28</f>
        <v>0</v>
      </c>
      <c r="H12180" s="6" t="n">
        <f aca="false">debt_mat_29</f>
        <v>2.001</v>
      </c>
      <c r="I12180" s="6" t="n">
        <f aca="false">debt_mat_30</f>
        <v>0</v>
      </c>
      <c r="J12180" s="6" t="n">
        <f aca="false">debt_mat_31</f>
        <v>0.5</v>
      </c>
      <c r="K12180" s="6" t="n">
        <f aca="false">debt_mat_32</f>
        <v>0</v>
      </c>
    </row>
    <row r="12181" customFormat="false" ht="15" hidden="false" customHeight="false" outlineLevel="0" collapsed="false">
      <c r="A12181" s="1" t="s">
        <v>970</v>
      </c>
      <c r="B12181" s="0" t="s">
        <v>98</v>
      </c>
      <c r="E12181" s="6" t="n">
        <f aca="false">Q!M40</f>
        <v>22.271</v>
      </c>
      <c r="F12181" s="6" t="n">
        <f aca="false">MAX(0,MIN(bb_target,Sens!E12183+Sens!F12179-Sens!F12180-min_cash))</f>
        <v>0</v>
      </c>
      <c r="G12181" s="6" t="n">
        <f aca="false">MAX(0,MIN(bb_target,Sens!F12183+Sens!G12179-Sens!G12180-min_cash))</f>
        <v>0</v>
      </c>
      <c r="H12181" s="6" t="n">
        <f aca="false">MAX(0,MIN(bb_target,Sens!G12183+Sens!H12179-Sens!H12180-min_cash))</f>
        <v>13.2282167010148</v>
      </c>
      <c r="I12181" s="6" t="n">
        <f aca="false">MAX(0,MIN(bb_target,Sens!H12183+Sens!I12179-Sens!I12180-min_cash))</f>
        <v>22.271</v>
      </c>
      <c r="J12181" s="6" t="n">
        <f aca="false">MAX(0,MIN(bb_target,Sens!I12183+Sens!J12179-Sens!J12180-min_cash))</f>
        <v>22.271</v>
      </c>
      <c r="K12181" s="6" t="n">
        <f aca="false">MAX(0,MIN(bb_target,Sens!J12183+Sens!K12179-Sens!K12180-min_cash))</f>
        <v>22.271</v>
      </c>
    </row>
    <row r="12182" customFormat="false" ht="15" hidden="false" customHeight="false" outlineLevel="0" collapsed="false">
      <c r="A12182" s="1" t="s">
        <v>971</v>
      </c>
      <c r="B12182" s="0" t="s">
        <v>98</v>
      </c>
      <c r="F12182" s="6" t="n">
        <f aca="false">MAX(0,min_cash-(Sens!E12183+Sens!F12179-Sens!F12180-Sens!F12181))</f>
        <v>8.71661951615054</v>
      </c>
      <c r="G12182" s="6" t="n">
        <f aca="false">MAX(0,min_cash-(Sens!F12183+Sens!G12179-Sens!G12180-Sens!G12181))</f>
        <v>7.18710263070167</v>
      </c>
      <c r="H12182" s="6" t="n">
        <f aca="false">MAX(0,min_cash-(Sens!G12183+Sens!H12179-Sens!H12180-Sens!H12181))</f>
        <v>0</v>
      </c>
      <c r="I12182" s="6" t="n">
        <f aca="false">MAX(0,min_cash-(Sens!H12183+Sens!I12179-Sens!I12180-Sens!I12181))</f>
        <v>0</v>
      </c>
      <c r="J12182" s="6" t="n">
        <f aca="false">MAX(0,min_cash-(Sens!I12183+Sens!J12179-Sens!J12180-Sens!J12181))</f>
        <v>0</v>
      </c>
      <c r="K12182" s="6" t="n">
        <f aca="false">MAX(0,min_cash-(Sens!J12183+Sens!K12179-Sens!K12180-Sens!K12181))</f>
        <v>0</v>
      </c>
    </row>
    <row r="12183" customFormat="false" ht="15" hidden="false" customHeight="false" outlineLevel="0" collapsed="false">
      <c r="A12183" s="1" t="s">
        <v>972</v>
      </c>
      <c r="B12183" s="0" t="s">
        <v>98</v>
      </c>
      <c r="E12183" s="6" t="n">
        <f aca="false">cash_open</f>
        <v>76.843</v>
      </c>
      <c r="F12183" s="6" t="n">
        <f aca="false">Sens!E12183+Sens!F12179-Sens!F12180-Sens!F12181+Sens!F12182</f>
        <v>50</v>
      </c>
      <c r="G12183" s="6" t="n">
        <f aca="false">Sens!F12183+Sens!G12179-Sens!G12180-Sens!G12181+Sens!G12182</f>
        <v>50</v>
      </c>
      <c r="H12183" s="6" t="n">
        <f aca="false">Sens!G12183+Sens!H12179-Sens!H12180-Sens!H12181+Sens!H12182</f>
        <v>50</v>
      </c>
      <c r="I12183" s="6" t="n">
        <f aca="false">Sens!H12183+Sens!I12179-Sens!I12180-Sens!I12181+Sens!I12182</f>
        <v>97.4180830876429</v>
      </c>
      <c r="J12183" s="6" t="n">
        <f aca="false">Sens!I12183+Sens!J12179-Sens!J12180-Sens!J12181+Sens!J12182</f>
        <v>205.195880567829</v>
      </c>
      <c r="K12183" s="6" t="n">
        <f aca="false">Sens!J12183+Sens!K12179-Sens!K12180-Sens!K12181+Sens!K12182</f>
        <v>338.481359568524</v>
      </c>
    </row>
    <row r="12184" customFormat="false" ht="15" hidden="false" customHeight="false" outlineLevel="0" collapsed="false">
      <c r="A12184" s="1" t="s">
        <v>973</v>
      </c>
      <c r="B12184" s="0" t="s">
        <v>98</v>
      </c>
      <c r="E12184" s="6" t="n">
        <f aca="false">debt_face</f>
        <v>46.136</v>
      </c>
      <c r="F12184" s="6" t="n">
        <f aca="false">Sens!E12184-Sens!F12180+Sens!F12182</f>
        <v>45.6026195161506</v>
      </c>
      <c r="G12184" s="6" t="n">
        <f aca="false">Sens!F12184-Sens!G12180+Sens!G12182</f>
        <v>52.7897221468522</v>
      </c>
      <c r="H12184" s="6" t="n">
        <f aca="false">Sens!G12184-Sens!H12180+Sens!H12182</f>
        <v>50.7887221468522</v>
      </c>
      <c r="I12184" s="6" t="n">
        <f aca="false">Sens!H12184-Sens!I12180+Sens!I12182</f>
        <v>50.7887221468522</v>
      </c>
      <c r="J12184" s="6" t="n">
        <f aca="false">Sens!I12184-Sens!J12180+Sens!J12182</f>
        <v>50.2887221468522</v>
      </c>
      <c r="K12184" s="6" t="n">
        <f aca="false">Sens!J12184-Sens!K12180+Sens!K12182</f>
        <v>50.2887221468522</v>
      </c>
    </row>
    <row r="12185" customFormat="false" ht="15" hidden="false" customHeight="false" outlineLevel="0" collapsed="false">
      <c r="A12185" s="1" t="s">
        <v>974</v>
      </c>
      <c r="B12185" s="0" t="s">
        <v>98</v>
      </c>
      <c r="E12185" s="6" t="n">
        <f aca="false">Sens!E12183-Sens!E12184</f>
        <v>30.707</v>
      </c>
      <c r="F12185" s="6" t="n">
        <f aca="false">Sens!F12183-Sens!F12184</f>
        <v>4.39738048384945</v>
      </c>
      <c r="G12185" s="6" t="n">
        <f aca="false">Sens!G12183-Sens!G12184</f>
        <v>-2.78972214685222</v>
      </c>
      <c r="H12185" s="6" t="n">
        <f aca="false">Sens!H12183-Sens!H12184</f>
        <v>-0.788722146852223</v>
      </c>
      <c r="I12185" s="6" t="n">
        <f aca="false">Sens!I12183-Sens!I12184</f>
        <v>46.6293609407907</v>
      </c>
      <c r="J12185" s="6" t="n">
        <f aca="false">Sens!J12183-Sens!J12184</f>
        <v>154.907158420977</v>
      </c>
      <c r="K12185" s="6" t="n">
        <f aca="false">Sens!K12183-Sens!K12184</f>
        <v>288.192637421671</v>
      </c>
    </row>
    <row r="12186" customFormat="false" ht="15" hidden="false" customHeight="false" outlineLevel="0" collapsed="false">
      <c r="A12186" s="1" t="s">
        <v>975</v>
      </c>
      <c r="B12186" s="0" t="s">
        <v>75</v>
      </c>
      <c r="F12186" s="29" t="n">
        <f aca="false">px*(1+bb_g)^(Sens!F12048-base_fy-mid_yr)</f>
        <v>553.494156066711</v>
      </c>
      <c r="G12186" s="29" t="n">
        <f aca="false">px*(1+bb_g)^(Sens!G12048-base_fy-mid_yr)</f>
        <v>597.773688552047</v>
      </c>
      <c r="H12186" s="29" t="n">
        <f aca="false">px*(1+bb_g)^(Sens!H12048-base_fy-mid_yr)</f>
        <v>645.595583636211</v>
      </c>
      <c r="I12186" s="29" t="n">
        <f aca="false">px*(1+bb_g)^(Sens!I12048-base_fy-mid_yr)</f>
        <v>697.243230327108</v>
      </c>
      <c r="J12186" s="29" t="n">
        <f aca="false">px*(1+bb_g)^(Sens!J12048-base_fy-mid_yr)</f>
        <v>753.022688753277</v>
      </c>
      <c r="K12186" s="29" t="n">
        <f aca="false">px*(1+bb_g)^(Sens!K12048-base_fy-mid_yr)</f>
        <v>813.264503853539</v>
      </c>
    </row>
    <row r="12187" customFormat="false" ht="15" hidden="false" customHeight="false" outlineLevel="0" collapsed="false">
      <c r="A12187" s="1" t="s">
        <v>976</v>
      </c>
      <c r="B12187" s="1" t="s">
        <v>81</v>
      </c>
      <c r="E12187" s="14" t="n">
        <f aca="false">sh_out26</f>
        <v>7.427</v>
      </c>
      <c r="F12187" s="14" t="n">
        <f aca="false">Sens!E12187+sh_iss-Sens!F12181/Sens!F12186</f>
        <v>7.472</v>
      </c>
      <c r="G12187" s="14" t="n">
        <f aca="false">Sens!F12187+sh_iss-Sens!G12181/Sens!G12186</f>
        <v>7.517</v>
      </c>
      <c r="H12187" s="14" t="n">
        <f aca="false">Sens!G12187+sh_iss-Sens!H12181/Sens!H12186</f>
        <v>7.54151005701354</v>
      </c>
      <c r="I12187" s="14" t="n">
        <f aca="false">Sens!H12187+sh_iss-Sens!I12181/Sens!I12186</f>
        <v>7.55456854932827</v>
      </c>
      <c r="J12187" s="14" t="n">
        <f aca="false">Sens!I12187+sh_iss-Sens!J12181/Sens!J12186</f>
        <v>7.56999307924931</v>
      </c>
      <c r="K12187" s="14" t="n">
        <f aca="false">Sens!J12187+sh_iss-Sens!K12181/Sens!K12186</f>
        <v>7.58760838473175</v>
      </c>
    </row>
    <row r="12188" customFormat="false" ht="15" hidden="false" customHeight="false" outlineLevel="0" collapsed="false">
      <c r="A12188" s="1" t="s">
        <v>977</v>
      </c>
      <c r="B12188" s="1" t="s">
        <v>81</v>
      </c>
      <c r="E12188" s="14" t="n">
        <f aca="false">sh_dil26</f>
        <v>7.453</v>
      </c>
      <c r="F12188" s="14" t="n">
        <f aca="false">(Sens!E12187+Sens!F12187)/2+dil_gap</f>
        <v>7.4735</v>
      </c>
      <c r="G12188" s="14" t="n">
        <f aca="false">(Sens!F12187+Sens!G12187)/2+dil_gap</f>
        <v>7.5185</v>
      </c>
      <c r="H12188" s="14" t="n">
        <f aca="false">(Sens!G12187+Sens!H12187)/2+dil_gap</f>
        <v>7.55325502850677</v>
      </c>
      <c r="I12188" s="14" t="n">
        <f aca="false">(Sens!H12187+Sens!I12187)/2+dil_gap</f>
        <v>7.57203930317091</v>
      </c>
      <c r="J12188" s="14" t="n">
        <f aca="false">(Sens!I12187+Sens!J12187)/2+dil_gap</f>
        <v>7.58628081428879</v>
      </c>
      <c r="K12188" s="14" t="n">
        <f aca="false">(Sens!J12187+Sens!K12187)/2+dil_gap</f>
        <v>7.60280073199053</v>
      </c>
    </row>
    <row r="12189" customFormat="false" ht="17.15" hidden="false" customHeight="false" outlineLevel="0" collapsed="false">
      <c r="A12189" s="1" t="s">
        <v>978</v>
      </c>
      <c r="B12189" s="0" t="s">
        <v>98</v>
      </c>
      <c r="C12189" s="6" t="n">
        <f aca="false">SUM(Sens!F12179:J12179)</f>
        <v>181.970375121992</v>
      </c>
    </row>
    <row r="12190" customFormat="false" ht="15" hidden="false" customHeight="false" outlineLevel="0" collapsed="false">
      <c r="A12190" s="23" t="s">
        <v>945</v>
      </c>
      <c r="B12190" s="30" t="s">
        <v>98</v>
      </c>
      <c r="C12190" s="24" t="n">
        <f aca="false">Sens!$C$12189-(Sens!F12179+Sens!G12179+Sens!H12179+Sens!I12179+Sens!J12179)</f>
        <v>0</v>
      </c>
      <c r="D12190" s="30"/>
      <c r="E12190" s="30"/>
      <c r="F12190" s="30"/>
      <c r="G12190" s="30"/>
      <c r="H12190" s="30"/>
      <c r="I12190" s="30"/>
      <c r="J12190" s="30"/>
      <c r="K12190" s="30"/>
    </row>
    <row r="12191" customFormat="false" ht="17.15" hidden="false" customHeight="false" outlineLevel="0" collapsed="false">
      <c r="A12191" s="1" t="s">
        <v>939</v>
      </c>
      <c r="B12191" s="1" t="s">
        <v>979</v>
      </c>
      <c r="C12191" s="32" t="str">
        <f aca="false">IF(SUM(Sens!F12182:J12182)&gt;0.05,"需要舉債 "&amp;TEXT(SUM(Sens!F12182:J12182),"0.0")&amp;" 十億美元","不需舉債")&amp;"；"&amp;IF(SUM(Sens!F12181:J12181)&lt;COUNT(Sens!F12181:J12181)*bb_target-0.05,"回購較每年 "&amp;TEXT(bb_target,"0.0")&amp;" 的目標少 "&amp;TEXT(COUNT(Sens!F12181:J12181)*bb_target-SUM(Sens!F12181:J12181),"0.0")&amp;" 十億美元（"&amp;TEXT(COUNTIF(Sens!F12181:J12181,"&lt;"&amp;(bb_target-0.05)),"0")&amp;" 年減少）","回購不減")</f>
        <v>需要舉債 15.9 十億美元；回購較每年 22.3 的目標少 53.6 十億美元（3 年減少）</v>
      </c>
    </row>
    <row r="12192" customFormat="false" ht="17.15" hidden="false" customHeight="false" outlineLevel="0" collapsed="false">
      <c r="A12192" s="3" t="s">
        <v>1576</v>
      </c>
    </row>
    <row r="12193" customFormat="false" ht="15" hidden="false" customHeight="false" outlineLevel="0" collapsed="false">
      <c r="A12193" s="4" t="s">
        <v>43</v>
      </c>
      <c r="B12193" s="4" t="s">
        <v>65</v>
      </c>
      <c r="C12193" s="20" t="s">
        <v>799</v>
      </c>
      <c r="D12193" s="20" t="s">
        <v>800</v>
      </c>
      <c r="E12193" s="20" t="s">
        <v>801</v>
      </c>
      <c r="F12193" s="20" t="s">
        <v>802</v>
      </c>
      <c r="G12193" s="20" t="s">
        <v>803</v>
      </c>
      <c r="H12193" s="20" t="s">
        <v>804</v>
      </c>
      <c r="I12193" s="20" t="s">
        <v>805</v>
      </c>
      <c r="J12193" s="20" t="s">
        <v>806</v>
      </c>
      <c r="K12193" s="20" t="s">
        <v>807</v>
      </c>
      <c r="L12193" s="4" t="s">
        <v>47</v>
      </c>
    </row>
    <row r="12194" customFormat="false" ht="15" hidden="false" customHeight="false" outlineLevel="0" collapsed="false">
      <c r="A12194" s="1" t="s">
        <v>1057</v>
      </c>
      <c r="B12194" s="1" t="s">
        <v>235</v>
      </c>
      <c r="F12194" s="36" t="n">
        <f aca="false">Sens!F12048-base_fy-mid_yr</f>
        <v>0.5</v>
      </c>
      <c r="G12194" s="36" t="n">
        <f aca="false">Sens!G12048-base_fy-mid_yr</f>
        <v>1.5</v>
      </c>
      <c r="H12194" s="36" t="n">
        <f aca="false">Sens!H12048-base_fy-mid_yr</f>
        <v>2.5</v>
      </c>
      <c r="I12194" s="36" t="n">
        <f aca="false">Sens!I12048-base_fy-mid_yr</f>
        <v>3.5</v>
      </c>
      <c r="J12194" s="36" t="n">
        <f aca="false">Sens!J12048-base_fy-mid_yr</f>
        <v>4.5</v>
      </c>
      <c r="K12194" s="36" t="n">
        <f aca="false">Sens!K12048-base_fy-mid_yr</f>
        <v>5.5</v>
      </c>
    </row>
    <row r="12195" customFormat="false" ht="15" hidden="false" customHeight="false" outlineLevel="0" collapsed="false">
      <c r="A12195" s="1" t="s">
        <v>1058</v>
      </c>
      <c r="B12195" s="0" t="s">
        <v>185</v>
      </c>
      <c r="F12195" s="14" t="n">
        <f aca="false">1/(1+wacc)^Sens!F12194</f>
        <v>0.952193373608246</v>
      </c>
      <c r="G12195" s="14" t="n">
        <f aca="false">1/(1+wacc)^Sens!G12194</f>
        <v>0.863327280626589</v>
      </c>
      <c r="H12195" s="14" t="n">
        <f aca="false">1/(1+wacc)^Sens!H12194</f>
        <v>0.782754862754115</v>
      </c>
      <c r="I12195" s="14" t="n">
        <f aca="false">1/(1+wacc)^Sens!I12194</f>
        <v>0.709702089711011</v>
      </c>
      <c r="J12195" s="14" t="n">
        <f aca="false">1/(1+wacc)^Sens!J12194</f>
        <v>0.643467169744551</v>
      </c>
      <c r="K12195" s="14" t="n">
        <f aca="false">1/(1+wacc)^Sens!K12194</f>
        <v>0.583413807767797</v>
      </c>
    </row>
    <row r="12196" customFormat="false" ht="17.15" hidden="false" customHeight="false" outlineLevel="0" collapsed="false">
      <c r="A12196" s="1" t="s">
        <v>1059</v>
      </c>
      <c r="B12196" s="0" t="s">
        <v>98</v>
      </c>
      <c r="F12196" s="6" t="n">
        <f aca="false">Sens!F12169-Sens!F12167-Sens!F12173+Sens!F12152*(1-tax_f)</f>
        <v>-0.261349228375142</v>
      </c>
      <c r="G12196" s="6" t="n">
        <f aca="false">Sens!G12169-Sens!G12167-Sens!G12173+Sens!G12152*(1-tax_f)</f>
        <v>32.3742523960098</v>
      </c>
      <c r="H12196" s="6" t="n">
        <f aca="false">Sens!H12169-Sens!H12167-Sens!H12173+Sens!H12152*(1-tax_f)</f>
        <v>69.1086630254604</v>
      </c>
      <c r="I12196" s="6" t="n">
        <f aca="false">Sens!I12169-Sens!I12167-Sens!I12173+Sens!I12152*(1-tax_f)</f>
        <v>137.019687864989</v>
      </c>
      <c r="J12196" s="6" t="n">
        <f aca="false">Sens!J12169-Sens!J12167-Sens!J12173+Sens!J12152*(1-tax_f)</f>
        <v>208.158830581556</v>
      </c>
      <c r="K12196" s="6" t="n">
        <f aca="false">Sens!K12169-Sens!K12167-Sens!K12173+Sens!K12152*(1-tax_f)</f>
        <v>240.495849933699</v>
      </c>
      <c r="L12196" s="1" t="s">
        <v>1060</v>
      </c>
    </row>
    <row r="12197" customFormat="false" ht="15" hidden="false" customHeight="false" outlineLevel="0" collapsed="false">
      <c r="A12197" s="1" t="s">
        <v>1061</v>
      </c>
      <c r="B12197" s="0" t="s">
        <v>98</v>
      </c>
      <c r="F12197" s="6" t="n">
        <f aca="false">Sens!F12196*Sens!F12195</f>
        <v>-0.248855003456438</v>
      </c>
      <c r="G12197" s="6" t="n">
        <f aca="false">Sens!G12196*Sens!G12195</f>
        <v>27.9495752833659</v>
      </c>
      <c r="H12197" s="6" t="n">
        <f aca="false">Sens!H12196*Sens!H12195</f>
        <v>54.0951420416146</v>
      </c>
      <c r="I12197" s="6" t="n">
        <f aca="false">Sens!I12196*Sens!I12195</f>
        <v>97.243158809333</v>
      </c>
      <c r="J12197" s="6" t="n">
        <f aca="false">Sens!J12196*Sens!J12195</f>
        <v>133.94337357165</v>
      </c>
      <c r="K12197" s="6" t="n">
        <f aca="false">Sens!K12196*Sens!K12195</f>
        <v>140.308599562172</v>
      </c>
    </row>
    <row r="12198" customFormat="false" ht="17.15" hidden="false" customHeight="false" outlineLevel="0" collapsed="false">
      <c r="A12198" s="1" t="s">
        <v>1062</v>
      </c>
      <c r="B12198" s="0" t="s">
        <v>98</v>
      </c>
      <c r="C12198" s="6" t="n">
        <f aca="false">SUM(Sens!F12197:K12197)</f>
        <v>453.290994264679</v>
      </c>
    </row>
    <row r="12199" customFormat="false" ht="17.15" hidden="false" customHeight="false" outlineLevel="0" collapsed="false">
      <c r="A12199" s="1" t="s">
        <v>1063</v>
      </c>
      <c r="B12199" s="0" t="s">
        <v>98</v>
      </c>
      <c r="C12199" s="6" t="n">
        <f aca="false">Sens!K12138*(1+g_tv)*(1-tax_f)</f>
        <v>254.985882066466</v>
      </c>
    </row>
    <row r="12200" customFormat="false" ht="17.15" hidden="false" customHeight="false" outlineLevel="0" collapsed="false">
      <c r="A12200" s="1" t="s">
        <v>1064</v>
      </c>
      <c r="B12200" s="0" t="s">
        <v>98</v>
      </c>
      <c r="C12200" s="6" t="n">
        <f aca="false">Sens!$C$12199*(1-g_tv/(wacc+ronic_prem))</f>
        <v>180.670833173278</v>
      </c>
    </row>
    <row r="12201" customFormat="false" ht="17.15" hidden="false" customHeight="false" outlineLevel="0" collapsed="false">
      <c r="A12201" s="1" t="s">
        <v>1065</v>
      </c>
      <c r="B12201" s="0" t="s">
        <v>98</v>
      </c>
      <c r="C12201" s="6" t="n">
        <f aca="false">Sens!$C$12200/(wacc-g_tv)</f>
        <v>2477.16829643959</v>
      </c>
    </row>
    <row r="12202" customFormat="false" ht="15" hidden="false" customHeight="false" outlineLevel="0" collapsed="false">
      <c r="A12202" s="1" t="s">
        <v>1066</v>
      </c>
      <c r="B12202" s="0" t="s">
        <v>98</v>
      </c>
      <c r="C12202" s="6" t="n">
        <f aca="false">Sens!$C$12201/(1+wacc)^(Sens!K12194+mid_yr)</f>
        <v>1376.12337355101</v>
      </c>
    </row>
    <row r="12203" customFormat="false" ht="17.15" hidden="false" customHeight="false" outlineLevel="0" collapsed="false">
      <c r="A12203" s="0" t="s">
        <v>986</v>
      </c>
      <c r="B12203" s="0" t="s">
        <v>98</v>
      </c>
      <c r="C12203" s="6" t="n">
        <f aca="false">Sens!$C$12198+Sens!$C$12202</f>
        <v>1829.41436781569</v>
      </c>
    </row>
    <row r="12204" customFormat="false" ht="15" hidden="false" customHeight="false" outlineLevel="0" collapsed="false">
      <c r="A12204" s="1" t="s">
        <v>987</v>
      </c>
      <c r="B12204" s="0" t="s">
        <v>129</v>
      </c>
      <c r="C12204" s="7" t="n">
        <f aca="false">Sens!$C$12202/Sens!$C$12203</f>
        <v>0.752220709403356</v>
      </c>
    </row>
    <row r="12205" customFormat="false" ht="17.15" hidden="false" customHeight="false" outlineLevel="0" collapsed="false">
      <c r="A12205" s="1" t="s">
        <v>1067</v>
      </c>
      <c r="B12205" s="0" t="s">
        <v>98</v>
      </c>
      <c r="C12205" s="6" t="n">
        <f aca="false">Sens!$C$12203+Sens!E12185-Sens!E12174+oai_v</f>
        <v>1963.92736781569</v>
      </c>
    </row>
    <row r="12206" customFormat="false" ht="17.15" hidden="false" customHeight="false" outlineLevel="0" collapsed="false">
      <c r="A12206" s="0" t="s">
        <v>994</v>
      </c>
      <c r="B12206" s="0" t="s">
        <v>75</v>
      </c>
      <c r="C12206" s="5" t="n">
        <f aca="false">Sens!$C$12205/sh_dil26</f>
        <v>263.50830106208</v>
      </c>
    </row>
    <row r="12207" customFormat="false" ht="15" hidden="false" customHeight="false" outlineLevel="0" collapsed="false">
      <c r="A12207" s="1" t="s">
        <v>1068</v>
      </c>
      <c r="B12207" s="0" t="s">
        <v>75</v>
      </c>
      <c r="C12207" s="8" t="n">
        <f aca="false">dps_27+Sens!G12177*roll_div_q/q_per_yr</f>
        <v>4.8895</v>
      </c>
    </row>
    <row r="12208" customFormat="false" ht="17.15" hidden="false" customHeight="false" outlineLevel="0" collapsed="false">
      <c r="A12208" s="0" t="s">
        <v>1069</v>
      </c>
      <c r="B12208" s="0" t="s">
        <v>75</v>
      </c>
      <c r="C12208" s="5" t="n">
        <f aca="false">Sens!$C$12206*(1+wacc)^t_roll-Sens!$C$12207</f>
        <v>295.176200836593</v>
      </c>
    </row>
    <row r="12209" customFormat="false" ht="17.15" hidden="false" customHeight="false" outlineLevel="0" collapsed="false">
      <c r="A12209" s="1" t="s">
        <v>1070</v>
      </c>
      <c r="B12209" s="0" t="s">
        <v>129</v>
      </c>
      <c r="F12209" s="7" t="n">
        <f aca="false">Sens!F12164/(Sens!F12109-Sens!F12065)</f>
        <v>0.0711475516535717</v>
      </c>
      <c r="G12209" s="7" t="n">
        <f aca="false">Sens!G12164/(Sens!G12109-Sens!G12065)</f>
        <v>0.0682588862083999</v>
      </c>
      <c r="H12209" s="7" t="n">
        <f aca="false">Sens!H12164/(Sens!H12109-Sens!H12065)</f>
        <v>0.0666622170094897</v>
      </c>
      <c r="I12209" s="7" t="n">
        <f aca="false">Sens!I12164/(Sens!I12109-Sens!I12065)</f>
        <v>0.0661991449367101</v>
      </c>
      <c r="J12209" s="7" t="n">
        <f aca="false">Sens!J12164/(Sens!J12109-Sens!J12065)</f>
        <v>0.0666400583966394</v>
      </c>
      <c r="K12209" s="7" t="n">
        <f aca="false">Sens!K12164/(Sens!K12109-Sens!K12065)</f>
        <v>0.0677351822588561</v>
      </c>
    </row>
    <row r="12210" customFormat="false" ht="17.15" hidden="false" customHeight="false" outlineLevel="0" collapsed="false">
      <c r="A12210" s="0" t="s">
        <v>1071</v>
      </c>
      <c r="B12210" s="0" t="s">
        <v>98</v>
      </c>
      <c r="F12210" s="6" t="n">
        <f aca="false">Sens!F12094*(al_m365+Sens!F12209+sbc_r)</f>
        <v>83.1760446796226</v>
      </c>
      <c r="G12210" s="6" t="n">
        <f aca="false">Sens!G12094*(al_m365+Sens!G12209+sbc_r)</f>
        <v>93.5286621744803</v>
      </c>
      <c r="H12210" s="6" t="n">
        <f aca="false">Sens!H12094*(al_m365+Sens!H12209+sbc_r)</f>
        <v>104.041881899886</v>
      </c>
      <c r="I12210" s="6" t="n">
        <f aca="false">Sens!I12094*(al_m365+Sens!I12209+sbc_r)</f>
        <v>114.039361049722</v>
      </c>
      <c r="J12210" s="6" t="n">
        <f aca="false">Sens!J12094*(al_m365+Sens!J12209+sbc_r)</f>
        <v>123.332589690985</v>
      </c>
      <c r="K12210" s="6" t="n">
        <f aca="false">Sens!K12094*(al_m365+Sens!K12209+sbc_r)</f>
        <v>132.229319216379</v>
      </c>
      <c r="L12210" s="11" t="s">
        <v>1072</v>
      </c>
    </row>
    <row r="12211" customFormat="false" ht="17.15" hidden="false" customHeight="false" outlineLevel="0" collapsed="false">
      <c r="A12211" s="0" t="s">
        <v>1073</v>
      </c>
      <c r="B12211" s="0" t="s">
        <v>98</v>
      </c>
      <c r="F12211" s="6" t="n">
        <f aca="false">Sens!F12095*(al_lic+Sens!F12209+sbc_r)</f>
        <v>33.5445611735131</v>
      </c>
      <c r="G12211" s="6" t="n">
        <f aca="false">Sens!G12095*(al_lic+Sens!G12209+sbc_r)</f>
        <v>34.8473362891936</v>
      </c>
      <c r="H12211" s="6" t="n">
        <f aca="false">Sens!H12095*(al_lic+Sens!H12209+sbc_r)</f>
        <v>36.0608450618725</v>
      </c>
      <c r="I12211" s="6" t="n">
        <f aca="false">Sens!I12095*(al_lic+Sens!I12209+sbc_r)</f>
        <v>37.1647768367666</v>
      </c>
      <c r="J12211" s="6" t="n">
        <f aca="false">Sens!J12095*(al_lic+Sens!J12209+sbc_r)</f>
        <v>38.1353659513221</v>
      </c>
      <c r="K12211" s="6" t="n">
        <f aca="false">Sens!K12095*(al_lic+Sens!K12209+sbc_r)</f>
        <v>38.9479527536449</v>
      </c>
    </row>
    <row r="12212" customFormat="false" ht="17.15" hidden="false" customHeight="false" outlineLevel="0" collapsed="false">
      <c r="A12212" s="0" t="s">
        <v>1074</v>
      </c>
      <c r="B12212" s="0" t="s">
        <v>98</v>
      </c>
      <c r="F12212" s="6" t="n">
        <f aca="false">Sens!F12097*(al_ind+Sens!F12209+sbc_r)</f>
        <v>9.13359830063899</v>
      </c>
      <c r="G12212" s="6" t="n">
        <f aca="false">Sens!G12097*(al_ind+Sens!G12209+sbc_r)</f>
        <v>9.91355811855172</v>
      </c>
      <c r="H12212" s="6" t="n">
        <f aca="false">Sens!H12097*(al_ind+Sens!H12209+sbc_r)</f>
        <v>10.737007894057</v>
      </c>
      <c r="I12212" s="6" t="n">
        <f aca="false">Sens!I12097*(al_ind+Sens!I12209+sbc_r)</f>
        <v>11.5994300763088</v>
      </c>
      <c r="J12212" s="6" t="n">
        <f aca="false">Sens!J12097*(al_ind+Sens!J12209+sbc_r)</f>
        <v>12.4920789859702</v>
      </c>
      <c r="K12212" s="6" t="n">
        <f aca="false">Sens!K12097*(al_ind+Sens!K12209+sbc_r)</f>
        <v>13.4027551573777</v>
      </c>
    </row>
    <row r="12213" customFormat="false" ht="17.15" hidden="false" customHeight="false" outlineLevel="0" collapsed="false">
      <c r="A12213" s="0" t="s">
        <v>1075</v>
      </c>
      <c r="B12213" s="0" t="s">
        <v>98</v>
      </c>
      <c r="F12213" s="6" t="n">
        <f aca="false">Sens!F12099*(al_fro+Sens!F12209+sbc_r)</f>
        <v>3.59501635737694</v>
      </c>
      <c r="G12213" s="6" t="n">
        <f aca="false">Sens!G12099*(al_fro+Sens!G12209+sbc_r)</f>
        <v>3.80622021137838</v>
      </c>
      <c r="H12213" s="6" t="n">
        <f aca="false">Sens!H12099*(al_fro+Sens!H12209+sbc_r)</f>
        <v>4.04607207599632</v>
      </c>
      <c r="I12213" s="6" t="n">
        <f aca="false">Sens!I12099*(al_fro+Sens!I12209+sbc_r)</f>
        <v>4.31683578333903</v>
      </c>
      <c r="J12213" s="6" t="n">
        <f aca="false">Sens!J12099*(al_fro+Sens!J12209+sbc_r)</f>
        <v>4.62005087871645</v>
      </c>
      <c r="K12213" s="6" t="n">
        <f aca="false">Sens!K12099*(al_fro+Sens!K12209+sbc_r)</f>
        <v>4.95685392412327</v>
      </c>
    </row>
    <row r="12214" customFormat="false" ht="17.15" hidden="false" customHeight="false" outlineLevel="0" collapsed="false">
      <c r="A12214" s="0" t="s">
        <v>1076</v>
      </c>
      <c r="B12214" s="0" t="s">
        <v>98</v>
      </c>
      <c r="F12214" s="6" t="n">
        <f aca="false">Sens!F12102*(al_srch+Sens!F12209+sbc_r)</f>
        <v>11.2801258639919</v>
      </c>
      <c r="G12214" s="6" t="n">
        <f aca="false">Sens!G12102*(al_srch+Sens!G12209+sbc_r)</f>
        <v>12.3589086285988</v>
      </c>
      <c r="H12214" s="6" t="n">
        <f aca="false">Sens!H12102*(al_srch+Sens!H12209+sbc_r)</f>
        <v>13.4807030139583</v>
      </c>
      <c r="I12214" s="6" t="n">
        <f aca="false">Sens!I12102*(al_srch+Sens!I12209+sbc_r)</f>
        <v>14.6329459978989</v>
      </c>
      <c r="J12214" s="6" t="n">
        <f aca="false">Sens!J12102*(al_srch+Sens!J12209+sbc_r)</f>
        <v>15.7968154400613</v>
      </c>
      <c r="K12214" s="6" t="n">
        <f aca="false">Sens!K12102*(al_srch+Sens!K12209+sbc_r)</f>
        <v>16.9484078548661</v>
      </c>
    </row>
    <row r="12215" customFormat="false" ht="17.15" hidden="false" customHeight="false" outlineLevel="0" collapsed="false">
      <c r="A12215" s="0" t="s">
        <v>1077</v>
      </c>
      <c r="B12215" s="0" t="s">
        <v>98</v>
      </c>
      <c r="F12215" s="6" t="n">
        <f aca="false">Sens!F12071-Sens!F12072+Sens!F12152</f>
        <v>38.5747715123049</v>
      </c>
      <c r="G12215" s="6" t="n">
        <f aca="false">Sens!G12071-Sens!G12072+Sens!G12152</f>
        <v>67.8048044367775</v>
      </c>
      <c r="H12215" s="6" t="n">
        <f aca="false">Sens!H12071-Sens!H12072+Sens!H12152</f>
        <v>94.1777386785771</v>
      </c>
      <c r="I12215" s="6" t="n">
        <f aca="false">Sens!I12071-Sens!I12072+Sens!I12152</f>
        <v>124.359799296032</v>
      </c>
      <c r="J12215" s="6" t="n">
        <f aca="false">Sens!J12071-Sens!J12072+Sens!J12152</f>
        <v>145.8886418102</v>
      </c>
      <c r="K12215" s="6" t="n">
        <f aca="false">Sens!K12071-Sens!K12072+Sens!K12152</f>
        <v>159.980017660072</v>
      </c>
    </row>
    <row r="12216" customFormat="false" ht="17.15" hidden="false" customHeight="false" outlineLevel="0" collapsed="false">
      <c r="A12216" s="0" t="s">
        <v>1078</v>
      </c>
      <c r="B12216" s="0" t="s">
        <v>98</v>
      </c>
      <c r="F12216" s="6" t="n">
        <f aca="false">Sens!F12131+Sens!F12152+Sens!F12082+Sens!F12209*(Sens!F12101-Sens!F12065)+sbc_r*Sens!F12101</f>
        <v>233.873607084694</v>
      </c>
      <c r="G12216" s="6" t="n">
        <f aca="false">Sens!G12131+Sens!G12152+Sens!G12082+Sens!G12209*(Sens!G12101-Sens!G12065)+sbc_r*Sens!G12101</f>
        <v>288.671365901482</v>
      </c>
      <c r="H12216" s="6" t="n">
        <f aca="false">Sens!H12131+Sens!H12152+Sens!H12082+Sens!H12209*(Sens!H12101-Sens!H12065)+sbc_r*Sens!H12101</f>
        <v>340.890641891146</v>
      </c>
      <c r="I12216" s="6" t="n">
        <f aca="false">Sens!I12131+Sens!I12152+Sens!I12082+Sens!I12209*(Sens!I12101-Sens!I12065)+sbc_r*Sens!I12101</f>
        <v>396.270881719462</v>
      </c>
      <c r="J12216" s="6" t="n">
        <f aca="false">Sens!J12131+Sens!J12152+Sens!J12082+Sens!J12209*(Sens!J12101-Sens!J12065)+sbc_r*Sens!J12101</f>
        <v>441.048040540025</v>
      </c>
      <c r="K12216" s="6" t="n">
        <f aca="false">Sens!K12131+Sens!K12152+Sens!K12082+Sens!K12209*(Sens!K12101-Sens!K12065)+sbc_r*Sens!K12101</f>
        <v>476.030768059948</v>
      </c>
    </row>
    <row r="12217" customFormat="false" ht="17.15" hidden="false" customHeight="false" outlineLevel="0" collapsed="false">
      <c r="A12217" s="0" t="s">
        <v>1079</v>
      </c>
      <c r="B12217" s="0" t="s">
        <v>98</v>
      </c>
      <c r="F12217" s="6" t="n">
        <f aca="false">Sens!F12216-Sens!F12210-Sens!F12211-Sens!F12212-Sens!F12213-Sens!F12215</f>
        <v>65.8496150612379</v>
      </c>
      <c r="G12217" s="6" t="n">
        <f aca="false">Sens!G12216-Sens!G12210-Sens!G12211-Sens!G12212-Sens!G12213-Sens!G12215</f>
        <v>78.7707846711001</v>
      </c>
      <c r="H12217" s="6" t="n">
        <f aca="false">Sens!H12216-Sens!H12210-Sens!H12211-Sens!H12212-Sens!H12213-Sens!H12215</f>
        <v>91.8270962807574</v>
      </c>
      <c r="I12217" s="6" t="n">
        <f aca="false">Sens!I12216-Sens!I12210-Sens!I12211-Sens!I12212-Sens!I12213-Sens!I12215</f>
        <v>104.790678677294</v>
      </c>
      <c r="J12217" s="6" t="n">
        <f aca="false">Sens!J12216-Sens!J12210-Sens!J12211-Sens!J12212-Sens!J12213-Sens!J12215</f>
        <v>116.579313222832</v>
      </c>
      <c r="K12217" s="6" t="n">
        <f aca="false">Sens!K12216-Sens!K12210-Sens!K12211-Sens!K12212-Sens!K12213-Sens!K12215</f>
        <v>126.513869348352</v>
      </c>
    </row>
    <row r="12218" customFormat="false" ht="17.15" hidden="false" customHeight="false" outlineLevel="0" collapsed="false">
      <c r="A12218" s="0" t="s">
        <v>1080</v>
      </c>
      <c r="B12218" s="0" t="s">
        <v>98</v>
      </c>
      <c r="F12218" s="6" t="n">
        <f aca="false">Sens!F12133+Sens!F12209*Sens!F12108+sbc_r*Sens!F12108</f>
        <v>27.668107688671</v>
      </c>
      <c r="G12218" s="6" t="n">
        <f aca="false">Sens!G12133+Sens!G12209*Sens!G12108+sbc_r*Sens!G12108</f>
        <v>28.31679383611</v>
      </c>
      <c r="H12218" s="6" t="n">
        <f aca="false">Sens!H12133+Sens!H12209*Sens!H12108+sbc_r*Sens!H12108</f>
        <v>29.2398428682009</v>
      </c>
      <c r="I12218" s="6" t="n">
        <f aca="false">Sens!I12133+Sens!I12209*Sens!I12108+sbc_r*Sens!I12108</f>
        <v>30.4025608699315</v>
      </c>
      <c r="J12218" s="6" t="n">
        <f aca="false">Sens!J12133+Sens!J12209*Sens!J12108+sbc_r*Sens!J12108</f>
        <v>31.7712849434998</v>
      </c>
      <c r="K12218" s="6" t="n">
        <f aca="false">Sens!K12133+Sens!K12209*Sens!K12108+sbc_r*Sens!K12108</f>
        <v>33.3148300064662</v>
      </c>
    </row>
    <row r="12219" customFormat="false" ht="17.15" hidden="false" customHeight="false" outlineLevel="0" collapsed="false">
      <c r="A12219" s="0" t="s">
        <v>1081</v>
      </c>
      <c r="B12219" s="0" t="s">
        <v>98</v>
      </c>
      <c r="F12219" s="6" t="n">
        <f aca="false">(Sens!F12218-Sens!F12214)*Sens!F12104/(Sens!F12104+Sens!F12106)</f>
        <v>8.98373201965891</v>
      </c>
      <c r="G12219" s="6" t="n">
        <f aca="false">(Sens!G12218-Sens!G12214)*Sens!G12104/(Sens!G12104+Sens!G12106)</f>
        <v>8.59198171535597</v>
      </c>
      <c r="H12219" s="6" t="n">
        <f aca="false">(Sens!H12218-Sens!H12214)*Sens!H12104/(Sens!H12104+Sens!H12106)</f>
        <v>8.37035620577939</v>
      </c>
      <c r="I12219" s="6" t="n">
        <f aca="false">(Sens!I12218-Sens!I12214)*Sens!I12104/(Sens!I12104+Sens!I12106)</f>
        <v>8.30013450749867</v>
      </c>
      <c r="J12219" s="6" t="n">
        <f aca="false">(Sens!J12218-Sens!J12214)*Sens!J12104/(Sens!J12104+Sens!J12106)</f>
        <v>8.36993664317542</v>
      </c>
      <c r="K12219" s="6" t="n">
        <f aca="false">(Sens!K12218-Sens!K12214)*Sens!K12104/(Sens!K12104+Sens!K12106)</f>
        <v>8.57530301427972</v>
      </c>
    </row>
    <row r="12220" customFormat="false" ht="17.15" hidden="false" customHeight="false" outlineLevel="0" collapsed="false">
      <c r="A12220" s="0" t="s">
        <v>1082</v>
      </c>
      <c r="B12220" s="0" t="s">
        <v>98</v>
      </c>
      <c r="F12220" s="6" t="n">
        <f aca="false">Sens!F12218-Sens!F12214-Sens!F12219</f>
        <v>7.40424980502011</v>
      </c>
      <c r="G12220" s="6" t="n">
        <f aca="false">Sens!G12218-Sens!G12214-Sens!G12219</f>
        <v>7.36590349215526</v>
      </c>
      <c r="H12220" s="6" t="n">
        <f aca="false">Sens!H12218-Sens!H12214-Sens!H12219</f>
        <v>7.38878364846316</v>
      </c>
      <c r="I12220" s="6" t="n">
        <f aca="false">Sens!I12218-Sens!I12214-Sens!I12219</f>
        <v>7.46948036453394</v>
      </c>
      <c r="J12220" s="6" t="n">
        <f aca="false">Sens!J12218-Sens!J12214-Sens!J12219</f>
        <v>7.60453286026307</v>
      </c>
      <c r="K12220" s="6" t="n">
        <f aca="false">Sens!K12218-Sens!K12214-Sens!K12219</f>
        <v>7.79111913732039</v>
      </c>
    </row>
    <row r="12221" customFormat="false" ht="17.15" hidden="false" customHeight="false" outlineLevel="0" collapsed="false">
      <c r="A12221" s="0" t="s">
        <v>1083</v>
      </c>
      <c r="B12221" s="0" t="s">
        <v>98</v>
      </c>
      <c r="F12221" s="6" t="n">
        <f aca="false">Sens!F12215-tax_f*(Sens!F12215-Sens!F12082)-Sens!F12079</f>
        <v>-122.663081185432</v>
      </c>
      <c r="G12221" s="6" t="n">
        <f aca="false">Sens!G12215-tax_f*(Sens!G12215-Sens!G12082)-Sens!G12079</f>
        <v>-117.505249511676</v>
      </c>
      <c r="H12221" s="6" t="n">
        <f aca="false">Sens!H12215-tax_f*(Sens!H12215-Sens!H12082)-Sens!H12079</f>
        <v>-95.465890998876</v>
      </c>
      <c r="I12221" s="6" t="n">
        <f aca="false">Sens!I12215-tax_f*(Sens!I12215-Sens!I12082)-Sens!I12079</f>
        <v>-42.0976809509416</v>
      </c>
      <c r="J12221" s="6" t="n">
        <f aca="false">Sens!J12215-tax_f*(Sens!J12215-Sens!J12082)-Sens!J12079</f>
        <v>15.1291414244864</v>
      </c>
      <c r="K12221" s="6" t="n">
        <f aca="false">Sens!K12215-tax_f*(Sens!K12215-Sens!K12082)-Sens!K12079</f>
        <v>34.4028916333283</v>
      </c>
    </row>
    <row r="12222" customFormat="false" ht="17.15" hidden="false" customHeight="false" outlineLevel="0" collapsed="false">
      <c r="A12222" s="0" t="s">
        <v>1084</v>
      </c>
      <c r="B12222" s="0" t="s">
        <v>98</v>
      </c>
      <c r="G12222" s="6" t="n">
        <f aca="false">Sens!G12221/(1+wacc)^(Sens!G12194-(Sens!F12194+mid_yr))</f>
        <v>-111.887719949201</v>
      </c>
      <c r="H12222" s="6" t="n">
        <f aca="false">Sens!H12221/(1+wacc)^(Sens!H12194-(Sens!F12194+mid_yr))</f>
        <v>-82.418308068654</v>
      </c>
      <c r="I12222" s="6" t="n">
        <f aca="false">Sens!I12221/(1+wacc)^(Sens!I12194-(Sens!F12194+mid_yr))</f>
        <v>-32.9521644750208</v>
      </c>
      <c r="J12222" s="6" t="n">
        <f aca="false">Sens!J12221/(1+wacc)^(Sens!J12194-(Sens!F12194+mid_yr))</f>
        <v>10.7371832844914</v>
      </c>
      <c r="K12222" s="6" t="n">
        <f aca="false">Sens!K12221/(1+wacc)^(Sens!K12194-(Sens!F12194+mid_yr))</f>
        <v>22.1371313103263</v>
      </c>
      <c r="L12222" s="1" t="s">
        <v>1085</v>
      </c>
    </row>
    <row r="12223" customFormat="false" ht="17.15" hidden="false" customHeight="false" outlineLevel="0" collapsed="false">
      <c r="A12223" s="0" t="s">
        <v>1086</v>
      </c>
      <c r="B12223" s="0" t="s">
        <v>98</v>
      </c>
      <c r="C12223" s="6" t="n">
        <f aca="false">(Sens!K12215-Sens!K12082)*(1-tax_f)*(1+g_tv)*(1-g_tv/(wacc+ronic_prem))/(wacc-g_tv)/(1+wacc)^(Sens!K12194+mid_yr-(Sens!F12194+mid_yr))</f>
        <v>102.257240554278</v>
      </c>
    </row>
    <row r="12224" customFormat="false" ht="17.15" hidden="false" customHeight="false" outlineLevel="0" collapsed="false">
      <c r="A12224" s="1" t="s">
        <v>1087</v>
      </c>
      <c r="B12224" s="0" t="s">
        <v>98</v>
      </c>
      <c r="C12224" s="6" t="n">
        <f aca="false">(SUM(Sens!G12222:K12222)+Sens!$C$12223)*(1+wacc)^(t_roll-(Sens!F12194+mid_yr))</f>
        <v>-95.1168773926354</v>
      </c>
      <c r="L12224" s="11" t="s">
        <v>1088</v>
      </c>
    </row>
    <row r="12225" customFormat="false" ht="17.15" hidden="false" customHeight="false" outlineLevel="0" collapsed="false">
      <c r="A12225" s="1" t="s">
        <v>1089</v>
      </c>
      <c r="B12225" s="0" t="s">
        <v>98</v>
      </c>
      <c r="C12225" s="6" t="n">
        <f aca="false">(w_ntm28*Sens!G12071+(1-w_ntm28)*Sens!H12071)*m_ai</f>
        <v>338.776008390068</v>
      </c>
    </row>
    <row r="12226" customFormat="false" ht="17.15" hidden="false" customHeight="false" outlineLevel="0" collapsed="false">
      <c r="A12226" s="1" t="s">
        <v>1090</v>
      </c>
      <c r="B12226" s="0" t="s">
        <v>98</v>
      </c>
      <c r="C12226" s="6" t="n">
        <f aca="false">(w_ntm28*Sens!G12217+(1-w_ntm28)*Sens!H12217)*m_cloud</f>
        <v>1146.94569818355</v>
      </c>
    </row>
    <row r="12227" customFormat="false" ht="17.15" hidden="false" customHeight="false" outlineLevel="0" collapsed="false">
      <c r="A12227" s="1" t="s">
        <v>1091</v>
      </c>
      <c r="B12227" s="0" t="s">
        <v>98</v>
      </c>
      <c r="C12227" s="6" t="n">
        <f aca="false">(w_ntm28*Sens!G12210+(1-w_ntm28)*Sens!H12210)*m_sw</f>
        <v>1046.81653016399</v>
      </c>
    </row>
    <row r="12228" customFormat="false" ht="17.15" hidden="false" customHeight="false" outlineLevel="0" collapsed="false">
      <c r="A12228" s="1" t="s">
        <v>1092</v>
      </c>
      <c r="B12228" s="0" t="s">
        <v>98</v>
      </c>
      <c r="C12228" s="6" t="n">
        <f aca="false">(w_ntm28*Sens!G12211+(1-w_ntm28)*Sens!H12211)*m_sw</f>
        <v>380.588206114803</v>
      </c>
    </row>
    <row r="12229" customFormat="false" ht="17.15" hidden="false" customHeight="false" outlineLevel="0" collapsed="false">
      <c r="A12229" s="1" t="s">
        <v>1093</v>
      </c>
      <c r="B12229" s="0" t="s">
        <v>98</v>
      </c>
      <c r="C12229" s="6" t="n">
        <f aca="false">(w_ntm28*Sens!G12212+(1-w_ntm28)*Sens!H12212)*m_sw</f>
        <v>109.941508211602</v>
      </c>
    </row>
    <row r="12230" customFormat="false" ht="17.15" hidden="false" customHeight="false" outlineLevel="0" collapsed="false">
      <c r="A12230" s="1" t="s">
        <v>1094</v>
      </c>
      <c r="B12230" s="0" t="s">
        <v>98</v>
      </c>
      <c r="C12230" s="6" t="n">
        <f aca="false">(w_ntm28*Sens!G12213+(1-w_ntm28)*Sens!H12213)*m_sw</f>
        <v>41.944622711021</v>
      </c>
    </row>
    <row r="12231" customFormat="false" ht="17.15" hidden="false" customHeight="false" outlineLevel="0" collapsed="false">
      <c r="A12231" s="1" t="s">
        <v>1095</v>
      </c>
      <c r="B12231" s="0" t="s">
        <v>98</v>
      </c>
      <c r="C12231" s="6" t="n">
        <f aca="false">(w_ntm28*Sens!G12214+(1-w_ntm28)*Sens!H12214)*m_ads</f>
        <v>115.893511108929</v>
      </c>
    </row>
    <row r="12232" customFormat="false" ht="17.15" hidden="false" customHeight="false" outlineLevel="0" collapsed="false">
      <c r="A12232" s="1" t="s">
        <v>1096</v>
      </c>
      <c r="B12232" s="0" t="s">
        <v>98</v>
      </c>
      <c r="C12232" s="6" t="n">
        <f aca="false">(w_ntm28*Sens!G12219+(1-w_ntm28)*Sens!H12219)*m_game</f>
        <v>107.611804785652</v>
      </c>
    </row>
    <row r="12233" customFormat="false" ht="17.15" hidden="false" customHeight="false" outlineLevel="0" collapsed="false">
      <c r="A12233" s="1" t="s">
        <v>1097</v>
      </c>
      <c r="B12233" s="0" t="s">
        <v>98</v>
      </c>
      <c r="C12233" s="6" t="n">
        <f aca="false">(w_ntm28*Sens!G12220+(1-w_ntm28)*Sens!H12220)*m_pc</f>
        <v>106.691656275841</v>
      </c>
    </row>
    <row r="12234" customFormat="false" ht="17.15" hidden="false" customHeight="false" outlineLevel="0" collapsed="false">
      <c r="A12234" s="1" t="s">
        <v>1098</v>
      </c>
      <c r="B12234" s="0" t="s">
        <v>98</v>
      </c>
      <c r="C12234" s="6" t="n">
        <f aca="false">Sens!$C$12224+Sens!$C$12226+Sens!$C$12227+Sens!$C$12228+Sens!$C$12229+Sens!$C$12230+Sens!$C$12231+Sens!$C$12232+Sens!$C$12233</f>
        <v>2961.31666016276</v>
      </c>
    </row>
    <row r="12235" customFormat="false" ht="17.15" hidden="false" customHeight="false" outlineLevel="0" collapsed="false">
      <c r="A12235" s="1" t="s">
        <v>1099</v>
      </c>
      <c r="B12235" s="0" t="s">
        <v>98</v>
      </c>
      <c r="C12235" s="6" t="n">
        <f aca="false">(Sens!G12196-Sens!G12221)*t_stub</f>
        <v>48.864823909629</v>
      </c>
      <c r="L12235" s="1" t="s">
        <v>1100</v>
      </c>
    </row>
    <row r="12236" customFormat="false" ht="17.15" hidden="false" customHeight="false" outlineLevel="0" collapsed="false">
      <c r="A12236" s="1" t="s">
        <v>1014</v>
      </c>
      <c r="B12236" s="0" t="s">
        <v>98</v>
      </c>
      <c r="C12236" s="6" t="n">
        <f aca="false">Sens!F12185+oai_v-Sens!F12174+Sens!$C$12235</f>
        <v>161.192474393478</v>
      </c>
      <c r="L12236" s="1" t="s">
        <v>1101</v>
      </c>
    </row>
    <row r="12237" customFormat="false" ht="17.15" hidden="false" customHeight="false" outlineLevel="0" collapsed="false">
      <c r="A12237" s="1" t="s">
        <v>1102</v>
      </c>
      <c r="B12237" s="0" t="s">
        <v>75</v>
      </c>
      <c r="C12237" s="5" t="n">
        <f aca="false">(Sens!$C$12234+Sens!$C$12236)/(Sens!F12187+dil_gap)-Sens!G12177*roll_div_q/q_per_yr</f>
        <v>415.517214855421</v>
      </c>
      <c r="L12237" s="1" t="s">
        <v>1103</v>
      </c>
    </row>
    <row r="12238" customFormat="false" ht="17.15" hidden="false" customHeight="false" outlineLevel="0" collapsed="false">
      <c r="A12238" s="1" t="s">
        <v>1104</v>
      </c>
      <c r="B12238" s="0" t="s">
        <v>75</v>
      </c>
      <c r="C12238" s="5" t="n">
        <f aca="false">w_dcf*Sens!$C$12208+(1-w_dcf)*Sens!$C$12237</f>
        <v>355.346707846007</v>
      </c>
    </row>
    <row r="12239" customFormat="false" ht="17.15" hidden="false" customHeight="false" outlineLevel="0" collapsed="false">
      <c r="A12239" s="3" t="s">
        <v>1577</v>
      </c>
    </row>
    <row r="12240" customFormat="false" ht="15" hidden="false" customHeight="false" outlineLevel="0" collapsed="false">
      <c r="A12240" s="4" t="s">
        <v>43</v>
      </c>
      <c r="B12240" s="4" t="s">
        <v>65</v>
      </c>
      <c r="C12240" s="20" t="s">
        <v>799</v>
      </c>
      <c r="D12240" s="20" t="s">
        <v>800</v>
      </c>
      <c r="E12240" s="20" t="s">
        <v>801</v>
      </c>
      <c r="F12240" s="20" t="s">
        <v>802</v>
      </c>
      <c r="G12240" s="20" t="s">
        <v>803</v>
      </c>
      <c r="H12240" s="20" t="s">
        <v>804</v>
      </c>
      <c r="I12240" s="20" t="s">
        <v>805</v>
      </c>
      <c r="J12240" s="20" t="s">
        <v>806</v>
      </c>
      <c r="K12240" s="20" t="s">
        <v>807</v>
      </c>
      <c r="L12240" s="4" t="s">
        <v>47</v>
      </c>
    </row>
    <row r="12241" customFormat="false" ht="15" hidden="false" customHeight="false" outlineLevel="0" collapsed="false">
      <c r="A12241" s="1" t="s">
        <v>1057</v>
      </c>
      <c r="B12241" s="1" t="s">
        <v>235</v>
      </c>
      <c r="F12241" s="36" t="n">
        <f aca="false">Thesis!F6-base_fy-mid_yr</f>
        <v>0.5</v>
      </c>
      <c r="G12241" s="36" t="n">
        <f aca="false">Thesis!G6-base_fy-mid_yr</f>
        <v>1.5</v>
      </c>
      <c r="H12241" s="36" t="n">
        <f aca="false">Thesis!H6-base_fy-mid_yr</f>
        <v>2.5</v>
      </c>
      <c r="I12241" s="36" t="n">
        <f aca="false">Thesis!I6-base_fy-mid_yr</f>
        <v>3.5</v>
      </c>
      <c r="J12241" s="36" t="n">
        <f aca="false">Thesis!J6-base_fy-mid_yr</f>
        <v>4.5</v>
      </c>
      <c r="K12241" s="36" t="n">
        <f aca="false">Thesis!K6-base_fy-mid_yr</f>
        <v>5.5</v>
      </c>
    </row>
    <row r="12242" customFormat="false" ht="15" hidden="false" customHeight="false" outlineLevel="0" collapsed="false">
      <c r="A12242" s="1" t="s">
        <v>1058</v>
      </c>
      <c r="B12242" s="0" t="s">
        <v>185</v>
      </c>
      <c r="F12242" s="14" t="n">
        <f aca="false">1/(1+(wacc-0.01))^Sens!F12241</f>
        <v>0.956539586874594</v>
      </c>
      <c r="G12242" s="14" t="n">
        <f aca="false">1/(1+(wacc-0.01))^Sens!G12241</f>
        <v>0.875203094796217</v>
      </c>
      <c r="H12242" s="14" t="n">
        <f aca="false">1/(1+(wacc-0.01))^Sens!H12241</f>
        <v>0.80078280883664</v>
      </c>
      <c r="I12242" s="14" t="n">
        <f aca="false">1/(1+(wacc-0.01))^Sens!I12241</f>
        <v>0.732690630027546</v>
      </c>
      <c r="J12242" s="14" t="n">
        <f aca="false">1/(1+(wacc-0.01))^Sens!J12241</f>
        <v>0.670388466643116</v>
      </c>
      <c r="K12242" s="14" t="n">
        <f aca="false">1/(1+(wacc-0.01))^Sens!K12241</f>
        <v>0.613383981983244</v>
      </c>
    </row>
    <row r="12243" customFormat="false" ht="17.15" hidden="false" customHeight="false" outlineLevel="0" collapsed="false">
      <c r="A12243" s="1" t="s">
        <v>1059</v>
      </c>
      <c r="B12243" s="0" t="s">
        <v>98</v>
      </c>
      <c r="F12243" s="6" t="n">
        <f aca="false">CF!F22-CF!F20-CF!F26+Thesis!F44*(1-tax_f)</f>
        <v>0.8175674752552</v>
      </c>
      <c r="G12243" s="6" t="n">
        <f aca="false">CF!G22-CF!G20-CF!G26+Thesis!G44*(1-tax_f)</f>
        <v>46.5945454778033</v>
      </c>
      <c r="H12243" s="6" t="n">
        <f aca="false">CF!H22-CF!H20-CF!H26+Thesis!H44*(1-tax_f)</f>
        <v>105.224067029101</v>
      </c>
      <c r="I12243" s="6" t="n">
        <f aca="false">CF!I22-CF!I20-CF!I26+Thesis!I44*(1-tax_f)</f>
        <v>183.301417205555</v>
      </c>
      <c r="J12243" s="6" t="n">
        <f aca="false">CF!J22-CF!J20-CF!J26+Thesis!J44*(1-tax_f)</f>
        <v>261.555335183242</v>
      </c>
      <c r="K12243" s="6" t="n">
        <f aca="false">CF!K22-CF!K20-CF!K26+Thesis!K44*(1-tax_f)</f>
        <v>298.387942209483</v>
      </c>
      <c r="L12243" s="1" t="s">
        <v>1060</v>
      </c>
    </row>
    <row r="12244" customFormat="false" ht="15" hidden="false" customHeight="false" outlineLevel="0" collapsed="false">
      <c r="A12244" s="1" t="s">
        <v>1061</v>
      </c>
      <c r="B12244" s="0" t="s">
        <v>98</v>
      </c>
      <c r="F12244" s="6" t="n">
        <f aca="false">Sens!F12243*Sens!F12242</f>
        <v>0.782035655022714</v>
      </c>
      <c r="G12244" s="6" t="n">
        <f aca="false">Sens!G12243*Sens!G12242</f>
        <v>40.7796904027966</v>
      </c>
      <c r="H12244" s="6" t="n">
        <f aca="false">Sens!H12243*Sens!H12242</f>
        <v>84.2616239527786</v>
      </c>
      <c r="I12244" s="6" t="n">
        <f aca="false">Sens!I12243*Sens!I12242</f>
        <v>134.30323085728</v>
      </c>
      <c r="J12244" s="6" t="n">
        <f aca="false">Sens!J12243*Sens!J12242</f>
        <v>175.34368009582</v>
      </c>
      <c r="K12244" s="6" t="n">
        <f aca="false">Sens!K12243*Sens!K12242</f>
        <v>183.026384168239</v>
      </c>
    </row>
    <row r="12245" customFormat="false" ht="17.15" hidden="false" customHeight="false" outlineLevel="0" collapsed="false">
      <c r="A12245" s="1" t="s">
        <v>1062</v>
      </c>
      <c r="B12245" s="0" t="s">
        <v>98</v>
      </c>
      <c r="C12245" s="6" t="n">
        <f aca="false">SUM(Sens!F12244:K12244)</f>
        <v>618.496645131936</v>
      </c>
    </row>
    <row r="12246" customFormat="false" ht="17.15" hidden="false" customHeight="false" outlineLevel="0" collapsed="false">
      <c r="A12246" s="1" t="s">
        <v>1063</v>
      </c>
      <c r="B12246" s="0" t="s">
        <v>98</v>
      </c>
      <c r="C12246" s="6" t="n">
        <f aca="false">PL!K39*(1+g_tv)*(1-tax_f)</f>
        <v>316.433872640522</v>
      </c>
    </row>
    <row r="12247" customFormat="false" ht="17.15" hidden="false" customHeight="false" outlineLevel="0" collapsed="false">
      <c r="A12247" s="1" t="s">
        <v>1064</v>
      </c>
      <c r="B12247" s="0" t="s">
        <v>98</v>
      </c>
      <c r="C12247" s="6" t="n">
        <f aca="false">Sens!$C$12246*(1-g_tv/((wacc-0.01)+ronic_prem))</f>
        <v>214.286399511313</v>
      </c>
    </row>
    <row r="12248" customFormat="false" ht="17.15" hidden="false" customHeight="false" outlineLevel="0" collapsed="false">
      <c r="A12248" s="1" t="s">
        <v>1065</v>
      </c>
      <c r="B12248" s="0" t="s">
        <v>98</v>
      </c>
      <c r="C12248" s="6" t="n">
        <f aca="false">Sens!$C$12247/((wacc-0.01)-g_tv)</f>
        <v>3404.91577097364</v>
      </c>
    </row>
    <row r="12249" customFormat="false" ht="15" hidden="false" customHeight="false" outlineLevel="0" collapsed="false">
      <c r="A12249" s="1" t="s">
        <v>1066</v>
      </c>
      <c r="B12249" s="0" t="s">
        <v>98</v>
      </c>
      <c r="C12249" s="6" t="n">
        <f aca="false">Sens!$C$12248/(1+(wacc-0.01))^(Sens!K12241+mid_yr)</f>
        <v>1997.75281739271</v>
      </c>
    </row>
    <row r="12250" customFormat="false" ht="17.15" hidden="false" customHeight="false" outlineLevel="0" collapsed="false">
      <c r="A12250" s="0" t="s">
        <v>986</v>
      </c>
      <c r="B12250" s="0" t="s">
        <v>98</v>
      </c>
      <c r="C12250" s="6" t="n">
        <f aca="false">Sens!$C$12245+Sens!$C$12249</f>
        <v>2616.24946252465</v>
      </c>
    </row>
    <row r="12251" customFormat="false" ht="15" hidden="false" customHeight="false" outlineLevel="0" collapsed="false">
      <c r="A12251" s="1" t="s">
        <v>987</v>
      </c>
      <c r="B12251" s="0" t="s">
        <v>129</v>
      </c>
      <c r="C12251" s="7" t="n">
        <f aca="false">Sens!$C$12249/Sens!$C$12250</f>
        <v>0.763594162563116</v>
      </c>
    </row>
    <row r="12252" customFormat="false" ht="17.15" hidden="false" customHeight="false" outlineLevel="0" collapsed="false">
      <c r="A12252" s="1" t="s">
        <v>1067</v>
      </c>
      <c r="B12252" s="0" t="s">
        <v>98</v>
      </c>
      <c r="C12252" s="6" t="n">
        <f aca="false">Sens!$C$12250+CF!E38-CF!E27+oai_v</f>
        <v>2750.76246252465</v>
      </c>
    </row>
    <row r="12253" customFormat="false" ht="17.15" hidden="false" customHeight="false" outlineLevel="0" collapsed="false">
      <c r="A12253" s="0" t="s">
        <v>994</v>
      </c>
      <c r="B12253" s="0" t="s">
        <v>75</v>
      </c>
      <c r="C12253" s="5" t="n">
        <f aca="false">Sens!$C$12252/sh_dil26</f>
        <v>369.08123742448</v>
      </c>
    </row>
    <row r="12254" customFormat="false" ht="15" hidden="false" customHeight="false" outlineLevel="0" collapsed="false">
      <c r="A12254" s="1" t="s">
        <v>1068</v>
      </c>
      <c r="B12254" s="0" t="s">
        <v>75</v>
      </c>
      <c r="C12254" s="8" t="n">
        <f aca="false">dps_27+CF!G30*roll_div_q/q_per_yr</f>
        <v>4.8895</v>
      </c>
    </row>
    <row r="12255" customFormat="false" ht="17.15" hidden="false" customHeight="false" outlineLevel="0" collapsed="false">
      <c r="A12255" s="0" t="s">
        <v>1069</v>
      </c>
      <c r="B12255" s="0" t="s">
        <v>75</v>
      </c>
      <c r="C12255" s="5" t="n">
        <f aca="false">Sens!$C$12253*(1+(wacc-0.01))^t_roll-Sens!$C$12254</f>
        <v>410.350140782203</v>
      </c>
    </row>
    <row r="12256" customFormat="false" ht="17.15" hidden="false" customHeight="false" outlineLevel="0" collapsed="false">
      <c r="A12256" s="1" t="s">
        <v>1070</v>
      </c>
      <c r="B12256" s="0" t="s">
        <v>129</v>
      </c>
      <c r="F12256" s="7" t="n">
        <f aca="false">CF!F17/(Seg!F29-Thesis!F23)</f>
        <v>0.0705303854989974</v>
      </c>
      <c r="G12256" s="7" t="n">
        <f aca="false">CF!G17/(Seg!G29-Thesis!G23)</f>
        <v>0.0669153011130541</v>
      </c>
      <c r="H12256" s="7" t="n">
        <f aca="false">CF!H17/(Seg!H29-Thesis!H23)</f>
        <v>0.0648963302688647</v>
      </c>
      <c r="I12256" s="7" t="n">
        <f aca="false">CF!I17/(Seg!I29-Thesis!I23)</f>
        <v>0.0643411219550834</v>
      </c>
      <c r="J12256" s="7" t="n">
        <f aca="false">CF!J17/(Seg!J29-Thesis!J23)</f>
        <v>0.0648740961982593</v>
      </c>
      <c r="K12256" s="7" t="n">
        <f aca="false">CF!K17/(Seg!K29-Thesis!K23)</f>
        <v>0.0660244723636577</v>
      </c>
    </row>
    <row r="12257" customFormat="false" ht="17.15" hidden="false" customHeight="false" outlineLevel="0" collapsed="false">
      <c r="A12257" s="0" t="s">
        <v>1071</v>
      </c>
      <c r="B12257" s="0" t="s">
        <v>98</v>
      </c>
      <c r="F12257" s="6" t="n">
        <f aca="false">Seg!F14*(al_m365+Sens!F12256+sbc_r)</f>
        <v>85.2273329859862</v>
      </c>
      <c r="G12257" s="6" t="n">
        <f aca="false">Seg!G14*(al_m365+Sens!G12256+sbc_r)</f>
        <v>99.6892587904979</v>
      </c>
      <c r="H12257" s="6" t="n">
        <f aca="false">Seg!H14*(al_m365+Sens!H12256+sbc_r)</f>
        <v>114.315107566414</v>
      </c>
      <c r="I12257" s="6" t="n">
        <f aca="false">Seg!I14*(al_m365+Sens!I12256+sbc_r)</f>
        <v>127.42181750834</v>
      </c>
      <c r="J12257" s="6" t="n">
        <f aca="false">Seg!J14*(al_m365+Sens!J12256+sbc_r)</f>
        <v>138.823999012523</v>
      </c>
      <c r="K12257" s="6" t="n">
        <f aca="false">Seg!K14*(al_m365+Sens!K12256+sbc_r)</f>
        <v>149.845393216552</v>
      </c>
      <c r="L12257" s="11" t="s">
        <v>1072</v>
      </c>
    </row>
    <row r="12258" customFormat="false" ht="17.15" hidden="false" customHeight="false" outlineLevel="0" collapsed="false">
      <c r="A12258" s="0" t="s">
        <v>1073</v>
      </c>
      <c r="B12258" s="0" t="s">
        <v>98</v>
      </c>
      <c r="F12258" s="6" t="n">
        <f aca="false">Seg!F15*(al_lic+Sens!F12256+sbc_r)</f>
        <v>33.5204472060294</v>
      </c>
      <c r="G12258" s="6" t="n">
        <f aca="false">Seg!G15*(al_lic+Sens!G12256+sbc_r)</f>
        <v>34.7926166862242</v>
      </c>
      <c r="H12258" s="6" t="n">
        <f aca="false">Seg!H15*(al_lic+Sens!H12256+sbc_r)</f>
        <v>35.9862829687409</v>
      </c>
      <c r="I12258" s="6" t="n">
        <f aca="false">Seg!I15*(al_lic+Sens!I12256+sbc_r)</f>
        <v>37.0838788899664</v>
      </c>
      <c r="J12258" s="6" t="n">
        <f aca="false">Seg!J15*(al_lic+Sens!J12256+sbc_r)</f>
        <v>38.0565090086839</v>
      </c>
      <c r="K12258" s="6" t="n">
        <f aca="false">Seg!K15*(al_lic+Sens!K12256+sbc_r)</f>
        <v>38.8700352425884</v>
      </c>
    </row>
    <row r="12259" customFormat="false" ht="17.15" hidden="false" customHeight="false" outlineLevel="0" collapsed="false">
      <c r="A12259" s="0" t="s">
        <v>1074</v>
      </c>
      <c r="B12259" s="0" t="s">
        <v>98</v>
      </c>
      <c r="F12259" s="6" t="n">
        <f aca="false">Seg!F17*(al_ind+Sens!F12256+sbc_r)</f>
        <v>9.11980018094294</v>
      </c>
      <c r="G12259" s="6" t="n">
        <f aca="false">Seg!G17*(al_ind+Sens!G12256+sbc_r)</f>
        <v>9.88072195697034</v>
      </c>
      <c r="H12259" s="6" t="n">
        <f aca="false">Seg!H17*(al_ind+Sens!H12256+sbc_r)</f>
        <v>10.6900815637922</v>
      </c>
      <c r="I12259" s="6" t="n">
        <f aca="false">Seg!I17*(al_ind+Sens!I12256+sbc_r)</f>
        <v>11.5460282347577</v>
      </c>
      <c r="J12259" s="6" t="n">
        <f aca="false">Seg!J17*(al_ind+Sens!J12256+sbc_r)</f>
        <v>12.4374767512513</v>
      </c>
      <c r="K12259" s="6" t="n">
        <f aca="false">Seg!K17*(al_ind+Sens!K12256+sbc_r)</f>
        <v>13.3461587114563</v>
      </c>
    </row>
    <row r="12260" customFormat="false" ht="17.15" hidden="false" customHeight="false" outlineLevel="0" collapsed="false">
      <c r="A12260" s="0" t="s">
        <v>1075</v>
      </c>
      <c r="B12260" s="0" t="s">
        <v>98</v>
      </c>
      <c r="F12260" s="6" t="n">
        <f aca="false">Seg!F19*(al_fro+Sens!F12256+sbc_r)</f>
        <v>3.58958536902212</v>
      </c>
      <c r="G12260" s="6" t="n">
        <f aca="false">Seg!G19*(al_fro+Sens!G12256+sbc_r)</f>
        <v>3.79361306665995</v>
      </c>
      <c r="H12260" s="6" t="n">
        <f aca="false">Seg!H19*(al_fro+Sens!H12256+sbc_r)</f>
        <v>4.02838862857902</v>
      </c>
      <c r="I12260" s="6" t="n">
        <f aca="false">Seg!I19*(al_fro+Sens!I12256+sbc_r)</f>
        <v>4.29696179134221</v>
      </c>
      <c r="J12260" s="6" t="n">
        <f aca="false">Seg!J19*(al_fro+Sens!J12256+sbc_r)</f>
        <v>4.59985687395741</v>
      </c>
      <c r="K12260" s="6" t="n">
        <f aca="false">Seg!K19*(al_fro+Sens!K12256+sbc_r)</f>
        <v>4.93592238342414</v>
      </c>
    </row>
    <row r="12261" customFormat="false" ht="17.15" hidden="false" customHeight="false" outlineLevel="0" collapsed="false">
      <c r="A12261" s="0" t="s">
        <v>1076</v>
      </c>
      <c r="B12261" s="0" t="s">
        <v>98</v>
      </c>
      <c r="F12261" s="6" t="n">
        <f aca="false">Seg!F22*(al_srch+Sens!F12256+sbc_r)</f>
        <v>11.2630849868114</v>
      </c>
      <c r="G12261" s="6" t="n">
        <f aca="false">Seg!G22*(al_srch+Sens!G12256+sbc_r)</f>
        <v>12.3179728600437</v>
      </c>
      <c r="H12261" s="6" t="n">
        <f aca="false">Seg!H22*(al_srch+Sens!H12256+sbc_r)</f>
        <v>13.4217853035424</v>
      </c>
      <c r="I12261" s="6" t="n">
        <f aca="false">Seg!I22*(al_srch+Sens!I12256+sbc_r)</f>
        <v>14.565578354966</v>
      </c>
      <c r="J12261" s="6" t="n">
        <f aca="false">Seg!J22*(al_srch+Sens!J12256+sbc_r)</f>
        <v>15.7277683722803</v>
      </c>
      <c r="K12261" s="6" t="n">
        <f aca="false">Seg!K22*(al_srch+Sens!K12256+sbc_r)</f>
        <v>16.87683901418</v>
      </c>
    </row>
    <row r="12262" customFormat="false" ht="17.15" hidden="false" customHeight="false" outlineLevel="0" collapsed="false">
      <c r="A12262" s="0" t="s">
        <v>1077</v>
      </c>
      <c r="B12262" s="0" t="s">
        <v>98</v>
      </c>
      <c r="F12262" s="6" t="n">
        <f aca="false">Thesis!F29-Thesis!F30+Thesis!F44</f>
        <v>45.0374073018652</v>
      </c>
      <c r="G12262" s="6" t="n">
        <f aca="false">Thesis!G29-Thesis!G30+Thesis!G44</f>
        <v>89.051993487491</v>
      </c>
      <c r="H12262" s="6" t="n">
        <f aca="false">Thesis!H29-Thesis!H30+Thesis!H44</f>
        <v>140.728332825594</v>
      </c>
      <c r="I12262" s="6" t="n">
        <f aca="false">Thesis!I29-Thesis!I30+Thesis!I44</f>
        <v>182.158665153016</v>
      </c>
      <c r="J12262" s="6" t="n">
        <f aca="false">Thesis!J29-Thesis!J30+Thesis!J44</f>
        <v>211.722320149272</v>
      </c>
      <c r="K12262" s="6" t="n">
        <f aca="false">Thesis!K29-Thesis!K30+Thesis!K44</f>
        <v>230.495012322217</v>
      </c>
    </row>
    <row r="12263" customFormat="false" ht="17.15" hidden="false" customHeight="false" outlineLevel="0" collapsed="false">
      <c r="A12263" s="0" t="s">
        <v>1078</v>
      </c>
      <c r="B12263" s="0" t="s">
        <v>98</v>
      </c>
      <c r="F12263" s="6" t="n">
        <f aca="false">PL!F32+Thesis!F44+Thesis!F40+Sens!F12256*(Seg!F21-Thesis!F23)+sbc_r*Seg!F21</f>
        <v>236.979131882557</v>
      </c>
      <c r="G12263" s="6" t="n">
        <f aca="false">PL!G32+Thesis!G44+Thesis!G40+Sens!G12256*(Seg!G21-Thesis!G23)+sbc_r*Seg!G21</f>
        <v>310.298572894356</v>
      </c>
      <c r="H12263" s="6" t="n">
        <f aca="false">PL!H32+Thesis!H44+Thesis!H40+Sens!H12256*(Seg!H21-Thesis!H23)+sbc_r*Seg!H21</f>
        <v>391.97921499404</v>
      </c>
      <c r="I12263" s="6" t="n">
        <f aca="false">PL!I32+Thesis!I44+Thesis!I40+Sens!I12256*(Seg!I21-Thesis!I23)+sbc_r*Seg!I21</f>
        <v>461.338592490557</v>
      </c>
      <c r="J12263" s="6" t="n">
        <f aca="false">PL!J32+Thesis!J44+Thesis!J40+Sens!J12256*(Seg!J21-Thesis!J23)+sbc_r*Seg!J21</f>
        <v>515.876034980991</v>
      </c>
      <c r="K12263" s="6" t="n">
        <f aca="false">PL!K32+Thesis!K44+Thesis!K40+Sens!K12256*(Seg!K21-Thesis!K23)+sbc_r*Seg!K21</f>
        <v>557.225339287545</v>
      </c>
    </row>
    <row r="12264" customFormat="false" ht="17.15" hidden="false" customHeight="false" outlineLevel="0" collapsed="false">
      <c r="A12264" s="0" t="s">
        <v>1079</v>
      </c>
      <c r="B12264" s="0" t="s">
        <v>98</v>
      </c>
      <c r="F12264" s="6" t="n">
        <f aca="false">Sens!F12263-Sens!F12257-Sens!F12258-Sens!F12259-Sens!F12260-Sens!F12262</f>
        <v>60.4845588387112</v>
      </c>
      <c r="G12264" s="6" t="n">
        <f aca="false">Sens!G12263-Sens!G12257-Sens!G12258-Sens!G12259-Sens!G12260-Sens!G12262</f>
        <v>73.090368906513</v>
      </c>
      <c r="H12264" s="6" t="n">
        <f aca="false">Sens!H12263-Sens!H12257-Sens!H12258-Sens!H12259-Sens!H12260-Sens!H12262</f>
        <v>86.23102144092</v>
      </c>
      <c r="I12264" s="6" t="n">
        <f aca="false">Sens!I12263-Sens!I12257-Sens!I12258-Sens!I12259-Sens!I12260-Sens!I12262</f>
        <v>98.8312409131349</v>
      </c>
      <c r="J12264" s="6" t="n">
        <f aca="false">Sens!J12263-Sens!J12257-Sens!J12258-Sens!J12259-Sens!J12260-Sens!J12262</f>
        <v>110.235873185303</v>
      </c>
      <c r="K12264" s="6" t="n">
        <f aca="false">Sens!K12263-Sens!K12257-Sens!K12258-Sens!K12259-Sens!K12260-Sens!K12262</f>
        <v>119.732817411307</v>
      </c>
    </row>
    <row r="12265" customFormat="false" ht="17.15" hidden="false" customHeight="false" outlineLevel="0" collapsed="false">
      <c r="A12265" s="0" t="s">
        <v>1080</v>
      </c>
      <c r="B12265" s="0" t="s">
        <v>98</v>
      </c>
      <c r="F12265" s="6" t="n">
        <f aca="false">PL!F34+Sens!F12256*Seg!F28+sbc_r*Seg!F28</f>
        <v>26.3250729833002</v>
      </c>
      <c r="G12265" s="6" t="n">
        <f aca="false">PL!G34+Sens!G12256*Seg!G28+sbc_r*Seg!G28</f>
        <v>26.8840979798844</v>
      </c>
      <c r="H12265" s="6" t="n">
        <f aca="false">PL!H34+Sens!H12256*Seg!H28+sbc_r*Seg!H28</f>
        <v>27.7254420104725</v>
      </c>
      <c r="I12265" s="6" t="n">
        <f aca="false">PL!I34+Sens!I12256*Seg!I28+sbc_r*Seg!I28</f>
        <v>28.8195303030026</v>
      </c>
      <c r="J12265" s="6" t="n">
        <f aca="false">PL!J34+Sens!J12256*Seg!J28+sbc_r*Seg!J28</f>
        <v>30.1256822206383</v>
      </c>
      <c r="K12265" s="6" t="n">
        <f aca="false">PL!K34+Sens!K12256*Seg!K28+sbc_r*Seg!K28</f>
        <v>31.5981329181227</v>
      </c>
    </row>
    <row r="12266" customFormat="false" ht="17.15" hidden="false" customHeight="false" outlineLevel="0" collapsed="false">
      <c r="A12266" s="0" t="s">
        <v>1081</v>
      </c>
      <c r="B12266" s="0" t="s">
        <v>98</v>
      </c>
      <c r="F12266" s="6" t="n">
        <f aca="false">(Sens!F12265-Sens!F12261)*Seg!F24/(Seg!F24+Seg!F26)</f>
        <v>8.25683511803782</v>
      </c>
      <c r="G12266" s="6" t="n">
        <f aca="false">(Sens!G12265-Sens!G12261)*Seg!G24/(Seg!G24+Seg!G26)</f>
        <v>7.84263572934781</v>
      </c>
      <c r="H12266" s="6" t="n">
        <f aca="false">(Sens!H12265-Sens!H12261)*Seg!H24/(Seg!H24+Seg!H26)</f>
        <v>7.59728657715786</v>
      </c>
      <c r="I12266" s="6" t="n">
        <f aca="false">(Sens!I12265-Sens!I12261)*Seg!I24/(Seg!I24+Seg!I26)</f>
        <v>7.50238476920254</v>
      </c>
      <c r="J12266" s="6" t="n">
        <f aca="false">(Sens!J12265-Sens!J12261)*Seg!J24/(Seg!J24+Seg!J26)</f>
        <v>7.54388912124533</v>
      </c>
      <c r="K12266" s="6" t="n">
        <f aca="false">(Sens!K12265-Sens!K12261)*Seg!K24/(Seg!K24+Seg!K26)</f>
        <v>7.71332639591206</v>
      </c>
    </row>
    <row r="12267" customFormat="false" ht="17.15" hidden="false" customHeight="false" outlineLevel="0" collapsed="false">
      <c r="A12267" s="0" t="s">
        <v>1082</v>
      </c>
      <c r="B12267" s="0" t="s">
        <v>98</v>
      </c>
      <c r="F12267" s="6" t="n">
        <f aca="false">Sens!F12265-Sens!F12261-Sens!F12266</f>
        <v>6.80515287845105</v>
      </c>
      <c r="G12267" s="6" t="n">
        <f aca="false">Sens!G12265-Sens!G12261-Sens!G12266</f>
        <v>6.72348939049287</v>
      </c>
      <c r="H12267" s="6" t="n">
        <f aca="false">Sens!H12265-Sens!H12261-Sens!H12266</f>
        <v>6.70637012977225</v>
      </c>
      <c r="I12267" s="6" t="n">
        <f aca="false">Sens!I12265-Sens!I12261-Sens!I12266</f>
        <v>6.75156717883416</v>
      </c>
      <c r="J12267" s="6" t="n">
        <f aca="false">Sens!J12265-Sens!J12261-Sens!J12266</f>
        <v>6.85402472711273</v>
      </c>
      <c r="K12267" s="6" t="n">
        <f aca="false">Sens!K12265-Sens!K12261-Sens!K12266</f>
        <v>7.00796750803058</v>
      </c>
    </row>
    <row r="12268" customFormat="false" ht="17.15" hidden="false" customHeight="false" outlineLevel="0" collapsed="false">
      <c r="A12268" s="0" t="s">
        <v>1083</v>
      </c>
      <c r="B12268" s="0" t="s">
        <v>98</v>
      </c>
      <c r="F12268" s="6" t="n">
        <f aca="false">Sens!F12262-tax_f*(Sens!F12262-Thesis!F40)-Thesis!F37</f>
        <v>-117.492972553783</v>
      </c>
      <c r="G12268" s="6" t="n">
        <f aca="false">Sens!G12262-tax_f*(Sens!G12262-Thesis!G40)-Thesis!G37</f>
        <v>-100.507498271105</v>
      </c>
      <c r="H12268" s="6" t="n">
        <f aca="false">Sens!H12262-tax_f*(Sens!H12262-Thesis!H40)-Thesis!H37</f>
        <v>-58.2254156812621</v>
      </c>
      <c r="I12268" s="6" t="n">
        <f aca="false">Sens!I12262-tax_f*(Sens!I12262-Thesis!I40)-Thesis!I37</f>
        <v>4.14141173464586</v>
      </c>
      <c r="J12268" s="6" t="n">
        <f aca="false">Sens!J12262-tax_f*(Sens!J12262-Thesis!J40)-Thesis!J37</f>
        <v>67.7960840957439</v>
      </c>
      <c r="K12268" s="6" t="n">
        <f aca="false">Sens!K12262-tax_f*(Sens!K12262-Thesis!K40)-Thesis!K37</f>
        <v>90.8148873630444</v>
      </c>
    </row>
    <row r="12269" customFormat="false" ht="17.15" hidden="false" customHeight="false" outlineLevel="0" collapsed="false">
      <c r="A12269" s="0" t="s">
        <v>1084</v>
      </c>
      <c r="B12269" s="0" t="s">
        <v>98</v>
      </c>
      <c r="G12269" s="6" t="n">
        <f aca="false">Sens!G12268/(1+(wacc-0.01))^(Sens!G12241-(Sens!F12241+mid_yr))</f>
        <v>-96.1394008740417</v>
      </c>
      <c r="H12269" s="6" t="n">
        <f aca="false">Sens!H12268/(1+(wacc-0.01))^(Sens!H12241-(Sens!F12241+mid_yr))</f>
        <v>-50.9590640000368</v>
      </c>
      <c r="I12269" s="6" t="n">
        <f aca="false">Sens!I12268/(1+(wacc-0.01))^(Sens!I12241-(Sens!F12241+mid_yr))</f>
        <v>3.31637132141873</v>
      </c>
      <c r="J12269" s="6" t="n">
        <f aca="false">Sens!J12268/(1+(wacc-0.01))^(Sens!J12241-(Sens!F12241+mid_yr))</f>
        <v>49.6735555695111</v>
      </c>
      <c r="K12269" s="6" t="n">
        <f aca="false">Sens!K12268/(1+(wacc-0.01))^(Sens!K12241-(Sens!F12241+mid_yr))</f>
        <v>60.8812530876786</v>
      </c>
      <c r="L12269" s="1" t="s">
        <v>1085</v>
      </c>
    </row>
    <row r="12270" customFormat="false" ht="17.15" hidden="false" customHeight="false" outlineLevel="0" collapsed="false">
      <c r="A12270" s="0" t="s">
        <v>1086</v>
      </c>
      <c r="B12270" s="0" t="s">
        <v>98</v>
      </c>
      <c r="C12270" s="6" t="n">
        <f aca="false">(Sens!K12262-Thesis!K40)*(1-tax_f)*(1+g_tv)*(1-g_tv/((wacc-0.01)+ronic_prem))/((wacc-0.01)-g_tv)/(1+(wacc-0.01))^(Sens!K12241+mid_yr-(Sens!F12241+mid_yr))</f>
        <v>519.461133205045</v>
      </c>
    </row>
    <row r="12271" customFormat="false" ht="17.15" hidden="false" customHeight="false" outlineLevel="0" collapsed="false">
      <c r="A12271" s="1" t="s">
        <v>1087</v>
      </c>
      <c r="B12271" s="0" t="s">
        <v>98</v>
      </c>
      <c r="C12271" s="6" t="n">
        <f aca="false">(SUM(Sens!G12269:K12269)+Sens!$C$12270)*(1+(wacc-0.01))^(t_roll-(Sens!F12241+mid_yr))</f>
        <v>500.527476757994</v>
      </c>
      <c r="L12271" s="11" t="s">
        <v>1088</v>
      </c>
    </row>
    <row r="12272" customFormat="false" ht="17.15" hidden="false" customHeight="false" outlineLevel="0" collapsed="false">
      <c r="A12272" s="1" t="s">
        <v>1089</v>
      </c>
      <c r="B12272" s="0" t="s">
        <v>98</v>
      </c>
      <c r="C12272" s="6" t="n">
        <f aca="false">(w_ntm28*Thesis!G29+(1-w_ntm28)*Thesis!H29)*m_ai</f>
        <v>551.711134531404</v>
      </c>
    </row>
    <row r="12273" customFormat="false" ht="17.15" hidden="false" customHeight="false" outlineLevel="0" collapsed="false">
      <c r="A12273" s="1" t="s">
        <v>1090</v>
      </c>
      <c r="B12273" s="0" t="s">
        <v>98</v>
      </c>
      <c r="C12273" s="6" t="n">
        <f aca="false">(w_ntm28*Sens!G12264+(1-w_ntm28)*Sens!H12264)*m_cloud</f>
        <v>1068.81917370447</v>
      </c>
    </row>
    <row r="12274" customFormat="false" ht="17.15" hidden="false" customHeight="false" outlineLevel="0" collapsed="false">
      <c r="A12274" s="1" t="s">
        <v>1091</v>
      </c>
      <c r="B12274" s="0" t="s">
        <v>98</v>
      </c>
      <c r="C12274" s="6" t="n">
        <f aca="false">(w_ntm28*Sens!G12257+(1-w_ntm28)*Sens!H12257)*m_sw</f>
        <v>1127.71024611553</v>
      </c>
    </row>
    <row r="12275" customFormat="false" ht="17.15" hidden="false" customHeight="false" outlineLevel="0" collapsed="false">
      <c r="A12275" s="1" t="s">
        <v>1092</v>
      </c>
      <c r="B12275" s="0" t="s">
        <v>98</v>
      </c>
      <c r="C12275" s="6" t="n">
        <f aca="false">(w_ntm28*Sens!G12258+(1-w_ntm28)*Sens!H12258)*m_sw</f>
        <v>379.927954212425</v>
      </c>
    </row>
    <row r="12276" customFormat="false" ht="17.15" hidden="false" customHeight="false" outlineLevel="0" collapsed="false">
      <c r="A12276" s="1" t="s">
        <v>1093</v>
      </c>
      <c r="B12276" s="0" t="s">
        <v>98</v>
      </c>
      <c r="C12276" s="6" t="n">
        <f aca="false">(w_ntm28*Sens!G12259+(1-w_ntm28)*Sens!H12259)*m_sw</f>
        <v>109.537681746057</v>
      </c>
    </row>
    <row r="12277" customFormat="false" ht="17.15" hidden="false" customHeight="false" outlineLevel="0" collapsed="false">
      <c r="A12277" s="1" t="s">
        <v>1094</v>
      </c>
      <c r="B12277" s="0" t="s">
        <v>98</v>
      </c>
      <c r="C12277" s="6" t="n">
        <f aca="false">(w_ntm28*Sens!G12260+(1-w_ntm28)*Sens!H12260)*m_sw</f>
        <v>41.7907416024197</v>
      </c>
    </row>
    <row r="12278" customFormat="false" ht="17.15" hidden="false" customHeight="false" outlineLevel="0" collapsed="false">
      <c r="A12278" s="1" t="s">
        <v>1095</v>
      </c>
      <c r="B12278" s="0" t="s">
        <v>98</v>
      </c>
      <c r="C12278" s="6" t="n">
        <f aca="false">(w_ntm28*Sens!G12261+(1-w_ntm28)*Sens!H12261)*m_ads</f>
        <v>115.467626729004</v>
      </c>
    </row>
    <row r="12279" customFormat="false" ht="17.15" hidden="false" customHeight="false" outlineLevel="0" collapsed="false">
      <c r="A12279" s="1" t="s">
        <v>1096</v>
      </c>
      <c r="B12279" s="0" t="s">
        <v>98</v>
      </c>
      <c r="C12279" s="6" t="n">
        <f aca="false">(w_ntm28*Sens!G12266+(1-w_ntm28)*Sens!H12266)*m_game</f>
        <v>98.0506984247457</v>
      </c>
    </row>
    <row r="12280" customFormat="false" ht="17.15" hidden="false" customHeight="false" outlineLevel="0" collapsed="false">
      <c r="A12280" s="1" t="s">
        <v>1097</v>
      </c>
      <c r="B12280" s="0" t="s">
        <v>98</v>
      </c>
      <c r="C12280" s="6" t="n">
        <f aca="false">(w_ntm28*Sens!G12267+(1-w_ntm28)*Sens!H12267)*m_pc</f>
        <v>97.2088080478016</v>
      </c>
    </row>
    <row r="12281" customFormat="false" ht="17.15" hidden="false" customHeight="false" outlineLevel="0" collapsed="false">
      <c r="A12281" s="1" t="s">
        <v>1098</v>
      </c>
      <c r="B12281" s="0" t="s">
        <v>98</v>
      </c>
      <c r="C12281" s="6" t="n">
        <f aca="false">Sens!$C$12271+Sens!$C$12273+Sens!$C$12274+Sens!$C$12275+Sens!$C$12276+Sens!$C$12277+Sens!$C$12278+Sens!$C$12279+Sens!$C$12280</f>
        <v>3539.04040734046</v>
      </c>
    </row>
    <row r="12282" customFormat="false" ht="17.15" hidden="false" customHeight="false" outlineLevel="0" collapsed="false">
      <c r="A12282" s="1" t="s">
        <v>1099</v>
      </c>
      <c r="B12282" s="0" t="s">
        <v>98</v>
      </c>
      <c r="C12282" s="6" t="n">
        <f aca="false">(Sens!G12243-Sens!G12268)*t_stub</f>
        <v>47.9592964551235</v>
      </c>
      <c r="L12282" s="1" t="s">
        <v>1100</v>
      </c>
    </row>
    <row r="12283" customFormat="false" ht="17.15" hidden="false" customHeight="false" outlineLevel="0" collapsed="false">
      <c r="A12283" s="1" t="s">
        <v>1014</v>
      </c>
      <c r="B12283" s="0" t="s">
        <v>98</v>
      </c>
      <c r="C12283" s="6" t="n">
        <f aca="false">CF!F38+oai_v-CF!F27+Sens!$C$12282</f>
        <v>163.066005497665</v>
      </c>
      <c r="L12283" s="1" t="s">
        <v>1101</v>
      </c>
    </row>
    <row r="12284" customFormat="false" ht="17.15" hidden="false" customHeight="false" outlineLevel="0" collapsed="false">
      <c r="A12284" s="1" t="s">
        <v>1102</v>
      </c>
      <c r="B12284" s="0" t="s">
        <v>75</v>
      </c>
      <c r="C12284" s="5" t="n">
        <f aca="false">(Sens!$C$12281+Sens!$C$12283)/(CF!F40+dil_gap)-CF!G30*roll_div_q/q_per_yr</f>
        <v>492.838089759621</v>
      </c>
      <c r="L12284" s="1" t="s">
        <v>1103</v>
      </c>
    </row>
    <row r="12285" customFormat="false" ht="17.15" hidden="false" customHeight="false" outlineLevel="0" collapsed="false">
      <c r="A12285" s="1" t="s">
        <v>1104</v>
      </c>
      <c r="B12285" s="0" t="s">
        <v>75</v>
      </c>
      <c r="C12285" s="5" t="n">
        <f aca="false">w_dcf*Sens!$C$12255+(1-w_dcf)*Sens!$C$12284</f>
        <v>451.594115270912</v>
      </c>
    </row>
    <row r="12286" customFormat="false" ht="17.15" hidden="false" customHeight="false" outlineLevel="0" collapsed="false">
      <c r="A12286" s="3" t="s">
        <v>1578</v>
      </c>
    </row>
    <row r="12287" customFormat="false" ht="15" hidden="false" customHeight="false" outlineLevel="0" collapsed="false">
      <c r="A12287" s="4" t="s">
        <v>43</v>
      </c>
      <c r="B12287" s="4" t="s">
        <v>65</v>
      </c>
      <c r="C12287" s="20" t="s">
        <v>799</v>
      </c>
      <c r="D12287" s="20" t="s">
        <v>800</v>
      </c>
      <c r="E12287" s="20" t="s">
        <v>801</v>
      </c>
      <c r="F12287" s="20" t="s">
        <v>802</v>
      </c>
      <c r="G12287" s="20" t="s">
        <v>803</v>
      </c>
      <c r="H12287" s="20" t="s">
        <v>804</v>
      </c>
      <c r="I12287" s="20" t="s">
        <v>805</v>
      </c>
      <c r="J12287" s="20" t="s">
        <v>806</v>
      </c>
      <c r="K12287" s="20" t="s">
        <v>807</v>
      </c>
      <c r="L12287" s="4" t="s">
        <v>47</v>
      </c>
    </row>
    <row r="12288" customFormat="false" ht="15" hidden="false" customHeight="false" outlineLevel="0" collapsed="false">
      <c r="A12288" s="1" t="s">
        <v>1057</v>
      </c>
      <c r="B12288" s="1" t="s">
        <v>235</v>
      </c>
      <c r="F12288" s="36" t="n">
        <f aca="false">Thesis!F55-base_fy-mid_yr</f>
        <v>0.5</v>
      </c>
      <c r="G12288" s="36" t="n">
        <f aca="false">Thesis!G55-base_fy-mid_yr</f>
        <v>1.5</v>
      </c>
      <c r="H12288" s="36" t="n">
        <f aca="false">Thesis!H55-base_fy-mid_yr</f>
        <v>2.5</v>
      </c>
      <c r="I12288" s="36" t="n">
        <f aca="false">Thesis!I55-base_fy-mid_yr</f>
        <v>3.5</v>
      </c>
      <c r="J12288" s="36" t="n">
        <f aca="false">Thesis!J55-base_fy-mid_yr</f>
        <v>4.5</v>
      </c>
      <c r="K12288" s="36" t="n">
        <f aca="false">Thesis!K55-base_fy-mid_yr</f>
        <v>5.5</v>
      </c>
    </row>
    <row r="12289" customFormat="false" ht="15" hidden="false" customHeight="false" outlineLevel="0" collapsed="false">
      <c r="A12289" s="1" t="s">
        <v>1058</v>
      </c>
      <c r="B12289" s="0" t="s">
        <v>185</v>
      </c>
      <c r="F12289" s="14" t="n">
        <f aca="false">1/(1+(wacc-0.01))^Sens!F12288</f>
        <v>0.956539586874594</v>
      </c>
      <c r="G12289" s="14" t="n">
        <f aca="false">1/(1+(wacc-0.01))^Sens!G12288</f>
        <v>0.875203094796217</v>
      </c>
      <c r="H12289" s="14" t="n">
        <f aca="false">1/(1+(wacc-0.01))^Sens!H12288</f>
        <v>0.80078280883664</v>
      </c>
      <c r="I12289" s="14" t="n">
        <f aca="false">1/(1+(wacc-0.01))^Sens!I12288</f>
        <v>0.732690630027546</v>
      </c>
      <c r="J12289" s="14" t="n">
        <f aca="false">1/(1+(wacc-0.01))^Sens!J12288</f>
        <v>0.670388466643116</v>
      </c>
      <c r="K12289" s="14" t="n">
        <f aca="false">1/(1+(wacc-0.01))^Sens!K12288</f>
        <v>0.613383981983244</v>
      </c>
    </row>
    <row r="12290" customFormat="false" ht="17.15" hidden="false" customHeight="false" outlineLevel="0" collapsed="false">
      <c r="A12290" s="1" t="s">
        <v>1059</v>
      </c>
      <c r="B12290" s="0" t="s">
        <v>98</v>
      </c>
      <c r="F12290" s="6" t="n">
        <f aca="false">CF!F53-CF!F51-CF!F57+Thesis!F93*(1-tax_f)</f>
        <v>-2.12916264917943</v>
      </c>
      <c r="G12290" s="6" t="n">
        <f aca="false">CF!G53-CF!G51-CF!G57+Thesis!G93*(1-tax_f)</f>
        <v>37.4539072201241</v>
      </c>
      <c r="H12290" s="6" t="n">
        <f aca="false">CF!H53-CF!H51-CF!H57+Thesis!H93*(1-tax_f)</f>
        <v>85.8888636072133</v>
      </c>
      <c r="I12290" s="6" t="n">
        <f aca="false">CF!I53-CF!I51-CF!I57+Thesis!I93*(1-tax_f)</f>
        <v>159.098024951333</v>
      </c>
      <c r="J12290" s="6" t="n">
        <f aca="false">CF!J53-CF!J51-CF!J57+Thesis!J93*(1-tax_f)</f>
        <v>233.876759261847</v>
      </c>
      <c r="K12290" s="6" t="n">
        <f aca="false">CF!K53-CF!K51-CF!K57+Thesis!K93*(1-tax_f)</f>
        <v>268.447783789649</v>
      </c>
      <c r="L12290" s="1" t="s">
        <v>1060</v>
      </c>
    </row>
    <row r="12291" customFormat="false" ht="15" hidden="false" customHeight="false" outlineLevel="0" collapsed="false">
      <c r="A12291" s="1" t="s">
        <v>1061</v>
      </c>
      <c r="B12291" s="0" t="s">
        <v>98</v>
      </c>
      <c r="F12291" s="6" t="n">
        <f aca="false">Sens!F12290*Sens!F12289</f>
        <v>-2.0366283608349</v>
      </c>
      <c r="G12291" s="6" t="n">
        <f aca="false">Sens!G12290*Sens!G12289</f>
        <v>32.779775511263</v>
      </c>
      <c r="H12291" s="6" t="n">
        <f aca="false">Sens!H12290*Sens!H12289</f>
        <v>68.7783254471713</v>
      </c>
      <c r="I12291" s="6" t="n">
        <f aca="false">Sens!I12290*Sens!I12289</f>
        <v>116.569632137731</v>
      </c>
      <c r="J12291" s="6" t="n">
        <f aca="false">Sens!J12290*Sens!J12289</f>
        <v>156.788282025011</v>
      </c>
      <c r="K12291" s="6" t="n">
        <f aca="false">Sens!K12290*Sens!K12289</f>
        <v>164.661570575472</v>
      </c>
    </row>
    <row r="12292" customFormat="false" ht="17.15" hidden="false" customHeight="false" outlineLevel="0" collapsed="false">
      <c r="A12292" s="1" t="s">
        <v>1062</v>
      </c>
      <c r="B12292" s="0" t="s">
        <v>98</v>
      </c>
      <c r="C12292" s="6" t="n">
        <f aca="false">SUM(Sens!F12291:K12291)</f>
        <v>537.540957335813</v>
      </c>
    </row>
    <row r="12293" customFormat="false" ht="17.15" hidden="false" customHeight="false" outlineLevel="0" collapsed="false">
      <c r="A12293" s="1" t="s">
        <v>1063</v>
      </c>
      <c r="B12293" s="0" t="s">
        <v>98</v>
      </c>
      <c r="C12293" s="6" t="n">
        <f aca="false">PL!K78*(1+g_tv)*(1-tax_f)</f>
        <v>284.685941703094</v>
      </c>
    </row>
    <row r="12294" customFormat="false" ht="17.15" hidden="false" customHeight="false" outlineLevel="0" collapsed="false">
      <c r="A12294" s="1" t="s">
        <v>1064</v>
      </c>
      <c r="B12294" s="0" t="s">
        <v>98</v>
      </c>
      <c r="C12294" s="6" t="n">
        <f aca="false">Sens!$C$12293*(1-g_tv/((wacc-0.01)+ronic_prem))</f>
        <v>192.786963449852</v>
      </c>
    </row>
    <row r="12295" customFormat="false" ht="17.15" hidden="false" customHeight="false" outlineLevel="0" collapsed="false">
      <c r="A12295" s="1" t="s">
        <v>1065</v>
      </c>
      <c r="B12295" s="0" t="s">
        <v>98</v>
      </c>
      <c r="C12295" s="6" t="n">
        <f aca="false">Sens!$C$12294/((wacc-0.01)-g_tv)</f>
        <v>3063.29927510806</v>
      </c>
    </row>
    <row r="12296" customFormat="false" ht="15" hidden="false" customHeight="false" outlineLevel="0" collapsed="false">
      <c r="A12296" s="1" t="s">
        <v>1066</v>
      </c>
      <c r="B12296" s="0" t="s">
        <v>98</v>
      </c>
      <c r="C12296" s="6" t="n">
        <f aca="false">Sens!$C$12295/(1+(wacc-0.01))^(Sens!K12288+mid_yr)</f>
        <v>1797.31751649593</v>
      </c>
    </row>
    <row r="12297" customFormat="false" ht="17.15" hidden="false" customHeight="false" outlineLevel="0" collapsed="false">
      <c r="A12297" s="0" t="s">
        <v>986</v>
      </c>
      <c r="B12297" s="0" t="s">
        <v>98</v>
      </c>
      <c r="C12297" s="6" t="n">
        <f aca="false">Sens!$C$12292+Sens!$C$12296</f>
        <v>2334.85847383174</v>
      </c>
    </row>
    <row r="12298" customFormat="false" ht="15" hidden="false" customHeight="false" outlineLevel="0" collapsed="false">
      <c r="A12298" s="1" t="s">
        <v>987</v>
      </c>
      <c r="B12298" s="0" t="s">
        <v>129</v>
      </c>
      <c r="C12298" s="7" t="n">
        <f aca="false">Sens!$C$12296/Sens!$C$12297</f>
        <v>0.769775785830114</v>
      </c>
    </row>
    <row r="12299" customFormat="false" ht="17.15" hidden="false" customHeight="false" outlineLevel="0" collapsed="false">
      <c r="A12299" s="1" t="s">
        <v>1067</v>
      </c>
      <c r="B12299" s="0" t="s">
        <v>98</v>
      </c>
      <c r="C12299" s="6" t="n">
        <f aca="false">Sens!$C$12297+CF!E69-CF!E58+oai_v</f>
        <v>2469.37147383174</v>
      </c>
    </row>
    <row r="12300" customFormat="false" ht="17.15" hidden="false" customHeight="false" outlineLevel="0" collapsed="false">
      <c r="A12300" s="0" t="s">
        <v>994</v>
      </c>
      <c r="B12300" s="0" t="s">
        <v>75</v>
      </c>
      <c r="C12300" s="5" t="n">
        <f aca="false">Sens!$C$12299/sh_dil26</f>
        <v>331.325838431738</v>
      </c>
    </row>
    <row r="12301" customFormat="false" ht="15" hidden="false" customHeight="false" outlineLevel="0" collapsed="false">
      <c r="A12301" s="1" t="s">
        <v>1068</v>
      </c>
      <c r="B12301" s="0" t="s">
        <v>75</v>
      </c>
      <c r="C12301" s="8" t="n">
        <f aca="false">dps_27+CF!G61*roll_div_q/q_per_yr</f>
        <v>4.8895</v>
      </c>
    </row>
    <row r="12302" customFormat="false" ht="17.15" hidden="false" customHeight="false" outlineLevel="0" collapsed="false">
      <c r="A12302" s="0" t="s">
        <v>1069</v>
      </c>
      <c r="B12302" s="0" t="s">
        <v>75</v>
      </c>
      <c r="C12302" s="5" t="n">
        <f aca="false">Sens!$C$12300*(1+(wacc-0.01))^t_roll-Sens!$C$12301</f>
        <v>367.872938676955</v>
      </c>
    </row>
    <row r="12303" customFormat="false" ht="17.15" hidden="false" customHeight="false" outlineLevel="0" collapsed="false">
      <c r="A12303" s="1" t="s">
        <v>1070</v>
      </c>
      <c r="B12303" s="0" t="s">
        <v>129</v>
      </c>
      <c r="F12303" s="7" t="n">
        <f aca="false">CF!F48/(Seg!F56-Thesis!F72)</f>
        <v>0.0708376243512414</v>
      </c>
      <c r="G12303" s="7" t="n">
        <f aca="false">CF!G48/(Seg!G56-Thesis!G72)</f>
        <v>0.0675792567445289</v>
      </c>
      <c r="H12303" s="7" t="n">
        <f aca="false">CF!H48/(Seg!H56-Thesis!H72)</f>
        <v>0.0657637992399081</v>
      </c>
      <c r="I12303" s="7" t="n">
        <f aca="false">CF!I48/(Seg!I56-Thesis!I72)</f>
        <v>0.0652507860006261</v>
      </c>
      <c r="J12303" s="7" t="n">
        <f aca="false">CF!J48/(Seg!J56-Thesis!J72)</f>
        <v>0.0657374094257698</v>
      </c>
      <c r="K12303" s="7" t="n">
        <f aca="false">CF!K48/(Seg!K56-Thesis!K72)</f>
        <v>0.0668595832904836</v>
      </c>
    </row>
    <row r="12304" customFormat="false" ht="17.15" hidden="false" customHeight="false" outlineLevel="0" collapsed="false">
      <c r="A12304" s="0" t="s">
        <v>1071</v>
      </c>
      <c r="B12304" s="0" t="s">
        <v>98</v>
      </c>
      <c r="F12304" s="6" t="n">
        <f aca="false">Seg!F41*(al_m365+Sens!F12303+sbc_r)</f>
        <v>84.2019918892952</v>
      </c>
      <c r="G12304" s="6" t="n">
        <f aca="false">Seg!G41*(al_m365+Sens!G12303+sbc_r)</f>
        <v>96.61090954529</v>
      </c>
      <c r="H12304" s="6" t="n">
        <f aca="false">Seg!H41*(al_m365+Sens!H12303+sbc_r)</f>
        <v>109.18271398457</v>
      </c>
      <c r="I12304" s="6" t="n">
        <f aca="false">Seg!I41*(al_m365+Sens!I12303+sbc_r)</f>
        <v>120.736322591613</v>
      </c>
      <c r="J12304" s="6" t="n">
        <f aca="false">Seg!J41*(al_m365+Sens!J12303+sbc_r)</f>
        <v>131.084561154645</v>
      </c>
      <c r="K12304" s="6" t="n">
        <f aca="false">Seg!K41*(al_m365+Sens!K12303+sbc_r)</f>
        <v>141.044207560217</v>
      </c>
      <c r="L12304" s="11" t="s">
        <v>1072</v>
      </c>
    </row>
    <row r="12305" customFormat="false" ht="17.15" hidden="false" customHeight="false" outlineLevel="0" collapsed="false">
      <c r="A12305" s="0" t="s">
        <v>1073</v>
      </c>
      <c r="B12305" s="0" t="s">
        <v>98</v>
      </c>
      <c r="F12305" s="6" t="n">
        <f aca="false">Seg!F42*(al_lic+Sens!F12303+sbc_r)</f>
        <v>33.5324516680982</v>
      </c>
      <c r="G12305" s="6" t="n">
        <f aca="false">Seg!G42*(al_lic+Sens!G12303+sbc_r)</f>
        <v>34.819657317048</v>
      </c>
      <c r="H12305" s="6" t="n">
        <f aca="false">Seg!H42*(al_lic+Sens!H12303+sbc_r)</f>
        <v>36.0229106304815</v>
      </c>
      <c r="I12305" s="6" t="n">
        <f aca="false">Seg!I42*(al_lic+Sens!I12303+sbc_r)</f>
        <v>37.1234854794919</v>
      </c>
      <c r="J12305" s="6" t="n">
        <f aca="false">Seg!J42*(al_lic+Sens!J12303+sbc_r)</f>
        <v>38.0950592345738</v>
      </c>
      <c r="K12305" s="6" t="n">
        <f aca="false">Seg!K42*(al_lic+Sens!K12303+sbc_r)</f>
        <v>38.9080719459809</v>
      </c>
    </row>
    <row r="12306" customFormat="false" ht="17.15" hidden="false" customHeight="false" outlineLevel="0" collapsed="false">
      <c r="A12306" s="0" t="s">
        <v>1074</v>
      </c>
      <c r="B12306" s="0" t="s">
        <v>98</v>
      </c>
      <c r="F12306" s="6" t="n">
        <f aca="false">Seg!F44*(al_ind+Sens!F12303+sbc_r)</f>
        <v>9.12666918765551</v>
      </c>
      <c r="G12306" s="6" t="n">
        <f aca="false">Seg!G44*(al_ind+Sens!G12303+sbc_r)</f>
        <v>9.89694850970116</v>
      </c>
      <c r="H12306" s="6" t="n">
        <f aca="false">Seg!H44*(al_ind+Sens!H12303+sbc_r)</f>
        <v>10.7131335152527</v>
      </c>
      <c r="I12306" s="6" t="n">
        <f aca="false">Seg!I44*(al_ind+Sens!I12303+sbc_r)</f>
        <v>11.5721730864119</v>
      </c>
      <c r="J12306" s="6" t="n">
        <f aca="false">Seg!J44*(al_ind+Sens!J12303+sbc_r)</f>
        <v>12.4641697526801</v>
      </c>
      <c r="K12306" s="6" t="n">
        <f aca="false">Seg!K44*(al_ind+Sens!K12303+sbc_r)</f>
        <v>13.3737871892836</v>
      </c>
    </row>
    <row r="12307" customFormat="false" ht="17.15" hidden="false" customHeight="false" outlineLevel="0" collapsed="false">
      <c r="A12307" s="0" t="s">
        <v>1075</v>
      </c>
      <c r="B12307" s="0" t="s">
        <v>98</v>
      </c>
      <c r="F12307" s="6" t="n">
        <f aca="false">Seg!F46*(al_fro+Sens!F12303+sbc_r)</f>
        <v>3.5922890341799</v>
      </c>
      <c r="G12307" s="6" t="n">
        <f aca="false">Seg!G46*(al_fro+Sens!G12303+sbc_r)</f>
        <v>3.79984310356763</v>
      </c>
      <c r="H12307" s="6" t="n">
        <f aca="false">Seg!H46*(al_fro+Sens!H12303+sbc_r)</f>
        <v>4.03707539290126</v>
      </c>
      <c r="I12307" s="6" t="n">
        <f aca="false">Seg!I46*(al_fro+Sens!I12303+sbc_r)</f>
        <v>4.30669184104541</v>
      </c>
      <c r="J12307" s="6" t="n">
        <f aca="false">Seg!J46*(al_fro+Sens!J12303+sbc_r)</f>
        <v>4.6097289716959</v>
      </c>
      <c r="K12307" s="6" t="n">
        <f aca="false">Seg!K46*(al_fro+Sens!K12303+sbc_r)</f>
        <v>4.94614045628512</v>
      </c>
    </row>
    <row r="12308" customFormat="false" ht="17.15" hidden="false" customHeight="false" outlineLevel="0" collapsed="false">
      <c r="A12308" s="0" t="s">
        <v>1076</v>
      </c>
      <c r="B12308" s="0" t="s">
        <v>98</v>
      </c>
      <c r="F12308" s="6" t="n">
        <f aca="false">Seg!F49*(al_srch+Sens!F12303+sbc_r)</f>
        <v>11.2715683093452</v>
      </c>
      <c r="G12308" s="6" t="n">
        <f aca="false">Seg!G49*(al_srch+Sens!G12303+sbc_r)</f>
        <v>12.338201972554</v>
      </c>
      <c r="H12308" s="6" t="n">
        <f aca="false">Seg!H49*(al_srch+Sens!H12303+sbc_r)</f>
        <v>13.450727865064</v>
      </c>
      <c r="I12308" s="6" t="n">
        <f aca="false">Seg!I49*(al_srch+Sens!I12303+sbc_r)</f>
        <v>14.598560682534</v>
      </c>
      <c r="J12308" s="6" t="n">
        <f aca="false">Seg!J49*(al_srch+Sens!J12303+sbc_r)</f>
        <v>15.7615229152659</v>
      </c>
      <c r="K12308" s="6" t="n">
        <f aca="false">Seg!K49*(al_srch+Sens!K12303+sbc_r)</f>
        <v>16.9117765106222</v>
      </c>
    </row>
    <row r="12309" customFormat="false" ht="17.15" hidden="false" customHeight="false" outlineLevel="0" collapsed="false">
      <c r="A12309" s="0" t="s">
        <v>1077</v>
      </c>
      <c r="B12309" s="0" t="s">
        <v>98</v>
      </c>
      <c r="F12309" s="6" t="n">
        <f aca="false">Thesis!F78-Thesis!F79+Thesis!F93</f>
        <v>42.2254306726393</v>
      </c>
      <c r="G12309" s="6" t="n">
        <f aca="false">Thesis!G78-Thesis!G79+Thesis!G93</f>
        <v>79.7027537443441</v>
      </c>
      <c r="H12309" s="6" t="n">
        <f aca="false">Thesis!H78-Thesis!H79+Thesis!H93</f>
        <v>120.060533679822</v>
      </c>
      <c r="I12309" s="6" t="n">
        <f aca="false">Thesis!I78-Thesis!I79+Thesis!I93</f>
        <v>156.515256506302</v>
      </c>
      <c r="J12309" s="6" t="n">
        <f aca="false">Thesis!J78-Thesis!J79+Thesis!J93</f>
        <v>182.51821819491</v>
      </c>
      <c r="K12309" s="6" t="n">
        <f aca="false">Thesis!K78-Thesis!K79+Thesis!K93</f>
        <v>199.254533496123</v>
      </c>
    </row>
    <row r="12310" customFormat="false" ht="17.15" hidden="false" customHeight="false" outlineLevel="0" collapsed="false">
      <c r="A12310" s="0" t="s">
        <v>1078</v>
      </c>
      <c r="B12310" s="0" t="s">
        <v>98</v>
      </c>
      <c r="F12310" s="6" t="n">
        <f aca="false">PL!F71+Thesis!F93+Thesis!F89+Sens!F12303*(Seg!F48-Thesis!F72)+sbc_r*Seg!F48</f>
        <v>233.08249657256</v>
      </c>
      <c r="G12310" s="6" t="n">
        <f aca="false">PL!G71+Thesis!G93+Thesis!G89+Sens!G12303*(Seg!G48-Thesis!G72)+sbc_r*Seg!G48</f>
        <v>297.663189032606</v>
      </c>
      <c r="H12310" s="6" t="n">
        <f aca="false">PL!H71+Thesis!H93+Thesis!H89+Sens!H12303*(Seg!H48-Thesis!H72)+sbc_r*Seg!H48</f>
        <v>365.628165851855</v>
      </c>
      <c r="I12310" s="6" t="n">
        <f aca="false">PL!I71+Thesis!I93+Thesis!I89+Sens!I12303*(Seg!I48-Thesis!I72)+sbc_r*Seg!I48</f>
        <v>428.31888397841</v>
      </c>
      <c r="J12310" s="6" t="n">
        <f aca="false">PL!J71+Thesis!J93+Thesis!J89+Sens!J12303*(Seg!J48-Thesis!J72)+sbc_r*Seg!J48</f>
        <v>478.127348640143</v>
      </c>
      <c r="K12310" s="6" t="n">
        <f aca="false">PL!K71+Thesis!K93+Thesis!K89+Sens!K12303*(Seg!K48-Thesis!K72)+sbc_r*Seg!K48</f>
        <v>516.321726855748</v>
      </c>
    </row>
    <row r="12311" customFormat="false" ht="17.15" hidden="false" customHeight="false" outlineLevel="0" collapsed="false">
      <c r="A12311" s="0" t="s">
        <v>1079</v>
      </c>
      <c r="B12311" s="0" t="s">
        <v>98</v>
      </c>
      <c r="F12311" s="6" t="n">
        <f aca="false">Sens!F12310-Sens!F12304-Sens!F12305-Sens!F12306-Sens!F12307-Sens!F12309</f>
        <v>60.4036641206917</v>
      </c>
      <c r="G12311" s="6" t="n">
        <f aca="false">Sens!G12310-Sens!G12304-Sens!G12305-Sens!G12306-Sens!G12307-Sens!G12309</f>
        <v>72.8330768126549</v>
      </c>
      <c r="H12311" s="6" t="n">
        <f aca="false">Sens!H12310-Sens!H12304-Sens!H12305-Sens!H12306-Sens!H12307-Sens!H12309</f>
        <v>85.6117986488275</v>
      </c>
      <c r="I12311" s="6" t="n">
        <f aca="false">Sens!I12310-Sens!I12304-Sens!I12305-Sens!I12306-Sens!I12307-Sens!I12309</f>
        <v>98.0649544735462</v>
      </c>
      <c r="J12311" s="6" t="n">
        <f aca="false">Sens!J12310-Sens!J12304-Sens!J12305-Sens!J12306-Sens!J12307-Sens!J12309</f>
        <v>109.355611331638</v>
      </c>
      <c r="K12311" s="6" t="n">
        <f aca="false">Sens!K12310-Sens!K12304-Sens!K12305-Sens!K12306-Sens!K12307-Sens!K12309</f>
        <v>118.794986207857</v>
      </c>
    </row>
    <row r="12312" customFormat="false" ht="17.15" hidden="false" customHeight="false" outlineLevel="0" collapsed="false">
      <c r="A12312" s="0" t="s">
        <v>1080</v>
      </c>
      <c r="B12312" s="0" t="s">
        <v>98</v>
      </c>
      <c r="F12312" s="6" t="n">
        <f aca="false">PL!F73+Sens!F12303*Seg!F55+sbc_r*Seg!F55</f>
        <v>26.345087006484</v>
      </c>
      <c r="G12312" s="6" t="n">
        <f aca="false">PL!G73+Sens!G12303*Seg!G55+sbc_r*Seg!G55</f>
        <v>26.928666241387</v>
      </c>
      <c r="H12312" s="6" t="n">
        <f aca="false">PL!H73+Sens!H12303*Seg!H55+sbc_r*Seg!H55</f>
        <v>27.7857977299272</v>
      </c>
      <c r="I12312" s="6" t="n">
        <f aca="false">PL!I73+Sens!I12303*Seg!I55+sbc_r*Seg!I55</f>
        <v>28.8854111921819</v>
      </c>
      <c r="J12312" s="6" t="n">
        <f aca="false">PL!J73+Sens!J12303*Seg!J55+sbc_r*Seg!J55</f>
        <v>30.1909525075627</v>
      </c>
      <c r="K12312" s="6" t="n">
        <f aca="false">PL!K73+Sens!K12303*Seg!K55+sbc_r*Seg!K55</f>
        <v>31.6641663414168</v>
      </c>
    </row>
    <row r="12313" customFormat="false" ht="17.15" hidden="false" customHeight="false" outlineLevel="0" collapsed="false">
      <c r="A12313" s="0" t="s">
        <v>1081</v>
      </c>
      <c r="B12313" s="0" t="s">
        <v>98</v>
      </c>
      <c r="F12313" s="6" t="n">
        <f aca="false">(Sens!F12312-Sens!F12308)*Seg!F51/(Seg!F51+Seg!F53)</f>
        <v>8.26315613582677</v>
      </c>
      <c r="G12313" s="6" t="n">
        <f aca="false">(Sens!G12312-Sens!G12308)*Seg!G51/(Seg!G51+Seg!G53)</f>
        <v>7.85574031810689</v>
      </c>
      <c r="H12313" s="6" t="n">
        <f aca="false">(Sens!H12312-Sens!H12308)*Seg!H51/(Seg!H51+Seg!H53)</f>
        <v>7.61397145487838</v>
      </c>
      <c r="I12313" s="6" t="n">
        <f aca="false">(Sens!I12312-Sens!I12308)*Seg!I51/(Seg!I51+Seg!I53)</f>
        <v>7.51970050510933</v>
      </c>
      <c r="J12313" s="6" t="n">
        <f aca="false">(Sens!J12312-Sens!J12308)*Seg!J51/(Seg!J51+Seg!J53)</f>
        <v>7.56040201890202</v>
      </c>
      <c r="K12313" s="6" t="n">
        <f aca="false">(Sens!K12312-Sens!K12308)*Seg!K51/(Seg!K51+Seg!K53)</f>
        <v>7.72961932742727</v>
      </c>
    </row>
    <row r="12314" customFormat="false" ht="17.15" hidden="false" customHeight="false" outlineLevel="0" collapsed="false">
      <c r="A12314" s="0" t="s">
        <v>1082</v>
      </c>
      <c r="B12314" s="0" t="s">
        <v>98</v>
      </c>
      <c r="F12314" s="6" t="n">
        <f aca="false">Sens!F12312-Sens!F12308-Sens!F12313</f>
        <v>6.81036256131213</v>
      </c>
      <c r="G12314" s="6" t="n">
        <f aca="false">Sens!G12312-Sens!G12308-Sens!G12313</f>
        <v>6.73472395072608</v>
      </c>
      <c r="H12314" s="6" t="n">
        <f aca="false">Sens!H12312-Sens!H12308-Sens!H12313</f>
        <v>6.72109840998485</v>
      </c>
      <c r="I12314" s="6" t="n">
        <f aca="false">Sens!I12312-Sens!I12308-Sens!I12313</f>
        <v>6.76715000453853</v>
      </c>
      <c r="J12314" s="6" t="n">
        <f aca="false">Sens!J12312-Sens!J12308-Sens!J12313</f>
        <v>6.86902757339483</v>
      </c>
      <c r="K12314" s="6" t="n">
        <f aca="false">Sens!K12312-Sens!K12308-Sens!K12313</f>
        <v>7.02277050336727</v>
      </c>
    </row>
    <row r="12315" customFormat="false" ht="17.15" hidden="false" customHeight="false" outlineLevel="0" collapsed="false">
      <c r="A12315" s="0" t="s">
        <v>1083</v>
      </c>
      <c r="B12315" s="0" t="s">
        <v>98</v>
      </c>
      <c r="F12315" s="6" t="n">
        <f aca="false">Sens!F12309-tax_f*(Sens!F12309-Thesis!F89)-Thesis!F86</f>
        <v>-119.742553857164</v>
      </c>
      <c r="G12315" s="6" t="n">
        <f aca="false">Sens!G12309-tax_f*(Sens!G12309-Thesis!G89)-Thesis!G86</f>
        <v>-107.986890065622</v>
      </c>
      <c r="H12315" s="6" t="n">
        <f aca="false">Sens!H12309-tax_f*(Sens!H12309-Thesis!H89)-Thesis!H86</f>
        <v>-74.7596549978803</v>
      </c>
      <c r="I12315" s="6" t="n">
        <f aca="false">Sens!I12309-tax_f*(Sens!I12309-Thesis!I89)-Thesis!I86</f>
        <v>-16.3733151827256</v>
      </c>
      <c r="J12315" s="6" t="n">
        <f aca="false">Sens!J12309-tax_f*(Sens!J12309-Thesis!J89)-Thesis!J86</f>
        <v>44.4328025322546</v>
      </c>
      <c r="K12315" s="6" t="n">
        <f aca="false">Sens!K12309-tax_f*(Sens!K12309-Thesis!K89)-Thesis!K86</f>
        <v>65.8225043021697</v>
      </c>
    </row>
    <row r="12316" customFormat="false" ht="17.15" hidden="false" customHeight="false" outlineLevel="0" collapsed="false">
      <c r="A12316" s="0" t="s">
        <v>1084</v>
      </c>
      <c r="B12316" s="0" t="s">
        <v>98</v>
      </c>
      <c r="G12316" s="6" t="n">
        <f aca="false">Sens!G12315/(1+(wacc-0.01))^(Sens!G12288-(Sens!F12288+mid_yr))</f>
        <v>-103.293735211243</v>
      </c>
      <c r="H12316" s="6" t="n">
        <f aca="false">Sens!H12315/(1+(wacc-0.01))^(Sens!H12288-(Sens!F12288+mid_yr))</f>
        <v>-65.4298814200423</v>
      </c>
      <c r="I12316" s="6" t="n">
        <f aca="false">Sens!I12315/(1+(wacc-0.01))^(Sens!I12288-(Sens!F12288+mid_yr))</f>
        <v>-13.1114693219906</v>
      </c>
      <c r="J12316" s="6" t="n">
        <f aca="false">Sens!J12315/(1+(wacc-0.01))^(Sens!J12288-(Sens!F12288+mid_yr))</f>
        <v>32.5554980812472</v>
      </c>
      <c r="K12316" s="6" t="n">
        <f aca="false">Sens!K12315/(1+(wacc-0.01))^(Sens!K12288-(Sens!F12288+mid_yr))</f>
        <v>44.1266477297414</v>
      </c>
      <c r="L12316" s="1" t="s">
        <v>1085</v>
      </c>
    </row>
    <row r="12317" customFormat="false" ht="17.15" hidden="false" customHeight="false" outlineLevel="0" collapsed="false">
      <c r="A12317" s="0" t="s">
        <v>1086</v>
      </c>
      <c r="B12317" s="0" t="s">
        <v>98</v>
      </c>
      <c r="C12317" s="6" t="n">
        <f aca="false">(Sens!K12309-Thesis!K89)*(1-tax_f)*(1+g_tv)*(1-g_tv/((wacc-0.01)+ronic_prem))/((wacc-0.01)-g_tv)/(1+(wacc-0.01))^(Sens!K12288+mid_yr-(Sens!F12288+mid_yr))</f>
        <v>341.838713336807</v>
      </c>
    </row>
    <row r="12318" customFormat="false" ht="17.15" hidden="false" customHeight="false" outlineLevel="0" collapsed="false">
      <c r="A12318" s="1" t="s">
        <v>1087</v>
      </c>
      <c r="B12318" s="0" t="s">
        <v>98</v>
      </c>
      <c r="C12318" s="6" t="n">
        <f aca="false">(SUM(Sens!G12316:K12316)+Sens!$C$12317)*(1+(wacc-0.01))^(t_roll-(Sens!F12288+mid_yr))</f>
        <v>243.643533360397</v>
      </c>
      <c r="L12318" s="11" t="s">
        <v>1088</v>
      </c>
    </row>
    <row r="12319" customFormat="false" ht="17.15" hidden="false" customHeight="false" outlineLevel="0" collapsed="false">
      <c r="A12319" s="1" t="s">
        <v>1089</v>
      </c>
      <c r="B12319" s="0" t="s">
        <v>98</v>
      </c>
      <c r="C12319" s="6" t="n">
        <f aca="false">(w_ntm28*Thesis!G78+(1-w_ntm28)*Thesis!H78)*m_ai</f>
        <v>454.922440830797</v>
      </c>
    </row>
    <row r="12320" customFormat="false" ht="17.15" hidden="false" customHeight="false" outlineLevel="0" collapsed="false">
      <c r="A12320" s="1" t="s">
        <v>1090</v>
      </c>
      <c r="B12320" s="0" t="s">
        <v>98</v>
      </c>
      <c r="C12320" s="6" t="n">
        <f aca="false">(w_ntm28*Sens!G12311+(1-w_ntm28)*Sens!H12311)*m_cloud</f>
        <v>1063.6463501031</v>
      </c>
    </row>
    <row r="12321" customFormat="false" ht="17.15" hidden="false" customHeight="false" outlineLevel="0" collapsed="false">
      <c r="A12321" s="1" t="s">
        <v>1091</v>
      </c>
      <c r="B12321" s="0" t="s">
        <v>98</v>
      </c>
      <c r="C12321" s="6" t="n">
        <f aca="false">(w_ntm28*Sens!G12304+(1-w_ntm28)*Sens!H12304)*m_sw</f>
        <v>1087.29236439713</v>
      </c>
    </row>
    <row r="12322" customFormat="false" ht="17.15" hidden="false" customHeight="false" outlineLevel="0" collapsed="false">
      <c r="A12322" s="1" t="s">
        <v>1092</v>
      </c>
      <c r="B12322" s="0" t="s">
        <v>98</v>
      </c>
      <c r="C12322" s="6" t="n">
        <f aca="false">(w_ntm28*Sens!G12305+(1-w_ntm28)*Sens!H12305)*m_sw</f>
        <v>380.253466209432</v>
      </c>
    </row>
    <row r="12323" customFormat="false" ht="17.15" hidden="false" customHeight="false" outlineLevel="0" collapsed="false">
      <c r="A12323" s="1" t="s">
        <v>1093</v>
      </c>
      <c r="B12323" s="0" t="s">
        <v>98</v>
      </c>
      <c r="C12323" s="6" t="n">
        <f aca="false">(w_ntm28*Sens!G12306+(1-w_ntm28)*Sens!H12306)*m_sw</f>
        <v>109.736759441964</v>
      </c>
    </row>
    <row r="12324" customFormat="false" ht="17.15" hidden="false" customHeight="false" outlineLevel="0" collapsed="false">
      <c r="A12324" s="1" t="s">
        <v>1094</v>
      </c>
      <c r="B12324" s="0" t="s">
        <v>98</v>
      </c>
      <c r="C12324" s="6" t="n">
        <f aca="false">(w_ntm28*Sens!G12307+(1-w_ntm28)*Sens!H12307)*m_sw</f>
        <v>41.8666036816175</v>
      </c>
    </row>
    <row r="12325" customFormat="false" ht="17.15" hidden="false" customHeight="false" outlineLevel="0" collapsed="false">
      <c r="A12325" s="1" t="s">
        <v>1095</v>
      </c>
      <c r="B12325" s="0" t="s">
        <v>98</v>
      </c>
      <c r="C12325" s="6" t="n">
        <f aca="false">(w_ntm28*Sens!G12308+(1-w_ntm28)*Sens!H12308)*m_ads</f>
        <v>115.677576364297</v>
      </c>
    </row>
    <row r="12326" customFormat="false" ht="17.15" hidden="false" customHeight="false" outlineLevel="0" collapsed="false">
      <c r="A12326" s="1" t="s">
        <v>1096</v>
      </c>
      <c r="B12326" s="0" t="s">
        <v>98</v>
      </c>
      <c r="C12326" s="6" t="n">
        <f aca="false">(w_ntm28*Sens!G12313+(1-w_ntm28)*Sens!H12313)*m_game</f>
        <v>98.230828142008</v>
      </c>
    </row>
    <row r="12327" customFormat="false" ht="17.15" hidden="false" customHeight="false" outlineLevel="0" collapsed="false">
      <c r="A12327" s="1" t="s">
        <v>1097</v>
      </c>
      <c r="B12327" s="0" t="s">
        <v>98</v>
      </c>
      <c r="C12327" s="6" t="n">
        <f aca="false">(w_ntm28*Sens!G12314+(1-w_ntm28)*Sens!H12314)*m_pc</f>
        <v>97.3877156607214</v>
      </c>
    </row>
    <row r="12328" customFormat="false" ht="17.15" hidden="false" customHeight="false" outlineLevel="0" collapsed="false">
      <c r="A12328" s="1" t="s">
        <v>1098</v>
      </c>
      <c r="B12328" s="0" t="s">
        <v>98</v>
      </c>
      <c r="C12328" s="6" t="n">
        <f aca="false">Sens!$C$12318+Sens!$C$12320+Sens!$C$12321+Sens!$C$12322+Sens!$C$12323+Sens!$C$12324+Sens!$C$12325+Sens!$C$12326+Sens!$C$12327</f>
        <v>3237.73519736067</v>
      </c>
    </row>
    <row r="12329" customFormat="false" ht="17.15" hidden="false" customHeight="false" outlineLevel="0" collapsed="false">
      <c r="A12329" s="1" t="s">
        <v>1099</v>
      </c>
      <c r="B12329" s="0" t="s">
        <v>98</v>
      </c>
      <c r="C12329" s="6" t="n">
        <f aca="false">(Sens!G12290-Sens!G12315)*t_stub</f>
        <v>47.417684594531</v>
      </c>
      <c r="L12329" s="1" t="s">
        <v>1100</v>
      </c>
    </row>
    <row r="12330" customFormat="false" ht="17.15" hidden="false" customHeight="false" outlineLevel="0" collapsed="false">
      <c r="A12330" s="1" t="s">
        <v>1014</v>
      </c>
      <c r="B12330" s="0" t="s">
        <v>98</v>
      </c>
      <c r="C12330" s="6" t="n">
        <f aca="false">CF!F69+oai_v-CF!F58+Sens!$C$12329</f>
        <v>158.699306060314</v>
      </c>
      <c r="L12330" s="1" t="s">
        <v>1101</v>
      </c>
    </row>
    <row r="12331" customFormat="false" ht="17.15" hidden="false" customHeight="false" outlineLevel="0" collapsed="false">
      <c r="A12331" s="1" t="s">
        <v>1102</v>
      </c>
      <c r="B12331" s="0" t="s">
        <v>75</v>
      </c>
      <c r="C12331" s="5" t="n">
        <f aca="false">(Sens!$C$12328+Sens!$C$12330)/(CF!F71+dil_gap)-CF!G61*roll_div_q/q_per_yr</f>
        <v>452.060086902479</v>
      </c>
      <c r="L12331" s="1" t="s">
        <v>1103</v>
      </c>
    </row>
    <row r="12332" customFormat="false" ht="17.15" hidden="false" customHeight="false" outlineLevel="0" collapsed="false">
      <c r="A12332" s="1" t="s">
        <v>1104</v>
      </c>
      <c r="B12332" s="0" t="s">
        <v>75</v>
      </c>
      <c r="C12332" s="5" t="n">
        <f aca="false">w_dcf*Sens!$C$12302+(1-w_dcf)*Sens!$C$12331</f>
        <v>409.966512789717</v>
      </c>
    </row>
    <row r="12333" customFormat="false" ht="17.15" hidden="false" customHeight="false" outlineLevel="0" collapsed="false">
      <c r="A12333" s="3" t="s">
        <v>1579</v>
      </c>
    </row>
    <row r="12334" customFormat="false" ht="15" hidden="false" customHeight="false" outlineLevel="0" collapsed="false">
      <c r="A12334" s="4" t="s">
        <v>43</v>
      </c>
      <c r="B12334" s="4" t="s">
        <v>65</v>
      </c>
      <c r="C12334" s="20" t="s">
        <v>799</v>
      </c>
      <c r="D12334" s="20" t="s">
        <v>800</v>
      </c>
      <c r="E12334" s="20" t="s">
        <v>801</v>
      </c>
      <c r="F12334" s="20" t="s">
        <v>802</v>
      </c>
      <c r="G12334" s="20" t="s">
        <v>803</v>
      </c>
      <c r="H12334" s="20" t="s">
        <v>804</v>
      </c>
      <c r="I12334" s="20" t="s">
        <v>805</v>
      </c>
      <c r="J12334" s="20" t="s">
        <v>806</v>
      </c>
      <c r="K12334" s="20" t="s">
        <v>807</v>
      </c>
      <c r="L12334" s="4" t="s">
        <v>47</v>
      </c>
    </row>
    <row r="12335" customFormat="false" ht="15" hidden="false" customHeight="false" outlineLevel="0" collapsed="false">
      <c r="A12335" s="1" t="s">
        <v>1057</v>
      </c>
      <c r="B12335" s="1" t="s">
        <v>235</v>
      </c>
      <c r="F12335" s="36" t="n">
        <f aca="false">Thesis!F104-base_fy-mid_yr</f>
        <v>0.5</v>
      </c>
      <c r="G12335" s="36" t="n">
        <f aca="false">Thesis!G104-base_fy-mid_yr</f>
        <v>1.5</v>
      </c>
      <c r="H12335" s="36" t="n">
        <f aca="false">Thesis!H104-base_fy-mid_yr</f>
        <v>2.5</v>
      </c>
      <c r="I12335" s="36" t="n">
        <f aca="false">Thesis!I104-base_fy-mid_yr</f>
        <v>3.5</v>
      </c>
      <c r="J12335" s="36" t="n">
        <f aca="false">Thesis!J104-base_fy-mid_yr</f>
        <v>4.5</v>
      </c>
      <c r="K12335" s="36" t="n">
        <f aca="false">Thesis!K104-base_fy-mid_yr</f>
        <v>5.5</v>
      </c>
    </row>
    <row r="12336" customFormat="false" ht="15" hidden="false" customHeight="false" outlineLevel="0" collapsed="false">
      <c r="A12336" s="1" t="s">
        <v>1058</v>
      </c>
      <c r="B12336" s="0" t="s">
        <v>185</v>
      </c>
      <c r="F12336" s="14" t="n">
        <f aca="false">1/(1+(wacc-0.01))^Sens!F12335</f>
        <v>0.956539586874594</v>
      </c>
      <c r="G12336" s="14" t="n">
        <f aca="false">1/(1+(wacc-0.01))^Sens!G12335</f>
        <v>0.875203094796217</v>
      </c>
      <c r="H12336" s="14" t="n">
        <f aca="false">1/(1+(wacc-0.01))^Sens!H12335</f>
        <v>0.80078280883664</v>
      </c>
      <c r="I12336" s="14" t="n">
        <f aca="false">1/(1+(wacc-0.01))^Sens!I12335</f>
        <v>0.732690630027546</v>
      </c>
      <c r="J12336" s="14" t="n">
        <f aca="false">1/(1+(wacc-0.01))^Sens!J12335</f>
        <v>0.670388466643116</v>
      </c>
      <c r="K12336" s="14" t="n">
        <f aca="false">1/(1+(wacc-0.01))^Sens!K12335</f>
        <v>0.613383981983244</v>
      </c>
    </row>
    <row r="12337" customFormat="false" ht="17.15" hidden="false" customHeight="false" outlineLevel="0" collapsed="false">
      <c r="A12337" s="1" t="s">
        <v>1059</v>
      </c>
      <c r="B12337" s="0" t="s">
        <v>98</v>
      </c>
      <c r="F12337" s="6" t="n">
        <f aca="false">CF!F84-CF!F82-CF!F88+Thesis!F142*(1-tax_f)</f>
        <v>-5.66283879850096</v>
      </c>
      <c r="G12337" s="6" t="n">
        <f aca="false">CF!G84-CF!G82-CF!G88+Thesis!G142*(1-tax_f)</f>
        <v>26.4063013109088</v>
      </c>
      <c r="H12337" s="6" t="n">
        <f aca="false">CF!H84-CF!H82-CF!H88+Thesis!H142*(1-tax_f)</f>
        <v>62.5616635009479</v>
      </c>
      <c r="I12337" s="6" t="n">
        <f aca="false">CF!I84-CF!I82-CF!I88+Thesis!I142*(1-tax_f)</f>
        <v>129.900993846266</v>
      </c>
      <c r="J12337" s="6" t="n">
        <f aca="false">CF!J84-CF!J82-CF!J88+Thesis!J142*(1-tax_f)</f>
        <v>200.497803796175</v>
      </c>
      <c r="K12337" s="6" t="n">
        <f aca="false">CF!K84-CF!K82-CF!K88+Thesis!K142*(1-tax_f)</f>
        <v>232.344395761849</v>
      </c>
      <c r="L12337" s="1" t="s">
        <v>1060</v>
      </c>
    </row>
    <row r="12338" customFormat="false" ht="15" hidden="false" customHeight="false" outlineLevel="0" collapsed="false">
      <c r="A12338" s="1" t="s">
        <v>1061</v>
      </c>
      <c r="B12338" s="0" t="s">
        <v>98</v>
      </c>
      <c r="F12338" s="6" t="n">
        <f aca="false">Sens!F12337*Sens!F12336</f>
        <v>-5.41672948485553</v>
      </c>
      <c r="G12338" s="6" t="n">
        <f aca="false">Sens!G12337*Sens!G12336</f>
        <v>23.1108766294288</v>
      </c>
      <c r="H12338" s="6" t="n">
        <f aca="false">Sens!H12337*Sens!H12336</f>
        <v>50.0983046237817</v>
      </c>
      <c r="I12338" s="6" t="n">
        <f aca="false">Sens!I12337*Sens!I12336</f>
        <v>95.1772410224253</v>
      </c>
      <c r="J12338" s="6" t="n">
        <f aca="false">Sens!J12337*Sens!J12336</f>
        <v>134.41141525223</v>
      </c>
      <c r="K12338" s="6" t="n">
        <f aca="false">Sens!K12337*Sens!K12336</f>
        <v>142.516330663894</v>
      </c>
    </row>
    <row r="12339" customFormat="false" ht="17.15" hidden="false" customHeight="false" outlineLevel="0" collapsed="false">
      <c r="A12339" s="1" t="s">
        <v>1062</v>
      </c>
      <c r="B12339" s="0" t="s">
        <v>98</v>
      </c>
      <c r="C12339" s="6" t="n">
        <f aca="false">SUM(Sens!F12338:K12338)</f>
        <v>439.897438706904</v>
      </c>
    </row>
    <row r="12340" customFormat="false" ht="17.15" hidden="false" customHeight="false" outlineLevel="0" collapsed="false">
      <c r="A12340" s="1" t="s">
        <v>1063</v>
      </c>
      <c r="B12340" s="0" t="s">
        <v>98</v>
      </c>
      <c r="C12340" s="6" t="n">
        <f aca="false">PL!K117*(1+g_tv)*(1-tax_f)</f>
        <v>246.58988426946</v>
      </c>
    </row>
    <row r="12341" customFormat="false" ht="17.15" hidden="false" customHeight="false" outlineLevel="0" collapsed="false">
      <c r="A12341" s="1" t="s">
        <v>1064</v>
      </c>
      <c r="B12341" s="0" t="s">
        <v>98</v>
      </c>
      <c r="C12341" s="6" t="n">
        <f aca="false">Sens!$C$12340*(1-g_tv/((wacc-0.01)+ronic_prem))</f>
        <v>166.988628666953</v>
      </c>
    </row>
    <row r="12342" customFormat="false" ht="17.15" hidden="false" customHeight="false" outlineLevel="0" collapsed="false">
      <c r="A12342" s="1" t="s">
        <v>1065</v>
      </c>
      <c r="B12342" s="0" t="s">
        <v>98</v>
      </c>
      <c r="C12342" s="6" t="n">
        <f aca="false">Sens!$C$12341/((wacc-0.01)-g_tv)</f>
        <v>2653.37518675025</v>
      </c>
    </row>
    <row r="12343" customFormat="false" ht="15" hidden="false" customHeight="false" outlineLevel="0" collapsed="false">
      <c r="A12343" s="1" t="s">
        <v>1066</v>
      </c>
      <c r="B12343" s="0" t="s">
        <v>98</v>
      </c>
      <c r="C12343" s="6" t="n">
        <f aca="false">Sens!$C$12342/(1+(wacc-0.01))^(Sens!K12335+mid_yr)</f>
        <v>1556.8043709388</v>
      </c>
    </row>
    <row r="12344" customFormat="false" ht="17.15" hidden="false" customHeight="false" outlineLevel="0" collapsed="false">
      <c r="A12344" s="0" t="s">
        <v>986</v>
      </c>
      <c r="B12344" s="0" t="s">
        <v>98</v>
      </c>
      <c r="C12344" s="6" t="n">
        <f aca="false">Sens!$C$12339+Sens!$C$12343</f>
        <v>1996.7018096457</v>
      </c>
    </row>
    <row r="12345" customFormat="false" ht="15" hidden="false" customHeight="false" outlineLevel="0" collapsed="false">
      <c r="A12345" s="1" t="s">
        <v>987</v>
      </c>
      <c r="B12345" s="0" t="s">
        <v>129</v>
      </c>
      <c r="C12345" s="7" t="n">
        <f aca="false">Sens!$C$12343/Sens!$C$12344</f>
        <v>0.77968796513238</v>
      </c>
    </row>
    <row r="12346" customFormat="false" ht="17.15" hidden="false" customHeight="false" outlineLevel="0" collapsed="false">
      <c r="A12346" s="1" t="s">
        <v>1067</v>
      </c>
      <c r="B12346" s="0" t="s">
        <v>98</v>
      </c>
      <c r="C12346" s="6" t="n">
        <f aca="false">Sens!$C$12344+CF!E100-CF!E89+oai_v</f>
        <v>2131.2148096457</v>
      </c>
    </row>
    <row r="12347" customFormat="false" ht="17.15" hidden="false" customHeight="false" outlineLevel="0" collapsed="false">
      <c r="A12347" s="0" t="s">
        <v>994</v>
      </c>
      <c r="B12347" s="0" t="s">
        <v>75</v>
      </c>
      <c r="C12347" s="5" t="n">
        <f aca="false">Sens!$C$12346/sh_dil26</f>
        <v>285.953952723159</v>
      </c>
    </row>
    <row r="12348" customFormat="false" ht="15" hidden="false" customHeight="false" outlineLevel="0" collapsed="false">
      <c r="A12348" s="1" t="s">
        <v>1068</v>
      </c>
      <c r="B12348" s="0" t="s">
        <v>75</v>
      </c>
      <c r="C12348" s="8" t="n">
        <f aca="false">dps_27+CF!G92*roll_div_q/q_per_yr</f>
        <v>4.8895</v>
      </c>
    </row>
    <row r="12349" customFormat="false" ht="17.15" hidden="false" customHeight="false" outlineLevel="0" collapsed="false">
      <c r="A12349" s="0" t="s">
        <v>1069</v>
      </c>
      <c r="B12349" s="0" t="s">
        <v>75</v>
      </c>
      <c r="C12349" s="5" t="n">
        <f aca="false">Sens!$C$12347*(1+(wacc-0.01))^t_roll-Sens!$C$12348</f>
        <v>316.82670924868</v>
      </c>
    </row>
    <row r="12350" customFormat="false" ht="17.15" hidden="false" customHeight="false" outlineLevel="0" collapsed="false">
      <c r="A12350" s="1" t="s">
        <v>1070</v>
      </c>
      <c r="B12350" s="0" t="s">
        <v>129</v>
      </c>
      <c r="F12350" s="7" t="n">
        <f aca="false">CF!F79/(Seg!F83-Thesis!F121)</f>
        <v>0.0711475516535717</v>
      </c>
      <c r="G12350" s="7" t="n">
        <f aca="false">CF!G79/(Seg!G83-Thesis!G121)</f>
        <v>0.0682588862083999</v>
      </c>
      <c r="H12350" s="7" t="n">
        <f aca="false">CF!H79/(Seg!H83-Thesis!H121)</f>
        <v>0.0666622170094897</v>
      </c>
      <c r="I12350" s="7" t="n">
        <f aca="false">CF!I79/(Seg!I83-Thesis!I121)</f>
        <v>0.0661991449367101</v>
      </c>
      <c r="J12350" s="7" t="n">
        <f aca="false">CF!J79/(Seg!J83-Thesis!J121)</f>
        <v>0.0666400583966394</v>
      </c>
      <c r="K12350" s="7" t="n">
        <f aca="false">CF!K79/(Seg!K83-Thesis!K121)</f>
        <v>0.0677351822588561</v>
      </c>
    </row>
    <row r="12351" customFormat="false" ht="17.15" hidden="false" customHeight="false" outlineLevel="0" collapsed="false">
      <c r="A12351" s="0" t="s">
        <v>1071</v>
      </c>
      <c r="B12351" s="0" t="s">
        <v>98</v>
      </c>
      <c r="F12351" s="6" t="n">
        <f aca="false">Seg!F68*(al_m365+Sens!F12350+sbc_r)</f>
        <v>83.1760446796226</v>
      </c>
      <c r="G12351" s="6" t="n">
        <f aca="false">Seg!G68*(al_m365+Sens!G12350+sbc_r)</f>
        <v>93.5286621744803</v>
      </c>
      <c r="H12351" s="6" t="n">
        <f aca="false">Seg!H68*(al_m365+Sens!H12350+sbc_r)</f>
        <v>104.041881899886</v>
      </c>
      <c r="I12351" s="6" t="n">
        <f aca="false">Seg!I68*(al_m365+Sens!I12350+sbc_r)</f>
        <v>114.039361049722</v>
      </c>
      <c r="J12351" s="6" t="n">
        <f aca="false">Seg!J68*(al_m365+Sens!J12350+sbc_r)</f>
        <v>123.332589690985</v>
      </c>
      <c r="K12351" s="6" t="n">
        <f aca="false">Seg!K68*(al_m365+Sens!K12350+sbc_r)</f>
        <v>132.229319216379</v>
      </c>
      <c r="L12351" s="11" t="s">
        <v>1072</v>
      </c>
    </row>
    <row r="12352" customFormat="false" ht="17.15" hidden="false" customHeight="false" outlineLevel="0" collapsed="false">
      <c r="A12352" s="0" t="s">
        <v>1073</v>
      </c>
      <c r="B12352" s="0" t="s">
        <v>98</v>
      </c>
      <c r="F12352" s="6" t="n">
        <f aca="false">Seg!F69*(al_lic+Sens!F12350+sbc_r)</f>
        <v>33.5445611735131</v>
      </c>
      <c r="G12352" s="6" t="n">
        <f aca="false">Seg!G69*(al_lic+Sens!G12350+sbc_r)</f>
        <v>34.8473362891936</v>
      </c>
      <c r="H12352" s="6" t="n">
        <f aca="false">Seg!H69*(al_lic+Sens!H12350+sbc_r)</f>
        <v>36.0608450618725</v>
      </c>
      <c r="I12352" s="6" t="n">
        <f aca="false">Seg!I69*(al_lic+Sens!I12350+sbc_r)</f>
        <v>37.1647768367666</v>
      </c>
      <c r="J12352" s="6" t="n">
        <f aca="false">Seg!J69*(al_lic+Sens!J12350+sbc_r)</f>
        <v>38.1353659513221</v>
      </c>
      <c r="K12352" s="6" t="n">
        <f aca="false">Seg!K69*(al_lic+Sens!K12350+sbc_r)</f>
        <v>38.9479527536449</v>
      </c>
    </row>
    <row r="12353" customFormat="false" ht="17.15" hidden="false" customHeight="false" outlineLevel="0" collapsed="false">
      <c r="A12353" s="0" t="s">
        <v>1074</v>
      </c>
      <c r="B12353" s="0" t="s">
        <v>98</v>
      </c>
      <c r="F12353" s="6" t="n">
        <f aca="false">Seg!F71*(al_ind+Sens!F12350+sbc_r)</f>
        <v>9.13359830063899</v>
      </c>
      <c r="G12353" s="6" t="n">
        <f aca="false">Seg!G71*(al_ind+Sens!G12350+sbc_r)</f>
        <v>9.91355811855172</v>
      </c>
      <c r="H12353" s="6" t="n">
        <f aca="false">Seg!H71*(al_ind+Sens!H12350+sbc_r)</f>
        <v>10.737007894057</v>
      </c>
      <c r="I12353" s="6" t="n">
        <f aca="false">Seg!I71*(al_ind+Sens!I12350+sbc_r)</f>
        <v>11.5994300763088</v>
      </c>
      <c r="J12353" s="6" t="n">
        <f aca="false">Seg!J71*(al_ind+Sens!J12350+sbc_r)</f>
        <v>12.4920789859702</v>
      </c>
      <c r="K12353" s="6" t="n">
        <f aca="false">Seg!K71*(al_ind+Sens!K12350+sbc_r)</f>
        <v>13.4027551573777</v>
      </c>
    </row>
    <row r="12354" customFormat="false" ht="17.15" hidden="false" customHeight="false" outlineLevel="0" collapsed="false">
      <c r="A12354" s="0" t="s">
        <v>1075</v>
      </c>
      <c r="B12354" s="0" t="s">
        <v>98</v>
      </c>
      <c r="F12354" s="6" t="n">
        <f aca="false">Seg!F73*(al_fro+Sens!F12350+sbc_r)</f>
        <v>3.59501635737694</v>
      </c>
      <c r="G12354" s="6" t="n">
        <f aca="false">Seg!G73*(al_fro+Sens!G12350+sbc_r)</f>
        <v>3.80622021137838</v>
      </c>
      <c r="H12354" s="6" t="n">
        <f aca="false">Seg!H73*(al_fro+Sens!H12350+sbc_r)</f>
        <v>4.04607207599632</v>
      </c>
      <c r="I12354" s="6" t="n">
        <f aca="false">Seg!I73*(al_fro+Sens!I12350+sbc_r)</f>
        <v>4.31683578333903</v>
      </c>
      <c r="J12354" s="6" t="n">
        <f aca="false">Seg!J73*(al_fro+Sens!J12350+sbc_r)</f>
        <v>4.62005087871645</v>
      </c>
      <c r="K12354" s="6" t="n">
        <f aca="false">Seg!K73*(al_fro+Sens!K12350+sbc_r)</f>
        <v>4.95685392412327</v>
      </c>
    </row>
    <row r="12355" customFormat="false" ht="17.15" hidden="false" customHeight="false" outlineLevel="0" collapsed="false">
      <c r="A12355" s="0" t="s">
        <v>1076</v>
      </c>
      <c r="B12355" s="0" t="s">
        <v>98</v>
      </c>
      <c r="F12355" s="6" t="n">
        <f aca="false">Seg!F76*(al_srch+Sens!F12350+sbc_r)</f>
        <v>11.2801258639919</v>
      </c>
      <c r="G12355" s="6" t="n">
        <f aca="false">Seg!G76*(al_srch+Sens!G12350+sbc_r)</f>
        <v>12.3589086285988</v>
      </c>
      <c r="H12355" s="6" t="n">
        <f aca="false">Seg!H76*(al_srch+Sens!H12350+sbc_r)</f>
        <v>13.4807030139583</v>
      </c>
      <c r="I12355" s="6" t="n">
        <f aca="false">Seg!I76*(al_srch+Sens!I12350+sbc_r)</f>
        <v>14.6329459978989</v>
      </c>
      <c r="J12355" s="6" t="n">
        <f aca="false">Seg!J76*(al_srch+Sens!J12350+sbc_r)</f>
        <v>15.7968154400613</v>
      </c>
      <c r="K12355" s="6" t="n">
        <f aca="false">Seg!K76*(al_srch+Sens!K12350+sbc_r)</f>
        <v>16.9484078548661</v>
      </c>
    </row>
    <row r="12356" customFormat="false" ht="17.15" hidden="false" customHeight="false" outlineLevel="0" collapsed="false">
      <c r="A12356" s="0" t="s">
        <v>1077</v>
      </c>
      <c r="B12356" s="0" t="s">
        <v>98</v>
      </c>
      <c r="F12356" s="6" t="n">
        <f aca="false">Thesis!F127-Thesis!F128+Thesis!F142</f>
        <v>38.6797715123049</v>
      </c>
      <c r="G12356" s="6" t="n">
        <f aca="false">Thesis!G127-Thesis!G128+Thesis!G142</f>
        <v>67.9698044367775</v>
      </c>
      <c r="H12356" s="6" t="n">
        <f aca="false">Thesis!H127-Thesis!H128+Thesis!H142</f>
        <v>94.4027386785771</v>
      </c>
      <c r="I12356" s="6" t="n">
        <f aca="false">Thesis!I127-Thesis!I128+Thesis!I142</f>
        <v>124.629799296032</v>
      </c>
      <c r="J12356" s="6" t="n">
        <f aca="false">Thesis!J127-Thesis!J128+Thesis!J142</f>
        <v>146.1886418102</v>
      </c>
      <c r="K12356" s="6" t="n">
        <f aca="false">Thesis!K127-Thesis!K128+Thesis!K142</f>
        <v>160.310017660072</v>
      </c>
    </row>
    <row r="12357" customFormat="false" ht="17.15" hidden="false" customHeight="false" outlineLevel="0" collapsed="false">
      <c r="A12357" s="0" t="s">
        <v>1078</v>
      </c>
      <c r="B12357" s="0" t="s">
        <v>98</v>
      </c>
      <c r="F12357" s="6" t="n">
        <f aca="false">PL!F110+Thesis!F142+Thesis!F138+Sens!F12350*(Seg!F75-Thesis!F121)+sbc_r*Seg!F75</f>
        <v>228.424576651163</v>
      </c>
      <c r="G12357" s="6" t="n">
        <f aca="false">PL!G110+Thesis!G142+Thesis!G138+Sens!G12350*(Seg!G75-Thesis!G121)+sbc_r*Seg!G75</f>
        <v>282.553934266667</v>
      </c>
      <c r="H12357" s="6" t="n">
        <f aca="false">PL!H110+Thesis!H142+Thesis!H138+Sens!H12350*(Seg!H75-Thesis!H121)+sbc_r*Seg!H75</f>
        <v>334.098428585803</v>
      </c>
      <c r="I12357" s="6" t="n">
        <f aca="false">PL!I110+Thesis!I142+Thesis!I138+Sens!I12350*(Seg!I75-Thesis!I121)+sbc_r*Seg!I75</f>
        <v>388.820980572235</v>
      </c>
      <c r="J12357" s="6" t="n">
        <f aca="false">PL!J110+Thesis!J142+Thesis!J138+Sens!J12350*(Seg!J75-Thesis!J121)+sbc_r*Seg!J75</f>
        <v>432.983845251655</v>
      </c>
      <c r="K12357" s="6" t="n">
        <f aca="false">PL!K110+Thesis!K142+Thesis!K138+Sens!K12350*(Seg!K75-Thesis!K121)+sbc_r*Seg!K75</f>
        <v>467.422879139155</v>
      </c>
    </row>
    <row r="12358" customFormat="false" ht="17.15" hidden="false" customHeight="false" outlineLevel="0" collapsed="false">
      <c r="A12358" s="0" t="s">
        <v>1079</v>
      </c>
      <c r="B12358" s="0" t="s">
        <v>98</v>
      </c>
      <c r="F12358" s="6" t="n">
        <f aca="false">Sens!F12357-Sens!F12351-Sens!F12352-Sens!F12353-Sens!F12354-Sens!F12356</f>
        <v>60.2955846277069</v>
      </c>
      <c r="G12358" s="6" t="n">
        <f aca="false">Sens!G12357-Sens!G12351-Sens!G12352-Sens!G12353-Sens!G12354-Sens!G12356</f>
        <v>72.4883530362854</v>
      </c>
      <c r="H12358" s="6" t="n">
        <f aca="false">Sens!H12357-Sens!H12351-Sens!H12352-Sens!H12353-Sens!H12354-Sens!H12356</f>
        <v>84.8098829754144</v>
      </c>
      <c r="I12358" s="6" t="n">
        <f aca="false">Sens!I12357-Sens!I12351-Sens!I12352-Sens!I12353-Sens!I12354-Sens!I12356</f>
        <v>97.0707775300671</v>
      </c>
      <c r="J12358" s="6" t="n">
        <f aca="false">Sens!J12357-Sens!J12351-Sens!J12352-Sens!J12353-Sens!J12354-Sens!J12356</f>
        <v>108.215117934462</v>
      </c>
      <c r="K12358" s="6" t="n">
        <f aca="false">Sens!K12357-Sens!K12351-Sens!K12352-Sens!K12353-Sens!K12354-Sens!K12356</f>
        <v>117.575980427559</v>
      </c>
    </row>
    <row r="12359" customFormat="false" ht="17.15" hidden="false" customHeight="false" outlineLevel="0" collapsed="false">
      <c r="A12359" s="0" t="s">
        <v>1080</v>
      </c>
      <c r="B12359" s="0" t="s">
        <v>98</v>
      </c>
      <c r="F12359" s="6" t="n">
        <f aca="false">PL!F112+Sens!F12350*Seg!F82+sbc_r*Seg!F82</f>
        <v>26.3652761595447</v>
      </c>
      <c r="G12359" s="6" t="n">
        <f aca="false">PL!G112+Sens!G12350*Seg!G82+sbc_r*Seg!G82</f>
        <v>26.9742866145486</v>
      </c>
      <c r="H12359" s="6" t="n">
        <f aca="false">PL!H112+Sens!H12350*Seg!H82+sbc_r*Seg!H82</f>
        <v>27.8483067679033</v>
      </c>
      <c r="I12359" s="6" t="n">
        <f aca="false">PL!I112+Sens!I12350*Seg!I82+sbc_r*Seg!I82</f>
        <v>28.9540944937551</v>
      </c>
      <c r="J12359" s="6" t="n">
        <f aca="false">PL!J112+Sens!J12350*Seg!J82+sbc_r*Seg!J82</f>
        <v>30.2591967501426</v>
      </c>
      <c r="K12359" s="6" t="n">
        <f aca="false">PL!K112+Sens!K12350*Seg!K82+sbc_r*Seg!K82</f>
        <v>31.7334012124467</v>
      </c>
    </row>
    <row r="12360" customFormat="false" ht="17.15" hidden="false" customHeight="false" outlineLevel="0" collapsed="false">
      <c r="A12360" s="0" t="s">
        <v>1081</v>
      </c>
      <c r="B12360" s="0" t="s">
        <v>98</v>
      </c>
      <c r="F12360" s="6" t="n">
        <f aca="false">(Sens!F12359-Sens!F12355)*Seg!F78/(Seg!F78+Seg!F80)</f>
        <v>8.26953246478712</v>
      </c>
      <c r="G12360" s="6" t="n">
        <f aca="false">(Sens!G12359-Sens!G12355)*Seg!G78/(Seg!G78+Seg!G80)</f>
        <v>7.8691542635731</v>
      </c>
      <c r="H12360" s="6" t="n">
        <f aca="false">(Sens!H12359-Sens!H12355)*Seg!H78/(Seg!H78+Seg!H80)</f>
        <v>7.63125160105973</v>
      </c>
      <c r="I12360" s="6" t="n">
        <f aca="false">(Sens!I12359-Sens!I12355)*Seg!I78/(Seg!I78+Seg!I80)</f>
        <v>7.53775281020212</v>
      </c>
      <c r="J12360" s="6" t="n">
        <f aca="false">(Sens!J12359-Sens!J12355)*Seg!J78/(Seg!J78+Seg!J80)</f>
        <v>7.57766730524412</v>
      </c>
      <c r="K12360" s="6" t="n">
        <f aca="false">(Sens!K12359-Sens!K12355)*Seg!K78/(Seg!K78+Seg!K80)</f>
        <v>7.74670217662515</v>
      </c>
    </row>
    <row r="12361" customFormat="false" ht="17.15" hidden="false" customHeight="false" outlineLevel="0" collapsed="false">
      <c r="A12361" s="0" t="s">
        <v>1082</v>
      </c>
      <c r="B12361" s="0" t="s">
        <v>98</v>
      </c>
      <c r="F12361" s="6" t="n">
        <f aca="false">Sens!F12359-Sens!F12355-Sens!F12360</f>
        <v>6.81561783076564</v>
      </c>
      <c r="G12361" s="6" t="n">
        <f aca="false">Sens!G12359-Sens!G12355-Sens!G12360</f>
        <v>6.74622372237672</v>
      </c>
      <c r="H12361" s="6" t="n">
        <f aca="false">Sens!H12359-Sens!H12355-Sens!H12360</f>
        <v>6.73635215288526</v>
      </c>
      <c r="I12361" s="6" t="n">
        <f aca="false">Sens!I12359-Sens!I12355-Sens!I12360</f>
        <v>6.78339568565411</v>
      </c>
      <c r="J12361" s="6" t="n">
        <f aca="false">Sens!J12359-Sens!J12355-Sens!J12360</f>
        <v>6.88471400483723</v>
      </c>
      <c r="K12361" s="6" t="n">
        <f aca="false">Sens!K12359-Sens!K12355-Sens!K12360</f>
        <v>7.03829118095546</v>
      </c>
    </row>
    <row r="12362" customFormat="false" ht="17.15" hidden="false" customHeight="false" outlineLevel="0" collapsed="false">
      <c r="A12362" s="0" t="s">
        <v>1083</v>
      </c>
      <c r="B12362" s="0" t="s">
        <v>98</v>
      </c>
      <c r="F12362" s="6" t="n">
        <f aca="false">Sens!F12356-tax_f*(Sens!F12356-Thesis!F138)-Thesis!F135</f>
        <v>-122.579081185432</v>
      </c>
      <c r="G12362" s="6" t="n">
        <f aca="false">Sens!G12356-tax_f*(Sens!G12356-Thesis!G138)-Thesis!G135</f>
        <v>-117.373249511676</v>
      </c>
      <c r="H12362" s="6" t="n">
        <f aca="false">Sens!H12356-tax_f*(Sens!H12356-Thesis!H138)-Thesis!H135</f>
        <v>-95.285890998876</v>
      </c>
      <c r="I12362" s="6" t="n">
        <f aca="false">Sens!I12356-tax_f*(Sens!I12356-Thesis!I138)-Thesis!I135</f>
        <v>-41.8816809509416</v>
      </c>
      <c r="J12362" s="6" t="n">
        <f aca="false">Sens!J12356-tax_f*(Sens!J12356-Thesis!J138)-Thesis!J135</f>
        <v>15.3691414244864</v>
      </c>
      <c r="K12362" s="6" t="n">
        <f aca="false">Sens!K12356-tax_f*(Sens!K12356-Thesis!K138)-Thesis!K135</f>
        <v>34.6668916333283</v>
      </c>
    </row>
    <row r="12363" customFormat="false" ht="17.15" hidden="false" customHeight="false" outlineLevel="0" collapsed="false">
      <c r="A12363" s="0" t="s">
        <v>1084</v>
      </c>
      <c r="B12363" s="0" t="s">
        <v>98</v>
      </c>
      <c r="G12363" s="6" t="n">
        <f aca="false">Sens!G12362/(1+(wacc-0.01))^(Sens!G12335-(Sens!F12335+mid_yr))</f>
        <v>-112.272159598027</v>
      </c>
      <c r="H12363" s="6" t="n">
        <f aca="false">Sens!H12362/(1+(wacc-0.01))^(Sens!H12335-(Sens!F12335+mid_yr))</f>
        <v>-83.3945066926313</v>
      </c>
      <c r="I12363" s="6" t="n">
        <f aca="false">Sens!I12362/(1+(wacc-0.01))^(Sens!I12335-(Sens!F12335+mid_yr))</f>
        <v>-33.538130110695</v>
      </c>
      <c r="J12363" s="6" t="n">
        <f aca="false">Sens!J12362/(1+(wacc-0.01))^(Sens!J12335-(Sens!F12335+mid_yr))</f>
        <v>11.2608259132894</v>
      </c>
      <c r="K12363" s="6" t="n">
        <f aca="false">Sens!K12362/(1+(wacc-0.01))^(Sens!K12335-(Sens!F12335+mid_yr))</f>
        <v>23.24028432535</v>
      </c>
      <c r="L12363" s="1" t="s">
        <v>1085</v>
      </c>
    </row>
    <row r="12364" customFormat="false" ht="17.15" hidden="false" customHeight="false" outlineLevel="0" collapsed="false">
      <c r="A12364" s="0" t="s">
        <v>1086</v>
      </c>
      <c r="B12364" s="0" t="s">
        <v>98</v>
      </c>
      <c r="C12364" s="6" t="n">
        <f aca="false">(Sens!K12356-Thesis!K138)*(1-tax_f)*(1+g_tv)*(1-g_tv/((wacc-0.01)+ronic_prem))/((wacc-0.01)-g_tv)/(1+(wacc-0.01))^(Sens!K12335+mid_yr-(Sens!F12335+mid_yr))</f>
        <v>120.413837556137</v>
      </c>
    </row>
    <row r="12365" customFormat="false" ht="17.15" hidden="false" customHeight="false" outlineLevel="0" collapsed="false">
      <c r="A12365" s="1" t="s">
        <v>1087</v>
      </c>
      <c r="B12365" s="0" t="s">
        <v>98</v>
      </c>
      <c r="C12365" s="6" t="n">
        <f aca="false">(SUM(Sens!G12363:K12363)+Sens!$C$12364)*(1+(wacc-0.01))^(t_roll-(Sens!F12335+mid_yr))</f>
        <v>-76.4737185637251</v>
      </c>
      <c r="L12365" s="11" t="s">
        <v>1088</v>
      </c>
    </row>
    <row r="12366" customFormat="false" ht="17.15" hidden="false" customHeight="false" outlineLevel="0" collapsed="false">
      <c r="A12366" s="1" t="s">
        <v>1089</v>
      </c>
      <c r="B12366" s="0" t="s">
        <v>98</v>
      </c>
      <c r="C12366" s="6" t="n">
        <f aca="false">(w_ntm28*Thesis!G127+(1-w_ntm28)*Thesis!H127)*m_ai</f>
        <v>338.776008390068</v>
      </c>
    </row>
    <row r="12367" customFormat="false" ht="17.15" hidden="false" customHeight="false" outlineLevel="0" collapsed="false">
      <c r="A12367" s="1" t="s">
        <v>1090</v>
      </c>
      <c r="B12367" s="0" t="s">
        <v>98</v>
      </c>
      <c r="C12367" s="6" t="n">
        <f aca="false">(w_ntm28*Sens!G12358+(1-w_ntm28)*Sens!H12358)*m_cloud</f>
        <v>1056.83960927252</v>
      </c>
    </row>
    <row r="12368" customFormat="false" ht="17.15" hidden="false" customHeight="false" outlineLevel="0" collapsed="false">
      <c r="A12368" s="1" t="s">
        <v>1091</v>
      </c>
      <c r="B12368" s="0" t="s">
        <v>98</v>
      </c>
      <c r="C12368" s="6" t="n">
        <f aca="false">(w_ntm28*Sens!G12351+(1-w_ntm28)*Sens!H12351)*m_sw</f>
        <v>1046.81653016399</v>
      </c>
    </row>
    <row r="12369" customFormat="false" ht="17.15" hidden="false" customHeight="false" outlineLevel="0" collapsed="false">
      <c r="A12369" s="1" t="s">
        <v>1092</v>
      </c>
      <c r="B12369" s="0" t="s">
        <v>98</v>
      </c>
      <c r="C12369" s="6" t="n">
        <f aca="false">(w_ntm28*Sens!G12352+(1-w_ntm28)*Sens!H12352)*m_sw</f>
        <v>380.588206114803</v>
      </c>
    </row>
    <row r="12370" customFormat="false" ht="17.15" hidden="false" customHeight="false" outlineLevel="0" collapsed="false">
      <c r="A12370" s="1" t="s">
        <v>1093</v>
      </c>
      <c r="B12370" s="0" t="s">
        <v>98</v>
      </c>
      <c r="C12370" s="6" t="n">
        <f aca="false">(w_ntm28*Sens!G12353+(1-w_ntm28)*Sens!H12353)*m_sw</f>
        <v>109.941508211602</v>
      </c>
    </row>
    <row r="12371" customFormat="false" ht="17.15" hidden="false" customHeight="false" outlineLevel="0" collapsed="false">
      <c r="A12371" s="1" t="s">
        <v>1094</v>
      </c>
      <c r="B12371" s="0" t="s">
        <v>98</v>
      </c>
      <c r="C12371" s="6" t="n">
        <f aca="false">(w_ntm28*Sens!G12354+(1-w_ntm28)*Sens!H12354)*m_sw</f>
        <v>41.944622711021</v>
      </c>
    </row>
    <row r="12372" customFormat="false" ht="17.15" hidden="false" customHeight="false" outlineLevel="0" collapsed="false">
      <c r="A12372" s="1" t="s">
        <v>1095</v>
      </c>
      <c r="B12372" s="0" t="s">
        <v>98</v>
      </c>
      <c r="C12372" s="6" t="n">
        <f aca="false">(w_ntm28*Sens!G12355+(1-w_ntm28)*Sens!H12355)*m_ads</f>
        <v>115.893511108929</v>
      </c>
    </row>
    <row r="12373" customFormat="false" ht="17.15" hidden="false" customHeight="false" outlineLevel="0" collapsed="false">
      <c r="A12373" s="1" t="s">
        <v>1096</v>
      </c>
      <c r="B12373" s="0" t="s">
        <v>98</v>
      </c>
      <c r="C12373" s="6" t="n">
        <f aca="false">(w_ntm28*Sens!G12360+(1-w_ntm28)*Sens!H12360)*m_game</f>
        <v>98.416032447421</v>
      </c>
    </row>
    <row r="12374" customFormat="false" ht="17.15" hidden="false" customHeight="false" outlineLevel="0" collapsed="false">
      <c r="A12374" s="1" t="s">
        <v>1097</v>
      </c>
      <c r="B12374" s="0" t="s">
        <v>98</v>
      </c>
      <c r="C12374" s="6" t="n">
        <f aca="false">(w_ntm28*Sens!G12361+(1-w_ntm28)*Sens!H12361)*m_pc</f>
        <v>97.5716783311641</v>
      </c>
    </row>
    <row r="12375" customFormat="false" ht="17.15" hidden="false" customHeight="false" outlineLevel="0" collapsed="false">
      <c r="A12375" s="1" t="s">
        <v>1098</v>
      </c>
      <c r="B12375" s="0" t="s">
        <v>98</v>
      </c>
      <c r="C12375" s="6" t="n">
        <f aca="false">Sens!$C$12365+Sens!$C$12367+Sens!$C$12368+Sens!$C$12369+Sens!$C$12370+Sens!$C$12371+Sens!$C$12372+Sens!$C$12373+Sens!$C$12374</f>
        <v>2871.53797979773</v>
      </c>
    </row>
    <row r="12376" customFormat="false" ht="17.15" hidden="false" customHeight="false" outlineLevel="0" collapsed="false">
      <c r="A12376" s="1" t="s">
        <v>1099</v>
      </c>
      <c r="B12376" s="0" t="s">
        <v>98</v>
      </c>
      <c r="C12376" s="6" t="n">
        <f aca="false">(Sens!G12337-Sens!G12362)*t_stub</f>
        <v>46.8760727339385</v>
      </c>
      <c r="L12376" s="1" t="s">
        <v>1100</v>
      </c>
    </row>
    <row r="12377" customFormat="false" ht="17.15" hidden="false" customHeight="false" outlineLevel="0" collapsed="false">
      <c r="A12377" s="1" t="s">
        <v>1014</v>
      </c>
      <c r="B12377" s="0" t="s">
        <v>98</v>
      </c>
      <c r="C12377" s="6" t="n">
        <f aca="false">CF!F100+oai_v-CF!F89+Sens!$C$12376</f>
        <v>153.718233647662</v>
      </c>
      <c r="L12377" s="1" t="s">
        <v>1101</v>
      </c>
    </row>
    <row r="12378" customFormat="false" ht="17.15" hidden="false" customHeight="false" outlineLevel="0" collapsed="false">
      <c r="A12378" s="1" t="s">
        <v>1102</v>
      </c>
      <c r="B12378" s="0" t="s">
        <v>75</v>
      </c>
      <c r="C12378" s="5" t="n">
        <f aca="false">(Sens!$C$12375+Sens!$C$12377)/(CF!F102+dil_gap)-CF!G92*roll_div_q/q_per_yr</f>
        <v>402.543239253654</v>
      </c>
      <c r="L12378" s="1" t="s">
        <v>1103</v>
      </c>
    </row>
    <row r="12379" customFormat="false" ht="17.15" hidden="false" customHeight="false" outlineLevel="0" collapsed="false">
      <c r="A12379" s="1" t="s">
        <v>1104</v>
      </c>
      <c r="B12379" s="0" t="s">
        <v>75</v>
      </c>
      <c r="C12379" s="5" t="n">
        <f aca="false">w_dcf*Sens!$C$12349+(1-w_dcf)*Sens!$C$12378</f>
        <v>359.684974251167</v>
      </c>
    </row>
    <row r="12380" customFormat="false" ht="17.15" hidden="false" customHeight="false" outlineLevel="0" collapsed="false">
      <c r="A12380" s="3" t="s">
        <v>1580</v>
      </c>
    </row>
    <row r="12381" customFormat="false" ht="15" hidden="false" customHeight="false" outlineLevel="0" collapsed="false">
      <c r="A12381" s="4" t="s">
        <v>43</v>
      </c>
      <c r="B12381" s="4" t="s">
        <v>65</v>
      </c>
      <c r="C12381" s="20" t="s">
        <v>799</v>
      </c>
      <c r="D12381" s="20" t="s">
        <v>800</v>
      </c>
      <c r="E12381" s="20" t="s">
        <v>801</v>
      </c>
      <c r="F12381" s="20" t="s">
        <v>802</v>
      </c>
      <c r="G12381" s="20" t="s">
        <v>803</v>
      </c>
      <c r="H12381" s="20" t="s">
        <v>804</v>
      </c>
      <c r="I12381" s="20" t="s">
        <v>805</v>
      </c>
      <c r="J12381" s="20" t="s">
        <v>806</v>
      </c>
      <c r="K12381" s="20" t="s">
        <v>807</v>
      </c>
      <c r="L12381" s="4" t="s">
        <v>47</v>
      </c>
    </row>
    <row r="12382" customFormat="false" ht="15" hidden="false" customHeight="false" outlineLevel="0" collapsed="false">
      <c r="A12382" s="1" t="s">
        <v>1057</v>
      </c>
      <c r="B12382" s="1" t="s">
        <v>235</v>
      </c>
      <c r="F12382" s="36" t="n">
        <f aca="false">Thesis!F6-base_fy-mid_yr</f>
        <v>0.5</v>
      </c>
      <c r="G12382" s="36" t="n">
        <f aca="false">Thesis!G6-base_fy-mid_yr</f>
        <v>1.5</v>
      </c>
      <c r="H12382" s="36" t="n">
        <f aca="false">Thesis!H6-base_fy-mid_yr</f>
        <v>2.5</v>
      </c>
      <c r="I12382" s="36" t="n">
        <f aca="false">Thesis!I6-base_fy-mid_yr</f>
        <v>3.5</v>
      </c>
      <c r="J12382" s="36" t="n">
        <f aca="false">Thesis!J6-base_fy-mid_yr</f>
        <v>4.5</v>
      </c>
      <c r="K12382" s="36" t="n">
        <f aca="false">Thesis!K6-base_fy-mid_yr</f>
        <v>5.5</v>
      </c>
    </row>
    <row r="12383" customFormat="false" ht="15" hidden="false" customHeight="false" outlineLevel="0" collapsed="false">
      <c r="A12383" s="1" t="s">
        <v>1058</v>
      </c>
      <c r="B12383" s="0" t="s">
        <v>185</v>
      </c>
      <c r="F12383" s="14" t="n">
        <f aca="false">1/(1+(wacc+0.01))^Sens!F12382</f>
        <v>0.947905870475805</v>
      </c>
      <c r="G12383" s="14" t="n">
        <f aca="false">1/(1+(wacc+0.01))^Sens!G12382</f>
        <v>0.851717633458314</v>
      </c>
      <c r="H12383" s="14" t="n">
        <f aca="false">1/(1+(wacc+0.01))^Sens!H12382</f>
        <v>0.76529004591954</v>
      </c>
      <c r="I12383" s="14" t="n">
        <f aca="false">1/(1+(wacc+0.01))^Sens!I12382</f>
        <v>0.687632651217379</v>
      </c>
      <c r="J12383" s="14" t="n">
        <f aca="false">1/(1+(wacc+0.01))^Sens!J12382</f>
        <v>0.617855498763346</v>
      </c>
      <c r="K12383" s="14" t="n">
        <f aca="false">1/(1+(wacc+0.01))^Sens!K12382</f>
        <v>0.555158945224989</v>
      </c>
    </row>
    <row r="12384" customFormat="false" ht="17.15" hidden="false" customHeight="false" outlineLevel="0" collapsed="false">
      <c r="A12384" s="1" t="s">
        <v>1059</v>
      </c>
      <c r="B12384" s="0" t="s">
        <v>98</v>
      </c>
      <c r="F12384" s="6" t="n">
        <f aca="false">CF!F22-CF!F20-CF!F26+Thesis!F44*(1-tax_f)</f>
        <v>0.8175674752552</v>
      </c>
      <c r="G12384" s="6" t="n">
        <f aca="false">CF!G22-CF!G20-CF!G26+Thesis!G44*(1-tax_f)</f>
        <v>46.5945454778033</v>
      </c>
      <c r="H12384" s="6" t="n">
        <f aca="false">CF!H22-CF!H20-CF!H26+Thesis!H44*(1-tax_f)</f>
        <v>105.224067029101</v>
      </c>
      <c r="I12384" s="6" t="n">
        <f aca="false">CF!I22-CF!I20-CF!I26+Thesis!I44*(1-tax_f)</f>
        <v>183.301417205555</v>
      </c>
      <c r="J12384" s="6" t="n">
        <f aca="false">CF!J22-CF!J20-CF!J26+Thesis!J44*(1-tax_f)</f>
        <v>261.555335183242</v>
      </c>
      <c r="K12384" s="6" t="n">
        <f aca="false">CF!K22-CF!K20-CF!K26+Thesis!K44*(1-tax_f)</f>
        <v>298.387942209483</v>
      </c>
      <c r="L12384" s="1" t="s">
        <v>1060</v>
      </c>
    </row>
    <row r="12385" customFormat="false" ht="15" hidden="false" customHeight="false" outlineLevel="0" collapsed="false">
      <c r="A12385" s="1" t="s">
        <v>1061</v>
      </c>
      <c r="B12385" s="0" t="s">
        <v>98</v>
      </c>
      <c r="F12385" s="6" t="n">
        <f aca="false">Sens!F12384*Sens!F12383</f>
        <v>0.774977009304486</v>
      </c>
      <c r="G12385" s="6" t="n">
        <f aca="false">Sens!G12384*Sens!G12383</f>
        <v>39.6853960064204</v>
      </c>
      <c r="H12385" s="6" t="n">
        <f aca="false">Sens!H12384*Sens!H12383</f>
        <v>80.5269310885417</v>
      </c>
      <c r="I12385" s="6" t="n">
        <f aca="false">Sens!I12384*Sens!I12383</f>
        <v>126.044039484959</v>
      </c>
      <c r="J12385" s="6" t="n">
        <f aca="false">Sens!J12384*Sens!J12383</f>
        <v>161.603402073856</v>
      </c>
      <c r="K12385" s="6" t="n">
        <f aca="false">Sens!K12384*Sens!K12383</f>
        <v>165.652735264871</v>
      </c>
    </row>
    <row r="12386" customFormat="false" ht="17.15" hidden="false" customHeight="false" outlineLevel="0" collapsed="false">
      <c r="A12386" s="1" t="s">
        <v>1062</v>
      </c>
      <c r="B12386" s="0" t="s">
        <v>98</v>
      </c>
      <c r="C12386" s="6" t="n">
        <f aca="false">SUM(Sens!F12385:K12385)</f>
        <v>574.287480927953</v>
      </c>
    </row>
    <row r="12387" customFormat="false" ht="17.15" hidden="false" customHeight="false" outlineLevel="0" collapsed="false">
      <c r="A12387" s="1" t="s">
        <v>1063</v>
      </c>
      <c r="B12387" s="0" t="s">
        <v>98</v>
      </c>
      <c r="C12387" s="6" t="n">
        <f aca="false">PL!K39*(1+g_tv)*(1-tax_f)</f>
        <v>316.433872640522</v>
      </c>
    </row>
    <row r="12388" customFormat="false" ht="17.15" hidden="false" customHeight="false" outlineLevel="0" collapsed="false">
      <c r="A12388" s="1" t="s">
        <v>1064</v>
      </c>
      <c r="B12388" s="0" t="s">
        <v>98</v>
      </c>
      <c r="C12388" s="6" t="n">
        <f aca="false">Sens!$C$12387*(1-g_tv/((wacc+0.01)+ronic_prem))</f>
        <v>232.376096708183</v>
      </c>
    </row>
    <row r="12389" customFormat="false" ht="17.15" hidden="false" customHeight="false" outlineLevel="0" collapsed="false">
      <c r="A12389" s="1" t="s">
        <v>1065</v>
      </c>
      <c r="B12389" s="0" t="s">
        <v>98</v>
      </c>
      <c r="C12389" s="6" t="n">
        <f aca="false">Sens!$C$12388/((wacc+0.01)-g_tv)</f>
        <v>2801.92586441132</v>
      </c>
    </row>
    <row r="12390" customFormat="false" ht="15" hidden="false" customHeight="false" outlineLevel="0" collapsed="false">
      <c r="A12390" s="1" t="s">
        <v>1066</v>
      </c>
      <c r="B12390" s="0" t="s">
        <v>98</v>
      </c>
      <c r="C12390" s="6" t="n">
        <f aca="false">Sens!$C$12389/(1+(wacc+0.01))^(Sens!K12382+mid_yr)</f>
        <v>1474.48104888375</v>
      </c>
    </row>
    <row r="12391" customFormat="false" ht="17.15" hidden="false" customHeight="false" outlineLevel="0" collapsed="false">
      <c r="A12391" s="0" t="s">
        <v>986</v>
      </c>
      <c r="B12391" s="0" t="s">
        <v>98</v>
      </c>
      <c r="C12391" s="6" t="n">
        <f aca="false">Sens!$C$12386+Sens!$C$12390</f>
        <v>2048.7685298117</v>
      </c>
    </row>
    <row r="12392" customFormat="false" ht="15" hidden="false" customHeight="false" outlineLevel="0" collapsed="false">
      <c r="A12392" s="1" t="s">
        <v>987</v>
      </c>
      <c r="B12392" s="0" t="s">
        <v>129</v>
      </c>
      <c r="C12392" s="7" t="n">
        <f aca="false">Sens!$C$12390/Sens!$C$12391</f>
        <v>0.71969137920098</v>
      </c>
    </row>
    <row r="12393" customFormat="false" ht="17.15" hidden="false" customHeight="false" outlineLevel="0" collapsed="false">
      <c r="A12393" s="1" t="s">
        <v>1067</v>
      </c>
      <c r="B12393" s="0" t="s">
        <v>98</v>
      </c>
      <c r="C12393" s="6" t="n">
        <f aca="false">Sens!$C$12391+CF!E38-CF!E27+oai_v</f>
        <v>2183.2815298117</v>
      </c>
    </row>
    <row r="12394" customFormat="false" ht="17.15" hidden="false" customHeight="false" outlineLevel="0" collapsed="false">
      <c r="A12394" s="0" t="s">
        <v>994</v>
      </c>
      <c r="B12394" s="0" t="s">
        <v>75</v>
      </c>
      <c r="C12394" s="5" t="n">
        <f aca="false">Sens!$C$12393/sh_dil26</f>
        <v>292.939961064229</v>
      </c>
    </row>
    <row r="12395" customFormat="false" ht="15" hidden="false" customHeight="false" outlineLevel="0" collapsed="false">
      <c r="A12395" s="1" t="s">
        <v>1068</v>
      </c>
      <c r="B12395" s="0" t="s">
        <v>75</v>
      </c>
      <c r="C12395" s="8" t="n">
        <f aca="false">dps_27+CF!G30*roll_div_q/q_per_yr</f>
        <v>4.8895</v>
      </c>
    </row>
    <row r="12396" customFormat="false" ht="17.15" hidden="false" customHeight="false" outlineLevel="0" collapsed="false">
      <c r="A12396" s="0" t="s">
        <v>1069</v>
      </c>
      <c r="B12396" s="0" t="s">
        <v>75</v>
      </c>
      <c r="C12396" s="5" t="n">
        <f aca="false">Sens!$C$12394*(1+(wacc+0.01))^t_roll-Sens!$C$12395</f>
        <v>332.707476159003</v>
      </c>
    </row>
    <row r="12397" customFormat="false" ht="17.15" hidden="false" customHeight="false" outlineLevel="0" collapsed="false">
      <c r="A12397" s="1" t="s">
        <v>1070</v>
      </c>
      <c r="B12397" s="0" t="s">
        <v>129</v>
      </c>
      <c r="F12397" s="7" t="n">
        <f aca="false">CF!F17/(Seg!F29-Thesis!F23)</f>
        <v>0.0705303854989974</v>
      </c>
      <c r="G12397" s="7" t="n">
        <f aca="false">CF!G17/(Seg!G29-Thesis!G23)</f>
        <v>0.0669153011130541</v>
      </c>
      <c r="H12397" s="7" t="n">
        <f aca="false">CF!H17/(Seg!H29-Thesis!H23)</f>
        <v>0.0648963302688647</v>
      </c>
      <c r="I12397" s="7" t="n">
        <f aca="false">CF!I17/(Seg!I29-Thesis!I23)</f>
        <v>0.0643411219550834</v>
      </c>
      <c r="J12397" s="7" t="n">
        <f aca="false">CF!J17/(Seg!J29-Thesis!J23)</f>
        <v>0.0648740961982593</v>
      </c>
      <c r="K12397" s="7" t="n">
        <f aca="false">CF!K17/(Seg!K29-Thesis!K23)</f>
        <v>0.0660244723636577</v>
      </c>
    </row>
    <row r="12398" customFormat="false" ht="17.15" hidden="false" customHeight="false" outlineLevel="0" collapsed="false">
      <c r="A12398" s="0" t="s">
        <v>1071</v>
      </c>
      <c r="B12398" s="0" t="s">
        <v>98</v>
      </c>
      <c r="F12398" s="6" t="n">
        <f aca="false">Seg!F14*(al_m365+Sens!F12397+sbc_r)</f>
        <v>85.2273329859862</v>
      </c>
      <c r="G12398" s="6" t="n">
        <f aca="false">Seg!G14*(al_m365+Sens!G12397+sbc_r)</f>
        <v>99.6892587904979</v>
      </c>
      <c r="H12398" s="6" t="n">
        <f aca="false">Seg!H14*(al_m365+Sens!H12397+sbc_r)</f>
        <v>114.315107566414</v>
      </c>
      <c r="I12398" s="6" t="n">
        <f aca="false">Seg!I14*(al_m365+Sens!I12397+sbc_r)</f>
        <v>127.42181750834</v>
      </c>
      <c r="J12398" s="6" t="n">
        <f aca="false">Seg!J14*(al_m365+Sens!J12397+sbc_r)</f>
        <v>138.823999012523</v>
      </c>
      <c r="K12398" s="6" t="n">
        <f aca="false">Seg!K14*(al_m365+Sens!K12397+sbc_r)</f>
        <v>149.845393216552</v>
      </c>
      <c r="L12398" s="11" t="s">
        <v>1072</v>
      </c>
    </row>
    <row r="12399" customFormat="false" ht="17.15" hidden="false" customHeight="false" outlineLevel="0" collapsed="false">
      <c r="A12399" s="0" t="s">
        <v>1073</v>
      </c>
      <c r="B12399" s="0" t="s">
        <v>98</v>
      </c>
      <c r="F12399" s="6" t="n">
        <f aca="false">Seg!F15*(al_lic+Sens!F12397+sbc_r)</f>
        <v>33.5204472060294</v>
      </c>
      <c r="G12399" s="6" t="n">
        <f aca="false">Seg!G15*(al_lic+Sens!G12397+sbc_r)</f>
        <v>34.7926166862242</v>
      </c>
      <c r="H12399" s="6" t="n">
        <f aca="false">Seg!H15*(al_lic+Sens!H12397+sbc_r)</f>
        <v>35.9862829687409</v>
      </c>
      <c r="I12399" s="6" t="n">
        <f aca="false">Seg!I15*(al_lic+Sens!I12397+sbc_r)</f>
        <v>37.0838788899664</v>
      </c>
      <c r="J12399" s="6" t="n">
        <f aca="false">Seg!J15*(al_lic+Sens!J12397+sbc_r)</f>
        <v>38.0565090086839</v>
      </c>
      <c r="K12399" s="6" t="n">
        <f aca="false">Seg!K15*(al_lic+Sens!K12397+sbc_r)</f>
        <v>38.8700352425884</v>
      </c>
    </row>
    <row r="12400" customFormat="false" ht="17.15" hidden="false" customHeight="false" outlineLevel="0" collapsed="false">
      <c r="A12400" s="0" t="s">
        <v>1074</v>
      </c>
      <c r="B12400" s="0" t="s">
        <v>98</v>
      </c>
      <c r="F12400" s="6" t="n">
        <f aca="false">Seg!F17*(al_ind+Sens!F12397+sbc_r)</f>
        <v>9.11980018094294</v>
      </c>
      <c r="G12400" s="6" t="n">
        <f aca="false">Seg!G17*(al_ind+Sens!G12397+sbc_r)</f>
        <v>9.88072195697034</v>
      </c>
      <c r="H12400" s="6" t="n">
        <f aca="false">Seg!H17*(al_ind+Sens!H12397+sbc_r)</f>
        <v>10.6900815637922</v>
      </c>
      <c r="I12400" s="6" t="n">
        <f aca="false">Seg!I17*(al_ind+Sens!I12397+sbc_r)</f>
        <v>11.5460282347577</v>
      </c>
      <c r="J12400" s="6" t="n">
        <f aca="false">Seg!J17*(al_ind+Sens!J12397+sbc_r)</f>
        <v>12.4374767512513</v>
      </c>
      <c r="K12400" s="6" t="n">
        <f aca="false">Seg!K17*(al_ind+Sens!K12397+sbc_r)</f>
        <v>13.3461587114563</v>
      </c>
    </row>
    <row r="12401" customFormat="false" ht="17.15" hidden="false" customHeight="false" outlineLevel="0" collapsed="false">
      <c r="A12401" s="0" t="s">
        <v>1075</v>
      </c>
      <c r="B12401" s="0" t="s">
        <v>98</v>
      </c>
      <c r="F12401" s="6" t="n">
        <f aca="false">Seg!F19*(al_fro+Sens!F12397+sbc_r)</f>
        <v>3.58958536902212</v>
      </c>
      <c r="G12401" s="6" t="n">
        <f aca="false">Seg!G19*(al_fro+Sens!G12397+sbc_r)</f>
        <v>3.79361306665995</v>
      </c>
      <c r="H12401" s="6" t="n">
        <f aca="false">Seg!H19*(al_fro+Sens!H12397+sbc_r)</f>
        <v>4.02838862857902</v>
      </c>
      <c r="I12401" s="6" t="n">
        <f aca="false">Seg!I19*(al_fro+Sens!I12397+sbc_r)</f>
        <v>4.29696179134221</v>
      </c>
      <c r="J12401" s="6" t="n">
        <f aca="false">Seg!J19*(al_fro+Sens!J12397+sbc_r)</f>
        <v>4.59985687395741</v>
      </c>
      <c r="K12401" s="6" t="n">
        <f aca="false">Seg!K19*(al_fro+Sens!K12397+sbc_r)</f>
        <v>4.93592238342414</v>
      </c>
    </row>
    <row r="12402" customFormat="false" ht="17.15" hidden="false" customHeight="false" outlineLevel="0" collapsed="false">
      <c r="A12402" s="0" t="s">
        <v>1076</v>
      </c>
      <c r="B12402" s="0" t="s">
        <v>98</v>
      </c>
      <c r="F12402" s="6" t="n">
        <f aca="false">Seg!F22*(al_srch+Sens!F12397+sbc_r)</f>
        <v>11.2630849868114</v>
      </c>
      <c r="G12402" s="6" t="n">
        <f aca="false">Seg!G22*(al_srch+Sens!G12397+sbc_r)</f>
        <v>12.3179728600437</v>
      </c>
      <c r="H12402" s="6" t="n">
        <f aca="false">Seg!H22*(al_srch+Sens!H12397+sbc_r)</f>
        <v>13.4217853035424</v>
      </c>
      <c r="I12402" s="6" t="n">
        <f aca="false">Seg!I22*(al_srch+Sens!I12397+sbc_r)</f>
        <v>14.565578354966</v>
      </c>
      <c r="J12402" s="6" t="n">
        <f aca="false">Seg!J22*(al_srch+Sens!J12397+sbc_r)</f>
        <v>15.7277683722803</v>
      </c>
      <c r="K12402" s="6" t="n">
        <f aca="false">Seg!K22*(al_srch+Sens!K12397+sbc_r)</f>
        <v>16.87683901418</v>
      </c>
    </row>
    <row r="12403" customFormat="false" ht="17.15" hidden="false" customHeight="false" outlineLevel="0" collapsed="false">
      <c r="A12403" s="0" t="s">
        <v>1077</v>
      </c>
      <c r="B12403" s="0" t="s">
        <v>98</v>
      </c>
      <c r="F12403" s="6" t="n">
        <f aca="false">Thesis!F29-Thesis!F30+Thesis!F44</f>
        <v>45.0374073018652</v>
      </c>
      <c r="G12403" s="6" t="n">
        <f aca="false">Thesis!G29-Thesis!G30+Thesis!G44</f>
        <v>89.051993487491</v>
      </c>
      <c r="H12403" s="6" t="n">
        <f aca="false">Thesis!H29-Thesis!H30+Thesis!H44</f>
        <v>140.728332825594</v>
      </c>
      <c r="I12403" s="6" t="n">
        <f aca="false">Thesis!I29-Thesis!I30+Thesis!I44</f>
        <v>182.158665153016</v>
      </c>
      <c r="J12403" s="6" t="n">
        <f aca="false">Thesis!J29-Thesis!J30+Thesis!J44</f>
        <v>211.722320149272</v>
      </c>
      <c r="K12403" s="6" t="n">
        <f aca="false">Thesis!K29-Thesis!K30+Thesis!K44</f>
        <v>230.495012322217</v>
      </c>
    </row>
    <row r="12404" customFormat="false" ht="17.15" hidden="false" customHeight="false" outlineLevel="0" collapsed="false">
      <c r="A12404" s="0" t="s">
        <v>1078</v>
      </c>
      <c r="B12404" s="0" t="s">
        <v>98</v>
      </c>
      <c r="F12404" s="6" t="n">
        <f aca="false">PL!F32+Thesis!F44+Thesis!F40+Sens!F12397*(Seg!F21-Thesis!F23)+sbc_r*Seg!F21</f>
        <v>236.979131882557</v>
      </c>
      <c r="G12404" s="6" t="n">
        <f aca="false">PL!G32+Thesis!G44+Thesis!G40+Sens!G12397*(Seg!G21-Thesis!G23)+sbc_r*Seg!G21</f>
        <v>310.298572894356</v>
      </c>
      <c r="H12404" s="6" t="n">
        <f aca="false">PL!H32+Thesis!H44+Thesis!H40+Sens!H12397*(Seg!H21-Thesis!H23)+sbc_r*Seg!H21</f>
        <v>391.97921499404</v>
      </c>
      <c r="I12404" s="6" t="n">
        <f aca="false">PL!I32+Thesis!I44+Thesis!I40+Sens!I12397*(Seg!I21-Thesis!I23)+sbc_r*Seg!I21</f>
        <v>461.338592490557</v>
      </c>
      <c r="J12404" s="6" t="n">
        <f aca="false">PL!J32+Thesis!J44+Thesis!J40+Sens!J12397*(Seg!J21-Thesis!J23)+sbc_r*Seg!J21</f>
        <v>515.876034980991</v>
      </c>
      <c r="K12404" s="6" t="n">
        <f aca="false">PL!K32+Thesis!K44+Thesis!K40+Sens!K12397*(Seg!K21-Thesis!K23)+sbc_r*Seg!K21</f>
        <v>557.225339287545</v>
      </c>
    </row>
    <row r="12405" customFormat="false" ht="17.15" hidden="false" customHeight="false" outlineLevel="0" collapsed="false">
      <c r="A12405" s="0" t="s">
        <v>1079</v>
      </c>
      <c r="B12405" s="0" t="s">
        <v>98</v>
      </c>
      <c r="F12405" s="6" t="n">
        <f aca="false">Sens!F12404-Sens!F12398-Sens!F12399-Sens!F12400-Sens!F12401-Sens!F12403</f>
        <v>60.4845588387112</v>
      </c>
      <c r="G12405" s="6" t="n">
        <f aca="false">Sens!G12404-Sens!G12398-Sens!G12399-Sens!G12400-Sens!G12401-Sens!G12403</f>
        <v>73.090368906513</v>
      </c>
      <c r="H12405" s="6" t="n">
        <f aca="false">Sens!H12404-Sens!H12398-Sens!H12399-Sens!H12400-Sens!H12401-Sens!H12403</f>
        <v>86.23102144092</v>
      </c>
      <c r="I12405" s="6" t="n">
        <f aca="false">Sens!I12404-Sens!I12398-Sens!I12399-Sens!I12400-Sens!I12401-Sens!I12403</f>
        <v>98.8312409131349</v>
      </c>
      <c r="J12405" s="6" t="n">
        <f aca="false">Sens!J12404-Sens!J12398-Sens!J12399-Sens!J12400-Sens!J12401-Sens!J12403</f>
        <v>110.235873185303</v>
      </c>
      <c r="K12405" s="6" t="n">
        <f aca="false">Sens!K12404-Sens!K12398-Sens!K12399-Sens!K12400-Sens!K12401-Sens!K12403</f>
        <v>119.732817411307</v>
      </c>
    </row>
    <row r="12406" customFormat="false" ht="17.15" hidden="false" customHeight="false" outlineLevel="0" collapsed="false">
      <c r="A12406" s="0" t="s">
        <v>1080</v>
      </c>
      <c r="B12406" s="0" t="s">
        <v>98</v>
      </c>
      <c r="F12406" s="6" t="n">
        <f aca="false">PL!F34+Sens!F12397*Seg!F28+sbc_r*Seg!F28</f>
        <v>26.3250729833002</v>
      </c>
      <c r="G12406" s="6" t="n">
        <f aca="false">PL!G34+Sens!G12397*Seg!G28+sbc_r*Seg!G28</f>
        <v>26.8840979798844</v>
      </c>
      <c r="H12406" s="6" t="n">
        <f aca="false">PL!H34+Sens!H12397*Seg!H28+sbc_r*Seg!H28</f>
        <v>27.7254420104725</v>
      </c>
      <c r="I12406" s="6" t="n">
        <f aca="false">PL!I34+Sens!I12397*Seg!I28+sbc_r*Seg!I28</f>
        <v>28.8195303030026</v>
      </c>
      <c r="J12406" s="6" t="n">
        <f aca="false">PL!J34+Sens!J12397*Seg!J28+sbc_r*Seg!J28</f>
        <v>30.1256822206383</v>
      </c>
      <c r="K12406" s="6" t="n">
        <f aca="false">PL!K34+Sens!K12397*Seg!K28+sbc_r*Seg!K28</f>
        <v>31.5981329181227</v>
      </c>
    </row>
    <row r="12407" customFormat="false" ht="17.15" hidden="false" customHeight="false" outlineLevel="0" collapsed="false">
      <c r="A12407" s="0" t="s">
        <v>1081</v>
      </c>
      <c r="B12407" s="0" t="s">
        <v>98</v>
      </c>
      <c r="F12407" s="6" t="n">
        <f aca="false">(Sens!F12406-Sens!F12402)*Seg!F24/(Seg!F24+Seg!F26)</f>
        <v>8.25683511803782</v>
      </c>
      <c r="G12407" s="6" t="n">
        <f aca="false">(Sens!G12406-Sens!G12402)*Seg!G24/(Seg!G24+Seg!G26)</f>
        <v>7.84263572934781</v>
      </c>
      <c r="H12407" s="6" t="n">
        <f aca="false">(Sens!H12406-Sens!H12402)*Seg!H24/(Seg!H24+Seg!H26)</f>
        <v>7.59728657715786</v>
      </c>
      <c r="I12407" s="6" t="n">
        <f aca="false">(Sens!I12406-Sens!I12402)*Seg!I24/(Seg!I24+Seg!I26)</f>
        <v>7.50238476920254</v>
      </c>
      <c r="J12407" s="6" t="n">
        <f aca="false">(Sens!J12406-Sens!J12402)*Seg!J24/(Seg!J24+Seg!J26)</f>
        <v>7.54388912124533</v>
      </c>
      <c r="K12407" s="6" t="n">
        <f aca="false">(Sens!K12406-Sens!K12402)*Seg!K24/(Seg!K24+Seg!K26)</f>
        <v>7.71332639591206</v>
      </c>
    </row>
    <row r="12408" customFormat="false" ht="17.15" hidden="false" customHeight="false" outlineLevel="0" collapsed="false">
      <c r="A12408" s="0" t="s">
        <v>1082</v>
      </c>
      <c r="B12408" s="0" t="s">
        <v>98</v>
      </c>
      <c r="F12408" s="6" t="n">
        <f aca="false">Sens!F12406-Sens!F12402-Sens!F12407</f>
        <v>6.80515287845105</v>
      </c>
      <c r="G12408" s="6" t="n">
        <f aca="false">Sens!G12406-Sens!G12402-Sens!G12407</f>
        <v>6.72348939049287</v>
      </c>
      <c r="H12408" s="6" t="n">
        <f aca="false">Sens!H12406-Sens!H12402-Sens!H12407</f>
        <v>6.70637012977225</v>
      </c>
      <c r="I12408" s="6" t="n">
        <f aca="false">Sens!I12406-Sens!I12402-Sens!I12407</f>
        <v>6.75156717883416</v>
      </c>
      <c r="J12408" s="6" t="n">
        <f aca="false">Sens!J12406-Sens!J12402-Sens!J12407</f>
        <v>6.85402472711273</v>
      </c>
      <c r="K12408" s="6" t="n">
        <f aca="false">Sens!K12406-Sens!K12402-Sens!K12407</f>
        <v>7.00796750803058</v>
      </c>
    </row>
    <row r="12409" customFormat="false" ht="17.15" hidden="false" customHeight="false" outlineLevel="0" collapsed="false">
      <c r="A12409" s="0" t="s">
        <v>1083</v>
      </c>
      <c r="B12409" s="0" t="s">
        <v>98</v>
      </c>
      <c r="F12409" s="6" t="n">
        <f aca="false">Sens!F12403-tax_f*(Sens!F12403-Thesis!F40)-Thesis!F37</f>
        <v>-117.492972553783</v>
      </c>
      <c r="G12409" s="6" t="n">
        <f aca="false">Sens!G12403-tax_f*(Sens!G12403-Thesis!G40)-Thesis!G37</f>
        <v>-100.507498271105</v>
      </c>
      <c r="H12409" s="6" t="n">
        <f aca="false">Sens!H12403-tax_f*(Sens!H12403-Thesis!H40)-Thesis!H37</f>
        <v>-58.2254156812621</v>
      </c>
      <c r="I12409" s="6" t="n">
        <f aca="false">Sens!I12403-tax_f*(Sens!I12403-Thesis!I40)-Thesis!I37</f>
        <v>4.14141173464586</v>
      </c>
      <c r="J12409" s="6" t="n">
        <f aca="false">Sens!J12403-tax_f*(Sens!J12403-Thesis!J40)-Thesis!J37</f>
        <v>67.7960840957439</v>
      </c>
      <c r="K12409" s="6" t="n">
        <f aca="false">Sens!K12403-tax_f*(Sens!K12403-Thesis!K40)-Thesis!K37</f>
        <v>90.8148873630444</v>
      </c>
    </row>
    <row r="12410" customFormat="false" ht="17.15" hidden="false" customHeight="false" outlineLevel="0" collapsed="false">
      <c r="A12410" s="0" t="s">
        <v>1084</v>
      </c>
      <c r="B12410" s="0" t="s">
        <v>98</v>
      </c>
      <c r="G12410" s="6" t="n">
        <f aca="false">Sens!G12409/(1+(wacc+0.01))^(Sens!G12382-(Sens!F12382+mid_yr))</f>
        <v>-95.2716476380172</v>
      </c>
      <c r="H12410" s="6" t="n">
        <f aca="false">Sens!H12409/(1+(wacc+0.01))^(Sens!H12382-(Sens!F12382+mid_yr))</f>
        <v>-49.5916132511712</v>
      </c>
      <c r="I12410" s="6" t="n">
        <f aca="false">Sens!I12409/(1+(wacc+0.01))^(Sens!I12382-(Sens!F12382+mid_yr))</f>
        <v>3.16938117657885</v>
      </c>
      <c r="J12410" s="6" t="n">
        <f aca="false">Sens!J12409/(1+(wacc+0.01))^(Sens!J12382-(Sens!F12382+mid_yr))</f>
        <v>46.6188010489128</v>
      </c>
      <c r="K12410" s="6" t="n">
        <f aca="false">Sens!K12409/(1+(wacc+0.01))^(Sens!K12382-(Sens!F12382+mid_yr))</f>
        <v>56.1104775268309</v>
      </c>
      <c r="L12410" s="1" t="s">
        <v>1085</v>
      </c>
    </row>
    <row r="12411" customFormat="false" ht="17.15" hidden="false" customHeight="false" outlineLevel="0" collapsed="false">
      <c r="A12411" s="0" t="s">
        <v>1086</v>
      </c>
      <c r="B12411" s="0" t="s">
        <v>98</v>
      </c>
      <c r="C12411" s="6" t="n">
        <f aca="false">(Sens!K12403-Thesis!K40)*(1-tax_f)*(1+g_tv)*(1-g_tv/((wacc+0.01)+ronic_prem))/((wacc+0.01)-g_tv)/(1+(wacc+0.01))^(Sens!K12382+mid_yr-(Sens!F12382+mid_yr))</f>
        <v>390.414530107525</v>
      </c>
    </row>
    <row r="12412" customFormat="false" ht="17.15" hidden="false" customHeight="false" outlineLevel="0" collapsed="false">
      <c r="A12412" s="1" t="s">
        <v>1087</v>
      </c>
      <c r="B12412" s="0" t="s">
        <v>98</v>
      </c>
      <c r="C12412" s="6" t="n">
        <f aca="false">(SUM(Sens!G12410:K12410)+Sens!$C$12411)*(1+(wacc+0.01))^(t_roll-(Sens!F12382+mid_yr))</f>
        <v>363.926611860083</v>
      </c>
      <c r="L12412" s="11" t="s">
        <v>1088</v>
      </c>
    </row>
    <row r="12413" customFormat="false" ht="17.15" hidden="false" customHeight="false" outlineLevel="0" collapsed="false">
      <c r="A12413" s="1" t="s">
        <v>1089</v>
      </c>
      <c r="B12413" s="0" t="s">
        <v>98</v>
      </c>
      <c r="C12413" s="6" t="n">
        <f aca="false">(w_ntm28*Thesis!G29+(1-w_ntm28)*Thesis!H29)*m_ai</f>
        <v>551.711134531404</v>
      </c>
    </row>
    <row r="12414" customFormat="false" ht="17.15" hidden="false" customHeight="false" outlineLevel="0" collapsed="false">
      <c r="A12414" s="1" t="s">
        <v>1090</v>
      </c>
      <c r="B12414" s="0" t="s">
        <v>98</v>
      </c>
      <c r="C12414" s="6" t="n">
        <f aca="false">(w_ntm28*Sens!G12405+(1-w_ntm28)*Sens!H12405)*m_cloud</f>
        <v>1068.81917370447</v>
      </c>
    </row>
    <row r="12415" customFormat="false" ht="17.15" hidden="false" customHeight="false" outlineLevel="0" collapsed="false">
      <c r="A12415" s="1" t="s">
        <v>1091</v>
      </c>
      <c r="B12415" s="0" t="s">
        <v>98</v>
      </c>
      <c r="C12415" s="6" t="n">
        <f aca="false">(w_ntm28*Sens!G12398+(1-w_ntm28)*Sens!H12398)*m_sw</f>
        <v>1127.71024611553</v>
      </c>
    </row>
    <row r="12416" customFormat="false" ht="17.15" hidden="false" customHeight="false" outlineLevel="0" collapsed="false">
      <c r="A12416" s="1" t="s">
        <v>1092</v>
      </c>
      <c r="B12416" s="0" t="s">
        <v>98</v>
      </c>
      <c r="C12416" s="6" t="n">
        <f aca="false">(w_ntm28*Sens!G12399+(1-w_ntm28)*Sens!H12399)*m_sw</f>
        <v>379.927954212425</v>
      </c>
    </row>
    <row r="12417" customFormat="false" ht="17.15" hidden="false" customHeight="false" outlineLevel="0" collapsed="false">
      <c r="A12417" s="1" t="s">
        <v>1093</v>
      </c>
      <c r="B12417" s="0" t="s">
        <v>98</v>
      </c>
      <c r="C12417" s="6" t="n">
        <f aca="false">(w_ntm28*Sens!G12400+(1-w_ntm28)*Sens!H12400)*m_sw</f>
        <v>109.537681746057</v>
      </c>
    </row>
    <row r="12418" customFormat="false" ht="17.15" hidden="false" customHeight="false" outlineLevel="0" collapsed="false">
      <c r="A12418" s="1" t="s">
        <v>1094</v>
      </c>
      <c r="B12418" s="0" t="s">
        <v>98</v>
      </c>
      <c r="C12418" s="6" t="n">
        <f aca="false">(w_ntm28*Sens!G12401+(1-w_ntm28)*Sens!H12401)*m_sw</f>
        <v>41.7907416024197</v>
      </c>
    </row>
    <row r="12419" customFormat="false" ht="17.15" hidden="false" customHeight="false" outlineLevel="0" collapsed="false">
      <c r="A12419" s="1" t="s">
        <v>1095</v>
      </c>
      <c r="B12419" s="0" t="s">
        <v>98</v>
      </c>
      <c r="C12419" s="6" t="n">
        <f aca="false">(w_ntm28*Sens!G12402+(1-w_ntm28)*Sens!H12402)*m_ads</f>
        <v>115.467626729004</v>
      </c>
    </row>
    <row r="12420" customFormat="false" ht="17.15" hidden="false" customHeight="false" outlineLevel="0" collapsed="false">
      <c r="A12420" s="1" t="s">
        <v>1096</v>
      </c>
      <c r="B12420" s="0" t="s">
        <v>98</v>
      </c>
      <c r="C12420" s="6" t="n">
        <f aca="false">(w_ntm28*Sens!G12407+(1-w_ntm28)*Sens!H12407)*m_game</f>
        <v>98.0506984247457</v>
      </c>
    </row>
    <row r="12421" customFormat="false" ht="17.15" hidden="false" customHeight="false" outlineLevel="0" collapsed="false">
      <c r="A12421" s="1" t="s">
        <v>1097</v>
      </c>
      <c r="B12421" s="0" t="s">
        <v>98</v>
      </c>
      <c r="C12421" s="6" t="n">
        <f aca="false">(w_ntm28*Sens!G12408+(1-w_ntm28)*Sens!H12408)*m_pc</f>
        <v>97.2088080478016</v>
      </c>
    </row>
    <row r="12422" customFormat="false" ht="17.15" hidden="false" customHeight="false" outlineLevel="0" collapsed="false">
      <c r="A12422" s="1" t="s">
        <v>1098</v>
      </c>
      <c r="B12422" s="0" t="s">
        <v>98</v>
      </c>
      <c r="C12422" s="6" t="n">
        <f aca="false">Sens!$C$12412+Sens!$C$12414+Sens!$C$12415+Sens!$C$12416+Sens!$C$12417+Sens!$C$12418+Sens!$C$12419+Sens!$C$12420+Sens!$C$12421</f>
        <v>3402.43954244254</v>
      </c>
    </row>
    <row r="12423" customFormat="false" ht="17.15" hidden="false" customHeight="false" outlineLevel="0" collapsed="false">
      <c r="A12423" s="1" t="s">
        <v>1099</v>
      </c>
      <c r="B12423" s="0" t="s">
        <v>98</v>
      </c>
      <c r="C12423" s="6" t="n">
        <f aca="false">(Sens!G12384-Sens!G12409)*t_stub</f>
        <v>47.9592964551235</v>
      </c>
      <c r="L12423" s="1" t="s">
        <v>1100</v>
      </c>
    </row>
    <row r="12424" customFormat="false" ht="17.15" hidden="false" customHeight="false" outlineLevel="0" collapsed="false">
      <c r="A12424" s="1" t="s">
        <v>1014</v>
      </c>
      <c r="B12424" s="0" t="s">
        <v>98</v>
      </c>
      <c r="C12424" s="6" t="n">
        <f aca="false">CF!F38+oai_v-CF!F27+Sens!$C$12423</f>
        <v>163.066005497665</v>
      </c>
      <c r="L12424" s="1" t="s">
        <v>1101</v>
      </c>
    </row>
    <row r="12425" customFormat="false" ht="17.15" hidden="false" customHeight="false" outlineLevel="0" collapsed="false">
      <c r="A12425" s="1" t="s">
        <v>1102</v>
      </c>
      <c r="B12425" s="0" t="s">
        <v>75</v>
      </c>
      <c r="C12425" s="5" t="n">
        <f aca="false">(Sens!$C$12422+Sens!$C$12424)/(CF!F40+dil_gap)-CF!G30*roll_div_q/q_per_yr</f>
        <v>474.614922083806</v>
      </c>
      <c r="L12425" s="1" t="s">
        <v>1103</v>
      </c>
    </row>
    <row r="12426" customFormat="false" ht="17.15" hidden="false" customHeight="false" outlineLevel="0" collapsed="false">
      <c r="A12426" s="1" t="s">
        <v>1104</v>
      </c>
      <c r="B12426" s="0" t="s">
        <v>75</v>
      </c>
      <c r="C12426" s="5" t="n">
        <f aca="false">w_dcf*Sens!$C$12396+(1-w_dcf)*Sens!$C$12425</f>
        <v>403.661199121405</v>
      </c>
    </row>
    <row r="12427" customFormat="false" ht="17.15" hidden="false" customHeight="false" outlineLevel="0" collapsed="false">
      <c r="A12427" s="3" t="s">
        <v>1581</v>
      </c>
    </row>
    <row r="12428" customFormat="false" ht="15" hidden="false" customHeight="false" outlineLevel="0" collapsed="false">
      <c r="A12428" s="4" t="s">
        <v>43</v>
      </c>
      <c r="B12428" s="4" t="s">
        <v>65</v>
      </c>
      <c r="C12428" s="20" t="s">
        <v>799</v>
      </c>
      <c r="D12428" s="20" t="s">
        <v>800</v>
      </c>
      <c r="E12428" s="20" t="s">
        <v>801</v>
      </c>
      <c r="F12428" s="20" t="s">
        <v>802</v>
      </c>
      <c r="G12428" s="20" t="s">
        <v>803</v>
      </c>
      <c r="H12428" s="20" t="s">
        <v>804</v>
      </c>
      <c r="I12428" s="20" t="s">
        <v>805</v>
      </c>
      <c r="J12428" s="20" t="s">
        <v>806</v>
      </c>
      <c r="K12428" s="20" t="s">
        <v>807</v>
      </c>
      <c r="L12428" s="4" t="s">
        <v>47</v>
      </c>
    </row>
    <row r="12429" customFormat="false" ht="15" hidden="false" customHeight="false" outlineLevel="0" collapsed="false">
      <c r="A12429" s="1" t="s">
        <v>1057</v>
      </c>
      <c r="B12429" s="1" t="s">
        <v>235</v>
      </c>
      <c r="F12429" s="36" t="n">
        <f aca="false">Thesis!F55-base_fy-mid_yr</f>
        <v>0.5</v>
      </c>
      <c r="G12429" s="36" t="n">
        <f aca="false">Thesis!G55-base_fy-mid_yr</f>
        <v>1.5</v>
      </c>
      <c r="H12429" s="36" t="n">
        <f aca="false">Thesis!H55-base_fy-mid_yr</f>
        <v>2.5</v>
      </c>
      <c r="I12429" s="36" t="n">
        <f aca="false">Thesis!I55-base_fy-mid_yr</f>
        <v>3.5</v>
      </c>
      <c r="J12429" s="36" t="n">
        <f aca="false">Thesis!J55-base_fy-mid_yr</f>
        <v>4.5</v>
      </c>
      <c r="K12429" s="36" t="n">
        <f aca="false">Thesis!K55-base_fy-mid_yr</f>
        <v>5.5</v>
      </c>
    </row>
    <row r="12430" customFormat="false" ht="15" hidden="false" customHeight="false" outlineLevel="0" collapsed="false">
      <c r="A12430" s="1" t="s">
        <v>1058</v>
      </c>
      <c r="B12430" s="0" t="s">
        <v>185</v>
      </c>
      <c r="F12430" s="14" t="n">
        <f aca="false">1/(1+(wacc+0.01))^Sens!F12429</f>
        <v>0.947905870475805</v>
      </c>
      <c r="G12430" s="14" t="n">
        <f aca="false">1/(1+(wacc+0.01))^Sens!G12429</f>
        <v>0.851717633458314</v>
      </c>
      <c r="H12430" s="14" t="n">
        <f aca="false">1/(1+(wacc+0.01))^Sens!H12429</f>
        <v>0.76529004591954</v>
      </c>
      <c r="I12430" s="14" t="n">
        <f aca="false">1/(1+(wacc+0.01))^Sens!I12429</f>
        <v>0.687632651217379</v>
      </c>
      <c r="J12430" s="14" t="n">
        <f aca="false">1/(1+(wacc+0.01))^Sens!J12429</f>
        <v>0.617855498763346</v>
      </c>
      <c r="K12430" s="14" t="n">
        <f aca="false">1/(1+(wacc+0.01))^Sens!K12429</f>
        <v>0.555158945224989</v>
      </c>
    </row>
    <row r="12431" customFormat="false" ht="17.15" hidden="false" customHeight="false" outlineLevel="0" collapsed="false">
      <c r="A12431" s="1" t="s">
        <v>1059</v>
      </c>
      <c r="B12431" s="0" t="s">
        <v>98</v>
      </c>
      <c r="F12431" s="6" t="n">
        <f aca="false">CF!F53-CF!F51-CF!F57+Thesis!F93*(1-tax_f)</f>
        <v>-2.12916264917943</v>
      </c>
      <c r="G12431" s="6" t="n">
        <f aca="false">CF!G53-CF!G51-CF!G57+Thesis!G93*(1-tax_f)</f>
        <v>37.4539072201241</v>
      </c>
      <c r="H12431" s="6" t="n">
        <f aca="false">CF!H53-CF!H51-CF!H57+Thesis!H93*(1-tax_f)</f>
        <v>85.8888636072133</v>
      </c>
      <c r="I12431" s="6" t="n">
        <f aca="false">CF!I53-CF!I51-CF!I57+Thesis!I93*(1-tax_f)</f>
        <v>159.098024951333</v>
      </c>
      <c r="J12431" s="6" t="n">
        <f aca="false">CF!J53-CF!J51-CF!J57+Thesis!J93*(1-tax_f)</f>
        <v>233.876759261847</v>
      </c>
      <c r="K12431" s="6" t="n">
        <f aca="false">CF!K53-CF!K51-CF!K57+Thesis!K93*(1-tax_f)</f>
        <v>268.447783789649</v>
      </c>
      <c r="L12431" s="1" t="s">
        <v>1060</v>
      </c>
    </row>
    <row r="12432" customFormat="false" ht="15" hidden="false" customHeight="false" outlineLevel="0" collapsed="false">
      <c r="A12432" s="1" t="s">
        <v>1061</v>
      </c>
      <c r="B12432" s="0" t="s">
        <v>98</v>
      </c>
      <c r="F12432" s="6" t="n">
        <f aca="false">Sens!F12431*Sens!F12430</f>
        <v>-2.01824577435499</v>
      </c>
      <c r="G12432" s="6" t="n">
        <f aca="false">Sens!G12431*Sens!G12430</f>
        <v>31.9001532212913</v>
      </c>
      <c r="H12432" s="6" t="n">
        <f aca="false">Sens!H12431*Sens!H12430</f>
        <v>65.7298923739414</v>
      </c>
      <c r="I12432" s="6" t="n">
        <f aca="false">Sens!I12431*Sens!I12430</f>
        <v>109.400996700734</v>
      </c>
      <c r="J12432" s="6" t="n">
        <f aca="false">Sens!J12431*Sens!J12430</f>
        <v>144.502041742884</v>
      </c>
      <c r="K12432" s="6" t="n">
        <f aca="false">Sens!K12431*Sens!K12430</f>
        <v>149.031188496648</v>
      </c>
    </row>
    <row r="12433" customFormat="false" ht="17.15" hidden="false" customHeight="false" outlineLevel="0" collapsed="false">
      <c r="A12433" s="1" t="s">
        <v>1062</v>
      </c>
      <c r="B12433" s="0" t="s">
        <v>98</v>
      </c>
      <c r="C12433" s="6" t="n">
        <f aca="false">SUM(Sens!F12432:K12432)</f>
        <v>498.546026761143</v>
      </c>
    </row>
    <row r="12434" customFormat="false" ht="17.15" hidden="false" customHeight="false" outlineLevel="0" collapsed="false">
      <c r="A12434" s="1" t="s">
        <v>1063</v>
      </c>
      <c r="B12434" s="0" t="s">
        <v>98</v>
      </c>
      <c r="C12434" s="6" t="n">
        <f aca="false">PL!K78*(1+g_tv)*(1-tax_f)</f>
        <v>284.685941703094</v>
      </c>
    </row>
    <row r="12435" customFormat="false" ht="17.15" hidden="false" customHeight="false" outlineLevel="0" collapsed="false">
      <c r="A12435" s="1" t="s">
        <v>1064</v>
      </c>
      <c r="B12435" s="0" t="s">
        <v>98</v>
      </c>
      <c r="C12435" s="6" t="n">
        <f aca="false">Sens!$C$12434*(1-g_tv/((wacc+0.01)+ronic_prem))</f>
        <v>209.061714438553</v>
      </c>
    </row>
    <row r="12436" customFormat="false" ht="17.15" hidden="false" customHeight="false" outlineLevel="0" collapsed="false">
      <c r="A12436" s="1" t="s">
        <v>1065</v>
      </c>
      <c r="B12436" s="0" t="s">
        <v>98</v>
      </c>
      <c r="C12436" s="6" t="n">
        <f aca="false">Sens!$C$12435/((wacc+0.01)-g_tv)</f>
        <v>2520.80757548471</v>
      </c>
    </row>
    <row r="12437" customFormat="false" ht="15" hidden="false" customHeight="false" outlineLevel="0" collapsed="false">
      <c r="A12437" s="1" t="s">
        <v>1066</v>
      </c>
      <c r="B12437" s="0" t="s">
        <v>98</v>
      </c>
      <c r="C12437" s="6" t="n">
        <f aca="false">Sens!$C$12436/(1+(wacc+0.01))^(Sens!K12429+mid_yr)</f>
        <v>1326.54580377904</v>
      </c>
    </row>
    <row r="12438" customFormat="false" ht="17.15" hidden="false" customHeight="false" outlineLevel="0" collapsed="false">
      <c r="A12438" s="0" t="s">
        <v>986</v>
      </c>
      <c r="B12438" s="0" t="s">
        <v>98</v>
      </c>
      <c r="C12438" s="6" t="n">
        <f aca="false">Sens!$C$12433+Sens!$C$12437</f>
        <v>1825.09183054018</v>
      </c>
    </row>
    <row r="12439" customFormat="false" ht="15" hidden="false" customHeight="false" outlineLevel="0" collapsed="false">
      <c r="A12439" s="1" t="s">
        <v>987</v>
      </c>
      <c r="B12439" s="0" t="s">
        <v>129</v>
      </c>
      <c r="C12439" s="7" t="n">
        <f aca="false">Sens!$C$12437/Sens!$C$12438</f>
        <v>0.726837839927437</v>
      </c>
    </row>
    <row r="12440" customFormat="false" ht="17.15" hidden="false" customHeight="false" outlineLevel="0" collapsed="false">
      <c r="A12440" s="1" t="s">
        <v>1067</v>
      </c>
      <c r="B12440" s="0" t="s">
        <v>98</v>
      </c>
      <c r="C12440" s="6" t="n">
        <f aca="false">Sens!$C$12438+CF!E69-CF!E58+oai_v</f>
        <v>1959.60483054018</v>
      </c>
    </row>
    <row r="12441" customFormat="false" ht="17.15" hidden="false" customHeight="false" outlineLevel="0" collapsed="false">
      <c r="A12441" s="0" t="s">
        <v>994</v>
      </c>
      <c r="B12441" s="0" t="s">
        <v>75</v>
      </c>
      <c r="C12441" s="5" t="n">
        <f aca="false">Sens!$C$12440/sh_dil26</f>
        <v>262.928328262469</v>
      </c>
    </row>
    <row r="12442" customFormat="false" ht="15" hidden="false" customHeight="false" outlineLevel="0" collapsed="false">
      <c r="A12442" s="1" t="s">
        <v>1068</v>
      </c>
      <c r="B12442" s="0" t="s">
        <v>75</v>
      </c>
      <c r="C12442" s="8" t="n">
        <f aca="false">dps_27+CF!G61*roll_div_q/q_per_yr</f>
        <v>4.8895</v>
      </c>
    </row>
    <row r="12443" customFormat="false" ht="17.15" hidden="false" customHeight="false" outlineLevel="0" collapsed="false">
      <c r="A12443" s="0" t="s">
        <v>1069</v>
      </c>
      <c r="B12443" s="0" t="s">
        <v>75</v>
      </c>
      <c r="C12443" s="5" t="n">
        <f aca="false">Sens!$C$12441*(1+(wacc+0.01))^t_roll-Sens!$C$12442</f>
        <v>298.120742254006</v>
      </c>
    </row>
    <row r="12444" customFormat="false" ht="17.15" hidden="false" customHeight="false" outlineLevel="0" collapsed="false">
      <c r="A12444" s="1" t="s">
        <v>1070</v>
      </c>
      <c r="B12444" s="0" t="s">
        <v>129</v>
      </c>
      <c r="F12444" s="7" t="n">
        <f aca="false">CF!F48/(Seg!F56-Thesis!F72)</f>
        <v>0.0708376243512414</v>
      </c>
      <c r="G12444" s="7" t="n">
        <f aca="false">CF!G48/(Seg!G56-Thesis!G72)</f>
        <v>0.0675792567445289</v>
      </c>
      <c r="H12444" s="7" t="n">
        <f aca="false">CF!H48/(Seg!H56-Thesis!H72)</f>
        <v>0.0657637992399081</v>
      </c>
      <c r="I12444" s="7" t="n">
        <f aca="false">CF!I48/(Seg!I56-Thesis!I72)</f>
        <v>0.0652507860006261</v>
      </c>
      <c r="J12444" s="7" t="n">
        <f aca="false">CF!J48/(Seg!J56-Thesis!J72)</f>
        <v>0.0657374094257698</v>
      </c>
      <c r="K12444" s="7" t="n">
        <f aca="false">CF!K48/(Seg!K56-Thesis!K72)</f>
        <v>0.0668595832904836</v>
      </c>
    </row>
    <row r="12445" customFormat="false" ht="17.15" hidden="false" customHeight="false" outlineLevel="0" collapsed="false">
      <c r="A12445" s="0" t="s">
        <v>1071</v>
      </c>
      <c r="B12445" s="0" t="s">
        <v>98</v>
      </c>
      <c r="F12445" s="6" t="n">
        <f aca="false">Seg!F41*(al_m365+Sens!F12444+sbc_r)</f>
        <v>84.2019918892952</v>
      </c>
      <c r="G12445" s="6" t="n">
        <f aca="false">Seg!G41*(al_m365+Sens!G12444+sbc_r)</f>
        <v>96.61090954529</v>
      </c>
      <c r="H12445" s="6" t="n">
        <f aca="false">Seg!H41*(al_m365+Sens!H12444+sbc_r)</f>
        <v>109.18271398457</v>
      </c>
      <c r="I12445" s="6" t="n">
        <f aca="false">Seg!I41*(al_m365+Sens!I12444+sbc_r)</f>
        <v>120.736322591613</v>
      </c>
      <c r="J12445" s="6" t="n">
        <f aca="false">Seg!J41*(al_m365+Sens!J12444+sbc_r)</f>
        <v>131.084561154645</v>
      </c>
      <c r="K12445" s="6" t="n">
        <f aca="false">Seg!K41*(al_m365+Sens!K12444+sbc_r)</f>
        <v>141.044207560217</v>
      </c>
      <c r="L12445" s="11" t="s">
        <v>1072</v>
      </c>
    </row>
    <row r="12446" customFormat="false" ht="17.15" hidden="false" customHeight="false" outlineLevel="0" collapsed="false">
      <c r="A12446" s="0" t="s">
        <v>1073</v>
      </c>
      <c r="B12446" s="0" t="s">
        <v>98</v>
      </c>
      <c r="F12446" s="6" t="n">
        <f aca="false">Seg!F42*(al_lic+Sens!F12444+sbc_r)</f>
        <v>33.5324516680982</v>
      </c>
      <c r="G12446" s="6" t="n">
        <f aca="false">Seg!G42*(al_lic+Sens!G12444+sbc_r)</f>
        <v>34.819657317048</v>
      </c>
      <c r="H12446" s="6" t="n">
        <f aca="false">Seg!H42*(al_lic+Sens!H12444+sbc_r)</f>
        <v>36.0229106304815</v>
      </c>
      <c r="I12446" s="6" t="n">
        <f aca="false">Seg!I42*(al_lic+Sens!I12444+sbc_r)</f>
        <v>37.1234854794919</v>
      </c>
      <c r="J12446" s="6" t="n">
        <f aca="false">Seg!J42*(al_lic+Sens!J12444+sbc_r)</f>
        <v>38.0950592345738</v>
      </c>
      <c r="K12446" s="6" t="n">
        <f aca="false">Seg!K42*(al_lic+Sens!K12444+sbc_r)</f>
        <v>38.9080719459809</v>
      </c>
    </row>
    <row r="12447" customFormat="false" ht="17.15" hidden="false" customHeight="false" outlineLevel="0" collapsed="false">
      <c r="A12447" s="0" t="s">
        <v>1074</v>
      </c>
      <c r="B12447" s="0" t="s">
        <v>98</v>
      </c>
      <c r="F12447" s="6" t="n">
        <f aca="false">Seg!F44*(al_ind+Sens!F12444+sbc_r)</f>
        <v>9.12666918765551</v>
      </c>
      <c r="G12447" s="6" t="n">
        <f aca="false">Seg!G44*(al_ind+Sens!G12444+sbc_r)</f>
        <v>9.89694850970116</v>
      </c>
      <c r="H12447" s="6" t="n">
        <f aca="false">Seg!H44*(al_ind+Sens!H12444+sbc_r)</f>
        <v>10.7131335152527</v>
      </c>
      <c r="I12447" s="6" t="n">
        <f aca="false">Seg!I44*(al_ind+Sens!I12444+sbc_r)</f>
        <v>11.5721730864119</v>
      </c>
      <c r="J12447" s="6" t="n">
        <f aca="false">Seg!J44*(al_ind+Sens!J12444+sbc_r)</f>
        <v>12.4641697526801</v>
      </c>
      <c r="K12447" s="6" t="n">
        <f aca="false">Seg!K44*(al_ind+Sens!K12444+sbc_r)</f>
        <v>13.3737871892836</v>
      </c>
    </row>
    <row r="12448" customFormat="false" ht="17.15" hidden="false" customHeight="false" outlineLevel="0" collapsed="false">
      <c r="A12448" s="0" t="s">
        <v>1075</v>
      </c>
      <c r="B12448" s="0" t="s">
        <v>98</v>
      </c>
      <c r="F12448" s="6" t="n">
        <f aca="false">Seg!F46*(al_fro+Sens!F12444+sbc_r)</f>
        <v>3.5922890341799</v>
      </c>
      <c r="G12448" s="6" t="n">
        <f aca="false">Seg!G46*(al_fro+Sens!G12444+sbc_r)</f>
        <v>3.79984310356763</v>
      </c>
      <c r="H12448" s="6" t="n">
        <f aca="false">Seg!H46*(al_fro+Sens!H12444+sbc_r)</f>
        <v>4.03707539290126</v>
      </c>
      <c r="I12448" s="6" t="n">
        <f aca="false">Seg!I46*(al_fro+Sens!I12444+sbc_r)</f>
        <v>4.30669184104541</v>
      </c>
      <c r="J12448" s="6" t="n">
        <f aca="false">Seg!J46*(al_fro+Sens!J12444+sbc_r)</f>
        <v>4.6097289716959</v>
      </c>
      <c r="K12448" s="6" t="n">
        <f aca="false">Seg!K46*(al_fro+Sens!K12444+sbc_r)</f>
        <v>4.94614045628512</v>
      </c>
    </row>
    <row r="12449" customFormat="false" ht="17.15" hidden="false" customHeight="false" outlineLevel="0" collapsed="false">
      <c r="A12449" s="0" t="s">
        <v>1076</v>
      </c>
      <c r="B12449" s="0" t="s">
        <v>98</v>
      </c>
      <c r="F12449" s="6" t="n">
        <f aca="false">Seg!F49*(al_srch+Sens!F12444+sbc_r)</f>
        <v>11.2715683093452</v>
      </c>
      <c r="G12449" s="6" t="n">
        <f aca="false">Seg!G49*(al_srch+Sens!G12444+sbc_r)</f>
        <v>12.338201972554</v>
      </c>
      <c r="H12449" s="6" t="n">
        <f aca="false">Seg!H49*(al_srch+Sens!H12444+sbc_r)</f>
        <v>13.450727865064</v>
      </c>
      <c r="I12449" s="6" t="n">
        <f aca="false">Seg!I49*(al_srch+Sens!I12444+sbc_r)</f>
        <v>14.598560682534</v>
      </c>
      <c r="J12449" s="6" t="n">
        <f aca="false">Seg!J49*(al_srch+Sens!J12444+sbc_r)</f>
        <v>15.7615229152659</v>
      </c>
      <c r="K12449" s="6" t="n">
        <f aca="false">Seg!K49*(al_srch+Sens!K12444+sbc_r)</f>
        <v>16.9117765106222</v>
      </c>
    </row>
    <row r="12450" customFormat="false" ht="17.15" hidden="false" customHeight="false" outlineLevel="0" collapsed="false">
      <c r="A12450" s="0" t="s">
        <v>1077</v>
      </c>
      <c r="B12450" s="0" t="s">
        <v>98</v>
      </c>
      <c r="F12450" s="6" t="n">
        <f aca="false">Thesis!F78-Thesis!F79+Thesis!F93</f>
        <v>42.2254306726393</v>
      </c>
      <c r="G12450" s="6" t="n">
        <f aca="false">Thesis!G78-Thesis!G79+Thesis!G93</f>
        <v>79.7027537443441</v>
      </c>
      <c r="H12450" s="6" t="n">
        <f aca="false">Thesis!H78-Thesis!H79+Thesis!H93</f>
        <v>120.060533679822</v>
      </c>
      <c r="I12450" s="6" t="n">
        <f aca="false">Thesis!I78-Thesis!I79+Thesis!I93</f>
        <v>156.515256506302</v>
      </c>
      <c r="J12450" s="6" t="n">
        <f aca="false">Thesis!J78-Thesis!J79+Thesis!J93</f>
        <v>182.51821819491</v>
      </c>
      <c r="K12450" s="6" t="n">
        <f aca="false">Thesis!K78-Thesis!K79+Thesis!K93</f>
        <v>199.254533496123</v>
      </c>
    </row>
    <row r="12451" customFormat="false" ht="17.15" hidden="false" customHeight="false" outlineLevel="0" collapsed="false">
      <c r="A12451" s="0" t="s">
        <v>1078</v>
      </c>
      <c r="B12451" s="0" t="s">
        <v>98</v>
      </c>
      <c r="F12451" s="6" t="n">
        <f aca="false">PL!F71+Thesis!F93+Thesis!F89+Sens!F12444*(Seg!F48-Thesis!F72)+sbc_r*Seg!F48</f>
        <v>233.08249657256</v>
      </c>
      <c r="G12451" s="6" t="n">
        <f aca="false">PL!G71+Thesis!G93+Thesis!G89+Sens!G12444*(Seg!G48-Thesis!G72)+sbc_r*Seg!G48</f>
        <v>297.663189032606</v>
      </c>
      <c r="H12451" s="6" t="n">
        <f aca="false">PL!H71+Thesis!H93+Thesis!H89+Sens!H12444*(Seg!H48-Thesis!H72)+sbc_r*Seg!H48</f>
        <v>365.628165851855</v>
      </c>
      <c r="I12451" s="6" t="n">
        <f aca="false">PL!I71+Thesis!I93+Thesis!I89+Sens!I12444*(Seg!I48-Thesis!I72)+sbc_r*Seg!I48</f>
        <v>428.31888397841</v>
      </c>
      <c r="J12451" s="6" t="n">
        <f aca="false">PL!J71+Thesis!J93+Thesis!J89+Sens!J12444*(Seg!J48-Thesis!J72)+sbc_r*Seg!J48</f>
        <v>478.127348640143</v>
      </c>
      <c r="K12451" s="6" t="n">
        <f aca="false">PL!K71+Thesis!K93+Thesis!K89+Sens!K12444*(Seg!K48-Thesis!K72)+sbc_r*Seg!K48</f>
        <v>516.321726855748</v>
      </c>
    </row>
    <row r="12452" customFormat="false" ht="17.15" hidden="false" customHeight="false" outlineLevel="0" collapsed="false">
      <c r="A12452" s="0" t="s">
        <v>1079</v>
      </c>
      <c r="B12452" s="0" t="s">
        <v>98</v>
      </c>
      <c r="F12452" s="6" t="n">
        <f aca="false">Sens!F12451-Sens!F12445-Sens!F12446-Sens!F12447-Sens!F12448-Sens!F12450</f>
        <v>60.4036641206917</v>
      </c>
      <c r="G12452" s="6" t="n">
        <f aca="false">Sens!G12451-Sens!G12445-Sens!G12446-Sens!G12447-Sens!G12448-Sens!G12450</f>
        <v>72.8330768126549</v>
      </c>
      <c r="H12452" s="6" t="n">
        <f aca="false">Sens!H12451-Sens!H12445-Sens!H12446-Sens!H12447-Sens!H12448-Sens!H12450</f>
        <v>85.6117986488275</v>
      </c>
      <c r="I12452" s="6" t="n">
        <f aca="false">Sens!I12451-Sens!I12445-Sens!I12446-Sens!I12447-Sens!I12448-Sens!I12450</f>
        <v>98.0649544735462</v>
      </c>
      <c r="J12452" s="6" t="n">
        <f aca="false">Sens!J12451-Sens!J12445-Sens!J12446-Sens!J12447-Sens!J12448-Sens!J12450</f>
        <v>109.355611331638</v>
      </c>
      <c r="K12452" s="6" t="n">
        <f aca="false">Sens!K12451-Sens!K12445-Sens!K12446-Sens!K12447-Sens!K12448-Sens!K12450</f>
        <v>118.794986207857</v>
      </c>
    </row>
    <row r="12453" customFormat="false" ht="17.15" hidden="false" customHeight="false" outlineLevel="0" collapsed="false">
      <c r="A12453" s="0" t="s">
        <v>1080</v>
      </c>
      <c r="B12453" s="0" t="s">
        <v>98</v>
      </c>
      <c r="F12453" s="6" t="n">
        <f aca="false">PL!F73+Sens!F12444*Seg!F55+sbc_r*Seg!F55</f>
        <v>26.345087006484</v>
      </c>
      <c r="G12453" s="6" t="n">
        <f aca="false">PL!G73+Sens!G12444*Seg!G55+sbc_r*Seg!G55</f>
        <v>26.928666241387</v>
      </c>
      <c r="H12453" s="6" t="n">
        <f aca="false">PL!H73+Sens!H12444*Seg!H55+sbc_r*Seg!H55</f>
        <v>27.7857977299272</v>
      </c>
      <c r="I12453" s="6" t="n">
        <f aca="false">PL!I73+Sens!I12444*Seg!I55+sbc_r*Seg!I55</f>
        <v>28.8854111921819</v>
      </c>
      <c r="J12453" s="6" t="n">
        <f aca="false">PL!J73+Sens!J12444*Seg!J55+sbc_r*Seg!J55</f>
        <v>30.1909525075627</v>
      </c>
      <c r="K12453" s="6" t="n">
        <f aca="false">PL!K73+Sens!K12444*Seg!K55+sbc_r*Seg!K55</f>
        <v>31.6641663414168</v>
      </c>
    </row>
    <row r="12454" customFormat="false" ht="17.15" hidden="false" customHeight="false" outlineLevel="0" collapsed="false">
      <c r="A12454" s="0" t="s">
        <v>1081</v>
      </c>
      <c r="B12454" s="0" t="s">
        <v>98</v>
      </c>
      <c r="F12454" s="6" t="n">
        <f aca="false">(Sens!F12453-Sens!F12449)*Seg!F51/(Seg!F51+Seg!F53)</f>
        <v>8.26315613582677</v>
      </c>
      <c r="G12454" s="6" t="n">
        <f aca="false">(Sens!G12453-Sens!G12449)*Seg!G51/(Seg!G51+Seg!G53)</f>
        <v>7.85574031810689</v>
      </c>
      <c r="H12454" s="6" t="n">
        <f aca="false">(Sens!H12453-Sens!H12449)*Seg!H51/(Seg!H51+Seg!H53)</f>
        <v>7.61397145487838</v>
      </c>
      <c r="I12454" s="6" t="n">
        <f aca="false">(Sens!I12453-Sens!I12449)*Seg!I51/(Seg!I51+Seg!I53)</f>
        <v>7.51970050510933</v>
      </c>
      <c r="J12454" s="6" t="n">
        <f aca="false">(Sens!J12453-Sens!J12449)*Seg!J51/(Seg!J51+Seg!J53)</f>
        <v>7.56040201890202</v>
      </c>
      <c r="K12454" s="6" t="n">
        <f aca="false">(Sens!K12453-Sens!K12449)*Seg!K51/(Seg!K51+Seg!K53)</f>
        <v>7.72961932742727</v>
      </c>
    </row>
    <row r="12455" customFormat="false" ht="17.15" hidden="false" customHeight="false" outlineLevel="0" collapsed="false">
      <c r="A12455" s="0" t="s">
        <v>1082</v>
      </c>
      <c r="B12455" s="0" t="s">
        <v>98</v>
      </c>
      <c r="F12455" s="6" t="n">
        <f aca="false">Sens!F12453-Sens!F12449-Sens!F12454</f>
        <v>6.81036256131213</v>
      </c>
      <c r="G12455" s="6" t="n">
        <f aca="false">Sens!G12453-Sens!G12449-Sens!G12454</f>
        <v>6.73472395072608</v>
      </c>
      <c r="H12455" s="6" t="n">
        <f aca="false">Sens!H12453-Sens!H12449-Sens!H12454</f>
        <v>6.72109840998485</v>
      </c>
      <c r="I12455" s="6" t="n">
        <f aca="false">Sens!I12453-Sens!I12449-Sens!I12454</f>
        <v>6.76715000453853</v>
      </c>
      <c r="J12455" s="6" t="n">
        <f aca="false">Sens!J12453-Sens!J12449-Sens!J12454</f>
        <v>6.86902757339483</v>
      </c>
      <c r="K12455" s="6" t="n">
        <f aca="false">Sens!K12453-Sens!K12449-Sens!K12454</f>
        <v>7.02277050336727</v>
      </c>
    </row>
    <row r="12456" customFormat="false" ht="17.15" hidden="false" customHeight="false" outlineLevel="0" collapsed="false">
      <c r="A12456" s="0" t="s">
        <v>1083</v>
      </c>
      <c r="B12456" s="0" t="s">
        <v>98</v>
      </c>
      <c r="F12456" s="6" t="n">
        <f aca="false">Sens!F12450-tax_f*(Sens!F12450-Thesis!F89)-Thesis!F86</f>
        <v>-119.742553857164</v>
      </c>
      <c r="G12456" s="6" t="n">
        <f aca="false">Sens!G12450-tax_f*(Sens!G12450-Thesis!G89)-Thesis!G86</f>
        <v>-107.986890065622</v>
      </c>
      <c r="H12456" s="6" t="n">
        <f aca="false">Sens!H12450-tax_f*(Sens!H12450-Thesis!H89)-Thesis!H86</f>
        <v>-74.7596549978803</v>
      </c>
      <c r="I12456" s="6" t="n">
        <f aca="false">Sens!I12450-tax_f*(Sens!I12450-Thesis!I89)-Thesis!I86</f>
        <v>-16.3733151827256</v>
      </c>
      <c r="J12456" s="6" t="n">
        <f aca="false">Sens!J12450-tax_f*(Sens!J12450-Thesis!J89)-Thesis!J86</f>
        <v>44.4328025322546</v>
      </c>
      <c r="K12456" s="6" t="n">
        <f aca="false">Sens!K12450-tax_f*(Sens!K12450-Thesis!K89)-Thesis!K86</f>
        <v>65.8225043021697</v>
      </c>
    </row>
    <row r="12457" customFormat="false" ht="17.15" hidden="false" customHeight="false" outlineLevel="0" collapsed="false">
      <c r="A12457" s="0" t="s">
        <v>1084</v>
      </c>
      <c r="B12457" s="0" t="s">
        <v>98</v>
      </c>
      <c r="G12457" s="6" t="n">
        <f aca="false">Sens!G12456/(1+(wacc+0.01))^(Sens!G12429-(Sens!F12429+mid_yr))</f>
        <v>-102.361407027629</v>
      </c>
      <c r="H12457" s="6" t="n">
        <f aca="false">Sens!H12456/(1+(wacc+0.01))^(Sens!H12429-(Sens!F12429+mid_yr))</f>
        <v>-63.6741164329546</v>
      </c>
      <c r="I12457" s="6" t="n">
        <f aca="false">Sens!I12456/(1+(wacc+0.01))^(Sens!I12429-(Sens!F12429+mid_yr))</f>
        <v>-12.5303351280432</v>
      </c>
      <c r="J12457" s="6" t="n">
        <f aca="false">Sens!J12456/(1+(wacc+0.01))^(Sens!J12429-(Sens!F12429+mid_yr))</f>
        <v>30.5534458062725</v>
      </c>
      <c r="K12457" s="6" t="n">
        <f aca="false">Sens!K12456/(1+(wacc+0.01))^(Sens!K12429-(Sens!F12429+mid_yr))</f>
        <v>40.6687962254695</v>
      </c>
      <c r="L12457" s="1" t="s">
        <v>1085</v>
      </c>
    </row>
    <row r="12458" customFormat="false" ht="17.15" hidden="false" customHeight="false" outlineLevel="0" collapsed="false">
      <c r="A12458" s="0" t="s">
        <v>1086</v>
      </c>
      <c r="B12458" s="0" t="s">
        <v>98</v>
      </c>
      <c r="C12458" s="6" t="n">
        <f aca="false">(Sens!K12450-Thesis!K89)*(1-tax_f)*(1+g_tv)*(1-g_tv/((wacc+0.01)+ronic_prem))/((wacc+0.01)-g_tv)/(1+(wacc+0.01))^(Sens!K12429+mid_yr-(Sens!F12429+mid_yr))</f>
        <v>256.91777903867</v>
      </c>
    </row>
    <row r="12459" customFormat="false" ht="17.15" hidden="false" customHeight="false" outlineLevel="0" collapsed="false">
      <c r="A12459" s="1" t="s">
        <v>1087</v>
      </c>
      <c r="B12459" s="0" t="s">
        <v>98</v>
      </c>
      <c r="C12459" s="6" t="n">
        <f aca="false">(SUM(Sens!G12457:K12457)+Sens!$C$12458)*(1+(wacc+0.01))^(t_roll-(Sens!F12429+mid_yr))</f>
        <v>154.884134799043</v>
      </c>
      <c r="L12459" s="11" t="s">
        <v>1088</v>
      </c>
    </row>
    <row r="12460" customFormat="false" ht="17.15" hidden="false" customHeight="false" outlineLevel="0" collapsed="false">
      <c r="A12460" s="1" t="s">
        <v>1089</v>
      </c>
      <c r="B12460" s="0" t="s">
        <v>98</v>
      </c>
      <c r="C12460" s="6" t="n">
        <f aca="false">(w_ntm28*Thesis!G78+(1-w_ntm28)*Thesis!H78)*m_ai</f>
        <v>454.922440830797</v>
      </c>
    </row>
    <row r="12461" customFormat="false" ht="17.15" hidden="false" customHeight="false" outlineLevel="0" collapsed="false">
      <c r="A12461" s="1" t="s">
        <v>1090</v>
      </c>
      <c r="B12461" s="0" t="s">
        <v>98</v>
      </c>
      <c r="C12461" s="6" t="n">
        <f aca="false">(w_ntm28*Sens!G12452+(1-w_ntm28)*Sens!H12452)*m_cloud</f>
        <v>1063.6463501031</v>
      </c>
    </row>
    <row r="12462" customFormat="false" ht="17.15" hidden="false" customHeight="false" outlineLevel="0" collapsed="false">
      <c r="A12462" s="1" t="s">
        <v>1091</v>
      </c>
      <c r="B12462" s="0" t="s">
        <v>98</v>
      </c>
      <c r="C12462" s="6" t="n">
        <f aca="false">(w_ntm28*Sens!G12445+(1-w_ntm28)*Sens!H12445)*m_sw</f>
        <v>1087.29236439713</v>
      </c>
    </row>
    <row r="12463" customFormat="false" ht="17.15" hidden="false" customHeight="false" outlineLevel="0" collapsed="false">
      <c r="A12463" s="1" t="s">
        <v>1092</v>
      </c>
      <c r="B12463" s="0" t="s">
        <v>98</v>
      </c>
      <c r="C12463" s="6" t="n">
        <f aca="false">(w_ntm28*Sens!G12446+(1-w_ntm28)*Sens!H12446)*m_sw</f>
        <v>380.253466209432</v>
      </c>
    </row>
    <row r="12464" customFormat="false" ht="17.15" hidden="false" customHeight="false" outlineLevel="0" collapsed="false">
      <c r="A12464" s="1" t="s">
        <v>1093</v>
      </c>
      <c r="B12464" s="0" t="s">
        <v>98</v>
      </c>
      <c r="C12464" s="6" t="n">
        <f aca="false">(w_ntm28*Sens!G12447+(1-w_ntm28)*Sens!H12447)*m_sw</f>
        <v>109.736759441964</v>
      </c>
    </row>
    <row r="12465" customFormat="false" ht="17.15" hidden="false" customHeight="false" outlineLevel="0" collapsed="false">
      <c r="A12465" s="1" t="s">
        <v>1094</v>
      </c>
      <c r="B12465" s="0" t="s">
        <v>98</v>
      </c>
      <c r="C12465" s="6" t="n">
        <f aca="false">(w_ntm28*Sens!G12448+(1-w_ntm28)*Sens!H12448)*m_sw</f>
        <v>41.8666036816175</v>
      </c>
    </row>
    <row r="12466" customFormat="false" ht="17.15" hidden="false" customHeight="false" outlineLevel="0" collapsed="false">
      <c r="A12466" s="1" t="s">
        <v>1095</v>
      </c>
      <c r="B12466" s="0" t="s">
        <v>98</v>
      </c>
      <c r="C12466" s="6" t="n">
        <f aca="false">(w_ntm28*Sens!G12449+(1-w_ntm28)*Sens!H12449)*m_ads</f>
        <v>115.677576364297</v>
      </c>
    </row>
    <row r="12467" customFormat="false" ht="17.15" hidden="false" customHeight="false" outlineLevel="0" collapsed="false">
      <c r="A12467" s="1" t="s">
        <v>1096</v>
      </c>
      <c r="B12467" s="0" t="s">
        <v>98</v>
      </c>
      <c r="C12467" s="6" t="n">
        <f aca="false">(w_ntm28*Sens!G12454+(1-w_ntm28)*Sens!H12454)*m_game</f>
        <v>98.230828142008</v>
      </c>
    </row>
    <row r="12468" customFormat="false" ht="17.15" hidden="false" customHeight="false" outlineLevel="0" collapsed="false">
      <c r="A12468" s="1" t="s">
        <v>1097</v>
      </c>
      <c r="B12468" s="0" t="s">
        <v>98</v>
      </c>
      <c r="C12468" s="6" t="n">
        <f aca="false">(w_ntm28*Sens!G12455+(1-w_ntm28)*Sens!H12455)*m_pc</f>
        <v>97.3877156607214</v>
      </c>
    </row>
    <row r="12469" customFormat="false" ht="17.15" hidden="false" customHeight="false" outlineLevel="0" collapsed="false">
      <c r="A12469" s="1" t="s">
        <v>1098</v>
      </c>
      <c r="B12469" s="0" t="s">
        <v>98</v>
      </c>
      <c r="C12469" s="6" t="n">
        <f aca="false">Sens!$C$12459+Sens!$C$12461+Sens!$C$12462+Sens!$C$12463+Sens!$C$12464+Sens!$C$12465+Sens!$C$12466+Sens!$C$12467+Sens!$C$12468</f>
        <v>3148.97579879931</v>
      </c>
    </row>
    <row r="12470" customFormat="false" ht="17.15" hidden="false" customHeight="false" outlineLevel="0" collapsed="false">
      <c r="A12470" s="1" t="s">
        <v>1099</v>
      </c>
      <c r="B12470" s="0" t="s">
        <v>98</v>
      </c>
      <c r="C12470" s="6" t="n">
        <f aca="false">(Sens!G12431-Sens!G12456)*t_stub</f>
        <v>47.417684594531</v>
      </c>
      <c r="L12470" s="1" t="s">
        <v>1100</v>
      </c>
    </row>
    <row r="12471" customFormat="false" ht="17.15" hidden="false" customHeight="false" outlineLevel="0" collapsed="false">
      <c r="A12471" s="1" t="s">
        <v>1014</v>
      </c>
      <c r="B12471" s="0" t="s">
        <v>98</v>
      </c>
      <c r="C12471" s="6" t="n">
        <f aca="false">CF!F69+oai_v-CF!F58+Sens!$C$12470</f>
        <v>158.699306060314</v>
      </c>
      <c r="L12471" s="1" t="s">
        <v>1101</v>
      </c>
    </row>
    <row r="12472" customFormat="false" ht="17.15" hidden="false" customHeight="false" outlineLevel="0" collapsed="false">
      <c r="A12472" s="1" t="s">
        <v>1102</v>
      </c>
      <c r="B12472" s="0" t="s">
        <v>75</v>
      </c>
      <c r="C12472" s="5" t="n">
        <f aca="false">(Sens!$C$12469+Sens!$C$12471)/(CF!F71+dil_gap)-CF!G61*roll_div_q/q_per_yr</f>
        <v>440.2191852801</v>
      </c>
      <c r="L12472" s="1" t="s">
        <v>1103</v>
      </c>
    </row>
    <row r="12473" customFormat="false" ht="17.15" hidden="false" customHeight="false" outlineLevel="0" collapsed="false">
      <c r="A12473" s="1" t="s">
        <v>1104</v>
      </c>
      <c r="B12473" s="0" t="s">
        <v>75</v>
      </c>
      <c r="C12473" s="5" t="n">
        <f aca="false">w_dcf*Sens!$C$12443+(1-w_dcf)*Sens!$C$12472</f>
        <v>369.169963767053</v>
      </c>
    </row>
    <row r="12474" customFormat="false" ht="17.15" hidden="false" customHeight="false" outlineLevel="0" collapsed="false">
      <c r="A12474" s="3" t="s">
        <v>1582</v>
      </c>
    </row>
    <row r="12475" customFormat="false" ht="15" hidden="false" customHeight="false" outlineLevel="0" collapsed="false">
      <c r="A12475" s="4" t="s">
        <v>43</v>
      </c>
      <c r="B12475" s="4" t="s">
        <v>65</v>
      </c>
      <c r="C12475" s="20" t="s">
        <v>799</v>
      </c>
      <c r="D12475" s="20" t="s">
        <v>800</v>
      </c>
      <c r="E12475" s="20" t="s">
        <v>801</v>
      </c>
      <c r="F12475" s="20" t="s">
        <v>802</v>
      </c>
      <c r="G12475" s="20" t="s">
        <v>803</v>
      </c>
      <c r="H12475" s="20" t="s">
        <v>804</v>
      </c>
      <c r="I12475" s="20" t="s">
        <v>805</v>
      </c>
      <c r="J12475" s="20" t="s">
        <v>806</v>
      </c>
      <c r="K12475" s="20" t="s">
        <v>807</v>
      </c>
      <c r="L12475" s="4" t="s">
        <v>47</v>
      </c>
    </row>
    <row r="12476" customFormat="false" ht="15" hidden="false" customHeight="false" outlineLevel="0" collapsed="false">
      <c r="A12476" s="1" t="s">
        <v>1057</v>
      </c>
      <c r="B12476" s="1" t="s">
        <v>235</v>
      </c>
      <c r="F12476" s="36" t="n">
        <f aca="false">Thesis!F104-base_fy-mid_yr</f>
        <v>0.5</v>
      </c>
      <c r="G12476" s="36" t="n">
        <f aca="false">Thesis!G104-base_fy-mid_yr</f>
        <v>1.5</v>
      </c>
      <c r="H12476" s="36" t="n">
        <f aca="false">Thesis!H104-base_fy-mid_yr</f>
        <v>2.5</v>
      </c>
      <c r="I12476" s="36" t="n">
        <f aca="false">Thesis!I104-base_fy-mid_yr</f>
        <v>3.5</v>
      </c>
      <c r="J12476" s="36" t="n">
        <f aca="false">Thesis!J104-base_fy-mid_yr</f>
        <v>4.5</v>
      </c>
      <c r="K12476" s="36" t="n">
        <f aca="false">Thesis!K104-base_fy-mid_yr</f>
        <v>5.5</v>
      </c>
    </row>
    <row r="12477" customFormat="false" ht="15" hidden="false" customHeight="false" outlineLevel="0" collapsed="false">
      <c r="A12477" s="1" t="s">
        <v>1058</v>
      </c>
      <c r="B12477" s="0" t="s">
        <v>185</v>
      </c>
      <c r="F12477" s="14" t="n">
        <f aca="false">1/(1+(wacc+0.01))^Sens!F12476</f>
        <v>0.947905870475805</v>
      </c>
      <c r="G12477" s="14" t="n">
        <f aca="false">1/(1+(wacc+0.01))^Sens!G12476</f>
        <v>0.851717633458314</v>
      </c>
      <c r="H12477" s="14" t="n">
        <f aca="false">1/(1+(wacc+0.01))^Sens!H12476</f>
        <v>0.76529004591954</v>
      </c>
      <c r="I12477" s="14" t="n">
        <f aca="false">1/(1+(wacc+0.01))^Sens!I12476</f>
        <v>0.687632651217379</v>
      </c>
      <c r="J12477" s="14" t="n">
        <f aca="false">1/(1+(wacc+0.01))^Sens!J12476</f>
        <v>0.617855498763346</v>
      </c>
      <c r="K12477" s="14" t="n">
        <f aca="false">1/(1+(wacc+0.01))^Sens!K12476</f>
        <v>0.555158945224989</v>
      </c>
    </row>
    <row r="12478" customFormat="false" ht="17.15" hidden="false" customHeight="false" outlineLevel="0" collapsed="false">
      <c r="A12478" s="1" t="s">
        <v>1059</v>
      </c>
      <c r="B12478" s="0" t="s">
        <v>98</v>
      </c>
      <c r="F12478" s="6" t="n">
        <f aca="false">CF!F84-CF!F82-CF!F88+Thesis!F142*(1-tax_f)</f>
        <v>-5.66283879850096</v>
      </c>
      <c r="G12478" s="6" t="n">
        <f aca="false">CF!G84-CF!G82-CF!G88+Thesis!G142*(1-tax_f)</f>
        <v>26.4063013109088</v>
      </c>
      <c r="H12478" s="6" t="n">
        <f aca="false">CF!H84-CF!H82-CF!H88+Thesis!H142*(1-tax_f)</f>
        <v>62.5616635009479</v>
      </c>
      <c r="I12478" s="6" t="n">
        <f aca="false">CF!I84-CF!I82-CF!I88+Thesis!I142*(1-tax_f)</f>
        <v>129.900993846266</v>
      </c>
      <c r="J12478" s="6" t="n">
        <f aca="false">CF!J84-CF!J82-CF!J88+Thesis!J142*(1-tax_f)</f>
        <v>200.497803796175</v>
      </c>
      <c r="K12478" s="6" t="n">
        <f aca="false">CF!K84-CF!K82-CF!K88+Thesis!K142*(1-tax_f)</f>
        <v>232.344395761849</v>
      </c>
      <c r="L12478" s="1" t="s">
        <v>1060</v>
      </c>
    </row>
    <row r="12479" customFormat="false" ht="15" hidden="false" customHeight="false" outlineLevel="0" collapsed="false">
      <c r="A12479" s="1" t="s">
        <v>1061</v>
      </c>
      <c r="B12479" s="0" t="s">
        <v>98</v>
      </c>
      <c r="F12479" s="6" t="n">
        <f aca="false">Sens!F12478*Sens!F12477</f>
        <v>-5.36783814065722</v>
      </c>
      <c r="G12479" s="6" t="n">
        <f aca="false">Sens!G12478*Sens!G12477</f>
        <v>22.4907124609144</v>
      </c>
      <c r="H12479" s="6" t="n">
        <f aca="false">Sens!H12478*Sens!H12477</f>
        <v>47.8778183334432</v>
      </c>
      <c r="I12479" s="6" t="n">
        <f aca="false">Sens!I12478*Sens!I12477</f>
        <v>89.3241647942805</v>
      </c>
      <c r="J12479" s="6" t="n">
        <f aca="false">Sens!J12478*Sens!J12477</f>
        <v>123.878670565441</v>
      </c>
      <c r="K12479" s="6" t="n">
        <f aca="false">Sens!K12478*Sens!K12477</f>
        <v>128.988069680086</v>
      </c>
    </row>
    <row r="12480" customFormat="false" ht="17.15" hidden="false" customHeight="false" outlineLevel="0" collapsed="false">
      <c r="A12480" s="1" t="s">
        <v>1062</v>
      </c>
      <c r="B12480" s="0" t="s">
        <v>98</v>
      </c>
      <c r="C12480" s="6" t="n">
        <f aca="false">SUM(Sens!F12479:K12479)</f>
        <v>407.191597693508</v>
      </c>
    </row>
    <row r="12481" customFormat="false" ht="17.15" hidden="false" customHeight="false" outlineLevel="0" collapsed="false">
      <c r="A12481" s="1" t="s">
        <v>1063</v>
      </c>
      <c r="B12481" s="0" t="s">
        <v>98</v>
      </c>
      <c r="C12481" s="6" t="n">
        <f aca="false">PL!K117*(1+g_tv)*(1-tax_f)</f>
        <v>246.58988426946</v>
      </c>
    </row>
    <row r="12482" customFormat="false" ht="17.15" hidden="false" customHeight="false" outlineLevel="0" collapsed="false">
      <c r="A12482" s="1" t="s">
        <v>1064</v>
      </c>
      <c r="B12482" s="0" t="s">
        <v>98</v>
      </c>
      <c r="C12482" s="6" t="n">
        <f aca="false">Sens!$C$12481*(1-g_tv/((wacc+0.01)+ronic_prem))</f>
        <v>181.085527652584</v>
      </c>
    </row>
    <row r="12483" customFormat="false" ht="17.15" hidden="false" customHeight="false" outlineLevel="0" collapsed="false">
      <c r="A12483" s="1" t="s">
        <v>1065</v>
      </c>
      <c r="B12483" s="0" t="s">
        <v>98</v>
      </c>
      <c r="C12483" s="6" t="n">
        <f aca="false">Sens!$C$12482/((wacc+0.01)-g_tv)</f>
        <v>2183.47855389586</v>
      </c>
    </row>
    <row r="12484" customFormat="false" ht="15" hidden="false" customHeight="false" outlineLevel="0" collapsed="false">
      <c r="A12484" s="1" t="s">
        <v>1066</v>
      </c>
      <c r="B12484" s="0" t="s">
        <v>98</v>
      </c>
      <c r="C12484" s="6" t="n">
        <f aca="false">Sens!$C$12483/(1+(wacc+0.01))^(Sens!K12476+mid_yr)</f>
        <v>1149.03031134978</v>
      </c>
    </row>
    <row r="12485" customFormat="false" ht="17.15" hidden="false" customHeight="false" outlineLevel="0" collapsed="false">
      <c r="A12485" s="0" t="s">
        <v>986</v>
      </c>
      <c r="B12485" s="0" t="s">
        <v>98</v>
      </c>
      <c r="C12485" s="6" t="n">
        <f aca="false">Sens!$C$12480+Sens!$C$12484</f>
        <v>1556.22190904328</v>
      </c>
    </row>
    <row r="12486" customFormat="false" ht="15" hidden="false" customHeight="false" outlineLevel="0" collapsed="false">
      <c r="A12486" s="1" t="s">
        <v>987</v>
      </c>
      <c r="B12486" s="0" t="s">
        <v>129</v>
      </c>
      <c r="C12486" s="7" t="n">
        <f aca="false">Sens!$C$12484/Sens!$C$12485</f>
        <v>0.738346057636577</v>
      </c>
    </row>
    <row r="12487" customFormat="false" ht="17.15" hidden="false" customHeight="false" outlineLevel="0" collapsed="false">
      <c r="A12487" s="1" t="s">
        <v>1067</v>
      </c>
      <c r="B12487" s="0" t="s">
        <v>98</v>
      </c>
      <c r="C12487" s="6" t="n">
        <f aca="false">Sens!$C$12485+CF!E100-CF!E89+oai_v</f>
        <v>1690.73490904328</v>
      </c>
    </row>
    <row r="12488" customFormat="false" ht="17.15" hidden="false" customHeight="false" outlineLevel="0" collapsed="false">
      <c r="A12488" s="0" t="s">
        <v>994</v>
      </c>
      <c r="B12488" s="0" t="s">
        <v>75</v>
      </c>
      <c r="C12488" s="5" t="n">
        <f aca="false">Sens!$C$12487/sh_dil26</f>
        <v>226.852932918729</v>
      </c>
    </row>
    <row r="12489" customFormat="false" ht="15" hidden="false" customHeight="false" outlineLevel="0" collapsed="false">
      <c r="A12489" s="1" t="s">
        <v>1068</v>
      </c>
      <c r="B12489" s="0" t="s">
        <v>75</v>
      </c>
      <c r="C12489" s="8" t="n">
        <f aca="false">dps_27+CF!G92*roll_div_q/q_per_yr</f>
        <v>4.8895</v>
      </c>
    </row>
    <row r="12490" customFormat="false" ht="17.15" hidden="false" customHeight="false" outlineLevel="0" collapsed="false">
      <c r="A12490" s="0" t="s">
        <v>1069</v>
      </c>
      <c r="B12490" s="0" t="s">
        <v>75</v>
      </c>
      <c r="C12490" s="5" t="n">
        <f aca="false">Sens!$C$12488*(1+(wacc+0.01))^t_roll-Sens!$C$12489</f>
        <v>256.545860023729</v>
      </c>
    </row>
    <row r="12491" customFormat="false" ht="17.15" hidden="false" customHeight="false" outlineLevel="0" collapsed="false">
      <c r="A12491" s="1" t="s">
        <v>1070</v>
      </c>
      <c r="B12491" s="0" t="s">
        <v>129</v>
      </c>
      <c r="F12491" s="7" t="n">
        <f aca="false">CF!F79/(Seg!F83-Thesis!F121)</f>
        <v>0.0711475516535717</v>
      </c>
      <c r="G12491" s="7" t="n">
        <f aca="false">CF!G79/(Seg!G83-Thesis!G121)</f>
        <v>0.0682588862083999</v>
      </c>
      <c r="H12491" s="7" t="n">
        <f aca="false">CF!H79/(Seg!H83-Thesis!H121)</f>
        <v>0.0666622170094897</v>
      </c>
      <c r="I12491" s="7" t="n">
        <f aca="false">CF!I79/(Seg!I83-Thesis!I121)</f>
        <v>0.0661991449367101</v>
      </c>
      <c r="J12491" s="7" t="n">
        <f aca="false">CF!J79/(Seg!J83-Thesis!J121)</f>
        <v>0.0666400583966394</v>
      </c>
      <c r="K12491" s="7" t="n">
        <f aca="false">CF!K79/(Seg!K83-Thesis!K121)</f>
        <v>0.0677351822588561</v>
      </c>
    </row>
    <row r="12492" customFormat="false" ht="17.15" hidden="false" customHeight="false" outlineLevel="0" collapsed="false">
      <c r="A12492" s="0" t="s">
        <v>1071</v>
      </c>
      <c r="B12492" s="0" t="s">
        <v>98</v>
      </c>
      <c r="F12492" s="6" t="n">
        <f aca="false">Seg!F68*(al_m365+Sens!F12491+sbc_r)</f>
        <v>83.1760446796226</v>
      </c>
      <c r="G12492" s="6" t="n">
        <f aca="false">Seg!G68*(al_m365+Sens!G12491+sbc_r)</f>
        <v>93.5286621744803</v>
      </c>
      <c r="H12492" s="6" t="n">
        <f aca="false">Seg!H68*(al_m365+Sens!H12491+sbc_r)</f>
        <v>104.041881899886</v>
      </c>
      <c r="I12492" s="6" t="n">
        <f aca="false">Seg!I68*(al_m365+Sens!I12491+sbc_r)</f>
        <v>114.039361049722</v>
      </c>
      <c r="J12492" s="6" t="n">
        <f aca="false">Seg!J68*(al_m365+Sens!J12491+sbc_r)</f>
        <v>123.332589690985</v>
      </c>
      <c r="K12492" s="6" t="n">
        <f aca="false">Seg!K68*(al_m365+Sens!K12491+sbc_r)</f>
        <v>132.229319216379</v>
      </c>
      <c r="L12492" s="11" t="s">
        <v>1072</v>
      </c>
    </row>
    <row r="12493" customFormat="false" ht="17.15" hidden="false" customHeight="false" outlineLevel="0" collapsed="false">
      <c r="A12493" s="0" t="s">
        <v>1073</v>
      </c>
      <c r="B12493" s="0" t="s">
        <v>98</v>
      </c>
      <c r="F12493" s="6" t="n">
        <f aca="false">Seg!F69*(al_lic+Sens!F12491+sbc_r)</f>
        <v>33.5445611735131</v>
      </c>
      <c r="G12493" s="6" t="n">
        <f aca="false">Seg!G69*(al_lic+Sens!G12491+sbc_r)</f>
        <v>34.8473362891936</v>
      </c>
      <c r="H12493" s="6" t="n">
        <f aca="false">Seg!H69*(al_lic+Sens!H12491+sbc_r)</f>
        <v>36.0608450618725</v>
      </c>
      <c r="I12493" s="6" t="n">
        <f aca="false">Seg!I69*(al_lic+Sens!I12491+sbc_r)</f>
        <v>37.1647768367666</v>
      </c>
      <c r="J12493" s="6" t="n">
        <f aca="false">Seg!J69*(al_lic+Sens!J12491+sbc_r)</f>
        <v>38.1353659513221</v>
      </c>
      <c r="K12493" s="6" t="n">
        <f aca="false">Seg!K69*(al_lic+Sens!K12491+sbc_r)</f>
        <v>38.9479527536449</v>
      </c>
    </row>
    <row r="12494" customFormat="false" ht="17.15" hidden="false" customHeight="false" outlineLevel="0" collapsed="false">
      <c r="A12494" s="0" t="s">
        <v>1074</v>
      </c>
      <c r="B12494" s="0" t="s">
        <v>98</v>
      </c>
      <c r="F12494" s="6" t="n">
        <f aca="false">Seg!F71*(al_ind+Sens!F12491+sbc_r)</f>
        <v>9.13359830063899</v>
      </c>
      <c r="G12494" s="6" t="n">
        <f aca="false">Seg!G71*(al_ind+Sens!G12491+sbc_r)</f>
        <v>9.91355811855172</v>
      </c>
      <c r="H12494" s="6" t="n">
        <f aca="false">Seg!H71*(al_ind+Sens!H12491+sbc_r)</f>
        <v>10.737007894057</v>
      </c>
      <c r="I12494" s="6" t="n">
        <f aca="false">Seg!I71*(al_ind+Sens!I12491+sbc_r)</f>
        <v>11.5994300763088</v>
      </c>
      <c r="J12494" s="6" t="n">
        <f aca="false">Seg!J71*(al_ind+Sens!J12491+sbc_r)</f>
        <v>12.4920789859702</v>
      </c>
      <c r="K12494" s="6" t="n">
        <f aca="false">Seg!K71*(al_ind+Sens!K12491+sbc_r)</f>
        <v>13.4027551573777</v>
      </c>
    </row>
    <row r="12495" customFormat="false" ht="17.15" hidden="false" customHeight="false" outlineLevel="0" collapsed="false">
      <c r="A12495" s="0" t="s">
        <v>1075</v>
      </c>
      <c r="B12495" s="0" t="s">
        <v>98</v>
      </c>
      <c r="F12495" s="6" t="n">
        <f aca="false">Seg!F73*(al_fro+Sens!F12491+sbc_r)</f>
        <v>3.59501635737694</v>
      </c>
      <c r="G12495" s="6" t="n">
        <f aca="false">Seg!G73*(al_fro+Sens!G12491+sbc_r)</f>
        <v>3.80622021137838</v>
      </c>
      <c r="H12495" s="6" t="n">
        <f aca="false">Seg!H73*(al_fro+Sens!H12491+sbc_r)</f>
        <v>4.04607207599632</v>
      </c>
      <c r="I12495" s="6" t="n">
        <f aca="false">Seg!I73*(al_fro+Sens!I12491+sbc_r)</f>
        <v>4.31683578333903</v>
      </c>
      <c r="J12495" s="6" t="n">
        <f aca="false">Seg!J73*(al_fro+Sens!J12491+sbc_r)</f>
        <v>4.62005087871645</v>
      </c>
      <c r="K12495" s="6" t="n">
        <f aca="false">Seg!K73*(al_fro+Sens!K12491+sbc_r)</f>
        <v>4.95685392412327</v>
      </c>
    </row>
    <row r="12496" customFormat="false" ht="17.15" hidden="false" customHeight="false" outlineLevel="0" collapsed="false">
      <c r="A12496" s="0" t="s">
        <v>1076</v>
      </c>
      <c r="B12496" s="0" t="s">
        <v>98</v>
      </c>
      <c r="F12496" s="6" t="n">
        <f aca="false">Seg!F76*(al_srch+Sens!F12491+sbc_r)</f>
        <v>11.2801258639919</v>
      </c>
      <c r="G12496" s="6" t="n">
        <f aca="false">Seg!G76*(al_srch+Sens!G12491+sbc_r)</f>
        <v>12.3589086285988</v>
      </c>
      <c r="H12496" s="6" t="n">
        <f aca="false">Seg!H76*(al_srch+Sens!H12491+sbc_r)</f>
        <v>13.4807030139583</v>
      </c>
      <c r="I12496" s="6" t="n">
        <f aca="false">Seg!I76*(al_srch+Sens!I12491+sbc_r)</f>
        <v>14.6329459978989</v>
      </c>
      <c r="J12496" s="6" t="n">
        <f aca="false">Seg!J76*(al_srch+Sens!J12491+sbc_r)</f>
        <v>15.7968154400613</v>
      </c>
      <c r="K12496" s="6" t="n">
        <f aca="false">Seg!K76*(al_srch+Sens!K12491+sbc_r)</f>
        <v>16.9484078548661</v>
      </c>
    </row>
    <row r="12497" customFormat="false" ht="17.15" hidden="false" customHeight="false" outlineLevel="0" collapsed="false">
      <c r="A12497" s="0" t="s">
        <v>1077</v>
      </c>
      <c r="B12497" s="0" t="s">
        <v>98</v>
      </c>
      <c r="F12497" s="6" t="n">
        <f aca="false">Thesis!F127-Thesis!F128+Thesis!F142</f>
        <v>38.6797715123049</v>
      </c>
      <c r="G12497" s="6" t="n">
        <f aca="false">Thesis!G127-Thesis!G128+Thesis!G142</f>
        <v>67.9698044367775</v>
      </c>
      <c r="H12497" s="6" t="n">
        <f aca="false">Thesis!H127-Thesis!H128+Thesis!H142</f>
        <v>94.4027386785771</v>
      </c>
      <c r="I12497" s="6" t="n">
        <f aca="false">Thesis!I127-Thesis!I128+Thesis!I142</f>
        <v>124.629799296032</v>
      </c>
      <c r="J12497" s="6" t="n">
        <f aca="false">Thesis!J127-Thesis!J128+Thesis!J142</f>
        <v>146.1886418102</v>
      </c>
      <c r="K12497" s="6" t="n">
        <f aca="false">Thesis!K127-Thesis!K128+Thesis!K142</f>
        <v>160.310017660072</v>
      </c>
    </row>
    <row r="12498" customFormat="false" ht="17.15" hidden="false" customHeight="false" outlineLevel="0" collapsed="false">
      <c r="A12498" s="0" t="s">
        <v>1078</v>
      </c>
      <c r="B12498" s="0" t="s">
        <v>98</v>
      </c>
      <c r="F12498" s="6" t="n">
        <f aca="false">PL!F110+Thesis!F142+Thesis!F138+Sens!F12491*(Seg!F75-Thesis!F121)+sbc_r*Seg!F75</f>
        <v>228.424576651163</v>
      </c>
      <c r="G12498" s="6" t="n">
        <f aca="false">PL!G110+Thesis!G142+Thesis!G138+Sens!G12491*(Seg!G75-Thesis!G121)+sbc_r*Seg!G75</f>
        <v>282.553934266667</v>
      </c>
      <c r="H12498" s="6" t="n">
        <f aca="false">PL!H110+Thesis!H142+Thesis!H138+Sens!H12491*(Seg!H75-Thesis!H121)+sbc_r*Seg!H75</f>
        <v>334.098428585803</v>
      </c>
      <c r="I12498" s="6" t="n">
        <f aca="false">PL!I110+Thesis!I142+Thesis!I138+Sens!I12491*(Seg!I75-Thesis!I121)+sbc_r*Seg!I75</f>
        <v>388.820980572235</v>
      </c>
      <c r="J12498" s="6" t="n">
        <f aca="false">PL!J110+Thesis!J142+Thesis!J138+Sens!J12491*(Seg!J75-Thesis!J121)+sbc_r*Seg!J75</f>
        <v>432.983845251655</v>
      </c>
      <c r="K12498" s="6" t="n">
        <f aca="false">PL!K110+Thesis!K142+Thesis!K138+Sens!K12491*(Seg!K75-Thesis!K121)+sbc_r*Seg!K75</f>
        <v>467.422879139155</v>
      </c>
    </row>
    <row r="12499" customFormat="false" ht="17.15" hidden="false" customHeight="false" outlineLevel="0" collapsed="false">
      <c r="A12499" s="0" t="s">
        <v>1079</v>
      </c>
      <c r="B12499" s="0" t="s">
        <v>98</v>
      </c>
      <c r="F12499" s="6" t="n">
        <f aca="false">Sens!F12498-Sens!F12492-Sens!F12493-Sens!F12494-Sens!F12495-Sens!F12497</f>
        <v>60.2955846277069</v>
      </c>
      <c r="G12499" s="6" t="n">
        <f aca="false">Sens!G12498-Sens!G12492-Sens!G12493-Sens!G12494-Sens!G12495-Sens!G12497</f>
        <v>72.4883530362854</v>
      </c>
      <c r="H12499" s="6" t="n">
        <f aca="false">Sens!H12498-Sens!H12492-Sens!H12493-Sens!H12494-Sens!H12495-Sens!H12497</f>
        <v>84.8098829754144</v>
      </c>
      <c r="I12499" s="6" t="n">
        <f aca="false">Sens!I12498-Sens!I12492-Sens!I12493-Sens!I12494-Sens!I12495-Sens!I12497</f>
        <v>97.0707775300671</v>
      </c>
      <c r="J12499" s="6" t="n">
        <f aca="false">Sens!J12498-Sens!J12492-Sens!J12493-Sens!J12494-Sens!J12495-Sens!J12497</f>
        <v>108.215117934462</v>
      </c>
      <c r="K12499" s="6" t="n">
        <f aca="false">Sens!K12498-Sens!K12492-Sens!K12493-Sens!K12494-Sens!K12495-Sens!K12497</f>
        <v>117.575980427559</v>
      </c>
    </row>
    <row r="12500" customFormat="false" ht="17.15" hidden="false" customHeight="false" outlineLevel="0" collapsed="false">
      <c r="A12500" s="0" t="s">
        <v>1080</v>
      </c>
      <c r="B12500" s="0" t="s">
        <v>98</v>
      </c>
      <c r="F12500" s="6" t="n">
        <f aca="false">PL!F112+Sens!F12491*Seg!F82+sbc_r*Seg!F82</f>
        <v>26.3652761595447</v>
      </c>
      <c r="G12500" s="6" t="n">
        <f aca="false">PL!G112+Sens!G12491*Seg!G82+sbc_r*Seg!G82</f>
        <v>26.9742866145486</v>
      </c>
      <c r="H12500" s="6" t="n">
        <f aca="false">PL!H112+Sens!H12491*Seg!H82+sbc_r*Seg!H82</f>
        <v>27.8483067679033</v>
      </c>
      <c r="I12500" s="6" t="n">
        <f aca="false">PL!I112+Sens!I12491*Seg!I82+sbc_r*Seg!I82</f>
        <v>28.9540944937551</v>
      </c>
      <c r="J12500" s="6" t="n">
        <f aca="false">PL!J112+Sens!J12491*Seg!J82+sbc_r*Seg!J82</f>
        <v>30.2591967501426</v>
      </c>
      <c r="K12500" s="6" t="n">
        <f aca="false">PL!K112+Sens!K12491*Seg!K82+sbc_r*Seg!K82</f>
        <v>31.7334012124467</v>
      </c>
    </row>
    <row r="12501" customFormat="false" ht="17.15" hidden="false" customHeight="false" outlineLevel="0" collapsed="false">
      <c r="A12501" s="0" t="s">
        <v>1081</v>
      </c>
      <c r="B12501" s="0" t="s">
        <v>98</v>
      </c>
      <c r="F12501" s="6" t="n">
        <f aca="false">(Sens!F12500-Sens!F12496)*Seg!F78/(Seg!F78+Seg!F80)</f>
        <v>8.26953246478712</v>
      </c>
      <c r="G12501" s="6" t="n">
        <f aca="false">(Sens!G12500-Sens!G12496)*Seg!G78/(Seg!G78+Seg!G80)</f>
        <v>7.8691542635731</v>
      </c>
      <c r="H12501" s="6" t="n">
        <f aca="false">(Sens!H12500-Sens!H12496)*Seg!H78/(Seg!H78+Seg!H80)</f>
        <v>7.63125160105973</v>
      </c>
      <c r="I12501" s="6" t="n">
        <f aca="false">(Sens!I12500-Sens!I12496)*Seg!I78/(Seg!I78+Seg!I80)</f>
        <v>7.53775281020212</v>
      </c>
      <c r="J12501" s="6" t="n">
        <f aca="false">(Sens!J12500-Sens!J12496)*Seg!J78/(Seg!J78+Seg!J80)</f>
        <v>7.57766730524412</v>
      </c>
      <c r="K12501" s="6" t="n">
        <f aca="false">(Sens!K12500-Sens!K12496)*Seg!K78/(Seg!K78+Seg!K80)</f>
        <v>7.74670217662515</v>
      </c>
    </row>
    <row r="12502" customFormat="false" ht="17.15" hidden="false" customHeight="false" outlineLevel="0" collapsed="false">
      <c r="A12502" s="0" t="s">
        <v>1082</v>
      </c>
      <c r="B12502" s="0" t="s">
        <v>98</v>
      </c>
      <c r="F12502" s="6" t="n">
        <f aca="false">Sens!F12500-Sens!F12496-Sens!F12501</f>
        <v>6.81561783076564</v>
      </c>
      <c r="G12502" s="6" t="n">
        <f aca="false">Sens!G12500-Sens!G12496-Sens!G12501</f>
        <v>6.74622372237672</v>
      </c>
      <c r="H12502" s="6" t="n">
        <f aca="false">Sens!H12500-Sens!H12496-Sens!H12501</f>
        <v>6.73635215288526</v>
      </c>
      <c r="I12502" s="6" t="n">
        <f aca="false">Sens!I12500-Sens!I12496-Sens!I12501</f>
        <v>6.78339568565411</v>
      </c>
      <c r="J12502" s="6" t="n">
        <f aca="false">Sens!J12500-Sens!J12496-Sens!J12501</f>
        <v>6.88471400483723</v>
      </c>
      <c r="K12502" s="6" t="n">
        <f aca="false">Sens!K12500-Sens!K12496-Sens!K12501</f>
        <v>7.03829118095546</v>
      </c>
    </row>
    <row r="12503" customFormat="false" ht="17.15" hidden="false" customHeight="false" outlineLevel="0" collapsed="false">
      <c r="A12503" s="0" t="s">
        <v>1083</v>
      </c>
      <c r="B12503" s="0" t="s">
        <v>98</v>
      </c>
      <c r="F12503" s="6" t="n">
        <f aca="false">Sens!F12497-tax_f*(Sens!F12497-Thesis!F138)-Thesis!F135</f>
        <v>-122.579081185432</v>
      </c>
      <c r="G12503" s="6" t="n">
        <f aca="false">Sens!G12497-tax_f*(Sens!G12497-Thesis!G138)-Thesis!G135</f>
        <v>-117.373249511676</v>
      </c>
      <c r="H12503" s="6" t="n">
        <f aca="false">Sens!H12497-tax_f*(Sens!H12497-Thesis!H138)-Thesis!H135</f>
        <v>-95.285890998876</v>
      </c>
      <c r="I12503" s="6" t="n">
        <f aca="false">Sens!I12497-tax_f*(Sens!I12497-Thesis!I138)-Thesis!I135</f>
        <v>-41.8816809509416</v>
      </c>
      <c r="J12503" s="6" t="n">
        <f aca="false">Sens!J12497-tax_f*(Sens!J12497-Thesis!J138)-Thesis!J135</f>
        <v>15.3691414244864</v>
      </c>
      <c r="K12503" s="6" t="n">
        <f aca="false">Sens!K12497-tax_f*(Sens!K12497-Thesis!K138)-Thesis!K135</f>
        <v>34.6668916333283</v>
      </c>
    </row>
    <row r="12504" customFormat="false" ht="17.15" hidden="false" customHeight="false" outlineLevel="0" collapsed="false">
      <c r="A12504" s="0" t="s">
        <v>1084</v>
      </c>
      <c r="B12504" s="0" t="s">
        <v>98</v>
      </c>
      <c r="G12504" s="6" t="n">
        <f aca="false">Sens!G12503/(1+(wacc+0.01))^(Sens!G12476-(Sens!F12476+mid_yr))</f>
        <v>-111.258792248939</v>
      </c>
      <c r="H12504" s="6" t="n">
        <f aca="false">Sens!H12503/(1+(wacc+0.01))^(Sens!H12476-(Sens!F12476+mid_yr))</f>
        <v>-81.1566735835295</v>
      </c>
      <c r="I12504" s="6" t="n">
        <f aca="false">Sens!I12503/(1+(wacc+0.01))^(Sens!I12476-(Sens!F12476+mid_yr))</f>
        <v>-32.0516335381336</v>
      </c>
      <c r="J12504" s="6" t="n">
        <f aca="false">Sens!J12503/(1+(wacc+0.01))^(Sens!J12476-(Sens!F12476+mid_yr))</f>
        <v>10.5683234646544</v>
      </c>
      <c r="K12504" s="6" t="n">
        <f aca="false">Sens!K12503/(1+(wacc+0.01))^(Sens!K12476-(Sens!F12476+mid_yr))</f>
        <v>21.4191296206849</v>
      </c>
      <c r="L12504" s="1" t="s">
        <v>1085</v>
      </c>
    </row>
    <row r="12505" customFormat="false" ht="17.15" hidden="false" customHeight="false" outlineLevel="0" collapsed="false">
      <c r="A12505" s="0" t="s">
        <v>1086</v>
      </c>
      <c r="B12505" s="0" t="s">
        <v>98</v>
      </c>
      <c r="C12505" s="6" t="n">
        <f aca="false">(Sens!K12497-Thesis!K138)*(1-tax_f)*(1+g_tv)*(1-g_tv/((wacc+0.01)+ronic_prem))/((wacc+0.01)-g_tv)/(1+(wacc+0.01))^(Sens!K12476+mid_yr-(Sens!F12476+mid_yr))</f>
        <v>90.5001525674616</v>
      </c>
    </row>
    <row r="12506" customFormat="false" ht="17.15" hidden="false" customHeight="false" outlineLevel="0" collapsed="false">
      <c r="A12506" s="1" t="s">
        <v>1087</v>
      </c>
      <c r="B12506" s="0" t="s">
        <v>98</v>
      </c>
      <c r="C12506" s="6" t="n">
        <f aca="false">(SUM(Sens!G12504:K12504)+Sens!$C$12505)*(1+(wacc+0.01))^(t_roll-(Sens!F12476+mid_yr))</f>
        <v>-105.599826799294</v>
      </c>
      <c r="L12506" s="11" t="s">
        <v>1088</v>
      </c>
    </row>
    <row r="12507" customFormat="false" ht="17.15" hidden="false" customHeight="false" outlineLevel="0" collapsed="false">
      <c r="A12507" s="1" t="s">
        <v>1089</v>
      </c>
      <c r="B12507" s="0" t="s">
        <v>98</v>
      </c>
      <c r="C12507" s="6" t="n">
        <f aca="false">(w_ntm28*Thesis!G127+(1-w_ntm28)*Thesis!H127)*m_ai</f>
        <v>338.776008390068</v>
      </c>
    </row>
    <row r="12508" customFormat="false" ht="17.15" hidden="false" customHeight="false" outlineLevel="0" collapsed="false">
      <c r="A12508" s="1" t="s">
        <v>1090</v>
      </c>
      <c r="B12508" s="0" t="s">
        <v>98</v>
      </c>
      <c r="C12508" s="6" t="n">
        <f aca="false">(w_ntm28*Sens!G12499+(1-w_ntm28)*Sens!H12499)*m_cloud</f>
        <v>1056.83960927252</v>
      </c>
    </row>
    <row r="12509" customFormat="false" ht="17.15" hidden="false" customHeight="false" outlineLevel="0" collapsed="false">
      <c r="A12509" s="1" t="s">
        <v>1091</v>
      </c>
      <c r="B12509" s="0" t="s">
        <v>98</v>
      </c>
      <c r="C12509" s="6" t="n">
        <f aca="false">(w_ntm28*Sens!G12492+(1-w_ntm28)*Sens!H12492)*m_sw</f>
        <v>1046.81653016399</v>
      </c>
    </row>
    <row r="12510" customFormat="false" ht="17.15" hidden="false" customHeight="false" outlineLevel="0" collapsed="false">
      <c r="A12510" s="1" t="s">
        <v>1092</v>
      </c>
      <c r="B12510" s="0" t="s">
        <v>98</v>
      </c>
      <c r="C12510" s="6" t="n">
        <f aca="false">(w_ntm28*Sens!G12493+(1-w_ntm28)*Sens!H12493)*m_sw</f>
        <v>380.588206114803</v>
      </c>
    </row>
    <row r="12511" customFormat="false" ht="17.15" hidden="false" customHeight="false" outlineLevel="0" collapsed="false">
      <c r="A12511" s="1" t="s">
        <v>1093</v>
      </c>
      <c r="B12511" s="0" t="s">
        <v>98</v>
      </c>
      <c r="C12511" s="6" t="n">
        <f aca="false">(w_ntm28*Sens!G12494+(1-w_ntm28)*Sens!H12494)*m_sw</f>
        <v>109.941508211602</v>
      </c>
    </row>
    <row r="12512" customFormat="false" ht="17.15" hidden="false" customHeight="false" outlineLevel="0" collapsed="false">
      <c r="A12512" s="1" t="s">
        <v>1094</v>
      </c>
      <c r="B12512" s="0" t="s">
        <v>98</v>
      </c>
      <c r="C12512" s="6" t="n">
        <f aca="false">(w_ntm28*Sens!G12495+(1-w_ntm28)*Sens!H12495)*m_sw</f>
        <v>41.944622711021</v>
      </c>
    </row>
    <row r="12513" customFormat="false" ht="17.15" hidden="false" customHeight="false" outlineLevel="0" collapsed="false">
      <c r="A12513" s="1" t="s">
        <v>1095</v>
      </c>
      <c r="B12513" s="0" t="s">
        <v>98</v>
      </c>
      <c r="C12513" s="6" t="n">
        <f aca="false">(w_ntm28*Sens!G12496+(1-w_ntm28)*Sens!H12496)*m_ads</f>
        <v>115.893511108929</v>
      </c>
    </row>
    <row r="12514" customFormat="false" ht="17.15" hidden="false" customHeight="false" outlineLevel="0" collapsed="false">
      <c r="A12514" s="1" t="s">
        <v>1096</v>
      </c>
      <c r="B12514" s="0" t="s">
        <v>98</v>
      </c>
      <c r="C12514" s="6" t="n">
        <f aca="false">(w_ntm28*Sens!G12501+(1-w_ntm28)*Sens!H12501)*m_game</f>
        <v>98.416032447421</v>
      </c>
    </row>
    <row r="12515" customFormat="false" ht="17.15" hidden="false" customHeight="false" outlineLevel="0" collapsed="false">
      <c r="A12515" s="1" t="s">
        <v>1097</v>
      </c>
      <c r="B12515" s="0" t="s">
        <v>98</v>
      </c>
      <c r="C12515" s="6" t="n">
        <f aca="false">(w_ntm28*Sens!G12502+(1-w_ntm28)*Sens!H12502)*m_pc</f>
        <v>97.5716783311641</v>
      </c>
    </row>
    <row r="12516" customFormat="false" ht="17.15" hidden="false" customHeight="false" outlineLevel="0" collapsed="false">
      <c r="A12516" s="1" t="s">
        <v>1098</v>
      </c>
      <c r="B12516" s="0" t="s">
        <v>98</v>
      </c>
      <c r="C12516" s="6" t="n">
        <f aca="false">Sens!$C$12506+Sens!$C$12508+Sens!$C$12509+Sens!$C$12510+Sens!$C$12511+Sens!$C$12512+Sens!$C$12513+Sens!$C$12514+Sens!$C$12515</f>
        <v>2842.41187156216</v>
      </c>
    </row>
    <row r="12517" customFormat="false" ht="17.15" hidden="false" customHeight="false" outlineLevel="0" collapsed="false">
      <c r="A12517" s="1" t="s">
        <v>1099</v>
      </c>
      <c r="B12517" s="0" t="s">
        <v>98</v>
      </c>
      <c r="C12517" s="6" t="n">
        <f aca="false">(Sens!G12478-Sens!G12503)*t_stub</f>
        <v>46.8760727339385</v>
      </c>
      <c r="L12517" s="1" t="s">
        <v>1100</v>
      </c>
    </row>
    <row r="12518" customFormat="false" ht="17.15" hidden="false" customHeight="false" outlineLevel="0" collapsed="false">
      <c r="A12518" s="1" t="s">
        <v>1014</v>
      </c>
      <c r="B12518" s="0" t="s">
        <v>98</v>
      </c>
      <c r="C12518" s="6" t="n">
        <f aca="false">CF!F100+oai_v-CF!F89+Sens!$C$12517</f>
        <v>153.718233647662</v>
      </c>
      <c r="L12518" s="1" t="s">
        <v>1101</v>
      </c>
    </row>
    <row r="12519" customFormat="false" ht="17.15" hidden="false" customHeight="false" outlineLevel="0" collapsed="false">
      <c r="A12519" s="1" t="s">
        <v>1102</v>
      </c>
      <c r="B12519" s="0" t="s">
        <v>75</v>
      </c>
      <c r="C12519" s="5" t="n">
        <f aca="false">(Sens!$C$12516+Sens!$C$12518)/(CF!F102+dil_gap)-CF!G92*roll_div_q/q_per_yr</f>
        <v>398.657685860435</v>
      </c>
      <c r="L12519" s="1" t="s">
        <v>1103</v>
      </c>
    </row>
    <row r="12520" customFormat="false" ht="17.15" hidden="false" customHeight="false" outlineLevel="0" collapsed="false">
      <c r="A12520" s="1" t="s">
        <v>1104</v>
      </c>
      <c r="B12520" s="0" t="s">
        <v>75</v>
      </c>
      <c r="C12520" s="5" t="n">
        <f aca="false">w_dcf*Sens!$C$12490+(1-w_dcf)*Sens!$C$12519</f>
        <v>327.601772942082</v>
      </c>
    </row>
    <row r="12521" customFormat="false" ht="17.15" hidden="false" customHeight="false" outlineLevel="0" collapsed="false">
      <c r="A12521" s="3" t="s">
        <v>1583</v>
      </c>
    </row>
    <row r="12522" customFormat="false" ht="15" hidden="false" customHeight="false" outlineLevel="0" collapsed="false">
      <c r="A12522" s="4" t="s">
        <v>43</v>
      </c>
      <c r="B12522" s="4" t="s">
        <v>65</v>
      </c>
      <c r="C12522" s="20" t="s">
        <v>799</v>
      </c>
      <c r="D12522" s="20" t="s">
        <v>800</v>
      </c>
      <c r="E12522" s="20" t="s">
        <v>801</v>
      </c>
      <c r="F12522" s="20" t="s">
        <v>802</v>
      </c>
      <c r="G12522" s="20" t="s">
        <v>803</v>
      </c>
      <c r="H12522" s="20" t="s">
        <v>804</v>
      </c>
      <c r="I12522" s="20" t="s">
        <v>805</v>
      </c>
      <c r="J12522" s="20" t="s">
        <v>806</v>
      </c>
      <c r="K12522" s="20" t="s">
        <v>807</v>
      </c>
      <c r="L12522" s="4" t="s">
        <v>47</v>
      </c>
    </row>
    <row r="12523" customFormat="false" ht="15" hidden="false" customHeight="false" outlineLevel="0" collapsed="false">
      <c r="A12523" s="1" t="s">
        <v>1057</v>
      </c>
      <c r="B12523" s="1" t="s">
        <v>235</v>
      </c>
      <c r="F12523" s="36" t="n">
        <f aca="false">Thesis!F6-base_fy-mid_yr</f>
        <v>0.5</v>
      </c>
      <c r="G12523" s="36" t="n">
        <f aca="false">Thesis!G6-base_fy-mid_yr</f>
        <v>1.5</v>
      </c>
      <c r="H12523" s="36" t="n">
        <f aca="false">Thesis!H6-base_fy-mid_yr</f>
        <v>2.5</v>
      </c>
      <c r="I12523" s="36" t="n">
        <f aca="false">Thesis!I6-base_fy-mid_yr</f>
        <v>3.5</v>
      </c>
      <c r="J12523" s="36" t="n">
        <f aca="false">Thesis!J6-base_fy-mid_yr</f>
        <v>4.5</v>
      </c>
      <c r="K12523" s="36" t="n">
        <f aca="false">Thesis!K6-base_fy-mid_yr</f>
        <v>5.5</v>
      </c>
    </row>
    <row r="12524" customFormat="false" ht="15" hidden="false" customHeight="false" outlineLevel="0" collapsed="false">
      <c r="A12524" s="1" t="s">
        <v>1058</v>
      </c>
      <c r="B12524" s="0" t="s">
        <v>185</v>
      </c>
      <c r="F12524" s="14" t="n">
        <f aca="false">1/(1+wacc)^Sens!F12523</f>
        <v>0.952193373608246</v>
      </c>
      <c r="G12524" s="14" t="n">
        <f aca="false">1/(1+wacc)^Sens!G12523</f>
        <v>0.863327280626589</v>
      </c>
      <c r="H12524" s="14" t="n">
        <f aca="false">1/(1+wacc)^Sens!H12523</f>
        <v>0.782754862754115</v>
      </c>
      <c r="I12524" s="14" t="n">
        <f aca="false">1/(1+wacc)^Sens!I12523</f>
        <v>0.709702089711011</v>
      </c>
      <c r="J12524" s="14" t="n">
        <f aca="false">1/(1+wacc)^Sens!J12523</f>
        <v>0.643467169744551</v>
      </c>
      <c r="K12524" s="14" t="n">
        <f aca="false">1/(1+wacc)^Sens!K12523</f>
        <v>0.583413807767797</v>
      </c>
    </row>
    <row r="12525" customFormat="false" ht="17.15" hidden="false" customHeight="false" outlineLevel="0" collapsed="false">
      <c r="A12525" s="1" t="s">
        <v>1059</v>
      </c>
      <c r="B12525" s="0" t="s">
        <v>98</v>
      </c>
      <c r="F12525" s="6" t="n">
        <f aca="false">CF!F22-CF!F20-CF!F26+Thesis!F44*(1-tax_f)</f>
        <v>0.8175674752552</v>
      </c>
      <c r="G12525" s="6" t="n">
        <f aca="false">CF!G22-CF!G20-CF!G26+Thesis!G44*(1-tax_f)</f>
        <v>46.5945454778033</v>
      </c>
      <c r="H12525" s="6" t="n">
        <f aca="false">CF!H22-CF!H20-CF!H26+Thesis!H44*(1-tax_f)</f>
        <v>105.224067029101</v>
      </c>
      <c r="I12525" s="6" t="n">
        <f aca="false">CF!I22-CF!I20-CF!I26+Thesis!I44*(1-tax_f)</f>
        <v>183.301417205555</v>
      </c>
      <c r="J12525" s="6" t="n">
        <f aca="false">CF!J22-CF!J20-CF!J26+Thesis!J44*(1-tax_f)</f>
        <v>261.555335183242</v>
      </c>
      <c r="K12525" s="6" t="n">
        <f aca="false">CF!K22-CF!K20-CF!K26+Thesis!K44*(1-tax_f)</f>
        <v>298.387942209483</v>
      </c>
      <c r="L12525" s="1" t="s">
        <v>1060</v>
      </c>
    </row>
    <row r="12526" customFormat="false" ht="15" hidden="false" customHeight="false" outlineLevel="0" collapsed="false">
      <c r="A12526" s="1" t="s">
        <v>1061</v>
      </c>
      <c r="B12526" s="0" t="s">
        <v>98</v>
      </c>
      <c r="F12526" s="6" t="n">
        <f aca="false">Sens!F12525*Sens!F12524</f>
        <v>0.778482332415625</v>
      </c>
      <c r="G12526" s="6" t="n">
        <f aca="false">Sens!G12525*Sens!G12524</f>
        <v>40.2263422393839</v>
      </c>
      <c r="H12526" s="6" t="n">
        <f aca="false">Sens!H12525*Sens!H12524</f>
        <v>82.364650145794</v>
      </c>
      <c r="I12526" s="6" t="n">
        <f aca="false">Sens!I12525*Sens!I12524</f>
        <v>130.089398837772</v>
      </c>
      <c r="J12526" s="6" t="n">
        <f aca="false">Sens!J12525*Sens!J12524</f>
        <v>168.302271261948</v>
      </c>
      <c r="K12526" s="6" t="n">
        <f aca="false">Sens!K12525*Sens!K12524</f>
        <v>174.083645556432</v>
      </c>
    </row>
    <row r="12527" customFormat="false" ht="17.15" hidden="false" customHeight="false" outlineLevel="0" collapsed="false">
      <c r="A12527" s="1" t="s">
        <v>1062</v>
      </c>
      <c r="B12527" s="0" t="s">
        <v>98</v>
      </c>
      <c r="C12527" s="6" t="n">
        <f aca="false">SUM(Sens!F12526:K12526)</f>
        <v>595.844790373745</v>
      </c>
    </row>
    <row r="12528" customFormat="false" ht="17.15" hidden="false" customHeight="false" outlineLevel="0" collapsed="false">
      <c r="A12528" s="1" t="s">
        <v>1063</v>
      </c>
      <c r="B12528" s="0" t="s">
        <v>98</v>
      </c>
      <c r="C12528" s="6" t="n">
        <f aca="false">PL!K39*(1+g_tv_lo)*(1-tax_f)</f>
        <v>313.361699119741</v>
      </c>
    </row>
    <row r="12529" customFormat="false" ht="17.15" hidden="false" customHeight="false" outlineLevel="0" collapsed="false">
      <c r="A12529" s="1" t="s">
        <v>1064</v>
      </c>
      <c r="B12529" s="0" t="s">
        <v>98</v>
      </c>
      <c r="C12529" s="6" t="n">
        <f aca="false">Sens!$C$12528*(1-g_tv_lo/(wacc+ronic_prem))</f>
        <v>252.476001442132</v>
      </c>
    </row>
    <row r="12530" customFormat="false" ht="17.15" hidden="false" customHeight="false" outlineLevel="0" collapsed="false">
      <c r="A12530" s="1" t="s">
        <v>1065</v>
      </c>
      <c r="B12530" s="0" t="s">
        <v>98</v>
      </c>
      <c r="C12530" s="6" t="n">
        <f aca="false">Sens!$C$12529/(wacc-g_tv_lo)</f>
        <v>3044.28488388044</v>
      </c>
    </row>
    <row r="12531" customFormat="false" ht="15" hidden="false" customHeight="false" outlineLevel="0" collapsed="false">
      <c r="A12531" s="1" t="s">
        <v>1066</v>
      </c>
      <c r="B12531" s="0" t="s">
        <v>98</v>
      </c>
      <c r="C12531" s="6" t="n">
        <f aca="false">Sens!$C$12530/(1+wacc)^(Sens!K12523+mid_yr)</f>
        <v>1691.16954648465</v>
      </c>
    </row>
    <row r="12532" customFormat="false" ht="17.15" hidden="false" customHeight="false" outlineLevel="0" collapsed="false">
      <c r="A12532" s="0" t="s">
        <v>986</v>
      </c>
      <c r="B12532" s="0" t="s">
        <v>98</v>
      </c>
      <c r="C12532" s="6" t="n">
        <f aca="false">Sens!$C$12527+Sens!$C$12531</f>
        <v>2287.01433685839</v>
      </c>
    </row>
    <row r="12533" customFormat="false" ht="15" hidden="false" customHeight="false" outlineLevel="0" collapsed="false">
      <c r="A12533" s="1" t="s">
        <v>987</v>
      </c>
      <c r="B12533" s="0" t="s">
        <v>129</v>
      </c>
      <c r="C12533" s="7" t="n">
        <f aca="false">Sens!$C$12531/Sens!$C$12532</f>
        <v>0.739466088703126</v>
      </c>
    </row>
    <row r="12534" customFormat="false" ht="17.15" hidden="false" customHeight="false" outlineLevel="0" collapsed="false">
      <c r="A12534" s="1" t="s">
        <v>1067</v>
      </c>
      <c r="B12534" s="0" t="s">
        <v>98</v>
      </c>
      <c r="C12534" s="6" t="n">
        <f aca="false">Sens!$C$12532+CF!E38-CF!E27+oai_v</f>
        <v>2421.52733685839</v>
      </c>
    </row>
    <row r="12535" customFormat="false" ht="17.15" hidden="false" customHeight="false" outlineLevel="0" collapsed="false">
      <c r="A12535" s="0" t="s">
        <v>994</v>
      </c>
      <c r="B12535" s="0" t="s">
        <v>75</v>
      </c>
      <c r="C12535" s="5" t="n">
        <f aca="false">Sens!$C$12534/sh_dil26</f>
        <v>324.906391635367</v>
      </c>
    </row>
    <row r="12536" customFormat="false" ht="15" hidden="false" customHeight="false" outlineLevel="0" collapsed="false">
      <c r="A12536" s="1" t="s">
        <v>1068</v>
      </c>
      <c r="B12536" s="0" t="s">
        <v>75</v>
      </c>
      <c r="C12536" s="8" t="n">
        <f aca="false">dps_27+CF!G30*roll_div_q/q_per_yr</f>
        <v>4.8895</v>
      </c>
    </row>
    <row r="12537" customFormat="false" ht="17.15" hidden="false" customHeight="false" outlineLevel="0" collapsed="false">
      <c r="A12537" s="0" t="s">
        <v>1069</v>
      </c>
      <c r="B12537" s="0" t="s">
        <v>75</v>
      </c>
      <c r="C12537" s="5" t="n">
        <f aca="false">Sens!$C$12535*(1+wacc)^t_roll-Sens!$C$12536</f>
        <v>365.092256625521</v>
      </c>
    </row>
    <row r="12538" customFormat="false" ht="17.15" hidden="false" customHeight="false" outlineLevel="0" collapsed="false">
      <c r="A12538" s="1" t="s">
        <v>1070</v>
      </c>
      <c r="B12538" s="0" t="s">
        <v>129</v>
      </c>
      <c r="F12538" s="7" t="n">
        <f aca="false">CF!F17/(Seg!F29-Thesis!F23)</f>
        <v>0.0705303854989974</v>
      </c>
      <c r="G12538" s="7" t="n">
        <f aca="false">CF!G17/(Seg!G29-Thesis!G23)</f>
        <v>0.0669153011130541</v>
      </c>
      <c r="H12538" s="7" t="n">
        <f aca="false">CF!H17/(Seg!H29-Thesis!H23)</f>
        <v>0.0648963302688647</v>
      </c>
      <c r="I12538" s="7" t="n">
        <f aca="false">CF!I17/(Seg!I29-Thesis!I23)</f>
        <v>0.0643411219550834</v>
      </c>
      <c r="J12538" s="7" t="n">
        <f aca="false">CF!J17/(Seg!J29-Thesis!J23)</f>
        <v>0.0648740961982593</v>
      </c>
      <c r="K12538" s="7" t="n">
        <f aca="false">CF!K17/(Seg!K29-Thesis!K23)</f>
        <v>0.0660244723636577</v>
      </c>
    </row>
    <row r="12539" customFormat="false" ht="17.15" hidden="false" customHeight="false" outlineLevel="0" collapsed="false">
      <c r="A12539" s="0" t="s">
        <v>1071</v>
      </c>
      <c r="B12539" s="0" t="s">
        <v>98</v>
      </c>
      <c r="F12539" s="6" t="n">
        <f aca="false">Seg!F14*(al_m365+Sens!F12538+sbc_r)</f>
        <v>85.2273329859862</v>
      </c>
      <c r="G12539" s="6" t="n">
        <f aca="false">Seg!G14*(al_m365+Sens!G12538+sbc_r)</f>
        <v>99.6892587904979</v>
      </c>
      <c r="H12539" s="6" t="n">
        <f aca="false">Seg!H14*(al_m365+Sens!H12538+sbc_r)</f>
        <v>114.315107566414</v>
      </c>
      <c r="I12539" s="6" t="n">
        <f aca="false">Seg!I14*(al_m365+Sens!I12538+sbc_r)</f>
        <v>127.42181750834</v>
      </c>
      <c r="J12539" s="6" t="n">
        <f aca="false">Seg!J14*(al_m365+Sens!J12538+sbc_r)</f>
        <v>138.823999012523</v>
      </c>
      <c r="K12539" s="6" t="n">
        <f aca="false">Seg!K14*(al_m365+Sens!K12538+sbc_r)</f>
        <v>149.845393216552</v>
      </c>
      <c r="L12539" s="11" t="s">
        <v>1072</v>
      </c>
    </row>
    <row r="12540" customFormat="false" ht="17.15" hidden="false" customHeight="false" outlineLevel="0" collapsed="false">
      <c r="A12540" s="0" t="s">
        <v>1073</v>
      </c>
      <c r="B12540" s="0" t="s">
        <v>98</v>
      </c>
      <c r="F12540" s="6" t="n">
        <f aca="false">Seg!F15*(al_lic+Sens!F12538+sbc_r)</f>
        <v>33.5204472060294</v>
      </c>
      <c r="G12540" s="6" t="n">
        <f aca="false">Seg!G15*(al_lic+Sens!G12538+sbc_r)</f>
        <v>34.7926166862242</v>
      </c>
      <c r="H12540" s="6" t="n">
        <f aca="false">Seg!H15*(al_lic+Sens!H12538+sbc_r)</f>
        <v>35.9862829687409</v>
      </c>
      <c r="I12540" s="6" t="n">
        <f aca="false">Seg!I15*(al_lic+Sens!I12538+sbc_r)</f>
        <v>37.0838788899664</v>
      </c>
      <c r="J12540" s="6" t="n">
        <f aca="false">Seg!J15*(al_lic+Sens!J12538+sbc_r)</f>
        <v>38.0565090086839</v>
      </c>
      <c r="K12540" s="6" t="n">
        <f aca="false">Seg!K15*(al_lic+Sens!K12538+sbc_r)</f>
        <v>38.8700352425884</v>
      </c>
    </row>
    <row r="12541" customFormat="false" ht="17.15" hidden="false" customHeight="false" outlineLevel="0" collapsed="false">
      <c r="A12541" s="0" t="s">
        <v>1074</v>
      </c>
      <c r="B12541" s="0" t="s">
        <v>98</v>
      </c>
      <c r="F12541" s="6" t="n">
        <f aca="false">Seg!F17*(al_ind+Sens!F12538+sbc_r)</f>
        <v>9.11980018094294</v>
      </c>
      <c r="G12541" s="6" t="n">
        <f aca="false">Seg!G17*(al_ind+Sens!G12538+sbc_r)</f>
        <v>9.88072195697034</v>
      </c>
      <c r="H12541" s="6" t="n">
        <f aca="false">Seg!H17*(al_ind+Sens!H12538+sbc_r)</f>
        <v>10.6900815637922</v>
      </c>
      <c r="I12541" s="6" t="n">
        <f aca="false">Seg!I17*(al_ind+Sens!I12538+sbc_r)</f>
        <v>11.5460282347577</v>
      </c>
      <c r="J12541" s="6" t="n">
        <f aca="false">Seg!J17*(al_ind+Sens!J12538+sbc_r)</f>
        <v>12.4374767512513</v>
      </c>
      <c r="K12541" s="6" t="n">
        <f aca="false">Seg!K17*(al_ind+Sens!K12538+sbc_r)</f>
        <v>13.3461587114563</v>
      </c>
    </row>
    <row r="12542" customFormat="false" ht="17.15" hidden="false" customHeight="false" outlineLevel="0" collapsed="false">
      <c r="A12542" s="0" t="s">
        <v>1075</v>
      </c>
      <c r="B12542" s="0" t="s">
        <v>98</v>
      </c>
      <c r="F12542" s="6" t="n">
        <f aca="false">Seg!F19*(al_fro+Sens!F12538+sbc_r)</f>
        <v>3.58958536902212</v>
      </c>
      <c r="G12542" s="6" t="n">
        <f aca="false">Seg!G19*(al_fro+Sens!G12538+sbc_r)</f>
        <v>3.79361306665995</v>
      </c>
      <c r="H12542" s="6" t="n">
        <f aca="false">Seg!H19*(al_fro+Sens!H12538+sbc_r)</f>
        <v>4.02838862857902</v>
      </c>
      <c r="I12542" s="6" t="n">
        <f aca="false">Seg!I19*(al_fro+Sens!I12538+sbc_r)</f>
        <v>4.29696179134221</v>
      </c>
      <c r="J12542" s="6" t="n">
        <f aca="false">Seg!J19*(al_fro+Sens!J12538+sbc_r)</f>
        <v>4.59985687395741</v>
      </c>
      <c r="K12542" s="6" t="n">
        <f aca="false">Seg!K19*(al_fro+Sens!K12538+sbc_r)</f>
        <v>4.93592238342414</v>
      </c>
    </row>
    <row r="12543" customFormat="false" ht="17.15" hidden="false" customHeight="false" outlineLevel="0" collapsed="false">
      <c r="A12543" s="0" t="s">
        <v>1076</v>
      </c>
      <c r="B12543" s="0" t="s">
        <v>98</v>
      </c>
      <c r="F12543" s="6" t="n">
        <f aca="false">Seg!F22*(al_srch+Sens!F12538+sbc_r)</f>
        <v>11.2630849868114</v>
      </c>
      <c r="G12543" s="6" t="n">
        <f aca="false">Seg!G22*(al_srch+Sens!G12538+sbc_r)</f>
        <v>12.3179728600437</v>
      </c>
      <c r="H12543" s="6" t="n">
        <f aca="false">Seg!H22*(al_srch+Sens!H12538+sbc_r)</f>
        <v>13.4217853035424</v>
      </c>
      <c r="I12543" s="6" t="n">
        <f aca="false">Seg!I22*(al_srch+Sens!I12538+sbc_r)</f>
        <v>14.565578354966</v>
      </c>
      <c r="J12543" s="6" t="n">
        <f aca="false">Seg!J22*(al_srch+Sens!J12538+sbc_r)</f>
        <v>15.7277683722803</v>
      </c>
      <c r="K12543" s="6" t="n">
        <f aca="false">Seg!K22*(al_srch+Sens!K12538+sbc_r)</f>
        <v>16.87683901418</v>
      </c>
    </row>
    <row r="12544" customFormat="false" ht="17.15" hidden="false" customHeight="false" outlineLevel="0" collapsed="false">
      <c r="A12544" s="0" t="s">
        <v>1077</v>
      </c>
      <c r="B12544" s="0" t="s">
        <v>98</v>
      </c>
      <c r="F12544" s="6" t="n">
        <f aca="false">Thesis!F29-Thesis!F30+Thesis!F44</f>
        <v>45.0374073018652</v>
      </c>
      <c r="G12544" s="6" t="n">
        <f aca="false">Thesis!G29-Thesis!G30+Thesis!G44</f>
        <v>89.051993487491</v>
      </c>
      <c r="H12544" s="6" t="n">
        <f aca="false">Thesis!H29-Thesis!H30+Thesis!H44</f>
        <v>140.728332825594</v>
      </c>
      <c r="I12544" s="6" t="n">
        <f aca="false">Thesis!I29-Thesis!I30+Thesis!I44</f>
        <v>182.158665153016</v>
      </c>
      <c r="J12544" s="6" t="n">
        <f aca="false">Thesis!J29-Thesis!J30+Thesis!J44</f>
        <v>211.722320149272</v>
      </c>
      <c r="K12544" s="6" t="n">
        <f aca="false">Thesis!K29-Thesis!K30+Thesis!K44</f>
        <v>230.495012322217</v>
      </c>
    </row>
    <row r="12545" customFormat="false" ht="17.15" hidden="false" customHeight="false" outlineLevel="0" collapsed="false">
      <c r="A12545" s="0" t="s">
        <v>1078</v>
      </c>
      <c r="B12545" s="0" t="s">
        <v>98</v>
      </c>
      <c r="F12545" s="6" t="n">
        <f aca="false">PL!F32+Thesis!F44+Thesis!F40+Sens!F12538*(Seg!F21-Thesis!F23)+sbc_r*Seg!F21</f>
        <v>236.979131882557</v>
      </c>
      <c r="G12545" s="6" t="n">
        <f aca="false">PL!G32+Thesis!G44+Thesis!G40+Sens!G12538*(Seg!G21-Thesis!G23)+sbc_r*Seg!G21</f>
        <v>310.298572894356</v>
      </c>
      <c r="H12545" s="6" t="n">
        <f aca="false">PL!H32+Thesis!H44+Thesis!H40+Sens!H12538*(Seg!H21-Thesis!H23)+sbc_r*Seg!H21</f>
        <v>391.97921499404</v>
      </c>
      <c r="I12545" s="6" t="n">
        <f aca="false">PL!I32+Thesis!I44+Thesis!I40+Sens!I12538*(Seg!I21-Thesis!I23)+sbc_r*Seg!I21</f>
        <v>461.338592490557</v>
      </c>
      <c r="J12545" s="6" t="n">
        <f aca="false">PL!J32+Thesis!J44+Thesis!J40+Sens!J12538*(Seg!J21-Thesis!J23)+sbc_r*Seg!J21</f>
        <v>515.876034980991</v>
      </c>
      <c r="K12545" s="6" t="n">
        <f aca="false">PL!K32+Thesis!K44+Thesis!K40+Sens!K12538*(Seg!K21-Thesis!K23)+sbc_r*Seg!K21</f>
        <v>557.225339287545</v>
      </c>
    </row>
    <row r="12546" customFormat="false" ht="17.15" hidden="false" customHeight="false" outlineLevel="0" collapsed="false">
      <c r="A12546" s="0" t="s">
        <v>1079</v>
      </c>
      <c r="B12546" s="0" t="s">
        <v>98</v>
      </c>
      <c r="F12546" s="6" t="n">
        <f aca="false">Sens!F12545-Sens!F12539-Sens!F12540-Sens!F12541-Sens!F12542-Sens!F12544</f>
        <v>60.4845588387112</v>
      </c>
      <c r="G12546" s="6" t="n">
        <f aca="false">Sens!G12545-Sens!G12539-Sens!G12540-Sens!G12541-Sens!G12542-Sens!G12544</f>
        <v>73.090368906513</v>
      </c>
      <c r="H12546" s="6" t="n">
        <f aca="false">Sens!H12545-Sens!H12539-Sens!H12540-Sens!H12541-Sens!H12542-Sens!H12544</f>
        <v>86.23102144092</v>
      </c>
      <c r="I12546" s="6" t="n">
        <f aca="false">Sens!I12545-Sens!I12539-Sens!I12540-Sens!I12541-Sens!I12542-Sens!I12544</f>
        <v>98.8312409131349</v>
      </c>
      <c r="J12546" s="6" t="n">
        <f aca="false">Sens!J12545-Sens!J12539-Sens!J12540-Sens!J12541-Sens!J12542-Sens!J12544</f>
        <v>110.235873185303</v>
      </c>
      <c r="K12546" s="6" t="n">
        <f aca="false">Sens!K12545-Sens!K12539-Sens!K12540-Sens!K12541-Sens!K12542-Sens!K12544</f>
        <v>119.732817411307</v>
      </c>
    </row>
    <row r="12547" customFormat="false" ht="17.15" hidden="false" customHeight="false" outlineLevel="0" collapsed="false">
      <c r="A12547" s="0" t="s">
        <v>1080</v>
      </c>
      <c r="B12547" s="0" t="s">
        <v>98</v>
      </c>
      <c r="F12547" s="6" t="n">
        <f aca="false">PL!F34+Sens!F12538*Seg!F28+sbc_r*Seg!F28</f>
        <v>26.3250729833002</v>
      </c>
      <c r="G12547" s="6" t="n">
        <f aca="false">PL!G34+Sens!G12538*Seg!G28+sbc_r*Seg!G28</f>
        <v>26.8840979798844</v>
      </c>
      <c r="H12547" s="6" t="n">
        <f aca="false">PL!H34+Sens!H12538*Seg!H28+sbc_r*Seg!H28</f>
        <v>27.7254420104725</v>
      </c>
      <c r="I12547" s="6" t="n">
        <f aca="false">PL!I34+Sens!I12538*Seg!I28+sbc_r*Seg!I28</f>
        <v>28.8195303030026</v>
      </c>
      <c r="J12547" s="6" t="n">
        <f aca="false">PL!J34+Sens!J12538*Seg!J28+sbc_r*Seg!J28</f>
        <v>30.1256822206383</v>
      </c>
      <c r="K12547" s="6" t="n">
        <f aca="false">PL!K34+Sens!K12538*Seg!K28+sbc_r*Seg!K28</f>
        <v>31.5981329181227</v>
      </c>
    </row>
    <row r="12548" customFormat="false" ht="17.15" hidden="false" customHeight="false" outlineLevel="0" collapsed="false">
      <c r="A12548" s="0" t="s">
        <v>1081</v>
      </c>
      <c r="B12548" s="0" t="s">
        <v>98</v>
      </c>
      <c r="F12548" s="6" t="n">
        <f aca="false">(Sens!F12547-Sens!F12543)*Seg!F24/(Seg!F24+Seg!F26)</f>
        <v>8.25683511803782</v>
      </c>
      <c r="G12548" s="6" t="n">
        <f aca="false">(Sens!G12547-Sens!G12543)*Seg!G24/(Seg!G24+Seg!G26)</f>
        <v>7.84263572934781</v>
      </c>
      <c r="H12548" s="6" t="n">
        <f aca="false">(Sens!H12547-Sens!H12543)*Seg!H24/(Seg!H24+Seg!H26)</f>
        <v>7.59728657715786</v>
      </c>
      <c r="I12548" s="6" t="n">
        <f aca="false">(Sens!I12547-Sens!I12543)*Seg!I24/(Seg!I24+Seg!I26)</f>
        <v>7.50238476920254</v>
      </c>
      <c r="J12548" s="6" t="n">
        <f aca="false">(Sens!J12547-Sens!J12543)*Seg!J24/(Seg!J24+Seg!J26)</f>
        <v>7.54388912124533</v>
      </c>
      <c r="K12548" s="6" t="n">
        <f aca="false">(Sens!K12547-Sens!K12543)*Seg!K24/(Seg!K24+Seg!K26)</f>
        <v>7.71332639591206</v>
      </c>
    </row>
    <row r="12549" customFormat="false" ht="17.15" hidden="false" customHeight="false" outlineLevel="0" collapsed="false">
      <c r="A12549" s="0" t="s">
        <v>1082</v>
      </c>
      <c r="B12549" s="0" t="s">
        <v>98</v>
      </c>
      <c r="F12549" s="6" t="n">
        <f aca="false">Sens!F12547-Sens!F12543-Sens!F12548</f>
        <v>6.80515287845105</v>
      </c>
      <c r="G12549" s="6" t="n">
        <f aca="false">Sens!G12547-Sens!G12543-Sens!G12548</f>
        <v>6.72348939049287</v>
      </c>
      <c r="H12549" s="6" t="n">
        <f aca="false">Sens!H12547-Sens!H12543-Sens!H12548</f>
        <v>6.70637012977225</v>
      </c>
      <c r="I12549" s="6" t="n">
        <f aca="false">Sens!I12547-Sens!I12543-Sens!I12548</f>
        <v>6.75156717883416</v>
      </c>
      <c r="J12549" s="6" t="n">
        <f aca="false">Sens!J12547-Sens!J12543-Sens!J12548</f>
        <v>6.85402472711273</v>
      </c>
      <c r="K12549" s="6" t="n">
        <f aca="false">Sens!K12547-Sens!K12543-Sens!K12548</f>
        <v>7.00796750803058</v>
      </c>
    </row>
    <row r="12550" customFormat="false" ht="17.15" hidden="false" customHeight="false" outlineLevel="0" collapsed="false">
      <c r="A12550" s="0" t="s">
        <v>1083</v>
      </c>
      <c r="B12550" s="0" t="s">
        <v>98</v>
      </c>
      <c r="F12550" s="6" t="n">
        <f aca="false">Sens!F12544-tax_f*(Sens!F12544-Thesis!F40)-Thesis!F37</f>
        <v>-117.492972553783</v>
      </c>
      <c r="G12550" s="6" t="n">
        <f aca="false">Sens!G12544-tax_f*(Sens!G12544-Thesis!G40)-Thesis!G37</f>
        <v>-100.507498271105</v>
      </c>
      <c r="H12550" s="6" t="n">
        <f aca="false">Sens!H12544-tax_f*(Sens!H12544-Thesis!H40)-Thesis!H37</f>
        <v>-58.2254156812621</v>
      </c>
      <c r="I12550" s="6" t="n">
        <f aca="false">Sens!I12544-tax_f*(Sens!I12544-Thesis!I40)-Thesis!I37</f>
        <v>4.14141173464586</v>
      </c>
      <c r="J12550" s="6" t="n">
        <f aca="false">Sens!J12544-tax_f*(Sens!J12544-Thesis!J40)-Thesis!J37</f>
        <v>67.7960840957439</v>
      </c>
      <c r="K12550" s="6" t="n">
        <f aca="false">Sens!K12544-tax_f*(Sens!K12544-Thesis!K40)-Thesis!K37</f>
        <v>90.8148873630444</v>
      </c>
    </row>
    <row r="12551" customFormat="false" ht="17.15" hidden="false" customHeight="false" outlineLevel="0" collapsed="false">
      <c r="A12551" s="0" t="s">
        <v>1084</v>
      </c>
      <c r="B12551" s="0" t="s">
        <v>98</v>
      </c>
      <c r="G12551" s="6" t="n">
        <f aca="false">Sens!G12550/(1+wacc)^(Sens!G12523-(Sens!F12523+mid_yr))</f>
        <v>-95.7025738516884</v>
      </c>
      <c r="H12551" s="6" t="n">
        <f aca="false">Sens!H12550/(1+wacc)^(Sens!H12523-(Sens!F12523+mid_yr))</f>
        <v>-50.2675897834568</v>
      </c>
      <c r="I12551" s="6" t="n">
        <f aca="false">Sens!I12550/(1+wacc)^(Sens!I12523-(Sens!F12523+mid_yr))</f>
        <v>3.241710173961</v>
      </c>
      <c r="J12551" s="6" t="n">
        <f aca="false">Sens!J12550/(1+wacc)^(Sens!J12523-(Sens!F12523+mid_yr))</f>
        <v>48.1150225569729</v>
      </c>
      <c r="K12551" s="6" t="n">
        <f aca="false">Sens!K12550/(1+wacc)^(Sens!K12523-(Sens!F12523+mid_yr))</f>
        <v>58.4363985421684</v>
      </c>
      <c r="L12551" s="1" t="s">
        <v>1085</v>
      </c>
    </row>
    <row r="12552" customFormat="false" ht="17.15" hidden="false" customHeight="false" outlineLevel="0" collapsed="false">
      <c r="A12552" s="0" t="s">
        <v>1086</v>
      </c>
      <c r="B12552" s="0" t="s">
        <v>98</v>
      </c>
      <c r="C12552" s="6" t="n">
        <f aca="false">(Sens!K12544-Thesis!K40)*(1-tax_f)*(1+g_tv_lo)*(1-g_tv_lo/(wacc+ronic_prem))/(wacc-g_tv_lo)/(1+wacc)^(Sens!K12523+mid_yr-(Sens!F12523+mid_yr))</f>
        <v>443.766018611378</v>
      </c>
    </row>
    <row r="12553" customFormat="false" ht="17.15" hidden="false" customHeight="false" outlineLevel="0" collapsed="false">
      <c r="A12553" s="1" t="s">
        <v>1087</v>
      </c>
      <c r="B12553" s="0" t="s">
        <v>98</v>
      </c>
      <c r="C12553" s="6" t="n">
        <f aca="false">(SUM(Sens!G12551:K12551)+Sens!$C$12552)*(1+wacc)^(t_roll-(Sens!F12523+mid_yr))</f>
        <v>420.818481488667</v>
      </c>
      <c r="L12553" s="11" t="s">
        <v>1088</v>
      </c>
    </row>
    <row r="12554" customFormat="false" ht="17.15" hidden="false" customHeight="false" outlineLevel="0" collapsed="false">
      <c r="A12554" s="1" t="s">
        <v>1089</v>
      </c>
      <c r="B12554" s="0" t="s">
        <v>98</v>
      </c>
      <c r="C12554" s="6" t="n">
        <f aca="false">(w_ntm28*Thesis!G29+(1-w_ntm28)*Thesis!H29)*m_ai</f>
        <v>551.711134531404</v>
      </c>
    </row>
    <row r="12555" customFormat="false" ht="17.15" hidden="false" customHeight="false" outlineLevel="0" collapsed="false">
      <c r="A12555" s="1" t="s">
        <v>1090</v>
      </c>
      <c r="B12555" s="0" t="s">
        <v>98</v>
      </c>
      <c r="C12555" s="6" t="n">
        <f aca="false">(w_ntm28*Sens!G12546+(1-w_ntm28)*Sens!H12546)*m_cloud</f>
        <v>1068.81917370447</v>
      </c>
    </row>
    <row r="12556" customFormat="false" ht="17.15" hidden="false" customHeight="false" outlineLevel="0" collapsed="false">
      <c r="A12556" s="1" t="s">
        <v>1091</v>
      </c>
      <c r="B12556" s="0" t="s">
        <v>98</v>
      </c>
      <c r="C12556" s="6" t="n">
        <f aca="false">(w_ntm28*Sens!G12539+(1-w_ntm28)*Sens!H12539)*m_sw</f>
        <v>1127.71024611553</v>
      </c>
    </row>
    <row r="12557" customFormat="false" ht="17.15" hidden="false" customHeight="false" outlineLevel="0" collapsed="false">
      <c r="A12557" s="1" t="s">
        <v>1092</v>
      </c>
      <c r="B12557" s="0" t="s">
        <v>98</v>
      </c>
      <c r="C12557" s="6" t="n">
        <f aca="false">(w_ntm28*Sens!G12540+(1-w_ntm28)*Sens!H12540)*m_sw</f>
        <v>379.927954212425</v>
      </c>
    </row>
    <row r="12558" customFormat="false" ht="17.15" hidden="false" customHeight="false" outlineLevel="0" collapsed="false">
      <c r="A12558" s="1" t="s">
        <v>1093</v>
      </c>
      <c r="B12558" s="0" t="s">
        <v>98</v>
      </c>
      <c r="C12558" s="6" t="n">
        <f aca="false">(w_ntm28*Sens!G12541+(1-w_ntm28)*Sens!H12541)*m_sw</f>
        <v>109.537681746057</v>
      </c>
    </row>
    <row r="12559" customFormat="false" ht="17.15" hidden="false" customHeight="false" outlineLevel="0" collapsed="false">
      <c r="A12559" s="1" t="s">
        <v>1094</v>
      </c>
      <c r="B12559" s="0" t="s">
        <v>98</v>
      </c>
      <c r="C12559" s="6" t="n">
        <f aca="false">(w_ntm28*Sens!G12542+(1-w_ntm28)*Sens!H12542)*m_sw</f>
        <v>41.7907416024197</v>
      </c>
    </row>
    <row r="12560" customFormat="false" ht="17.15" hidden="false" customHeight="false" outlineLevel="0" collapsed="false">
      <c r="A12560" s="1" t="s">
        <v>1095</v>
      </c>
      <c r="B12560" s="0" t="s">
        <v>98</v>
      </c>
      <c r="C12560" s="6" t="n">
        <f aca="false">(w_ntm28*Sens!G12543+(1-w_ntm28)*Sens!H12543)*m_ads</f>
        <v>115.467626729004</v>
      </c>
    </row>
    <row r="12561" customFormat="false" ht="17.15" hidden="false" customHeight="false" outlineLevel="0" collapsed="false">
      <c r="A12561" s="1" t="s">
        <v>1096</v>
      </c>
      <c r="B12561" s="0" t="s">
        <v>98</v>
      </c>
      <c r="C12561" s="6" t="n">
        <f aca="false">(w_ntm28*Sens!G12548+(1-w_ntm28)*Sens!H12548)*m_game</f>
        <v>98.0506984247457</v>
      </c>
    </row>
    <row r="12562" customFormat="false" ht="17.15" hidden="false" customHeight="false" outlineLevel="0" collapsed="false">
      <c r="A12562" s="1" t="s">
        <v>1097</v>
      </c>
      <c r="B12562" s="0" t="s">
        <v>98</v>
      </c>
      <c r="C12562" s="6" t="n">
        <f aca="false">(w_ntm28*Sens!G12549+(1-w_ntm28)*Sens!H12549)*m_pc</f>
        <v>97.2088080478016</v>
      </c>
    </row>
    <row r="12563" customFormat="false" ht="17.15" hidden="false" customHeight="false" outlineLevel="0" collapsed="false">
      <c r="A12563" s="1" t="s">
        <v>1098</v>
      </c>
      <c r="B12563" s="0" t="s">
        <v>98</v>
      </c>
      <c r="C12563" s="6" t="n">
        <f aca="false">Sens!$C$12553+Sens!$C$12555+Sens!$C$12556+Sens!$C$12557+Sens!$C$12558+Sens!$C$12559+Sens!$C$12560+Sens!$C$12561+Sens!$C$12562</f>
        <v>3459.33141207113</v>
      </c>
    </row>
    <row r="12564" customFormat="false" ht="17.15" hidden="false" customHeight="false" outlineLevel="0" collapsed="false">
      <c r="A12564" s="1" t="s">
        <v>1099</v>
      </c>
      <c r="B12564" s="0" t="s">
        <v>98</v>
      </c>
      <c r="C12564" s="6" t="n">
        <f aca="false">(Sens!G12525-Sens!G12550)*t_stub</f>
        <v>47.9592964551235</v>
      </c>
      <c r="L12564" s="1" t="s">
        <v>1100</v>
      </c>
    </row>
    <row r="12565" customFormat="false" ht="17.15" hidden="false" customHeight="false" outlineLevel="0" collapsed="false">
      <c r="A12565" s="1" t="s">
        <v>1014</v>
      </c>
      <c r="B12565" s="0" t="s">
        <v>98</v>
      </c>
      <c r="C12565" s="6" t="n">
        <f aca="false">CF!F38+oai_v-CF!F27+Sens!$C$12564</f>
        <v>163.066005497665</v>
      </c>
      <c r="L12565" s="1" t="s">
        <v>1101</v>
      </c>
    </row>
    <row r="12566" customFormat="false" ht="17.15" hidden="false" customHeight="false" outlineLevel="0" collapsed="false">
      <c r="A12566" s="1" t="s">
        <v>1102</v>
      </c>
      <c r="B12566" s="0" t="s">
        <v>75</v>
      </c>
      <c r="C12566" s="5" t="n">
        <f aca="false">(Sens!$C$12563+Sens!$C$12565)/(CF!F40+dil_gap)-CF!G30*roll_div_q/q_per_yr</f>
        <v>482.204552503841</v>
      </c>
      <c r="L12566" s="1" t="s">
        <v>1103</v>
      </c>
    </row>
    <row r="12567" customFormat="false" ht="17.15" hidden="false" customHeight="false" outlineLevel="0" collapsed="false">
      <c r="A12567" s="1" t="s">
        <v>1104</v>
      </c>
      <c r="B12567" s="0" t="s">
        <v>75</v>
      </c>
      <c r="C12567" s="5" t="n">
        <f aca="false">w_dcf*Sens!$C$12537+(1-w_dcf)*Sens!$C$12566</f>
        <v>423.648404564681</v>
      </c>
    </row>
    <row r="12568" customFormat="false" ht="17.15" hidden="false" customHeight="false" outlineLevel="0" collapsed="false">
      <c r="A12568" s="3" t="s">
        <v>1584</v>
      </c>
    </row>
    <row r="12569" customFormat="false" ht="15" hidden="false" customHeight="false" outlineLevel="0" collapsed="false">
      <c r="A12569" s="4" t="s">
        <v>43</v>
      </c>
      <c r="B12569" s="4" t="s">
        <v>65</v>
      </c>
      <c r="C12569" s="20" t="s">
        <v>799</v>
      </c>
      <c r="D12569" s="20" t="s">
        <v>800</v>
      </c>
      <c r="E12569" s="20" t="s">
        <v>801</v>
      </c>
      <c r="F12569" s="20" t="s">
        <v>802</v>
      </c>
      <c r="G12569" s="20" t="s">
        <v>803</v>
      </c>
      <c r="H12569" s="20" t="s">
        <v>804</v>
      </c>
      <c r="I12569" s="20" t="s">
        <v>805</v>
      </c>
      <c r="J12569" s="20" t="s">
        <v>806</v>
      </c>
      <c r="K12569" s="20" t="s">
        <v>807</v>
      </c>
      <c r="L12569" s="4" t="s">
        <v>47</v>
      </c>
    </row>
    <row r="12570" customFormat="false" ht="15" hidden="false" customHeight="false" outlineLevel="0" collapsed="false">
      <c r="A12570" s="1" t="s">
        <v>1057</v>
      </c>
      <c r="B12570" s="1" t="s">
        <v>235</v>
      </c>
      <c r="F12570" s="36" t="n">
        <f aca="false">Thesis!F55-base_fy-mid_yr</f>
        <v>0.5</v>
      </c>
      <c r="G12570" s="36" t="n">
        <f aca="false">Thesis!G55-base_fy-mid_yr</f>
        <v>1.5</v>
      </c>
      <c r="H12570" s="36" t="n">
        <f aca="false">Thesis!H55-base_fy-mid_yr</f>
        <v>2.5</v>
      </c>
      <c r="I12570" s="36" t="n">
        <f aca="false">Thesis!I55-base_fy-mid_yr</f>
        <v>3.5</v>
      </c>
      <c r="J12570" s="36" t="n">
        <f aca="false">Thesis!J55-base_fy-mid_yr</f>
        <v>4.5</v>
      </c>
      <c r="K12570" s="36" t="n">
        <f aca="false">Thesis!K55-base_fy-mid_yr</f>
        <v>5.5</v>
      </c>
    </row>
    <row r="12571" customFormat="false" ht="15" hidden="false" customHeight="false" outlineLevel="0" collapsed="false">
      <c r="A12571" s="1" t="s">
        <v>1058</v>
      </c>
      <c r="B12571" s="0" t="s">
        <v>185</v>
      </c>
      <c r="F12571" s="14" t="n">
        <f aca="false">1/(1+wacc)^Sens!F12570</f>
        <v>0.952193373608246</v>
      </c>
      <c r="G12571" s="14" t="n">
        <f aca="false">1/(1+wacc)^Sens!G12570</f>
        <v>0.863327280626589</v>
      </c>
      <c r="H12571" s="14" t="n">
        <f aca="false">1/(1+wacc)^Sens!H12570</f>
        <v>0.782754862754115</v>
      </c>
      <c r="I12571" s="14" t="n">
        <f aca="false">1/(1+wacc)^Sens!I12570</f>
        <v>0.709702089711011</v>
      </c>
      <c r="J12571" s="14" t="n">
        <f aca="false">1/(1+wacc)^Sens!J12570</f>
        <v>0.643467169744551</v>
      </c>
      <c r="K12571" s="14" t="n">
        <f aca="false">1/(1+wacc)^Sens!K12570</f>
        <v>0.583413807767797</v>
      </c>
    </row>
    <row r="12572" customFormat="false" ht="17.15" hidden="false" customHeight="false" outlineLevel="0" collapsed="false">
      <c r="A12572" s="1" t="s">
        <v>1059</v>
      </c>
      <c r="B12572" s="0" t="s">
        <v>98</v>
      </c>
      <c r="F12572" s="6" t="n">
        <f aca="false">CF!F53-CF!F51-CF!F57+Thesis!F93*(1-tax_f)</f>
        <v>-2.12916264917943</v>
      </c>
      <c r="G12572" s="6" t="n">
        <f aca="false">CF!G53-CF!G51-CF!G57+Thesis!G93*(1-tax_f)</f>
        <v>37.4539072201241</v>
      </c>
      <c r="H12572" s="6" t="n">
        <f aca="false">CF!H53-CF!H51-CF!H57+Thesis!H93*(1-tax_f)</f>
        <v>85.8888636072133</v>
      </c>
      <c r="I12572" s="6" t="n">
        <f aca="false">CF!I53-CF!I51-CF!I57+Thesis!I93*(1-tax_f)</f>
        <v>159.098024951333</v>
      </c>
      <c r="J12572" s="6" t="n">
        <f aca="false">CF!J53-CF!J51-CF!J57+Thesis!J93*(1-tax_f)</f>
        <v>233.876759261847</v>
      </c>
      <c r="K12572" s="6" t="n">
        <f aca="false">CF!K53-CF!K51-CF!K57+Thesis!K93*(1-tax_f)</f>
        <v>268.447783789649</v>
      </c>
      <c r="L12572" s="1" t="s">
        <v>1060</v>
      </c>
    </row>
    <row r="12573" customFormat="false" ht="15" hidden="false" customHeight="false" outlineLevel="0" collapsed="false">
      <c r="A12573" s="1" t="s">
        <v>1061</v>
      </c>
      <c r="B12573" s="0" t="s">
        <v>98</v>
      </c>
      <c r="F12573" s="6" t="n">
        <f aca="false">Sens!F12572*Sens!F12571</f>
        <v>-2.02737456588283</v>
      </c>
      <c r="G12573" s="6" t="n">
        <f aca="false">Sens!G12572*Sens!G12571</f>
        <v>32.3349798691903</v>
      </c>
      <c r="H12573" s="6" t="n">
        <f aca="false">Sens!H12572*Sens!H12571</f>
        <v>67.2299256449712</v>
      </c>
      <c r="I12573" s="6" t="n">
        <f aca="false">Sens!I12572*Sens!I12571</f>
        <v>112.912200776856</v>
      </c>
      <c r="J12573" s="6" t="n">
        <f aca="false">Sens!J12572*Sens!J12571</f>
        <v>150.492016351249</v>
      </c>
      <c r="K12573" s="6" t="n">
        <f aca="false">Sens!K12572*Sens!K12571</f>
        <v>156.616143727545</v>
      </c>
    </row>
    <row r="12574" customFormat="false" ht="17.15" hidden="false" customHeight="false" outlineLevel="0" collapsed="false">
      <c r="A12574" s="1" t="s">
        <v>1062</v>
      </c>
      <c r="B12574" s="0" t="s">
        <v>98</v>
      </c>
      <c r="C12574" s="6" t="n">
        <f aca="false">SUM(Sens!F12573:K12573)</f>
        <v>517.557891803928</v>
      </c>
    </row>
    <row r="12575" customFormat="false" ht="17.15" hidden="false" customHeight="false" outlineLevel="0" collapsed="false">
      <c r="A12575" s="1" t="s">
        <v>1063</v>
      </c>
      <c r="B12575" s="0" t="s">
        <v>98</v>
      </c>
      <c r="C12575" s="6" t="n">
        <f aca="false">PL!K78*(1+g_tv_lo)*(1-tax_f)</f>
        <v>281.92200052151</v>
      </c>
    </row>
    <row r="12576" customFormat="false" ht="17.15" hidden="false" customHeight="false" outlineLevel="0" collapsed="false">
      <c r="A12576" s="1" t="s">
        <v>1064</v>
      </c>
      <c r="B12576" s="0" t="s">
        <v>98</v>
      </c>
      <c r="C12576" s="6" t="n">
        <f aca="false">Sens!$C$12575*(1-g_tv_lo/(wacc+ronic_prem))</f>
        <v>227.144988076667</v>
      </c>
    </row>
    <row r="12577" customFormat="false" ht="17.15" hidden="false" customHeight="false" outlineLevel="0" collapsed="false">
      <c r="A12577" s="1" t="s">
        <v>1065</v>
      </c>
      <c r="B12577" s="0" t="s">
        <v>98</v>
      </c>
      <c r="C12577" s="6" t="n">
        <f aca="false">Sens!$C$12576/(wacc-g_tv_lo)</f>
        <v>2738.85062224218</v>
      </c>
    </row>
    <row r="12578" customFormat="false" ht="15" hidden="false" customHeight="false" outlineLevel="0" collapsed="false">
      <c r="A12578" s="1" t="s">
        <v>1066</v>
      </c>
      <c r="B12578" s="0" t="s">
        <v>98</v>
      </c>
      <c r="C12578" s="6" t="n">
        <f aca="false">Sens!$C$12577/(1+wacc)^(Sens!K12570+mid_yr)</f>
        <v>1521.49386190245</v>
      </c>
    </row>
    <row r="12579" customFormat="false" ht="17.15" hidden="false" customHeight="false" outlineLevel="0" collapsed="false">
      <c r="A12579" s="0" t="s">
        <v>986</v>
      </c>
      <c r="B12579" s="0" t="s">
        <v>98</v>
      </c>
      <c r="C12579" s="6" t="n">
        <f aca="false">Sens!$C$12574+Sens!$C$12578</f>
        <v>2039.05175370638</v>
      </c>
    </row>
    <row r="12580" customFormat="false" ht="15" hidden="false" customHeight="false" outlineLevel="0" collapsed="false">
      <c r="A12580" s="1" t="s">
        <v>987</v>
      </c>
      <c r="B12580" s="0" t="s">
        <v>129</v>
      </c>
      <c r="C12580" s="7" t="n">
        <f aca="false">Sens!$C$12578/Sens!$C$12579</f>
        <v>0.746177167468572</v>
      </c>
    </row>
    <row r="12581" customFormat="false" ht="17.15" hidden="false" customHeight="false" outlineLevel="0" collapsed="false">
      <c r="A12581" s="1" t="s">
        <v>1067</v>
      </c>
      <c r="B12581" s="0" t="s">
        <v>98</v>
      </c>
      <c r="C12581" s="6" t="n">
        <f aca="false">Sens!$C$12579+CF!E69-CF!E58+oai_v</f>
        <v>2173.56475370638</v>
      </c>
    </row>
    <row r="12582" customFormat="false" ht="17.15" hidden="false" customHeight="false" outlineLevel="0" collapsed="false">
      <c r="A12582" s="0" t="s">
        <v>994</v>
      </c>
      <c r="B12582" s="0" t="s">
        <v>75</v>
      </c>
      <c r="C12582" s="5" t="n">
        <f aca="false">Sens!$C$12581/sh_dil26</f>
        <v>291.636220811268</v>
      </c>
    </row>
    <row r="12583" customFormat="false" ht="15" hidden="false" customHeight="false" outlineLevel="0" collapsed="false">
      <c r="A12583" s="1" t="s">
        <v>1068</v>
      </c>
      <c r="B12583" s="0" t="s">
        <v>75</v>
      </c>
      <c r="C12583" s="8" t="n">
        <f aca="false">dps_27+CF!G61*roll_div_q/q_per_yr</f>
        <v>4.8895</v>
      </c>
    </row>
    <row r="12584" customFormat="false" ht="17.15" hidden="false" customHeight="false" outlineLevel="0" collapsed="false">
      <c r="A12584" s="0" t="s">
        <v>1069</v>
      </c>
      <c r="B12584" s="0" t="s">
        <v>75</v>
      </c>
      <c r="C12584" s="5" t="n">
        <f aca="false">Sens!$C$12582*(1+wacc)^t_roll-Sens!$C$12583</f>
        <v>327.206402232893</v>
      </c>
    </row>
    <row r="12585" customFormat="false" ht="17.15" hidden="false" customHeight="false" outlineLevel="0" collapsed="false">
      <c r="A12585" s="1" t="s">
        <v>1070</v>
      </c>
      <c r="B12585" s="0" t="s">
        <v>129</v>
      </c>
      <c r="F12585" s="7" t="n">
        <f aca="false">CF!F48/(Seg!F56-Thesis!F72)</f>
        <v>0.0708376243512414</v>
      </c>
      <c r="G12585" s="7" t="n">
        <f aca="false">CF!G48/(Seg!G56-Thesis!G72)</f>
        <v>0.0675792567445289</v>
      </c>
      <c r="H12585" s="7" t="n">
        <f aca="false">CF!H48/(Seg!H56-Thesis!H72)</f>
        <v>0.0657637992399081</v>
      </c>
      <c r="I12585" s="7" t="n">
        <f aca="false">CF!I48/(Seg!I56-Thesis!I72)</f>
        <v>0.0652507860006261</v>
      </c>
      <c r="J12585" s="7" t="n">
        <f aca="false">CF!J48/(Seg!J56-Thesis!J72)</f>
        <v>0.0657374094257698</v>
      </c>
      <c r="K12585" s="7" t="n">
        <f aca="false">CF!K48/(Seg!K56-Thesis!K72)</f>
        <v>0.0668595832904836</v>
      </c>
    </row>
    <row r="12586" customFormat="false" ht="17.15" hidden="false" customHeight="false" outlineLevel="0" collapsed="false">
      <c r="A12586" s="0" t="s">
        <v>1071</v>
      </c>
      <c r="B12586" s="0" t="s">
        <v>98</v>
      </c>
      <c r="F12586" s="6" t="n">
        <f aca="false">Seg!F41*(al_m365+Sens!F12585+sbc_r)</f>
        <v>84.2019918892952</v>
      </c>
      <c r="G12586" s="6" t="n">
        <f aca="false">Seg!G41*(al_m365+Sens!G12585+sbc_r)</f>
        <v>96.61090954529</v>
      </c>
      <c r="H12586" s="6" t="n">
        <f aca="false">Seg!H41*(al_m365+Sens!H12585+sbc_r)</f>
        <v>109.18271398457</v>
      </c>
      <c r="I12586" s="6" t="n">
        <f aca="false">Seg!I41*(al_m365+Sens!I12585+sbc_r)</f>
        <v>120.736322591613</v>
      </c>
      <c r="J12586" s="6" t="n">
        <f aca="false">Seg!J41*(al_m365+Sens!J12585+sbc_r)</f>
        <v>131.084561154645</v>
      </c>
      <c r="K12586" s="6" t="n">
        <f aca="false">Seg!K41*(al_m365+Sens!K12585+sbc_r)</f>
        <v>141.044207560217</v>
      </c>
      <c r="L12586" s="11" t="s">
        <v>1072</v>
      </c>
    </row>
    <row r="12587" customFormat="false" ht="17.15" hidden="false" customHeight="false" outlineLevel="0" collapsed="false">
      <c r="A12587" s="0" t="s">
        <v>1073</v>
      </c>
      <c r="B12587" s="0" t="s">
        <v>98</v>
      </c>
      <c r="F12587" s="6" t="n">
        <f aca="false">Seg!F42*(al_lic+Sens!F12585+sbc_r)</f>
        <v>33.5324516680982</v>
      </c>
      <c r="G12587" s="6" t="n">
        <f aca="false">Seg!G42*(al_lic+Sens!G12585+sbc_r)</f>
        <v>34.819657317048</v>
      </c>
      <c r="H12587" s="6" t="n">
        <f aca="false">Seg!H42*(al_lic+Sens!H12585+sbc_r)</f>
        <v>36.0229106304815</v>
      </c>
      <c r="I12587" s="6" t="n">
        <f aca="false">Seg!I42*(al_lic+Sens!I12585+sbc_r)</f>
        <v>37.1234854794919</v>
      </c>
      <c r="J12587" s="6" t="n">
        <f aca="false">Seg!J42*(al_lic+Sens!J12585+sbc_r)</f>
        <v>38.0950592345738</v>
      </c>
      <c r="K12587" s="6" t="n">
        <f aca="false">Seg!K42*(al_lic+Sens!K12585+sbc_r)</f>
        <v>38.9080719459809</v>
      </c>
    </row>
    <row r="12588" customFormat="false" ht="17.15" hidden="false" customHeight="false" outlineLevel="0" collapsed="false">
      <c r="A12588" s="0" t="s">
        <v>1074</v>
      </c>
      <c r="B12588" s="0" t="s">
        <v>98</v>
      </c>
      <c r="F12588" s="6" t="n">
        <f aca="false">Seg!F44*(al_ind+Sens!F12585+sbc_r)</f>
        <v>9.12666918765551</v>
      </c>
      <c r="G12588" s="6" t="n">
        <f aca="false">Seg!G44*(al_ind+Sens!G12585+sbc_r)</f>
        <v>9.89694850970116</v>
      </c>
      <c r="H12588" s="6" t="n">
        <f aca="false">Seg!H44*(al_ind+Sens!H12585+sbc_r)</f>
        <v>10.7131335152527</v>
      </c>
      <c r="I12588" s="6" t="n">
        <f aca="false">Seg!I44*(al_ind+Sens!I12585+sbc_r)</f>
        <v>11.5721730864119</v>
      </c>
      <c r="J12588" s="6" t="n">
        <f aca="false">Seg!J44*(al_ind+Sens!J12585+sbc_r)</f>
        <v>12.4641697526801</v>
      </c>
      <c r="K12588" s="6" t="n">
        <f aca="false">Seg!K44*(al_ind+Sens!K12585+sbc_r)</f>
        <v>13.3737871892836</v>
      </c>
    </row>
    <row r="12589" customFormat="false" ht="17.15" hidden="false" customHeight="false" outlineLevel="0" collapsed="false">
      <c r="A12589" s="0" t="s">
        <v>1075</v>
      </c>
      <c r="B12589" s="0" t="s">
        <v>98</v>
      </c>
      <c r="F12589" s="6" t="n">
        <f aca="false">Seg!F46*(al_fro+Sens!F12585+sbc_r)</f>
        <v>3.5922890341799</v>
      </c>
      <c r="G12589" s="6" t="n">
        <f aca="false">Seg!G46*(al_fro+Sens!G12585+sbc_r)</f>
        <v>3.79984310356763</v>
      </c>
      <c r="H12589" s="6" t="n">
        <f aca="false">Seg!H46*(al_fro+Sens!H12585+sbc_r)</f>
        <v>4.03707539290126</v>
      </c>
      <c r="I12589" s="6" t="n">
        <f aca="false">Seg!I46*(al_fro+Sens!I12585+sbc_r)</f>
        <v>4.30669184104541</v>
      </c>
      <c r="J12589" s="6" t="n">
        <f aca="false">Seg!J46*(al_fro+Sens!J12585+sbc_r)</f>
        <v>4.6097289716959</v>
      </c>
      <c r="K12589" s="6" t="n">
        <f aca="false">Seg!K46*(al_fro+Sens!K12585+sbc_r)</f>
        <v>4.94614045628512</v>
      </c>
    </row>
    <row r="12590" customFormat="false" ht="17.15" hidden="false" customHeight="false" outlineLevel="0" collapsed="false">
      <c r="A12590" s="0" t="s">
        <v>1076</v>
      </c>
      <c r="B12590" s="0" t="s">
        <v>98</v>
      </c>
      <c r="F12590" s="6" t="n">
        <f aca="false">Seg!F49*(al_srch+Sens!F12585+sbc_r)</f>
        <v>11.2715683093452</v>
      </c>
      <c r="G12590" s="6" t="n">
        <f aca="false">Seg!G49*(al_srch+Sens!G12585+sbc_r)</f>
        <v>12.338201972554</v>
      </c>
      <c r="H12590" s="6" t="n">
        <f aca="false">Seg!H49*(al_srch+Sens!H12585+sbc_r)</f>
        <v>13.450727865064</v>
      </c>
      <c r="I12590" s="6" t="n">
        <f aca="false">Seg!I49*(al_srch+Sens!I12585+sbc_r)</f>
        <v>14.598560682534</v>
      </c>
      <c r="J12590" s="6" t="n">
        <f aca="false">Seg!J49*(al_srch+Sens!J12585+sbc_r)</f>
        <v>15.7615229152659</v>
      </c>
      <c r="K12590" s="6" t="n">
        <f aca="false">Seg!K49*(al_srch+Sens!K12585+sbc_r)</f>
        <v>16.9117765106222</v>
      </c>
    </row>
    <row r="12591" customFormat="false" ht="17.15" hidden="false" customHeight="false" outlineLevel="0" collapsed="false">
      <c r="A12591" s="0" t="s">
        <v>1077</v>
      </c>
      <c r="B12591" s="0" t="s">
        <v>98</v>
      </c>
      <c r="F12591" s="6" t="n">
        <f aca="false">Thesis!F78-Thesis!F79+Thesis!F93</f>
        <v>42.2254306726393</v>
      </c>
      <c r="G12591" s="6" t="n">
        <f aca="false">Thesis!G78-Thesis!G79+Thesis!G93</f>
        <v>79.7027537443441</v>
      </c>
      <c r="H12591" s="6" t="n">
        <f aca="false">Thesis!H78-Thesis!H79+Thesis!H93</f>
        <v>120.060533679822</v>
      </c>
      <c r="I12591" s="6" t="n">
        <f aca="false">Thesis!I78-Thesis!I79+Thesis!I93</f>
        <v>156.515256506302</v>
      </c>
      <c r="J12591" s="6" t="n">
        <f aca="false">Thesis!J78-Thesis!J79+Thesis!J93</f>
        <v>182.51821819491</v>
      </c>
      <c r="K12591" s="6" t="n">
        <f aca="false">Thesis!K78-Thesis!K79+Thesis!K93</f>
        <v>199.254533496123</v>
      </c>
    </row>
    <row r="12592" customFormat="false" ht="17.15" hidden="false" customHeight="false" outlineLevel="0" collapsed="false">
      <c r="A12592" s="0" t="s">
        <v>1078</v>
      </c>
      <c r="B12592" s="0" t="s">
        <v>98</v>
      </c>
      <c r="F12592" s="6" t="n">
        <f aca="false">PL!F71+Thesis!F93+Thesis!F89+Sens!F12585*(Seg!F48-Thesis!F72)+sbc_r*Seg!F48</f>
        <v>233.08249657256</v>
      </c>
      <c r="G12592" s="6" t="n">
        <f aca="false">PL!G71+Thesis!G93+Thesis!G89+Sens!G12585*(Seg!G48-Thesis!G72)+sbc_r*Seg!G48</f>
        <v>297.663189032606</v>
      </c>
      <c r="H12592" s="6" t="n">
        <f aca="false">PL!H71+Thesis!H93+Thesis!H89+Sens!H12585*(Seg!H48-Thesis!H72)+sbc_r*Seg!H48</f>
        <v>365.628165851855</v>
      </c>
      <c r="I12592" s="6" t="n">
        <f aca="false">PL!I71+Thesis!I93+Thesis!I89+Sens!I12585*(Seg!I48-Thesis!I72)+sbc_r*Seg!I48</f>
        <v>428.31888397841</v>
      </c>
      <c r="J12592" s="6" t="n">
        <f aca="false">PL!J71+Thesis!J93+Thesis!J89+Sens!J12585*(Seg!J48-Thesis!J72)+sbc_r*Seg!J48</f>
        <v>478.127348640143</v>
      </c>
      <c r="K12592" s="6" t="n">
        <f aca="false">PL!K71+Thesis!K93+Thesis!K89+Sens!K12585*(Seg!K48-Thesis!K72)+sbc_r*Seg!K48</f>
        <v>516.321726855748</v>
      </c>
    </row>
    <row r="12593" customFormat="false" ht="17.15" hidden="false" customHeight="false" outlineLevel="0" collapsed="false">
      <c r="A12593" s="0" t="s">
        <v>1079</v>
      </c>
      <c r="B12593" s="0" t="s">
        <v>98</v>
      </c>
      <c r="F12593" s="6" t="n">
        <f aca="false">Sens!F12592-Sens!F12586-Sens!F12587-Sens!F12588-Sens!F12589-Sens!F12591</f>
        <v>60.4036641206917</v>
      </c>
      <c r="G12593" s="6" t="n">
        <f aca="false">Sens!G12592-Sens!G12586-Sens!G12587-Sens!G12588-Sens!G12589-Sens!G12591</f>
        <v>72.8330768126549</v>
      </c>
      <c r="H12593" s="6" t="n">
        <f aca="false">Sens!H12592-Sens!H12586-Sens!H12587-Sens!H12588-Sens!H12589-Sens!H12591</f>
        <v>85.6117986488275</v>
      </c>
      <c r="I12593" s="6" t="n">
        <f aca="false">Sens!I12592-Sens!I12586-Sens!I12587-Sens!I12588-Sens!I12589-Sens!I12591</f>
        <v>98.0649544735462</v>
      </c>
      <c r="J12593" s="6" t="n">
        <f aca="false">Sens!J12592-Sens!J12586-Sens!J12587-Sens!J12588-Sens!J12589-Sens!J12591</f>
        <v>109.355611331638</v>
      </c>
      <c r="K12593" s="6" t="n">
        <f aca="false">Sens!K12592-Sens!K12586-Sens!K12587-Sens!K12588-Sens!K12589-Sens!K12591</f>
        <v>118.794986207857</v>
      </c>
    </row>
    <row r="12594" customFormat="false" ht="17.15" hidden="false" customHeight="false" outlineLevel="0" collapsed="false">
      <c r="A12594" s="0" t="s">
        <v>1080</v>
      </c>
      <c r="B12594" s="0" t="s">
        <v>98</v>
      </c>
      <c r="F12594" s="6" t="n">
        <f aca="false">PL!F73+Sens!F12585*Seg!F55+sbc_r*Seg!F55</f>
        <v>26.345087006484</v>
      </c>
      <c r="G12594" s="6" t="n">
        <f aca="false">PL!G73+Sens!G12585*Seg!G55+sbc_r*Seg!G55</f>
        <v>26.928666241387</v>
      </c>
      <c r="H12594" s="6" t="n">
        <f aca="false">PL!H73+Sens!H12585*Seg!H55+sbc_r*Seg!H55</f>
        <v>27.7857977299272</v>
      </c>
      <c r="I12594" s="6" t="n">
        <f aca="false">PL!I73+Sens!I12585*Seg!I55+sbc_r*Seg!I55</f>
        <v>28.8854111921819</v>
      </c>
      <c r="J12594" s="6" t="n">
        <f aca="false">PL!J73+Sens!J12585*Seg!J55+sbc_r*Seg!J55</f>
        <v>30.1909525075627</v>
      </c>
      <c r="K12594" s="6" t="n">
        <f aca="false">PL!K73+Sens!K12585*Seg!K55+sbc_r*Seg!K55</f>
        <v>31.6641663414168</v>
      </c>
    </row>
    <row r="12595" customFormat="false" ht="17.15" hidden="false" customHeight="false" outlineLevel="0" collapsed="false">
      <c r="A12595" s="0" t="s">
        <v>1081</v>
      </c>
      <c r="B12595" s="0" t="s">
        <v>98</v>
      </c>
      <c r="F12595" s="6" t="n">
        <f aca="false">(Sens!F12594-Sens!F12590)*Seg!F51/(Seg!F51+Seg!F53)</f>
        <v>8.26315613582677</v>
      </c>
      <c r="G12595" s="6" t="n">
        <f aca="false">(Sens!G12594-Sens!G12590)*Seg!G51/(Seg!G51+Seg!G53)</f>
        <v>7.85574031810689</v>
      </c>
      <c r="H12595" s="6" t="n">
        <f aca="false">(Sens!H12594-Sens!H12590)*Seg!H51/(Seg!H51+Seg!H53)</f>
        <v>7.61397145487838</v>
      </c>
      <c r="I12595" s="6" t="n">
        <f aca="false">(Sens!I12594-Sens!I12590)*Seg!I51/(Seg!I51+Seg!I53)</f>
        <v>7.51970050510933</v>
      </c>
      <c r="J12595" s="6" t="n">
        <f aca="false">(Sens!J12594-Sens!J12590)*Seg!J51/(Seg!J51+Seg!J53)</f>
        <v>7.56040201890202</v>
      </c>
      <c r="K12595" s="6" t="n">
        <f aca="false">(Sens!K12594-Sens!K12590)*Seg!K51/(Seg!K51+Seg!K53)</f>
        <v>7.72961932742727</v>
      </c>
    </row>
    <row r="12596" customFormat="false" ht="17.15" hidden="false" customHeight="false" outlineLevel="0" collapsed="false">
      <c r="A12596" s="0" t="s">
        <v>1082</v>
      </c>
      <c r="B12596" s="0" t="s">
        <v>98</v>
      </c>
      <c r="F12596" s="6" t="n">
        <f aca="false">Sens!F12594-Sens!F12590-Sens!F12595</f>
        <v>6.81036256131213</v>
      </c>
      <c r="G12596" s="6" t="n">
        <f aca="false">Sens!G12594-Sens!G12590-Sens!G12595</f>
        <v>6.73472395072608</v>
      </c>
      <c r="H12596" s="6" t="n">
        <f aca="false">Sens!H12594-Sens!H12590-Sens!H12595</f>
        <v>6.72109840998485</v>
      </c>
      <c r="I12596" s="6" t="n">
        <f aca="false">Sens!I12594-Sens!I12590-Sens!I12595</f>
        <v>6.76715000453853</v>
      </c>
      <c r="J12596" s="6" t="n">
        <f aca="false">Sens!J12594-Sens!J12590-Sens!J12595</f>
        <v>6.86902757339483</v>
      </c>
      <c r="K12596" s="6" t="n">
        <f aca="false">Sens!K12594-Sens!K12590-Sens!K12595</f>
        <v>7.02277050336727</v>
      </c>
    </row>
    <row r="12597" customFormat="false" ht="17.15" hidden="false" customHeight="false" outlineLevel="0" collapsed="false">
      <c r="A12597" s="0" t="s">
        <v>1083</v>
      </c>
      <c r="B12597" s="0" t="s">
        <v>98</v>
      </c>
      <c r="F12597" s="6" t="n">
        <f aca="false">Sens!F12591-tax_f*(Sens!F12591-Thesis!F89)-Thesis!F86</f>
        <v>-119.742553857164</v>
      </c>
      <c r="G12597" s="6" t="n">
        <f aca="false">Sens!G12591-tax_f*(Sens!G12591-Thesis!G89)-Thesis!G86</f>
        <v>-107.986890065622</v>
      </c>
      <c r="H12597" s="6" t="n">
        <f aca="false">Sens!H12591-tax_f*(Sens!H12591-Thesis!H89)-Thesis!H86</f>
        <v>-74.7596549978803</v>
      </c>
      <c r="I12597" s="6" t="n">
        <f aca="false">Sens!I12591-tax_f*(Sens!I12591-Thesis!I89)-Thesis!I86</f>
        <v>-16.3733151827256</v>
      </c>
      <c r="J12597" s="6" t="n">
        <f aca="false">Sens!J12591-tax_f*(Sens!J12591-Thesis!J89)-Thesis!J86</f>
        <v>44.4328025322546</v>
      </c>
      <c r="K12597" s="6" t="n">
        <f aca="false">Sens!K12591-tax_f*(Sens!K12591-Thesis!K89)-Thesis!K86</f>
        <v>65.8225043021697</v>
      </c>
    </row>
    <row r="12598" customFormat="false" ht="17.15" hidden="false" customHeight="false" outlineLevel="0" collapsed="false">
      <c r="A12598" s="0" t="s">
        <v>1084</v>
      </c>
      <c r="B12598" s="0" t="s">
        <v>98</v>
      </c>
      <c r="G12598" s="6" t="n">
        <f aca="false">Sens!G12597/(1+wacc)^(Sens!G12570-(Sens!F12570+mid_yr))</f>
        <v>-102.824401157048</v>
      </c>
      <c r="H12598" s="6" t="n">
        <f aca="false">Sens!H12597/(1+wacc)^(Sens!H12570-(Sens!F12570+mid_yr))</f>
        <v>-64.5420496499019</v>
      </c>
      <c r="I12598" s="6" t="n">
        <f aca="false">Sens!I12597/(1+wacc)^(Sens!I12570-(Sens!F12570+mid_yr))</f>
        <v>-12.8162920786843</v>
      </c>
      <c r="J12598" s="6" t="n">
        <f aca="false">Sens!J12597/(1+wacc)^(Sens!J12570-(Sens!F12570+mid_yr))</f>
        <v>31.5340528088578</v>
      </c>
      <c r="K12598" s="6" t="n">
        <f aca="false">Sens!K12597/(1+wacc)^(Sens!K12570-(Sens!F12570+mid_yr))</f>
        <v>42.3546205488157</v>
      </c>
      <c r="L12598" s="1" t="s">
        <v>1085</v>
      </c>
    </row>
    <row r="12599" customFormat="false" ht="17.15" hidden="false" customHeight="false" outlineLevel="0" collapsed="false">
      <c r="A12599" s="0" t="s">
        <v>1086</v>
      </c>
      <c r="B12599" s="0" t="s">
        <v>98</v>
      </c>
      <c r="C12599" s="6" t="n">
        <f aca="false">(Sens!K12591-Thesis!K89)*(1-tax_f)*(1+g_tv_lo)*(1-g_tv_lo/(wacc+ronic_prem))/(wacc-g_tv_lo)/(1+wacc)^(Sens!K12570+mid_yr-(Sens!F12570+mid_yr))</f>
        <v>292.026477301109</v>
      </c>
    </row>
    <row r="12600" customFormat="false" ht="17.15" hidden="false" customHeight="false" outlineLevel="0" collapsed="false">
      <c r="A12600" s="1" t="s">
        <v>1087</v>
      </c>
      <c r="B12600" s="0" t="s">
        <v>98</v>
      </c>
      <c r="C12600" s="6" t="n">
        <f aca="false">(SUM(Sens!G12598:K12598)+Sens!$C$12599)*(1+wacc)^(t_roll-(Sens!F12570+mid_yr))</f>
        <v>191.760897470663</v>
      </c>
      <c r="L12600" s="11" t="s">
        <v>1088</v>
      </c>
    </row>
    <row r="12601" customFormat="false" ht="17.15" hidden="false" customHeight="false" outlineLevel="0" collapsed="false">
      <c r="A12601" s="1" t="s">
        <v>1089</v>
      </c>
      <c r="B12601" s="0" t="s">
        <v>98</v>
      </c>
      <c r="C12601" s="6" t="n">
        <f aca="false">(w_ntm28*Thesis!G78+(1-w_ntm28)*Thesis!H78)*m_ai</f>
        <v>454.922440830797</v>
      </c>
    </row>
    <row r="12602" customFormat="false" ht="17.15" hidden="false" customHeight="false" outlineLevel="0" collapsed="false">
      <c r="A12602" s="1" t="s">
        <v>1090</v>
      </c>
      <c r="B12602" s="0" t="s">
        <v>98</v>
      </c>
      <c r="C12602" s="6" t="n">
        <f aca="false">(w_ntm28*Sens!G12593+(1-w_ntm28)*Sens!H12593)*m_cloud</f>
        <v>1063.6463501031</v>
      </c>
    </row>
    <row r="12603" customFormat="false" ht="17.15" hidden="false" customHeight="false" outlineLevel="0" collapsed="false">
      <c r="A12603" s="1" t="s">
        <v>1091</v>
      </c>
      <c r="B12603" s="0" t="s">
        <v>98</v>
      </c>
      <c r="C12603" s="6" t="n">
        <f aca="false">(w_ntm28*Sens!G12586+(1-w_ntm28)*Sens!H12586)*m_sw</f>
        <v>1087.29236439713</v>
      </c>
    </row>
    <row r="12604" customFormat="false" ht="17.15" hidden="false" customHeight="false" outlineLevel="0" collapsed="false">
      <c r="A12604" s="1" t="s">
        <v>1092</v>
      </c>
      <c r="B12604" s="0" t="s">
        <v>98</v>
      </c>
      <c r="C12604" s="6" t="n">
        <f aca="false">(w_ntm28*Sens!G12587+(1-w_ntm28)*Sens!H12587)*m_sw</f>
        <v>380.253466209432</v>
      </c>
    </row>
    <row r="12605" customFormat="false" ht="17.15" hidden="false" customHeight="false" outlineLevel="0" collapsed="false">
      <c r="A12605" s="1" t="s">
        <v>1093</v>
      </c>
      <c r="B12605" s="0" t="s">
        <v>98</v>
      </c>
      <c r="C12605" s="6" t="n">
        <f aca="false">(w_ntm28*Sens!G12588+(1-w_ntm28)*Sens!H12588)*m_sw</f>
        <v>109.736759441964</v>
      </c>
    </row>
    <row r="12606" customFormat="false" ht="17.15" hidden="false" customHeight="false" outlineLevel="0" collapsed="false">
      <c r="A12606" s="1" t="s">
        <v>1094</v>
      </c>
      <c r="B12606" s="0" t="s">
        <v>98</v>
      </c>
      <c r="C12606" s="6" t="n">
        <f aca="false">(w_ntm28*Sens!G12589+(1-w_ntm28)*Sens!H12589)*m_sw</f>
        <v>41.8666036816175</v>
      </c>
    </row>
    <row r="12607" customFormat="false" ht="17.15" hidden="false" customHeight="false" outlineLevel="0" collapsed="false">
      <c r="A12607" s="1" t="s">
        <v>1095</v>
      </c>
      <c r="B12607" s="0" t="s">
        <v>98</v>
      </c>
      <c r="C12607" s="6" t="n">
        <f aca="false">(w_ntm28*Sens!G12590+(1-w_ntm28)*Sens!H12590)*m_ads</f>
        <v>115.677576364297</v>
      </c>
    </row>
    <row r="12608" customFormat="false" ht="17.15" hidden="false" customHeight="false" outlineLevel="0" collapsed="false">
      <c r="A12608" s="1" t="s">
        <v>1096</v>
      </c>
      <c r="B12608" s="0" t="s">
        <v>98</v>
      </c>
      <c r="C12608" s="6" t="n">
        <f aca="false">(w_ntm28*Sens!G12595+(1-w_ntm28)*Sens!H12595)*m_game</f>
        <v>98.230828142008</v>
      </c>
    </row>
    <row r="12609" customFormat="false" ht="17.15" hidden="false" customHeight="false" outlineLevel="0" collapsed="false">
      <c r="A12609" s="1" t="s">
        <v>1097</v>
      </c>
      <c r="B12609" s="0" t="s">
        <v>98</v>
      </c>
      <c r="C12609" s="6" t="n">
        <f aca="false">(w_ntm28*Sens!G12596+(1-w_ntm28)*Sens!H12596)*m_pc</f>
        <v>97.3877156607214</v>
      </c>
    </row>
    <row r="12610" customFormat="false" ht="17.15" hidden="false" customHeight="false" outlineLevel="0" collapsed="false">
      <c r="A12610" s="1" t="s">
        <v>1098</v>
      </c>
      <c r="B12610" s="0" t="s">
        <v>98</v>
      </c>
      <c r="C12610" s="6" t="n">
        <f aca="false">Sens!$C$12600+Sens!$C$12602+Sens!$C$12603+Sens!$C$12604+Sens!$C$12605+Sens!$C$12606+Sens!$C$12607+Sens!$C$12608+Sens!$C$12609</f>
        <v>3185.85256147093</v>
      </c>
    </row>
    <row r="12611" customFormat="false" ht="17.15" hidden="false" customHeight="false" outlineLevel="0" collapsed="false">
      <c r="A12611" s="1" t="s">
        <v>1099</v>
      </c>
      <c r="B12611" s="0" t="s">
        <v>98</v>
      </c>
      <c r="C12611" s="6" t="n">
        <f aca="false">(Sens!G12572-Sens!G12597)*t_stub</f>
        <v>47.417684594531</v>
      </c>
      <c r="L12611" s="1" t="s">
        <v>1100</v>
      </c>
    </row>
    <row r="12612" customFormat="false" ht="17.15" hidden="false" customHeight="false" outlineLevel="0" collapsed="false">
      <c r="A12612" s="1" t="s">
        <v>1014</v>
      </c>
      <c r="B12612" s="0" t="s">
        <v>98</v>
      </c>
      <c r="C12612" s="6" t="n">
        <f aca="false">CF!F69+oai_v-CF!F58+Sens!$C$12611</f>
        <v>158.699306060314</v>
      </c>
      <c r="L12612" s="1" t="s">
        <v>1101</v>
      </c>
    </row>
    <row r="12613" customFormat="false" ht="17.15" hidden="false" customHeight="false" outlineLevel="0" collapsed="false">
      <c r="A12613" s="1" t="s">
        <v>1102</v>
      </c>
      <c r="B12613" s="0" t="s">
        <v>75</v>
      </c>
      <c r="C12613" s="5" t="n">
        <f aca="false">(Sens!$C$12610+Sens!$C$12612)/(CF!F71+dil_gap)-CF!G61*roll_div_q/q_per_yr</f>
        <v>445.138710716549</v>
      </c>
      <c r="L12613" s="1" t="s">
        <v>1103</v>
      </c>
    </row>
    <row r="12614" customFormat="false" ht="17.15" hidden="false" customHeight="false" outlineLevel="0" collapsed="false">
      <c r="A12614" s="1" t="s">
        <v>1104</v>
      </c>
      <c r="B12614" s="0" t="s">
        <v>75</v>
      </c>
      <c r="C12614" s="5" t="n">
        <f aca="false">w_dcf*Sens!$C$12584+(1-w_dcf)*Sens!$C$12613</f>
        <v>386.172556474721</v>
      </c>
    </row>
    <row r="12615" customFormat="false" ht="17.15" hidden="false" customHeight="false" outlineLevel="0" collapsed="false">
      <c r="A12615" s="3" t="s">
        <v>1585</v>
      </c>
    </row>
    <row r="12616" customFormat="false" ht="15" hidden="false" customHeight="false" outlineLevel="0" collapsed="false">
      <c r="A12616" s="4" t="s">
        <v>43</v>
      </c>
      <c r="B12616" s="4" t="s">
        <v>65</v>
      </c>
      <c r="C12616" s="20" t="s">
        <v>799</v>
      </c>
      <c r="D12616" s="20" t="s">
        <v>800</v>
      </c>
      <c r="E12616" s="20" t="s">
        <v>801</v>
      </c>
      <c r="F12616" s="20" t="s">
        <v>802</v>
      </c>
      <c r="G12616" s="20" t="s">
        <v>803</v>
      </c>
      <c r="H12616" s="20" t="s">
        <v>804</v>
      </c>
      <c r="I12616" s="20" t="s">
        <v>805</v>
      </c>
      <c r="J12616" s="20" t="s">
        <v>806</v>
      </c>
      <c r="K12616" s="20" t="s">
        <v>807</v>
      </c>
      <c r="L12616" s="4" t="s">
        <v>47</v>
      </c>
    </row>
    <row r="12617" customFormat="false" ht="15" hidden="false" customHeight="false" outlineLevel="0" collapsed="false">
      <c r="A12617" s="1" t="s">
        <v>1057</v>
      </c>
      <c r="B12617" s="1" t="s">
        <v>235</v>
      </c>
      <c r="F12617" s="36" t="n">
        <f aca="false">Thesis!F104-base_fy-mid_yr</f>
        <v>0.5</v>
      </c>
      <c r="G12617" s="36" t="n">
        <f aca="false">Thesis!G104-base_fy-mid_yr</f>
        <v>1.5</v>
      </c>
      <c r="H12617" s="36" t="n">
        <f aca="false">Thesis!H104-base_fy-mid_yr</f>
        <v>2.5</v>
      </c>
      <c r="I12617" s="36" t="n">
        <f aca="false">Thesis!I104-base_fy-mid_yr</f>
        <v>3.5</v>
      </c>
      <c r="J12617" s="36" t="n">
        <f aca="false">Thesis!J104-base_fy-mid_yr</f>
        <v>4.5</v>
      </c>
      <c r="K12617" s="36" t="n">
        <f aca="false">Thesis!K104-base_fy-mid_yr</f>
        <v>5.5</v>
      </c>
    </row>
    <row r="12618" customFormat="false" ht="15" hidden="false" customHeight="false" outlineLevel="0" collapsed="false">
      <c r="A12618" s="1" t="s">
        <v>1058</v>
      </c>
      <c r="B12618" s="0" t="s">
        <v>185</v>
      </c>
      <c r="F12618" s="14" t="n">
        <f aca="false">1/(1+wacc)^Sens!F12617</f>
        <v>0.952193373608246</v>
      </c>
      <c r="G12618" s="14" t="n">
        <f aca="false">1/(1+wacc)^Sens!G12617</f>
        <v>0.863327280626589</v>
      </c>
      <c r="H12618" s="14" t="n">
        <f aca="false">1/(1+wacc)^Sens!H12617</f>
        <v>0.782754862754115</v>
      </c>
      <c r="I12618" s="14" t="n">
        <f aca="false">1/(1+wacc)^Sens!I12617</f>
        <v>0.709702089711011</v>
      </c>
      <c r="J12618" s="14" t="n">
        <f aca="false">1/(1+wacc)^Sens!J12617</f>
        <v>0.643467169744551</v>
      </c>
      <c r="K12618" s="14" t="n">
        <f aca="false">1/(1+wacc)^Sens!K12617</f>
        <v>0.583413807767797</v>
      </c>
    </row>
    <row r="12619" customFormat="false" ht="17.15" hidden="false" customHeight="false" outlineLevel="0" collapsed="false">
      <c r="A12619" s="1" t="s">
        <v>1059</v>
      </c>
      <c r="B12619" s="0" t="s">
        <v>98</v>
      </c>
      <c r="F12619" s="6" t="n">
        <f aca="false">CF!F84-CF!F82-CF!F88+Thesis!F142*(1-tax_f)</f>
        <v>-5.66283879850096</v>
      </c>
      <c r="G12619" s="6" t="n">
        <f aca="false">CF!G84-CF!G82-CF!G88+Thesis!G142*(1-tax_f)</f>
        <v>26.4063013109088</v>
      </c>
      <c r="H12619" s="6" t="n">
        <f aca="false">CF!H84-CF!H82-CF!H88+Thesis!H142*(1-tax_f)</f>
        <v>62.5616635009479</v>
      </c>
      <c r="I12619" s="6" t="n">
        <f aca="false">CF!I84-CF!I82-CF!I88+Thesis!I142*(1-tax_f)</f>
        <v>129.900993846266</v>
      </c>
      <c r="J12619" s="6" t="n">
        <f aca="false">CF!J84-CF!J82-CF!J88+Thesis!J142*(1-tax_f)</f>
        <v>200.497803796175</v>
      </c>
      <c r="K12619" s="6" t="n">
        <f aca="false">CF!K84-CF!K82-CF!K88+Thesis!K142*(1-tax_f)</f>
        <v>232.344395761849</v>
      </c>
      <c r="L12619" s="1" t="s">
        <v>1060</v>
      </c>
    </row>
    <row r="12620" customFormat="false" ht="15" hidden="false" customHeight="false" outlineLevel="0" collapsed="false">
      <c r="A12620" s="1" t="s">
        <v>1061</v>
      </c>
      <c r="B12620" s="0" t="s">
        <v>98</v>
      </c>
      <c r="F12620" s="6" t="n">
        <f aca="false">Sens!F12619*Sens!F12618</f>
        <v>-5.3921175797443</v>
      </c>
      <c r="G12620" s="6" t="n">
        <f aca="false">Sens!G12619*Sens!G12618</f>
        <v>22.7972803021532</v>
      </c>
      <c r="H12620" s="6" t="n">
        <f aca="false">Sens!H12619*Sens!H12618</f>
        <v>48.9704463273536</v>
      </c>
      <c r="I12620" s="6" t="n">
        <f aca="false">Sens!I12619*Sens!I12618</f>
        <v>92.1910067882323</v>
      </c>
      <c r="J12620" s="6" t="n">
        <f aca="false">Sens!J12619*Sens!J12618</f>
        <v>129.013754348723</v>
      </c>
      <c r="K12620" s="6" t="n">
        <f aca="false">Sens!K12619*Sens!K12618</f>
        <v>135.552928644928</v>
      </c>
    </row>
    <row r="12621" customFormat="false" ht="17.15" hidden="false" customHeight="false" outlineLevel="0" collapsed="false">
      <c r="A12621" s="1" t="s">
        <v>1062</v>
      </c>
      <c r="B12621" s="0" t="s">
        <v>98</v>
      </c>
      <c r="C12621" s="6" t="n">
        <f aca="false">SUM(Sens!F12620:K12620)</f>
        <v>423.133298831646</v>
      </c>
    </row>
    <row r="12622" customFormat="false" ht="17.15" hidden="false" customHeight="false" outlineLevel="0" collapsed="false">
      <c r="A12622" s="1" t="s">
        <v>1063</v>
      </c>
      <c r="B12622" s="0" t="s">
        <v>98</v>
      </c>
      <c r="C12622" s="6" t="n">
        <f aca="false">PL!K117*(1+g_tv_lo)*(1-tax_f)</f>
        <v>244.195807723155</v>
      </c>
    </row>
    <row r="12623" customFormat="false" ht="17.15" hidden="false" customHeight="false" outlineLevel="0" collapsed="false">
      <c r="A12623" s="1" t="s">
        <v>1064</v>
      </c>
      <c r="B12623" s="0" t="s">
        <v>98</v>
      </c>
      <c r="C12623" s="6" t="n">
        <f aca="false">Sens!$C$12622*(1-g_tv_lo/(wacc+ronic_prem))</f>
        <v>196.748936695403</v>
      </c>
    </row>
    <row r="12624" customFormat="false" ht="17.15" hidden="false" customHeight="false" outlineLevel="0" collapsed="false">
      <c r="A12624" s="1" t="s">
        <v>1065</v>
      </c>
      <c r="B12624" s="0" t="s">
        <v>98</v>
      </c>
      <c r="C12624" s="6" t="n">
        <f aca="false">Sens!$C$12623/(wacc-g_tv_lo)</f>
        <v>2372.34355138759</v>
      </c>
    </row>
    <row r="12625" customFormat="false" ht="15" hidden="false" customHeight="false" outlineLevel="0" collapsed="false">
      <c r="A12625" s="1" t="s">
        <v>1066</v>
      </c>
      <c r="B12625" s="0" t="s">
        <v>98</v>
      </c>
      <c r="C12625" s="6" t="n">
        <f aca="false">Sens!$C$12624/(1+wacc)^(Sens!K12617+mid_yr)</f>
        <v>1317.8908416718</v>
      </c>
    </row>
    <row r="12626" customFormat="false" ht="17.15" hidden="false" customHeight="false" outlineLevel="0" collapsed="false">
      <c r="A12626" s="0" t="s">
        <v>986</v>
      </c>
      <c r="B12626" s="0" t="s">
        <v>98</v>
      </c>
      <c r="C12626" s="6" t="n">
        <f aca="false">Sens!$C$12621+Sens!$C$12625</f>
        <v>1741.02414050344</v>
      </c>
    </row>
    <row r="12627" customFormat="false" ht="15" hidden="false" customHeight="false" outlineLevel="0" collapsed="false">
      <c r="A12627" s="1" t="s">
        <v>987</v>
      </c>
      <c r="B12627" s="0" t="s">
        <v>129</v>
      </c>
      <c r="C12627" s="7" t="n">
        <f aca="false">Sens!$C$12625/Sens!$C$12626</f>
        <v>0.756962991501491</v>
      </c>
    </row>
    <row r="12628" customFormat="false" ht="17.15" hidden="false" customHeight="false" outlineLevel="0" collapsed="false">
      <c r="A12628" s="1" t="s">
        <v>1067</v>
      </c>
      <c r="B12628" s="0" t="s">
        <v>98</v>
      </c>
      <c r="C12628" s="6" t="n">
        <f aca="false">Sens!$C$12626+CF!E100-CF!E89+oai_v</f>
        <v>1875.53714050345</v>
      </c>
    </row>
    <row r="12629" customFormat="false" ht="17.15" hidden="false" customHeight="false" outlineLevel="0" collapsed="false">
      <c r="A12629" s="0" t="s">
        <v>994</v>
      </c>
      <c r="B12629" s="0" t="s">
        <v>75</v>
      </c>
      <c r="C12629" s="5" t="n">
        <f aca="false">Sens!$C$12628/sh_dil26</f>
        <v>251.64861673198</v>
      </c>
    </row>
    <row r="12630" customFormat="false" ht="15" hidden="false" customHeight="false" outlineLevel="0" collapsed="false">
      <c r="A12630" s="1" t="s">
        <v>1068</v>
      </c>
      <c r="B12630" s="0" t="s">
        <v>75</v>
      </c>
      <c r="C12630" s="8" t="n">
        <f aca="false">dps_27+CF!G92*roll_div_q/q_per_yr</f>
        <v>4.8895</v>
      </c>
    </row>
    <row r="12631" customFormat="false" ht="17.15" hidden="false" customHeight="false" outlineLevel="0" collapsed="false">
      <c r="A12631" s="0" t="s">
        <v>1069</v>
      </c>
      <c r="B12631" s="0" t="s">
        <v>75</v>
      </c>
      <c r="C12631" s="5" t="n">
        <f aca="false">Sens!$C$12629*(1+wacc)^t_roll-Sens!$C$12630</f>
        <v>281.671182300672</v>
      </c>
    </row>
    <row r="12632" customFormat="false" ht="17.15" hidden="false" customHeight="false" outlineLevel="0" collapsed="false">
      <c r="A12632" s="1" t="s">
        <v>1070</v>
      </c>
      <c r="B12632" s="0" t="s">
        <v>129</v>
      </c>
      <c r="F12632" s="7" t="n">
        <f aca="false">CF!F79/(Seg!F83-Thesis!F121)</f>
        <v>0.0711475516535717</v>
      </c>
      <c r="G12632" s="7" t="n">
        <f aca="false">CF!G79/(Seg!G83-Thesis!G121)</f>
        <v>0.0682588862083999</v>
      </c>
      <c r="H12632" s="7" t="n">
        <f aca="false">CF!H79/(Seg!H83-Thesis!H121)</f>
        <v>0.0666622170094897</v>
      </c>
      <c r="I12632" s="7" t="n">
        <f aca="false">CF!I79/(Seg!I83-Thesis!I121)</f>
        <v>0.0661991449367101</v>
      </c>
      <c r="J12632" s="7" t="n">
        <f aca="false">CF!J79/(Seg!J83-Thesis!J121)</f>
        <v>0.0666400583966394</v>
      </c>
      <c r="K12632" s="7" t="n">
        <f aca="false">CF!K79/(Seg!K83-Thesis!K121)</f>
        <v>0.0677351822588561</v>
      </c>
    </row>
    <row r="12633" customFormat="false" ht="17.15" hidden="false" customHeight="false" outlineLevel="0" collapsed="false">
      <c r="A12633" s="0" t="s">
        <v>1071</v>
      </c>
      <c r="B12633" s="0" t="s">
        <v>98</v>
      </c>
      <c r="F12633" s="6" t="n">
        <f aca="false">Seg!F68*(al_m365+Sens!F12632+sbc_r)</f>
        <v>83.1760446796226</v>
      </c>
      <c r="G12633" s="6" t="n">
        <f aca="false">Seg!G68*(al_m365+Sens!G12632+sbc_r)</f>
        <v>93.5286621744803</v>
      </c>
      <c r="H12633" s="6" t="n">
        <f aca="false">Seg!H68*(al_m365+Sens!H12632+sbc_r)</f>
        <v>104.041881899886</v>
      </c>
      <c r="I12633" s="6" t="n">
        <f aca="false">Seg!I68*(al_m365+Sens!I12632+sbc_r)</f>
        <v>114.039361049722</v>
      </c>
      <c r="J12633" s="6" t="n">
        <f aca="false">Seg!J68*(al_m365+Sens!J12632+sbc_r)</f>
        <v>123.332589690985</v>
      </c>
      <c r="K12633" s="6" t="n">
        <f aca="false">Seg!K68*(al_m365+Sens!K12632+sbc_r)</f>
        <v>132.229319216379</v>
      </c>
      <c r="L12633" s="11" t="s">
        <v>1072</v>
      </c>
    </row>
    <row r="12634" customFormat="false" ht="17.15" hidden="false" customHeight="false" outlineLevel="0" collapsed="false">
      <c r="A12634" s="0" t="s">
        <v>1073</v>
      </c>
      <c r="B12634" s="0" t="s">
        <v>98</v>
      </c>
      <c r="F12634" s="6" t="n">
        <f aca="false">Seg!F69*(al_lic+Sens!F12632+sbc_r)</f>
        <v>33.5445611735131</v>
      </c>
      <c r="G12634" s="6" t="n">
        <f aca="false">Seg!G69*(al_lic+Sens!G12632+sbc_r)</f>
        <v>34.8473362891936</v>
      </c>
      <c r="H12634" s="6" t="n">
        <f aca="false">Seg!H69*(al_lic+Sens!H12632+sbc_r)</f>
        <v>36.0608450618725</v>
      </c>
      <c r="I12634" s="6" t="n">
        <f aca="false">Seg!I69*(al_lic+Sens!I12632+sbc_r)</f>
        <v>37.1647768367666</v>
      </c>
      <c r="J12634" s="6" t="n">
        <f aca="false">Seg!J69*(al_lic+Sens!J12632+sbc_r)</f>
        <v>38.1353659513221</v>
      </c>
      <c r="K12634" s="6" t="n">
        <f aca="false">Seg!K69*(al_lic+Sens!K12632+sbc_r)</f>
        <v>38.9479527536449</v>
      </c>
    </row>
    <row r="12635" customFormat="false" ht="17.15" hidden="false" customHeight="false" outlineLevel="0" collapsed="false">
      <c r="A12635" s="0" t="s">
        <v>1074</v>
      </c>
      <c r="B12635" s="0" t="s">
        <v>98</v>
      </c>
      <c r="F12635" s="6" t="n">
        <f aca="false">Seg!F71*(al_ind+Sens!F12632+sbc_r)</f>
        <v>9.13359830063899</v>
      </c>
      <c r="G12635" s="6" t="n">
        <f aca="false">Seg!G71*(al_ind+Sens!G12632+sbc_r)</f>
        <v>9.91355811855172</v>
      </c>
      <c r="H12635" s="6" t="n">
        <f aca="false">Seg!H71*(al_ind+Sens!H12632+sbc_r)</f>
        <v>10.737007894057</v>
      </c>
      <c r="I12635" s="6" t="n">
        <f aca="false">Seg!I71*(al_ind+Sens!I12632+sbc_r)</f>
        <v>11.5994300763088</v>
      </c>
      <c r="J12635" s="6" t="n">
        <f aca="false">Seg!J71*(al_ind+Sens!J12632+sbc_r)</f>
        <v>12.4920789859702</v>
      </c>
      <c r="K12635" s="6" t="n">
        <f aca="false">Seg!K71*(al_ind+Sens!K12632+sbc_r)</f>
        <v>13.4027551573777</v>
      </c>
    </row>
    <row r="12636" customFormat="false" ht="17.15" hidden="false" customHeight="false" outlineLevel="0" collapsed="false">
      <c r="A12636" s="0" t="s">
        <v>1075</v>
      </c>
      <c r="B12636" s="0" t="s">
        <v>98</v>
      </c>
      <c r="F12636" s="6" t="n">
        <f aca="false">Seg!F73*(al_fro+Sens!F12632+sbc_r)</f>
        <v>3.59501635737694</v>
      </c>
      <c r="G12636" s="6" t="n">
        <f aca="false">Seg!G73*(al_fro+Sens!G12632+sbc_r)</f>
        <v>3.80622021137838</v>
      </c>
      <c r="H12636" s="6" t="n">
        <f aca="false">Seg!H73*(al_fro+Sens!H12632+sbc_r)</f>
        <v>4.04607207599632</v>
      </c>
      <c r="I12636" s="6" t="n">
        <f aca="false">Seg!I73*(al_fro+Sens!I12632+sbc_r)</f>
        <v>4.31683578333903</v>
      </c>
      <c r="J12636" s="6" t="n">
        <f aca="false">Seg!J73*(al_fro+Sens!J12632+sbc_r)</f>
        <v>4.62005087871645</v>
      </c>
      <c r="K12636" s="6" t="n">
        <f aca="false">Seg!K73*(al_fro+Sens!K12632+sbc_r)</f>
        <v>4.95685392412327</v>
      </c>
    </row>
    <row r="12637" customFormat="false" ht="17.15" hidden="false" customHeight="false" outlineLevel="0" collapsed="false">
      <c r="A12637" s="0" t="s">
        <v>1076</v>
      </c>
      <c r="B12637" s="0" t="s">
        <v>98</v>
      </c>
      <c r="F12637" s="6" t="n">
        <f aca="false">Seg!F76*(al_srch+Sens!F12632+sbc_r)</f>
        <v>11.2801258639919</v>
      </c>
      <c r="G12637" s="6" t="n">
        <f aca="false">Seg!G76*(al_srch+Sens!G12632+sbc_r)</f>
        <v>12.3589086285988</v>
      </c>
      <c r="H12637" s="6" t="n">
        <f aca="false">Seg!H76*(al_srch+Sens!H12632+sbc_r)</f>
        <v>13.4807030139583</v>
      </c>
      <c r="I12637" s="6" t="n">
        <f aca="false">Seg!I76*(al_srch+Sens!I12632+sbc_r)</f>
        <v>14.6329459978989</v>
      </c>
      <c r="J12637" s="6" t="n">
        <f aca="false">Seg!J76*(al_srch+Sens!J12632+sbc_r)</f>
        <v>15.7968154400613</v>
      </c>
      <c r="K12637" s="6" t="n">
        <f aca="false">Seg!K76*(al_srch+Sens!K12632+sbc_r)</f>
        <v>16.9484078548661</v>
      </c>
    </row>
    <row r="12638" customFormat="false" ht="17.15" hidden="false" customHeight="false" outlineLevel="0" collapsed="false">
      <c r="A12638" s="0" t="s">
        <v>1077</v>
      </c>
      <c r="B12638" s="0" t="s">
        <v>98</v>
      </c>
      <c r="F12638" s="6" t="n">
        <f aca="false">Thesis!F127-Thesis!F128+Thesis!F142</f>
        <v>38.6797715123049</v>
      </c>
      <c r="G12638" s="6" t="n">
        <f aca="false">Thesis!G127-Thesis!G128+Thesis!G142</f>
        <v>67.9698044367775</v>
      </c>
      <c r="H12638" s="6" t="n">
        <f aca="false">Thesis!H127-Thesis!H128+Thesis!H142</f>
        <v>94.4027386785771</v>
      </c>
      <c r="I12638" s="6" t="n">
        <f aca="false">Thesis!I127-Thesis!I128+Thesis!I142</f>
        <v>124.629799296032</v>
      </c>
      <c r="J12638" s="6" t="n">
        <f aca="false">Thesis!J127-Thesis!J128+Thesis!J142</f>
        <v>146.1886418102</v>
      </c>
      <c r="K12638" s="6" t="n">
        <f aca="false">Thesis!K127-Thesis!K128+Thesis!K142</f>
        <v>160.310017660072</v>
      </c>
    </row>
    <row r="12639" customFormat="false" ht="17.15" hidden="false" customHeight="false" outlineLevel="0" collapsed="false">
      <c r="A12639" s="0" t="s">
        <v>1078</v>
      </c>
      <c r="B12639" s="0" t="s">
        <v>98</v>
      </c>
      <c r="F12639" s="6" t="n">
        <f aca="false">PL!F110+Thesis!F142+Thesis!F138+Sens!F12632*(Seg!F75-Thesis!F121)+sbc_r*Seg!F75</f>
        <v>228.424576651163</v>
      </c>
      <c r="G12639" s="6" t="n">
        <f aca="false">PL!G110+Thesis!G142+Thesis!G138+Sens!G12632*(Seg!G75-Thesis!G121)+sbc_r*Seg!G75</f>
        <v>282.553934266667</v>
      </c>
      <c r="H12639" s="6" t="n">
        <f aca="false">PL!H110+Thesis!H142+Thesis!H138+Sens!H12632*(Seg!H75-Thesis!H121)+sbc_r*Seg!H75</f>
        <v>334.098428585803</v>
      </c>
      <c r="I12639" s="6" t="n">
        <f aca="false">PL!I110+Thesis!I142+Thesis!I138+Sens!I12632*(Seg!I75-Thesis!I121)+sbc_r*Seg!I75</f>
        <v>388.820980572235</v>
      </c>
      <c r="J12639" s="6" t="n">
        <f aca="false">PL!J110+Thesis!J142+Thesis!J138+Sens!J12632*(Seg!J75-Thesis!J121)+sbc_r*Seg!J75</f>
        <v>432.983845251655</v>
      </c>
      <c r="K12639" s="6" t="n">
        <f aca="false">PL!K110+Thesis!K142+Thesis!K138+Sens!K12632*(Seg!K75-Thesis!K121)+sbc_r*Seg!K75</f>
        <v>467.422879139155</v>
      </c>
    </row>
    <row r="12640" customFormat="false" ht="17.15" hidden="false" customHeight="false" outlineLevel="0" collapsed="false">
      <c r="A12640" s="0" t="s">
        <v>1079</v>
      </c>
      <c r="B12640" s="0" t="s">
        <v>98</v>
      </c>
      <c r="F12640" s="6" t="n">
        <f aca="false">Sens!F12639-Sens!F12633-Sens!F12634-Sens!F12635-Sens!F12636-Sens!F12638</f>
        <v>60.2955846277069</v>
      </c>
      <c r="G12640" s="6" t="n">
        <f aca="false">Sens!G12639-Sens!G12633-Sens!G12634-Sens!G12635-Sens!G12636-Sens!G12638</f>
        <v>72.4883530362854</v>
      </c>
      <c r="H12640" s="6" t="n">
        <f aca="false">Sens!H12639-Sens!H12633-Sens!H12634-Sens!H12635-Sens!H12636-Sens!H12638</f>
        <v>84.8098829754144</v>
      </c>
      <c r="I12640" s="6" t="n">
        <f aca="false">Sens!I12639-Sens!I12633-Sens!I12634-Sens!I12635-Sens!I12636-Sens!I12638</f>
        <v>97.0707775300671</v>
      </c>
      <c r="J12640" s="6" t="n">
        <f aca="false">Sens!J12639-Sens!J12633-Sens!J12634-Sens!J12635-Sens!J12636-Sens!J12638</f>
        <v>108.215117934462</v>
      </c>
      <c r="K12640" s="6" t="n">
        <f aca="false">Sens!K12639-Sens!K12633-Sens!K12634-Sens!K12635-Sens!K12636-Sens!K12638</f>
        <v>117.575980427559</v>
      </c>
    </row>
    <row r="12641" customFormat="false" ht="17.15" hidden="false" customHeight="false" outlineLevel="0" collapsed="false">
      <c r="A12641" s="0" t="s">
        <v>1080</v>
      </c>
      <c r="B12641" s="0" t="s">
        <v>98</v>
      </c>
      <c r="F12641" s="6" t="n">
        <f aca="false">PL!F112+Sens!F12632*Seg!F82+sbc_r*Seg!F82</f>
        <v>26.3652761595447</v>
      </c>
      <c r="G12641" s="6" t="n">
        <f aca="false">PL!G112+Sens!G12632*Seg!G82+sbc_r*Seg!G82</f>
        <v>26.9742866145486</v>
      </c>
      <c r="H12641" s="6" t="n">
        <f aca="false">PL!H112+Sens!H12632*Seg!H82+sbc_r*Seg!H82</f>
        <v>27.8483067679033</v>
      </c>
      <c r="I12641" s="6" t="n">
        <f aca="false">PL!I112+Sens!I12632*Seg!I82+sbc_r*Seg!I82</f>
        <v>28.9540944937551</v>
      </c>
      <c r="J12641" s="6" t="n">
        <f aca="false">PL!J112+Sens!J12632*Seg!J82+sbc_r*Seg!J82</f>
        <v>30.2591967501426</v>
      </c>
      <c r="K12641" s="6" t="n">
        <f aca="false">PL!K112+Sens!K12632*Seg!K82+sbc_r*Seg!K82</f>
        <v>31.7334012124467</v>
      </c>
    </row>
    <row r="12642" customFormat="false" ht="17.15" hidden="false" customHeight="false" outlineLevel="0" collapsed="false">
      <c r="A12642" s="0" t="s">
        <v>1081</v>
      </c>
      <c r="B12642" s="0" t="s">
        <v>98</v>
      </c>
      <c r="F12642" s="6" t="n">
        <f aca="false">(Sens!F12641-Sens!F12637)*Seg!F78/(Seg!F78+Seg!F80)</f>
        <v>8.26953246478712</v>
      </c>
      <c r="G12642" s="6" t="n">
        <f aca="false">(Sens!G12641-Sens!G12637)*Seg!G78/(Seg!G78+Seg!G80)</f>
        <v>7.8691542635731</v>
      </c>
      <c r="H12642" s="6" t="n">
        <f aca="false">(Sens!H12641-Sens!H12637)*Seg!H78/(Seg!H78+Seg!H80)</f>
        <v>7.63125160105973</v>
      </c>
      <c r="I12642" s="6" t="n">
        <f aca="false">(Sens!I12641-Sens!I12637)*Seg!I78/(Seg!I78+Seg!I80)</f>
        <v>7.53775281020212</v>
      </c>
      <c r="J12642" s="6" t="n">
        <f aca="false">(Sens!J12641-Sens!J12637)*Seg!J78/(Seg!J78+Seg!J80)</f>
        <v>7.57766730524412</v>
      </c>
      <c r="K12642" s="6" t="n">
        <f aca="false">(Sens!K12641-Sens!K12637)*Seg!K78/(Seg!K78+Seg!K80)</f>
        <v>7.74670217662515</v>
      </c>
    </row>
    <row r="12643" customFormat="false" ht="17.15" hidden="false" customHeight="false" outlineLevel="0" collapsed="false">
      <c r="A12643" s="0" t="s">
        <v>1082</v>
      </c>
      <c r="B12643" s="0" t="s">
        <v>98</v>
      </c>
      <c r="F12643" s="6" t="n">
        <f aca="false">Sens!F12641-Sens!F12637-Sens!F12642</f>
        <v>6.81561783076564</v>
      </c>
      <c r="G12643" s="6" t="n">
        <f aca="false">Sens!G12641-Sens!G12637-Sens!G12642</f>
        <v>6.74622372237672</v>
      </c>
      <c r="H12643" s="6" t="n">
        <f aca="false">Sens!H12641-Sens!H12637-Sens!H12642</f>
        <v>6.73635215288526</v>
      </c>
      <c r="I12643" s="6" t="n">
        <f aca="false">Sens!I12641-Sens!I12637-Sens!I12642</f>
        <v>6.78339568565411</v>
      </c>
      <c r="J12643" s="6" t="n">
        <f aca="false">Sens!J12641-Sens!J12637-Sens!J12642</f>
        <v>6.88471400483723</v>
      </c>
      <c r="K12643" s="6" t="n">
        <f aca="false">Sens!K12641-Sens!K12637-Sens!K12642</f>
        <v>7.03829118095546</v>
      </c>
    </row>
    <row r="12644" customFormat="false" ht="17.15" hidden="false" customHeight="false" outlineLevel="0" collapsed="false">
      <c r="A12644" s="0" t="s">
        <v>1083</v>
      </c>
      <c r="B12644" s="0" t="s">
        <v>98</v>
      </c>
      <c r="F12644" s="6" t="n">
        <f aca="false">Sens!F12638-tax_f*(Sens!F12638-Thesis!F138)-Thesis!F135</f>
        <v>-122.579081185432</v>
      </c>
      <c r="G12644" s="6" t="n">
        <f aca="false">Sens!G12638-tax_f*(Sens!G12638-Thesis!G138)-Thesis!G135</f>
        <v>-117.373249511676</v>
      </c>
      <c r="H12644" s="6" t="n">
        <f aca="false">Sens!H12638-tax_f*(Sens!H12638-Thesis!H138)-Thesis!H135</f>
        <v>-95.285890998876</v>
      </c>
      <c r="I12644" s="6" t="n">
        <f aca="false">Sens!I12638-tax_f*(Sens!I12638-Thesis!I138)-Thesis!I135</f>
        <v>-41.8816809509416</v>
      </c>
      <c r="J12644" s="6" t="n">
        <f aca="false">Sens!J12638-tax_f*(Sens!J12638-Thesis!J138)-Thesis!J135</f>
        <v>15.3691414244864</v>
      </c>
      <c r="K12644" s="6" t="n">
        <f aca="false">Sens!K12638-tax_f*(Sens!K12638-Thesis!K138)-Thesis!K135</f>
        <v>34.6668916333283</v>
      </c>
    </row>
    <row r="12645" customFormat="false" ht="17.15" hidden="false" customHeight="false" outlineLevel="0" collapsed="false">
      <c r="A12645" s="0" t="s">
        <v>1084</v>
      </c>
      <c r="B12645" s="0" t="s">
        <v>98</v>
      </c>
      <c r="G12645" s="6" t="n">
        <f aca="false">Sens!G12644/(1+wacc)^(Sens!G12617-(Sens!F12617+mid_yr))</f>
        <v>-111.762030423885</v>
      </c>
      <c r="H12645" s="6" t="n">
        <f aca="false">Sens!H12644/(1+wacc)^(Sens!H12617-(Sens!F12617+mid_yr))</f>
        <v>-82.2629091581412</v>
      </c>
      <c r="I12645" s="6" t="n">
        <f aca="false">Sens!I12644/(1+wacc)^(Sens!I12617-(Sens!F12617+mid_yr))</f>
        <v>-32.7830894246659</v>
      </c>
      <c r="J12645" s="6" t="n">
        <f aca="false">Sens!J12644/(1+wacc)^(Sens!J12617-(Sens!F12617+mid_yr))</f>
        <v>10.907511786022</v>
      </c>
      <c r="K12645" s="6" t="n">
        <f aca="false">Sens!K12644/(1+wacc)^(Sens!K12617-(Sens!F12617+mid_yr))</f>
        <v>22.3070066431388</v>
      </c>
      <c r="L12645" s="1" t="s">
        <v>1085</v>
      </c>
    </row>
    <row r="12646" customFormat="false" ht="17.15" hidden="false" customHeight="false" outlineLevel="0" collapsed="false">
      <c r="A12646" s="0" t="s">
        <v>1086</v>
      </c>
      <c r="B12646" s="0" t="s">
        <v>98</v>
      </c>
      <c r="C12646" s="6" t="n">
        <f aca="false">(Sens!K12638-Thesis!K138)*(1-tax_f)*(1+g_tv_lo)*(1-g_tv_lo/(wacc+ronic_prem))/(wacc-g_tv_lo)/(1+wacc)^(Sens!K12617+mid_yr-(Sens!F12617+mid_yr))</f>
        <v>102.867309722115</v>
      </c>
    </row>
    <row r="12647" customFormat="false" ht="17.15" hidden="false" customHeight="false" outlineLevel="0" collapsed="false">
      <c r="A12647" s="1" t="s">
        <v>1087</v>
      </c>
      <c r="B12647" s="0" t="s">
        <v>98</v>
      </c>
      <c r="C12647" s="6" t="n">
        <f aca="false">(SUM(Sens!G12645:K12645)+Sens!$C$12646)*(1+wacc)^(t_roll-(Sens!F12617+mid_yr))</f>
        <v>-93.6709856332001</v>
      </c>
      <c r="L12647" s="11" t="s">
        <v>1088</v>
      </c>
    </row>
    <row r="12648" customFormat="false" ht="17.15" hidden="false" customHeight="false" outlineLevel="0" collapsed="false">
      <c r="A12648" s="1" t="s">
        <v>1089</v>
      </c>
      <c r="B12648" s="0" t="s">
        <v>98</v>
      </c>
      <c r="C12648" s="6" t="n">
        <f aca="false">(w_ntm28*Thesis!G127+(1-w_ntm28)*Thesis!H127)*m_ai</f>
        <v>338.776008390068</v>
      </c>
    </row>
    <row r="12649" customFormat="false" ht="17.15" hidden="false" customHeight="false" outlineLevel="0" collapsed="false">
      <c r="A12649" s="1" t="s">
        <v>1090</v>
      </c>
      <c r="B12649" s="0" t="s">
        <v>98</v>
      </c>
      <c r="C12649" s="6" t="n">
        <f aca="false">(w_ntm28*Sens!G12640+(1-w_ntm28)*Sens!H12640)*m_cloud</f>
        <v>1056.83960927252</v>
      </c>
    </row>
    <row r="12650" customFormat="false" ht="17.15" hidden="false" customHeight="false" outlineLevel="0" collapsed="false">
      <c r="A12650" s="1" t="s">
        <v>1091</v>
      </c>
      <c r="B12650" s="0" t="s">
        <v>98</v>
      </c>
      <c r="C12650" s="6" t="n">
        <f aca="false">(w_ntm28*Sens!G12633+(1-w_ntm28)*Sens!H12633)*m_sw</f>
        <v>1046.81653016399</v>
      </c>
    </row>
    <row r="12651" customFormat="false" ht="17.15" hidden="false" customHeight="false" outlineLevel="0" collapsed="false">
      <c r="A12651" s="1" t="s">
        <v>1092</v>
      </c>
      <c r="B12651" s="0" t="s">
        <v>98</v>
      </c>
      <c r="C12651" s="6" t="n">
        <f aca="false">(w_ntm28*Sens!G12634+(1-w_ntm28)*Sens!H12634)*m_sw</f>
        <v>380.588206114803</v>
      </c>
    </row>
    <row r="12652" customFormat="false" ht="17.15" hidden="false" customHeight="false" outlineLevel="0" collapsed="false">
      <c r="A12652" s="1" t="s">
        <v>1093</v>
      </c>
      <c r="B12652" s="0" t="s">
        <v>98</v>
      </c>
      <c r="C12652" s="6" t="n">
        <f aca="false">(w_ntm28*Sens!G12635+(1-w_ntm28)*Sens!H12635)*m_sw</f>
        <v>109.941508211602</v>
      </c>
    </row>
    <row r="12653" customFormat="false" ht="17.15" hidden="false" customHeight="false" outlineLevel="0" collapsed="false">
      <c r="A12653" s="1" t="s">
        <v>1094</v>
      </c>
      <c r="B12653" s="0" t="s">
        <v>98</v>
      </c>
      <c r="C12653" s="6" t="n">
        <f aca="false">(w_ntm28*Sens!G12636+(1-w_ntm28)*Sens!H12636)*m_sw</f>
        <v>41.944622711021</v>
      </c>
    </row>
    <row r="12654" customFormat="false" ht="17.15" hidden="false" customHeight="false" outlineLevel="0" collapsed="false">
      <c r="A12654" s="1" t="s">
        <v>1095</v>
      </c>
      <c r="B12654" s="0" t="s">
        <v>98</v>
      </c>
      <c r="C12654" s="6" t="n">
        <f aca="false">(w_ntm28*Sens!G12637+(1-w_ntm28)*Sens!H12637)*m_ads</f>
        <v>115.893511108929</v>
      </c>
    </row>
    <row r="12655" customFormat="false" ht="17.15" hidden="false" customHeight="false" outlineLevel="0" collapsed="false">
      <c r="A12655" s="1" t="s">
        <v>1096</v>
      </c>
      <c r="B12655" s="0" t="s">
        <v>98</v>
      </c>
      <c r="C12655" s="6" t="n">
        <f aca="false">(w_ntm28*Sens!G12642+(1-w_ntm28)*Sens!H12642)*m_game</f>
        <v>98.416032447421</v>
      </c>
    </row>
    <row r="12656" customFormat="false" ht="17.15" hidden="false" customHeight="false" outlineLevel="0" collapsed="false">
      <c r="A12656" s="1" t="s">
        <v>1097</v>
      </c>
      <c r="B12656" s="0" t="s">
        <v>98</v>
      </c>
      <c r="C12656" s="6" t="n">
        <f aca="false">(w_ntm28*Sens!G12643+(1-w_ntm28)*Sens!H12643)*m_pc</f>
        <v>97.5716783311641</v>
      </c>
    </row>
    <row r="12657" customFormat="false" ht="17.15" hidden="false" customHeight="false" outlineLevel="0" collapsed="false">
      <c r="A12657" s="1" t="s">
        <v>1098</v>
      </c>
      <c r="B12657" s="0" t="s">
        <v>98</v>
      </c>
      <c r="C12657" s="6" t="n">
        <f aca="false">Sens!$C$12647+Sens!$C$12649+Sens!$C$12650+Sens!$C$12651+Sens!$C$12652+Sens!$C$12653+Sens!$C$12654+Sens!$C$12655+Sens!$C$12656</f>
        <v>2854.34071272825</v>
      </c>
    </row>
    <row r="12658" customFormat="false" ht="17.15" hidden="false" customHeight="false" outlineLevel="0" collapsed="false">
      <c r="A12658" s="1" t="s">
        <v>1099</v>
      </c>
      <c r="B12658" s="0" t="s">
        <v>98</v>
      </c>
      <c r="C12658" s="6" t="n">
        <f aca="false">(Sens!G12619-Sens!G12644)*t_stub</f>
        <v>46.8760727339385</v>
      </c>
      <c r="L12658" s="1" t="s">
        <v>1100</v>
      </c>
    </row>
    <row r="12659" customFormat="false" ht="17.15" hidden="false" customHeight="false" outlineLevel="0" collapsed="false">
      <c r="A12659" s="1" t="s">
        <v>1014</v>
      </c>
      <c r="B12659" s="0" t="s">
        <v>98</v>
      </c>
      <c r="C12659" s="6" t="n">
        <f aca="false">CF!F100+oai_v-CF!F89+Sens!$C$12658</f>
        <v>153.718233647662</v>
      </c>
      <c r="L12659" s="1" t="s">
        <v>1101</v>
      </c>
    </row>
    <row r="12660" customFormat="false" ht="17.15" hidden="false" customHeight="false" outlineLevel="0" collapsed="false">
      <c r="A12660" s="1" t="s">
        <v>1102</v>
      </c>
      <c r="B12660" s="0" t="s">
        <v>75</v>
      </c>
      <c r="C12660" s="5" t="n">
        <f aca="false">(Sens!$C$12657+Sens!$C$12659)/(CF!F102+dil_gap)-CF!G92*roll_div_q/q_per_yr</f>
        <v>400.249046741717</v>
      </c>
      <c r="L12660" s="1" t="s">
        <v>1103</v>
      </c>
    </row>
    <row r="12661" customFormat="false" ht="17.15" hidden="false" customHeight="false" outlineLevel="0" collapsed="false">
      <c r="A12661" s="1" t="s">
        <v>1104</v>
      </c>
      <c r="B12661" s="0" t="s">
        <v>75</v>
      </c>
      <c r="C12661" s="5" t="n">
        <f aca="false">w_dcf*Sens!$C$12631+(1-w_dcf)*Sens!$C$12660</f>
        <v>340.960114521195</v>
      </c>
    </row>
    <row r="12662" customFormat="false" ht="17.15" hidden="false" customHeight="false" outlineLevel="0" collapsed="false">
      <c r="A12662" s="3" t="s">
        <v>1586</v>
      </c>
    </row>
    <row r="12663" customFormat="false" ht="15" hidden="false" customHeight="false" outlineLevel="0" collapsed="false">
      <c r="A12663" s="4" t="s">
        <v>43</v>
      </c>
      <c r="B12663" s="4" t="s">
        <v>65</v>
      </c>
      <c r="C12663" s="20" t="s">
        <v>799</v>
      </c>
      <c r="D12663" s="20" t="s">
        <v>800</v>
      </c>
      <c r="E12663" s="20" t="s">
        <v>801</v>
      </c>
      <c r="F12663" s="20" t="s">
        <v>802</v>
      </c>
      <c r="G12663" s="20" t="s">
        <v>803</v>
      </c>
      <c r="H12663" s="20" t="s">
        <v>804</v>
      </c>
      <c r="I12663" s="20" t="s">
        <v>805</v>
      </c>
      <c r="J12663" s="20" t="s">
        <v>806</v>
      </c>
      <c r="K12663" s="20" t="s">
        <v>807</v>
      </c>
      <c r="L12663" s="4" t="s">
        <v>47</v>
      </c>
    </row>
    <row r="12664" customFormat="false" ht="15" hidden="false" customHeight="false" outlineLevel="0" collapsed="false">
      <c r="A12664" s="1" t="s">
        <v>1057</v>
      </c>
      <c r="B12664" s="1" t="s">
        <v>235</v>
      </c>
      <c r="F12664" s="36" t="n">
        <f aca="false">Thesis!F6-base_fy-mid_yr</f>
        <v>0.5</v>
      </c>
      <c r="G12664" s="36" t="n">
        <f aca="false">Thesis!G6-base_fy-mid_yr</f>
        <v>1.5</v>
      </c>
      <c r="H12664" s="36" t="n">
        <f aca="false">Thesis!H6-base_fy-mid_yr</f>
        <v>2.5</v>
      </c>
      <c r="I12664" s="36" t="n">
        <f aca="false">Thesis!I6-base_fy-mid_yr</f>
        <v>3.5</v>
      </c>
      <c r="J12664" s="36" t="n">
        <f aca="false">Thesis!J6-base_fy-mid_yr</f>
        <v>4.5</v>
      </c>
      <c r="K12664" s="36" t="n">
        <f aca="false">Thesis!K6-base_fy-mid_yr</f>
        <v>5.5</v>
      </c>
    </row>
    <row r="12665" customFormat="false" ht="15" hidden="false" customHeight="false" outlineLevel="0" collapsed="false">
      <c r="A12665" s="1" t="s">
        <v>1058</v>
      </c>
      <c r="B12665" s="0" t="s">
        <v>185</v>
      </c>
      <c r="F12665" s="14" t="n">
        <f aca="false">1/(1+wacc)^Sens!F12664</f>
        <v>0.952193373608246</v>
      </c>
      <c r="G12665" s="14" t="n">
        <f aca="false">1/(1+wacc)^Sens!G12664</f>
        <v>0.863327280626589</v>
      </c>
      <c r="H12665" s="14" t="n">
        <f aca="false">1/(1+wacc)^Sens!H12664</f>
        <v>0.782754862754115</v>
      </c>
      <c r="I12665" s="14" t="n">
        <f aca="false">1/(1+wacc)^Sens!I12664</f>
        <v>0.709702089711011</v>
      </c>
      <c r="J12665" s="14" t="n">
        <f aca="false">1/(1+wacc)^Sens!J12664</f>
        <v>0.643467169744551</v>
      </c>
      <c r="K12665" s="14" t="n">
        <f aca="false">1/(1+wacc)^Sens!K12664</f>
        <v>0.583413807767797</v>
      </c>
    </row>
    <row r="12666" customFormat="false" ht="17.15" hidden="false" customHeight="false" outlineLevel="0" collapsed="false">
      <c r="A12666" s="1" t="s">
        <v>1059</v>
      </c>
      <c r="B12666" s="0" t="s">
        <v>98</v>
      </c>
      <c r="F12666" s="6" t="n">
        <f aca="false">CF!F22-CF!F20-CF!F26+Thesis!F44*(1-tax_f)</f>
        <v>0.8175674752552</v>
      </c>
      <c r="G12666" s="6" t="n">
        <f aca="false">CF!G22-CF!G20-CF!G26+Thesis!G44*(1-tax_f)</f>
        <v>46.5945454778033</v>
      </c>
      <c r="H12666" s="6" t="n">
        <f aca="false">CF!H22-CF!H20-CF!H26+Thesis!H44*(1-tax_f)</f>
        <v>105.224067029101</v>
      </c>
      <c r="I12666" s="6" t="n">
        <f aca="false">CF!I22-CF!I20-CF!I26+Thesis!I44*(1-tax_f)</f>
        <v>183.301417205555</v>
      </c>
      <c r="J12666" s="6" t="n">
        <f aca="false">CF!J22-CF!J20-CF!J26+Thesis!J44*(1-tax_f)</f>
        <v>261.555335183242</v>
      </c>
      <c r="K12666" s="6" t="n">
        <f aca="false">CF!K22-CF!K20-CF!K26+Thesis!K44*(1-tax_f)</f>
        <v>298.387942209483</v>
      </c>
      <c r="L12666" s="1" t="s">
        <v>1060</v>
      </c>
    </row>
    <row r="12667" customFormat="false" ht="15" hidden="false" customHeight="false" outlineLevel="0" collapsed="false">
      <c r="A12667" s="1" t="s">
        <v>1061</v>
      </c>
      <c r="B12667" s="0" t="s">
        <v>98</v>
      </c>
      <c r="F12667" s="6" t="n">
        <f aca="false">Sens!F12666*Sens!F12665</f>
        <v>0.778482332415625</v>
      </c>
      <c r="G12667" s="6" t="n">
        <f aca="false">Sens!G12666*Sens!G12665</f>
        <v>40.2263422393839</v>
      </c>
      <c r="H12667" s="6" t="n">
        <f aca="false">Sens!H12666*Sens!H12665</f>
        <v>82.364650145794</v>
      </c>
      <c r="I12667" s="6" t="n">
        <f aca="false">Sens!I12666*Sens!I12665</f>
        <v>130.089398837772</v>
      </c>
      <c r="J12667" s="6" t="n">
        <f aca="false">Sens!J12666*Sens!J12665</f>
        <v>168.302271261948</v>
      </c>
      <c r="K12667" s="6" t="n">
        <f aca="false">Sens!K12666*Sens!K12665</f>
        <v>174.083645556432</v>
      </c>
    </row>
    <row r="12668" customFormat="false" ht="17.15" hidden="false" customHeight="false" outlineLevel="0" collapsed="false">
      <c r="A12668" s="1" t="s">
        <v>1062</v>
      </c>
      <c r="B12668" s="0" t="s">
        <v>98</v>
      </c>
      <c r="C12668" s="6" t="n">
        <f aca="false">SUM(Sens!F12667:K12667)</f>
        <v>595.844790373745</v>
      </c>
    </row>
    <row r="12669" customFormat="false" ht="17.15" hidden="false" customHeight="false" outlineLevel="0" collapsed="false">
      <c r="A12669" s="1" t="s">
        <v>1063</v>
      </c>
      <c r="B12669" s="0" t="s">
        <v>98</v>
      </c>
      <c r="C12669" s="6" t="n">
        <f aca="false">PL!K39*(1+g_tv_hi)*(1-tax_f)</f>
        <v>319.506046161304</v>
      </c>
    </row>
    <row r="12670" customFormat="false" ht="17.15" hidden="false" customHeight="false" outlineLevel="0" collapsed="false">
      <c r="A12670" s="1" t="s">
        <v>1064</v>
      </c>
      <c r="B12670" s="0" t="s">
        <v>98</v>
      </c>
      <c r="C12670" s="6" t="n">
        <f aca="false">Sens!$C$12669*(1-g_tv_hi/(wacc+ronic_prem))</f>
        <v>195.346976387357</v>
      </c>
    </row>
    <row r="12671" customFormat="false" ht="17.15" hidden="false" customHeight="false" outlineLevel="0" collapsed="false">
      <c r="A12671" s="1" t="s">
        <v>1065</v>
      </c>
      <c r="B12671" s="0" t="s">
        <v>98</v>
      </c>
      <c r="C12671" s="6" t="n">
        <f aca="false">Sens!$C$12670/(wacc-g_tv_hi)</f>
        <v>3103.97674434868</v>
      </c>
    </row>
    <row r="12672" customFormat="false" ht="15" hidden="false" customHeight="false" outlineLevel="0" collapsed="false">
      <c r="A12672" s="1" t="s">
        <v>1066</v>
      </c>
      <c r="B12672" s="0" t="s">
        <v>98</v>
      </c>
      <c r="C12672" s="6" t="n">
        <f aca="false">Sens!$C$12671/(1+wacc)^(Sens!K12664+mid_yr)</f>
        <v>1724.32973367062</v>
      </c>
    </row>
    <row r="12673" customFormat="false" ht="17.15" hidden="false" customHeight="false" outlineLevel="0" collapsed="false">
      <c r="A12673" s="0" t="s">
        <v>986</v>
      </c>
      <c r="B12673" s="0" t="s">
        <v>98</v>
      </c>
      <c r="C12673" s="6" t="n">
        <f aca="false">Sens!$C$12668+Sens!$C$12672</f>
        <v>2320.17452404437</v>
      </c>
    </row>
    <row r="12674" customFormat="false" ht="15" hidden="false" customHeight="false" outlineLevel="0" collapsed="false">
      <c r="A12674" s="1" t="s">
        <v>987</v>
      </c>
      <c r="B12674" s="0" t="s">
        <v>129</v>
      </c>
      <c r="C12674" s="7" t="n">
        <f aca="false">Sens!$C$12672/Sens!$C$12673</f>
        <v>0.743189667760376</v>
      </c>
    </row>
    <row r="12675" customFormat="false" ht="17.15" hidden="false" customHeight="false" outlineLevel="0" collapsed="false">
      <c r="A12675" s="1" t="s">
        <v>1067</v>
      </c>
      <c r="B12675" s="0" t="s">
        <v>98</v>
      </c>
      <c r="C12675" s="6" t="n">
        <f aca="false">Sens!$C$12673+CF!E38-CF!E27+oai_v</f>
        <v>2454.68752404437</v>
      </c>
    </row>
    <row r="12676" customFormat="false" ht="17.15" hidden="false" customHeight="false" outlineLevel="0" collapsed="false">
      <c r="A12676" s="0" t="s">
        <v>994</v>
      </c>
      <c r="B12676" s="0" t="s">
        <v>75</v>
      </c>
      <c r="C12676" s="5" t="n">
        <f aca="false">Sens!$C$12675/sh_dil26</f>
        <v>329.355631832063</v>
      </c>
    </row>
    <row r="12677" customFormat="false" ht="15" hidden="false" customHeight="false" outlineLevel="0" collapsed="false">
      <c r="A12677" s="1" t="s">
        <v>1068</v>
      </c>
      <c r="B12677" s="0" t="s">
        <v>75</v>
      </c>
      <c r="C12677" s="8" t="n">
        <f aca="false">dps_27+CF!G30*roll_div_q/q_per_yr</f>
        <v>4.8895</v>
      </c>
    </row>
    <row r="12678" customFormat="false" ht="17.15" hidden="false" customHeight="false" outlineLevel="0" collapsed="false">
      <c r="A12678" s="0" t="s">
        <v>1069</v>
      </c>
      <c r="B12678" s="0" t="s">
        <v>75</v>
      </c>
      <c r="C12678" s="5" t="n">
        <f aca="false">Sens!$C$12676*(1+wacc)^t_roll-Sens!$C$12677</f>
        <v>370.158754995518</v>
      </c>
    </row>
    <row r="12679" customFormat="false" ht="17.15" hidden="false" customHeight="false" outlineLevel="0" collapsed="false">
      <c r="A12679" s="1" t="s">
        <v>1070</v>
      </c>
      <c r="B12679" s="0" t="s">
        <v>129</v>
      </c>
      <c r="F12679" s="7" t="n">
        <f aca="false">CF!F17/(Seg!F29-Thesis!F23)</f>
        <v>0.0705303854989974</v>
      </c>
      <c r="G12679" s="7" t="n">
        <f aca="false">CF!G17/(Seg!G29-Thesis!G23)</f>
        <v>0.0669153011130541</v>
      </c>
      <c r="H12679" s="7" t="n">
        <f aca="false">CF!H17/(Seg!H29-Thesis!H23)</f>
        <v>0.0648963302688647</v>
      </c>
      <c r="I12679" s="7" t="n">
        <f aca="false">CF!I17/(Seg!I29-Thesis!I23)</f>
        <v>0.0643411219550834</v>
      </c>
      <c r="J12679" s="7" t="n">
        <f aca="false">CF!J17/(Seg!J29-Thesis!J23)</f>
        <v>0.0648740961982593</v>
      </c>
      <c r="K12679" s="7" t="n">
        <f aca="false">CF!K17/(Seg!K29-Thesis!K23)</f>
        <v>0.0660244723636577</v>
      </c>
    </row>
    <row r="12680" customFormat="false" ht="17.15" hidden="false" customHeight="false" outlineLevel="0" collapsed="false">
      <c r="A12680" s="0" t="s">
        <v>1071</v>
      </c>
      <c r="B12680" s="0" t="s">
        <v>98</v>
      </c>
      <c r="F12680" s="6" t="n">
        <f aca="false">Seg!F14*(al_m365+Sens!F12679+sbc_r)</f>
        <v>85.2273329859862</v>
      </c>
      <c r="G12680" s="6" t="n">
        <f aca="false">Seg!G14*(al_m365+Sens!G12679+sbc_r)</f>
        <v>99.6892587904979</v>
      </c>
      <c r="H12680" s="6" t="n">
        <f aca="false">Seg!H14*(al_m365+Sens!H12679+sbc_r)</f>
        <v>114.315107566414</v>
      </c>
      <c r="I12680" s="6" t="n">
        <f aca="false">Seg!I14*(al_m365+Sens!I12679+sbc_r)</f>
        <v>127.42181750834</v>
      </c>
      <c r="J12680" s="6" t="n">
        <f aca="false">Seg!J14*(al_m365+Sens!J12679+sbc_r)</f>
        <v>138.823999012523</v>
      </c>
      <c r="K12680" s="6" t="n">
        <f aca="false">Seg!K14*(al_m365+Sens!K12679+sbc_r)</f>
        <v>149.845393216552</v>
      </c>
      <c r="L12680" s="11" t="s">
        <v>1072</v>
      </c>
    </row>
    <row r="12681" customFormat="false" ht="17.15" hidden="false" customHeight="false" outlineLevel="0" collapsed="false">
      <c r="A12681" s="0" t="s">
        <v>1073</v>
      </c>
      <c r="B12681" s="0" t="s">
        <v>98</v>
      </c>
      <c r="F12681" s="6" t="n">
        <f aca="false">Seg!F15*(al_lic+Sens!F12679+sbc_r)</f>
        <v>33.5204472060294</v>
      </c>
      <c r="G12681" s="6" t="n">
        <f aca="false">Seg!G15*(al_lic+Sens!G12679+sbc_r)</f>
        <v>34.7926166862242</v>
      </c>
      <c r="H12681" s="6" t="n">
        <f aca="false">Seg!H15*(al_lic+Sens!H12679+sbc_r)</f>
        <v>35.9862829687409</v>
      </c>
      <c r="I12681" s="6" t="n">
        <f aca="false">Seg!I15*(al_lic+Sens!I12679+sbc_r)</f>
        <v>37.0838788899664</v>
      </c>
      <c r="J12681" s="6" t="n">
        <f aca="false">Seg!J15*(al_lic+Sens!J12679+sbc_r)</f>
        <v>38.0565090086839</v>
      </c>
      <c r="K12681" s="6" t="n">
        <f aca="false">Seg!K15*(al_lic+Sens!K12679+sbc_r)</f>
        <v>38.8700352425884</v>
      </c>
    </row>
    <row r="12682" customFormat="false" ht="17.15" hidden="false" customHeight="false" outlineLevel="0" collapsed="false">
      <c r="A12682" s="0" t="s">
        <v>1074</v>
      </c>
      <c r="B12682" s="0" t="s">
        <v>98</v>
      </c>
      <c r="F12682" s="6" t="n">
        <f aca="false">Seg!F17*(al_ind+Sens!F12679+sbc_r)</f>
        <v>9.11980018094294</v>
      </c>
      <c r="G12682" s="6" t="n">
        <f aca="false">Seg!G17*(al_ind+Sens!G12679+sbc_r)</f>
        <v>9.88072195697034</v>
      </c>
      <c r="H12682" s="6" t="n">
        <f aca="false">Seg!H17*(al_ind+Sens!H12679+sbc_r)</f>
        <v>10.6900815637922</v>
      </c>
      <c r="I12682" s="6" t="n">
        <f aca="false">Seg!I17*(al_ind+Sens!I12679+sbc_r)</f>
        <v>11.5460282347577</v>
      </c>
      <c r="J12682" s="6" t="n">
        <f aca="false">Seg!J17*(al_ind+Sens!J12679+sbc_r)</f>
        <v>12.4374767512513</v>
      </c>
      <c r="K12682" s="6" t="n">
        <f aca="false">Seg!K17*(al_ind+Sens!K12679+sbc_r)</f>
        <v>13.3461587114563</v>
      </c>
    </row>
    <row r="12683" customFormat="false" ht="17.15" hidden="false" customHeight="false" outlineLevel="0" collapsed="false">
      <c r="A12683" s="0" t="s">
        <v>1075</v>
      </c>
      <c r="B12683" s="0" t="s">
        <v>98</v>
      </c>
      <c r="F12683" s="6" t="n">
        <f aca="false">Seg!F19*(al_fro+Sens!F12679+sbc_r)</f>
        <v>3.58958536902212</v>
      </c>
      <c r="G12683" s="6" t="n">
        <f aca="false">Seg!G19*(al_fro+Sens!G12679+sbc_r)</f>
        <v>3.79361306665995</v>
      </c>
      <c r="H12683" s="6" t="n">
        <f aca="false">Seg!H19*(al_fro+Sens!H12679+sbc_r)</f>
        <v>4.02838862857902</v>
      </c>
      <c r="I12683" s="6" t="n">
        <f aca="false">Seg!I19*(al_fro+Sens!I12679+sbc_r)</f>
        <v>4.29696179134221</v>
      </c>
      <c r="J12683" s="6" t="n">
        <f aca="false">Seg!J19*(al_fro+Sens!J12679+sbc_r)</f>
        <v>4.59985687395741</v>
      </c>
      <c r="K12683" s="6" t="n">
        <f aca="false">Seg!K19*(al_fro+Sens!K12679+sbc_r)</f>
        <v>4.93592238342414</v>
      </c>
    </row>
    <row r="12684" customFormat="false" ht="17.15" hidden="false" customHeight="false" outlineLevel="0" collapsed="false">
      <c r="A12684" s="0" t="s">
        <v>1076</v>
      </c>
      <c r="B12684" s="0" t="s">
        <v>98</v>
      </c>
      <c r="F12684" s="6" t="n">
        <f aca="false">Seg!F22*(al_srch+Sens!F12679+sbc_r)</f>
        <v>11.2630849868114</v>
      </c>
      <c r="G12684" s="6" t="n">
        <f aca="false">Seg!G22*(al_srch+Sens!G12679+sbc_r)</f>
        <v>12.3179728600437</v>
      </c>
      <c r="H12684" s="6" t="n">
        <f aca="false">Seg!H22*(al_srch+Sens!H12679+sbc_r)</f>
        <v>13.4217853035424</v>
      </c>
      <c r="I12684" s="6" t="n">
        <f aca="false">Seg!I22*(al_srch+Sens!I12679+sbc_r)</f>
        <v>14.565578354966</v>
      </c>
      <c r="J12684" s="6" t="n">
        <f aca="false">Seg!J22*(al_srch+Sens!J12679+sbc_r)</f>
        <v>15.7277683722803</v>
      </c>
      <c r="K12684" s="6" t="n">
        <f aca="false">Seg!K22*(al_srch+Sens!K12679+sbc_r)</f>
        <v>16.87683901418</v>
      </c>
    </row>
    <row r="12685" customFormat="false" ht="17.15" hidden="false" customHeight="false" outlineLevel="0" collapsed="false">
      <c r="A12685" s="0" t="s">
        <v>1077</v>
      </c>
      <c r="B12685" s="0" t="s">
        <v>98</v>
      </c>
      <c r="F12685" s="6" t="n">
        <f aca="false">Thesis!F29-Thesis!F30+Thesis!F44</f>
        <v>45.0374073018652</v>
      </c>
      <c r="G12685" s="6" t="n">
        <f aca="false">Thesis!G29-Thesis!G30+Thesis!G44</f>
        <v>89.051993487491</v>
      </c>
      <c r="H12685" s="6" t="n">
        <f aca="false">Thesis!H29-Thesis!H30+Thesis!H44</f>
        <v>140.728332825594</v>
      </c>
      <c r="I12685" s="6" t="n">
        <f aca="false">Thesis!I29-Thesis!I30+Thesis!I44</f>
        <v>182.158665153016</v>
      </c>
      <c r="J12685" s="6" t="n">
        <f aca="false">Thesis!J29-Thesis!J30+Thesis!J44</f>
        <v>211.722320149272</v>
      </c>
      <c r="K12685" s="6" t="n">
        <f aca="false">Thesis!K29-Thesis!K30+Thesis!K44</f>
        <v>230.495012322217</v>
      </c>
    </row>
    <row r="12686" customFormat="false" ht="17.15" hidden="false" customHeight="false" outlineLevel="0" collapsed="false">
      <c r="A12686" s="0" t="s">
        <v>1078</v>
      </c>
      <c r="B12686" s="0" t="s">
        <v>98</v>
      </c>
      <c r="F12686" s="6" t="n">
        <f aca="false">PL!F32+Thesis!F44+Thesis!F40+Sens!F12679*(Seg!F21-Thesis!F23)+sbc_r*Seg!F21</f>
        <v>236.979131882557</v>
      </c>
      <c r="G12686" s="6" t="n">
        <f aca="false">PL!G32+Thesis!G44+Thesis!G40+Sens!G12679*(Seg!G21-Thesis!G23)+sbc_r*Seg!G21</f>
        <v>310.298572894356</v>
      </c>
      <c r="H12686" s="6" t="n">
        <f aca="false">PL!H32+Thesis!H44+Thesis!H40+Sens!H12679*(Seg!H21-Thesis!H23)+sbc_r*Seg!H21</f>
        <v>391.97921499404</v>
      </c>
      <c r="I12686" s="6" t="n">
        <f aca="false">PL!I32+Thesis!I44+Thesis!I40+Sens!I12679*(Seg!I21-Thesis!I23)+sbc_r*Seg!I21</f>
        <v>461.338592490557</v>
      </c>
      <c r="J12686" s="6" t="n">
        <f aca="false">PL!J32+Thesis!J44+Thesis!J40+Sens!J12679*(Seg!J21-Thesis!J23)+sbc_r*Seg!J21</f>
        <v>515.876034980991</v>
      </c>
      <c r="K12686" s="6" t="n">
        <f aca="false">PL!K32+Thesis!K44+Thesis!K40+Sens!K12679*(Seg!K21-Thesis!K23)+sbc_r*Seg!K21</f>
        <v>557.225339287545</v>
      </c>
    </row>
    <row r="12687" customFormat="false" ht="17.15" hidden="false" customHeight="false" outlineLevel="0" collapsed="false">
      <c r="A12687" s="0" t="s">
        <v>1079</v>
      </c>
      <c r="B12687" s="0" t="s">
        <v>98</v>
      </c>
      <c r="F12687" s="6" t="n">
        <f aca="false">Sens!F12686-Sens!F12680-Sens!F12681-Sens!F12682-Sens!F12683-Sens!F12685</f>
        <v>60.4845588387112</v>
      </c>
      <c r="G12687" s="6" t="n">
        <f aca="false">Sens!G12686-Sens!G12680-Sens!G12681-Sens!G12682-Sens!G12683-Sens!G12685</f>
        <v>73.090368906513</v>
      </c>
      <c r="H12687" s="6" t="n">
        <f aca="false">Sens!H12686-Sens!H12680-Sens!H12681-Sens!H12682-Sens!H12683-Sens!H12685</f>
        <v>86.23102144092</v>
      </c>
      <c r="I12687" s="6" t="n">
        <f aca="false">Sens!I12686-Sens!I12680-Sens!I12681-Sens!I12682-Sens!I12683-Sens!I12685</f>
        <v>98.8312409131349</v>
      </c>
      <c r="J12687" s="6" t="n">
        <f aca="false">Sens!J12686-Sens!J12680-Sens!J12681-Sens!J12682-Sens!J12683-Sens!J12685</f>
        <v>110.235873185303</v>
      </c>
      <c r="K12687" s="6" t="n">
        <f aca="false">Sens!K12686-Sens!K12680-Sens!K12681-Sens!K12682-Sens!K12683-Sens!K12685</f>
        <v>119.732817411307</v>
      </c>
    </row>
    <row r="12688" customFormat="false" ht="17.15" hidden="false" customHeight="false" outlineLevel="0" collapsed="false">
      <c r="A12688" s="0" t="s">
        <v>1080</v>
      </c>
      <c r="B12688" s="0" t="s">
        <v>98</v>
      </c>
      <c r="F12688" s="6" t="n">
        <f aca="false">PL!F34+Sens!F12679*Seg!F28+sbc_r*Seg!F28</f>
        <v>26.3250729833002</v>
      </c>
      <c r="G12688" s="6" t="n">
        <f aca="false">PL!G34+Sens!G12679*Seg!G28+sbc_r*Seg!G28</f>
        <v>26.8840979798844</v>
      </c>
      <c r="H12688" s="6" t="n">
        <f aca="false">PL!H34+Sens!H12679*Seg!H28+sbc_r*Seg!H28</f>
        <v>27.7254420104725</v>
      </c>
      <c r="I12688" s="6" t="n">
        <f aca="false">PL!I34+Sens!I12679*Seg!I28+sbc_r*Seg!I28</f>
        <v>28.8195303030026</v>
      </c>
      <c r="J12688" s="6" t="n">
        <f aca="false">PL!J34+Sens!J12679*Seg!J28+sbc_r*Seg!J28</f>
        <v>30.1256822206383</v>
      </c>
      <c r="K12688" s="6" t="n">
        <f aca="false">PL!K34+Sens!K12679*Seg!K28+sbc_r*Seg!K28</f>
        <v>31.5981329181227</v>
      </c>
    </row>
    <row r="12689" customFormat="false" ht="17.15" hidden="false" customHeight="false" outlineLevel="0" collapsed="false">
      <c r="A12689" s="0" t="s">
        <v>1081</v>
      </c>
      <c r="B12689" s="0" t="s">
        <v>98</v>
      </c>
      <c r="F12689" s="6" t="n">
        <f aca="false">(Sens!F12688-Sens!F12684)*Seg!F24/(Seg!F24+Seg!F26)</f>
        <v>8.25683511803782</v>
      </c>
      <c r="G12689" s="6" t="n">
        <f aca="false">(Sens!G12688-Sens!G12684)*Seg!G24/(Seg!G24+Seg!G26)</f>
        <v>7.84263572934781</v>
      </c>
      <c r="H12689" s="6" t="n">
        <f aca="false">(Sens!H12688-Sens!H12684)*Seg!H24/(Seg!H24+Seg!H26)</f>
        <v>7.59728657715786</v>
      </c>
      <c r="I12689" s="6" t="n">
        <f aca="false">(Sens!I12688-Sens!I12684)*Seg!I24/(Seg!I24+Seg!I26)</f>
        <v>7.50238476920254</v>
      </c>
      <c r="J12689" s="6" t="n">
        <f aca="false">(Sens!J12688-Sens!J12684)*Seg!J24/(Seg!J24+Seg!J26)</f>
        <v>7.54388912124533</v>
      </c>
      <c r="K12689" s="6" t="n">
        <f aca="false">(Sens!K12688-Sens!K12684)*Seg!K24/(Seg!K24+Seg!K26)</f>
        <v>7.71332639591206</v>
      </c>
    </row>
    <row r="12690" customFormat="false" ht="17.15" hidden="false" customHeight="false" outlineLevel="0" collapsed="false">
      <c r="A12690" s="0" t="s">
        <v>1082</v>
      </c>
      <c r="B12690" s="0" t="s">
        <v>98</v>
      </c>
      <c r="F12690" s="6" t="n">
        <f aca="false">Sens!F12688-Sens!F12684-Sens!F12689</f>
        <v>6.80515287845105</v>
      </c>
      <c r="G12690" s="6" t="n">
        <f aca="false">Sens!G12688-Sens!G12684-Sens!G12689</f>
        <v>6.72348939049287</v>
      </c>
      <c r="H12690" s="6" t="n">
        <f aca="false">Sens!H12688-Sens!H12684-Sens!H12689</f>
        <v>6.70637012977225</v>
      </c>
      <c r="I12690" s="6" t="n">
        <f aca="false">Sens!I12688-Sens!I12684-Sens!I12689</f>
        <v>6.75156717883416</v>
      </c>
      <c r="J12690" s="6" t="n">
        <f aca="false">Sens!J12688-Sens!J12684-Sens!J12689</f>
        <v>6.85402472711273</v>
      </c>
      <c r="K12690" s="6" t="n">
        <f aca="false">Sens!K12688-Sens!K12684-Sens!K12689</f>
        <v>7.00796750803058</v>
      </c>
    </row>
    <row r="12691" customFormat="false" ht="17.15" hidden="false" customHeight="false" outlineLevel="0" collapsed="false">
      <c r="A12691" s="0" t="s">
        <v>1083</v>
      </c>
      <c r="B12691" s="0" t="s">
        <v>98</v>
      </c>
      <c r="F12691" s="6" t="n">
        <f aca="false">Sens!F12685-tax_f*(Sens!F12685-Thesis!F40)-Thesis!F37</f>
        <v>-117.492972553783</v>
      </c>
      <c r="G12691" s="6" t="n">
        <f aca="false">Sens!G12685-tax_f*(Sens!G12685-Thesis!G40)-Thesis!G37</f>
        <v>-100.507498271105</v>
      </c>
      <c r="H12691" s="6" t="n">
        <f aca="false">Sens!H12685-tax_f*(Sens!H12685-Thesis!H40)-Thesis!H37</f>
        <v>-58.2254156812621</v>
      </c>
      <c r="I12691" s="6" t="n">
        <f aca="false">Sens!I12685-tax_f*(Sens!I12685-Thesis!I40)-Thesis!I37</f>
        <v>4.14141173464586</v>
      </c>
      <c r="J12691" s="6" t="n">
        <f aca="false">Sens!J12685-tax_f*(Sens!J12685-Thesis!J40)-Thesis!J37</f>
        <v>67.7960840957439</v>
      </c>
      <c r="K12691" s="6" t="n">
        <f aca="false">Sens!K12685-tax_f*(Sens!K12685-Thesis!K40)-Thesis!K37</f>
        <v>90.8148873630444</v>
      </c>
    </row>
    <row r="12692" customFormat="false" ht="17.15" hidden="false" customHeight="false" outlineLevel="0" collapsed="false">
      <c r="A12692" s="0" t="s">
        <v>1084</v>
      </c>
      <c r="B12692" s="0" t="s">
        <v>98</v>
      </c>
      <c r="G12692" s="6" t="n">
        <f aca="false">Sens!G12691/(1+wacc)^(Sens!G12664-(Sens!F12664+mid_yr))</f>
        <v>-95.7025738516884</v>
      </c>
      <c r="H12692" s="6" t="n">
        <f aca="false">Sens!H12691/(1+wacc)^(Sens!H12664-(Sens!F12664+mid_yr))</f>
        <v>-50.2675897834568</v>
      </c>
      <c r="I12692" s="6" t="n">
        <f aca="false">Sens!I12691/(1+wacc)^(Sens!I12664-(Sens!F12664+mid_yr))</f>
        <v>3.241710173961</v>
      </c>
      <c r="J12692" s="6" t="n">
        <f aca="false">Sens!J12691/(1+wacc)^(Sens!J12664-(Sens!F12664+mid_yr))</f>
        <v>48.1150225569729</v>
      </c>
      <c r="K12692" s="6" t="n">
        <f aca="false">Sens!K12691/(1+wacc)^(Sens!K12664-(Sens!F12664+mid_yr))</f>
        <v>58.4363985421684</v>
      </c>
      <c r="L12692" s="1" t="s">
        <v>1085</v>
      </c>
    </row>
    <row r="12693" customFormat="false" ht="17.15" hidden="false" customHeight="false" outlineLevel="0" collapsed="false">
      <c r="A12693" s="0" t="s">
        <v>1086</v>
      </c>
      <c r="B12693" s="0" t="s">
        <v>98</v>
      </c>
      <c r="C12693" s="6" t="n">
        <f aca="false">(Sens!K12685-Thesis!K40)*(1-tax_f)*(1+g_tv_hi)*(1-g_tv_hi/(wacc+ronic_prem))/(wacc-g_tv_hi)/(1+wacc)^(Sens!K12664+mid_yr-(Sens!F12664+mid_yr))</f>
        <v>452.467313093955</v>
      </c>
    </row>
    <row r="12694" customFormat="false" ht="17.15" hidden="false" customHeight="false" outlineLevel="0" collapsed="false">
      <c r="A12694" s="1" t="s">
        <v>1087</v>
      </c>
      <c r="B12694" s="0" t="s">
        <v>98</v>
      </c>
      <c r="C12694" s="6" t="n">
        <f aca="false">(SUM(Sens!G12692:K12692)+Sens!$C$12693)*(1+wacc)^(t_roll-(Sens!F12664+mid_yr))</f>
        <v>429.802201988179</v>
      </c>
      <c r="L12694" s="11" t="s">
        <v>1088</v>
      </c>
    </row>
    <row r="12695" customFormat="false" ht="17.15" hidden="false" customHeight="false" outlineLevel="0" collapsed="false">
      <c r="A12695" s="1" t="s">
        <v>1089</v>
      </c>
      <c r="B12695" s="0" t="s">
        <v>98</v>
      </c>
      <c r="C12695" s="6" t="n">
        <f aca="false">(w_ntm28*Thesis!G29+(1-w_ntm28)*Thesis!H29)*m_ai</f>
        <v>551.711134531404</v>
      </c>
    </row>
    <row r="12696" customFormat="false" ht="17.15" hidden="false" customHeight="false" outlineLevel="0" collapsed="false">
      <c r="A12696" s="1" t="s">
        <v>1090</v>
      </c>
      <c r="B12696" s="0" t="s">
        <v>98</v>
      </c>
      <c r="C12696" s="6" t="n">
        <f aca="false">(w_ntm28*Sens!G12687+(1-w_ntm28)*Sens!H12687)*m_cloud</f>
        <v>1068.81917370447</v>
      </c>
    </row>
    <row r="12697" customFormat="false" ht="17.15" hidden="false" customHeight="false" outlineLevel="0" collapsed="false">
      <c r="A12697" s="1" t="s">
        <v>1091</v>
      </c>
      <c r="B12697" s="0" t="s">
        <v>98</v>
      </c>
      <c r="C12697" s="6" t="n">
        <f aca="false">(w_ntm28*Sens!G12680+(1-w_ntm28)*Sens!H12680)*m_sw</f>
        <v>1127.71024611553</v>
      </c>
    </row>
    <row r="12698" customFormat="false" ht="17.15" hidden="false" customHeight="false" outlineLevel="0" collapsed="false">
      <c r="A12698" s="1" t="s">
        <v>1092</v>
      </c>
      <c r="B12698" s="0" t="s">
        <v>98</v>
      </c>
      <c r="C12698" s="6" t="n">
        <f aca="false">(w_ntm28*Sens!G12681+(1-w_ntm28)*Sens!H12681)*m_sw</f>
        <v>379.927954212425</v>
      </c>
    </row>
    <row r="12699" customFormat="false" ht="17.15" hidden="false" customHeight="false" outlineLevel="0" collapsed="false">
      <c r="A12699" s="1" t="s">
        <v>1093</v>
      </c>
      <c r="B12699" s="0" t="s">
        <v>98</v>
      </c>
      <c r="C12699" s="6" t="n">
        <f aca="false">(w_ntm28*Sens!G12682+(1-w_ntm28)*Sens!H12682)*m_sw</f>
        <v>109.537681746057</v>
      </c>
    </row>
    <row r="12700" customFormat="false" ht="17.15" hidden="false" customHeight="false" outlineLevel="0" collapsed="false">
      <c r="A12700" s="1" t="s">
        <v>1094</v>
      </c>
      <c r="B12700" s="0" t="s">
        <v>98</v>
      </c>
      <c r="C12700" s="6" t="n">
        <f aca="false">(w_ntm28*Sens!G12683+(1-w_ntm28)*Sens!H12683)*m_sw</f>
        <v>41.7907416024197</v>
      </c>
    </row>
    <row r="12701" customFormat="false" ht="17.15" hidden="false" customHeight="false" outlineLevel="0" collapsed="false">
      <c r="A12701" s="1" t="s">
        <v>1095</v>
      </c>
      <c r="B12701" s="0" t="s">
        <v>98</v>
      </c>
      <c r="C12701" s="6" t="n">
        <f aca="false">(w_ntm28*Sens!G12684+(1-w_ntm28)*Sens!H12684)*m_ads</f>
        <v>115.467626729004</v>
      </c>
    </row>
    <row r="12702" customFormat="false" ht="17.15" hidden="false" customHeight="false" outlineLevel="0" collapsed="false">
      <c r="A12702" s="1" t="s">
        <v>1096</v>
      </c>
      <c r="B12702" s="0" t="s">
        <v>98</v>
      </c>
      <c r="C12702" s="6" t="n">
        <f aca="false">(w_ntm28*Sens!G12689+(1-w_ntm28)*Sens!H12689)*m_game</f>
        <v>98.0506984247457</v>
      </c>
    </row>
    <row r="12703" customFormat="false" ht="17.15" hidden="false" customHeight="false" outlineLevel="0" collapsed="false">
      <c r="A12703" s="1" t="s">
        <v>1097</v>
      </c>
      <c r="B12703" s="0" t="s">
        <v>98</v>
      </c>
      <c r="C12703" s="6" t="n">
        <f aca="false">(w_ntm28*Sens!G12690+(1-w_ntm28)*Sens!H12690)*m_pc</f>
        <v>97.2088080478016</v>
      </c>
    </row>
    <row r="12704" customFormat="false" ht="17.15" hidden="false" customHeight="false" outlineLevel="0" collapsed="false">
      <c r="A12704" s="1" t="s">
        <v>1098</v>
      </c>
      <c r="B12704" s="0" t="s">
        <v>98</v>
      </c>
      <c r="C12704" s="6" t="n">
        <f aca="false">Sens!$C$12694+Sens!$C$12696+Sens!$C$12697+Sens!$C$12698+Sens!$C$12699+Sens!$C$12700+Sens!$C$12701+Sens!$C$12702+Sens!$C$12703</f>
        <v>3468.31513257064</v>
      </c>
    </row>
    <row r="12705" customFormat="false" ht="17.15" hidden="false" customHeight="false" outlineLevel="0" collapsed="false">
      <c r="A12705" s="1" t="s">
        <v>1099</v>
      </c>
      <c r="B12705" s="0" t="s">
        <v>98</v>
      </c>
      <c r="C12705" s="6" t="n">
        <f aca="false">(Sens!G12666-Sens!G12691)*t_stub</f>
        <v>47.9592964551235</v>
      </c>
      <c r="L12705" s="1" t="s">
        <v>1100</v>
      </c>
    </row>
    <row r="12706" customFormat="false" ht="17.15" hidden="false" customHeight="false" outlineLevel="0" collapsed="false">
      <c r="A12706" s="1" t="s">
        <v>1014</v>
      </c>
      <c r="B12706" s="0" t="s">
        <v>98</v>
      </c>
      <c r="C12706" s="6" t="n">
        <f aca="false">CF!F38+oai_v-CF!F27+Sens!$C$12705</f>
        <v>163.066005497665</v>
      </c>
      <c r="L12706" s="1" t="s">
        <v>1101</v>
      </c>
    </row>
    <row r="12707" customFormat="false" ht="17.15" hidden="false" customHeight="false" outlineLevel="0" collapsed="false">
      <c r="A12707" s="1" t="s">
        <v>1102</v>
      </c>
      <c r="B12707" s="0" t="s">
        <v>75</v>
      </c>
      <c r="C12707" s="5" t="n">
        <f aca="false">(Sens!$C$12704+Sens!$C$12706)/(CF!F40+dil_gap)-CF!G30*roll_div_q/q_per_yr</f>
        <v>483.40302108702</v>
      </c>
      <c r="L12707" s="1" t="s">
        <v>1103</v>
      </c>
    </row>
    <row r="12708" customFormat="false" ht="17.15" hidden="false" customHeight="false" outlineLevel="0" collapsed="false">
      <c r="A12708" s="1" t="s">
        <v>1104</v>
      </c>
      <c r="B12708" s="0" t="s">
        <v>75</v>
      </c>
      <c r="C12708" s="5" t="n">
        <f aca="false">w_dcf*Sens!$C$12678+(1-w_dcf)*Sens!$C$12707</f>
        <v>426.780888041269</v>
      </c>
    </row>
    <row r="12709" customFormat="false" ht="17.15" hidden="false" customHeight="false" outlineLevel="0" collapsed="false">
      <c r="A12709" s="3" t="s">
        <v>1587</v>
      </c>
    </row>
    <row r="12710" customFormat="false" ht="15" hidden="false" customHeight="false" outlineLevel="0" collapsed="false">
      <c r="A12710" s="4" t="s">
        <v>43</v>
      </c>
      <c r="B12710" s="4" t="s">
        <v>65</v>
      </c>
      <c r="C12710" s="20" t="s">
        <v>799</v>
      </c>
      <c r="D12710" s="20" t="s">
        <v>800</v>
      </c>
      <c r="E12710" s="20" t="s">
        <v>801</v>
      </c>
      <c r="F12710" s="20" t="s">
        <v>802</v>
      </c>
      <c r="G12710" s="20" t="s">
        <v>803</v>
      </c>
      <c r="H12710" s="20" t="s">
        <v>804</v>
      </c>
      <c r="I12710" s="20" t="s">
        <v>805</v>
      </c>
      <c r="J12710" s="20" t="s">
        <v>806</v>
      </c>
      <c r="K12710" s="20" t="s">
        <v>807</v>
      </c>
      <c r="L12710" s="4" t="s">
        <v>47</v>
      </c>
    </row>
    <row r="12711" customFormat="false" ht="15" hidden="false" customHeight="false" outlineLevel="0" collapsed="false">
      <c r="A12711" s="1" t="s">
        <v>1057</v>
      </c>
      <c r="B12711" s="1" t="s">
        <v>235</v>
      </c>
      <c r="F12711" s="36" t="n">
        <f aca="false">Thesis!F55-base_fy-mid_yr</f>
        <v>0.5</v>
      </c>
      <c r="G12711" s="36" t="n">
        <f aca="false">Thesis!G55-base_fy-mid_yr</f>
        <v>1.5</v>
      </c>
      <c r="H12711" s="36" t="n">
        <f aca="false">Thesis!H55-base_fy-mid_yr</f>
        <v>2.5</v>
      </c>
      <c r="I12711" s="36" t="n">
        <f aca="false">Thesis!I55-base_fy-mid_yr</f>
        <v>3.5</v>
      </c>
      <c r="J12711" s="36" t="n">
        <f aca="false">Thesis!J55-base_fy-mid_yr</f>
        <v>4.5</v>
      </c>
      <c r="K12711" s="36" t="n">
        <f aca="false">Thesis!K55-base_fy-mid_yr</f>
        <v>5.5</v>
      </c>
    </row>
    <row r="12712" customFormat="false" ht="15" hidden="false" customHeight="false" outlineLevel="0" collapsed="false">
      <c r="A12712" s="1" t="s">
        <v>1058</v>
      </c>
      <c r="B12712" s="0" t="s">
        <v>185</v>
      </c>
      <c r="F12712" s="14" t="n">
        <f aca="false">1/(1+wacc)^Sens!F12711</f>
        <v>0.952193373608246</v>
      </c>
      <c r="G12712" s="14" t="n">
        <f aca="false">1/(1+wacc)^Sens!G12711</f>
        <v>0.863327280626589</v>
      </c>
      <c r="H12712" s="14" t="n">
        <f aca="false">1/(1+wacc)^Sens!H12711</f>
        <v>0.782754862754115</v>
      </c>
      <c r="I12712" s="14" t="n">
        <f aca="false">1/(1+wacc)^Sens!I12711</f>
        <v>0.709702089711011</v>
      </c>
      <c r="J12712" s="14" t="n">
        <f aca="false">1/(1+wacc)^Sens!J12711</f>
        <v>0.643467169744551</v>
      </c>
      <c r="K12712" s="14" t="n">
        <f aca="false">1/(1+wacc)^Sens!K12711</f>
        <v>0.583413807767797</v>
      </c>
    </row>
    <row r="12713" customFormat="false" ht="17.15" hidden="false" customHeight="false" outlineLevel="0" collapsed="false">
      <c r="A12713" s="1" t="s">
        <v>1059</v>
      </c>
      <c r="B12713" s="0" t="s">
        <v>98</v>
      </c>
      <c r="F12713" s="6" t="n">
        <f aca="false">CF!F53-CF!F51-CF!F57+Thesis!F93*(1-tax_f)</f>
        <v>-2.12916264917943</v>
      </c>
      <c r="G12713" s="6" t="n">
        <f aca="false">CF!G53-CF!G51-CF!G57+Thesis!G93*(1-tax_f)</f>
        <v>37.4539072201241</v>
      </c>
      <c r="H12713" s="6" t="n">
        <f aca="false">CF!H53-CF!H51-CF!H57+Thesis!H93*(1-tax_f)</f>
        <v>85.8888636072133</v>
      </c>
      <c r="I12713" s="6" t="n">
        <f aca="false">CF!I53-CF!I51-CF!I57+Thesis!I93*(1-tax_f)</f>
        <v>159.098024951333</v>
      </c>
      <c r="J12713" s="6" t="n">
        <f aca="false">CF!J53-CF!J51-CF!J57+Thesis!J93*(1-tax_f)</f>
        <v>233.876759261847</v>
      </c>
      <c r="K12713" s="6" t="n">
        <f aca="false">CF!K53-CF!K51-CF!K57+Thesis!K93*(1-tax_f)</f>
        <v>268.447783789649</v>
      </c>
      <c r="L12713" s="1" t="s">
        <v>1060</v>
      </c>
    </row>
    <row r="12714" customFormat="false" ht="15" hidden="false" customHeight="false" outlineLevel="0" collapsed="false">
      <c r="A12714" s="1" t="s">
        <v>1061</v>
      </c>
      <c r="B12714" s="0" t="s">
        <v>98</v>
      </c>
      <c r="F12714" s="6" t="n">
        <f aca="false">Sens!F12713*Sens!F12712</f>
        <v>-2.02737456588283</v>
      </c>
      <c r="G12714" s="6" t="n">
        <f aca="false">Sens!G12713*Sens!G12712</f>
        <v>32.3349798691903</v>
      </c>
      <c r="H12714" s="6" t="n">
        <f aca="false">Sens!H12713*Sens!H12712</f>
        <v>67.2299256449712</v>
      </c>
      <c r="I12714" s="6" t="n">
        <f aca="false">Sens!I12713*Sens!I12712</f>
        <v>112.912200776856</v>
      </c>
      <c r="J12714" s="6" t="n">
        <f aca="false">Sens!J12713*Sens!J12712</f>
        <v>150.492016351249</v>
      </c>
      <c r="K12714" s="6" t="n">
        <f aca="false">Sens!K12713*Sens!K12712</f>
        <v>156.616143727545</v>
      </c>
    </row>
    <row r="12715" customFormat="false" ht="17.15" hidden="false" customHeight="false" outlineLevel="0" collapsed="false">
      <c r="A12715" s="1" t="s">
        <v>1062</v>
      </c>
      <c r="B12715" s="0" t="s">
        <v>98</v>
      </c>
      <c r="C12715" s="6" t="n">
        <f aca="false">SUM(Sens!F12714:K12714)</f>
        <v>517.557891803928</v>
      </c>
    </row>
    <row r="12716" customFormat="false" ht="17.15" hidden="false" customHeight="false" outlineLevel="0" collapsed="false">
      <c r="A12716" s="1" t="s">
        <v>1063</v>
      </c>
      <c r="B12716" s="0" t="s">
        <v>98</v>
      </c>
      <c r="C12716" s="6" t="n">
        <f aca="false">PL!K78*(1+g_tv_hi)*(1-tax_f)</f>
        <v>287.449882884677</v>
      </c>
    </row>
    <row r="12717" customFormat="false" ht="17.15" hidden="false" customHeight="false" outlineLevel="0" collapsed="false">
      <c r="A12717" s="1" t="s">
        <v>1064</v>
      </c>
      <c r="B12717" s="0" t="s">
        <v>98</v>
      </c>
      <c r="C12717" s="6" t="n">
        <f aca="false">Sens!$C$12716*(1-g_tv_hi/(wacc+ronic_prem))</f>
        <v>175.747739859898</v>
      </c>
    </row>
    <row r="12718" customFormat="false" ht="17.15" hidden="false" customHeight="false" outlineLevel="0" collapsed="false">
      <c r="A12718" s="1" t="s">
        <v>1065</v>
      </c>
      <c r="B12718" s="0" t="s">
        <v>98</v>
      </c>
      <c r="C12718" s="6" t="n">
        <f aca="false">Sens!$C$12717/(wacc-g_tv_hi)</f>
        <v>2792.55357561948</v>
      </c>
    </row>
    <row r="12719" customFormat="false" ht="15" hidden="false" customHeight="false" outlineLevel="0" collapsed="false">
      <c r="A12719" s="1" t="s">
        <v>1066</v>
      </c>
      <c r="B12719" s="0" t="s">
        <v>98</v>
      </c>
      <c r="C12719" s="6" t="n">
        <f aca="false">Sens!$C$12718/(1+wacc)^(Sens!K12711+mid_yr)</f>
        <v>1551.32707488093</v>
      </c>
    </row>
    <row r="12720" customFormat="false" ht="17.15" hidden="false" customHeight="false" outlineLevel="0" collapsed="false">
      <c r="A12720" s="0" t="s">
        <v>986</v>
      </c>
      <c r="B12720" s="0" t="s">
        <v>98</v>
      </c>
      <c r="C12720" s="6" t="n">
        <f aca="false">Sens!$C$12715+Sens!$C$12719</f>
        <v>2068.88496668486</v>
      </c>
    </row>
    <row r="12721" customFormat="false" ht="15" hidden="false" customHeight="false" outlineLevel="0" collapsed="false">
      <c r="A12721" s="1" t="s">
        <v>987</v>
      </c>
      <c r="B12721" s="0" t="s">
        <v>129</v>
      </c>
      <c r="C12721" s="7" t="n">
        <f aca="false">Sens!$C$12719/Sens!$C$12720</f>
        <v>0.749837279434026</v>
      </c>
    </row>
    <row r="12722" customFormat="false" ht="17.15" hidden="false" customHeight="false" outlineLevel="0" collapsed="false">
      <c r="A12722" s="1" t="s">
        <v>1067</v>
      </c>
      <c r="B12722" s="0" t="s">
        <v>98</v>
      </c>
      <c r="C12722" s="6" t="n">
        <f aca="false">Sens!$C$12720+CF!E69-CF!E58+oai_v</f>
        <v>2203.39796668486</v>
      </c>
    </row>
    <row r="12723" customFormat="false" ht="17.15" hidden="false" customHeight="false" outlineLevel="0" collapsed="false">
      <c r="A12723" s="0" t="s">
        <v>994</v>
      </c>
      <c r="B12723" s="0" t="s">
        <v>75</v>
      </c>
      <c r="C12723" s="5" t="n">
        <f aca="false">Sens!$C$12722/sh_dil26</f>
        <v>295.639067044795</v>
      </c>
    </row>
    <row r="12724" customFormat="false" ht="15" hidden="false" customHeight="false" outlineLevel="0" collapsed="false">
      <c r="A12724" s="1" t="s">
        <v>1068</v>
      </c>
      <c r="B12724" s="0" t="s">
        <v>75</v>
      </c>
      <c r="C12724" s="8" t="n">
        <f aca="false">dps_27+CF!G61*roll_div_q/q_per_yr</f>
        <v>4.8895</v>
      </c>
    </row>
    <row r="12725" customFormat="false" ht="17.15" hidden="false" customHeight="false" outlineLevel="0" collapsed="false">
      <c r="A12725" s="0" t="s">
        <v>1069</v>
      </c>
      <c r="B12725" s="0" t="s">
        <v>75</v>
      </c>
      <c r="C12725" s="5" t="n">
        <f aca="false">Sens!$C$12723*(1+wacc)^t_roll-Sens!$C$12724</f>
        <v>331.764576892148</v>
      </c>
    </row>
    <row r="12726" customFormat="false" ht="17.15" hidden="false" customHeight="false" outlineLevel="0" collapsed="false">
      <c r="A12726" s="1" t="s">
        <v>1070</v>
      </c>
      <c r="B12726" s="0" t="s">
        <v>129</v>
      </c>
      <c r="F12726" s="7" t="n">
        <f aca="false">CF!F48/(Seg!F56-Thesis!F72)</f>
        <v>0.0708376243512414</v>
      </c>
      <c r="G12726" s="7" t="n">
        <f aca="false">CF!G48/(Seg!G56-Thesis!G72)</f>
        <v>0.0675792567445289</v>
      </c>
      <c r="H12726" s="7" t="n">
        <f aca="false">CF!H48/(Seg!H56-Thesis!H72)</f>
        <v>0.0657637992399081</v>
      </c>
      <c r="I12726" s="7" t="n">
        <f aca="false">CF!I48/(Seg!I56-Thesis!I72)</f>
        <v>0.0652507860006261</v>
      </c>
      <c r="J12726" s="7" t="n">
        <f aca="false">CF!J48/(Seg!J56-Thesis!J72)</f>
        <v>0.0657374094257698</v>
      </c>
      <c r="K12726" s="7" t="n">
        <f aca="false">CF!K48/(Seg!K56-Thesis!K72)</f>
        <v>0.0668595832904836</v>
      </c>
    </row>
    <row r="12727" customFormat="false" ht="17.15" hidden="false" customHeight="false" outlineLevel="0" collapsed="false">
      <c r="A12727" s="0" t="s">
        <v>1071</v>
      </c>
      <c r="B12727" s="0" t="s">
        <v>98</v>
      </c>
      <c r="F12727" s="6" t="n">
        <f aca="false">Seg!F41*(al_m365+Sens!F12726+sbc_r)</f>
        <v>84.2019918892952</v>
      </c>
      <c r="G12727" s="6" t="n">
        <f aca="false">Seg!G41*(al_m365+Sens!G12726+sbc_r)</f>
        <v>96.61090954529</v>
      </c>
      <c r="H12727" s="6" t="n">
        <f aca="false">Seg!H41*(al_m365+Sens!H12726+sbc_r)</f>
        <v>109.18271398457</v>
      </c>
      <c r="I12727" s="6" t="n">
        <f aca="false">Seg!I41*(al_m365+Sens!I12726+sbc_r)</f>
        <v>120.736322591613</v>
      </c>
      <c r="J12727" s="6" t="n">
        <f aca="false">Seg!J41*(al_m365+Sens!J12726+sbc_r)</f>
        <v>131.084561154645</v>
      </c>
      <c r="K12727" s="6" t="n">
        <f aca="false">Seg!K41*(al_m365+Sens!K12726+sbc_r)</f>
        <v>141.044207560217</v>
      </c>
      <c r="L12727" s="11" t="s">
        <v>1072</v>
      </c>
    </row>
    <row r="12728" customFormat="false" ht="17.15" hidden="false" customHeight="false" outlineLevel="0" collapsed="false">
      <c r="A12728" s="0" t="s">
        <v>1073</v>
      </c>
      <c r="B12728" s="0" t="s">
        <v>98</v>
      </c>
      <c r="F12728" s="6" t="n">
        <f aca="false">Seg!F42*(al_lic+Sens!F12726+sbc_r)</f>
        <v>33.5324516680982</v>
      </c>
      <c r="G12728" s="6" t="n">
        <f aca="false">Seg!G42*(al_lic+Sens!G12726+sbc_r)</f>
        <v>34.819657317048</v>
      </c>
      <c r="H12728" s="6" t="n">
        <f aca="false">Seg!H42*(al_lic+Sens!H12726+sbc_r)</f>
        <v>36.0229106304815</v>
      </c>
      <c r="I12728" s="6" t="n">
        <f aca="false">Seg!I42*(al_lic+Sens!I12726+sbc_r)</f>
        <v>37.1234854794919</v>
      </c>
      <c r="J12728" s="6" t="n">
        <f aca="false">Seg!J42*(al_lic+Sens!J12726+sbc_r)</f>
        <v>38.0950592345738</v>
      </c>
      <c r="K12728" s="6" t="n">
        <f aca="false">Seg!K42*(al_lic+Sens!K12726+sbc_r)</f>
        <v>38.9080719459809</v>
      </c>
    </row>
    <row r="12729" customFormat="false" ht="17.15" hidden="false" customHeight="false" outlineLevel="0" collapsed="false">
      <c r="A12729" s="0" t="s">
        <v>1074</v>
      </c>
      <c r="B12729" s="0" t="s">
        <v>98</v>
      </c>
      <c r="F12729" s="6" t="n">
        <f aca="false">Seg!F44*(al_ind+Sens!F12726+sbc_r)</f>
        <v>9.12666918765551</v>
      </c>
      <c r="G12729" s="6" t="n">
        <f aca="false">Seg!G44*(al_ind+Sens!G12726+sbc_r)</f>
        <v>9.89694850970116</v>
      </c>
      <c r="H12729" s="6" t="n">
        <f aca="false">Seg!H44*(al_ind+Sens!H12726+sbc_r)</f>
        <v>10.7131335152527</v>
      </c>
      <c r="I12729" s="6" t="n">
        <f aca="false">Seg!I44*(al_ind+Sens!I12726+sbc_r)</f>
        <v>11.5721730864119</v>
      </c>
      <c r="J12729" s="6" t="n">
        <f aca="false">Seg!J44*(al_ind+Sens!J12726+sbc_r)</f>
        <v>12.4641697526801</v>
      </c>
      <c r="K12729" s="6" t="n">
        <f aca="false">Seg!K44*(al_ind+Sens!K12726+sbc_r)</f>
        <v>13.3737871892836</v>
      </c>
    </row>
    <row r="12730" customFormat="false" ht="17.15" hidden="false" customHeight="false" outlineLevel="0" collapsed="false">
      <c r="A12730" s="0" t="s">
        <v>1075</v>
      </c>
      <c r="B12730" s="0" t="s">
        <v>98</v>
      </c>
      <c r="F12730" s="6" t="n">
        <f aca="false">Seg!F46*(al_fro+Sens!F12726+sbc_r)</f>
        <v>3.5922890341799</v>
      </c>
      <c r="G12730" s="6" t="n">
        <f aca="false">Seg!G46*(al_fro+Sens!G12726+sbc_r)</f>
        <v>3.79984310356763</v>
      </c>
      <c r="H12730" s="6" t="n">
        <f aca="false">Seg!H46*(al_fro+Sens!H12726+sbc_r)</f>
        <v>4.03707539290126</v>
      </c>
      <c r="I12730" s="6" t="n">
        <f aca="false">Seg!I46*(al_fro+Sens!I12726+sbc_r)</f>
        <v>4.30669184104541</v>
      </c>
      <c r="J12730" s="6" t="n">
        <f aca="false">Seg!J46*(al_fro+Sens!J12726+sbc_r)</f>
        <v>4.6097289716959</v>
      </c>
      <c r="K12730" s="6" t="n">
        <f aca="false">Seg!K46*(al_fro+Sens!K12726+sbc_r)</f>
        <v>4.94614045628512</v>
      </c>
    </row>
    <row r="12731" customFormat="false" ht="17.15" hidden="false" customHeight="false" outlineLevel="0" collapsed="false">
      <c r="A12731" s="0" t="s">
        <v>1076</v>
      </c>
      <c r="B12731" s="0" t="s">
        <v>98</v>
      </c>
      <c r="F12731" s="6" t="n">
        <f aca="false">Seg!F49*(al_srch+Sens!F12726+sbc_r)</f>
        <v>11.2715683093452</v>
      </c>
      <c r="G12731" s="6" t="n">
        <f aca="false">Seg!G49*(al_srch+Sens!G12726+sbc_r)</f>
        <v>12.338201972554</v>
      </c>
      <c r="H12731" s="6" t="n">
        <f aca="false">Seg!H49*(al_srch+Sens!H12726+sbc_r)</f>
        <v>13.450727865064</v>
      </c>
      <c r="I12731" s="6" t="n">
        <f aca="false">Seg!I49*(al_srch+Sens!I12726+sbc_r)</f>
        <v>14.598560682534</v>
      </c>
      <c r="J12731" s="6" t="n">
        <f aca="false">Seg!J49*(al_srch+Sens!J12726+sbc_r)</f>
        <v>15.7615229152659</v>
      </c>
      <c r="K12731" s="6" t="n">
        <f aca="false">Seg!K49*(al_srch+Sens!K12726+sbc_r)</f>
        <v>16.9117765106222</v>
      </c>
    </row>
    <row r="12732" customFormat="false" ht="17.15" hidden="false" customHeight="false" outlineLevel="0" collapsed="false">
      <c r="A12732" s="0" t="s">
        <v>1077</v>
      </c>
      <c r="B12732" s="0" t="s">
        <v>98</v>
      </c>
      <c r="F12732" s="6" t="n">
        <f aca="false">Thesis!F78-Thesis!F79+Thesis!F93</f>
        <v>42.2254306726393</v>
      </c>
      <c r="G12732" s="6" t="n">
        <f aca="false">Thesis!G78-Thesis!G79+Thesis!G93</f>
        <v>79.7027537443441</v>
      </c>
      <c r="H12732" s="6" t="n">
        <f aca="false">Thesis!H78-Thesis!H79+Thesis!H93</f>
        <v>120.060533679822</v>
      </c>
      <c r="I12732" s="6" t="n">
        <f aca="false">Thesis!I78-Thesis!I79+Thesis!I93</f>
        <v>156.515256506302</v>
      </c>
      <c r="J12732" s="6" t="n">
        <f aca="false">Thesis!J78-Thesis!J79+Thesis!J93</f>
        <v>182.51821819491</v>
      </c>
      <c r="K12732" s="6" t="n">
        <f aca="false">Thesis!K78-Thesis!K79+Thesis!K93</f>
        <v>199.254533496123</v>
      </c>
    </row>
    <row r="12733" customFormat="false" ht="17.15" hidden="false" customHeight="false" outlineLevel="0" collapsed="false">
      <c r="A12733" s="0" t="s">
        <v>1078</v>
      </c>
      <c r="B12733" s="0" t="s">
        <v>98</v>
      </c>
      <c r="F12733" s="6" t="n">
        <f aca="false">PL!F71+Thesis!F93+Thesis!F89+Sens!F12726*(Seg!F48-Thesis!F72)+sbc_r*Seg!F48</f>
        <v>233.08249657256</v>
      </c>
      <c r="G12733" s="6" t="n">
        <f aca="false">PL!G71+Thesis!G93+Thesis!G89+Sens!G12726*(Seg!G48-Thesis!G72)+sbc_r*Seg!G48</f>
        <v>297.663189032606</v>
      </c>
      <c r="H12733" s="6" t="n">
        <f aca="false">PL!H71+Thesis!H93+Thesis!H89+Sens!H12726*(Seg!H48-Thesis!H72)+sbc_r*Seg!H48</f>
        <v>365.628165851855</v>
      </c>
      <c r="I12733" s="6" t="n">
        <f aca="false">PL!I71+Thesis!I93+Thesis!I89+Sens!I12726*(Seg!I48-Thesis!I72)+sbc_r*Seg!I48</f>
        <v>428.31888397841</v>
      </c>
      <c r="J12733" s="6" t="n">
        <f aca="false">PL!J71+Thesis!J93+Thesis!J89+Sens!J12726*(Seg!J48-Thesis!J72)+sbc_r*Seg!J48</f>
        <v>478.127348640143</v>
      </c>
      <c r="K12733" s="6" t="n">
        <f aca="false">PL!K71+Thesis!K93+Thesis!K89+Sens!K12726*(Seg!K48-Thesis!K72)+sbc_r*Seg!K48</f>
        <v>516.321726855748</v>
      </c>
    </row>
    <row r="12734" customFormat="false" ht="17.15" hidden="false" customHeight="false" outlineLevel="0" collapsed="false">
      <c r="A12734" s="0" t="s">
        <v>1079</v>
      </c>
      <c r="B12734" s="0" t="s">
        <v>98</v>
      </c>
      <c r="F12734" s="6" t="n">
        <f aca="false">Sens!F12733-Sens!F12727-Sens!F12728-Sens!F12729-Sens!F12730-Sens!F12732</f>
        <v>60.4036641206917</v>
      </c>
      <c r="G12734" s="6" t="n">
        <f aca="false">Sens!G12733-Sens!G12727-Sens!G12728-Sens!G12729-Sens!G12730-Sens!G12732</f>
        <v>72.8330768126549</v>
      </c>
      <c r="H12734" s="6" t="n">
        <f aca="false">Sens!H12733-Sens!H12727-Sens!H12728-Sens!H12729-Sens!H12730-Sens!H12732</f>
        <v>85.6117986488275</v>
      </c>
      <c r="I12734" s="6" t="n">
        <f aca="false">Sens!I12733-Sens!I12727-Sens!I12728-Sens!I12729-Sens!I12730-Sens!I12732</f>
        <v>98.0649544735462</v>
      </c>
      <c r="J12734" s="6" t="n">
        <f aca="false">Sens!J12733-Sens!J12727-Sens!J12728-Sens!J12729-Sens!J12730-Sens!J12732</f>
        <v>109.355611331638</v>
      </c>
      <c r="K12734" s="6" t="n">
        <f aca="false">Sens!K12733-Sens!K12727-Sens!K12728-Sens!K12729-Sens!K12730-Sens!K12732</f>
        <v>118.794986207857</v>
      </c>
    </row>
    <row r="12735" customFormat="false" ht="17.15" hidden="false" customHeight="false" outlineLevel="0" collapsed="false">
      <c r="A12735" s="0" t="s">
        <v>1080</v>
      </c>
      <c r="B12735" s="0" t="s">
        <v>98</v>
      </c>
      <c r="F12735" s="6" t="n">
        <f aca="false">PL!F73+Sens!F12726*Seg!F55+sbc_r*Seg!F55</f>
        <v>26.345087006484</v>
      </c>
      <c r="G12735" s="6" t="n">
        <f aca="false">PL!G73+Sens!G12726*Seg!G55+sbc_r*Seg!G55</f>
        <v>26.928666241387</v>
      </c>
      <c r="H12735" s="6" t="n">
        <f aca="false">PL!H73+Sens!H12726*Seg!H55+sbc_r*Seg!H55</f>
        <v>27.7857977299272</v>
      </c>
      <c r="I12735" s="6" t="n">
        <f aca="false">PL!I73+Sens!I12726*Seg!I55+sbc_r*Seg!I55</f>
        <v>28.8854111921819</v>
      </c>
      <c r="J12735" s="6" t="n">
        <f aca="false">PL!J73+Sens!J12726*Seg!J55+sbc_r*Seg!J55</f>
        <v>30.1909525075627</v>
      </c>
      <c r="K12735" s="6" t="n">
        <f aca="false">PL!K73+Sens!K12726*Seg!K55+sbc_r*Seg!K55</f>
        <v>31.6641663414168</v>
      </c>
    </row>
    <row r="12736" customFormat="false" ht="17.15" hidden="false" customHeight="false" outlineLevel="0" collapsed="false">
      <c r="A12736" s="0" t="s">
        <v>1081</v>
      </c>
      <c r="B12736" s="0" t="s">
        <v>98</v>
      </c>
      <c r="F12736" s="6" t="n">
        <f aca="false">(Sens!F12735-Sens!F12731)*Seg!F51/(Seg!F51+Seg!F53)</f>
        <v>8.26315613582677</v>
      </c>
      <c r="G12736" s="6" t="n">
        <f aca="false">(Sens!G12735-Sens!G12731)*Seg!G51/(Seg!G51+Seg!G53)</f>
        <v>7.85574031810689</v>
      </c>
      <c r="H12736" s="6" t="n">
        <f aca="false">(Sens!H12735-Sens!H12731)*Seg!H51/(Seg!H51+Seg!H53)</f>
        <v>7.61397145487838</v>
      </c>
      <c r="I12736" s="6" t="n">
        <f aca="false">(Sens!I12735-Sens!I12731)*Seg!I51/(Seg!I51+Seg!I53)</f>
        <v>7.51970050510933</v>
      </c>
      <c r="J12736" s="6" t="n">
        <f aca="false">(Sens!J12735-Sens!J12731)*Seg!J51/(Seg!J51+Seg!J53)</f>
        <v>7.56040201890202</v>
      </c>
      <c r="K12736" s="6" t="n">
        <f aca="false">(Sens!K12735-Sens!K12731)*Seg!K51/(Seg!K51+Seg!K53)</f>
        <v>7.72961932742727</v>
      </c>
    </row>
    <row r="12737" customFormat="false" ht="17.15" hidden="false" customHeight="false" outlineLevel="0" collapsed="false">
      <c r="A12737" s="0" t="s">
        <v>1082</v>
      </c>
      <c r="B12737" s="0" t="s">
        <v>98</v>
      </c>
      <c r="F12737" s="6" t="n">
        <f aca="false">Sens!F12735-Sens!F12731-Sens!F12736</f>
        <v>6.81036256131213</v>
      </c>
      <c r="G12737" s="6" t="n">
        <f aca="false">Sens!G12735-Sens!G12731-Sens!G12736</f>
        <v>6.73472395072608</v>
      </c>
      <c r="H12737" s="6" t="n">
        <f aca="false">Sens!H12735-Sens!H12731-Sens!H12736</f>
        <v>6.72109840998485</v>
      </c>
      <c r="I12737" s="6" t="n">
        <f aca="false">Sens!I12735-Sens!I12731-Sens!I12736</f>
        <v>6.76715000453853</v>
      </c>
      <c r="J12737" s="6" t="n">
        <f aca="false">Sens!J12735-Sens!J12731-Sens!J12736</f>
        <v>6.86902757339483</v>
      </c>
      <c r="K12737" s="6" t="n">
        <f aca="false">Sens!K12735-Sens!K12731-Sens!K12736</f>
        <v>7.02277050336727</v>
      </c>
    </row>
    <row r="12738" customFormat="false" ht="17.15" hidden="false" customHeight="false" outlineLevel="0" collapsed="false">
      <c r="A12738" s="0" t="s">
        <v>1083</v>
      </c>
      <c r="B12738" s="0" t="s">
        <v>98</v>
      </c>
      <c r="F12738" s="6" t="n">
        <f aca="false">Sens!F12732-tax_f*(Sens!F12732-Thesis!F89)-Thesis!F86</f>
        <v>-119.742553857164</v>
      </c>
      <c r="G12738" s="6" t="n">
        <f aca="false">Sens!G12732-tax_f*(Sens!G12732-Thesis!G89)-Thesis!G86</f>
        <v>-107.986890065622</v>
      </c>
      <c r="H12738" s="6" t="n">
        <f aca="false">Sens!H12732-tax_f*(Sens!H12732-Thesis!H89)-Thesis!H86</f>
        <v>-74.7596549978803</v>
      </c>
      <c r="I12738" s="6" t="n">
        <f aca="false">Sens!I12732-tax_f*(Sens!I12732-Thesis!I89)-Thesis!I86</f>
        <v>-16.3733151827256</v>
      </c>
      <c r="J12738" s="6" t="n">
        <f aca="false">Sens!J12732-tax_f*(Sens!J12732-Thesis!J89)-Thesis!J86</f>
        <v>44.4328025322546</v>
      </c>
      <c r="K12738" s="6" t="n">
        <f aca="false">Sens!K12732-tax_f*(Sens!K12732-Thesis!K89)-Thesis!K86</f>
        <v>65.8225043021697</v>
      </c>
    </row>
    <row r="12739" customFormat="false" ht="17.15" hidden="false" customHeight="false" outlineLevel="0" collapsed="false">
      <c r="A12739" s="0" t="s">
        <v>1084</v>
      </c>
      <c r="B12739" s="0" t="s">
        <v>98</v>
      </c>
      <c r="G12739" s="6" t="n">
        <f aca="false">Sens!G12738/(1+wacc)^(Sens!G12711-(Sens!F12711+mid_yr))</f>
        <v>-102.824401157048</v>
      </c>
      <c r="H12739" s="6" t="n">
        <f aca="false">Sens!H12738/(1+wacc)^(Sens!H12711-(Sens!F12711+mid_yr))</f>
        <v>-64.5420496499019</v>
      </c>
      <c r="I12739" s="6" t="n">
        <f aca="false">Sens!I12738/(1+wacc)^(Sens!I12711-(Sens!F12711+mid_yr))</f>
        <v>-12.8162920786843</v>
      </c>
      <c r="J12739" s="6" t="n">
        <f aca="false">Sens!J12738/(1+wacc)^(Sens!J12711-(Sens!F12711+mid_yr))</f>
        <v>31.5340528088578</v>
      </c>
      <c r="K12739" s="6" t="n">
        <f aca="false">Sens!K12738/(1+wacc)^(Sens!K12711-(Sens!F12711+mid_yr))</f>
        <v>42.3546205488157</v>
      </c>
      <c r="L12739" s="1" t="s">
        <v>1085</v>
      </c>
    </row>
    <row r="12740" customFormat="false" ht="17.15" hidden="false" customHeight="false" outlineLevel="0" collapsed="false">
      <c r="A12740" s="0" t="s">
        <v>1086</v>
      </c>
      <c r="B12740" s="0" t="s">
        <v>98</v>
      </c>
      <c r="C12740" s="6" t="n">
        <f aca="false">(Sens!K12732-Thesis!K89)*(1-tax_f)*(1+g_tv_hi)*(1-g_tv_hi/(wacc+ronic_prem))/(wacc-g_tv_hi)/(1+wacc)^(Sens!K12711+mid_yr-(Sens!F12711+mid_yr))</f>
        <v>297.752486659954</v>
      </c>
    </row>
    <row r="12741" customFormat="false" ht="17.15" hidden="false" customHeight="false" outlineLevel="0" collapsed="false">
      <c r="A12741" s="1" t="s">
        <v>1087</v>
      </c>
      <c r="B12741" s="0" t="s">
        <v>98</v>
      </c>
      <c r="C12741" s="6" t="n">
        <f aca="false">(SUM(Sens!G12739:K12739)+Sens!$C$12740)*(1+wacc)^(t_roll-(Sens!F12711+mid_yr))</f>
        <v>197.672761246847</v>
      </c>
      <c r="L12741" s="11" t="s">
        <v>1088</v>
      </c>
    </row>
    <row r="12742" customFormat="false" ht="17.15" hidden="false" customHeight="false" outlineLevel="0" collapsed="false">
      <c r="A12742" s="1" t="s">
        <v>1089</v>
      </c>
      <c r="B12742" s="0" t="s">
        <v>98</v>
      </c>
      <c r="C12742" s="6" t="n">
        <f aca="false">(w_ntm28*Thesis!G78+(1-w_ntm28)*Thesis!H78)*m_ai</f>
        <v>454.922440830797</v>
      </c>
    </row>
    <row r="12743" customFormat="false" ht="17.15" hidden="false" customHeight="false" outlineLevel="0" collapsed="false">
      <c r="A12743" s="1" t="s">
        <v>1090</v>
      </c>
      <c r="B12743" s="0" t="s">
        <v>98</v>
      </c>
      <c r="C12743" s="6" t="n">
        <f aca="false">(w_ntm28*Sens!G12734+(1-w_ntm28)*Sens!H12734)*m_cloud</f>
        <v>1063.6463501031</v>
      </c>
    </row>
    <row r="12744" customFormat="false" ht="17.15" hidden="false" customHeight="false" outlineLevel="0" collapsed="false">
      <c r="A12744" s="1" t="s">
        <v>1091</v>
      </c>
      <c r="B12744" s="0" t="s">
        <v>98</v>
      </c>
      <c r="C12744" s="6" t="n">
        <f aca="false">(w_ntm28*Sens!G12727+(1-w_ntm28)*Sens!H12727)*m_sw</f>
        <v>1087.29236439713</v>
      </c>
    </row>
    <row r="12745" customFormat="false" ht="17.15" hidden="false" customHeight="false" outlineLevel="0" collapsed="false">
      <c r="A12745" s="1" t="s">
        <v>1092</v>
      </c>
      <c r="B12745" s="0" t="s">
        <v>98</v>
      </c>
      <c r="C12745" s="6" t="n">
        <f aca="false">(w_ntm28*Sens!G12728+(1-w_ntm28)*Sens!H12728)*m_sw</f>
        <v>380.253466209432</v>
      </c>
    </row>
    <row r="12746" customFormat="false" ht="17.15" hidden="false" customHeight="false" outlineLevel="0" collapsed="false">
      <c r="A12746" s="1" t="s">
        <v>1093</v>
      </c>
      <c r="B12746" s="0" t="s">
        <v>98</v>
      </c>
      <c r="C12746" s="6" t="n">
        <f aca="false">(w_ntm28*Sens!G12729+(1-w_ntm28)*Sens!H12729)*m_sw</f>
        <v>109.736759441964</v>
      </c>
    </row>
    <row r="12747" customFormat="false" ht="17.15" hidden="false" customHeight="false" outlineLevel="0" collapsed="false">
      <c r="A12747" s="1" t="s">
        <v>1094</v>
      </c>
      <c r="B12747" s="0" t="s">
        <v>98</v>
      </c>
      <c r="C12747" s="6" t="n">
        <f aca="false">(w_ntm28*Sens!G12730+(1-w_ntm28)*Sens!H12730)*m_sw</f>
        <v>41.8666036816175</v>
      </c>
    </row>
    <row r="12748" customFormat="false" ht="17.15" hidden="false" customHeight="false" outlineLevel="0" collapsed="false">
      <c r="A12748" s="1" t="s">
        <v>1095</v>
      </c>
      <c r="B12748" s="0" t="s">
        <v>98</v>
      </c>
      <c r="C12748" s="6" t="n">
        <f aca="false">(w_ntm28*Sens!G12731+(1-w_ntm28)*Sens!H12731)*m_ads</f>
        <v>115.677576364297</v>
      </c>
    </row>
    <row r="12749" customFormat="false" ht="17.15" hidden="false" customHeight="false" outlineLevel="0" collapsed="false">
      <c r="A12749" s="1" t="s">
        <v>1096</v>
      </c>
      <c r="B12749" s="0" t="s">
        <v>98</v>
      </c>
      <c r="C12749" s="6" t="n">
        <f aca="false">(w_ntm28*Sens!G12736+(1-w_ntm28)*Sens!H12736)*m_game</f>
        <v>98.230828142008</v>
      </c>
    </row>
    <row r="12750" customFormat="false" ht="17.15" hidden="false" customHeight="false" outlineLevel="0" collapsed="false">
      <c r="A12750" s="1" t="s">
        <v>1097</v>
      </c>
      <c r="B12750" s="0" t="s">
        <v>98</v>
      </c>
      <c r="C12750" s="6" t="n">
        <f aca="false">(w_ntm28*Sens!G12737+(1-w_ntm28)*Sens!H12737)*m_pc</f>
        <v>97.3877156607214</v>
      </c>
    </row>
    <row r="12751" customFormat="false" ht="17.15" hidden="false" customHeight="false" outlineLevel="0" collapsed="false">
      <c r="A12751" s="1" t="s">
        <v>1098</v>
      </c>
      <c r="B12751" s="0" t="s">
        <v>98</v>
      </c>
      <c r="C12751" s="6" t="n">
        <f aca="false">Sens!$C$12741+Sens!$C$12743+Sens!$C$12744+Sens!$C$12745+Sens!$C$12746+Sens!$C$12747+Sens!$C$12748+Sens!$C$12749+Sens!$C$12750</f>
        <v>3191.76442524712</v>
      </c>
    </row>
    <row r="12752" customFormat="false" ht="17.15" hidden="false" customHeight="false" outlineLevel="0" collapsed="false">
      <c r="A12752" s="1" t="s">
        <v>1099</v>
      </c>
      <c r="B12752" s="0" t="s">
        <v>98</v>
      </c>
      <c r="C12752" s="6" t="n">
        <f aca="false">(Sens!G12713-Sens!G12738)*t_stub</f>
        <v>47.417684594531</v>
      </c>
      <c r="L12752" s="1" t="s">
        <v>1100</v>
      </c>
    </row>
    <row r="12753" customFormat="false" ht="17.15" hidden="false" customHeight="false" outlineLevel="0" collapsed="false">
      <c r="A12753" s="1" t="s">
        <v>1014</v>
      </c>
      <c r="B12753" s="0" t="s">
        <v>98</v>
      </c>
      <c r="C12753" s="6" t="n">
        <f aca="false">CF!F69+oai_v-CF!F58+Sens!$C$12752</f>
        <v>158.699306060314</v>
      </c>
      <c r="L12753" s="1" t="s">
        <v>1101</v>
      </c>
    </row>
    <row r="12754" customFormat="false" ht="17.15" hidden="false" customHeight="false" outlineLevel="0" collapsed="false">
      <c r="A12754" s="1" t="s">
        <v>1102</v>
      </c>
      <c r="B12754" s="0" t="s">
        <v>75</v>
      </c>
      <c r="C12754" s="5" t="n">
        <f aca="false">(Sens!$C$12751+Sens!$C$12753)/(CF!F71+dil_gap)-CF!G61*roll_div_q/q_per_yr</f>
        <v>445.927379843574</v>
      </c>
      <c r="L12754" s="1" t="s">
        <v>1103</v>
      </c>
    </row>
    <row r="12755" customFormat="false" ht="17.15" hidden="false" customHeight="false" outlineLevel="0" collapsed="false">
      <c r="A12755" s="1" t="s">
        <v>1104</v>
      </c>
      <c r="B12755" s="0" t="s">
        <v>75</v>
      </c>
      <c r="C12755" s="5" t="n">
        <f aca="false">w_dcf*Sens!$C$12725+(1-w_dcf)*Sens!$C$12754</f>
        <v>388.845978367861</v>
      </c>
    </row>
    <row r="12756" customFormat="false" ht="17.15" hidden="false" customHeight="false" outlineLevel="0" collapsed="false">
      <c r="A12756" s="3" t="s">
        <v>1588</v>
      </c>
    </row>
    <row r="12757" customFormat="false" ht="15" hidden="false" customHeight="false" outlineLevel="0" collapsed="false">
      <c r="A12757" s="4" t="s">
        <v>43</v>
      </c>
      <c r="B12757" s="4" t="s">
        <v>65</v>
      </c>
      <c r="C12757" s="20" t="s">
        <v>799</v>
      </c>
      <c r="D12757" s="20" t="s">
        <v>800</v>
      </c>
      <c r="E12757" s="20" t="s">
        <v>801</v>
      </c>
      <c r="F12757" s="20" t="s">
        <v>802</v>
      </c>
      <c r="G12757" s="20" t="s">
        <v>803</v>
      </c>
      <c r="H12757" s="20" t="s">
        <v>804</v>
      </c>
      <c r="I12757" s="20" t="s">
        <v>805</v>
      </c>
      <c r="J12757" s="20" t="s">
        <v>806</v>
      </c>
      <c r="K12757" s="20" t="s">
        <v>807</v>
      </c>
      <c r="L12757" s="4" t="s">
        <v>47</v>
      </c>
    </row>
    <row r="12758" customFormat="false" ht="15" hidden="false" customHeight="false" outlineLevel="0" collapsed="false">
      <c r="A12758" s="1" t="s">
        <v>1057</v>
      </c>
      <c r="B12758" s="1" t="s">
        <v>235</v>
      </c>
      <c r="F12758" s="36" t="n">
        <f aca="false">Thesis!F104-base_fy-mid_yr</f>
        <v>0.5</v>
      </c>
      <c r="G12758" s="36" t="n">
        <f aca="false">Thesis!G104-base_fy-mid_yr</f>
        <v>1.5</v>
      </c>
      <c r="H12758" s="36" t="n">
        <f aca="false">Thesis!H104-base_fy-mid_yr</f>
        <v>2.5</v>
      </c>
      <c r="I12758" s="36" t="n">
        <f aca="false">Thesis!I104-base_fy-mid_yr</f>
        <v>3.5</v>
      </c>
      <c r="J12758" s="36" t="n">
        <f aca="false">Thesis!J104-base_fy-mid_yr</f>
        <v>4.5</v>
      </c>
      <c r="K12758" s="36" t="n">
        <f aca="false">Thesis!K104-base_fy-mid_yr</f>
        <v>5.5</v>
      </c>
    </row>
    <row r="12759" customFormat="false" ht="15" hidden="false" customHeight="false" outlineLevel="0" collapsed="false">
      <c r="A12759" s="1" t="s">
        <v>1058</v>
      </c>
      <c r="B12759" s="0" t="s">
        <v>185</v>
      </c>
      <c r="F12759" s="14" t="n">
        <f aca="false">1/(1+wacc)^Sens!F12758</f>
        <v>0.952193373608246</v>
      </c>
      <c r="G12759" s="14" t="n">
        <f aca="false">1/(1+wacc)^Sens!G12758</f>
        <v>0.863327280626589</v>
      </c>
      <c r="H12759" s="14" t="n">
        <f aca="false">1/(1+wacc)^Sens!H12758</f>
        <v>0.782754862754115</v>
      </c>
      <c r="I12759" s="14" t="n">
        <f aca="false">1/(1+wacc)^Sens!I12758</f>
        <v>0.709702089711011</v>
      </c>
      <c r="J12759" s="14" t="n">
        <f aca="false">1/(1+wacc)^Sens!J12758</f>
        <v>0.643467169744551</v>
      </c>
      <c r="K12759" s="14" t="n">
        <f aca="false">1/(1+wacc)^Sens!K12758</f>
        <v>0.583413807767797</v>
      </c>
    </row>
    <row r="12760" customFormat="false" ht="17.15" hidden="false" customHeight="false" outlineLevel="0" collapsed="false">
      <c r="A12760" s="1" t="s">
        <v>1059</v>
      </c>
      <c r="B12760" s="0" t="s">
        <v>98</v>
      </c>
      <c r="F12760" s="6" t="n">
        <f aca="false">CF!F84-CF!F82-CF!F88+Thesis!F142*(1-tax_f)</f>
        <v>-5.66283879850096</v>
      </c>
      <c r="G12760" s="6" t="n">
        <f aca="false">CF!G84-CF!G82-CF!G88+Thesis!G142*(1-tax_f)</f>
        <v>26.4063013109088</v>
      </c>
      <c r="H12760" s="6" t="n">
        <f aca="false">CF!H84-CF!H82-CF!H88+Thesis!H142*(1-tax_f)</f>
        <v>62.5616635009479</v>
      </c>
      <c r="I12760" s="6" t="n">
        <f aca="false">CF!I84-CF!I82-CF!I88+Thesis!I142*(1-tax_f)</f>
        <v>129.900993846266</v>
      </c>
      <c r="J12760" s="6" t="n">
        <f aca="false">CF!J84-CF!J82-CF!J88+Thesis!J142*(1-tax_f)</f>
        <v>200.497803796175</v>
      </c>
      <c r="K12760" s="6" t="n">
        <f aca="false">CF!K84-CF!K82-CF!K88+Thesis!K142*(1-tax_f)</f>
        <v>232.344395761849</v>
      </c>
      <c r="L12760" s="1" t="s">
        <v>1060</v>
      </c>
    </row>
    <row r="12761" customFormat="false" ht="15" hidden="false" customHeight="false" outlineLevel="0" collapsed="false">
      <c r="A12761" s="1" t="s">
        <v>1061</v>
      </c>
      <c r="B12761" s="0" t="s">
        <v>98</v>
      </c>
      <c r="F12761" s="6" t="n">
        <f aca="false">Sens!F12760*Sens!F12759</f>
        <v>-5.3921175797443</v>
      </c>
      <c r="G12761" s="6" t="n">
        <f aca="false">Sens!G12760*Sens!G12759</f>
        <v>22.7972803021532</v>
      </c>
      <c r="H12761" s="6" t="n">
        <f aca="false">Sens!H12760*Sens!H12759</f>
        <v>48.9704463273536</v>
      </c>
      <c r="I12761" s="6" t="n">
        <f aca="false">Sens!I12760*Sens!I12759</f>
        <v>92.1910067882323</v>
      </c>
      <c r="J12761" s="6" t="n">
        <f aca="false">Sens!J12760*Sens!J12759</f>
        <v>129.013754348723</v>
      </c>
      <c r="K12761" s="6" t="n">
        <f aca="false">Sens!K12760*Sens!K12759</f>
        <v>135.552928644928</v>
      </c>
    </row>
    <row r="12762" customFormat="false" ht="17.15" hidden="false" customHeight="false" outlineLevel="0" collapsed="false">
      <c r="A12762" s="1" t="s">
        <v>1062</v>
      </c>
      <c r="B12762" s="0" t="s">
        <v>98</v>
      </c>
      <c r="C12762" s="6" t="n">
        <f aca="false">SUM(Sens!F12761:K12761)</f>
        <v>423.133298831646</v>
      </c>
    </row>
    <row r="12763" customFormat="false" ht="17.15" hidden="false" customHeight="false" outlineLevel="0" collapsed="false">
      <c r="A12763" s="1" t="s">
        <v>1063</v>
      </c>
      <c r="B12763" s="0" t="s">
        <v>98</v>
      </c>
      <c r="C12763" s="6" t="n">
        <f aca="false">PL!K117*(1+g_tv_hi)*(1-tax_f)</f>
        <v>248.983960815765</v>
      </c>
    </row>
    <row r="12764" customFormat="false" ht="17.15" hidden="false" customHeight="false" outlineLevel="0" collapsed="false">
      <c r="A12764" s="1" t="s">
        <v>1064</v>
      </c>
      <c r="B12764" s="0" t="s">
        <v>98</v>
      </c>
      <c r="C12764" s="6" t="n">
        <f aca="false">Sens!$C$12763*(1-g_tv_hi/(wacc+ronic_prem))</f>
        <v>152.229557151331</v>
      </c>
    </row>
    <row r="12765" customFormat="false" ht="17.15" hidden="false" customHeight="false" outlineLevel="0" collapsed="false">
      <c r="A12765" s="1" t="s">
        <v>1065</v>
      </c>
      <c r="B12765" s="0" t="s">
        <v>98</v>
      </c>
      <c r="C12765" s="6" t="n">
        <f aca="false">Sens!$C$12764/(wacc-g_tv_hi)</f>
        <v>2418.86009161087</v>
      </c>
    </row>
    <row r="12766" customFormat="false" ht="15" hidden="false" customHeight="false" outlineLevel="0" collapsed="false">
      <c r="A12766" s="1" t="s">
        <v>1066</v>
      </c>
      <c r="B12766" s="0" t="s">
        <v>98</v>
      </c>
      <c r="C12766" s="6" t="n">
        <f aca="false">Sens!$C$12765/(1+wacc)^(Sens!K12758+mid_yr)</f>
        <v>1343.73183856732</v>
      </c>
    </row>
    <row r="12767" customFormat="false" ht="17.15" hidden="false" customHeight="false" outlineLevel="0" collapsed="false">
      <c r="A12767" s="0" t="s">
        <v>986</v>
      </c>
      <c r="B12767" s="0" t="s">
        <v>98</v>
      </c>
      <c r="C12767" s="6" t="n">
        <f aca="false">Sens!$C$12762+Sens!$C$12766</f>
        <v>1766.86513739897</v>
      </c>
    </row>
    <row r="12768" customFormat="false" ht="15" hidden="false" customHeight="false" outlineLevel="0" collapsed="false">
      <c r="A12768" s="1" t="s">
        <v>987</v>
      </c>
      <c r="B12768" s="0" t="s">
        <v>129</v>
      </c>
      <c r="C12768" s="7" t="n">
        <f aca="false">Sens!$C$12766/Sens!$C$12767</f>
        <v>0.760517489492975</v>
      </c>
    </row>
    <row r="12769" customFormat="false" ht="17.15" hidden="false" customHeight="false" outlineLevel="0" collapsed="false">
      <c r="A12769" s="1" t="s">
        <v>1067</v>
      </c>
      <c r="B12769" s="0" t="s">
        <v>98</v>
      </c>
      <c r="C12769" s="6" t="n">
        <f aca="false">Sens!$C$12767+CF!E100-CF!E89+oai_v</f>
        <v>1901.37813739897</v>
      </c>
    </row>
    <row r="12770" customFormat="false" ht="17.15" hidden="false" customHeight="false" outlineLevel="0" collapsed="false">
      <c r="A12770" s="0" t="s">
        <v>994</v>
      </c>
      <c r="B12770" s="0" t="s">
        <v>75</v>
      </c>
      <c r="C12770" s="5" t="n">
        <f aca="false">Sens!$C$12769/sh_dil26</f>
        <v>255.115810733795</v>
      </c>
    </row>
    <row r="12771" customFormat="false" ht="15" hidden="false" customHeight="false" outlineLevel="0" collapsed="false">
      <c r="A12771" s="1" t="s">
        <v>1068</v>
      </c>
      <c r="B12771" s="0" t="s">
        <v>75</v>
      </c>
      <c r="C12771" s="8" t="n">
        <f aca="false">dps_27+CF!G92*roll_div_q/q_per_yr</f>
        <v>4.8895</v>
      </c>
    </row>
    <row r="12772" customFormat="false" ht="17.15" hidden="false" customHeight="false" outlineLevel="0" collapsed="false">
      <c r="A12772" s="0" t="s">
        <v>1069</v>
      </c>
      <c r="B12772" s="0" t="s">
        <v>75</v>
      </c>
      <c r="C12772" s="5" t="n">
        <f aca="false">Sens!$C$12770*(1+wacc)^t_roll-Sens!$C$12771</f>
        <v>285.619391878502</v>
      </c>
    </row>
    <row r="12773" customFormat="false" ht="17.15" hidden="false" customHeight="false" outlineLevel="0" collapsed="false">
      <c r="A12773" s="1" t="s">
        <v>1070</v>
      </c>
      <c r="B12773" s="0" t="s">
        <v>129</v>
      </c>
      <c r="F12773" s="7" t="n">
        <f aca="false">CF!F79/(Seg!F83-Thesis!F121)</f>
        <v>0.0711475516535717</v>
      </c>
      <c r="G12773" s="7" t="n">
        <f aca="false">CF!G79/(Seg!G83-Thesis!G121)</f>
        <v>0.0682588862083999</v>
      </c>
      <c r="H12773" s="7" t="n">
        <f aca="false">CF!H79/(Seg!H83-Thesis!H121)</f>
        <v>0.0666622170094897</v>
      </c>
      <c r="I12773" s="7" t="n">
        <f aca="false">CF!I79/(Seg!I83-Thesis!I121)</f>
        <v>0.0661991449367101</v>
      </c>
      <c r="J12773" s="7" t="n">
        <f aca="false">CF!J79/(Seg!J83-Thesis!J121)</f>
        <v>0.0666400583966394</v>
      </c>
      <c r="K12773" s="7" t="n">
        <f aca="false">CF!K79/(Seg!K83-Thesis!K121)</f>
        <v>0.0677351822588561</v>
      </c>
    </row>
    <row r="12774" customFormat="false" ht="17.15" hidden="false" customHeight="false" outlineLevel="0" collapsed="false">
      <c r="A12774" s="0" t="s">
        <v>1071</v>
      </c>
      <c r="B12774" s="0" t="s">
        <v>98</v>
      </c>
      <c r="F12774" s="6" t="n">
        <f aca="false">Seg!F68*(al_m365+Sens!F12773+sbc_r)</f>
        <v>83.1760446796226</v>
      </c>
      <c r="G12774" s="6" t="n">
        <f aca="false">Seg!G68*(al_m365+Sens!G12773+sbc_r)</f>
        <v>93.5286621744803</v>
      </c>
      <c r="H12774" s="6" t="n">
        <f aca="false">Seg!H68*(al_m365+Sens!H12773+sbc_r)</f>
        <v>104.041881899886</v>
      </c>
      <c r="I12774" s="6" t="n">
        <f aca="false">Seg!I68*(al_m365+Sens!I12773+sbc_r)</f>
        <v>114.039361049722</v>
      </c>
      <c r="J12774" s="6" t="n">
        <f aca="false">Seg!J68*(al_m365+Sens!J12773+sbc_r)</f>
        <v>123.332589690985</v>
      </c>
      <c r="K12774" s="6" t="n">
        <f aca="false">Seg!K68*(al_m365+Sens!K12773+sbc_r)</f>
        <v>132.229319216379</v>
      </c>
      <c r="L12774" s="11" t="s">
        <v>1072</v>
      </c>
    </row>
    <row r="12775" customFormat="false" ht="17.15" hidden="false" customHeight="false" outlineLevel="0" collapsed="false">
      <c r="A12775" s="0" t="s">
        <v>1073</v>
      </c>
      <c r="B12775" s="0" t="s">
        <v>98</v>
      </c>
      <c r="F12775" s="6" t="n">
        <f aca="false">Seg!F69*(al_lic+Sens!F12773+sbc_r)</f>
        <v>33.5445611735131</v>
      </c>
      <c r="G12775" s="6" t="n">
        <f aca="false">Seg!G69*(al_lic+Sens!G12773+sbc_r)</f>
        <v>34.8473362891936</v>
      </c>
      <c r="H12775" s="6" t="n">
        <f aca="false">Seg!H69*(al_lic+Sens!H12773+sbc_r)</f>
        <v>36.0608450618725</v>
      </c>
      <c r="I12775" s="6" t="n">
        <f aca="false">Seg!I69*(al_lic+Sens!I12773+sbc_r)</f>
        <v>37.1647768367666</v>
      </c>
      <c r="J12775" s="6" t="n">
        <f aca="false">Seg!J69*(al_lic+Sens!J12773+sbc_r)</f>
        <v>38.1353659513221</v>
      </c>
      <c r="K12775" s="6" t="n">
        <f aca="false">Seg!K69*(al_lic+Sens!K12773+sbc_r)</f>
        <v>38.9479527536449</v>
      </c>
    </row>
    <row r="12776" customFormat="false" ht="17.15" hidden="false" customHeight="false" outlineLevel="0" collapsed="false">
      <c r="A12776" s="0" t="s">
        <v>1074</v>
      </c>
      <c r="B12776" s="0" t="s">
        <v>98</v>
      </c>
      <c r="F12776" s="6" t="n">
        <f aca="false">Seg!F71*(al_ind+Sens!F12773+sbc_r)</f>
        <v>9.13359830063899</v>
      </c>
      <c r="G12776" s="6" t="n">
        <f aca="false">Seg!G71*(al_ind+Sens!G12773+sbc_r)</f>
        <v>9.91355811855172</v>
      </c>
      <c r="H12776" s="6" t="n">
        <f aca="false">Seg!H71*(al_ind+Sens!H12773+sbc_r)</f>
        <v>10.737007894057</v>
      </c>
      <c r="I12776" s="6" t="n">
        <f aca="false">Seg!I71*(al_ind+Sens!I12773+sbc_r)</f>
        <v>11.5994300763088</v>
      </c>
      <c r="J12776" s="6" t="n">
        <f aca="false">Seg!J71*(al_ind+Sens!J12773+sbc_r)</f>
        <v>12.4920789859702</v>
      </c>
      <c r="K12776" s="6" t="n">
        <f aca="false">Seg!K71*(al_ind+Sens!K12773+sbc_r)</f>
        <v>13.4027551573777</v>
      </c>
    </row>
    <row r="12777" customFormat="false" ht="17.15" hidden="false" customHeight="false" outlineLevel="0" collapsed="false">
      <c r="A12777" s="0" t="s">
        <v>1075</v>
      </c>
      <c r="B12777" s="0" t="s">
        <v>98</v>
      </c>
      <c r="F12777" s="6" t="n">
        <f aca="false">Seg!F73*(al_fro+Sens!F12773+sbc_r)</f>
        <v>3.59501635737694</v>
      </c>
      <c r="G12777" s="6" t="n">
        <f aca="false">Seg!G73*(al_fro+Sens!G12773+sbc_r)</f>
        <v>3.80622021137838</v>
      </c>
      <c r="H12777" s="6" t="n">
        <f aca="false">Seg!H73*(al_fro+Sens!H12773+sbc_r)</f>
        <v>4.04607207599632</v>
      </c>
      <c r="I12777" s="6" t="n">
        <f aca="false">Seg!I73*(al_fro+Sens!I12773+sbc_r)</f>
        <v>4.31683578333903</v>
      </c>
      <c r="J12777" s="6" t="n">
        <f aca="false">Seg!J73*(al_fro+Sens!J12773+sbc_r)</f>
        <v>4.62005087871645</v>
      </c>
      <c r="K12777" s="6" t="n">
        <f aca="false">Seg!K73*(al_fro+Sens!K12773+sbc_r)</f>
        <v>4.95685392412327</v>
      </c>
    </row>
    <row r="12778" customFormat="false" ht="17.15" hidden="false" customHeight="false" outlineLevel="0" collapsed="false">
      <c r="A12778" s="0" t="s">
        <v>1076</v>
      </c>
      <c r="B12778" s="0" t="s">
        <v>98</v>
      </c>
      <c r="F12778" s="6" t="n">
        <f aca="false">Seg!F76*(al_srch+Sens!F12773+sbc_r)</f>
        <v>11.2801258639919</v>
      </c>
      <c r="G12778" s="6" t="n">
        <f aca="false">Seg!G76*(al_srch+Sens!G12773+sbc_r)</f>
        <v>12.3589086285988</v>
      </c>
      <c r="H12778" s="6" t="n">
        <f aca="false">Seg!H76*(al_srch+Sens!H12773+sbc_r)</f>
        <v>13.4807030139583</v>
      </c>
      <c r="I12778" s="6" t="n">
        <f aca="false">Seg!I76*(al_srch+Sens!I12773+sbc_r)</f>
        <v>14.6329459978989</v>
      </c>
      <c r="J12778" s="6" t="n">
        <f aca="false">Seg!J76*(al_srch+Sens!J12773+sbc_r)</f>
        <v>15.7968154400613</v>
      </c>
      <c r="K12778" s="6" t="n">
        <f aca="false">Seg!K76*(al_srch+Sens!K12773+sbc_r)</f>
        <v>16.9484078548661</v>
      </c>
    </row>
    <row r="12779" customFormat="false" ht="17.15" hidden="false" customHeight="false" outlineLevel="0" collapsed="false">
      <c r="A12779" s="0" t="s">
        <v>1077</v>
      </c>
      <c r="B12779" s="0" t="s">
        <v>98</v>
      </c>
      <c r="F12779" s="6" t="n">
        <f aca="false">Thesis!F127-Thesis!F128+Thesis!F142</f>
        <v>38.6797715123049</v>
      </c>
      <c r="G12779" s="6" t="n">
        <f aca="false">Thesis!G127-Thesis!G128+Thesis!G142</f>
        <v>67.9698044367775</v>
      </c>
      <c r="H12779" s="6" t="n">
        <f aca="false">Thesis!H127-Thesis!H128+Thesis!H142</f>
        <v>94.4027386785771</v>
      </c>
      <c r="I12779" s="6" t="n">
        <f aca="false">Thesis!I127-Thesis!I128+Thesis!I142</f>
        <v>124.629799296032</v>
      </c>
      <c r="J12779" s="6" t="n">
        <f aca="false">Thesis!J127-Thesis!J128+Thesis!J142</f>
        <v>146.1886418102</v>
      </c>
      <c r="K12779" s="6" t="n">
        <f aca="false">Thesis!K127-Thesis!K128+Thesis!K142</f>
        <v>160.310017660072</v>
      </c>
    </row>
    <row r="12780" customFormat="false" ht="17.15" hidden="false" customHeight="false" outlineLevel="0" collapsed="false">
      <c r="A12780" s="0" t="s">
        <v>1078</v>
      </c>
      <c r="B12780" s="0" t="s">
        <v>98</v>
      </c>
      <c r="F12780" s="6" t="n">
        <f aca="false">PL!F110+Thesis!F142+Thesis!F138+Sens!F12773*(Seg!F75-Thesis!F121)+sbc_r*Seg!F75</f>
        <v>228.424576651163</v>
      </c>
      <c r="G12780" s="6" t="n">
        <f aca="false">PL!G110+Thesis!G142+Thesis!G138+Sens!G12773*(Seg!G75-Thesis!G121)+sbc_r*Seg!G75</f>
        <v>282.553934266667</v>
      </c>
      <c r="H12780" s="6" t="n">
        <f aca="false">PL!H110+Thesis!H142+Thesis!H138+Sens!H12773*(Seg!H75-Thesis!H121)+sbc_r*Seg!H75</f>
        <v>334.098428585803</v>
      </c>
      <c r="I12780" s="6" t="n">
        <f aca="false">PL!I110+Thesis!I142+Thesis!I138+Sens!I12773*(Seg!I75-Thesis!I121)+sbc_r*Seg!I75</f>
        <v>388.820980572235</v>
      </c>
      <c r="J12780" s="6" t="n">
        <f aca="false">PL!J110+Thesis!J142+Thesis!J138+Sens!J12773*(Seg!J75-Thesis!J121)+sbc_r*Seg!J75</f>
        <v>432.983845251655</v>
      </c>
      <c r="K12780" s="6" t="n">
        <f aca="false">PL!K110+Thesis!K142+Thesis!K138+Sens!K12773*(Seg!K75-Thesis!K121)+sbc_r*Seg!K75</f>
        <v>467.422879139155</v>
      </c>
    </row>
    <row r="12781" customFormat="false" ht="17.15" hidden="false" customHeight="false" outlineLevel="0" collapsed="false">
      <c r="A12781" s="0" t="s">
        <v>1079</v>
      </c>
      <c r="B12781" s="0" t="s">
        <v>98</v>
      </c>
      <c r="F12781" s="6" t="n">
        <f aca="false">Sens!F12780-Sens!F12774-Sens!F12775-Sens!F12776-Sens!F12777-Sens!F12779</f>
        <v>60.2955846277069</v>
      </c>
      <c r="G12781" s="6" t="n">
        <f aca="false">Sens!G12780-Sens!G12774-Sens!G12775-Sens!G12776-Sens!G12777-Sens!G12779</f>
        <v>72.4883530362854</v>
      </c>
      <c r="H12781" s="6" t="n">
        <f aca="false">Sens!H12780-Sens!H12774-Sens!H12775-Sens!H12776-Sens!H12777-Sens!H12779</f>
        <v>84.8098829754144</v>
      </c>
      <c r="I12781" s="6" t="n">
        <f aca="false">Sens!I12780-Sens!I12774-Sens!I12775-Sens!I12776-Sens!I12777-Sens!I12779</f>
        <v>97.0707775300671</v>
      </c>
      <c r="J12781" s="6" t="n">
        <f aca="false">Sens!J12780-Sens!J12774-Sens!J12775-Sens!J12776-Sens!J12777-Sens!J12779</f>
        <v>108.215117934462</v>
      </c>
      <c r="K12781" s="6" t="n">
        <f aca="false">Sens!K12780-Sens!K12774-Sens!K12775-Sens!K12776-Sens!K12777-Sens!K12779</f>
        <v>117.575980427559</v>
      </c>
    </row>
    <row r="12782" customFormat="false" ht="17.15" hidden="false" customHeight="false" outlineLevel="0" collapsed="false">
      <c r="A12782" s="0" t="s">
        <v>1080</v>
      </c>
      <c r="B12782" s="0" t="s">
        <v>98</v>
      </c>
      <c r="F12782" s="6" t="n">
        <f aca="false">PL!F112+Sens!F12773*Seg!F82+sbc_r*Seg!F82</f>
        <v>26.3652761595447</v>
      </c>
      <c r="G12782" s="6" t="n">
        <f aca="false">PL!G112+Sens!G12773*Seg!G82+sbc_r*Seg!G82</f>
        <v>26.9742866145486</v>
      </c>
      <c r="H12782" s="6" t="n">
        <f aca="false">PL!H112+Sens!H12773*Seg!H82+sbc_r*Seg!H82</f>
        <v>27.8483067679033</v>
      </c>
      <c r="I12782" s="6" t="n">
        <f aca="false">PL!I112+Sens!I12773*Seg!I82+sbc_r*Seg!I82</f>
        <v>28.9540944937551</v>
      </c>
      <c r="J12782" s="6" t="n">
        <f aca="false">PL!J112+Sens!J12773*Seg!J82+sbc_r*Seg!J82</f>
        <v>30.2591967501426</v>
      </c>
      <c r="K12782" s="6" t="n">
        <f aca="false">PL!K112+Sens!K12773*Seg!K82+sbc_r*Seg!K82</f>
        <v>31.7334012124467</v>
      </c>
    </row>
    <row r="12783" customFormat="false" ht="17.15" hidden="false" customHeight="false" outlineLevel="0" collapsed="false">
      <c r="A12783" s="0" t="s">
        <v>1081</v>
      </c>
      <c r="B12783" s="0" t="s">
        <v>98</v>
      </c>
      <c r="F12783" s="6" t="n">
        <f aca="false">(Sens!F12782-Sens!F12778)*Seg!F78/(Seg!F78+Seg!F80)</f>
        <v>8.26953246478712</v>
      </c>
      <c r="G12783" s="6" t="n">
        <f aca="false">(Sens!G12782-Sens!G12778)*Seg!G78/(Seg!G78+Seg!G80)</f>
        <v>7.8691542635731</v>
      </c>
      <c r="H12783" s="6" t="n">
        <f aca="false">(Sens!H12782-Sens!H12778)*Seg!H78/(Seg!H78+Seg!H80)</f>
        <v>7.63125160105973</v>
      </c>
      <c r="I12783" s="6" t="n">
        <f aca="false">(Sens!I12782-Sens!I12778)*Seg!I78/(Seg!I78+Seg!I80)</f>
        <v>7.53775281020212</v>
      </c>
      <c r="J12783" s="6" t="n">
        <f aca="false">(Sens!J12782-Sens!J12778)*Seg!J78/(Seg!J78+Seg!J80)</f>
        <v>7.57766730524412</v>
      </c>
      <c r="K12783" s="6" t="n">
        <f aca="false">(Sens!K12782-Sens!K12778)*Seg!K78/(Seg!K78+Seg!K80)</f>
        <v>7.74670217662515</v>
      </c>
    </row>
    <row r="12784" customFormat="false" ht="17.15" hidden="false" customHeight="false" outlineLevel="0" collapsed="false">
      <c r="A12784" s="0" t="s">
        <v>1082</v>
      </c>
      <c r="B12784" s="0" t="s">
        <v>98</v>
      </c>
      <c r="F12784" s="6" t="n">
        <f aca="false">Sens!F12782-Sens!F12778-Sens!F12783</f>
        <v>6.81561783076564</v>
      </c>
      <c r="G12784" s="6" t="n">
        <f aca="false">Sens!G12782-Sens!G12778-Sens!G12783</f>
        <v>6.74622372237672</v>
      </c>
      <c r="H12784" s="6" t="n">
        <f aca="false">Sens!H12782-Sens!H12778-Sens!H12783</f>
        <v>6.73635215288526</v>
      </c>
      <c r="I12784" s="6" t="n">
        <f aca="false">Sens!I12782-Sens!I12778-Sens!I12783</f>
        <v>6.78339568565411</v>
      </c>
      <c r="J12784" s="6" t="n">
        <f aca="false">Sens!J12782-Sens!J12778-Sens!J12783</f>
        <v>6.88471400483723</v>
      </c>
      <c r="K12784" s="6" t="n">
        <f aca="false">Sens!K12782-Sens!K12778-Sens!K12783</f>
        <v>7.03829118095546</v>
      </c>
    </row>
    <row r="12785" customFormat="false" ht="17.15" hidden="false" customHeight="false" outlineLevel="0" collapsed="false">
      <c r="A12785" s="0" t="s">
        <v>1083</v>
      </c>
      <c r="B12785" s="0" t="s">
        <v>98</v>
      </c>
      <c r="F12785" s="6" t="n">
        <f aca="false">Sens!F12779-tax_f*(Sens!F12779-Thesis!F138)-Thesis!F135</f>
        <v>-122.579081185432</v>
      </c>
      <c r="G12785" s="6" t="n">
        <f aca="false">Sens!G12779-tax_f*(Sens!G12779-Thesis!G138)-Thesis!G135</f>
        <v>-117.373249511676</v>
      </c>
      <c r="H12785" s="6" t="n">
        <f aca="false">Sens!H12779-tax_f*(Sens!H12779-Thesis!H138)-Thesis!H135</f>
        <v>-95.285890998876</v>
      </c>
      <c r="I12785" s="6" t="n">
        <f aca="false">Sens!I12779-tax_f*(Sens!I12779-Thesis!I138)-Thesis!I135</f>
        <v>-41.8816809509416</v>
      </c>
      <c r="J12785" s="6" t="n">
        <f aca="false">Sens!J12779-tax_f*(Sens!J12779-Thesis!J138)-Thesis!J135</f>
        <v>15.3691414244864</v>
      </c>
      <c r="K12785" s="6" t="n">
        <f aca="false">Sens!K12779-tax_f*(Sens!K12779-Thesis!K138)-Thesis!K135</f>
        <v>34.6668916333283</v>
      </c>
    </row>
    <row r="12786" customFormat="false" ht="17.15" hidden="false" customHeight="false" outlineLevel="0" collapsed="false">
      <c r="A12786" s="0" t="s">
        <v>1084</v>
      </c>
      <c r="B12786" s="0" t="s">
        <v>98</v>
      </c>
      <c r="G12786" s="6" t="n">
        <f aca="false">Sens!G12785/(1+wacc)^(Sens!G12758-(Sens!F12758+mid_yr))</f>
        <v>-111.762030423885</v>
      </c>
      <c r="H12786" s="6" t="n">
        <f aca="false">Sens!H12785/(1+wacc)^(Sens!H12758-(Sens!F12758+mid_yr))</f>
        <v>-82.2629091581412</v>
      </c>
      <c r="I12786" s="6" t="n">
        <f aca="false">Sens!I12785/(1+wacc)^(Sens!I12758-(Sens!F12758+mid_yr))</f>
        <v>-32.7830894246659</v>
      </c>
      <c r="J12786" s="6" t="n">
        <f aca="false">Sens!J12785/(1+wacc)^(Sens!J12758-(Sens!F12758+mid_yr))</f>
        <v>10.907511786022</v>
      </c>
      <c r="K12786" s="6" t="n">
        <f aca="false">Sens!K12785/(1+wacc)^(Sens!K12758-(Sens!F12758+mid_yr))</f>
        <v>22.3070066431388</v>
      </c>
      <c r="L12786" s="1" t="s">
        <v>1085</v>
      </c>
    </row>
    <row r="12787" customFormat="false" ht="17.15" hidden="false" customHeight="false" outlineLevel="0" collapsed="false">
      <c r="A12787" s="0" t="s">
        <v>1086</v>
      </c>
      <c r="B12787" s="0" t="s">
        <v>98</v>
      </c>
      <c r="C12787" s="6" t="n">
        <f aca="false">(Sens!K12779-Thesis!K138)*(1-tax_f)*(1+g_tv_hi)*(1-g_tv_hi/(wacc+ronic_prem))/(wacc-g_tv_hi)/(1+wacc)^(Sens!K12758+mid_yr-(Sens!F12758+mid_yr))</f>
        <v>104.884315795098</v>
      </c>
    </row>
    <row r="12788" customFormat="false" ht="17.15" hidden="false" customHeight="false" outlineLevel="0" collapsed="false">
      <c r="A12788" s="1" t="s">
        <v>1087</v>
      </c>
      <c r="B12788" s="0" t="s">
        <v>98</v>
      </c>
      <c r="C12788" s="6" t="n">
        <f aca="false">(SUM(Sens!G12786:K12786)+Sens!$C$12787)*(1+wacc)^(t_roll-(Sens!F12758+mid_yr))</f>
        <v>-91.58851171604</v>
      </c>
      <c r="L12788" s="11" t="s">
        <v>1088</v>
      </c>
    </row>
    <row r="12789" customFormat="false" ht="17.15" hidden="false" customHeight="false" outlineLevel="0" collapsed="false">
      <c r="A12789" s="1" t="s">
        <v>1089</v>
      </c>
      <c r="B12789" s="0" t="s">
        <v>98</v>
      </c>
      <c r="C12789" s="6" t="n">
        <f aca="false">(w_ntm28*Thesis!G127+(1-w_ntm28)*Thesis!H127)*m_ai</f>
        <v>338.776008390068</v>
      </c>
    </row>
    <row r="12790" customFormat="false" ht="17.15" hidden="false" customHeight="false" outlineLevel="0" collapsed="false">
      <c r="A12790" s="1" t="s">
        <v>1090</v>
      </c>
      <c r="B12790" s="0" t="s">
        <v>98</v>
      </c>
      <c r="C12790" s="6" t="n">
        <f aca="false">(w_ntm28*Sens!G12781+(1-w_ntm28)*Sens!H12781)*m_cloud</f>
        <v>1056.83960927252</v>
      </c>
    </row>
    <row r="12791" customFormat="false" ht="17.15" hidden="false" customHeight="false" outlineLevel="0" collapsed="false">
      <c r="A12791" s="1" t="s">
        <v>1091</v>
      </c>
      <c r="B12791" s="0" t="s">
        <v>98</v>
      </c>
      <c r="C12791" s="6" t="n">
        <f aca="false">(w_ntm28*Sens!G12774+(1-w_ntm28)*Sens!H12774)*m_sw</f>
        <v>1046.81653016399</v>
      </c>
    </row>
    <row r="12792" customFormat="false" ht="17.15" hidden="false" customHeight="false" outlineLevel="0" collapsed="false">
      <c r="A12792" s="1" t="s">
        <v>1092</v>
      </c>
      <c r="B12792" s="0" t="s">
        <v>98</v>
      </c>
      <c r="C12792" s="6" t="n">
        <f aca="false">(w_ntm28*Sens!G12775+(1-w_ntm28)*Sens!H12775)*m_sw</f>
        <v>380.588206114803</v>
      </c>
    </row>
    <row r="12793" customFormat="false" ht="17.15" hidden="false" customHeight="false" outlineLevel="0" collapsed="false">
      <c r="A12793" s="1" t="s">
        <v>1093</v>
      </c>
      <c r="B12793" s="0" t="s">
        <v>98</v>
      </c>
      <c r="C12793" s="6" t="n">
        <f aca="false">(w_ntm28*Sens!G12776+(1-w_ntm28)*Sens!H12776)*m_sw</f>
        <v>109.941508211602</v>
      </c>
    </row>
    <row r="12794" customFormat="false" ht="17.15" hidden="false" customHeight="false" outlineLevel="0" collapsed="false">
      <c r="A12794" s="1" t="s">
        <v>1094</v>
      </c>
      <c r="B12794" s="0" t="s">
        <v>98</v>
      </c>
      <c r="C12794" s="6" t="n">
        <f aca="false">(w_ntm28*Sens!G12777+(1-w_ntm28)*Sens!H12777)*m_sw</f>
        <v>41.944622711021</v>
      </c>
    </row>
    <row r="12795" customFormat="false" ht="17.15" hidden="false" customHeight="false" outlineLevel="0" collapsed="false">
      <c r="A12795" s="1" t="s">
        <v>1095</v>
      </c>
      <c r="B12795" s="0" t="s">
        <v>98</v>
      </c>
      <c r="C12795" s="6" t="n">
        <f aca="false">(w_ntm28*Sens!G12778+(1-w_ntm28)*Sens!H12778)*m_ads</f>
        <v>115.893511108929</v>
      </c>
    </row>
    <row r="12796" customFormat="false" ht="17.15" hidden="false" customHeight="false" outlineLevel="0" collapsed="false">
      <c r="A12796" s="1" t="s">
        <v>1096</v>
      </c>
      <c r="B12796" s="0" t="s">
        <v>98</v>
      </c>
      <c r="C12796" s="6" t="n">
        <f aca="false">(w_ntm28*Sens!G12783+(1-w_ntm28)*Sens!H12783)*m_game</f>
        <v>98.416032447421</v>
      </c>
    </row>
    <row r="12797" customFormat="false" ht="17.15" hidden="false" customHeight="false" outlineLevel="0" collapsed="false">
      <c r="A12797" s="1" t="s">
        <v>1097</v>
      </c>
      <c r="B12797" s="0" t="s">
        <v>98</v>
      </c>
      <c r="C12797" s="6" t="n">
        <f aca="false">(w_ntm28*Sens!G12784+(1-w_ntm28)*Sens!H12784)*m_pc</f>
        <v>97.5716783311641</v>
      </c>
    </row>
    <row r="12798" customFormat="false" ht="17.15" hidden="false" customHeight="false" outlineLevel="0" collapsed="false">
      <c r="A12798" s="1" t="s">
        <v>1098</v>
      </c>
      <c r="B12798" s="0" t="s">
        <v>98</v>
      </c>
      <c r="C12798" s="6" t="n">
        <f aca="false">Sens!$C$12788+Sens!$C$12790+Sens!$C$12791+Sens!$C$12792+Sens!$C$12793+Sens!$C$12794+Sens!$C$12795+Sens!$C$12796+Sens!$C$12797</f>
        <v>2856.42318664541</v>
      </c>
    </row>
    <row r="12799" customFormat="false" ht="17.15" hidden="false" customHeight="false" outlineLevel="0" collapsed="false">
      <c r="A12799" s="1" t="s">
        <v>1099</v>
      </c>
      <c r="B12799" s="0" t="s">
        <v>98</v>
      </c>
      <c r="C12799" s="6" t="n">
        <f aca="false">(Sens!G12760-Sens!G12785)*t_stub</f>
        <v>46.8760727339385</v>
      </c>
      <c r="L12799" s="1" t="s">
        <v>1100</v>
      </c>
    </row>
    <row r="12800" customFormat="false" ht="17.15" hidden="false" customHeight="false" outlineLevel="0" collapsed="false">
      <c r="A12800" s="1" t="s">
        <v>1014</v>
      </c>
      <c r="B12800" s="0" t="s">
        <v>98</v>
      </c>
      <c r="C12800" s="6" t="n">
        <f aca="false">CF!F100+oai_v-CF!F89+Sens!$C$12799</f>
        <v>153.718233647662</v>
      </c>
      <c r="L12800" s="1" t="s">
        <v>1101</v>
      </c>
    </row>
    <row r="12801" customFormat="false" ht="17.15" hidden="false" customHeight="false" outlineLevel="0" collapsed="false">
      <c r="A12801" s="1" t="s">
        <v>1102</v>
      </c>
      <c r="B12801" s="0" t="s">
        <v>75</v>
      </c>
      <c r="C12801" s="5" t="n">
        <f aca="false">(Sens!$C$12798+Sens!$C$12800)/(CF!F102+dil_gap)-CF!G92*roll_div_q/q_per_yr</f>
        <v>400.526858096728</v>
      </c>
      <c r="L12801" s="1" t="s">
        <v>1103</v>
      </c>
    </row>
    <row r="12802" customFormat="false" ht="17.15" hidden="false" customHeight="false" outlineLevel="0" collapsed="false">
      <c r="A12802" s="1" t="s">
        <v>1104</v>
      </c>
      <c r="B12802" s="0" t="s">
        <v>75</v>
      </c>
      <c r="C12802" s="5" t="n">
        <f aca="false">w_dcf*Sens!$C$12772+(1-w_dcf)*Sens!$C$12801</f>
        <v>343.073124987615</v>
      </c>
    </row>
    <row r="12803" customFormat="false" ht="17.15" hidden="false" customHeight="false" outlineLevel="0" collapsed="false">
      <c r="A12803" s="3" t="s">
        <v>1589</v>
      </c>
    </row>
    <row r="12804" customFormat="false" ht="15" hidden="false" customHeight="false" outlineLevel="0" collapsed="false">
      <c r="A12804" s="4" t="s">
        <v>43</v>
      </c>
      <c r="B12804" s="4" t="s">
        <v>65</v>
      </c>
      <c r="C12804" s="20" t="s">
        <v>799</v>
      </c>
      <c r="D12804" s="20" t="s">
        <v>800</v>
      </c>
      <c r="E12804" s="20" t="s">
        <v>801</v>
      </c>
      <c r="F12804" s="20" t="s">
        <v>802</v>
      </c>
      <c r="G12804" s="20" t="s">
        <v>803</v>
      </c>
      <c r="H12804" s="20" t="s">
        <v>804</v>
      </c>
      <c r="I12804" s="20" t="s">
        <v>805</v>
      </c>
      <c r="J12804" s="20" t="s">
        <v>806</v>
      </c>
      <c r="K12804" s="20" t="s">
        <v>807</v>
      </c>
      <c r="L12804" s="4" t="s">
        <v>47</v>
      </c>
    </row>
    <row r="12805" customFormat="false" ht="15" hidden="false" customHeight="false" outlineLevel="0" collapsed="false">
      <c r="A12805" s="1" t="s">
        <v>1057</v>
      </c>
      <c r="B12805" s="1" t="s">
        <v>235</v>
      </c>
      <c r="F12805" s="36" t="n">
        <f aca="false">Thesis!F6-base_fy-mid_yr</f>
        <v>0.5</v>
      </c>
      <c r="G12805" s="36" t="n">
        <f aca="false">Thesis!G6-base_fy-mid_yr</f>
        <v>1.5</v>
      </c>
      <c r="H12805" s="36" t="n">
        <f aca="false">Thesis!H6-base_fy-mid_yr</f>
        <v>2.5</v>
      </c>
      <c r="I12805" s="36" t="n">
        <f aca="false">Thesis!I6-base_fy-mid_yr</f>
        <v>3.5</v>
      </c>
      <c r="J12805" s="36" t="n">
        <f aca="false">Thesis!J6-base_fy-mid_yr</f>
        <v>4.5</v>
      </c>
      <c r="K12805" s="36" t="n">
        <f aca="false">Thesis!K6-base_fy-mid_yr</f>
        <v>5.5</v>
      </c>
    </row>
    <row r="12806" customFormat="false" ht="15" hidden="false" customHeight="false" outlineLevel="0" collapsed="false">
      <c r="A12806" s="1" t="s">
        <v>1058</v>
      </c>
      <c r="B12806" s="0" t="s">
        <v>185</v>
      </c>
      <c r="F12806" s="14" t="n">
        <f aca="false">1/(1+((px*sh_out26*(rf+beta*erp_lo)+(debt_face+fl_liab)*kd*(1-tax_w))/(px*sh_out26+debt_face+fl_liab)))^Sens!F12805</f>
        <v>0.954492882858299</v>
      </c>
      <c r="G12806" s="14" t="n">
        <f aca="false">1/(1+((px*sh_out26*(rf+beta*erp_lo)+(debt_face+fl_liab)*kd*(1-tax_w))/(px*sh_out26+debt_face+fl_liab)))^Sens!G12805</f>
        <v>0.869597101121839</v>
      </c>
      <c r="H12806" s="14" t="n">
        <f aca="false">1/(1+((px*sh_out26*(rf+beta*erp_lo)+(debt_face+fl_liab)*kd*(1-tax_w))/(px*sh_out26+debt_face+fl_liab)))^Sens!H12805</f>
        <v>0.792252233473981</v>
      </c>
      <c r="I12806" s="14" t="n">
        <f aca="false">1/(1+((px*sh_out26*(rf+beta*erp_lo)+(debt_face+fl_liab)*kd*(1-tax_w))/(px*sh_out26+debt_face+fl_liab)))^Sens!I12805</f>
        <v>0.721786676421509</v>
      </c>
      <c r="J12806" s="14" t="n">
        <f aca="false">1/(1+((px*sh_out26*(rf+beta*erp_lo)+(debt_face+fl_liab)*kd*(1-tax_w))/(px*sh_out26+debt_face+fl_liab)))^Sens!J12805</f>
        <v>0.657588561126749</v>
      </c>
      <c r="K12806" s="14" t="n">
        <f aca="false">1/(1+((px*sh_out26*(rf+beta*erp_lo)+(debt_face+fl_liab)*kd*(1-tax_w))/(px*sh_out26+debt_face+fl_liab)))^Sens!K12805</f>
        <v>0.599100440407994</v>
      </c>
    </row>
    <row r="12807" customFormat="false" ht="17.15" hidden="false" customHeight="false" outlineLevel="0" collapsed="false">
      <c r="A12807" s="1" t="s">
        <v>1059</v>
      </c>
      <c r="B12807" s="0" t="s">
        <v>98</v>
      </c>
      <c r="F12807" s="6" t="n">
        <f aca="false">CF!F22-CF!F20-CF!F26+Thesis!F44*(1-tax_f)</f>
        <v>0.8175674752552</v>
      </c>
      <c r="G12807" s="6" t="n">
        <f aca="false">CF!G22-CF!G20-CF!G26+Thesis!G44*(1-tax_f)</f>
        <v>46.5945454778033</v>
      </c>
      <c r="H12807" s="6" t="n">
        <f aca="false">CF!H22-CF!H20-CF!H26+Thesis!H44*(1-tax_f)</f>
        <v>105.224067029101</v>
      </c>
      <c r="I12807" s="6" t="n">
        <f aca="false">CF!I22-CF!I20-CF!I26+Thesis!I44*(1-tax_f)</f>
        <v>183.301417205555</v>
      </c>
      <c r="J12807" s="6" t="n">
        <f aca="false">CF!J22-CF!J20-CF!J26+Thesis!J44*(1-tax_f)</f>
        <v>261.555335183242</v>
      </c>
      <c r="K12807" s="6" t="n">
        <f aca="false">CF!K22-CF!K20-CF!K26+Thesis!K44*(1-tax_f)</f>
        <v>298.387942209483</v>
      </c>
      <c r="L12807" s="1" t="s">
        <v>1060</v>
      </c>
    </row>
    <row r="12808" customFormat="false" ht="15" hidden="false" customHeight="false" outlineLevel="0" collapsed="false">
      <c r="A12808" s="1" t="s">
        <v>1061</v>
      </c>
      <c r="B12808" s="0" t="s">
        <v>98</v>
      </c>
      <c r="F12808" s="6" t="n">
        <f aca="false">Sens!F12807*Sens!F12806</f>
        <v>0.780362336387517</v>
      </c>
      <c r="G12808" s="6" t="n">
        <f aca="false">Sens!G12807*Sens!G12806</f>
        <v>40.5184816755875</v>
      </c>
      <c r="H12808" s="6" t="n">
        <f aca="false">Sens!H12807*Sens!H12806</f>
        <v>83.3640021190214</v>
      </c>
      <c r="I12808" s="6" t="n">
        <f aca="false">Sens!I12807*Sens!I12806</f>
        <v>132.30452070815</v>
      </c>
      <c r="J12808" s="6" t="n">
        <f aca="false">Sens!J12807*Sens!J12806</f>
        <v>171.995796518172</v>
      </c>
      <c r="K12808" s="6" t="n">
        <f aca="false">Sens!K12807*Sens!K12806</f>
        <v>178.764347590136</v>
      </c>
    </row>
    <row r="12809" customFormat="false" ht="17.15" hidden="false" customHeight="false" outlineLevel="0" collapsed="false">
      <c r="A12809" s="1" t="s">
        <v>1062</v>
      </c>
      <c r="B12809" s="0" t="s">
        <v>98</v>
      </c>
      <c r="C12809" s="6" t="n">
        <f aca="false">SUM(Sens!F12808:K12808)</f>
        <v>607.727510947455</v>
      </c>
    </row>
    <row r="12810" customFormat="false" ht="17.15" hidden="false" customHeight="false" outlineLevel="0" collapsed="false">
      <c r="A12810" s="1" t="s">
        <v>1063</v>
      </c>
      <c r="B12810" s="0" t="s">
        <v>98</v>
      </c>
      <c r="C12810" s="6" t="n">
        <f aca="false">PL!K39*(1+g_tv)*(1-tax_f)</f>
        <v>316.433872640522</v>
      </c>
    </row>
    <row r="12811" customFormat="false" ht="17.15" hidden="false" customHeight="false" outlineLevel="0" collapsed="false">
      <c r="A12811" s="1" t="s">
        <v>1064</v>
      </c>
      <c r="B12811" s="0" t="s">
        <v>98</v>
      </c>
      <c r="C12811" s="6" t="n">
        <f aca="false">Sens!$C$12810*(1-g_tv/(((px*sh_out26*(rf+beta*erp_lo)+(debt_face+fl_liab)*kd*(1-tax_w))/(px*sh_out26+debt_face+fl_liab))+ronic_prem))</f>
        <v>219.195833464738</v>
      </c>
    </row>
    <row r="12812" customFormat="false" ht="17.15" hidden="false" customHeight="false" outlineLevel="0" collapsed="false">
      <c r="A12812" s="1" t="s">
        <v>1065</v>
      </c>
      <c r="B12812" s="0" t="s">
        <v>98</v>
      </c>
      <c r="C12812" s="6" t="n">
        <f aca="false">Sens!$C$12811/(((px*sh_out26*(rf+beta*erp_lo)+(debt_face+fl_liab)*kd*(1-tax_w))/(px*sh_out26+debt_face+fl_liab))-g_tv)</f>
        <v>3241.26797252613</v>
      </c>
    </row>
    <row r="12813" customFormat="false" ht="15" hidden="false" customHeight="false" outlineLevel="0" collapsed="false">
      <c r="A12813" s="1" t="s">
        <v>1066</v>
      </c>
      <c r="B12813" s="0" t="s">
        <v>98</v>
      </c>
      <c r="C12813" s="6" t="n">
        <f aca="false">Sens!$C$12812/(1+((px*sh_out26*(rf+beta*erp_lo)+(debt_face+fl_liab)*kd*(1-tax_w))/(px*sh_out26+debt_face+fl_liab)))^(Sens!K12805+mid_yr)</f>
        <v>1853.47729875736</v>
      </c>
    </row>
    <row r="12814" customFormat="false" ht="17.15" hidden="false" customHeight="false" outlineLevel="0" collapsed="false">
      <c r="A12814" s="0" t="s">
        <v>986</v>
      </c>
      <c r="B12814" s="0" t="s">
        <v>98</v>
      </c>
      <c r="C12814" s="6" t="n">
        <f aca="false">Sens!$C$12809+Sens!$C$12813</f>
        <v>2461.20480970482</v>
      </c>
    </row>
    <row r="12815" customFormat="false" ht="15" hidden="false" customHeight="false" outlineLevel="0" collapsed="false">
      <c r="A12815" s="1" t="s">
        <v>987</v>
      </c>
      <c r="B12815" s="0" t="s">
        <v>129</v>
      </c>
      <c r="C12815" s="7" t="n">
        <f aca="false">Sens!$C$12813/Sens!$C$12814</f>
        <v>0.753077229269537</v>
      </c>
    </row>
    <row r="12816" customFormat="false" ht="17.15" hidden="false" customHeight="false" outlineLevel="0" collapsed="false">
      <c r="A12816" s="1" t="s">
        <v>1067</v>
      </c>
      <c r="B12816" s="0" t="s">
        <v>98</v>
      </c>
      <c r="C12816" s="6" t="n">
        <f aca="false">Sens!$C$12814+CF!E38-CF!E27+oai_v</f>
        <v>2595.71780970482</v>
      </c>
    </row>
    <row r="12817" customFormat="false" ht="17.15" hidden="false" customHeight="false" outlineLevel="0" collapsed="false">
      <c r="A12817" s="0" t="s">
        <v>994</v>
      </c>
      <c r="B12817" s="0" t="s">
        <v>75</v>
      </c>
      <c r="C12817" s="5" t="n">
        <f aca="false">Sens!$C$12816/sh_dil26</f>
        <v>348.278251671115</v>
      </c>
    </row>
    <row r="12818" customFormat="false" ht="15" hidden="false" customHeight="false" outlineLevel="0" collapsed="false">
      <c r="A12818" s="1" t="s">
        <v>1068</v>
      </c>
      <c r="B12818" s="0" t="s">
        <v>75</v>
      </c>
      <c r="C12818" s="8" t="n">
        <f aca="false">dps_27+CF!G30*roll_div_q/q_per_yr</f>
        <v>4.8895</v>
      </c>
    </row>
    <row r="12819" customFormat="false" ht="17.15" hidden="false" customHeight="false" outlineLevel="0" collapsed="false">
      <c r="A12819" s="0" t="s">
        <v>1069</v>
      </c>
      <c r="B12819" s="0" t="s">
        <v>75</v>
      </c>
      <c r="C12819" s="5" t="n">
        <f aca="false">Sens!$C$12817*(1+((px*sh_out26*(rf+beta*erp_lo)+(debt_face+fl_liab)*kd*(1-tax_w))/(px*sh_out26+debt_face+fl_liab)))^t_roll-Sens!$C$12818</f>
        <v>389.177691187214</v>
      </c>
    </row>
    <row r="12820" customFormat="false" ht="17.15" hidden="false" customHeight="false" outlineLevel="0" collapsed="false">
      <c r="A12820" s="1" t="s">
        <v>1070</v>
      </c>
      <c r="B12820" s="0" t="s">
        <v>129</v>
      </c>
      <c r="F12820" s="7" t="n">
        <f aca="false">CF!F17/(Seg!F29-Thesis!F23)</f>
        <v>0.0705303854989974</v>
      </c>
      <c r="G12820" s="7" t="n">
        <f aca="false">CF!G17/(Seg!G29-Thesis!G23)</f>
        <v>0.0669153011130541</v>
      </c>
      <c r="H12820" s="7" t="n">
        <f aca="false">CF!H17/(Seg!H29-Thesis!H23)</f>
        <v>0.0648963302688647</v>
      </c>
      <c r="I12820" s="7" t="n">
        <f aca="false">CF!I17/(Seg!I29-Thesis!I23)</f>
        <v>0.0643411219550834</v>
      </c>
      <c r="J12820" s="7" t="n">
        <f aca="false">CF!J17/(Seg!J29-Thesis!J23)</f>
        <v>0.0648740961982593</v>
      </c>
      <c r="K12820" s="7" t="n">
        <f aca="false">CF!K17/(Seg!K29-Thesis!K23)</f>
        <v>0.0660244723636577</v>
      </c>
    </row>
    <row r="12821" customFormat="false" ht="17.15" hidden="false" customHeight="false" outlineLevel="0" collapsed="false">
      <c r="A12821" s="0" t="s">
        <v>1071</v>
      </c>
      <c r="B12821" s="0" t="s">
        <v>98</v>
      </c>
      <c r="F12821" s="6" t="n">
        <f aca="false">Seg!F14*(al_m365+Sens!F12820+sbc_r)</f>
        <v>85.2273329859862</v>
      </c>
      <c r="G12821" s="6" t="n">
        <f aca="false">Seg!G14*(al_m365+Sens!G12820+sbc_r)</f>
        <v>99.6892587904979</v>
      </c>
      <c r="H12821" s="6" t="n">
        <f aca="false">Seg!H14*(al_m365+Sens!H12820+sbc_r)</f>
        <v>114.315107566414</v>
      </c>
      <c r="I12821" s="6" t="n">
        <f aca="false">Seg!I14*(al_m365+Sens!I12820+sbc_r)</f>
        <v>127.42181750834</v>
      </c>
      <c r="J12821" s="6" t="n">
        <f aca="false">Seg!J14*(al_m365+Sens!J12820+sbc_r)</f>
        <v>138.823999012523</v>
      </c>
      <c r="K12821" s="6" t="n">
        <f aca="false">Seg!K14*(al_m365+Sens!K12820+sbc_r)</f>
        <v>149.845393216552</v>
      </c>
      <c r="L12821" s="11" t="s">
        <v>1072</v>
      </c>
    </row>
    <row r="12822" customFormat="false" ht="17.15" hidden="false" customHeight="false" outlineLevel="0" collapsed="false">
      <c r="A12822" s="0" t="s">
        <v>1073</v>
      </c>
      <c r="B12822" s="0" t="s">
        <v>98</v>
      </c>
      <c r="F12822" s="6" t="n">
        <f aca="false">Seg!F15*(al_lic+Sens!F12820+sbc_r)</f>
        <v>33.5204472060294</v>
      </c>
      <c r="G12822" s="6" t="n">
        <f aca="false">Seg!G15*(al_lic+Sens!G12820+sbc_r)</f>
        <v>34.7926166862242</v>
      </c>
      <c r="H12822" s="6" t="n">
        <f aca="false">Seg!H15*(al_lic+Sens!H12820+sbc_r)</f>
        <v>35.9862829687409</v>
      </c>
      <c r="I12822" s="6" t="n">
        <f aca="false">Seg!I15*(al_lic+Sens!I12820+sbc_r)</f>
        <v>37.0838788899664</v>
      </c>
      <c r="J12822" s="6" t="n">
        <f aca="false">Seg!J15*(al_lic+Sens!J12820+sbc_r)</f>
        <v>38.0565090086839</v>
      </c>
      <c r="K12822" s="6" t="n">
        <f aca="false">Seg!K15*(al_lic+Sens!K12820+sbc_r)</f>
        <v>38.8700352425884</v>
      </c>
    </row>
    <row r="12823" customFormat="false" ht="17.15" hidden="false" customHeight="false" outlineLevel="0" collapsed="false">
      <c r="A12823" s="0" t="s">
        <v>1074</v>
      </c>
      <c r="B12823" s="0" t="s">
        <v>98</v>
      </c>
      <c r="F12823" s="6" t="n">
        <f aca="false">Seg!F17*(al_ind+Sens!F12820+sbc_r)</f>
        <v>9.11980018094294</v>
      </c>
      <c r="G12823" s="6" t="n">
        <f aca="false">Seg!G17*(al_ind+Sens!G12820+sbc_r)</f>
        <v>9.88072195697034</v>
      </c>
      <c r="H12823" s="6" t="n">
        <f aca="false">Seg!H17*(al_ind+Sens!H12820+sbc_r)</f>
        <v>10.6900815637922</v>
      </c>
      <c r="I12823" s="6" t="n">
        <f aca="false">Seg!I17*(al_ind+Sens!I12820+sbc_r)</f>
        <v>11.5460282347577</v>
      </c>
      <c r="J12823" s="6" t="n">
        <f aca="false">Seg!J17*(al_ind+Sens!J12820+sbc_r)</f>
        <v>12.4374767512513</v>
      </c>
      <c r="K12823" s="6" t="n">
        <f aca="false">Seg!K17*(al_ind+Sens!K12820+sbc_r)</f>
        <v>13.3461587114563</v>
      </c>
    </row>
    <row r="12824" customFormat="false" ht="17.15" hidden="false" customHeight="false" outlineLevel="0" collapsed="false">
      <c r="A12824" s="0" t="s">
        <v>1075</v>
      </c>
      <c r="B12824" s="0" t="s">
        <v>98</v>
      </c>
      <c r="F12824" s="6" t="n">
        <f aca="false">Seg!F19*(al_fro+Sens!F12820+sbc_r)</f>
        <v>3.58958536902212</v>
      </c>
      <c r="G12824" s="6" t="n">
        <f aca="false">Seg!G19*(al_fro+Sens!G12820+sbc_r)</f>
        <v>3.79361306665995</v>
      </c>
      <c r="H12824" s="6" t="n">
        <f aca="false">Seg!H19*(al_fro+Sens!H12820+sbc_r)</f>
        <v>4.02838862857902</v>
      </c>
      <c r="I12824" s="6" t="n">
        <f aca="false">Seg!I19*(al_fro+Sens!I12820+sbc_r)</f>
        <v>4.29696179134221</v>
      </c>
      <c r="J12824" s="6" t="n">
        <f aca="false">Seg!J19*(al_fro+Sens!J12820+sbc_r)</f>
        <v>4.59985687395741</v>
      </c>
      <c r="K12824" s="6" t="n">
        <f aca="false">Seg!K19*(al_fro+Sens!K12820+sbc_r)</f>
        <v>4.93592238342414</v>
      </c>
    </row>
    <row r="12825" customFormat="false" ht="17.15" hidden="false" customHeight="false" outlineLevel="0" collapsed="false">
      <c r="A12825" s="0" t="s">
        <v>1076</v>
      </c>
      <c r="B12825" s="0" t="s">
        <v>98</v>
      </c>
      <c r="F12825" s="6" t="n">
        <f aca="false">Seg!F22*(al_srch+Sens!F12820+sbc_r)</f>
        <v>11.2630849868114</v>
      </c>
      <c r="G12825" s="6" t="n">
        <f aca="false">Seg!G22*(al_srch+Sens!G12820+sbc_r)</f>
        <v>12.3179728600437</v>
      </c>
      <c r="H12825" s="6" t="n">
        <f aca="false">Seg!H22*(al_srch+Sens!H12820+sbc_r)</f>
        <v>13.4217853035424</v>
      </c>
      <c r="I12825" s="6" t="n">
        <f aca="false">Seg!I22*(al_srch+Sens!I12820+sbc_r)</f>
        <v>14.565578354966</v>
      </c>
      <c r="J12825" s="6" t="n">
        <f aca="false">Seg!J22*(al_srch+Sens!J12820+sbc_r)</f>
        <v>15.7277683722803</v>
      </c>
      <c r="K12825" s="6" t="n">
        <f aca="false">Seg!K22*(al_srch+Sens!K12820+sbc_r)</f>
        <v>16.87683901418</v>
      </c>
    </row>
    <row r="12826" customFormat="false" ht="17.15" hidden="false" customHeight="false" outlineLevel="0" collapsed="false">
      <c r="A12826" s="0" t="s">
        <v>1077</v>
      </c>
      <c r="B12826" s="0" t="s">
        <v>98</v>
      </c>
      <c r="F12826" s="6" t="n">
        <f aca="false">Thesis!F29-Thesis!F30+Thesis!F44</f>
        <v>45.0374073018652</v>
      </c>
      <c r="G12826" s="6" t="n">
        <f aca="false">Thesis!G29-Thesis!G30+Thesis!G44</f>
        <v>89.051993487491</v>
      </c>
      <c r="H12826" s="6" t="n">
        <f aca="false">Thesis!H29-Thesis!H30+Thesis!H44</f>
        <v>140.728332825594</v>
      </c>
      <c r="I12826" s="6" t="n">
        <f aca="false">Thesis!I29-Thesis!I30+Thesis!I44</f>
        <v>182.158665153016</v>
      </c>
      <c r="J12826" s="6" t="n">
        <f aca="false">Thesis!J29-Thesis!J30+Thesis!J44</f>
        <v>211.722320149272</v>
      </c>
      <c r="K12826" s="6" t="n">
        <f aca="false">Thesis!K29-Thesis!K30+Thesis!K44</f>
        <v>230.495012322217</v>
      </c>
    </row>
    <row r="12827" customFormat="false" ht="17.15" hidden="false" customHeight="false" outlineLevel="0" collapsed="false">
      <c r="A12827" s="0" t="s">
        <v>1078</v>
      </c>
      <c r="B12827" s="0" t="s">
        <v>98</v>
      </c>
      <c r="F12827" s="6" t="n">
        <f aca="false">PL!F32+Thesis!F44+Thesis!F40+Sens!F12820*(Seg!F21-Thesis!F23)+sbc_r*Seg!F21</f>
        <v>236.979131882557</v>
      </c>
      <c r="G12827" s="6" t="n">
        <f aca="false">PL!G32+Thesis!G44+Thesis!G40+Sens!G12820*(Seg!G21-Thesis!G23)+sbc_r*Seg!G21</f>
        <v>310.298572894356</v>
      </c>
      <c r="H12827" s="6" t="n">
        <f aca="false">PL!H32+Thesis!H44+Thesis!H40+Sens!H12820*(Seg!H21-Thesis!H23)+sbc_r*Seg!H21</f>
        <v>391.97921499404</v>
      </c>
      <c r="I12827" s="6" t="n">
        <f aca="false">PL!I32+Thesis!I44+Thesis!I40+Sens!I12820*(Seg!I21-Thesis!I23)+sbc_r*Seg!I21</f>
        <v>461.338592490557</v>
      </c>
      <c r="J12827" s="6" t="n">
        <f aca="false">PL!J32+Thesis!J44+Thesis!J40+Sens!J12820*(Seg!J21-Thesis!J23)+sbc_r*Seg!J21</f>
        <v>515.876034980991</v>
      </c>
      <c r="K12827" s="6" t="n">
        <f aca="false">PL!K32+Thesis!K44+Thesis!K40+Sens!K12820*(Seg!K21-Thesis!K23)+sbc_r*Seg!K21</f>
        <v>557.225339287545</v>
      </c>
    </row>
    <row r="12828" customFormat="false" ht="17.15" hidden="false" customHeight="false" outlineLevel="0" collapsed="false">
      <c r="A12828" s="0" t="s">
        <v>1079</v>
      </c>
      <c r="B12828" s="0" t="s">
        <v>98</v>
      </c>
      <c r="F12828" s="6" t="n">
        <f aca="false">Sens!F12827-Sens!F12821-Sens!F12822-Sens!F12823-Sens!F12824-Sens!F12826</f>
        <v>60.4845588387112</v>
      </c>
      <c r="G12828" s="6" t="n">
        <f aca="false">Sens!G12827-Sens!G12821-Sens!G12822-Sens!G12823-Sens!G12824-Sens!G12826</f>
        <v>73.090368906513</v>
      </c>
      <c r="H12828" s="6" t="n">
        <f aca="false">Sens!H12827-Sens!H12821-Sens!H12822-Sens!H12823-Sens!H12824-Sens!H12826</f>
        <v>86.23102144092</v>
      </c>
      <c r="I12828" s="6" t="n">
        <f aca="false">Sens!I12827-Sens!I12821-Sens!I12822-Sens!I12823-Sens!I12824-Sens!I12826</f>
        <v>98.8312409131349</v>
      </c>
      <c r="J12828" s="6" t="n">
        <f aca="false">Sens!J12827-Sens!J12821-Sens!J12822-Sens!J12823-Sens!J12824-Sens!J12826</f>
        <v>110.235873185303</v>
      </c>
      <c r="K12828" s="6" t="n">
        <f aca="false">Sens!K12827-Sens!K12821-Sens!K12822-Sens!K12823-Sens!K12824-Sens!K12826</f>
        <v>119.732817411307</v>
      </c>
    </row>
    <row r="12829" customFormat="false" ht="17.15" hidden="false" customHeight="false" outlineLevel="0" collapsed="false">
      <c r="A12829" s="0" t="s">
        <v>1080</v>
      </c>
      <c r="B12829" s="0" t="s">
        <v>98</v>
      </c>
      <c r="F12829" s="6" t="n">
        <f aca="false">PL!F34+Sens!F12820*Seg!F28+sbc_r*Seg!F28</f>
        <v>26.3250729833002</v>
      </c>
      <c r="G12829" s="6" t="n">
        <f aca="false">PL!G34+Sens!G12820*Seg!G28+sbc_r*Seg!G28</f>
        <v>26.8840979798844</v>
      </c>
      <c r="H12829" s="6" t="n">
        <f aca="false">PL!H34+Sens!H12820*Seg!H28+sbc_r*Seg!H28</f>
        <v>27.7254420104725</v>
      </c>
      <c r="I12829" s="6" t="n">
        <f aca="false">PL!I34+Sens!I12820*Seg!I28+sbc_r*Seg!I28</f>
        <v>28.8195303030026</v>
      </c>
      <c r="J12829" s="6" t="n">
        <f aca="false">PL!J34+Sens!J12820*Seg!J28+sbc_r*Seg!J28</f>
        <v>30.1256822206383</v>
      </c>
      <c r="K12829" s="6" t="n">
        <f aca="false">PL!K34+Sens!K12820*Seg!K28+sbc_r*Seg!K28</f>
        <v>31.5981329181227</v>
      </c>
    </row>
    <row r="12830" customFormat="false" ht="17.15" hidden="false" customHeight="false" outlineLevel="0" collapsed="false">
      <c r="A12830" s="0" t="s">
        <v>1081</v>
      </c>
      <c r="B12830" s="0" t="s">
        <v>98</v>
      </c>
      <c r="F12830" s="6" t="n">
        <f aca="false">(Sens!F12829-Sens!F12825)*Seg!F24/(Seg!F24+Seg!F26)</f>
        <v>8.25683511803782</v>
      </c>
      <c r="G12830" s="6" t="n">
        <f aca="false">(Sens!G12829-Sens!G12825)*Seg!G24/(Seg!G24+Seg!G26)</f>
        <v>7.84263572934781</v>
      </c>
      <c r="H12830" s="6" t="n">
        <f aca="false">(Sens!H12829-Sens!H12825)*Seg!H24/(Seg!H24+Seg!H26)</f>
        <v>7.59728657715786</v>
      </c>
      <c r="I12830" s="6" t="n">
        <f aca="false">(Sens!I12829-Sens!I12825)*Seg!I24/(Seg!I24+Seg!I26)</f>
        <v>7.50238476920254</v>
      </c>
      <c r="J12830" s="6" t="n">
        <f aca="false">(Sens!J12829-Sens!J12825)*Seg!J24/(Seg!J24+Seg!J26)</f>
        <v>7.54388912124533</v>
      </c>
      <c r="K12830" s="6" t="n">
        <f aca="false">(Sens!K12829-Sens!K12825)*Seg!K24/(Seg!K24+Seg!K26)</f>
        <v>7.71332639591206</v>
      </c>
    </row>
    <row r="12831" customFormat="false" ht="17.15" hidden="false" customHeight="false" outlineLevel="0" collapsed="false">
      <c r="A12831" s="0" t="s">
        <v>1082</v>
      </c>
      <c r="B12831" s="0" t="s">
        <v>98</v>
      </c>
      <c r="F12831" s="6" t="n">
        <f aca="false">Sens!F12829-Sens!F12825-Sens!F12830</f>
        <v>6.80515287845105</v>
      </c>
      <c r="G12831" s="6" t="n">
        <f aca="false">Sens!G12829-Sens!G12825-Sens!G12830</f>
        <v>6.72348939049287</v>
      </c>
      <c r="H12831" s="6" t="n">
        <f aca="false">Sens!H12829-Sens!H12825-Sens!H12830</f>
        <v>6.70637012977225</v>
      </c>
      <c r="I12831" s="6" t="n">
        <f aca="false">Sens!I12829-Sens!I12825-Sens!I12830</f>
        <v>6.75156717883416</v>
      </c>
      <c r="J12831" s="6" t="n">
        <f aca="false">Sens!J12829-Sens!J12825-Sens!J12830</f>
        <v>6.85402472711273</v>
      </c>
      <c r="K12831" s="6" t="n">
        <f aca="false">Sens!K12829-Sens!K12825-Sens!K12830</f>
        <v>7.00796750803058</v>
      </c>
    </row>
    <row r="12832" customFormat="false" ht="17.15" hidden="false" customHeight="false" outlineLevel="0" collapsed="false">
      <c r="A12832" s="0" t="s">
        <v>1083</v>
      </c>
      <c r="B12832" s="0" t="s">
        <v>98</v>
      </c>
      <c r="F12832" s="6" t="n">
        <f aca="false">Sens!F12826-tax_f*(Sens!F12826-Thesis!F40)-Thesis!F37</f>
        <v>-117.492972553783</v>
      </c>
      <c r="G12832" s="6" t="n">
        <f aca="false">Sens!G12826-tax_f*(Sens!G12826-Thesis!G40)-Thesis!G37</f>
        <v>-100.507498271105</v>
      </c>
      <c r="H12832" s="6" t="n">
        <f aca="false">Sens!H12826-tax_f*(Sens!H12826-Thesis!H40)-Thesis!H37</f>
        <v>-58.2254156812621</v>
      </c>
      <c r="I12832" s="6" t="n">
        <f aca="false">Sens!I12826-tax_f*(Sens!I12826-Thesis!I40)-Thesis!I37</f>
        <v>4.14141173464586</v>
      </c>
      <c r="J12832" s="6" t="n">
        <f aca="false">Sens!J12826-tax_f*(Sens!J12826-Thesis!J40)-Thesis!J37</f>
        <v>67.7960840957439</v>
      </c>
      <c r="K12832" s="6" t="n">
        <f aca="false">Sens!K12826-tax_f*(Sens!K12826-Thesis!K40)-Thesis!K37</f>
        <v>90.8148873630444</v>
      </c>
    </row>
    <row r="12833" customFormat="false" ht="17.15" hidden="false" customHeight="false" outlineLevel="0" collapsed="false">
      <c r="A12833" s="0" t="s">
        <v>1084</v>
      </c>
      <c r="B12833" s="0" t="s">
        <v>98</v>
      </c>
      <c r="G12833" s="6" t="n">
        <f aca="false">Sens!G12832/(1+((px*sh_out26*(rf+beta*erp_lo)+(debt_face+fl_liab)*kd*(1-tax_w))/(px*sh_out26+debt_face+fl_liab)))^(Sens!G12805-(Sens!F12805+mid_yr))</f>
        <v>-95.9336917736625</v>
      </c>
      <c r="H12833" s="6" t="n">
        <f aca="false">Sens!H12832/(1+((px*sh_out26*(rf+beta*erp_lo)+(debt_face+fl_liab)*kd*(1-tax_w))/(px*sh_out26+debt_face+fl_liab)))^(Sens!H12805-(Sens!F12805+mid_yr))</f>
        <v>-50.6326526880396</v>
      </c>
      <c r="I12833" s="6" t="n">
        <f aca="false">Sens!I12832/(1+((px*sh_out26*(rf+beta*erp_lo)+(debt_face+fl_liab)*kd*(1-tax_w))/(px*sh_out26+debt_face+fl_liab)))^(Sens!I12805-(Sens!F12805+mid_yr))</f>
        <v>3.28104269650853</v>
      </c>
      <c r="J12833" s="6" t="n">
        <f aca="false">Sens!J12832/(1+((px*sh_out26*(rf+beta*erp_lo)+(debt_face+fl_liab)*kd*(1-tax_w))/(px*sh_out26+debt_face+fl_liab)))^(Sens!J12805-(Sens!F12805+mid_yr))</f>
        <v>48.9343102138602</v>
      </c>
      <c r="K12833" s="6" t="n">
        <f aca="false">Sens!K12832/(1+((px*sh_out26*(rf+beta*erp_lo)+(debt_face+fl_liab)*kd*(1-tax_w))/(px*sh_out26+debt_face+fl_liab)))^(Sens!K12805-(Sens!F12805+mid_yr))</f>
        <v>59.7188311099521</v>
      </c>
      <c r="L12833" s="1" t="s">
        <v>1085</v>
      </c>
    </row>
    <row r="12834" customFormat="false" ht="17.15" hidden="false" customHeight="false" outlineLevel="0" collapsed="false">
      <c r="A12834" s="0" t="s">
        <v>1086</v>
      </c>
      <c r="B12834" s="0" t="s">
        <v>98</v>
      </c>
      <c r="C12834" s="6" t="n">
        <f aca="false">(Sens!K12826-Thesis!K40)*(1-tax_f)*(1+g_tv)*(1-g_tv/(((px*sh_out26*(rf+beta*erp_lo)+(debt_face+fl_liab)*kd*(1-tax_w))/(px*sh_out26+debt_face+fl_liab))+ronic_prem))/(((px*sh_out26*(rf+beta*erp_lo)+(debt_face+fl_liab)*kd*(1-tax_w))/(px*sh_out26+debt_face+fl_liab))-g_tv)/(1+((px*sh_out26*(rf+beta*erp_lo)+(debt_face+fl_liab)*kd*(1-tax_w))/(px*sh_out26+debt_face+fl_liab)))^(Sens!K12805+mid_yr-(Sens!F12805+mid_yr))</f>
        <v>484.015294875628</v>
      </c>
    </row>
    <row r="12835" customFormat="false" ht="17.15" hidden="false" customHeight="false" outlineLevel="0" collapsed="false">
      <c r="A12835" s="1" t="s">
        <v>1087</v>
      </c>
      <c r="B12835" s="0" t="s">
        <v>98</v>
      </c>
      <c r="C12835" s="6" t="n">
        <f aca="false">(SUM(Sens!G12833:K12833)+Sens!$C$12834)*(1+((px*sh_out26*(rf+beta*erp_lo)+(debt_face+fl_liab)*kd*(1-tax_w))/(px*sh_out26+debt_face+fl_liab)))^(t_roll-(Sens!F12805+mid_yr))</f>
        <v>463.240029585041</v>
      </c>
      <c r="L12835" s="11" t="s">
        <v>1088</v>
      </c>
    </row>
    <row r="12836" customFormat="false" ht="17.15" hidden="false" customHeight="false" outlineLevel="0" collapsed="false">
      <c r="A12836" s="1" t="s">
        <v>1089</v>
      </c>
      <c r="B12836" s="0" t="s">
        <v>98</v>
      </c>
      <c r="C12836" s="6" t="n">
        <f aca="false">(w_ntm28*Thesis!G29+(1-w_ntm28)*Thesis!H29)*m_ai</f>
        <v>551.711134531404</v>
      </c>
    </row>
    <row r="12837" customFormat="false" ht="17.15" hidden="false" customHeight="false" outlineLevel="0" collapsed="false">
      <c r="A12837" s="1" t="s">
        <v>1090</v>
      </c>
      <c r="B12837" s="0" t="s">
        <v>98</v>
      </c>
      <c r="C12837" s="6" t="n">
        <f aca="false">(w_ntm28*Sens!G12828+(1-w_ntm28)*Sens!H12828)*m_cloud</f>
        <v>1068.81917370447</v>
      </c>
    </row>
    <row r="12838" customFormat="false" ht="17.15" hidden="false" customHeight="false" outlineLevel="0" collapsed="false">
      <c r="A12838" s="1" t="s">
        <v>1091</v>
      </c>
      <c r="B12838" s="0" t="s">
        <v>98</v>
      </c>
      <c r="C12838" s="6" t="n">
        <f aca="false">(w_ntm28*Sens!G12821+(1-w_ntm28)*Sens!H12821)*m_sw</f>
        <v>1127.71024611553</v>
      </c>
    </row>
    <row r="12839" customFormat="false" ht="17.15" hidden="false" customHeight="false" outlineLevel="0" collapsed="false">
      <c r="A12839" s="1" t="s">
        <v>1092</v>
      </c>
      <c r="B12839" s="0" t="s">
        <v>98</v>
      </c>
      <c r="C12839" s="6" t="n">
        <f aca="false">(w_ntm28*Sens!G12822+(1-w_ntm28)*Sens!H12822)*m_sw</f>
        <v>379.927954212425</v>
      </c>
    </row>
    <row r="12840" customFormat="false" ht="17.15" hidden="false" customHeight="false" outlineLevel="0" collapsed="false">
      <c r="A12840" s="1" t="s">
        <v>1093</v>
      </c>
      <c r="B12840" s="0" t="s">
        <v>98</v>
      </c>
      <c r="C12840" s="6" t="n">
        <f aca="false">(w_ntm28*Sens!G12823+(1-w_ntm28)*Sens!H12823)*m_sw</f>
        <v>109.537681746057</v>
      </c>
    </row>
    <row r="12841" customFormat="false" ht="17.15" hidden="false" customHeight="false" outlineLevel="0" collapsed="false">
      <c r="A12841" s="1" t="s">
        <v>1094</v>
      </c>
      <c r="B12841" s="0" t="s">
        <v>98</v>
      </c>
      <c r="C12841" s="6" t="n">
        <f aca="false">(w_ntm28*Sens!G12824+(1-w_ntm28)*Sens!H12824)*m_sw</f>
        <v>41.7907416024197</v>
      </c>
    </row>
    <row r="12842" customFormat="false" ht="17.15" hidden="false" customHeight="false" outlineLevel="0" collapsed="false">
      <c r="A12842" s="1" t="s">
        <v>1095</v>
      </c>
      <c r="B12842" s="0" t="s">
        <v>98</v>
      </c>
      <c r="C12842" s="6" t="n">
        <f aca="false">(w_ntm28*Sens!G12825+(1-w_ntm28)*Sens!H12825)*m_ads</f>
        <v>115.467626729004</v>
      </c>
    </row>
    <row r="12843" customFormat="false" ht="17.15" hidden="false" customHeight="false" outlineLevel="0" collapsed="false">
      <c r="A12843" s="1" t="s">
        <v>1096</v>
      </c>
      <c r="B12843" s="0" t="s">
        <v>98</v>
      </c>
      <c r="C12843" s="6" t="n">
        <f aca="false">(w_ntm28*Sens!G12830+(1-w_ntm28)*Sens!H12830)*m_game</f>
        <v>98.0506984247457</v>
      </c>
    </row>
    <row r="12844" customFormat="false" ht="17.15" hidden="false" customHeight="false" outlineLevel="0" collapsed="false">
      <c r="A12844" s="1" t="s">
        <v>1097</v>
      </c>
      <c r="B12844" s="0" t="s">
        <v>98</v>
      </c>
      <c r="C12844" s="6" t="n">
        <f aca="false">(w_ntm28*Sens!G12831+(1-w_ntm28)*Sens!H12831)*m_pc</f>
        <v>97.2088080478016</v>
      </c>
    </row>
    <row r="12845" customFormat="false" ht="17.15" hidden="false" customHeight="false" outlineLevel="0" collapsed="false">
      <c r="A12845" s="1" t="s">
        <v>1098</v>
      </c>
      <c r="B12845" s="0" t="s">
        <v>98</v>
      </c>
      <c r="C12845" s="6" t="n">
        <f aca="false">Sens!$C$12835+Sens!$C$12837+Sens!$C$12838+Sens!$C$12839+Sens!$C$12840+Sens!$C$12841+Sens!$C$12842+Sens!$C$12843+Sens!$C$12844</f>
        <v>3501.7529601675</v>
      </c>
    </row>
    <row r="12846" customFormat="false" ht="17.15" hidden="false" customHeight="false" outlineLevel="0" collapsed="false">
      <c r="A12846" s="1" t="s">
        <v>1099</v>
      </c>
      <c r="B12846" s="0" t="s">
        <v>98</v>
      </c>
      <c r="C12846" s="6" t="n">
        <f aca="false">(Sens!G12807-Sens!G12832)*t_stub</f>
        <v>47.9592964551235</v>
      </c>
      <c r="L12846" s="1" t="s">
        <v>1100</v>
      </c>
    </row>
    <row r="12847" customFormat="false" ht="17.15" hidden="false" customHeight="false" outlineLevel="0" collapsed="false">
      <c r="A12847" s="1" t="s">
        <v>1014</v>
      </c>
      <c r="B12847" s="0" t="s">
        <v>98</v>
      </c>
      <c r="C12847" s="6" t="n">
        <f aca="false">CF!F38+oai_v-CF!F27+Sens!$C$12846</f>
        <v>163.066005497665</v>
      </c>
      <c r="L12847" s="1" t="s">
        <v>1101</v>
      </c>
    </row>
    <row r="12848" customFormat="false" ht="17.15" hidden="false" customHeight="false" outlineLevel="0" collapsed="false">
      <c r="A12848" s="1" t="s">
        <v>1102</v>
      </c>
      <c r="B12848" s="0" t="s">
        <v>75</v>
      </c>
      <c r="C12848" s="5" t="n">
        <f aca="false">(Sens!$C$12845+Sens!$C$12847)/(CF!F40+dil_gap)-CF!G30*roll_div_q/q_per_yr</f>
        <v>487.863777169846</v>
      </c>
      <c r="L12848" s="1" t="s">
        <v>1103</v>
      </c>
    </row>
    <row r="12849" customFormat="false" ht="17.15" hidden="false" customHeight="false" outlineLevel="0" collapsed="false">
      <c r="A12849" s="1" t="s">
        <v>1104</v>
      </c>
      <c r="B12849" s="0" t="s">
        <v>75</v>
      </c>
      <c r="C12849" s="5" t="n">
        <f aca="false">w_dcf*Sens!$C$12819+(1-w_dcf)*Sens!$C$12848</f>
        <v>438.52073417853</v>
      </c>
    </row>
    <row r="12850" customFormat="false" ht="17.15" hidden="false" customHeight="false" outlineLevel="0" collapsed="false">
      <c r="A12850" s="3" t="s">
        <v>1590</v>
      </c>
    </row>
    <row r="12851" customFormat="false" ht="15" hidden="false" customHeight="false" outlineLevel="0" collapsed="false">
      <c r="A12851" s="4" t="s">
        <v>43</v>
      </c>
      <c r="B12851" s="4" t="s">
        <v>65</v>
      </c>
      <c r="C12851" s="20" t="s">
        <v>799</v>
      </c>
      <c r="D12851" s="20" t="s">
        <v>800</v>
      </c>
      <c r="E12851" s="20" t="s">
        <v>801</v>
      </c>
      <c r="F12851" s="20" t="s">
        <v>802</v>
      </c>
      <c r="G12851" s="20" t="s">
        <v>803</v>
      </c>
      <c r="H12851" s="20" t="s">
        <v>804</v>
      </c>
      <c r="I12851" s="20" t="s">
        <v>805</v>
      </c>
      <c r="J12851" s="20" t="s">
        <v>806</v>
      </c>
      <c r="K12851" s="20" t="s">
        <v>807</v>
      </c>
      <c r="L12851" s="4" t="s">
        <v>47</v>
      </c>
    </row>
    <row r="12852" customFormat="false" ht="15" hidden="false" customHeight="false" outlineLevel="0" collapsed="false">
      <c r="A12852" s="1" t="s">
        <v>1057</v>
      </c>
      <c r="B12852" s="1" t="s">
        <v>235</v>
      </c>
      <c r="F12852" s="36" t="n">
        <f aca="false">Thesis!F55-base_fy-mid_yr</f>
        <v>0.5</v>
      </c>
      <c r="G12852" s="36" t="n">
        <f aca="false">Thesis!G55-base_fy-mid_yr</f>
        <v>1.5</v>
      </c>
      <c r="H12852" s="36" t="n">
        <f aca="false">Thesis!H55-base_fy-mid_yr</f>
        <v>2.5</v>
      </c>
      <c r="I12852" s="36" t="n">
        <f aca="false">Thesis!I55-base_fy-mid_yr</f>
        <v>3.5</v>
      </c>
      <c r="J12852" s="36" t="n">
        <f aca="false">Thesis!J55-base_fy-mid_yr</f>
        <v>4.5</v>
      </c>
      <c r="K12852" s="36" t="n">
        <f aca="false">Thesis!K55-base_fy-mid_yr</f>
        <v>5.5</v>
      </c>
    </row>
    <row r="12853" customFormat="false" ht="15" hidden="false" customHeight="false" outlineLevel="0" collapsed="false">
      <c r="A12853" s="1" t="s">
        <v>1058</v>
      </c>
      <c r="B12853" s="0" t="s">
        <v>185</v>
      </c>
      <c r="F12853" s="14" t="n">
        <f aca="false">1/(1+((px*sh_out26*(rf+beta*erp_lo)+(debt_face+fl_liab)*kd*(1-tax_w))/(px*sh_out26+debt_face+fl_liab)))^Sens!F12852</f>
        <v>0.954492882858299</v>
      </c>
      <c r="G12853" s="14" t="n">
        <f aca="false">1/(1+((px*sh_out26*(rf+beta*erp_lo)+(debt_face+fl_liab)*kd*(1-tax_w))/(px*sh_out26+debt_face+fl_liab)))^Sens!G12852</f>
        <v>0.869597101121839</v>
      </c>
      <c r="H12853" s="14" t="n">
        <f aca="false">1/(1+((px*sh_out26*(rf+beta*erp_lo)+(debt_face+fl_liab)*kd*(1-tax_w))/(px*sh_out26+debt_face+fl_liab)))^Sens!H12852</f>
        <v>0.792252233473981</v>
      </c>
      <c r="I12853" s="14" t="n">
        <f aca="false">1/(1+((px*sh_out26*(rf+beta*erp_lo)+(debt_face+fl_liab)*kd*(1-tax_w))/(px*sh_out26+debt_face+fl_liab)))^Sens!I12852</f>
        <v>0.721786676421509</v>
      </c>
      <c r="J12853" s="14" t="n">
        <f aca="false">1/(1+((px*sh_out26*(rf+beta*erp_lo)+(debt_face+fl_liab)*kd*(1-tax_w))/(px*sh_out26+debt_face+fl_liab)))^Sens!J12852</f>
        <v>0.657588561126749</v>
      </c>
      <c r="K12853" s="14" t="n">
        <f aca="false">1/(1+((px*sh_out26*(rf+beta*erp_lo)+(debt_face+fl_liab)*kd*(1-tax_w))/(px*sh_out26+debt_face+fl_liab)))^Sens!K12852</f>
        <v>0.599100440407994</v>
      </c>
    </row>
    <row r="12854" customFormat="false" ht="17.15" hidden="false" customHeight="false" outlineLevel="0" collapsed="false">
      <c r="A12854" s="1" t="s">
        <v>1059</v>
      </c>
      <c r="B12854" s="0" t="s">
        <v>98</v>
      </c>
      <c r="F12854" s="6" t="n">
        <f aca="false">CF!F53-CF!F51-CF!F57+Thesis!F93*(1-tax_f)</f>
        <v>-2.12916264917943</v>
      </c>
      <c r="G12854" s="6" t="n">
        <f aca="false">CF!G53-CF!G51-CF!G57+Thesis!G93*(1-tax_f)</f>
        <v>37.4539072201241</v>
      </c>
      <c r="H12854" s="6" t="n">
        <f aca="false">CF!H53-CF!H51-CF!H57+Thesis!H93*(1-tax_f)</f>
        <v>85.8888636072133</v>
      </c>
      <c r="I12854" s="6" t="n">
        <f aca="false">CF!I53-CF!I51-CF!I57+Thesis!I93*(1-tax_f)</f>
        <v>159.098024951333</v>
      </c>
      <c r="J12854" s="6" t="n">
        <f aca="false">CF!J53-CF!J51-CF!J57+Thesis!J93*(1-tax_f)</f>
        <v>233.876759261847</v>
      </c>
      <c r="K12854" s="6" t="n">
        <f aca="false">CF!K53-CF!K51-CF!K57+Thesis!K93*(1-tax_f)</f>
        <v>268.447783789649</v>
      </c>
      <c r="L12854" s="1" t="s">
        <v>1060</v>
      </c>
    </row>
    <row r="12855" customFormat="false" ht="15" hidden="false" customHeight="false" outlineLevel="0" collapsed="false">
      <c r="A12855" s="1" t="s">
        <v>1061</v>
      </c>
      <c r="B12855" s="0" t="s">
        <v>98</v>
      </c>
      <c r="F12855" s="6" t="n">
        <f aca="false">Sens!F12854*Sens!F12853</f>
        <v>-2.03227059508948</v>
      </c>
      <c r="G12855" s="6" t="n">
        <f aca="false">Sens!G12854*Sens!G12853</f>
        <v>32.5698091443062</v>
      </c>
      <c r="H12855" s="6" t="n">
        <f aca="false">Sens!H12854*Sens!H12853</f>
        <v>68.0456440233569</v>
      </c>
      <c r="I12855" s="6" t="n">
        <f aca="false">Sens!I12854*Sens!I12853</f>
        <v>114.834834654849</v>
      </c>
      <c r="J12855" s="6" t="n">
        <f aca="false">Sens!J12854*Sens!J12853</f>
        <v>153.794681603985</v>
      </c>
      <c r="K12855" s="6" t="n">
        <f aca="false">Sens!K12854*Sens!K12853</f>
        <v>160.827185494929</v>
      </c>
    </row>
    <row r="12856" customFormat="false" ht="17.15" hidden="false" customHeight="false" outlineLevel="0" collapsed="false">
      <c r="A12856" s="1" t="s">
        <v>1062</v>
      </c>
      <c r="B12856" s="0" t="s">
        <v>98</v>
      </c>
      <c r="C12856" s="6" t="n">
        <f aca="false">SUM(Sens!F12855:K12855)</f>
        <v>528.039884326337</v>
      </c>
    </row>
    <row r="12857" customFormat="false" ht="17.15" hidden="false" customHeight="false" outlineLevel="0" collapsed="false">
      <c r="A12857" s="1" t="s">
        <v>1063</v>
      </c>
      <c r="B12857" s="0" t="s">
        <v>98</v>
      </c>
      <c r="C12857" s="6" t="n">
        <f aca="false">PL!K78*(1+g_tv)*(1-tax_f)</f>
        <v>284.685941703094</v>
      </c>
    </row>
    <row r="12858" customFormat="false" ht="17.15" hidden="false" customHeight="false" outlineLevel="0" collapsed="false">
      <c r="A12858" s="1" t="s">
        <v>1064</v>
      </c>
      <c r="B12858" s="0" t="s">
        <v>98</v>
      </c>
      <c r="C12858" s="6" t="n">
        <f aca="false">Sens!$C$12857*(1-g_tv/(((px*sh_out26*(rf+beta*erp_lo)+(debt_face+fl_liab)*kd*(1-tax_w))/(px*sh_out26+debt_face+fl_liab))+ronic_prem))</f>
        <v>197.203832025258</v>
      </c>
    </row>
    <row r="12859" customFormat="false" ht="17.15" hidden="false" customHeight="false" outlineLevel="0" collapsed="false">
      <c r="A12859" s="1" t="s">
        <v>1065</v>
      </c>
      <c r="B12859" s="0" t="s">
        <v>98</v>
      </c>
      <c r="C12859" s="6" t="n">
        <f aca="false">Sens!$C$12858/(((px*sh_out26*(rf+beta*erp_lo)+(debt_face+fl_liab)*kd*(1-tax_w))/(px*sh_out26+debt_face+fl_liab))-g_tv)</f>
        <v>2916.07032259452</v>
      </c>
    </row>
    <row r="12860" customFormat="false" ht="15" hidden="false" customHeight="false" outlineLevel="0" collapsed="false">
      <c r="A12860" s="1" t="s">
        <v>1066</v>
      </c>
      <c r="B12860" s="0" t="s">
        <v>98</v>
      </c>
      <c r="C12860" s="6" t="n">
        <f aca="false">Sens!$C$12859/(1+((px*sh_out26*(rf+beta*erp_lo)+(debt_face+fl_liab)*kd*(1-tax_w))/(px*sh_out26+debt_face+fl_liab)))^(Sens!K12852+mid_yr)</f>
        <v>1667.51721558419</v>
      </c>
    </row>
    <row r="12861" customFormat="false" ht="17.15" hidden="false" customHeight="false" outlineLevel="0" collapsed="false">
      <c r="A12861" s="0" t="s">
        <v>986</v>
      </c>
      <c r="B12861" s="0" t="s">
        <v>98</v>
      </c>
      <c r="C12861" s="6" t="n">
        <f aca="false">Sens!$C$12856+Sens!$C$12860</f>
        <v>2195.55709991053</v>
      </c>
    </row>
    <row r="12862" customFormat="false" ht="15" hidden="false" customHeight="false" outlineLevel="0" collapsed="false">
      <c r="A12862" s="1" t="s">
        <v>987</v>
      </c>
      <c r="B12862" s="0" t="s">
        <v>129</v>
      </c>
      <c r="C12862" s="7" t="n">
        <f aca="false">Sens!$C$12860/Sens!$C$12861</f>
        <v>0.7594961732729</v>
      </c>
    </row>
    <row r="12863" customFormat="false" ht="17.15" hidden="false" customHeight="false" outlineLevel="0" collapsed="false">
      <c r="A12863" s="1" t="s">
        <v>1067</v>
      </c>
      <c r="B12863" s="0" t="s">
        <v>98</v>
      </c>
      <c r="C12863" s="6" t="n">
        <f aca="false">Sens!$C$12861+CF!E69-CF!E58+oai_v</f>
        <v>2330.07009991053</v>
      </c>
    </row>
    <row r="12864" customFormat="false" ht="17.15" hidden="false" customHeight="false" outlineLevel="0" collapsed="false">
      <c r="A12864" s="0" t="s">
        <v>994</v>
      </c>
      <c r="B12864" s="0" t="s">
        <v>75</v>
      </c>
      <c r="C12864" s="5" t="n">
        <f aca="false">Sens!$C$12863/sh_dil26</f>
        <v>312.635193869654</v>
      </c>
    </row>
    <row r="12865" customFormat="false" ht="15" hidden="false" customHeight="false" outlineLevel="0" collapsed="false">
      <c r="A12865" s="1" t="s">
        <v>1068</v>
      </c>
      <c r="B12865" s="0" t="s">
        <v>75</v>
      </c>
      <c r="C12865" s="8" t="n">
        <f aca="false">dps_27+CF!G61*roll_div_q/q_per_yr</f>
        <v>4.8895</v>
      </c>
    </row>
    <row r="12866" customFormat="false" ht="17.15" hidden="false" customHeight="false" outlineLevel="0" collapsed="false">
      <c r="A12866" s="0" t="s">
        <v>1069</v>
      </c>
      <c r="B12866" s="0" t="s">
        <v>75</v>
      </c>
      <c r="C12866" s="5" t="n">
        <f aca="false">Sens!$C$12864*(1+((px*sh_out26*(rf+beta*erp_lo)+(debt_face+fl_liab)*kd*(1-tax_w))/(px*sh_out26+debt_face+fl_liab)))^t_roll-Sens!$C$12865</f>
        <v>348.848558932327</v>
      </c>
    </row>
    <row r="12867" customFormat="false" ht="17.15" hidden="false" customHeight="false" outlineLevel="0" collapsed="false">
      <c r="A12867" s="1" t="s">
        <v>1070</v>
      </c>
      <c r="B12867" s="0" t="s">
        <v>129</v>
      </c>
      <c r="F12867" s="7" t="n">
        <f aca="false">CF!F48/(Seg!F56-Thesis!F72)</f>
        <v>0.0708376243512414</v>
      </c>
      <c r="G12867" s="7" t="n">
        <f aca="false">CF!G48/(Seg!G56-Thesis!G72)</f>
        <v>0.0675792567445289</v>
      </c>
      <c r="H12867" s="7" t="n">
        <f aca="false">CF!H48/(Seg!H56-Thesis!H72)</f>
        <v>0.0657637992399081</v>
      </c>
      <c r="I12867" s="7" t="n">
        <f aca="false">CF!I48/(Seg!I56-Thesis!I72)</f>
        <v>0.0652507860006261</v>
      </c>
      <c r="J12867" s="7" t="n">
        <f aca="false">CF!J48/(Seg!J56-Thesis!J72)</f>
        <v>0.0657374094257698</v>
      </c>
      <c r="K12867" s="7" t="n">
        <f aca="false">CF!K48/(Seg!K56-Thesis!K72)</f>
        <v>0.0668595832904836</v>
      </c>
    </row>
    <row r="12868" customFormat="false" ht="17.15" hidden="false" customHeight="false" outlineLevel="0" collapsed="false">
      <c r="A12868" s="0" t="s">
        <v>1071</v>
      </c>
      <c r="B12868" s="0" t="s">
        <v>98</v>
      </c>
      <c r="F12868" s="6" t="n">
        <f aca="false">Seg!F41*(al_m365+Sens!F12867+sbc_r)</f>
        <v>84.2019918892952</v>
      </c>
      <c r="G12868" s="6" t="n">
        <f aca="false">Seg!G41*(al_m365+Sens!G12867+sbc_r)</f>
        <v>96.61090954529</v>
      </c>
      <c r="H12868" s="6" t="n">
        <f aca="false">Seg!H41*(al_m365+Sens!H12867+sbc_r)</f>
        <v>109.18271398457</v>
      </c>
      <c r="I12868" s="6" t="n">
        <f aca="false">Seg!I41*(al_m365+Sens!I12867+sbc_r)</f>
        <v>120.736322591613</v>
      </c>
      <c r="J12868" s="6" t="n">
        <f aca="false">Seg!J41*(al_m365+Sens!J12867+sbc_r)</f>
        <v>131.084561154645</v>
      </c>
      <c r="K12868" s="6" t="n">
        <f aca="false">Seg!K41*(al_m365+Sens!K12867+sbc_r)</f>
        <v>141.044207560217</v>
      </c>
      <c r="L12868" s="11" t="s">
        <v>1072</v>
      </c>
    </row>
    <row r="12869" customFormat="false" ht="17.15" hidden="false" customHeight="false" outlineLevel="0" collapsed="false">
      <c r="A12869" s="0" t="s">
        <v>1073</v>
      </c>
      <c r="B12869" s="0" t="s">
        <v>98</v>
      </c>
      <c r="F12869" s="6" t="n">
        <f aca="false">Seg!F42*(al_lic+Sens!F12867+sbc_r)</f>
        <v>33.5324516680982</v>
      </c>
      <c r="G12869" s="6" t="n">
        <f aca="false">Seg!G42*(al_lic+Sens!G12867+sbc_r)</f>
        <v>34.819657317048</v>
      </c>
      <c r="H12869" s="6" t="n">
        <f aca="false">Seg!H42*(al_lic+Sens!H12867+sbc_r)</f>
        <v>36.0229106304815</v>
      </c>
      <c r="I12869" s="6" t="n">
        <f aca="false">Seg!I42*(al_lic+Sens!I12867+sbc_r)</f>
        <v>37.1234854794919</v>
      </c>
      <c r="J12869" s="6" t="n">
        <f aca="false">Seg!J42*(al_lic+Sens!J12867+sbc_r)</f>
        <v>38.0950592345738</v>
      </c>
      <c r="K12869" s="6" t="n">
        <f aca="false">Seg!K42*(al_lic+Sens!K12867+sbc_r)</f>
        <v>38.9080719459809</v>
      </c>
    </row>
    <row r="12870" customFormat="false" ht="17.15" hidden="false" customHeight="false" outlineLevel="0" collapsed="false">
      <c r="A12870" s="0" t="s">
        <v>1074</v>
      </c>
      <c r="B12870" s="0" t="s">
        <v>98</v>
      </c>
      <c r="F12870" s="6" t="n">
        <f aca="false">Seg!F44*(al_ind+Sens!F12867+sbc_r)</f>
        <v>9.12666918765551</v>
      </c>
      <c r="G12870" s="6" t="n">
        <f aca="false">Seg!G44*(al_ind+Sens!G12867+sbc_r)</f>
        <v>9.89694850970116</v>
      </c>
      <c r="H12870" s="6" t="n">
        <f aca="false">Seg!H44*(al_ind+Sens!H12867+sbc_r)</f>
        <v>10.7131335152527</v>
      </c>
      <c r="I12870" s="6" t="n">
        <f aca="false">Seg!I44*(al_ind+Sens!I12867+sbc_r)</f>
        <v>11.5721730864119</v>
      </c>
      <c r="J12870" s="6" t="n">
        <f aca="false">Seg!J44*(al_ind+Sens!J12867+sbc_r)</f>
        <v>12.4641697526801</v>
      </c>
      <c r="K12870" s="6" t="n">
        <f aca="false">Seg!K44*(al_ind+Sens!K12867+sbc_r)</f>
        <v>13.3737871892836</v>
      </c>
    </row>
    <row r="12871" customFormat="false" ht="17.15" hidden="false" customHeight="false" outlineLevel="0" collapsed="false">
      <c r="A12871" s="0" t="s">
        <v>1075</v>
      </c>
      <c r="B12871" s="0" t="s">
        <v>98</v>
      </c>
      <c r="F12871" s="6" t="n">
        <f aca="false">Seg!F46*(al_fro+Sens!F12867+sbc_r)</f>
        <v>3.5922890341799</v>
      </c>
      <c r="G12871" s="6" t="n">
        <f aca="false">Seg!G46*(al_fro+Sens!G12867+sbc_r)</f>
        <v>3.79984310356763</v>
      </c>
      <c r="H12871" s="6" t="n">
        <f aca="false">Seg!H46*(al_fro+Sens!H12867+sbc_r)</f>
        <v>4.03707539290126</v>
      </c>
      <c r="I12871" s="6" t="n">
        <f aca="false">Seg!I46*(al_fro+Sens!I12867+sbc_r)</f>
        <v>4.30669184104541</v>
      </c>
      <c r="J12871" s="6" t="n">
        <f aca="false">Seg!J46*(al_fro+Sens!J12867+sbc_r)</f>
        <v>4.6097289716959</v>
      </c>
      <c r="K12871" s="6" t="n">
        <f aca="false">Seg!K46*(al_fro+Sens!K12867+sbc_r)</f>
        <v>4.94614045628512</v>
      </c>
    </row>
    <row r="12872" customFormat="false" ht="17.15" hidden="false" customHeight="false" outlineLevel="0" collapsed="false">
      <c r="A12872" s="0" t="s">
        <v>1076</v>
      </c>
      <c r="B12872" s="0" t="s">
        <v>98</v>
      </c>
      <c r="F12872" s="6" t="n">
        <f aca="false">Seg!F49*(al_srch+Sens!F12867+sbc_r)</f>
        <v>11.2715683093452</v>
      </c>
      <c r="G12872" s="6" t="n">
        <f aca="false">Seg!G49*(al_srch+Sens!G12867+sbc_r)</f>
        <v>12.338201972554</v>
      </c>
      <c r="H12872" s="6" t="n">
        <f aca="false">Seg!H49*(al_srch+Sens!H12867+sbc_r)</f>
        <v>13.450727865064</v>
      </c>
      <c r="I12872" s="6" t="n">
        <f aca="false">Seg!I49*(al_srch+Sens!I12867+sbc_r)</f>
        <v>14.598560682534</v>
      </c>
      <c r="J12872" s="6" t="n">
        <f aca="false">Seg!J49*(al_srch+Sens!J12867+sbc_r)</f>
        <v>15.7615229152659</v>
      </c>
      <c r="K12872" s="6" t="n">
        <f aca="false">Seg!K49*(al_srch+Sens!K12867+sbc_r)</f>
        <v>16.9117765106222</v>
      </c>
    </row>
    <row r="12873" customFormat="false" ht="17.15" hidden="false" customHeight="false" outlineLevel="0" collapsed="false">
      <c r="A12873" s="0" t="s">
        <v>1077</v>
      </c>
      <c r="B12873" s="0" t="s">
        <v>98</v>
      </c>
      <c r="F12873" s="6" t="n">
        <f aca="false">Thesis!F78-Thesis!F79+Thesis!F93</f>
        <v>42.2254306726393</v>
      </c>
      <c r="G12873" s="6" t="n">
        <f aca="false">Thesis!G78-Thesis!G79+Thesis!G93</f>
        <v>79.7027537443441</v>
      </c>
      <c r="H12873" s="6" t="n">
        <f aca="false">Thesis!H78-Thesis!H79+Thesis!H93</f>
        <v>120.060533679822</v>
      </c>
      <c r="I12873" s="6" t="n">
        <f aca="false">Thesis!I78-Thesis!I79+Thesis!I93</f>
        <v>156.515256506302</v>
      </c>
      <c r="J12873" s="6" t="n">
        <f aca="false">Thesis!J78-Thesis!J79+Thesis!J93</f>
        <v>182.51821819491</v>
      </c>
      <c r="K12873" s="6" t="n">
        <f aca="false">Thesis!K78-Thesis!K79+Thesis!K93</f>
        <v>199.254533496123</v>
      </c>
    </row>
    <row r="12874" customFormat="false" ht="17.15" hidden="false" customHeight="false" outlineLevel="0" collapsed="false">
      <c r="A12874" s="0" t="s">
        <v>1078</v>
      </c>
      <c r="B12874" s="0" t="s">
        <v>98</v>
      </c>
      <c r="F12874" s="6" t="n">
        <f aca="false">PL!F71+Thesis!F93+Thesis!F89+Sens!F12867*(Seg!F48-Thesis!F72)+sbc_r*Seg!F48</f>
        <v>233.08249657256</v>
      </c>
      <c r="G12874" s="6" t="n">
        <f aca="false">PL!G71+Thesis!G93+Thesis!G89+Sens!G12867*(Seg!G48-Thesis!G72)+sbc_r*Seg!G48</f>
        <v>297.663189032606</v>
      </c>
      <c r="H12874" s="6" t="n">
        <f aca="false">PL!H71+Thesis!H93+Thesis!H89+Sens!H12867*(Seg!H48-Thesis!H72)+sbc_r*Seg!H48</f>
        <v>365.628165851855</v>
      </c>
      <c r="I12874" s="6" t="n">
        <f aca="false">PL!I71+Thesis!I93+Thesis!I89+Sens!I12867*(Seg!I48-Thesis!I72)+sbc_r*Seg!I48</f>
        <v>428.31888397841</v>
      </c>
      <c r="J12874" s="6" t="n">
        <f aca="false">PL!J71+Thesis!J93+Thesis!J89+Sens!J12867*(Seg!J48-Thesis!J72)+sbc_r*Seg!J48</f>
        <v>478.127348640143</v>
      </c>
      <c r="K12874" s="6" t="n">
        <f aca="false">PL!K71+Thesis!K93+Thesis!K89+Sens!K12867*(Seg!K48-Thesis!K72)+sbc_r*Seg!K48</f>
        <v>516.321726855748</v>
      </c>
    </row>
    <row r="12875" customFormat="false" ht="17.15" hidden="false" customHeight="false" outlineLevel="0" collapsed="false">
      <c r="A12875" s="0" t="s">
        <v>1079</v>
      </c>
      <c r="B12875" s="0" t="s">
        <v>98</v>
      </c>
      <c r="F12875" s="6" t="n">
        <f aca="false">Sens!F12874-Sens!F12868-Sens!F12869-Sens!F12870-Sens!F12871-Sens!F12873</f>
        <v>60.4036641206917</v>
      </c>
      <c r="G12875" s="6" t="n">
        <f aca="false">Sens!G12874-Sens!G12868-Sens!G12869-Sens!G12870-Sens!G12871-Sens!G12873</f>
        <v>72.8330768126549</v>
      </c>
      <c r="H12875" s="6" t="n">
        <f aca="false">Sens!H12874-Sens!H12868-Sens!H12869-Sens!H12870-Sens!H12871-Sens!H12873</f>
        <v>85.6117986488275</v>
      </c>
      <c r="I12875" s="6" t="n">
        <f aca="false">Sens!I12874-Sens!I12868-Sens!I12869-Sens!I12870-Sens!I12871-Sens!I12873</f>
        <v>98.0649544735462</v>
      </c>
      <c r="J12875" s="6" t="n">
        <f aca="false">Sens!J12874-Sens!J12868-Sens!J12869-Sens!J12870-Sens!J12871-Sens!J12873</f>
        <v>109.355611331638</v>
      </c>
      <c r="K12875" s="6" t="n">
        <f aca="false">Sens!K12874-Sens!K12868-Sens!K12869-Sens!K12870-Sens!K12871-Sens!K12873</f>
        <v>118.794986207857</v>
      </c>
    </row>
    <row r="12876" customFormat="false" ht="17.15" hidden="false" customHeight="false" outlineLevel="0" collapsed="false">
      <c r="A12876" s="0" t="s">
        <v>1080</v>
      </c>
      <c r="B12876" s="0" t="s">
        <v>98</v>
      </c>
      <c r="F12876" s="6" t="n">
        <f aca="false">PL!F73+Sens!F12867*Seg!F55+sbc_r*Seg!F55</f>
        <v>26.345087006484</v>
      </c>
      <c r="G12876" s="6" t="n">
        <f aca="false">PL!G73+Sens!G12867*Seg!G55+sbc_r*Seg!G55</f>
        <v>26.928666241387</v>
      </c>
      <c r="H12876" s="6" t="n">
        <f aca="false">PL!H73+Sens!H12867*Seg!H55+sbc_r*Seg!H55</f>
        <v>27.7857977299272</v>
      </c>
      <c r="I12876" s="6" t="n">
        <f aca="false">PL!I73+Sens!I12867*Seg!I55+sbc_r*Seg!I55</f>
        <v>28.8854111921819</v>
      </c>
      <c r="J12876" s="6" t="n">
        <f aca="false">PL!J73+Sens!J12867*Seg!J55+sbc_r*Seg!J55</f>
        <v>30.1909525075627</v>
      </c>
      <c r="K12876" s="6" t="n">
        <f aca="false">PL!K73+Sens!K12867*Seg!K55+sbc_r*Seg!K55</f>
        <v>31.6641663414168</v>
      </c>
    </row>
    <row r="12877" customFormat="false" ht="17.15" hidden="false" customHeight="false" outlineLevel="0" collapsed="false">
      <c r="A12877" s="0" t="s">
        <v>1081</v>
      </c>
      <c r="B12877" s="0" t="s">
        <v>98</v>
      </c>
      <c r="F12877" s="6" t="n">
        <f aca="false">(Sens!F12876-Sens!F12872)*Seg!F51/(Seg!F51+Seg!F53)</f>
        <v>8.26315613582677</v>
      </c>
      <c r="G12877" s="6" t="n">
        <f aca="false">(Sens!G12876-Sens!G12872)*Seg!G51/(Seg!G51+Seg!G53)</f>
        <v>7.85574031810689</v>
      </c>
      <c r="H12877" s="6" t="n">
        <f aca="false">(Sens!H12876-Sens!H12872)*Seg!H51/(Seg!H51+Seg!H53)</f>
        <v>7.61397145487838</v>
      </c>
      <c r="I12877" s="6" t="n">
        <f aca="false">(Sens!I12876-Sens!I12872)*Seg!I51/(Seg!I51+Seg!I53)</f>
        <v>7.51970050510933</v>
      </c>
      <c r="J12877" s="6" t="n">
        <f aca="false">(Sens!J12876-Sens!J12872)*Seg!J51/(Seg!J51+Seg!J53)</f>
        <v>7.56040201890202</v>
      </c>
      <c r="K12877" s="6" t="n">
        <f aca="false">(Sens!K12876-Sens!K12872)*Seg!K51/(Seg!K51+Seg!K53)</f>
        <v>7.72961932742727</v>
      </c>
    </row>
    <row r="12878" customFormat="false" ht="17.15" hidden="false" customHeight="false" outlineLevel="0" collapsed="false">
      <c r="A12878" s="0" t="s">
        <v>1082</v>
      </c>
      <c r="B12878" s="0" t="s">
        <v>98</v>
      </c>
      <c r="F12878" s="6" t="n">
        <f aca="false">Sens!F12876-Sens!F12872-Sens!F12877</f>
        <v>6.81036256131213</v>
      </c>
      <c r="G12878" s="6" t="n">
        <f aca="false">Sens!G12876-Sens!G12872-Sens!G12877</f>
        <v>6.73472395072608</v>
      </c>
      <c r="H12878" s="6" t="n">
        <f aca="false">Sens!H12876-Sens!H12872-Sens!H12877</f>
        <v>6.72109840998485</v>
      </c>
      <c r="I12878" s="6" t="n">
        <f aca="false">Sens!I12876-Sens!I12872-Sens!I12877</f>
        <v>6.76715000453853</v>
      </c>
      <c r="J12878" s="6" t="n">
        <f aca="false">Sens!J12876-Sens!J12872-Sens!J12877</f>
        <v>6.86902757339483</v>
      </c>
      <c r="K12878" s="6" t="n">
        <f aca="false">Sens!K12876-Sens!K12872-Sens!K12877</f>
        <v>7.02277050336727</v>
      </c>
    </row>
    <row r="12879" customFormat="false" ht="17.15" hidden="false" customHeight="false" outlineLevel="0" collapsed="false">
      <c r="A12879" s="0" t="s">
        <v>1083</v>
      </c>
      <c r="B12879" s="0" t="s">
        <v>98</v>
      </c>
      <c r="F12879" s="6" t="n">
        <f aca="false">Sens!F12873-tax_f*(Sens!F12873-Thesis!F89)-Thesis!F86</f>
        <v>-119.742553857164</v>
      </c>
      <c r="G12879" s="6" t="n">
        <f aca="false">Sens!G12873-tax_f*(Sens!G12873-Thesis!G89)-Thesis!G86</f>
        <v>-107.986890065622</v>
      </c>
      <c r="H12879" s="6" t="n">
        <f aca="false">Sens!H12873-tax_f*(Sens!H12873-Thesis!H89)-Thesis!H86</f>
        <v>-74.7596549978803</v>
      </c>
      <c r="I12879" s="6" t="n">
        <f aca="false">Sens!I12873-tax_f*(Sens!I12873-Thesis!I89)-Thesis!I86</f>
        <v>-16.3733151827256</v>
      </c>
      <c r="J12879" s="6" t="n">
        <f aca="false">Sens!J12873-tax_f*(Sens!J12873-Thesis!J89)-Thesis!J86</f>
        <v>44.4328025322546</v>
      </c>
      <c r="K12879" s="6" t="n">
        <f aca="false">Sens!K12873-tax_f*(Sens!K12873-Thesis!K89)-Thesis!K86</f>
        <v>65.8225043021697</v>
      </c>
    </row>
    <row r="12880" customFormat="false" ht="17.15" hidden="false" customHeight="false" outlineLevel="0" collapsed="false">
      <c r="A12880" s="0" t="s">
        <v>1084</v>
      </c>
      <c r="B12880" s="0" t="s">
        <v>98</v>
      </c>
      <c r="G12880" s="6" t="n">
        <f aca="false">Sens!G12879/(1+((px*sh_out26*(rf+beta*erp_lo)+(debt_face+fl_liab)*kd*(1-tax_w))/(px*sh_out26+debt_face+fl_liab)))^(Sens!G12852-(Sens!F12852+mid_yr))</f>
        <v>-103.072718009638</v>
      </c>
      <c r="H12880" s="6" t="n">
        <f aca="false">Sens!H12879/(1+((px*sh_out26*(rf+beta*erp_lo)+(debt_face+fl_liab)*kd*(1-tax_w))/(px*sh_out26+debt_face+fl_liab)))^(Sens!H12852-(Sens!F12852+mid_yr))</f>
        <v>-65.0107792670255</v>
      </c>
      <c r="I12880" s="6" t="n">
        <f aca="false">Sens!I12879/(1+((px*sh_out26*(rf+beta*erp_lo)+(debt_face+fl_liab)*kd*(1-tax_w))/(px*sh_out26+debt_face+fl_liab)))^(Sens!I12852-(Sens!F12852+mid_yr))</f>
        <v>-12.9717955228878</v>
      </c>
      <c r="J12880" s="6" t="n">
        <f aca="false">Sens!J12879/(1+((px*sh_out26*(rf+beta*erp_lo)+(debt_face+fl_liab)*kd*(1-tax_w))/(px*sh_out26+debt_face+fl_liab)))^(Sens!J12852-(Sens!F12852+mid_yr))</f>
        <v>32.0710048638493</v>
      </c>
      <c r="K12880" s="6" t="n">
        <f aca="false">Sens!K12879/(1+((px*sh_out26*(rf+beta*erp_lo)+(debt_face+fl_liab)*kd*(1-tax_w))/(px*sh_out26+debt_face+fl_liab)))^(Sens!K12852-(Sens!F12852+mid_yr))</f>
        <v>43.284125893823</v>
      </c>
      <c r="L12880" s="1" t="s">
        <v>1085</v>
      </c>
    </row>
    <row r="12881" customFormat="false" ht="17.15" hidden="false" customHeight="false" outlineLevel="0" collapsed="false">
      <c r="A12881" s="0" t="s">
        <v>1086</v>
      </c>
      <c r="B12881" s="0" t="s">
        <v>98</v>
      </c>
      <c r="C12881" s="6" t="n">
        <f aca="false">(Sens!K12873-Thesis!K89)*(1-tax_f)*(1+g_tv)*(1-g_tv/(((px*sh_out26*(rf+beta*erp_lo)+(debt_face+fl_liab)*kd*(1-tax_w))/(px*sh_out26+debt_face+fl_liab))+ronic_prem))/(((px*sh_out26*(rf+beta*erp_lo)+(debt_face+fl_liab)*kd*(1-tax_w))/(px*sh_out26+debt_face+fl_liab))-g_tv)/(1+((px*sh_out26*(rf+beta*erp_lo)+(debt_face+fl_liab)*kd*(1-tax_w))/(px*sh_out26+debt_face+fl_liab)))^(Sens!K12852+mid_yr-(Sens!F12852+mid_yr))</f>
        <v>318.513080304529</v>
      </c>
    </row>
    <row r="12882" customFormat="false" ht="17.15" hidden="false" customHeight="false" outlineLevel="0" collapsed="false">
      <c r="A12882" s="1" t="s">
        <v>1087</v>
      </c>
      <c r="B12882" s="0" t="s">
        <v>98</v>
      </c>
      <c r="C12882" s="6" t="n">
        <f aca="false">(SUM(Sens!G12880:K12880)+Sens!$C$12881)*(1+((px*sh_out26*(rf+beta*erp_lo)+(debt_face+fl_liab)*kd*(1-tax_w))/(px*sh_out26+debt_face+fl_liab)))^(t_roll-(Sens!F12852+mid_yr))</f>
        <v>219.375083304319</v>
      </c>
      <c r="L12882" s="11" t="s">
        <v>1088</v>
      </c>
    </row>
    <row r="12883" customFormat="false" ht="17.15" hidden="false" customHeight="false" outlineLevel="0" collapsed="false">
      <c r="A12883" s="1" t="s">
        <v>1089</v>
      </c>
      <c r="B12883" s="0" t="s">
        <v>98</v>
      </c>
      <c r="C12883" s="6" t="n">
        <f aca="false">(w_ntm28*Thesis!G78+(1-w_ntm28)*Thesis!H78)*m_ai</f>
        <v>454.922440830797</v>
      </c>
    </row>
    <row r="12884" customFormat="false" ht="17.15" hidden="false" customHeight="false" outlineLevel="0" collapsed="false">
      <c r="A12884" s="1" t="s">
        <v>1090</v>
      </c>
      <c r="B12884" s="0" t="s">
        <v>98</v>
      </c>
      <c r="C12884" s="6" t="n">
        <f aca="false">(w_ntm28*Sens!G12875+(1-w_ntm28)*Sens!H12875)*m_cloud</f>
        <v>1063.6463501031</v>
      </c>
    </row>
    <row r="12885" customFormat="false" ht="17.15" hidden="false" customHeight="false" outlineLevel="0" collapsed="false">
      <c r="A12885" s="1" t="s">
        <v>1091</v>
      </c>
      <c r="B12885" s="0" t="s">
        <v>98</v>
      </c>
      <c r="C12885" s="6" t="n">
        <f aca="false">(w_ntm28*Sens!G12868+(1-w_ntm28)*Sens!H12868)*m_sw</f>
        <v>1087.29236439713</v>
      </c>
    </row>
    <row r="12886" customFormat="false" ht="17.15" hidden="false" customHeight="false" outlineLevel="0" collapsed="false">
      <c r="A12886" s="1" t="s">
        <v>1092</v>
      </c>
      <c r="B12886" s="0" t="s">
        <v>98</v>
      </c>
      <c r="C12886" s="6" t="n">
        <f aca="false">(w_ntm28*Sens!G12869+(1-w_ntm28)*Sens!H12869)*m_sw</f>
        <v>380.253466209432</v>
      </c>
    </row>
    <row r="12887" customFormat="false" ht="17.15" hidden="false" customHeight="false" outlineLevel="0" collapsed="false">
      <c r="A12887" s="1" t="s">
        <v>1093</v>
      </c>
      <c r="B12887" s="0" t="s">
        <v>98</v>
      </c>
      <c r="C12887" s="6" t="n">
        <f aca="false">(w_ntm28*Sens!G12870+(1-w_ntm28)*Sens!H12870)*m_sw</f>
        <v>109.736759441964</v>
      </c>
    </row>
    <row r="12888" customFormat="false" ht="17.15" hidden="false" customHeight="false" outlineLevel="0" collapsed="false">
      <c r="A12888" s="1" t="s">
        <v>1094</v>
      </c>
      <c r="B12888" s="0" t="s">
        <v>98</v>
      </c>
      <c r="C12888" s="6" t="n">
        <f aca="false">(w_ntm28*Sens!G12871+(1-w_ntm28)*Sens!H12871)*m_sw</f>
        <v>41.8666036816175</v>
      </c>
    </row>
    <row r="12889" customFormat="false" ht="17.15" hidden="false" customHeight="false" outlineLevel="0" collapsed="false">
      <c r="A12889" s="1" t="s">
        <v>1095</v>
      </c>
      <c r="B12889" s="0" t="s">
        <v>98</v>
      </c>
      <c r="C12889" s="6" t="n">
        <f aca="false">(w_ntm28*Sens!G12872+(1-w_ntm28)*Sens!H12872)*m_ads</f>
        <v>115.677576364297</v>
      </c>
    </row>
    <row r="12890" customFormat="false" ht="17.15" hidden="false" customHeight="false" outlineLevel="0" collapsed="false">
      <c r="A12890" s="1" t="s">
        <v>1096</v>
      </c>
      <c r="B12890" s="0" t="s">
        <v>98</v>
      </c>
      <c r="C12890" s="6" t="n">
        <f aca="false">(w_ntm28*Sens!G12877+(1-w_ntm28)*Sens!H12877)*m_game</f>
        <v>98.230828142008</v>
      </c>
    </row>
    <row r="12891" customFormat="false" ht="17.15" hidden="false" customHeight="false" outlineLevel="0" collapsed="false">
      <c r="A12891" s="1" t="s">
        <v>1097</v>
      </c>
      <c r="B12891" s="0" t="s">
        <v>98</v>
      </c>
      <c r="C12891" s="6" t="n">
        <f aca="false">(w_ntm28*Sens!G12878+(1-w_ntm28)*Sens!H12878)*m_pc</f>
        <v>97.3877156607214</v>
      </c>
    </row>
    <row r="12892" customFormat="false" ht="17.15" hidden="false" customHeight="false" outlineLevel="0" collapsed="false">
      <c r="A12892" s="1" t="s">
        <v>1098</v>
      </c>
      <c r="B12892" s="0" t="s">
        <v>98</v>
      </c>
      <c r="C12892" s="6" t="n">
        <f aca="false">Sens!$C$12882+Sens!$C$12884+Sens!$C$12885+Sens!$C$12886+Sens!$C$12887+Sens!$C$12888+Sens!$C$12889+Sens!$C$12890+Sens!$C$12891</f>
        <v>3213.46674730459</v>
      </c>
    </row>
    <row r="12893" customFormat="false" ht="17.15" hidden="false" customHeight="false" outlineLevel="0" collapsed="false">
      <c r="A12893" s="1" t="s">
        <v>1099</v>
      </c>
      <c r="B12893" s="0" t="s">
        <v>98</v>
      </c>
      <c r="C12893" s="6" t="n">
        <f aca="false">(Sens!G12854-Sens!G12879)*t_stub</f>
        <v>47.417684594531</v>
      </c>
      <c r="L12893" s="1" t="s">
        <v>1100</v>
      </c>
    </row>
    <row r="12894" customFormat="false" ht="17.15" hidden="false" customHeight="false" outlineLevel="0" collapsed="false">
      <c r="A12894" s="1" t="s">
        <v>1014</v>
      </c>
      <c r="B12894" s="0" t="s">
        <v>98</v>
      </c>
      <c r="C12894" s="6" t="n">
        <f aca="false">CF!F69+oai_v-CF!F58+Sens!$C$12893</f>
        <v>158.699306060314</v>
      </c>
      <c r="L12894" s="1" t="s">
        <v>1101</v>
      </c>
    </row>
    <row r="12895" customFormat="false" ht="17.15" hidden="false" customHeight="false" outlineLevel="0" collapsed="false">
      <c r="A12895" s="1" t="s">
        <v>1102</v>
      </c>
      <c r="B12895" s="0" t="s">
        <v>75</v>
      </c>
      <c r="C12895" s="5" t="n">
        <f aca="false">(Sens!$C$12892+Sens!$C$12894)/(CF!F71+dil_gap)-CF!G61*roll_div_q/q_per_yr</f>
        <v>448.822566884325</v>
      </c>
      <c r="L12895" s="1" t="s">
        <v>1103</v>
      </c>
    </row>
    <row r="12896" customFormat="false" ht="17.15" hidden="false" customHeight="false" outlineLevel="0" collapsed="false">
      <c r="A12896" s="1" t="s">
        <v>1104</v>
      </c>
      <c r="B12896" s="0" t="s">
        <v>75</v>
      </c>
      <c r="C12896" s="5" t="n">
        <f aca="false">w_dcf*Sens!$C$12866+(1-w_dcf)*Sens!$C$12895</f>
        <v>398.835562908326</v>
      </c>
    </row>
    <row r="12897" customFormat="false" ht="17.15" hidden="false" customHeight="false" outlineLevel="0" collapsed="false">
      <c r="A12897" s="3" t="s">
        <v>1591</v>
      </c>
    </row>
    <row r="12898" customFormat="false" ht="15" hidden="false" customHeight="false" outlineLevel="0" collapsed="false">
      <c r="A12898" s="4" t="s">
        <v>43</v>
      </c>
      <c r="B12898" s="4" t="s">
        <v>65</v>
      </c>
      <c r="C12898" s="20" t="s">
        <v>799</v>
      </c>
      <c r="D12898" s="20" t="s">
        <v>800</v>
      </c>
      <c r="E12898" s="20" t="s">
        <v>801</v>
      </c>
      <c r="F12898" s="20" t="s">
        <v>802</v>
      </c>
      <c r="G12898" s="20" t="s">
        <v>803</v>
      </c>
      <c r="H12898" s="20" t="s">
        <v>804</v>
      </c>
      <c r="I12898" s="20" t="s">
        <v>805</v>
      </c>
      <c r="J12898" s="20" t="s">
        <v>806</v>
      </c>
      <c r="K12898" s="20" t="s">
        <v>807</v>
      </c>
      <c r="L12898" s="4" t="s">
        <v>47</v>
      </c>
    </row>
    <row r="12899" customFormat="false" ht="15" hidden="false" customHeight="false" outlineLevel="0" collapsed="false">
      <c r="A12899" s="1" t="s">
        <v>1057</v>
      </c>
      <c r="B12899" s="1" t="s">
        <v>235</v>
      </c>
      <c r="F12899" s="36" t="n">
        <f aca="false">Thesis!F104-base_fy-mid_yr</f>
        <v>0.5</v>
      </c>
      <c r="G12899" s="36" t="n">
        <f aca="false">Thesis!G104-base_fy-mid_yr</f>
        <v>1.5</v>
      </c>
      <c r="H12899" s="36" t="n">
        <f aca="false">Thesis!H104-base_fy-mid_yr</f>
        <v>2.5</v>
      </c>
      <c r="I12899" s="36" t="n">
        <f aca="false">Thesis!I104-base_fy-mid_yr</f>
        <v>3.5</v>
      </c>
      <c r="J12899" s="36" t="n">
        <f aca="false">Thesis!J104-base_fy-mid_yr</f>
        <v>4.5</v>
      </c>
      <c r="K12899" s="36" t="n">
        <f aca="false">Thesis!K104-base_fy-mid_yr</f>
        <v>5.5</v>
      </c>
    </row>
    <row r="12900" customFormat="false" ht="15" hidden="false" customHeight="false" outlineLevel="0" collapsed="false">
      <c r="A12900" s="1" t="s">
        <v>1058</v>
      </c>
      <c r="B12900" s="0" t="s">
        <v>185</v>
      </c>
      <c r="F12900" s="14" t="n">
        <f aca="false">1/(1+((px*sh_out26*(rf+beta*erp_lo)+(debt_face+fl_liab)*kd*(1-tax_w))/(px*sh_out26+debt_face+fl_liab)))^Sens!F12899</f>
        <v>0.954492882858299</v>
      </c>
      <c r="G12900" s="14" t="n">
        <f aca="false">1/(1+((px*sh_out26*(rf+beta*erp_lo)+(debt_face+fl_liab)*kd*(1-tax_w))/(px*sh_out26+debt_face+fl_liab)))^Sens!G12899</f>
        <v>0.869597101121839</v>
      </c>
      <c r="H12900" s="14" t="n">
        <f aca="false">1/(1+((px*sh_out26*(rf+beta*erp_lo)+(debt_face+fl_liab)*kd*(1-tax_w))/(px*sh_out26+debt_face+fl_liab)))^Sens!H12899</f>
        <v>0.792252233473981</v>
      </c>
      <c r="I12900" s="14" t="n">
        <f aca="false">1/(1+((px*sh_out26*(rf+beta*erp_lo)+(debt_face+fl_liab)*kd*(1-tax_w))/(px*sh_out26+debt_face+fl_liab)))^Sens!I12899</f>
        <v>0.721786676421509</v>
      </c>
      <c r="J12900" s="14" t="n">
        <f aca="false">1/(1+((px*sh_out26*(rf+beta*erp_lo)+(debt_face+fl_liab)*kd*(1-tax_w))/(px*sh_out26+debt_face+fl_liab)))^Sens!J12899</f>
        <v>0.657588561126749</v>
      </c>
      <c r="K12900" s="14" t="n">
        <f aca="false">1/(1+((px*sh_out26*(rf+beta*erp_lo)+(debt_face+fl_liab)*kd*(1-tax_w))/(px*sh_out26+debt_face+fl_liab)))^Sens!K12899</f>
        <v>0.599100440407994</v>
      </c>
    </row>
    <row r="12901" customFormat="false" ht="17.15" hidden="false" customHeight="false" outlineLevel="0" collapsed="false">
      <c r="A12901" s="1" t="s">
        <v>1059</v>
      </c>
      <c r="B12901" s="0" t="s">
        <v>98</v>
      </c>
      <c r="F12901" s="6" t="n">
        <f aca="false">CF!F84-CF!F82-CF!F88+Thesis!F142*(1-tax_f)</f>
        <v>-5.66283879850096</v>
      </c>
      <c r="G12901" s="6" t="n">
        <f aca="false">CF!G84-CF!G82-CF!G88+Thesis!G142*(1-tax_f)</f>
        <v>26.4063013109088</v>
      </c>
      <c r="H12901" s="6" t="n">
        <f aca="false">CF!H84-CF!H82-CF!H88+Thesis!H142*(1-tax_f)</f>
        <v>62.5616635009479</v>
      </c>
      <c r="I12901" s="6" t="n">
        <f aca="false">CF!I84-CF!I82-CF!I88+Thesis!I142*(1-tax_f)</f>
        <v>129.900993846266</v>
      </c>
      <c r="J12901" s="6" t="n">
        <f aca="false">CF!J84-CF!J82-CF!J88+Thesis!J142*(1-tax_f)</f>
        <v>200.497803796175</v>
      </c>
      <c r="K12901" s="6" t="n">
        <f aca="false">CF!K84-CF!K82-CF!K88+Thesis!K142*(1-tax_f)</f>
        <v>232.344395761849</v>
      </c>
      <c r="L12901" s="1" t="s">
        <v>1060</v>
      </c>
    </row>
    <row r="12902" customFormat="false" ht="15" hidden="false" customHeight="false" outlineLevel="0" collapsed="false">
      <c r="A12902" s="1" t="s">
        <v>1061</v>
      </c>
      <c r="B12902" s="0" t="s">
        <v>98</v>
      </c>
      <c r="F12902" s="6" t="n">
        <f aca="false">Sens!F12901*Sens!F12900</f>
        <v>-5.40513932994301</v>
      </c>
      <c r="G12902" s="6" t="n">
        <f aca="false">Sens!G12901*Sens!G12900</f>
        <v>22.9628430713161</v>
      </c>
      <c r="H12902" s="6" t="n">
        <f aca="false">Sens!H12901*Sens!H12900</f>
        <v>49.5646176384736</v>
      </c>
      <c r="I12902" s="6" t="n">
        <f aca="false">Sens!I12901*Sens!I12900</f>
        <v>93.7608066121475</v>
      </c>
      <c r="J12902" s="6" t="n">
        <f aca="false">Sens!J12901*Sens!J12900</f>
        <v>131.8450623074</v>
      </c>
      <c r="K12902" s="6" t="n">
        <f aca="false">Sens!K12901*Sens!K12900</f>
        <v>139.197629827253</v>
      </c>
    </row>
    <row r="12903" customFormat="false" ht="17.15" hidden="false" customHeight="false" outlineLevel="0" collapsed="false">
      <c r="A12903" s="1" t="s">
        <v>1062</v>
      </c>
      <c r="B12903" s="0" t="s">
        <v>98</v>
      </c>
      <c r="C12903" s="6" t="n">
        <f aca="false">SUM(Sens!F12902:K12902)</f>
        <v>431.925820126647</v>
      </c>
    </row>
    <row r="12904" customFormat="false" ht="17.15" hidden="false" customHeight="false" outlineLevel="0" collapsed="false">
      <c r="A12904" s="1" t="s">
        <v>1063</v>
      </c>
      <c r="B12904" s="0" t="s">
        <v>98</v>
      </c>
      <c r="C12904" s="6" t="n">
        <f aca="false">PL!K117*(1+g_tv)*(1-tax_f)</f>
        <v>246.58988426946</v>
      </c>
    </row>
    <row r="12905" customFormat="false" ht="17.15" hidden="false" customHeight="false" outlineLevel="0" collapsed="false">
      <c r="A12905" s="1" t="s">
        <v>1064</v>
      </c>
      <c r="B12905" s="0" t="s">
        <v>98</v>
      </c>
      <c r="C12905" s="6" t="n">
        <f aca="false">Sens!$C$12904*(1-g_tv/(((px*sh_out26*(rf+beta*erp_lo)+(debt_face+fl_liab)*kd*(1-tax_w))/(px*sh_out26+debt_face+fl_liab))+ronic_prem))</f>
        <v>170.814441435673</v>
      </c>
    </row>
    <row r="12906" customFormat="false" ht="17.15" hidden="false" customHeight="false" outlineLevel="0" collapsed="false">
      <c r="A12906" s="1" t="s">
        <v>1065</v>
      </c>
      <c r="B12906" s="0" t="s">
        <v>98</v>
      </c>
      <c r="C12906" s="6" t="n">
        <f aca="false">Sens!$C$12905/(((px*sh_out26*(rf+beta*erp_lo)+(debt_face+fl_liab)*kd*(1-tax_w))/(px*sh_out26+debt_face+fl_liab))-g_tv)</f>
        <v>2525.84809445957</v>
      </c>
    </row>
    <row r="12907" customFormat="false" ht="15" hidden="false" customHeight="false" outlineLevel="0" collapsed="false">
      <c r="A12907" s="1" t="s">
        <v>1066</v>
      </c>
      <c r="B12907" s="0" t="s">
        <v>98</v>
      </c>
      <c r="C12907" s="6" t="n">
        <f aca="false">Sens!$C$12906/(1+((px*sh_out26*(rf+beta*erp_lo)+(debt_face+fl_liab)*kd*(1-tax_w))/(px*sh_out26+debt_face+fl_liab)))^(Sens!K12899+mid_yr)</f>
        <v>1444.37366576071</v>
      </c>
    </row>
    <row r="12908" customFormat="false" ht="17.15" hidden="false" customHeight="false" outlineLevel="0" collapsed="false">
      <c r="A12908" s="0" t="s">
        <v>986</v>
      </c>
      <c r="B12908" s="0" t="s">
        <v>98</v>
      </c>
      <c r="C12908" s="6" t="n">
        <f aca="false">Sens!$C$12903+Sens!$C$12907</f>
        <v>1876.29948588736</v>
      </c>
    </row>
    <row r="12909" customFormat="false" ht="15" hidden="false" customHeight="false" outlineLevel="0" collapsed="false">
      <c r="A12909" s="1" t="s">
        <v>987</v>
      </c>
      <c r="B12909" s="0" t="s">
        <v>129</v>
      </c>
      <c r="C12909" s="7" t="n">
        <f aca="false">Sens!$C$12907/Sens!$C$12908</f>
        <v>0.76979910543312</v>
      </c>
    </row>
    <row r="12910" customFormat="false" ht="17.15" hidden="false" customHeight="false" outlineLevel="0" collapsed="false">
      <c r="A12910" s="1" t="s">
        <v>1067</v>
      </c>
      <c r="B12910" s="0" t="s">
        <v>98</v>
      </c>
      <c r="C12910" s="6" t="n">
        <f aca="false">Sens!$C$12908+CF!E100-CF!E89+oai_v</f>
        <v>2010.81248588736</v>
      </c>
    </row>
    <row r="12911" customFormat="false" ht="17.15" hidden="false" customHeight="false" outlineLevel="0" collapsed="false">
      <c r="A12911" s="0" t="s">
        <v>994</v>
      </c>
      <c r="B12911" s="0" t="s">
        <v>75</v>
      </c>
      <c r="C12911" s="5" t="n">
        <f aca="false">Sens!$C$12910/sh_dil26</f>
        <v>269.799072304758</v>
      </c>
    </row>
    <row r="12912" customFormat="false" ht="15" hidden="false" customHeight="false" outlineLevel="0" collapsed="false">
      <c r="A12912" s="1" t="s">
        <v>1068</v>
      </c>
      <c r="B12912" s="0" t="s">
        <v>75</v>
      </c>
      <c r="C12912" s="8" t="n">
        <f aca="false">dps_27+CF!G92*roll_div_q/q_per_yr</f>
        <v>4.8895</v>
      </c>
    </row>
    <row r="12913" customFormat="false" ht="17.15" hidden="false" customHeight="false" outlineLevel="0" collapsed="false">
      <c r="A12913" s="0" t="s">
        <v>1069</v>
      </c>
      <c r="B12913" s="0" t="s">
        <v>75</v>
      </c>
      <c r="C12913" s="5" t="n">
        <f aca="false">Sens!$C$12911*(1+((px*sh_out26*(rf+beta*erp_lo)+(debt_face+fl_liab)*kd*(1-tax_w))/(px*sh_out26+debt_face+fl_liab)))^t_roll-Sens!$C$12912</f>
        <v>300.380674344537</v>
      </c>
    </row>
    <row r="12914" customFormat="false" ht="17.15" hidden="false" customHeight="false" outlineLevel="0" collapsed="false">
      <c r="A12914" s="1" t="s">
        <v>1070</v>
      </c>
      <c r="B12914" s="0" t="s">
        <v>129</v>
      </c>
      <c r="F12914" s="7" t="n">
        <f aca="false">CF!F79/(Seg!F83-Thesis!F121)</f>
        <v>0.0711475516535717</v>
      </c>
      <c r="G12914" s="7" t="n">
        <f aca="false">CF!G79/(Seg!G83-Thesis!G121)</f>
        <v>0.0682588862083999</v>
      </c>
      <c r="H12914" s="7" t="n">
        <f aca="false">CF!H79/(Seg!H83-Thesis!H121)</f>
        <v>0.0666622170094897</v>
      </c>
      <c r="I12914" s="7" t="n">
        <f aca="false">CF!I79/(Seg!I83-Thesis!I121)</f>
        <v>0.0661991449367101</v>
      </c>
      <c r="J12914" s="7" t="n">
        <f aca="false">CF!J79/(Seg!J83-Thesis!J121)</f>
        <v>0.0666400583966394</v>
      </c>
      <c r="K12914" s="7" t="n">
        <f aca="false">CF!K79/(Seg!K83-Thesis!K121)</f>
        <v>0.0677351822588561</v>
      </c>
    </row>
    <row r="12915" customFormat="false" ht="17.15" hidden="false" customHeight="false" outlineLevel="0" collapsed="false">
      <c r="A12915" s="0" t="s">
        <v>1071</v>
      </c>
      <c r="B12915" s="0" t="s">
        <v>98</v>
      </c>
      <c r="F12915" s="6" t="n">
        <f aca="false">Seg!F68*(al_m365+Sens!F12914+sbc_r)</f>
        <v>83.1760446796226</v>
      </c>
      <c r="G12915" s="6" t="n">
        <f aca="false">Seg!G68*(al_m365+Sens!G12914+sbc_r)</f>
        <v>93.5286621744803</v>
      </c>
      <c r="H12915" s="6" t="n">
        <f aca="false">Seg!H68*(al_m365+Sens!H12914+sbc_r)</f>
        <v>104.041881899886</v>
      </c>
      <c r="I12915" s="6" t="n">
        <f aca="false">Seg!I68*(al_m365+Sens!I12914+sbc_r)</f>
        <v>114.039361049722</v>
      </c>
      <c r="J12915" s="6" t="n">
        <f aca="false">Seg!J68*(al_m365+Sens!J12914+sbc_r)</f>
        <v>123.332589690985</v>
      </c>
      <c r="K12915" s="6" t="n">
        <f aca="false">Seg!K68*(al_m365+Sens!K12914+sbc_r)</f>
        <v>132.229319216379</v>
      </c>
      <c r="L12915" s="11" t="s">
        <v>1072</v>
      </c>
    </row>
    <row r="12916" customFormat="false" ht="17.15" hidden="false" customHeight="false" outlineLevel="0" collapsed="false">
      <c r="A12916" s="0" t="s">
        <v>1073</v>
      </c>
      <c r="B12916" s="0" t="s">
        <v>98</v>
      </c>
      <c r="F12916" s="6" t="n">
        <f aca="false">Seg!F69*(al_lic+Sens!F12914+sbc_r)</f>
        <v>33.5445611735131</v>
      </c>
      <c r="G12916" s="6" t="n">
        <f aca="false">Seg!G69*(al_lic+Sens!G12914+sbc_r)</f>
        <v>34.8473362891936</v>
      </c>
      <c r="H12916" s="6" t="n">
        <f aca="false">Seg!H69*(al_lic+Sens!H12914+sbc_r)</f>
        <v>36.0608450618725</v>
      </c>
      <c r="I12916" s="6" t="n">
        <f aca="false">Seg!I69*(al_lic+Sens!I12914+sbc_r)</f>
        <v>37.1647768367666</v>
      </c>
      <c r="J12916" s="6" t="n">
        <f aca="false">Seg!J69*(al_lic+Sens!J12914+sbc_r)</f>
        <v>38.1353659513221</v>
      </c>
      <c r="K12916" s="6" t="n">
        <f aca="false">Seg!K69*(al_lic+Sens!K12914+sbc_r)</f>
        <v>38.9479527536449</v>
      </c>
    </row>
    <row r="12917" customFormat="false" ht="17.15" hidden="false" customHeight="false" outlineLevel="0" collapsed="false">
      <c r="A12917" s="0" t="s">
        <v>1074</v>
      </c>
      <c r="B12917" s="0" t="s">
        <v>98</v>
      </c>
      <c r="F12917" s="6" t="n">
        <f aca="false">Seg!F71*(al_ind+Sens!F12914+sbc_r)</f>
        <v>9.13359830063899</v>
      </c>
      <c r="G12917" s="6" t="n">
        <f aca="false">Seg!G71*(al_ind+Sens!G12914+sbc_r)</f>
        <v>9.91355811855172</v>
      </c>
      <c r="H12917" s="6" t="n">
        <f aca="false">Seg!H71*(al_ind+Sens!H12914+sbc_r)</f>
        <v>10.737007894057</v>
      </c>
      <c r="I12917" s="6" t="n">
        <f aca="false">Seg!I71*(al_ind+Sens!I12914+sbc_r)</f>
        <v>11.5994300763088</v>
      </c>
      <c r="J12917" s="6" t="n">
        <f aca="false">Seg!J71*(al_ind+Sens!J12914+sbc_r)</f>
        <v>12.4920789859702</v>
      </c>
      <c r="K12917" s="6" t="n">
        <f aca="false">Seg!K71*(al_ind+Sens!K12914+sbc_r)</f>
        <v>13.4027551573777</v>
      </c>
    </row>
    <row r="12918" customFormat="false" ht="17.15" hidden="false" customHeight="false" outlineLevel="0" collapsed="false">
      <c r="A12918" s="0" t="s">
        <v>1075</v>
      </c>
      <c r="B12918" s="0" t="s">
        <v>98</v>
      </c>
      <c r="F12918" s="6" t="n">
        <f aca="false">Seg!F73*(al_fro+Sens!F12914+sbc_r)</f>
        <v>3.59501635737694</v>
      </c>
      <c r="G12918" s="6" t="n">
        <f aca="false">Seg!G73*(al_fro+Sens!G12914+sbc_r)</f>
        <v>3.80622021137838</v>
      </c>
      <c r="H12918" s="6" t="n">
        <f aca="false">Seg!H73*(al_fro+Sens!H12914+sbc_r)</f>
        <v>4.04607207599632</v>
      </c>
      <c r="I12918" s="6" t="n">
        <f aca="false">Seg!I73*(al_fro+Sens!I12914+sbc_r)</f>
        <v>4.31683578333903</v>
      </c>
      <c r="J12918" s="6" t="n">
        <f aca="false">Seg!J73*(al_fro+Sens!J12914+sbc_r)</f>
        <v>4.62005087871645</v>
      </c>
      <c r="K12918" s="6" t="n">
        <f aca="false">Seg!K73*(al_fro+Sens!K12914+sbc_r)</f>
        <v>4.95685392412327</v>
      </c>
    </row>
    <row r="12919" customFormat="false" ht="17.15" hidden="false" customHeight="false" outlineLevel="0" collapsed="false">
      <c r="A12919" s="0" t="s">
        <v>1076</v>
      </c>
      <c r="B12919" s="0" t="s">
        <v>98</v>
      </c>
      <c r="F12919" s="6" t="n">
        <f aca="false">Seg!F76*(al_srch+Sens!F12914+sbc_r)</f>
        <v>11.2801258639919</v>
      </c>
      <c r="G12919" s="6" t="n">
        <f aca="false">Seg!G76*(al_srch+Sens!G12914+sbc_r)</f>
        <v>12.3589086285988</v>
      </c>
      <c r="H12919" s="6" t="n">
        <f aca="false">Seg!H76*(al_srch+Sens!H12914+sbc_r)</f>
        <v>13.4807030139583</v>
      </c>
      <c r="I12919" s="6" t="n">
        <f aca="false">Seg!I76*(al_srch+Sens!I12914+sbc_r)</f>
        <v>14.6329459978989</v>
      </c>
      <c r="J12919" s="6" t="n">
        <f aca="false">Seg!J76*(al_srch+Sens!J12914+sbc_r)</f>
        <v>15.7968154400613</v>
      </c>
      <c r="K12919" s="6" t="n">
        <f aca="false">Seg!K76*(al_srch+Sens!K12914+sbc_r)</f>
        <v>16.9484078548661</v>
      </c>
    </row>
    <row r="12920" customFormat="false" ht="17.15" hidden="false" customHeight="false" outlineLevel="0" collapsed="false">
      <c r="A12920" s="0" t="s">
        <v>1077</v>
      </c>
      <c r="B12920" s="0" t="s">
        <v>98</v>
      </c>
      <c r="F12920" s="6" t="n">
        <f aca="false">Thesis!F127-Thesis!F128+Thesis!F142</f>
        <v>38.6797715123049</v>
      </c>
      <c r="G12920" s="6" t="n">
        <f aca="false">Thesis!G127-Thesis!G128+Thesis!G142</f>
        <v>67.9698044367775</v>
      </c>
      <c r="H12920" s="6" t="n">
        <f aca="false">Thesis!H127-Thesis!H128+Thesis!H142</f>
        <v>94.4027386785771</v>
      </c>
      <c r="I12920" s="6" t="n">
        <f aca="false">Thesis!I127-Thesis!I128+Thesis!I142</f>
        <v>124.629799296032</v>
      </c>
      <c r="J12920" s="6" t="n">
        <f aca="false">Thesis!J127-Thesis!J128+Thesis!J142</f>
        <v>146.1886418102</v>
      </c>
      <c r="K12920" s="6" t="n">
        <f aca="false">Thesis!K127-Thesis!K128+Thesis!K142</f>
        <v>160.310017660072</v>
      </c>
    </row>
    <row r="12921" customFormat="false" ht="17.15" hidden="false" customHeight="false" outlineLevel="0" collapsed="false">
      <c r="A12921" s="0" t="s">
        <v>1078</v>
      </c>
      <c r="B12921" s="0" t="s">
        <v>98</v>
      </c>
      <c r="F12921" s="6" t="n">
        <f aca="false">PL!F110+Thesis!F142+Thesis!F138+Sens!F12914*(Seg!F75-Thesis!F121)+sbc_r*Seg!F75</f>
        <v>228.424576651163</v>
      </c>
      <c r="G12921" s="6" t="n">
        <f aca="false">PL!G110+Thesis!G142+Thesis!G138+Sens!G12914*(Seg!G75-Thesis!G121)+sbc_r*Seg!G75</f>
        <v>282.553934266667</v>
      </c>
      <c r="H12921" s="6" t="n">
        <f aca="false">PL!H110+Thesis!H142+Thesis!H138+Sens!H12914*(Seg!H75-Thesis!H121)+sbc_r*Seg!H75</f>
        <v>334.098428585803</v>
      </c>
      <c r="I12921" s="6" t="n">
        <f aca="false">PL!I110+Thesis!I142+Thesis!I138+Sens!I12914*(Seg!I75-Thesis!I121)+sbc_r*Seg!I75</f>
        <v>388.820980572235</v>
      </c>
      <c r="J12921" s="6" t="n">
        <f aca="false">PL!J110+Thesis!J142+Thesis!J138+Sens!J12914*(Seg!J75-Thesis!J121)+sbc_r*Seg!J75</f>
        <v>432.983845251655</v>
      </c>
      <c r="K12921" s="6" t="n">
        <f aca="false">PL!K110+Thesis!K142+Thesis!K138+Sens!K12914*(Seg!K75-Thesis!K121)+sbc_r*Seg!K75</f>
        <v>467.422879139155</v>
      </c>
    </row>
    <row r="12922" customFormat="false" ht="17.15" hidden="false" customHeight="false" outlineLevel="0" collapsed="false">
      <c r="A12922" s="0" t="s">
        <v>1079</v>
      </c>
      <c r="B12922" s="0" t="s">
        <v>98</v>
      </c>
      <c r="F12922" s="6" t="n">
        <f aca="false">Sens!F12921-Sens!F12915-Sens!F12916-Sens!F12917-Sens!F12918-Sens!F12920</f>
        <v>60.2955846277069</v>
      </c>
      <c r="G12922" s="6" t="n">
        <f aca="false">Sens!G12921-Sens!G12915-Sens!G12916-Sens!G12917-Sens!G12918-Sens!G12920</f>
        <v>72.4883530362854</v>
      </c>
      <c r="H12922" s="6" t="n">
        <f aca="false">Sens!H12921-Sens!H12915-Sens!H12916-Sens!H12917-Sens!H12918-Sens!H12920</f>
        <v>84.8098829754144</v>
      </c>
      <c r="I12922" s="6" t="n">
        <f aca="false">Sens!I12921-Sens!I12915-Sens!I12916-Sens!I12917-Sens!I12918-Sens!I12920</f>
        <v>97.0707775300671</v>
      </c>
      <c r="J12922" s="6" t="n">
        <f aca="false">Sens!J12921-Sens!J12915-Sens!J12916-Sens!J12917-Sens!J12918-Sens!J12920</f>
        <v>108.215117934462</v>
      </c>
      <c r="K12922" s="6" t="n">
        <f aca="false">Sens!K12921-Sens!K12915-Sens!K12916-Sens!K12917-Sens!K12918-Sens!K12920</f>
        <v>117.575980427559</v>
      </c>
    </row>
    <row r="12923" customFormat="false" ht="17.15" hidden="false" customHeight="false" outlineLevel="0" collapsed="false">
      <c r="A12923" s="0" t="s">
        <v>1080</v>
      </c>
      <c r="B12923" s="0" t="s">
        <v>98</v>
      </c>
      <c r="F12923" s="6" t="n">
        <f aca="false">PL!F112+Sens!F12914*Seg!F82+sbc_r*Seg!F82</f>
        <v>26.3652761595447</v>
      </c>
      <c r="G12923" s="6" t="n">
        <f aca="false">PL!G112+Sens!G12914*Seg!G82+sbc_r*Seg!G82</f>
        <v>26.9742866145486</v>
      </c>
      <c r="H12923" s="6" t="n">
        <f aca="false">PL!H112+Sens!H12914*Seg!H82+sbc_r*Seg!H82</f>
        <v>27.8483067679033</v>
      </c>
      <c r="I12923" s="6" t="n">
        <f aca="false">PL!I112+Sens!I12914*Seg!I82+sbc_r*Seg!I82</f>
        <v>28.9540944937551</v>
      </c>
      <c r="J12923" s="6" t="n">
        <f aca="false">PL!J112+Sens!J12914*Seg!J82+sbc_r*Seg!J82</f>
        <v>30.2591967501426</v>
      </c>
      <c r="K12923" s="6" t="n">
        <f aca="false">PL!K112+Sens!K12914*Seg!K82+sbc_r*Seg!K82</f>
        <v>31.7334012124467</v>
      </c>
    </row>
    <row r="12924" customFormat="false" ht="17.15" hidden="false" customHeight="false" outlineLevel="0" collapsed="false">
      <c r="A12924" s="0" t="s">
        <v>1081</v>
      </c>
      <c r="B12924" s="0" t="s">
        <v>98</v>
      </c>
      <c r="F12924" s="6" t="n">
        <f aca="false">(Sens!F12923-Sens!F12919)*Seg!F78/(Seg!F78+Seg!F80)</f>
        <v>8.26953246478712</v>
      </c>
      <c r="G12924" s="6" t="n">
        <f aca="false">(Sens!G12923-Sens!G12919)*Seg!G78/(Seg!G78+Seg!G80)</f>
        <v>7.8691542635731</v>
      </c>
      <c r="H12924" s="6" t="n">
        <f aca="false">(Sens!H12923-Sens!H12919)*Seg!H78/(Seg!H78+Seg!H80)</f>
        <v>7.63125160105973</v>
      </c>
      <c r="I12924" s="6" t="n">
        <f aca="false">(Sens!I12923-Sens!I12919)*Seg!I78/(Seg!I78+Seg!I80)</f>
        <v>7.53775281020212</v>
      </c>
      <c r="J12924" s="6" t="n">
        <f aca="false">(Sens!J12923-Sens!J12919)*Seg!J78/(Seg!J78+Seg!J80)</f>
        <v>7.57766730524412</v>
      </c>
      <c r="K12924" s="6" t="n">
        <f aca="false">(Sens!K12923-Sens!K12919)*Seg!K78/(Seg!K78+Seg!K80)</f>
        <v>7.74670217662515</v>
      </c>
    </row>
    <row r="12925" customFormat="false" ht="17.15" hidden="false" customHeight="false" outlineLevel="0" collapsed="false">
      <c r="A12925" s="0" t="s">
        <v>1082</v>
      </c>
      <c r="B12925" s="0" t="s">
        <v>98</v>
      </c>
      <c r="F12925" s="6" t="n">
        <f aca="false">Sens!F12923-Sens!F12919-Sens!F12924</f>
        <v>6.81561783076564</v>
      </c>
      <c r="G12925" s="6" t="n">
        <f aca="false">Sens!G12923-Sens!G12919-Sens!G12924</f>
        <v>6.74622372237672</v>
      </c>
      <c r="H12925" s="6" t="n">
        <f aca="false">Sens!H12923-Sens!H12919-Sens!H12924</f>
        <v>6.73635215288526</v>
      </c>
      <c r="I12925" s="6" t="n">
        <f aca="false">Sens!I12923-Sens!I12919-Sens!I12924</f>
        <v>6.78339568565411</v>
      </c>
      <c r="J12925" s="6" t="n">
        <f aca="false">Sens!J12923-Sens!J12919-Sens!J12924</f>
        <v>6.88471400483723</v>
      </c>
      <c r="K12925" s="6" t="n">
        <f aca="false">Sens!K12923-Sens!K12919-Sens!K12924</f>
        <v>7.03829118095546</v>
      </c>
    </row>
    <row r="12926" customFormat="false" ht="17.15" hidden="false" customHeight="false" outlineLevel="0" collapsed="false">
      <c r="A12926" s="0" t="s">
        <v>1083</v>
      </c>
      <c r="B12926" s="0" t="s">
        <v>98</v>
      </c>
      <c r="F12926" s="6" t="n">
        <f aca="false">Sens!F12920-tax_f*(Sens!F12920-Thesis!F138)-Thesis!F135</f>
        <v>-122.579081185432</v>
      </c>
      <c r="G12926" s="6" t="n">
        <f aca="false">Sens!G12920-tax_f*(Sens!G12920-Thesis!G138)-Thesis!G135</f>
        <v>-117.373249511676</v>
      </c>
      <c r="H12926" s="6" t="n">
        <f aca="false">Sens!H12920-tax_f*(Sens!H12920-Thesis!H138)-Thesis!H135</f>
        <v>-95.285890998876</v>
      </c>
      <c r="I12926" s="6" t="n">
        <f aca="false">Sens!I12920-tax_f*(Sens!I12920-Thesis!I138)-Thesis!I135</f>
        <v>-41.8816809509416</v>
      </c>
      <c r="J12926" s="6" t="n">
        <f aca="false">Sens!J12920-tax_f*(Sens!J12920-Thesis!J138)-Thesis!J135</f>
        <v>15.3691414244864</v>
      </c>
      <c r="K12926" s="6" t="n">
        <f aca="false">Sens!K12920-tax_f*(Sens!K12920-Thesis!K138)-Thesis!K135</f>
        <v>34.6668916333283</v>
      </c>
    </row>
    <row r="12927" customFormat="false" ht="17.15" hidden="false" customHeight="false" outlineLevel="0" collapsed="false">
      <c r="A12927" s="0" t="s">
        <v>1084</v>
      </c>
      <c r="B12927" s="0" t="s">
        <v>98</v>
      </c>
      <c r="G12927" s="6" t="n">
        <f aca="false">Sens!G12926/(1+((px*sh_out26*(rf+beta*erp_lo)+(debt_face+fl_liab)*kd*(1-tax_w))/(px*sh_out26+debt_face+fl_liab)))^(Sens!G12899-(Sens!F12899+mid_yr))</f>
        <v>-112.031931296846</v>
      </c>
      <c r="H12927" s="6" t="n">
        <f aca="false">Sens!H12926/(1+((px*sh_out26*(rf+beta*erp_lo)+(debt_face+fl_liab)*kd*(1-tax_w))/(px*sh_out26+debt_face+fl_liab)))^(Sens!H12899-(Sens!F12899+mid_yr))</f>
        <v>-82.8603345904341</v>
      </c>
      <c r="I12927" s="6" t="n">
        <f aca="false">Sens!I12926/(1+((px*sh_out26*(rf+beta*erp_lo)+(debt_face+fl_liab)*kd*(1-tax_w))/(px*sh_out26+debt_face+fl_liab)))^(Sens!I12899-(Sens!F12899+mid_yr))</f>
        <v>-33.1808552750281</v>
      </c>
      <c r="J12927" s="6" t="n">
        <f aca="false">Sens!J12926/(1+((px*sh_out26*(rf+beta*erp_lo)+(debt_face+fl_liab)*kd*(1-tax_w))/(px*sh_out26+debt_face+fl_liab)))^(Sens!J12899-(Sens!F12899+mid_yr))</f>
        <v>11.0932415082322</v>
      </c>
      <c r="K12927" s="6" t="n">
        <f aca="false">Sens!K12926/(1+((px*sh_out26*(rf+beta*erp_lo)+(debt_face+fl_liab)*kd*(1-tax_w))/(px*sh_out26+debt_face+fl_liab)))^(Sens!K12899-(Sens!F12899+mid_yr))</f>
        <v>22.7965513878973</v>
      </c>
      <c r="L12927" s="1" t="s">
        <v>1085</v>
      </c>
    </row>
    <row r="12928" customFormat="false" ht="17.15" hidden="false" customHeight="false" outlineLevel="0" collapsed="false">
      <c r="A12928" s="0" t="s">
        <v>1086</v>
      </c>
      <c r="B12928" s="0" t="s">
        <v>98</v>
      </c>
      <c r="C12928" s="6" t="n">
        <f aca="false">(Sens!K12920-Thesis!K138)*(1-tax_f)*(1+g_tv)*(1-g_tv/(((px*sh_out26*(rf+beta*erp_lo)+(debt_face+fl_liab)*kd*(1-tax_w))/(px*sh_out26+debt_face+fl_liab))+ronic_prem))/(((px*sh_out26*(rf+beta*erp_lo)+(debt_face+fl_liab)*kd*(1-tax_w))/(px*sh_out26+debt_face+fl_liab))-g_tv)/(1+((px*sh_out26*(rf+beta*erp_lo)+(debt_face+fl_liab)*kd*(1-tax_w))/(px*sh_out26+debt_face+fl_liab)))^(Sens!K12899+mid_yr-(Sens!F12899+mid_yr))</f>
        <v>112.197304795918</v>
      </c>
    </row>
    <row r="12929" customFormat="false" ht="17.15" hidden="false" customHeight="false" outlineLevel="0" collapsed="false">
      <c r="A12929" s="1" t="s">
        <v>1087</v>
      </c>
      <c r="B12929" s="0" t="s">
        <v>98</v>
      </c>
      <c r="C12929" s="6" t="n">
        <f aca="false">(SUM(Sens!G12927:K12927)+Sens!$C$12928)*(1+((px*sh_out26*(rf+beta*erp_lo)+(debt_face+fl_liab)*kd*(1-tax_w))/(px*sh_out26+debt_face+fl_liab)))^(t_roll-(Sens!F12899+mid_yr))</f>
        <v>-84.5140928257962</v>
      </c>
      <c r="L12929" s="11" t="s">
        <v>1088</v>
      </c>
    </row>
    <row r="12930" customFormat="false" ht="17.15" hidden="false" customHeight="false" outlineLevel="0" collapsed="false">
      <c r="A12930" s="1" t="s">
        <v>1089</v>
      </c>
      <c r="B12930" s="0" t="s">
        <v>98</v>
      </c>
      <c r="C12930" s="6" t="n">
        <f aca="false">(w_ntm28*Thesis!G127+(1-w_ntm28)*Thesis!H127)*m_ai</f>
        <v>338.776008390068</v>
      </c>
    </row>
    <row r="12931" customFormat="false" ht="17.15" hidden="false" customHeight="false" outlineLevel="0" collapsed="false">
      <c r="A12931" s="1" t="s">
        <v>1090</v>
      </c>
      <c r="B12931" s="0" t="s">
        <v>98</v>
      </c>
      <c r="C12931" s="6" t="n">
        <f aca="false">(w_ntm28*Sens!G12922+(1-w_ntm28)*Sens!H12922)*m_cloud</f>
        <v>1056.83960927252</v>
      </c>
    </row>
    <row r="12932" customFormat="false" ht="17.15" hidden="false" customHeight="false" outlineLevel="0" collapsed="false">
      <c r="A12932" s="1" t="s">
        <v>1091</v>
      </c>
      <c r="B12932" s="0" t="s">
        <v>98</v>
      </c>
      <c r="C12932" s="6" t="n">
        <f aca="false">(w_ntm28*Sens!G12915+(1-w_ntm28)*Sens!H12915)*m_sw</f>
        <v>1046.81653016399</v>
      </c>
    </row>
    <row r="12933" customFormat="false" ht="17.15" hidden="false" customHeight="false" outlineLevel="0" collapsed="false">
      <c r="A12933" s="1" t="s">
        <v>1092</v>
      </c>
      <c r="B12933" s="0" t="s">
        <v>98</v>
      </c>
      <c r="C12933" s="6" t="n">
        <f aca="false">(w_ntm28*Sens!G12916+(1-w_ntm28)*Sens!H12916)*m_sw</f>
        <v>380.588206114803</v>
      </c>
    </row>
    <row r="12934" customFormat="false" ht="17.15" hidden="false" customHeight="false" outlineLevel="0" collapsed="false">
      <c r="A12934" s="1" t="s">
        <v>1093</v>
      </c>
      <c r="B12934" s="0" t="s">
        <v>98</v>
      </c>
      <c r="C12934" s="6" t="n">
        <f aca="false">(w_ntm28*Sens!G12917+(1-w_ntm28)*Sens!H12917)*m_sw</f>
        <v>109.941508211602</v>
      </c>
    </row>
    <row r="12935" customFormat="false" ht="17.15" hidden="false" customHeight="false" outlineLevel="0" collapsed="false">
      <c r="A12935" s="1" t="s">
        <v>1094</v>
      </c>
      <c r="B12935" s="0" t="s">
        <v>98</v>
      </c>
      <c r="C12935" s="6" t="n">
        <f aca="false">(w_ntm28*Sens!G12918+(1-w_ntm28)*Sens!H12918)*m_sw</f>
        <v>41.944622711021</v>
      </c>
    </row>
    <row r="12936" customFormat="false" ht="17.15" hidden="false" customHeight="false" outlineLevel="0" collapsed="false">
      <c r="A12936" s="1" t="s">
        <v>1095</v>
      </c>
      <c r="B12936" s="0" t="s">
        <v>98</v>
      </c>
      <c r="C12936" s="6" t="n">
        <f aca="false">(w_ntm28*Sens!G12919+(1-w_ntm28)*Sens!H12919)*m_ads</f>
        <v>115.893511108929</v>
      </c>
    </row>
    <row r="12937" customFormat="false" ht="17.15" hidden="false" customHeight="false" outlineLevel="0" collapsed="false">
      <c r="A12937" s="1" t="s">
        <v>1096</v>
      </c>
      <c r="B12937" s="0" t="s">
        <v>98</v>
      </c>
      <c r="C12937" s="6" t="n">
        <f aca="false">(w_ntm28*Sens!G12924+(1-w_ntm28)*Sens!H12924)*m_game</f>
        <v>98.416032447421</v>
      </c>
    </row>
    <row r="12938" customFormat="false" ht="17.15" hidden="false" customHeight="false" outlineLevel="0" collapsed="false">
      <c r="A12938" s="1" t="s">
        <v>1097</v>
      </c>
      <c r="B12938" s="0" t="s">
        <v>98</v>
      </c>
      <c r="C12938" s="6" t="n">
        <f aca="false">(w_ntm28*Sens!G12925+(1-w_ntm28)*Sens!H12925)*m_pc</f>
        <v>97.5716783311641</v>
      </c>
    </row>
    <row r="12939" customFormat="false" ht="17.15" hidden="false" customHeight="false" outlineLevel="0" collapsed="false">
      <c r="A12939" s="1" t="s">
        <v>1098</v>
      </c>
      <c r="B12939" s="0" t="s">
        <v>98</v>
      </c>
      <c r="C12939" s="6" t="n">
        <f aca="false">Sens!$C$12929+Sens!$C$12931+Sens!$C$12932+Sens!$C$12933+Sens!$C$12934+Sens!$C$12935+Sens!$C$12936+Sens!$C$12937+Sens!$C$12938</f>
        <v>2863.49760553565</v>
      </c>
    </row>
    <row r="12940" customFormat="false" ht="17.15" hidden="false" customHeight="false" outlineLevel="0" collapsed="false">
      <c r="A12940" s="1" t="s">
        <v>1099</v>
      </c>
      <c r="B12940" s="0" t="s">
        <v>98</v>
      </c>
      <c r="C12940" s="6" t="n">
        <f aca="false">(Sens!G12901-Sens!G12926)*t_stub</f>
        <v>46.8760727339385</v>
      </c>
      <c r="L12940" s="1" t="s">
        <v>1100</v>
      </c>
    </row>
    <row r="12941" customFormat="false" ht="17.15" hidden="false" customHeight="false" outlineLevel="0" collapsed="false">
      <c r="A12941" s="1" t="s">
        <v>1014</v>
      </c>
      <c r="B12941" s="0" t="s">
        <v>98</v>
      </c>
      <c r="C12941" s="6" t="n">
        <f aca="false">CF!F100+oai_v-CF!F89+Sens!$C$12940</f>
        <v>153.718233647662</v>
      </c>
      <c r="L12941" s="1" t="s">
        <v>1101</v>
      </c>
    </row>
    <row r="12942" customFormat="false" ht="17.15" hidden="false" customHeight="false" outlineLevel="0" collapsed="false">
      <c r="A12942" s="1" t="s">
        <v>1102</v>
      </c>
      <c r="B12942" s="0" t="s">
        <v>75</v>
      </c>
      <c r="C12942" s="5" t="n">
        <f aca="false">(Sens!$C$12939+Sens!$C$12941)/(CF!F102+dil_gap)-CF!G92*roll_div_q/q_per_yr</f>
        <v>401.470617286995</v>
      </c>
      <c r="L12942" s="1" t="s">
        <v>1103</v>
      </c>
    </row>
    <row r="12943" customFormat="false" ht="17.15" hidden="false" customHeight="false" outlineLevel="0" collapsed="false">
      <c r="A12943" s="1" t="s">
        <v>1104</v>
      </c>
      <c r="B12943" s="0" t="s">
        <v>75</v>
      </c>
      <c r="C12943" s="5" t="n">
        <f aca="false">w_dcf*Sens!$C$12913+(1-w_dcf)*Sens!$C$12942</f>
        <v>350.925645815766</v>
      </c>
    </row>
    <row r="12944" customFormat="false" ht="17.15" hidden="false" customHeight="false" outlineLevel="0" collapsed="false">
      <c r="A12944" s="3" t="s">
        <v>1592</v>
      </c>
    </row>
    <row r="12945" customFormat="false" ht="15" hidden="false" customHeight="false" outlineLevel="0" collapsed="false">
      <c r="A12945" s="4" t="s">
        <v>43</v>
      </c>
      <c r="B12945" s="4" t="s">
        <v>65</v>
      </c>
      <c r="C12945" s="20" t="s">
        <v>799</v>
      </c>
      <c r="D12945" s="20" t="s">
        <v>800</v>
      </c>
      <c r="E12945" s="20" t="s">
        <v>801</v>
      </c>
      <c r="F12945" s="20" t="s">
        <v>802</v>
      </c>
      <c r="G12945" s="20" t="s">
        <v>803</v>
      </c>
      <c r="H12945" s="20" t="s">
        <v>804</v>
      </c>
      <c r="I12945" s="20" t="s">
        <v>805</v>
      </c>
      <c r="J12945" s="20" t="s">
        <v>806</v>
      </c>
      <c r="K12945" s="20" t="s">
        <v>807</v>
      </c>
      <c r="L12945" s="4" t="s">
        <v>47</v>
      </c>
    </row>
    <row r="12946" customFormat="false" ht="15" hidden="false" customHeight="false" outlineLevel="0" collapsed="false">
      <c r="A12946" s="1" t="s">
        <v>1057</v>
      </c>
      <c r="B12946" s="1" t="s">
        <v>235</v>
      </c>
      <c r="F12946" s="36" t="n">
        <f aca="false">Thesis!F6-base_fy-mid_yr</f>
        <v>0.5</v>
      </c>
      <c r="G12946" s="36" t="n">
        <f aca="false">Thesis!G6-base_fy-mid_yr</f>
        <v>1.5</v>
      </c>
      <c r="H12946" s="36" t="n">
        <f aca="false">Thesis!H6-base_fy-mid_yr</f>
        <v>2.5</v>
      </c>
      <c r="I12946" s="36" t="n">
        <f aca="false">Thesis!I6-base_fy-mid_yr</f>
        <v>3.5</v>
      </c>
      <c r="J12946" s="36" t="n">
        <f aca="false">Thesis!J6-base_fy-mid_yr</f>
        <v>4.5</v>
      </c>
      <c r="K12946" s="36" t="n">
        <f aca="false">Thesis!K6-base_fy-mid_yr</f>
        <v>5.5</v>
      </c>
    </row>
    <row r="12947" customFormat="false" ht="15" hidden="false" customHeight="false" outlineLevel="0" collapsed="false">
      <c r="A12947" s="1" t="s">
        <v>1058</v>
      </c>
      <c r="B12947" s="0" t="s">
        <v>185</v>
      </c>
      <c r="F12947" s="14" t="n">
        <f aca="false">1/(1+((px*sh_out26*(rf+beta*erp_hi)+(debt_face+fl_liab)*kd*(1-tax_w))/(px*sh_out26+debt_face+fl_liab)))^Sens!F12946</f>
        <v>0.947643777348121</v>
      </c>
      <c r="G12947" s="14" t="n">
        <f aca="false">1/(1+((px*sh_out26*(rf+beta*erp_hi)+(debt_face+fl_liab)*kd*(1-tax_w))/(px*sh_out26+debt_face+fl_liab)))^Sens!G12946</f>
        <v>0.851011336676573</v>
      </c>
      <c r="H12947" s="14" t="n">
        <f aca="false">1/(1+((px*sh_out26*(rf+beta*erp_hi)+(debt_face+fl_liab)*kd*(1-tax_w))/(px*sh_out26+debt_face+fl_liab)))^Sens!H12946</f>
        <v>0.764232628824621</v>
      </c>
      <c r="I12947" s="14" t="n">
        <f aca="false">1/(1+((px*sh_out26*(rf+beta*erp_hi)+(debt_face+fl_liab)*kd*(1-tax_w))/(px*sh_out26+debt_face+fl_liab)))^Sens!I12946</f>
        <v>0.686302856130058</v>
      </c>
      <c r="J12947" s="14" t="n">
        <f aca="false">1/(1+((px*sh_out26*(rf+beta*erp_hi)+(debt_face+fl_liab)*kd*(1-tax_w))/(px*sh_out26+debt_face+fl_liab)))^Sens!J12946</f>
        <v>0.616319681425647</v>
      </c>
      <c r="K12947" s="14" t="n">
        <f aca="false">1/(1+((px*sh_out26*(rf+beta*erp_hi)+(debt_face+fl_liab)*kd*(1-tax_w))/(px*sh_out26+debt_face+fl_liab)))^Sens!K12946</f>
        <v>0.553472780012192</v>
      </c>
    </row>
    <row r="12948" customFormat="false" ht="17.15" hidden="false" customHeight="false" outlineLevel="0" collapsed="false">
      <c r="A12948" s="1" t="s">
        <v>1059</v>
      </c>
      <c r="B12948" s="0" t="s">
        <v>98</v>
      </c>
      <c r="F12948" s="6" t="n">
        <f aca="false">CF!F22-CF!F20-CF!F26+Thesis!F44*(1-tax_f)</f>
        <v>0.8175674752552</v>
      </c>
      <c r="G12948" s="6" t="n">
        <f aca="false">CF!G22-CF!G20-CF!G26+Thesis!G44*(1-tax_f)</f>
        <v>46.5945454778033</v>
      </c>
      <c r="H12948" s="6" t="n">
        <f aca="false">CF!H22-CF!H20-CF!H26+Thesis!H44*(1-tax_f)</f>
        <v>105.224067029101</v>
      </c>
      <c r="I12948" s="6" t="n">
        <f aca="false">CF!I22-CF!I20-CF!I26+Thesis!I44*(1-tax_f)</f>
        <v>183.301417205555</v>
      </c>
      <c r="J12948" s="6" t="n">
        <f aca="false">CF!J22-CF!J20-CF!J26+Thesis!J44*(1-tax_f)</f>
        <v>261.555335183242</v>
      </c>
      <c r="K12948" s="6" t="n">
        <f aca="false">CF!K22-CF!K20-CF!K26+Thesis!K44*(1-tax_f)</f>
        <v>298.387942209483</v>
      </c>
      <c r="L12948" s="1" t="s">
        <v>1060</v>
      </c>
    </row>
    <row r="12949" customFormat="false" ht="15" hidden="false" customHeight="false" outlineLevel="0" collapsed="false">
      <c r="A12949" s="1" t="s">
        <v>1061</v>
      </c>
      <c r="B12949" s="0" t="s">
        <v>98</v>
      </c>
      <c r="F12949" s="6" t="n">
        <f aca="false">Sens!F12948*Sens!F12947</f>
        <v>0.774762730487804</v>
      </c>
      <c r="G12949" s="6" t="n">
        <f aca="false">Sens!G12948*Sens!G12947</f>
        <v>39.6524864289028</v>
      </c>
      <c r="H12949" s="6" t="n">
        <f aca="false">Sens!H12948*Sens!H12947</f>
        <v>80.4156653612681</v>
      </c>
      <c r="I12949" s="6" t="n">
        <f aca="false">Sens!I12948*Sens!I12947</f>
        <v>125.80028616086</v>
      </c>
      <c r="J12949" s="6" t="n">
        <f aca="false">Sens!J12948*Sens!J12947</f>
        <v>161.201700855314</v>
      </c>
      <c r="K12949" s="6" t="n">
        <f aca="false">Sens!K12948*Sens!K12947</f>
        <v>165.1496038968</v>
      </c>
    </row>
    <row r="12950" customFormat="false" ht="17.15" hidden="false" customHeight="false" outlineLevel="0" collapsed="false">
      <c r="A12950" s="1" t="s">
        <v>1062</v>
      </c>
      <c r="B12950" s="0" t="s">
        <v>98</v>
      </c>
      <c r="C12950" s="6" t="n">
        <f aca="false">SUM(Sens!F12949:K12949)</f>
        <v>572.994505433632</v>
      </c>
    </row>
    <row r="12951" customFormat="false" ht="17.15" hidden="false" customHeight="false" outlineLevel="0" collapsed="false">
      <c r="A12951" s="1" t="s">
        <v>1063</v>
      </c>
      <c r="B12951" s="0" t="s">
        <v>98</v>
      </c>
      <c r="C12951" s="6" t="n">
        <f aca="false">PL!K39*(1+g_tv)*(1-tax_f)</f>
        <v>316.433872640522</v>
      </c>
    </row>
    <row r="12952" customFormat="false" ht="17.15" hidden="false" customHeight="false" outlineLevel="0" collapsed="false">
      <c r="A12952" s="1" t="s">
        <v>1064</v>
      </c>
      <c r="B12952" s="0" t="s">
        <v>98</v>
      </c>
      <c r="C12952" s="6" t="n">
        <f aca="false">Sens!$C$12951*(1-g_tv/(((px*sh_out26*(rf+beta*erp_hi)+(debt_face+fl_liab)*kd*(1-tax_w))/(px*sh_out26+debt_face+fl_liab))+ronic_prem))</f>
        <v>232.831882132739</v>
      </c>
    </row>
    <row r="12953" customFormat="false" ht="17.15" hidden="false" customHeight="false" outlineLevel="0" collapsed="false">
      <c r="A12953" s="1" t="s">
        <v>1065</v>
      </c>
      <c r="B12953" s="0" t="s">
        <v>98</v>
      </c>
      <c r="C12953" s="6" t="n">
        <f aca="false">Sens!$C$12952/(((px*sh_out26*(rf+beta*erp_hi)+(debt_face+fl_liab)*kd*(1-tax_w))/(px*sh_out26+debt_face+fl_liab))-g_tv)</f>
        <v>2786.73301692611</v>
      </c>
    </row>
    <row r="12954" customFormat="false" ht="15" hidden="false" customHeight="false" outlineLevel="0" collapsed="false">
      <c r="A12954" s="1" t="s">
        <v>1066</v>
      </c>
      <c r="B12954" s="0" t="s">
        <v>98</v>
      </c>
      <c r="C12954" s="6" t="n">
        <f aca="false">Sens!$C$12953/(1+((px*sh_out26*(rf+beta*erp_hi)+(debt_face+fl_liab)*kd*(1-tax_w))/(px*sh_out26+debt_face+fl_liab)))^(Sens!K12946+mid_yr)</f>
        <v>1461.62763378458</v>
      </c>
    </row>
    <row r="12955" customFormat="false" ht="17.15" hidden="false" customHeight="false" outlineLevel="0" collapsed="false">
      <c r="A12955" s="0" t="s">
        <v>986</v>
      </c>
      <c r="B12955" s="0" t="s">
        <v>98</v>
      </c>
      <c r="C12955" s="6" t="n">
        <f aca="false">Sens!$C$12950+Sens!$C$12954</f>
        <v>2034.62213921821</v>
      </c>
    </row>
    <row r="12956" customFormat="false" ht="15" hidden="false" customHeight="false" outlineLevel="0" collapsed="false">
      <c r="A12956" s="1" t="s">
        <v>987</v>
      </c>
      <c r="B12956" s="0" t="s">
        <v>129</v>
      </c>
      <c r="C12956" s="7" t="n">
        <f aca="false">Sens!$C$12954/Sens!$C$12955</f>
        <v>0.718377926599284</v>
      </c>
    </row>
    <row r="12957" customFormat="false" ht="17.15" hidden="false" customHeight="false" outlineLevel="0" collapsed="false">
      <c r="A12957" s="1" t="s">
        <v>1067</v>
      </c>
      <c r="B12957" s="0" t="s">
        <v>98</v>
      </c>
      <c r="C12957" s="6" t="n">
        <f aca="false">Sens!$C$12955+CF!E38-CF!E27+oai_v</f>
        <v>2169.13513921821</v>
      </c>
    </row>
    <row r="12958" customFormat="false" ht="17.15" hidden="false" customHeight="false" outlineLevel="0" collapsed="false">
      <c r="A12958" s="0" t="s">
        <v>994</v>
      </c>
      <c r="B12958" s="0" t="s">
        <v>75</v>
      </c>
      <c r="C12958" s="5" t="n">
        <f aca="false">Sens!$C$12957/sh_dil26</f>
        <v>291.0418810168</v>
      </c>
    </row>
    <row r="12959" customFormat="false" ht="15" hidden="false" customHeight="false" outlineLevel="0" collapsed="false">
      <c r="A12959" s="1" t="s">
        <v>1068</v>
      </c>
      <c r="B12959" s="0" t="s">
        <v>75</v>
      </c>
      <c r="C12959" s="8" t="n">
        <f aca="false">dps_27+CF!G30*roll_div_q/q_per_yr</f>
        <v>4.8895</v>
      </c>
    </row>
    <row r="12960" customFormat="false" ht="17.15" hidden="false" customHeight="false" outlineLevel="0" collapsed="false">
      <c r="A12960" s="0" t="s">
        <v>1069</v>
      </c>
      <c r="B12960" s="0" t="s">
        <v>75</v>
      </c>
      <c r="C12960" s="5" t="n">
        <f aca="false">Sens!$C$12958*(1+((px*sh_out26*(rf+beta*erp_hi)+(debt_face+fl_liab)*kd*(1-tax_w))/(px*sh_out26+debt_face+fl_liab)))^t_roll-Sens!$C$12959</f>
        <v>330.766119789742</v>
      </c>
    </row>
    <row r="12961" customFormat="false" ht="17.15" hidden="false" customHeight="false" outlineLevel="0" collapsed="false">
      <c r="A12961" s="1" t="s">
        <v>1070</v>
      </c>
      <c r="B12961" s="0" t="s">
        <v>129</v>
      </c>
      <c r="F12961" s="7" t="n">
        <f aca="false">CF!F17/(Seg!F29-Thesis!F23)</f>
        <v>0.0705303854989974</v>
      </c>
      <c r="G12961" s="7" t="n">
        <f aca="false">CF!G17/(Seg!G29-Thesis!G23)</f>
        <v>0.0669153011130541</v>
      </c>
      <c r="H12961" s="7" t="n">
        <f aca="false">CF!H17/(Seg!H29-Thesis!H23)</f>
        <v>0.0648963302688647</v>
      </c>
      <c r="I12961" s="7" t="n">
        <f aca="false">CF!I17/(Seg!I29-Thesis!I23)</f>
        <v>0.0643411219550834</v>
      </c>
      <c r="J12961" s="7" t="n">
        <f aca="false">CF!J17/(Seg!J29-Thesis!J23)</f>
        <v>0.0648740961982593</v>
      </c>
      <c r="K12961" s="7" t="n">
        <f aca="false">CF!K17/(Seg!K29-Thesis!K23)</f>
        <v>0.0660244723636577</v>
      </c>
    </row>
    <row r="12962" customFormat="false" ht="17.15" hidden="false" customHeight="false" outlineLevel="0" collapsed="false">
      <c r="A12962" s="0" t="s">
        <v>1071</v>
      </c>
      <c r="B12962" s="0" t="s">
        <v>98</v>
      </c>
      <c r="F12962" s="6" t="n">
        <f aca="false">Seg!F14*(al_m365+Sens!F12961+sbc_r)</f>
        <v>85.2273329859862</v>
      </c>
      <c r="G12962" s="6" t="n">
        <f aca="false">Seg!G14*(al_m365+Sens!G12961+sbc_r)</f>
        <v>99.6892587904979</v>
      </c>
      <c r="H12962" s="6" t="n">
        <f aca="false">Seg!H14*(al_m365+Sens!H12961+sbc_r)</f>
        <v>114.315107566414</v>
      </c>
      <c r="I12962" s="6" t="n">
        <f aca="false">Seg!I14*(al_m365+Sens!I12961+sbc_r)</f>
        <v>127.42181750834</v>
      </c>
      <c r="J12962" s="6" t="n">
        <f aca="false">Seg!J14*(al_m365+Sens!J12961+sbc_r)</f>
        <v>138.823999012523</v>
      </c>
      <c r="K12962" s="6" t="n">
        <f aca="false">Seg!K14*(al_m365+Sens!K12961+sbc_r)</f>
        <v>149.845393216552</v>
      </c>
      <c r="L12962" s="11" t="s">
        <v>1072</v>
      </c>
    </row>
    <row r="12963" customFormat="false" ht="17.15" hidden="false" customHeight="false" outlineLevel="0" collapsed="false">
      <c r="A12963" s="0" t="s">
        <v>1073</v>
      </c>
      <c r="B12963" s="0" t="s">
        <v>98</v>
      </c>
      <c r="F12963" s="6" t="n">
        <f aca="false">Seg!F15*(al_lic+Sens!F12961+sbc_r)</f>
        <v>33.5204472060294</v>
      </c>
      <c r="G12963" s="6" t="n">
        <f aca="false">Seg!G15*(al_lic+Sens!G12961+sbc_r)</f>
        <v>34.7926166862242</v>
      </c>
      <c r="H12963" s="6" t="n">
        <f aca="false">Seg!H15*(al_lic+Sens!H12961+sbc_r)</f>
        <v>35.9862829687409</v>
      </c>
      <c r="I12963" s="6" t="n">
        <f aca="false">Seg!I15*(al_lic+Sens!I12961+sbc_r)</f>
        <v>37.0838788899664</v>
      </c>
      <c r="J12963" s="6" t="n">
        <f aca="false">Seg!J15*(al_lic+Sens!J12961+sbc_r)</f>
        <v>38.0565090086839</v>
      </c>
      <c r="K12963" s="6" t="n">
        <f aca="false">Seg!K15*(al_lic+Sens!K12961+sbc_r)</f>
        <v>38.8700352425884</v>
      </c>
    </row>
    <row r="12964" customFormat="false" ht="17.15" hidden="false" customHeight="false" outlineLevel="0" collapsed="false">
      <c r="A12964" s="0" t="s">
        <v>1074</v>
      </c>
      <c r="B12964" s="0" t="s">
        <v>98</v>
      </c>
      <c r="F12964" s="6" t="n">
        <f aca="false">Seg!F17*(al_ind+Sens!F12961+sbc_r)</f>
        <v>9.11980018094294</v>
      </c>
      <c r="G12964" s="6" t="n">
        <f aca="false">Seg!G17*(al_ind+Sens!G12961+sbc_r)</f>
        <v>9.88072195697034</v>
      </c>
      <c r="H12964" s="6" t="n">
        <f aca="false">Seg!H17*(al_ind+Sens!H12961+sbc_r)</f>
        <v>10.6900815637922</v>
      </c>
      <c r="I12964" s="6" t="n">
        <f aca="false">Seg!I17*(al_ind+Sens!I12961+sbc_r)</f>
        <v>11.5460282347577</v>
      </c>
      <c r="J12964" s="6" t="n">
        <f aca="false">Seg!J17*(al_ind+Sens!J12961+sbc_r)</f>
        <v>12.4374767512513</v>
      </c>
      <c r="K12964" s="6" t="n">
        <f aca="false">Seg!K17*(al_ind+Sens!K12961+sbc_r)</f>
        <v>13.3461587114563</v>
      </c>
    </row>
    <row r="12965" customFormat="false" ht="17.15" hidden="false" customHeight="false" outlineLevel="0" collapsed="false">
      <c r="A12965" s="0" t="s">
        <v>1075</v>
      </c>
      <c r="B12965" s="0" t="s">
        <v>98</v>
      </c>
      <c r="F12965" s="6" t="n">
        <f aca="false">Seg!F19*(al_fro+Sens!F12961+sbc_r)</f>
        <v>3.58958536902212</v>
      </c>
      <c r="G12965" s="6" t="n">
        <f aca="false">Seg!G19*(al_fro+Sens!G12961+sbc_r)</f>
        <v>3.79361306665995</v>
      </c>
      <c r="H12965" s="6" t="n">
        <f aca="false">Seg!H19*(al_fro+Sens!H12961+sbc_r)</f>
        <v>4.02838862857902</v>
      </c>
      <c r="I12965" s="6" t="n">
        <f aca="false">Seg!I19*(al_fro+Sens!I12961+sbc_r)</f>
        <v>4.29696179134221</v>
      </c>
      <c r="J12965" s="6" t="n">
        <f aca="false">Seg!J19*(al_fro+Sens!J12961+sbc_r)</f>
        <v>4.59985687395741</v>
      </c>
      <c r="K12965" s="6" t="n">
        <f aca="false">Seg!K19*(al_fro+Sens!K12961+sbc_r)</f>
        <v>4.93592238342414</v>
      </c>
    </row>
    <row r="12966" customFormat="false" ht="17.15" hidden="false" customHeight="false" outlineLevel="0" collapsed="false">
      <c r="A12966" s="0" t="s">
        <v>1076</v>
      </c>
      <c r="B12966" s="0" t="s">
        <v>98</v>
      </c>
      <c r="F12966" s="6" t="n">
        <f aca="false">Seg!F22*(al_srch+Sens!F12961+sbc_r)</f>
        <v>11.2630849868114</v>
      </c>
      <c r="G12966" s="6" t="n">
        <f aca="false">Seg!G22*(al_srch+Sens!G12961+sbc_r)</f>
        <v>12.3179728600437</v>
      </c>
      <c r="H12966" s="6" t="n">
        <f aca="false">Seg!H22*(al_srch+Sens!H12961+sbc_r)</f>
        <v>13.4217853035424</v>
      </c>
      <c r="I12966" s="6" t="n">
        <f aca="false">Seg!I22*(al_srch+Sens!I12961+sbc_r)</f>
        <v>14.565578354966</v>
      </c>
      <c r="J12966" s="6" t="n">
        <f aca="false">Seg!J22*(al_srch+Sens!J12961+sbc_r)</f>
        <v>15.7277683722803</v>
      </c>
      <c r="K12966" s="6" t="n">
        <f aca="false">Seg!K22*(al_srch+Sens!K12961+sbc_r)</f>
        <v>16.87683901418</v>
      </c>
    </row>
    <row r="12967" customFormat="false" ht="17.15" hidden="false" customHeight="false" outlineLevel="0" collapsed="false">
      <c r="A12967" s="0" t="s">
        <v>1077</v>
      </c>
      <c r="B12967" s="0" t="s">
        <v>98</v>
      </c>
      <c r="F12967" s="6" t="n">
        <f aca="false">Thesis!F29-Thesis!F30+Thesis!F44</f>
        <v>45.0374073018652</v>
      </c>
      <c r="G12967" s="6" t="n">
        <f aca="false">Thesis!G29-Thesis!G30+Thesis!G44</f>
        <v>89.051993487491</v>
      </c>
      <c r="H12967" s="6" t="n">
        <f aca="false">Thesis!H29-Thesis!H30+Thesis!H44</f>
        <v>140.728332825594</v>
      </c>
      <c r="I12967" s="6" t="n">
        <f aca="false">Thesis!I29-Thesis!I30+Thesis!I44</f>
        <v>182.158665153016</v>
      </c>
      <c r="J12967" s="6" t="n">
        <f aca="false">Thesis!J29-Thesis!J30+Thesis!J44</f>
        <v>211.722320149272</v>
      </c>
      <c r="K12967" s="6" t="n">
        <f aca="false">Thesis!K29-Thesis!K30+Thesis!K44</f>
        <v>230.495012322217</v>
      </c>
    </row>
    <row r="12968" customFormat="false" ht="17.15" hidden="false" customHeight="false" outlineLevel="0" collapsed="false">
      <c r="A12968" s="0" t="s">
        <v>1078</v>
      </c>
      <c r="B12968" s="0" t="s">
        <v>98</v>
      </c>
      <c r="F12968" s="6" t="n">
        <f aca="false">PL!F32+Thesis!F44+Thesis!F40+Sens!F12961*(Seg!F21-Thesis!F23)+sbc_r*Seg!F21</f>
        <v>236.979131882557</v>
      </c>
      <c r="G12968" s="6" t="n">
        <f aca="false">PL!G32+Thesis!G44+Thesis!G40+Sens!G12961*(Seg!G21-Thesis!G23)+sbc_r*Seg!G21</f>
        <v>310.298572894356</v>
      </c>
      <c r="H12968" s="6" t="n">
        <f aca="false">PL!H32+Thesis!H44+Thesis!H40+Sens!H12961*(Seg!H21-Thesis!H23)+sbc_r*Seg!H21</f>
        <v>391.97921499404</v>
      </c>
      <c r="I12968" s="6" t="n">
        <f aca="false">PL!I32+Thesis!I44+Thesis!I40+Sens!I12961*(Seg!I21-Thesis!I23)+sbc_r*Seg!I21</f>
        <v>461.338592490557</v>
      </c>
      <c r="J12968" s="6" t="n">
        <f aca="false">PL!J32+Thesis!J44+Thesis!J40+Sens!J12961*(Seg!J21-Thesis!J23)+sbc_r*Seg!J21</f>
        <v>515.876034980991</v>
      </c>
      <c r="K12968" s="6" t="n">
        <f aca="false">PL!K32+Thesis!K44+Thesis!K40+Sens!K12961*(Seg!K21-Thesis!K23)+sbc_r*Seg!K21</f>
        <v>557.225339287545</v>
      </c>
    </row>
    <row r="12969" customFormat="false" ht="17.15" hidden="false" customHeight="false" outlineLevel="0" collapsed="false">
      <c r="A12969" s="0" t="s">
        <v>1079</v>
      </c>
      <c r="B12969" s="0" t="s">
        <v>98</v>
      </c>
      <c r="F12969" s="6" t="n">
        <f aca="false">Sens!F12968-Sens!F12962-Sens!F12963-Sens!F12964-Sens!F12965-Sens!F12967</f>
        <v>60.4845588387112</v>
      </c>
      <c r="G12969" s="6" t="n">
        <f aca="false">Sens!G12968-Sens!G12962-Sens!G12963-Sens!G12964-Sens!G12965-Sens!G12967</f>
        <v>73.090368906513</v>
      </c>
      <c r="H12969" s="6" t="n">
        <f aca="false">Sens!H12968-Sens!H12962-Sens!H12963-Sens!H12964-Sens!H12965-Sens!H12967</f>
        <v>86.23102144092</v>
      </c>
      <c r="I12969" s="6" t="n">
        <f aca="false">Sens!I12968-Sens!I12962-Sens!I12963-Sens!I12964-Sens!I12965-Sens!I12967</f>
        <v>98.8312409131349</v>
      </c>
      <c r="J12969" s="6" t="n">
        <f aca="false">Sens!J12968-Sens!J12962-Sens!J12963-Sens!J12964-Sens!J12965-Sens!J12967</f>
        <v>110.235873185303</v>
      </c>
      <c r="K12969" s="6" t="n">
        <f aca="false">Sens!K12968-Sens!K12962-Sens!K12963-Sens!K12964-Sens!K12965-Sens!K12967</f>
        <v>119.732817411307</v>
      </c>
    </row>
    <row r="12970" customFormat="false" ht="17.15" hidden="false" customHeight="false" outlineLevel="0" collapsed="false">
      <c r="A12970" s="0" t="s">
        <v>1080</v>
      </c>
      <c r="B12970" s="0" t="s">
        <v>98</v>
      </c>
      <c r="F12970" s="6" t="n">
        <f aca="false">PL!F34+Sens!F12961*Seg!F28+sbc_r*Seg!F28</f>
        <v>26.3250729833002</v>
      </c>
      <c r="G12970" s="6" t="n">
        <f aca="false">PL!G34+Sens!G12961*Seg!G28+sbc_r*Seg!G28</f>
        <v>26.8840979798844</v>
      </c>
      <c r="H12970" s="6" t="n">
        <f aca="false">PL!H34+Sens!H12961*Seg!H28+sbc_r*Seg!H28</f>
        <v>27.7254420104725</v>
      </c>
      <c r="I12970" s="6" t="n">
        <f aca="false">PL!I34+Sens!I12961*Seg!I28+sbc_r*Seg!I28</f>
        <v>28.8195303030026</v>
      </c>
      <c r="J12970" s="6" t="n">
        <f aca="false">PL!J34+Sens!J12961*Seg!J28+sbc_r*Seg!J28</f>
        <v>30.1256822206383</v>
      </c>
      <c r="K12970" s="6" t="n">
        <f aca="false">PL!K34+Sens!K12961*Seg!K28+sbc_r*Seg!K28</f>
        <v>31.5981329181227</v>
      </c>
    </row>
    <row r="12971" customFormat="false" ht="17.15" hidden="false" customHeight="false" outlineLevel="0" collapsed="false">
      <c r="A12971" s="0" t="s">
        <v>1081</v>
      </c>
      <c r="B12971" s="0" t="s">
        <v>98</v>
      </c>
      <c r="F12971" s="6" t="n">
        <f aca="false">(Sens!F12970-Sens!F12966)*Seg!F24/(Seg!F24+Seg!F26)</f>
        <v>8.25683511803782</v>
      </c>
      <c r="G12971" s="6" t="n">
        <f aca="false">(Sens!G12970-Sens!G12966)*Seg!G24/(Seg!G24+Seg!G26)</f>
        <v>7.84263572934781</v>
      </c>
      <c r="H12971" s="6" t="n">
        <f aca="false">(Sens!H12970-Sens!H12966)*Seg!H24/(Seg!H24+Seg!H26)</f>
        <v>7.59728657715786</v>
      </c>
      <c r="I12971" s="6" t="n">
        <f aca="false">(Sens!I12970-Sens!I12966)*Seg!I24/(Seg!I24+Seg!I26)</f>
        <v>7.50238476920254</v>
      </c>
      <c r="J12971" s="6" t="n">
        <f aca="false">(Sens!J12970-Sens!J12966)*Seg!J24/(Seg!J24+Seg!J26)</f>
        <v>7.54388912124533</v>
      </c>
      <c r="K12971" s="6" t="n">
        <f aca="false">(Sens!K12970-Sens!K12966)*Seg!K24/(Seg!K24+Seg!K26)</f>
        <v>7.71332639591206</v>
      </c>
    </row>
    <row r="12972" customFormat="false" ht="17.15" hidden="false" customHeight="false" outlineLevel="0" collapsed="false">
      <c r="A12972" s="0" t="s">
        <v>1082</v>
      </c>
      <c r="B12972" s="0" t="s">
        <v>98</v>
      </c>
      <c r="F12972" s="6" t="n">
        <f aca="false">Sens!F12970-Sens!F12966-Sens!F12971</f>
        <v>6.80515287845105</v>
      </c>
      <c r="G12972" s="6" t="n">
        <f aca="false">Sens!G12970-Sens!G12966-Sens!G12971</f>
        <v>6.72348939049287</v>
      </c>
      <c r="H12972" s="6" t="n">
        <f aca="false">Sens!H12970-Sens!H12966-Sens!H12971</f>
        <v>6.70637012977225</v>
      </c>
      <c r="I12972" s="6" t="n">
        <f aca="false">Sens!I12970-Sens!I12966-Sens!I12971</f>
        <v>6.75156717883416</v>
      </c>
      <c r="J12972" s="6" t="n">
        <f aca="false">Sens!J12970-Sens!J12966-Sens!J12971</f>
        <v>6.85402472711273</v>
      </c>
      <c r="K12972" s="6" t="n">
        <f aca="false">Sens!K12970-Sens!K12966-Sens!K12971</f>
        <v>7.00796750803058</v>
      </c>
    </row>
    <row r="12973" customFormat="false" ht="17.15" hidden="false" customHeight="false" outlineLevel="0" collapsed="false">
      <c r="A12973" s="0" t="s">
        <v>1083</v>
      </c>
      <c r="B12973" s="0" t="s">
        <v>98</v>
      </c>
      <c r="F12973" s="6" t="n">
        <f aca="false">Sens!F12967-tax_f*(Sens!F12967-Thesis!F40)-Thesis!F37</f>
        <v>-117.492972553783</v>
      </c>
      <c r="G12973" s="6" t="n">
        <f aca="false">Sens!G12967-tax_f*(Sens!G12967-Thesis!G40)-Thesis!G37</f>
        <v>-100.507498271105</v>
      </c>
      <c r="H12973" s="6" t="n">
        <f aca="false">Sens!H12967-tax_f*(Sens!H12967-Thesis!H40)-Thesis!H37</f>
        <v>-58.2254156812621</v>
      </c>
      <c r="I12973" s="6" t="n">
        <f aca="false">Sens!I12967-tax_f*(Sens!I12967-Thesis!I40)-Thesis!I37</f>
        <v>4.14141173464586</v>
      </c>
      <c r="J12973" s="6" t="n">
        <f aca="false">Sens!J12967-tax_f*(Sens!J12967-Thesis!J40)-Thesis!J37</f>
        <v>67.7960840957439</v>
      </c>
      <c r="K12973" s="6" t="n">
        <f aca="false">Sens!K12967-tax_f*(Sens!K12967-Thesis!K40)-Thesis!K37</f>
        <v>90.8148873630444</v>
      </c>
    </row>
    <row r="12974" customFormat="false" ht="17.15" hidden="false" customHeight="false" outlineLevel="0" collapsed="false">
      <c r="A12974" s="0" t="s">
        <v>1084</v>
      </c>
      <c r="B12974" s="0" t="s">
        <v>98</v>
      </c>
      <c r="G12974" s="6" t="n">
        <f aca="false">Sens!G12973/(1+((px*sh_out26*(rf+beta*erp_hi)+(debt_face+fl_liab)*kd*(1-tax_w))/(px*sh_out26+debt_face+fl_liab)))^(Sens!G12946-(Sens!F12946+mid_yr))</f>
        <v>-95.2453053134397</v>
      </c>
      <c r="H12974" s="6" t="n">
        <f aca="false">Sens!H12973/(1+((px*sh_out26*(rf+beta*erp_hi)+(debt_face+fl_liab)*kd*(1-tax_w))/(px*sh_out26+debt_face+fl_liab)))^(Sens!H12946-(Sens!F12946+mid_yr))</f>
        <v>-49.55048882746</v>
      </c>
      <c r="I12974" s="6" t="n">
        <f aca="false">Sens!I12973/(1+((px*sh_out26*(rf+beta*erp_hi)+(debt_face+fl_liab)*kd*(1-tax_w))/(px*sh_out26+debt_face+fl_liab)))^(Sens!I12946-(Sens!F12946+mid_yr))</f>
        <v>3.16500197701354</v>
      </c>
      <c r="J12974" s="6" t="n">
        <f aca="false">Sens!J12973/(1+((px*sh_out26*(rf+beta*erp_hi)+(debt_face+fl_liab)*kd*(1-tax_w))/(px*sh_out26+debt_face+fl_liab)))^(Sens!J12946-(Sens!F12946+mid_yr))</f>
        <v>46.5286461493427</v>
      </c>
      <c r="K12974" s="6" t="n">
        <f aca="false">Sens!K12973/(1+((px*sh_out26*(rf+beta*erp_hi)+(debt_face+fl_liab)*kd*(1-tax_w))/(px*sh_out26+debt_face+fl_liab)))^(Sens!K12946-(Sens!F12946+mid_yr))</f>
        <v>55.9710024482975</v>
      </c>
      <c r="L12974" s="1" t="s">
        <v>1085</v>
      </c>
    </row>
    <row r="12975" customFormat="false" ht="17.15" hidden="false" customHeight="false" outlineLevel="0" collapsed="false">
      <c r="A12975" s="0" t="s">
        <v>1086</v>
      </c>
      <c r="B12975" s="0" t="s">
        <v>98</v>
      </c>
      <c r="C12975" s="6" t="n">
        <f aca="false">(Sens!K12967-Thesis!K40)*(1-tax_f)*(1+g_tv)*(1-g_tv/(((px*sh_out26*(rf+beta*erp_hi)+(debt_face+fl_liab)*kd*(1-tax_w))/(px*sh_out26+debt_face+fl_liab))+ronic_prem))/(((px*sh_out26*(rf+beta*erp_hi)+(debt_face+fl_liab)*kd*(1-tax_w))/(px*sh_out26+debt_face+fl_liab))-g_tv)/(1+((px*sh_out26*(rf+beta*erp_hi)+(debt_face+fl_liab)*kd*(1-tax_w))/(px*sh_out26+debt_face+fl_liab)))^(Sens!K12946+mid_yr-(Sens!F12946+mid_yr))</f>
        <v>387.225293981465</v>
      </c>
    </row>
    <row r="12976" customFormat="false" ht="17.15" hidden="false" customHeight="false" outlineLevel="0" collapsed="false">
      <c r="A12976" s="1" t="s">
        <v>1087</v>
      </c>
      <c r="B12976" s="0" t="s">
        <v>98</v>
      </c>
      <c r="C12976" s="6" t="n">
        <f aca="false">(SUM(Sens!G12974:K12974)+Sens!$C$12975)*(1+((px*sh_out26*(rf+beta*erp_hi)+(debt_face+fl_liab)*kd*(1-tax_w))/(px*sh_out26+debt_face+fl_liab)))^(t_roll-(Sens!F12946+mid_yr))</f>
        <v>360.516702270274</v>
      </c>
      <c r="L12976" s="11" t="s">
        <v>1088</v>
      </c>
    </row>
    <row r="12977" customFormat="false" ht="17.15" hidden="false" customHeight="false" outlineLevel="0" collapsed="false">
      <c r="A12977" s="1" t="s">
        <v>1089</v>
      </c>
      <c r="B12977" s="0" t="s">
        <v>98</v>
      </c>
      <c r="C12977" s="6" t="n">
        <f aca="false">(w_ntm28*Thesis!G29+(1-w_ntm28)*Thesis!H29)*m_ai</f>
        <v>551.711134531404</v>
      </c>
    </row>
    <row r="12978" customFormat="false" ht="17.15" hidden="false" customHeight="false" outlineLevel="0" collapsed="false">
      <c r="A12978" s="1" t="s">
        <v>1090</v>
      </c>
      <c r="B12978" s="0" t="s">
        <v>98</v>
      </c>
      <c r="C12978" s="6" t="n">
        <f aca="false">(w_ntm28*Sens!G12969+(1-w_ntm28)*Sens!H12969)*m_cloud</f>
        <v>1068.81917370447</v>
      </c>
    </row>
    <row r="12979" customFormat="false" ht="17.15" hidden="false" customHeight="false" outlineLevel="0" collapsed="false">
      <c r="A12979" s="1" t="s">
        <v>1091</v>
      </c>
      <c r="B12979" s="0" t="s">
        <v>98</v>
      </c>
      <c r="C12979" s="6" t="n">
        <f aca="false">(w_ntm28*Sens!G12962+(1-w_ntm28)*Sens!H12962)*m_sw</f>
        <v>1127.71024611553</v>
      </c>
    </row>
    <row r="12980" customFormat="false" ht="17.15" hidden="false" customHeight="false" outlineLevel="0" collapsed="false">
      <c r="A12980" s="1" t="s">
        <v>1092</v>
      </c>
      <c r="B12980" s="0" t="s">
        <v>98</v>
      </c>
      <c r="C12980" s="6" t="n">
        <f aca="false">(w_ntm28*Sens!G12963+(1-w_ntm28)*Sens!H12963)*m_sw</f>
        <v>379.927954212425</v>
      </c>
    </row>
    <row r="12981" customFormat="false" ht="17.15" hidden="false" customHeight="false" outlineLevel="0" collapsed="false">
      <c r="A12981" s="1" t="s">
        <v>1093</v>
      </c>
      <c r="B12981" s="0" t="s">
        <v>98</v>
      </c>
      <c r="C12981" s="6" t="n">
        <f aca="false">(w_ntm28*Sens!G12964+(1-w_ntm28)*Sens!H12964)*m_sw</f>
        <v>109.537681746057</v>
      </c>
    </row>
    <row r="12982" customFormat="false" ht="17.15" hidden="false" customHeight="false" outlineLevel="0" collapsed="false">
      <c r="A12982" s="1" t="s">
        <v>1094</v>
      </c>
      <c r="B12982" s="0" t="s">
        <v>98</v>
      </c>
      <c r="C12982" s="6" t="n">
        <f aca="false">(w_ntm28*Sens!G12965+(1-w_ntm28)*Sens!H12965)*m_sw</f>
        <v>41.7907416024197</v>
      </c>
    </row>
    <row r="12983" customFormat="false" ht="17.15" hidden="false" customHeight="false" outlineLevel="0" collapsed="false">
      <c r="A12983" s="1" t="s">
        <v>1095</v>
      </c>
      <c r="B12983" s="0" t="s">
        <v>98</v>
      </c>
      <c r="C12983" s="6" t="n">
        <f aca="false">(w_ntm28*Sens!G12966+(1-w_ntm28)*Sens!H12966)*m_ads</f>
        <v>115.467626729004</v>
      </c>
    </row>
    <row r="12984" customFormat="false" ht="17.15" hidden="false" customHeight="false" outlineLevel="0" collapsed="false">
      <c r="A12984" s="1" t="s">
        <v>1096</v>
      </c>
      <c r="B12984" s="0" t="s">
        <v>98</v>
      </c>
      <c r="C12984" s="6" t="n">
        <f aca="false">(w_ntm28*Sens!G12971+(1-w_ntm28)*Sens!H12971)*m_game</f>
        <v>98.0506984247457</v>
      </c>
    </row>
    <row r="12985" customFormat="false" ht="17.15" hidden="false" customHeight="false" outlineLevel="0" collapsed="false">
      <c r="A12985" s="1" t="s">
        <v>1097</v>
      </c>
      <c r="B12985" s="0" t="s">
        <v>98</v>
      </c>
      <c r="C12985" s="6" t="n">
        <f aca="false">(w_ntm28*Sens!G12972+(1-w_ntm28)*Sens!H12972)*m_pc</f>
        <v>97.2088080478016</v>
      </c>
    </row>
    <row r="12986" customFormat="false" ht="17.15" hidden="false" customHeight="false" outlineLevel="0" collapsed="false">
      <c r="A12986" s="1" t="s">
        <v>1098</v>
      </c>
      <c r="B12986" s="0" t="s">
        <v>98</v>
      </c>
      <c r="C12986" s="6" t="n">
        <f aca="false">Sens!$C$12976+Sens!$C$12978+Sens!$C$12979+Sens!$C$12980+Sens!$C$12981+Sens!$C$12982+Sens!$C$12983+Sens!$C$12984+Sens!$C$12985</f>
        <v>3399.02963285274</v>
      </c>
    </row>
    <row r="12987" customFormat="false" ht="17.15" hidden="false" customHeight="false" outlineLevel="0" collapsed="false">
      <c r="A12987" s="1" t="s">
        <v>1099</v>
      </c>
      <c r="B12987" s="0" t="s">
        <v>98</v>
      </c>
      <c r="C12987" s="6" t="n">
        <f aca="false">(Sens!G12948-Sens!G12973)*t_stub</f>
        <v>47.9592964551235</v>
      </c>
      <c r="L12987" s="1" t="s">
        <v>1100</v>
      </c>
    </row>
    <row r="12988" customFormat="false" ht="17.15" hidden="false" customHeight="false" outlineLevel="0" collapsed="false">
      <c r="A12988" s="1" t="s">
        <v>1014</v>
      </c>
      <c r="B12988" s="0" t="s">
        <v>98</v>
      </c>
      <c r="C12988" s="6" t="n">
        <f aca="false">CF!F38+oai_v-CF!F27+Sens!$C$12987</f>
        <v>163.066005497665</v>
      </c>
      <c r="L12988" s="1" t="s">
        <v>1101</v>
      </c>
    </row>
    <row r="12989" customFormat="false" ht="17.15" hidden="false" customHeight="false" outlineLevel="0" collapsed="false">
      <c r="A12989" s="1" t="s">
        <v>1102</v>
      </c>
      <c r="B12989" s="0" t="s">
        <v>75</v>
      </c>
      <c r="C12989" s="5" t="n">
        <f aca="false">(Sens!$C$12986+Sens!$C$12988)/(CF!F40+dil_gap)-CF!G30*roll_div_q/q_per_yr</f>
        <v>474.160024859979</v>
      </c>
      <c r="L12989" s="1" t="s">
        <v>1103</v>
      </c>
    </row>
    <row r="12990" customFormat="false" ht="17.15" hidden="false" customHeight="false" outlineLevel="0" collapsed="false">
      <c r="A12990" s="1" t="s">
        <v>1104</v>
      </c>
      <c r="B12990" s="0" t="s">
        <v>75</v>
      </c>
      <c r="C12990" s="5" t="n">
        <f aca="false">w_dcf*Sens!$C$12960+(1-w_dcf)*Sens!$C$12989</f>
        <v>402.46307232486</v>
      </c>
    </row>
    <row r="12991" customFormat="false" ht="17.15" hidden="false" customHeight="false" outlineLevel="0" collapsed="false">
      <c r="A12991" s="3" t="s">
        <v>1593</v>
      </c>
    </row>
    <row r="12992" customFormat="false" ht="15" hidden="false" customHeight="false" outlineLevel="0" collapsed="false">
      <c r="A12992" s="4" t="s">
        <v>43</v>
      </c>
      <c r="B12992" s="4" t="s">
        <v>65</v>
      </c>
      <c r="C12992" s="20" t="s">
        <v>799</v>
      </c>
      <c r="D12992" s="20" t="s">
        <v>800</v>
      </c>
      <c r="E12992" s="20" t="s">
        <v>801</v>
      </c>
      <c r="F12992" s="20" t="s">
        <v>802</v>
      </c>
      <c r="G12992" s="20" t="s">
        <v>803</v>
      </c>
      <c r="H12992" s="20" t="s">
        <v>804</v>
      </c>
      <c r="I12992" s="20" t="s">
        <v>805</v>
      </c>
      <c r="J12992" s="20" t="s">
        <v>806</v>
      </c>
      <c r="K12992" s="20" t="s">
        <v>807</v>
      </c>
      <c r="L12992" s="4" t="s">
        <v>47</v>
      </c>
    </row>
    <row r="12993" customFormat="false" ht="15" hidden="false" customHeight="false" outlineLevel="0" collapsed="false">
      <c r="A12993" s="1" t="s">
        <v>1057</v>
      </c>
      <c r="B12993" s="1" t="s">
        <v>235</v>
      </c>
      <c r="F12993" s="36" t="n">
        <f aca="false">Thesis!F55-base_fy-mid_yr</f>
        <v>0.5</v>
      </c>
      <c r="G12993" s="36" t="n">
        <f aca="false">Thesis!G55-base_fy-mid_yr</f>
        <v>1.5</v>
      </c>
      <c r="H12993" s="36" t="n">
        <f aca="false">Thesis!H55-base_fy-mid_yr</f>
        <v>2.5</v>
      </c>
      <c r="I12993" s="36" t="n">
        <f aca="false">Thesis!I55-base_fy-mid_yr</f>
        <v>3.5</v>
      </c>
      <c r="J12993" s="36" t="n">
        <f aca="false">Thesis!J55-base_fy-mid_yr</f>
        <v>4.5</v>
      </c>
      <c r="K12993" s="36" t="n">
        <f aca="false">Thesis!K55-base_fy-mid_yr</f>
        <v>5.5</v>
      </c>
    </row>
    <row r="12994" customFormat="false" ht="15" hidden="false" customHeight="false" outlineLevel="0" collapsed="false">
      <c r="A12994" s="1" t="s">
        <v>1058</v>
      </c>
      <c r="B12994" s="0" t="s">
        <v>185</v>
      </c>
      <c r="F12994" s="14" t="n">
        <f aca="false">1/(1+((px*sh_out26*(rf+beta*erp_hi)+(debt_face+fl_liab)*kd*(1-tax_w))/(px*sh_out26+debt_face+fl_liab)))^Sens!F12993</f>
        <v>0.947643777348121</v>
      </c>
      <c r="G12994" s="14" t="n">
        <f aca="false">1/(1+((px*sh_out26*(rf+beta*erp_hi)+(debt_face+fl_liab)*kd*(1-tax_w))/(px*sh_out26+debt_face+fl_liab)))^Sens!G12993</f>
        <v>0.851011336676573</v>
      </c>
      <c r="H12994" s="14" t="n">
        <f aca="false">1/(1+((px*sh_out26*(rf+beta*erp_hi)+(debt_face+fl_liab)*kd*(1-tax_w))/(px*sh_out26+debt_face+fl_liab)))^Sens!H12993</f>
        <v>0.764232628824621</v>
      </c>
      <c r="I12994" s="14" t="n">
        <f aca="false">1/(1+((px*sh_out26*(rf+beta*erp_hi)+(debt_face+fl_liab)*kd*(1-tax_w))/(px*sh_out26+debt_face+fl_liab)))^Sens!I12993</f>
        <v>0.686302856130058</v>
      </c>
      <c r="J12994" s="14" t="n">
        <f aca="false">1/(1+((px*sh_out26*(rf+beta*erp_hi)+(debt_face+fl_liab)*kd*(1-tax_w))/(px*sh_out26+debt_face+fl_liab)))^Sens!J12993</f>
        <v>0.616319681425647</v>
      </c>
      <c r="K12994" s="14" t="n">
        <f aca="false">1/(1+((px*sh_out26*(rf+beta*erp_hi)+(debt_face+fl_liab)*kd*(1-tax_w))/(px*sh_out26+debt_face+fl_liab)))^Sens!K12993</f>
        <v>0.553472780012192</v>
      </c>
    </row>
    <row r="12995" customFormat="false" ht="17.15" hidden="false" customHeight="false" outlineLevel="0" collapsed="false">
      <c r="A12995" s="1" t="s">
        <v>1059</v>
      </c>
      <c r="B12995" s="0" t="s">
        <v>98</v>
      </c>
      <c r="F12995" s="6" t="n">
        <f aca="false">CF!F53-CF!F51-CF!F57+Thesis!F93*(1-tax_f)</f>
        <v>-2.12916264917943</v>
      </c>
      <c r="G12995" s="6" t="n">
        <f aca="false">CF!G53-CF!G51-CF!G57+Thesis!G93*(1-tax_f)</f>
        <v>37.4539072201241</v>
      </c>
      <c r="H12995" s="6" t="n">
        <f aca="false">CF!H53-CF!H51-CF!H57+Thesis!H93*(1-tax_f)</f>
        <v>85.8888636072133</v>
      </c>
      <c r="I12995" s="6" t="n">
        <f aca="false">CF!I53-CF!I51-CF!I57+Thesis!I93*(1-tax_f)</f>
        <v>159.098024951333</v>
      </c>
      <c r="J12995" s="6" t="n">
        <f aca="false">CF!J53-CF!J51-CF!J57+Thesis!J93*(1-tax_f)</f>
        <v>233.876759261847</v>
      </c>
      <c r="K12995" s="6" t="n">
        <f aca="false">CF!K53-CF!K51-CF!K57+Thesis!K93*(1-tax_f)</f>
        <v>268.447783789649</v>
      </c>
      <c r="L12995" s="1" t="s">
        <v>1060</v>
      </c>
    </row>
    <row r="12996" customFormat="false" ht="15" hidden="false" customHeight="false" outlineLevel="0" collapsed="false">
      <c r="A12996" s="1" t="s">
        <v>1061</v>
      </c>
      <c r="B12996" s="0" t="s">
        <v>98</v>
      </c>
      <c r="F12996" s="6" t="n">
        <f aca="false">Sens!F12995*Sens!F12994</f>
        <v>-2.01768773545692</v>
      </c>
      <c r="G12996" s="6" t="n">
        <f aca="false">Sens!G12995*Sens!G12994</f>
        <v>31.8736996471581</v>
      </c>
      <c r="H12996" s="6" t="n">
        <f aca="false">Sens!H12995*Sens!H12994</f>
        <v>65.6390720212999</v>
      </c>
      <c r="I12996" s="6" t="n">
        <f aca="false">Sens!I12995*Sens!I12994</f>
        <v>109.189428928751</v>
      </c>
      <c r="J12996" s="6" t="n">
        <f aca="false">Sens!J12995*Sens!J12994</f>
        <v>144.142849761125</v>
      </c>
      <c r="K12996" s="6" t="n">
        <f aca="false">Sens!K12995*Sens!K12994</f>
        <v>148.578541182169</v>
      </c>
    </row>
    <row r="12997" customFormat="false" ht="17.15" hidden="false" customHeight="false" outlineLevel="0" collapsed="false">
      <c r="A12997" s="1" t="s">
        <v>1062</v>
      </c>
      <c r="B12997" s="0" t="s">
        <v>98</v>
      </c>
      <c r="C12997" s="6" t="n">
        <f aca="false">SUM(Sens!F12996:K12996)</f>
        <v>497.405903805046</v>
      </c>
    </row>
    <row r="12998" customFormat="false" ht="17.15" hidden="false" customHeight="false" outlineLevel="0" collapsed="false">
      <c r="A12998" s="1" t="s">
        <v>1063</v>
      </c>
      <c r="B12998" s="0" t="s">
        <v>98</v>
      </c>
      <c r="C12998" s="6" t="n">
        <f aca="false">PL!K78*(1+g_tv)*(1-tax_f)</f>
        <v>284.685941703094</v>
      </c>
    </row>
    <row r="12999" customFormat="false" ht="17.15" hidden="false" customHeight="false" outlineLevel="0" collapsed="false">
      <c r="A12999" s="1" t="s">
        <v>1064</v>
      </c>
      <c r="B12999" s="0" t="s">
        <v>98</v>
      </c>
      <c r="C12999" s="6" t="n">
        <f aca="false">Sens!$C$12998*(1-g_tv/(((px*sh_out26*(rf+beta*erp_hi)+(debt_face+fl_liab)*kd*(1-tax_w))/(px*sh_out26+debt_face+fl_liab))+ronic_prem))</f>
        <v>209.471770737904</v>
      </c>
    </row>
    <row r="13000" customFormat="false" ht="17.15" hidden="false" customHeight="false" outlineLevel="0" collapsed="false">
      <c r="A13000" s="1" t="s">
        <v>1065</v>
      </c>
      <c r="B13000" s="0" t="s">
        <v>98</v>
      </c>
      <c r="C13000" s="6" t="n">
        <f aca="false">Sens!$C$12999/(((px*sh_out26*(rf+beta*erp_hi)+(debt_face+fl_liab)*kd*(1-tax_w))/(px*sh_out26+debt_face+fl_liab))-g_tv)</f>
        <v>2507.139032173</v>
      </c>
    </row>
    <row r="13001" customFormat="false" ht="15" hidden="false" customHeight="false" outlineLevel="0" collapsed="false">
      <c r="A13001" s="1" t="s">
        <v>1066</v>
      </c>
      <c r="B13001" s="0" t="s">
        <v>98</v>
      </c>
      <c r="C13001" s="6" t="n">
        <f aca="false">Sens!$C$13000/(1+((px*sh_out26*(rf+beta*erp_hi)+(debt_face+fl_liab)*kd*(1-tax_w))/(px*sh_out26+debt_face+fl_liab)))^(Sens!K12993+mid_yr)</f>
        <v>1314.98197671124</v>
      </c>
    </row>
    <row r="13002" customFormat="false" ht="17.15" hidden="false" customHeight="false" outlineLevel="0" collapsed="false">
      <c r="A13002" s="0" t="s">
        <v>986</v>
      </c>
      <c r="B13002" s="0" t="s">
        <v>98</v>
      </c>
      <c r="C13002" s="6" t="n">
        <f aca="false">Sens!$C$12997+Sens!$C$13001</f>
        <v>1812.38788051629</v>
      </c>
    </row>
    <row r="13003" customFormat="false" ht="15" hidden="false" customHeight="false" outlineLevel="0" collapsed="false">
      <c r="A13003" s="1" t="s">
        <v>987</v>
      </c>
      <c r="B13003" s="0" t="s">
        <v>129</v>
      </c>
      <c r="C13003" s="7" t="n">
        <f aca="false">Sens!$C$13001/Sens!$C$13002</f>
        <v>0.725552179446625</v>
      </c>
    </row>
    <row r="13004" customFormat="false" ht="17.15" hidden="false" customHeight="false" outlineLevel="0" collapsed="false">
      <c r="A13004" s="1" t="s">
        <v>1067</v>
      </c>
      <c r="B13004" s="0" t="s">
        <v>98</v>
      </c>
      <c r="C13004" s="6" t="n">
        <f aca="false">Sens!$C$13002+CF!E69-CF!E58+oai_v</f>
        <v>1946.90088051629</v>
      </c>
    </row>
    <row r="13005" customFormat="false" ht="17.15" hidden="false" customHeight="false" outlineLevel="0" collapsed="false">
      <c r="A13005" s="0" t="s">
        <v>994</v>
      </c>
      <c r="B13005" s="0" t="s">
        <v>75</v>
      </c>
      <c r="C13005" s="5" t="n">
        <f aca="false">Sens!$C$13004/sh_dil26</f>
        <v>261.223786464013</v>
      </c>
    </row>
    <row r="13006" customFormat="false" ht="15" hidden="false" customHeight="false" outlineLevel="0" collapsed="false">
      <c r="A13006" s="1" t="s">
        <v>1068</v>
      </c>
      <c r="B13006" s="0" t="s">
        <v>75</v>
      </c>
      <c r="C13006" s="8" t="n">
        <f aca="false">dps_27+CF!G61*roll_div_q/q_per_yr</f>
        <v>4.8895</v>
      </c>
    </row>
    <row r="13007" customFormat="false" ht="17.15" hidden="false" customHeight="false" outlineLevel="0" collapsed="false">
      <c r="A13007" s="0" t="s">
        <v>1069</v>
      </c>
      <c r="B13007" s="0" t="s">
        <v>75</v>
      </c>
      <c r="C13007" s="5" t="n">
        <f aca="false">Sens!$C$13005*(1+((px*sh_out26*(rf+beta*erp_hi)+(debt_face+fl_liab)*kd*(1-tax_w))/(px*sh_out26+debt_face+fl_liab)))^t_roll-Sens!$C$13006</f>
        <v>296.377216814341</v>
      </c>
    </row>
    <row r="13008" customFormat="false" ht="17.15" hidden="false" customHeight="false" outlineLevel="0" collapsed="false">
      <c r="A13008" s="1" t="s">
        <v>1070</v>
      </c>
      <c r="B13008" s="0" t="s">
        <v>129</v>
      </c>
      <c r="F13008" s="7" t="n">
        <f aca="false">CF!F48/(Seg!F56-Thesis!F72)</f>
        <v>0.0708376243512414</v>
      </c>
      <c r="G13008" s="7" t="n">
        <f aca="false">CF!G48/(Seg!G56-Thesis!G72)</f>
        <v>0.0675792567445289</v>
      </c>
      <c r="H13008" s="7" t="n">
        <f aca="false">CF!H48/(Seg!H56-Thesis!H72)</f>
        <v>0.0657637992399081</v>
      </c>
      <c r="I13008" s="7" t="n">
        <f aca="false">CF!I48/(Seg!I56-Thesis!I72)</f>
        <v>0.0652507860006261</v>
      </c>
      <c r="J13008" s="7" t="n">
        <f aca="false">CF!J48/(Seg!J56-Thesis!J72)</f>
        <v>0.0657374094257698</v>
      </c>
      <c r="K13008" s="7" t="n">
        <f aca="false">CF!K48/(Seg!K56-Thesis!K72)</f>
        <v>0.0668595832904836</v>
      </c>
    </row>
    <row r="13009" customFormat="false" ht="17.15" hidden="false" customHeight="false" outlineLevel="0" collapsed="false">
      <c r="A13009" s="0" t="s">
        <v>1071</v>
      </c>
      <c r="B13009" s="0" t="s">
        <v>98</v>
      </c>
      <c r="F13009" s="6" t="n">
        <f aca="false">Seg!F41*(al_m365+Sens!F13008+sbc_r)</f>
        <v>84.2019918892952</v>
      </c>
      <c r="G13009" s="6" t="n">
        <f aca="false">Seg!G41*(al_m365+Sens!G13008+sbc_r)</f>
        <v>96.61090954529</v>
      </c>
      <c r="H13009" s="6" t="n">
        <f aca="false">Seg!H41*(al_m365+Sens!H13008+sbc_r)</f>
        <v>109.18271398457</v>
      </c>
      <c r="I13009" s="6" t="n">
        <f aca="false">Seg!I41*(al_m365+Sens!I13008+sbc_r)</f>
        <v>120.736322591613</v>
      </c>
      <c r="J13009" s="6" t="n">
        <f aca="false">Seg!J41*(al_m365+Sens!J13008+sbc_r)</f>
        <v>131.084561154645</v>
      </c>
      <c r="K13009" s="6" t="n">
        <f aca="false">Seg!K41*(al_m365+Sens!K13008+sbc_r)</f>
        <v>141.044207560217</v>
      </c>
      <c r="L13009" s="11" t="s">
        <v>1072</v>
      </c>
    </row>
    <row r="13010" customFormat="false" ht="17.15" hidden="false" customHeight="false" outlineLevel="0" collapsed="false">
      <c r="A13010" s="0" t="s">
        <v>1073</v>
      </c>
      <c r="B13010" s="0" t="s">
        <v>98</v>
      </c>
      <c r="F13010" s="6" t="n">
        <f aca="false">Seg!F42*(al_lic+Sens!F13008+sbc_r)</f>
        <v>33.5324516680982</v>
      </c>
      <c r="G13010" s="6" t="n">
        <f aca="false">Seg!G42*(al_lic+Sens!G13008+sbc_r)</f>
        <v>34.819657317048</v>
      </c>
      <c r="H13010" s="6" t="n">
        <f aca="false">Seg!H42*(al_lic+Sens!H13008+sbc_r)</f>
        <v>36.0229106304815</v>
      </c>
      <c r="I13010" s="6" t="n">
        <f aca="false">Seg!I42*(al_lic+Sens!I13008+sbc_r)</f>
        <v>37.1234854794919</v>
      </c>
      <c r="J13010" s="6" t="n">
        <f aca="false">Seg!J42*(al_lic+Sens!J13008+sbc_r)</f>
        <v>38.0950592345738</v>
      </c>
      <c r="K13010" s="6" t="n">
        <f aca="false">Seg!K42*(al_lic+Sens!K13008+sbc_r)</f>
        <v>38.9080719459809</v>
      </c>
    </row>
    <row r="13011" customFormat="false" ht="17.15" hidden="false" customHeight="false" outlineLevel="0" collapsed="false">
      <c r="A13011" s="0" t="s">
        <v>1074</v>
      </c>
      <c r="B13011" s="0" t="s">
        <v>98</v>
      </c>
      <c r="F13011" s="6" t="n">
        <f aca="false">Seg!F44*(al_ind+Sens!F13008+sbc_r)</f>
        <v>9.12666918765551</v>
      </c>
      <c r="G13011" s="6" t="n">
        <f aca="false">Seg!G44*(al_ind+Sens!G13008+sbc_r)</f>
        <v>9.89694850970116</v>
      </c>
      <c r="H13011" s="6" t="n">
        <f aca="false">Seg!H44*(al_ind+Sens!H13008+sbc_r)</f>
        <v>10.7131335152527</v>
      </c>
      <c r="I13011" s="6" t="n">
        <f aca="false">Seg!I44*(al_ind+Sens!I13008+sbc_r)</f>
        <v>11.5721730864119</v>
      </c>
      <c r="J13011" s="6" t="n">
        <f aca="false">Seg!J44*(al_ind+Sens!J13008+sbc_r)</f>
        <v>12.4641697526801</v>
      </c>
      <c r="K13011" s="6" t="n">
        <f aca="false">Seg!K44*(al_ind+Sens!K13008+sbc_r)</f>
        <v>13.3737871892836</v>
      </c>
    </row>
    <row r="13012" customFormat="false" ht="17.15" hidden="false" customHeight="false" outlineLevel="0" collapsed="false">
      <c r="A13012" s="0" t="s">
        <v>1075</v>
      </c>
      <c r="B13012" s="0" t="s">
        <v>98</v>
      </c>
      <c r="F13012" s="6" t="n">
        <f aca="false">Seg!F46*(al_fro+Sens!F13008+sbc_r)</f>
        <v>3.5922890341799</v>
      </c>
      <c r="G13012" s="6" t="n">
        <f aca="false">Seg!G46*(al_fro+Sens!G13008+sbc_r)</f>
        <v>3.79984310356763</v>
      </c>
      <c r="H13012" s="6" t="n">
        <f aca="false">Seg!H46*(al_fro+Sens!H13008+sbc_r)</f>
        <v>4.03707539290126</v>
      </c>
      <c r="I13012" s="6" t="n">
        <f aca="false">Seg!I46*(al_fro+Sens!I13008+sbc_r)</f>
        <v>4.30669184104541</v>
      </c>
      <c r="J13012" s="6" t="n">
        <f aca="false">Seg!J46*(al_fro+Sens!J13008+sbc_r)</f>
        <v>4.6097289716959</v>
      </c>
      <c r="K13012" s="6" t="n">
        <f aca="false">Seg!K46*(al_fro+Sens!K13008+sbc_r)</f>
        <v>4.94614045628512</v>
      </c>
    </row>
    <row r="13013" customFormat="false" ht="17.15" hidden="false" customHeight="false" outlineLevel="0" collapsed="false">
      <c r="A13013" s="0" t="s">
        <v>1076</v>
      </c>
      <c r="B13013" s="0" t="s">
        <v>98</v>
      </c>
      <c r="F13013" s="6" t="n">
        <f aca="false">Seg!F49*(al_srch+Sens!F13008+sbc_r)</f>
        <v>11.2715683093452</v>
      </c>
      <c r="G13013" s="6" t="n">
        <f aca="false">Seg!G49*(al_srch+Sens!G13008+sbc_r)</f>
        <v>12.338201972554</v>
      </c>
      <c r="H13013" s="6" t="n">
        <f aca="false">Seg!H49*(al_srch+Sens!H13008+sbc_r)</f>
        <v>13.450727865064</v>
      </c>
      <c r="I13013" s="6" t="n">
        <f aca="false">Seg!I49*(al_srch+Sens!I13008+sbc_r)</f>
        <v>14.598560682534</v>
      </c>
      <c r="J13013" s="6" t="n">
        <f aca="false">Seg!J49*(al_srch+Sens!J13008+sbc_r)</f>
        <v>15.7615229152659</v>
      </c>
      <c r="K13013" s="6" t="n">
        <f aca="false">Seg!K49*(al_srch+Sens!K13008+sbc_r)</f>
        <v>16.9117765106222</v>
      </c>
    </row>
    <row r="13014" customFormat="false" ht="17.15" hidden="false" customHeight="false" outlineLevel="0" collapsed="false">
      <c r="A13014" s="0" t="s">
        <v>1077</v>
      </c>
      <c r="B13014" s="0" t="s">
        <v>98</v>
      </c>
      <c r="F13014" s="6" t="n">
        <f aca="false">Thesis!F78-Thesis!F79+Thesis!F93</f>
        <v>42.2254306726393</v>
      </c>
      <c r="G13014" s="6" t="n">
        <f aca="false">Thesis!G78-Thesis!G79+Thesis!G93</f>
        <v>79.7027537443441</v>
      </c>
      <c r="H13014" s="6" t="n">
        <f aca="false">Thesis!H78-Thesis!H79+Thesis!H93</f>
        <v>120.060533679822</v>
      </c>
      <c r="I13014" s="6" t="n">
        <f aca="false">Thesis!I78-Thesis!I79+Thesis!I93</f>
        <v>156.515256506302</v>
      </c>
      <c r="J13014" s="6" t="n">
        <f aca="false">Thesis!J78-Thesis!J79+Thesis!J93</f>
        <v>182.51821819491</v>
      </c>
      <c r="K13014" s="6" t="n">
        <f aca="false">Thesis!K78-Thesis!K79+Thesis!K93</f>
        <v>199.254533496123</v>
      </c>
    </row>
    <row r="13015" customFormat="false" ht="17.15" hidden="false" customHeight="false" outlineLevel="0" collapsed="false">
      <c r="A13015" s="0" t="s">
        <v>1078</v>
      </c>
      <c r="B13015" s="0" t="s">
        <v>98</v>
      </c>
      <c r="F13015" s="6" t="n">
        <f aca="false">PL!F71+Thesis!F93+Thesis!F89+Sens!F13008*(Seg!F48-Thesis!F72)+sbc_r*Seg!F48</f>
        <v>233.08249657256</v>
      </c>
      <c r="G13015" s="6" t="n">
        <f aca="false">PL!G71+Thesis!G93+Thesis!G89+Sens!G13008*(Seg!G48-Thesis!G72)+sbc_r*Seg!G48</f>
        <v>297.663189032606</v>
      </c>
      <c r="H13015" s="6" t="n">
        <f aca="false">PL!H71+Thesis!H93+Thesis!H89+Sens!H13008*(Seg!H48-Thesis!H72)+sbc_r*Seg!H48</f>
        <v>365.628165851855</v>
      </c>
      <c r="I13015" s="6" t="n">
        <f aca="false">PL!I71+Thesis!I93+Thesis!I89+Sens!I13008*(Seg!I48-Thesis!I72)+sbc_r*Seg!I48</f>
        <v>428.31888397841</v>
      </c>
      <c r="J13015" s="6" t="n">
        <f aca="false">PL!J71+Thesis!J93+Thesis!J89+Sens!J13008*(Seg!J48-Thesis!J72)+sbc_r*Seg!J48</f>
        <v>478.127348640143</v>
      </c>
      <c r="K13015" s="6" t="n">
        <f aca="false">PL!K71+Thesis!K93+Thesis!K89+Sens!K13008*(Seg!K48-Thesis!K72)+sbc_r*Seg!K48</f>
        <v>516.321726855748</v>
      </c>
    </row>
    <row r="13016" customFormat="false" ht="17.15" hidden="false" customHeight="false" outlineLevel="0" collapsed="false">
      <c r="A13016" s="0" t="s">
        <v>1079</v>
      </c>
      <c r="B13016" s="0" t="s">
        <v>98</v>
      </c>
      <c r="F13016" s="6" t="n">
        <f aca="false">Sens!F13015-Sens!F13009-Sens!F13010-Sens!F13011-Sens!F13012-Sens!F13014</f>
        <v>60.4036641206917</v>
      </c>
      <c r="G13016" s="6" t="n">
        <f aca="false">Sens!G13015-Sens!G13009-Sens!G13010-Sens!G13011-Sens!G13012-Sens!G13014</f>
        <v>72.8330768126549</v>
      </c>
      <c r="H13016" s="6" t="n">
        <f aca="false">Sens!H13015-Sens!H13009-Sens!H13010-Sens!H13011-Sens!H13012-Sens!H13014</f>
        <v>85.6117986488275</v>
      </c>
      <c r="I13016" s="6" t="n">
        <f aca="false">Sens!I13015-Sens!I13009-Sens!I13010-Sens!I13011-Sens!I13012-Sens!I13014</f>
        <v>98.0649544735462</v>
      </c>
      <c r="J13016" s="6" t="n">
        <f aca="false">Sens!J13015-Sens!J13009-Sens!J13010-Sens!J13011-Sens!J13012-Sens!J13014</f>
        <v>109.355611331638</v>
      </c>
      <c r="K13016" s="6" t="n">
        <f aca="false">Sens!K13015-Sens!K13009-Sens!K13010-Sens!K13011-Sens!K13012-Sens!K13014</f>
        <v>118.794986207857</v>
      </c>
    </row>
    <row r="13017" customFormat="false" ht="17.15" hidden="false" customHeight="false" outlineLevel="0" collapsed="false">
      <c r="A13017" s="0" t="s">
        <v>1080</v>
      </c>
      <c r="B13017" s="0" t="s">
        <v>98</v>
      </c>
      <c r="F13017" s="6" t="n">
        <f aca="false">PL!F73+Sens!F13008*Seg!F55+sbc_r*Seg!F55</f>
        <v>26.345087006484</v>
      </c>
      <c r="G13017" s="6" t="n">
        <f aca="false">PL!G73+Sens!G13008*Seg!G55+sbc_r*Seg!G55</f>
        <v>26.928666241387</v>
      </c>
      <c r="H13017" s="6" t="n">
        <f aca="false">PL!H73+Sens!H13008*Seg!H55+sbc_r*Seg!H55</f>
        <v>27.7857977299272</v>
      </c>
      <c r="I13017" s="6" t="n">
        <f aca="false">PL!I73+Sens!I13008*Seg!I55+sbc_r*Seg!I55</f>
        <v>28.8854111921819</v>
      </c>
      <c r="J13017" s="6" t="n">
        <f aca="false">PL!J73+Sens!J13008*Seg!J55+sbc_r*Seg!J55</f>
        <v>30.1909525075627</v>
      </c>
      <c r="K13017" s="6" t="n">
        <f aca="false">PL!K73+Sens!K13008*Seg!K55+sbc_r*Seg!K55</f>
        <v>31.6641663414168</v>
      </c>
    </row>
    <row r="13018" customFormat="false" ht="17.15" hidden="false" customHeight="false" outlineLevel="0" collapsed="false">
      <c r="A13018" s="0" t="s">
        <v>1081</v>
      </c>
      <c r="B13018" s="0" t="s">
        <v>98</v>
      </c>
      <c r="F13018" s="6" t="n">
        <f aca="false">(Sens!F13017-Sens!F13013)*Seg!F51/(Seg!F51+Seg!F53)</f>
        <v>8.26315613582677</v>
      </c>
      <c r="G13018" s="6" t="n">
        <f aca="false">(Sens!G13017-Sens!G13013)*Seg!G51/(Seg!G51+Seg!G53)</f>
        <v>7.85574031810689</v>
      </c>
      <c r="H13018" s="6" t="n">
        <f aca="false">(Sens!H13017-Sens!H13013)*Seg!H51/(Seg!H51+Seg!H53)</f>
        <v>7.61397145487838</v>
      </c>
      <c r="I13018" s="6" t="n">
        <f aca="false">(Sens!I13017-Sens!I13013)*Seg!I51/(Seg!I51+Seg!I53)</f>
        <v>7.51970050510933</v>
      </c>
      <c r="J13018" s="6" t="n">
        <f aca="false">(Sens!J13017-Sens!J13013)*Seg!J51/(Seg!J51+Seg!J53)</f>
        <v>7.56040201890202</v>
      </c>
      <c r="K13018" s="6" t="n">
        <f aca="false">(Sens!K13017-Sens!K13013)*Seg!K51/(Seg!K51+Seg!K53)</f>
        <v>7.72961932742727</v>
      </c>
    </row>
    <row r="13019" customFormat="false" ht="17.15" hidden="false" customHeight="false" outlineLevel="0" collapsed="false">
      <c r="A13019" s="0" t="s">
        <v>1082</v>
      </c>
      <c r="B13019" s="0" t="s">
        <v>98</v>
      </c>
      <c r="F13019" s="6" t="n">
        <f aca="false">Sens!F13017-Sens!F13013-Sens!F13018</f>
        <v>6.81036256131213</v>
      </c>
      <c r="G13019" s="6" t="n">
        <f aca="false">Sens!G13017-Sens!G13013-Sens!G13018</f>
        <v>6.73472395072608</v>
      </c>
      <c r="H13019" s="6" t="n">
        <f aca="false">Sens!H13017-Sens!H13013-Sens!H13018</f>
        <v>6.72109840998485</v>
      </c>
      <c r="I13019" s="6" t="n">
        <f aca="false">Sens!I13017-Sens!I13013-Sens!I13018</f>
        <v>6.76715000453853</v>
      </c>
      <c r="J13019" s="6" t="n">
        <f aca="false">Sens!J13017-Sens!J13013-Sens!J13018</f>
        <v>6.86902757339483</v>
      </c>
      <c r="K13019" s="6" t="n">
        <f aca="false">Sens!K13017-Sens!K13013-Sens!K13018</f>
        <v>7.02277050336727</v>
      </c>
    </row>
    <row r="13020" customFormat="false" ht="17.15" hidden="false" customHeight="false" outlineLevel="0" collapsed="false">
      <c r="A13020" s="0" t="s">
        <v>1083</v>
      </c>
      <c r="B13020" s="0" t="s">
        <v>98</v>
      </c>
      <c r="F13020" s="6" t="n">
        <f aca="false">Sens!F13014-tax_f*(Sens!F13014-Thesis!F89)-Thesis!F86</f>
        <v>-119.742553857164</v>
      </c>
      <c r="G13020" s="6" t="n">
        <f aca="false">Sens!G13014-tax_f*(Sens!G13014-Thesis!G89)-Thesis!G86</f>
        <v>-107.986890065622</v>
      </c>
      <c r="H13020" s="6" t="n">
        <f aca="false">Sens!H13014-tax_f*(Sens!H13014-Thesis!H89)-Thesis!H86</f>
        <v>-74.7596549978803</v>
      </c>
      <c r="I13020" s="6" t="n">
        <f aca="false">Sens!I13014-tax_f*(Sens!I13014-Thesis!I89)-Thesis!I86</f>
        <v>-16.3733151827256</v>
      </c>
      <c r="J13020" s="6" t="n">
        <f aca="false">Sens!J13014-tax_f*(Sens!J13014-Thesis!J89)-Thesis!J86</f>
        <v>44.4328025322546</v>
      </c>
      <c r="K13020" s="6" t="n">
        <f aca="false">Sens!K13014-tax_f*(Sens!K13014-Thesis!K89)-Thesis!K86</f>
        <v>65.8225043021697</v>
      </c>
    </row>
    <row r="13021" customFormat="false" ht="17.15" hidden="false" customHeight="false" outlineLevel="0" collapsed="false">
      <c r="A13021" s="0" t="s">
        <v>1084</v>
      </c>
      <c r="B13021" s="0" t="s">
        <v>98</v>
      </c>
      <c r="G13021" s="6" t="n">
        <f aca="false">Sens!G13020/(1+((px*sh_out26*(rf+beta*erp_hi)+(debt_face+fl_liab)*kd*(1-tax_w))/(px*sh_out26+debt_face+fl_liab)))^(Sens!G12993-(Sens!F12993+mid_yr))</f>
        <v>-102.333104405863</v>
      </c>
      <c r="H13021" s="6" t="n">
        <f aca="false">Sens!H13020/(1+((px*sh_out26*(rf+beta*erp_hi)+(debt_face+fl_liab)*kd*(1-tax_w))/(px*sh_out26+debt_face+fl_liab)))^(Sens!H12993-(Sens!F12993+mid_yr))</f>
        <v>-63.6213139292256</v>
      </c>
      <c r="I13021" s="6" t="n">
        <f aca="false">Sens!I13020/(1+((px*sh_out26*(rf+beta*erp_hi)+(debt_face+fl_liab)*kd*(1-tax_w))/(px*sh_out26+debt_face+fl_liab)))^(Sens!I12993-(Sens!F12993+mid_yr))</f>
        <v>-12.5130217046685</v>
      </c>
      <c r="J13021" s="6" t="n">
        <f aca="false">Sens!J13020/(1+((px*sh_out26*(rf+beta*erp_hi)+(debt_face+fl_liab)*kd*(1-tax_w))/(px*sh_out26+debt_face+fl_liab)))^(Sens!J12993-(Sens!F12993+mid_yr))</f>
        <v>30.4943592837492</v>
      </c>
      <c r="K13021" s="6" t="n">
        <f aca="false">Sens!K13020/(1+((px*sh_out26*(rf+beta*erp_hi)+(debt_face+fl_liab)*kd*(1-tax_w))/(px*sh_out26+debt_face+fl_liab)))^(Sens!K12993-(Sens!F12993+mid_yr))</f>
        <v>40.5677048821515</v>
      </c>
      <c r="L13021" s="1" t="s">
        <v>1085</v>
      </c>
    </row>
    <row r="13022" customFormat="false" ht="17.15" hidden="false" customHeight="false" outlineLevel="0" collapsed="false">
      <c r="A13022" s="0" t="s">
        <v>1086</v>
      </c>
      <c r="B13022" s="0" t="s">
        <v>98</v>
      </c>
      <c r="C13022" s="6" t="n">
        <f aca="false">(Sens!K13014-Thesis!K89)*(1-tax_f)*(1+g_tv)*(1-g_tv/(((px*sh_out26*(rf+beta*erp_hi)+(debt_face+fl_liab)*kd*(1-tax_w))/(px*sh_out26+debt_face+fl_liab))+ronic_prem))/(((px*sh_out26*(rf+beta*erp_hi)+(debt_face+fl_liab)*kd*(1-tax_w))/(px*sh_out26+debt_face+fl_liab))-g_tv)/(1+((px*sh_out26*(rf+beta*erp_hi)+(debt_face+fl_liab)*kd*(1-tax_w))/(px*sh_out26+debt_face+fl_liab)))^(Sens!K12993+mid_yr-(Sens!F12993+mid_yr))</f>
        <v>254.819057297674</v>
      </c>
    </row>
    <row r="13023" customFormat="false" ht="17.15" hidden="false" customHeight="false" outlineLevel="0" collapsed="false">
      <c r="A13023" s="1" t="s">
        <v>1087</v>
      </c>
      <c r="B13023" s="0" t="s">
        <v>98</v>
      </c>
      <c r="C13023" s="6" t="n">
        <f aca="false">(SUM(Sens!G13021:K13021)+Sens!$C$13022)*(1+((px*sh_out26*(rf+beta*erp_hi)+(debt_face+fl_liab)*kd*(1-tax_w))/(px*sh_out26+debt_face+fl_liab)))^(t_roll-(Sens!F12993+mid_yr))</f>
        <v>152.674482558935</v>
      </c>
      <c r="L13023" s="11" t="s">
        <v>1088</v>
      </c>
    </row>
    <row r="13024" customFormat="false" ht="17.15" hidden="false" customHeight="false" outlineLevel="0" collapsed="false">
      <c r="A13024" s="1" t="s">
        <v>1089</v>
      </c>
      <c r="B13024" s="0" t="s">
        <v>98</v>
      </c>
      <c r="C13024" s="6" t="n">
        <f aca="false">(w_ntm28*Thesis!G78+(1-w_ntm28)*Thesis!H78)*m_ai</f>
        <v>454.922440830797</v>
      </c>
    </row>
    <row r="13025" customFormat="false" ht="17.15" hidden="false" customHeight="false" outlineLevel="0" collapsed="false">
      <c r="A13025" s="1" t="s">
        <v>1090</v>
      </c>
      <c r="B13025" s="0" t="s">
        <v>98</v>
      </c>
      <c r="C13025" s="6" t="n">
        <f aca="false">(w_ntm28*Sens!G13016+(1-w_ntm28)*Sens!H13016)*m_cloud</f>
        <v>1063.6463501031</v>
      </c>
    </row>
    <row r="13026" customFormat="false" ht="17.15" hidden="false" customHeight="false" outlineLevel="0" collapsed="false">
      <c r="A13026" s="1" t="s">
        <v>1091</v>
      </c>
      <c r="B13026" s="0" t="s">
        <v>98</v>
      </c>
      <c r="C13026" s="6" t="n">
        <f aca="false">(w_ntm28*Sens!G13009+(1-w_ntm28)*Sens!H13009)*m_sw</f>
        <v>1087.29236439713</v>
      </c>
    </row>
    <row r="13027" customFormat="false" ht="17.15" hidden="false" customHeight="false" outlineLevel="0" collapsed="false">
      <c r="A13027" s="1" t="s">
        <v>1092</v>
      </c>
      <c r="B13027" s="0" t="s">
        <v>98</v>
      </c>
      <c r="C13027" s="6" t="n">
        <f aca="false">(w_ntm28*Sens!G13010+(1-w_ntm28)*Sens!H13010)*m_sw</f>
        <v>380.253466209432</v>
      </c>
    </row>
    <row r="13028" customFormat="false" ht="17.15" hidden="false" customHeight="false" outlineLevel="0" collapsed="false">
      <c r="A13028" s="1" t="s">
        <v>1093</v>
      </c>
      <c r="B13028" s="0" t="s">
        <v>98</v>
      </c>
      <c r="C13028" s="6" t="n">
        <f aca="false">(w_ntm28*Sens!G13011+(1-w_ntm28)*Sens!H13011)*m_sw</f>
        <v>109.736759441964</v>
      </c>
    </row>
    <row r="13029" customFormat="false" ht="17.15" hidden="false" customHeight="false" outlineLevel="0" collapsed="false">
      <c r="A13029" s="1" t="s">
        <v>1094</v>
      </c>
      <c r="B13029" s="0" t="s">
        <v>98</v>
      </c>
      <c r="C13029" s="6" t="n">
        <f aca="false">(w_ntm28*Sens!G13012+(1-w_ntm28)*Sens!H13012)*m_sw</f>
        <v>41.8666036816175</v>
      </c>
    </row>
    <row r="13030" customFormat="false" ht="17.15" hidden="false" customHeight="false" outlineLevel="0" collapsed="false">
      <c r="A13030" s="1" t="s">
        <v>1095</v>
      </c>
      <c r="B13030" s="0" t="s">
        <v>98</v>
      </c>
      <c r="C13030" s="6" t="n">
        <f aca="false">(w_ntm28*Sens!G13013+(1-w_ntm28)*Sens!H13013)*m_ads</f>
        <v>115.677576364297</v>
      </c>
    </row>
    <row r="13031" customFormat="false" ht="17.15" hidden="false" customHeight="false" outlineLevel="0" collapsed="false">
      <c r="A13031" s="1" t="s">
        <v>1096</v>
      </c>
      <c r="B13031" s="0" t="s">
        <v>98</v>
      </c>
      <c r="C13031" s="6" t="n">
        <f aca="false">(w_ntm28*Sens!G13018+(1-w_ntm28)*Sens!H13018)*m_game</f>
        <v>98.230828142008</v>
      </c>
    </row>
    <row r="13032" customFormat="false" ht="17.15" hidden="false" customHeight="false" outlineLevel="0" collapsed="false">
      <c r="A13032" s="1" t="s">
        <v>1097</v>
      </c>
      <c r="B13032" s="0" t="s">
        <v>98</v>
      </c>
      <c r="C13032" s="6" t="n">
        <f aca="false">(w_ntm28*Sens!G13019+(1-w_ntm28)*Sens!H13019)*m_pc</f>
        <v>97.3877156607214</v>
      </c>
    </row>
    <row r="13033" customFormat="false" ht="17.15" hidden="false" customHeight="false" outlineLevel="0" collapsed="false">
      <c r="A13033" s="1" t="s">
        <v>1098</v>
      </c>
      <c r="B13033" s="0" t="s">
        <v>98</v>
      </c>
      <c r="C13033" s="6" t="n">
        <f aca="false">Sens!$C$13023+Sens!$C$13025+Sens!$C$13026+Sens!$C$13027+Sens!$C$13028+Sens!$C$13029+Sens!$C$13030+Sens!$C$13031+Sens!$C$13032</f>
        <v>3146.76614655921</v>
      </c>
    </row>
    <row r="13034" customFormat="false" ht="17.15" hidden="false" customHeight="false" outlineLevel="0" collapsed="false">
      <c r="A13034" s="1" t="s">
        <v>1099</v>
      </c>
      <c r="B13034" s="0" t="s">
        <v>98</v>
      </c>
      <c r="C13034" s="6" t="n">
        <f aca="false">(Sens!G12995-Sens!G13020)*t_stub</f>
        <v>47.417684594531</v>
      </c>
      <c r="L13034" s="1" t="s">
        <v>1100</v>
      </c>
    </row>
    <row r="13035" customFormat="false" ht="17.15" hidden="false" customHeight="false" outlineLevel="0" collapsed="false">
      <c r="A13035" s="1" t="s">
        <v>1014</v>
      </c>
      <c r="B13035" s="0" t="s">
        <v>98</v>
      </c>
      <c r="C13035" s="6" t="n">
        <f aca="false">CF!F69+oai_v-CF!F58+Sens!$C$13034</f>
        <v>158.699306060314</v>
      </c>
      <c r="L13035" s="1" t="s">
        <v>1101</v>
      </c>
    </row>
    <row r="13036" customFormat="false" ht="17.15" hidden="false" customHeight="false" outlineLevel="0" collapsed="false">
      <c r="A13036" s="1" t="s">
        <v>1102</v>
      </c>
      <c r="B13036" s="0" t="s">
        <v>75</v>
      </c>
      <c r="C13036" s="5" t="n">
        <f aca="false">(Sens!$C$13033+Sens!$C$13035)/(CF!F71+dil_gap)-CF!G61*roll_div_q/q_per_yr</f>
        <v>439.924407766745</v>
      </c>
      <c r="L13036" s="1" t="s">
        <v>1103</v>
      </c>
    </row>
    <row r="13037" customFormat="false" ht="17.15" hidden="false" customHeight="false" outlineLevel="0" collapsed="false">
      <c r="A13037" s="1" t="s">
        <v>1104</v>
      </c>
      <c r="B13037" s="0" t="s">
        <v>75</v>
      </c>
      <c r="C13037" s="5" t="n">
        <f aca="false">w_dcf*Sens!$C$13007+(1-w_dcf)*Sens!$C$13036</f>
        <v>368.150812290543</v>
      </c>
    </row>
    <row r="13038" customFormat="false" ht="17.15" hidden="false" customHeight="false" outlineLevel="0" collapsed="false">
      <c r="A13038" s="3" t="s">
        <v>1594</v>
      </c>
    </row>
    <row r="13039" customFormat="false" ht="15" hidden="false" customHeight="false" outlineLevel="0" collapsed="false">
      <c r="A13039" s="4" t="s">
        <v>43</v>
      </c>
      <c r="B13039" s="4" t="s">
        <v>65</v>
      </c>
      <c r="C13039" s="20" t="s">
        <v>799</v>
      </c>
      <c r="D13039" s="20" t="s">
        <v>800</v>
      </c>
      <c r="E13039" s="20" t="s">
        <v>801</v>
      </c>
      <c r="F13039" s="20" t="s">
        <v>802</v>
      </c>
      <c r="G13039" s="20" t="s">
        <v>803</v>
      </c>
      <c r="H13039" s="20" t="s">
        <v>804</v>
      </c>
      <c r="I13039" s="20" t="s">
        <v>805</v>
      </c>
      <c r="J13039" s="20" t="s">
        <v>806</v>
      </c>
      <c r="K13039" s="20" t="s">
        <v>807</v>
      </c>
      <c r="L13039" s="4" t="s">
        <v>47</v>
      </c>
    </row>
    <row r="13040" customFormat="false" ht="15" hidden="false" customHeight="false" outlineLevel="0" collapsed="false">
      <c r="A13040" s="1" t="s">
        <v>1057</v>
      </c>
      <c r="B13040" s="1" t="s">
        <v>235</v>
      </c>
      <c r="F13040" s="36" t="n">
        <f aca="false">Thesis!F104-base_fy-mid_yr</f>
        <v>0.5</v>
      </c>
      <c r="G13040" s="36" t="n">
        <f aca="false">Thesis!G104-base_fy-mid_yr</f>
        <v>1.5</v>
      </c>
      <c r="H13040" s="36" t="n">
        <f aca="false">Thesis!H104-base_fy-mid_yr</f>
        <v>2.5</v>
      </c>
      <c r="I13040" s="36" t="n">
        <f aca="false">Thesis!I104-base_fy-mid_yr</f>
        <v>3.5</v>
      </c>
      <c r="J13040" s="36" t="n">
        <f aca="false">Thesis!J104-base_fy-mid_yr</f>
        <v>4.5</v>
      </c>
      <c r="K13040" s="36" t="n">
        <f aca="false">Thesis!K104-base_fy-mid_yr</f>
        <v>5.5</v>
      </c>
    </row>
    <row r="13041" customFormat="false" ht="15" hidden="false" customHeight="false" outlineLevel="0" collapsed="false">
      <c r="A13041" s="1" t="s">
        <v>1058</v>
      </c>
      <c r="B13041" s="0" t="s">
        <v>185</v>
      </c>
      <c r="F13041" s="14" t="n">
        <f aca="false">1/(1+((px*sh_out26*(rf+beta*erp_hi)+(debt_face+fl_liab)*kd*(1-tax_w))/(px*sh_out26+debt_face+fl_liab)))^Sens!F13040</f>
        <v>0.947643777348121</v>
      </c>
      <c r="G13041" s="14" t="n">
        <f aca="false">1/(1+((px*sh_out26*(rf+beta*erp_hi)+(debt_face+fl_liab)*kd*(1-tax_w))/(px*sh_out26+debt_face+fl_liab)))^Sens!G13040</f>
        <v>0.851011336676573</v>
      </c>
      <c r="H13041" s="14" t="n">
        <f aca="false">1/(1+((px*sh_out26*(rf+beta*erp_hi)+(debt_face+fl_liab)*kd*(1-tax_w))/(px*sh_out26+debt_face+fl_liab)))^Sens!H13040</f>
        <v>0.764232628824621</v>
      </c>
      <c r="I13041" s="14" t="n">
        <f aca="false">1/(1+((px*sh_out26*(rf+beta*erp_hi)+(debt_face+fl_liab)*kd*(1-tax_w))/(px*sh_out26+debt_face+fl_liab)))^Sens!I13040</f>
        <v>0.686302856130058</v>
      </c>
      <c r="J13041" s="14" t="n">
        <f aca="false">1/(1+((px*sh_out26*(rf+beta*erp_hi)+(debt_face+fl_liab)*kd*(1-tax_w))/(px*sh_out26+debt_face+fl_liab)))^Sens!J13040</f>
        <v>0.616319681425647</v>
      </c>
      <c r="K13041" s="14" t="n">
        <f aca="false">1/(1+((px*sh_out26*(rf+beta*erp_hi)+(debt_face+fl_liab)*kd*(1-tax_w))/(px*sh_out26+debt_face+fl_liab)))^Sens!K13040</f>
        <v>0.553472780012192</v>
      </c>
    </row>
    <row r="13042" customFormat="false" ht="17.15" hidden="false" customHeight="false" outlineLevel="0" collapsed="false">
      <c r="A13042" s="1" t="s">
        <v>1059</v>
      </c>
      <c r="B13042" s="0" t="s">
        <v>98</v>
      </c>
      <c r="F13042" s="6" t="n">
        <f aca="false">CF!F84-CF!F82-CF!F88+Thesis!F142*(1-tax_f)</f>
        <v>-5.66283879850096</v>
      </c>
      <c r="G13042" s="6" t="n">
        <f aca="false">CF!G84-CF!G82-CF!G88+Thesis!G142*(1-tax_f)</f>
        <v>26.4063013109088</v>
      </c>
      <c r="H13042" s="6" t="n">
        <f aca="false">CF!H84-CF!H82-CF!H88+Thesis!H142*(1-tax_f)</f>
        <v>62.5616635009479</v>
      </c>
      <c r="I13042" s="6" t="n">
        <f aca="false">CF!I84-CF!I82-CF!I88+Thesis!I142*(1-tax_f)</f>
        <v>129.900993846266</v>
      </c>
      <c r="J13042" s="6" t="n">
        <f aca="false">CF!J84-CF!J82-CF!J88+Thesis!J142*(1-tax_f)</f>
        <v>200.497803796175</v>
      </c>
      <c r="K13042" s="6" t="n">
        <f aca="false">CF!K84-CF!K82-CF!K88+Thesis!K142*(1-tax_f)</f>
        <v>232.344395761849</v>
      </c>
      <c r="L13042" s="1" t="s">
        <v>1060</v>
      </c>
    </row>
    <row r="13043" customFormat="false" ht="15" hidden="false" customHeight="false" outlineLevel="0" collapsed="false">
      <c r="A13043" s="1" t="s">
        <v>1061</v>
      </c>
      <c r="B13043" s="0" t="s">
        <v>98</v>
      </c>
      <c r="F13043" s="6" t="n">
        <f aca="false">Sens!F13042*Sens!F13041</f>
        <v>-5.36635394952495</v>
      </c>
      <c r="G13043" s="6" t="n">
        <f aca="false">Sens!G13042*Sens!G13041</f>
        <v>22.4720617752809</v>
      </c>
      <c r="H13043" s="6" t="n">
        <f aca="false">Sens!H13042*Sens!H13041</f>
        <v>47.8116645609707</v>
      </c>
      <c r="I13043" s="6" t="n">
        <f aca="false">Sens!I13042*Sens!I13041</f>
        <v>89.1514230908257</v>
      </c>
      <c r="J13043" s="6" t="n">
        <f aca="false">Sens!J13042*Sens!J13041</f>
        <v>123.5707425622</v>
      </c>
      <c r="K13043" s="6" t="n">
        <f aca="false">Sens!K13042*Sens!K13041</f>
        <v>128.596298642564</v>
      </c>
    </row>
    <row r="13044" customFormat="false" ht="17.15" hidden="false" customHeight="false" outlineLevel="0" collapsed="false">
      <c r="A13044" s="1" t="s">
        <v>1062</v>
      </c>
      <c r="B13044" s="0" t="s">
        <v>98</v>
      </c>
      <c r="C13044" s="6" t="n">
        <f aca="false">SUM(Sens!F13043:K13043)</f>
        <v>406.235836682316</v>
      </c>
    </row>
    <row r="13045" customFormat="false" ht="17.15" hidden="false" customHeight="false" outlineLevel="0" collapsed="false">
      <c r="A13045" s="1" t="s">
        <v>1063</v>
      </c>
      <c r="B13045" s="0" t="s">
        <v>98</v>
      </c>
      <c r="C13045" s="6" t="n">
        <f aca="false">PL!K117*(1+g_tv)*(1-tax_f)</f>
        <v>246.58988426946</v>
      </c>
    </row>
    <row r="13046" customFormat="false" ht="17.15" hidden="false" customHeight="false" outlineLevel="0" collapsed="false">
      <c r="A13046" s="1" t="s">
        <v>1064</v>
      </c>
      <c r="B13046" s="0" t="s">
        <v>98</v>
      </c>
      <c r="C13046" s="6" t="n">
        <f aca="false">Sens!$C$13045*(1-g_tv/(((px*sh_out26*(rf+beta*erp_hi)+(debt_face+fl_liab)*kd*(1-tax_w))/(px*sh_out26+debt_face+fl_liab))+ronic_prem))</f>
        <v>181.440711104201</v>
      </c>
    </row>
    <row r="13047" customFormat="false" ht="17.15" hidden="false" customHeight="false" outlineLevel="0" collapsed="false">
      <c r="A13047" s="1" t="s">
        <v>1065</v>
      </c>
      <c r="B13047" s="0" t="s">
        <v>98</v>
      </c>
      <c r="C13047" s="6" t="n">
        <f aca="false">Sens!$C$13046/(((px*sh_out26*(rf+beta*erp_hi)+(debt_face+fl_liab)*kd*(1-tax_w))/(px*sh_out26+debt_face+fl_liab))-g_tv)</f>
        <v>2171.63910550862</v>
      </c>
    </row>
    <row r="13048" customFormat="false" ht="15" hidden="false" customHeight="false" outlineLevel="0" collapsed="false">
      <c r="A13048" s="1" t="s">
        <v>1066</v>
      </c>
      <c r="B13048" s="0" t="s">
        <v>98</v>
      </c>
      <c r="C13048" s="6" t="n">
        <f aca="false">Sens!$C$13047/(1+((px*sh_out26*(rf+beta*erp_hi)+(debt_face+fl_liab)*kd*(1-tax_w))/(px*sh_out26+debt_face+fl_liab)))^(Sens!K13040+mid_yr)</f>
        <v>1139.01393062757</v>
      </c>
    </row>
    <row r="13049" customFormat="false" ht="17.15" hidden="false" customHeight="false" outlineLevel="0" collapsed="false">
      <c r="A13049" s="0" t="s">
        <v>986</v>
      </c>
      <c r="B13049" s="0" t="s">
        <v>98</v>
      </c>
      <c r="C13049" s="6" t="n">
        <f aca="false">Sens!$C$13044+Sens!$C$13048</f>
        <v>1545.24976730988</v>
      </c>
    </row>
    <row r="13050" customFormat="false" ht="15" hidden="false" customHeight="false" outlineLevel="0" collapsed="false">
      <c r="A13050" s="1" t="s">
        <v>987</v>
      </c>
      <c r="B13050" s="0" t="s">
        <v>129</v>
      </c>
      <c r="C13050" s="7" t="n">
        <f aca="false">Sens!$C$13048/Sens!$C$13049</f>
        <v>0.737106683154834</v>
      </c>
    </row>
    <row r="13051" customFormat="false" ht="17.15" hidden="false" customHeight="false" outlineLevel="0" collapsed="false">
      <c r="A13051" s="1" t="s">
        <v>1067</v>
      </c>
      <c r="B13051" s="0" t="s">
        <v>98</v>
      </c>
      <c r="C13051" s="6" t="n">
        <f aca="false">Sens!$C$13049+CF!E100-CF!E89+oai_v</f>
        <v>1679.76276730988</v>
      </c>
    </row>
    <row r="13052" customFormat="false" ht="17.15" hidden="false" customHeight="false" outlineLevel="0" collapsed="false">
      <c r="A13052" s="0" t="s">
        <v>994</v>
      </c>
      <c r="B13052" s="0" t="s">
        <v>75</v>
      </c>
      <c r="C13052" s="5" t="n">
        <f aca="false">Sens!$C$13051/sh_dil26</f>
        <v>225.380755039565</v>
      </c>
    </row>
    <row r="13053" customFormat="false" ht="15" hidden="false" customHeight="false" outlineLevel="0" collapsed="false">
      <c r="A13053" s="1" t="s">
        <v>1068</v>
      </c>
      <c r="B13053" s="0" t="s">
        <v>75</v>
      </c>
      <c r="C13053" s="8" t="n">
        <f aca="false">dps_27+CF!G92*roll_div_q/q_per_yr</f>
        <v>4.8895</v>
      </c>
    </row>
    <row r="13054" customFormat="false" ht="17.15" hidden="false" customHeight="false" outlineLevel="0" collapsed="false">
      <c r="A13054" s="0" t="s">
        <v>1069</v>
      </c>
      <c r="B13054" s="0" t="s">
        <v>75</v>
      </c>
      <c r="C13054" s="5" t="n">
        <f aca="false">Sens!$C$13052*(1+((px*sh_out26*(rf+beta*erp_hi)+(debt_face+fl_liab)*kd*(1-tax_w))/(px*sh_out26+debt_face+fl_liab)))^t_roll-Sens!$C$13053</f>
        <v>255.039815867494</v>
      </c>
    </row>
    <row r="13055" customFormat="false" ht="17.15" hidden="false" customHeight="false" outlineLevel="0" collapsed="false">
      <c r="A13055" s="1" t="s">
        <v>1070</v>
      </c>
      <c r="B13055" s="0" t="s">
        <v>129</v>
      </c>
      <c r="F13055" s="7" t="n">
        <f aca="false">CF!F79/(Seg!F83-Thesis!F121)</f>
        <v>0.0711475516535717</v>
      </c>
      <c r="G13055" s="7" t="n">
        <f aca="false">CF!G79/(Seg!G83-Thesis!G121)</f>
        <v>0.0682588862083999</v>
      </c>
      <c r="H13055" s="7" t="n">
        <f aca="false">CF!H79/(Seg!H83-Thesis!H121)</f>
        <v>0.0666622170094897</v>
      </c>
      <c r="I13055" s="7" t="n">
        <f aca="false">CF!I79/(Seg!I83-Thesis!I121)</f>
        <v>0.0661991449367101</v>
      </c>
      <c r="J13055" s="7" t="n">
        <f aca="false">CF!J79/(Seg!J83-Thesis!J121)</f>
        <v>0.0666400583966394</v>
      </c>
      <c r="K13055" s="7" t="n">
        <f aca="false">CF!K79/(Seg!K83-Thesis!K121)</f>
        <v>0.0677351822588561</v>
      </c>
    </row>
    <row r="13056" customFormat="false" ht="17.15" hidden="false" customHeight="false" outlineLevel="0" collapsed="false">
      <c r="A13056" s="0" t="s">
        <v>1071</v>
      </c>
      <c r="B13056" s="0" t="s">
        <v>98</v>
      </c>
      <c r="F13056" s="6" t="n">
        <f aca="false">Seg!F68*(al_m365+Sens!F13055+sbc_r)</f>
        <v>83.1760446796226</v>
      </c>
      <c r="G13056" s="6" t="n">
        <f aca="false">Seg!G68*(al_m365+Sens!G13055+sbc_r)</f>
        <v>93.5286621744803</v>
      </c>
      <c r="H13056" s="6" t="n">
        <f aca="false">Seg!H68*(al_m365+Sens!H13055+sbc_r)</f>
        <v>104.041881899886</v>
      </c>
      <c r="I13056" s="6" t="n">
        <f aca="false">Seg!I68*(al_m365+Sens!I13055+sbc_r)</f>
        <v>114.039361049722</v>
      </c>
      <c r="J13056" s="6" t="n">
        <f aca="false">Seg!J68*(al_m365+Sens!J13055+sbc_r)</f>
        <v>123.332589690985</v>
      </c>
      <c r="K13056" s="6" t="n">
        <f aca="false">Seg!K68*(al_m365+Sens!K13055+sbc_r)</f>
        <v>132.229319216379</v>
      </c>
      <c r="L13056" s="11" t="s">
        <v>1072</v>
      </c>
    </row>
    <row r="13057" customFormat="false" ht="17.15" hidden="false" customHeight="false" outlineLevel="0" collapsed="false">
      <c r="A13057" s="0" t="s">
        <v>1073</v>
      </c>
      <c r="B13057" s="0" t="s">
        <v>98</v>
      </c>
      <c r="F13057" s="6" t="n">
        <f aca="false">Seg!F69*(al_lic+Sens!F13055+sbc_r)</f>
        <v>33.5445611735131</v>
      </c>
      <c r="G13057" s="6" t="n">
        <f aca="false">Seg!G69*(al_lic+Sens!G13055+sbc_r)</f>
        <v>34.8473362891936</v>
      </c>
      <c r="H13057" s="6" t="n">
        <f aca="false">Seg!H69*(al_lic+Sens!H13055+sbc_r)</f>
        <v>36.0608450618725</v>
      </c>
      <c r="I13057" s="6" t="n">
        <f aca="false">Seg!I69*(al_lic+Sens!I13055+sbc_r)</f>
        <v>37.1647768367666</v>
      </c>
      <c r="J13057" s="6" t="n">
        <f aca="false">Seg!J69*(al_lic+Sens!J13055+sbc_r)</f>
        <v>38.1353659513221</v>
      </c>
      <c r="K13057" s="6" t="n">
        <f aca="false">Seg!K69*(al_lic+Sens!K13055+sbc_r)</f>
        <v>38.9479527536449</v>
      </c>
    </row>
    <row r="13058" customFormat="false" ht="17.15" hidden="false" customHeight="false" outlineLevel="0" collapsed="false">
      <c r="A13058" s="0" t="s">
        <v>1074</v>
      </c>
      <c r="B13058" s="0" t="s">
        <v>98</v>
      </c>
      <c r="F13058" s="6" t="n">
        <f aca="false">Seg!F71*(al_ind+Sens!F13055+sbc_r)</f>
        <v>9.13359830063899</v>
      </c>
      <c r="G13058" s="6" t="n">
        <f aca="false">Seg!G71*(al_ind+Sens!G13055+sbc_r)</f>
        <v>9.91355811855172</v>
      </c>
      <c r="H13058" s="6" t="n">
        <f aca="false">Seg!H71*(al_ind+Sens!H13055+sbc_r)</f>
        <v>10.737007894057</v>
      </c>
      <c r="I13058" s="6" t="n">
        <f aca="false">Seg!I71*(al_ind+Sens!I13055+sbc_r)</f>
        <v>11.5994300763088</v>
      </c>
      <c r="J13058" s="6" t="n">
        <f aca="false">Seg!J71*(al_ind+Sens!J13055+sbc_r)</f>
        <v>12.4920789859702</v>
      </c>
      <c r="K13058" s="6" t="n">
        <f aca="false">Seg!K71*(al_ind+Sens!K13055+sbc_r)</f>
        <v>13.4027551573777</v>
      </c>
    </row>
    <row r="13059" customFormat="false" ht="17.15" hidden="false" customHeight="false" outlineLevel="0" collapsed="false">
      <c r="A13059" s="0" t="s">
        <v>1075</v>
      </c>
      <c r="B13059" s="0" t="s">
        <v>98</v>
      </c>
      <c r="F13059" s="6" t="n">
        <f aca="false">Seg!F73*(al_fro+Sens!F13055+sbc_r)</f>
        <v>3.59501635737694</v>
      </c>
      <c r="G13059" s="6" t="n">
        <f aca="false">Seg!G73*(al_fro+Sens!G13055+sbc_r)</f>
        <v>3.80622021137838</v>
      </c>
      <c r="H13059" s="6" t="n">
        <f aca="false">Seg!H73*(al_fro+Sens!H13055+sbc_r)</f>
        <v>4.04607207599632</v>
      </c>
      <c r="I13059" s="6" t="n">
        <f aca="false">Seg!I73*(al_fro+Sens!I13055+sbc_r)</f>
        <v>4.31683578333903</v>
      </c>
      <c r="J13059" s="6" t="n">
        <f aca="false">Seg!J73*(al_fro+Sens!J13055+sbc_r)</f>
        <v>4.62005087871645</v>
      </c>
      <c r="K13059" s="6" t="n">
        <f aca="false">Seg!K73*(al_fro+Sens!K13055+sbc_r)</f>
        <v>4.95685392412327</v>
      </c>
    </row>
    <row r="13060" customFormat="false" ht="17.15" hidden="false" customHeight="false" outlineLevel="0" collapsed="false">
      <c r="A13060" s="0" t="s">
        <v>1076</v>
      </c>
      <c r="B13060" s="0" t="s">
        <v>98</v>
      </c>
      <c r="F13060" s="6" t="n">
        <f aca="false">Seg!F76*(al_srch+Sens!F13055+sbc_r)</f>
        <v>11.2801258639919</v>
      </c>
      <c r="G13060" s="6" t="n">
        <f aca="false">Seg!G76*(al_srch+Sens!G13055+sbc_r)</f>
        <v>12.3589086285988</v>
      </c>
      <c r="H13060" s="6" t="n">
        <f aca="false">Seg!H76*(al_srch+Sens!H13055+sbc_r)</f>
        <v>13.4807030139583</v>
      </c>
      <c r="I13060" s="6" t="n">
        <f aca="false">Seg!I76*(al_srch+Sens!I13055+sbc_r)</f>
        <v>14.6329459978989</v>
      </c>
      <c r="J13060" s="6" t="n">
        <f aca="false">Seg!J76*(al_srch+Sens!J13055+sbc_r)</f>
        <v>15.7968154400613</v>
      </c>
      <c r="K13060" s="6" t="n">
        <f aca="false">Seg!K76*(al_srch+Sens!K13055+sbc_r)</f>
        <v>16.9484078548661</v>
      </c>
    </row>
    <row r="13061" customFormat="false" ht="17.15" hidden="false" customHeight="false" outlineLevel="0" collapsed="false">
      <c r="A13061" s="0" t="s">
        <v>1077</v>
      </c>
      <c r="B13061" s="0" t="s">
        <v>98</v>
      </c>
      <c r="F13061" s="6" t="n">
        <f aca="false">Thesis!F127-Thesis!F128+Thesis!F142</f>
        <v>38.6797715123049</v>
      </c>
      <c r="G13061" s="6" t="n">
        <f aca="false">Thesis!G127-Thesis!G128+Thesis!G142</f>
        <v>67.9698044367775</v>
      </c>
      <c r="H13061" s="6" t="n">
        <f aca="false">Thesis!H127-Thesis!H128+Thesis!H142</f>
        <v>94.4027386785771</v>
      </c>
      <c r="I13061" s="6" t="n">
        <f aca="false">Thesis!I127-Thesis!I128+Thesis!I142</f>
        <v>124.629799296032</v>
      </c>
      <c r="J13061" s="6" t="n">
        <f aca="false">Thesis!J127-Thesis!J128+Thesis!J142</f>
        <v>146.1886418102</v>
      </c>
      <c r="K13061" s="6" t="n">
        <f aca="false">Thesis!K127-Thesis!K128+Thesis!K142</f>
        <v>160.310017660072</v>
      </c>
    </row>
    <row r="13062" customFormat="false" ht="17.15" hidden="false" customHeight="false" outlineLevel="0" collapsed="false">
      <c r="A13062" s="0" t="s">
        <v>1078</v>
      </c>
      <c r="B13062" s="0" t="s">
        <v>98</v>
      </c>
      <c r="F13062" s="6" t="n">
        <f aca="false">PL!F110+Thesis!F142+Thesis!F138+Sens!F13055*(Seg!F75-Thesis!F121)+sbc_r*Seg!F75</f>
        <v>228.424576651163</v>
      </c>
      <c r="G13062" s="6" t="n">
        <f aca="false">PL!G110+Thesis!G142+Thesis!G138+Sens!G13055*(Seg!G75-Thesis!G121)+sbc_r*Seg!G75</f>
        <v>282.553934266667</v>
      </c>
      <c r="H13062" s="6" t="n">
        <f aca="false">PL!H110+Thesis!H142+Thesis!H138+Sens!H13055*(Seg!H75-Thesis!H121)+sbc_r*Seg!H75</f>
        <v>334.098428585803</v>
      </c>
      <c r="I13062" s="6" t="n">
        <f aca="false">PL!I110+Thesis!I142+Thesis!I138+Sens!I13055*(Seg!I75-Thesis!I121)+sbc_r*Seg!I75</f>
        <v>388.820980572235</v>
      </c>
      <c r="J13062" s="6" t="n">
        <f aca="false">PL!J110+Thesis!J142+Thesis!J138+Sens!J13055*(Seg!J75-Thesis!J121)+sbc_r*Seg!J75</f>
        <v>432.983845251655</v>
      </c>
      <c r="K13062" s="6" t="n">
        <f aca="false">PL!K110+Thesis!K142+Thesis!K138+Sens!K13055*(Seg!K75-Thesis!K121)+sbc_r*Seg!K75</f>
        <v>467.422879139155</v>
      </c>
    </row>
    <row r="13063" customFormat="false" ht="17.15" hidden="false" customHeight="false" outlineLevel="0" collapsed="false">
      <c r="A13063" s="0" t="s">
        <v>1079</v>
      </c>
      <c r="B13063" s="0" t="s">
        <v>98</v>
      </c>
      <c r="F13063" s="6" t="n">
        <f aca="false">Sens!F13062-Sens!F13056-Sens!F13057-Sens!F13058-Sens!F13059-Sens!F13061</f>
        <v>60.2955846277069</v>
      </c>
      <c r="G13063" s="6" t="n">
        <f aca="false">Sens!G13062-Sens!G13056-Sens!G13057-Sens!G13058-Sens!G13059-Sens!G13061</f>
        <v>72.4883530362854</v>
      </c>
      <c r="H13063" s="6" t="n">
        <f aca="false">Sens!H13062-Sens!H13056-Sens!H13057-Sens!H13058-Sens!H13059-Sens!H13061</f>
        <v>84.8098829754144</v>
      </c>
      <c r="I13063" s="6" t="n">
        <f aca="false">Sens!I13062-Sens!I13056-Sens!I13057-Sens!I13058-Sens!I13059-Sens!I13061</f>
        <v>97.0707775300671</v>
      </c>
      <c r="J13063" s="6" t="n">
        <f aca="false">Sens!J13062-Sens!J13056-Sens!J13057-Sens!J13058-Sens!J13059-Sens!J13061</f>
        <v>108.215117934462</v>
      </c>
      <c r="K13063" s="6" t="n">
        <f aca="false">Sens!K13062-Sens!K13056-Sens!K13057-Sens!K13058-Sens!K13059-Sens!K13061</f>
        <v>117.575980427559</v>
      </c>
    </row>
    <row r="13064" customFormat="false" ht="17.15" hidden="false" customHeight="false" outlineLevel="0" collapsed="false">
      <c r="A13064" s="0" t="s">
        <v>1080</v>
      </c>
      <c r="B13064" s="0" t="s">
        <v>98</v>
      </c>
      <c r="F13064" s="6" t="n">
        <f aca="false">PL!F112+Sens!F13055*Seg!F82+sbc_r*Seg!F82</f>
        <v>26.3652761595447</v>
      </c>
      <c r="G13064" s="6" t="n">
        <f aca="false">PL!G112+Sens!G13055*Seg!G82+sbc_r*Seg!G82</f>
        <v>26.9742866145486</v>
      </c>
      <c r="H13064" s="6" t="n">
        <f aca="false">PL!H112+Sens!H13055*Seg!H82+sbc_r*Seg!H82</f>
        <v>27.8483067679033</v>
      </c>
      <c r="I13064" s="6" t="n">
        <f aca="false">PL!I112+Sens!I13055*Seg!I82+sbc_r*Seg!I82</f>
        <v>28.9540944937551</v>
      </c>
      <c r="J13064" s="6" t="n">
        <f aca="false">PL!J112+Sens!J13055*Seg!J82+sbc_r*Seg!J82</f>
        <v>30.2591967501426</v>
      </c>
      <c r="K13064" s="6" t="n">
        <f aca="false">PL!K112+Sens!K13055*Seg!K82+sbc_r*Seg!K82</f>
        <v>31.7334012124467</v>
      </c>
    </row>
    <row r="13065" customFormat="false" ht="17.15" hidden="false" customHeight="false" outlineLevel="0" collapsed="false">
      <c r="A13065" s="0" t="s">
        <v>1081</v>
      </c>
      <c r="B13065" s="0" t="s">
        <v>98</v>
      </c>
      <c r="F13065" s="6" t="n">
        <f aca="false">(Sens!F13064-Sens!F13060)*Seg!F78/(Seg!F78+Seg!F80)</f>
        <v>8.26953246478712</v>
      </c>
      <c r="G13065" s="6" t="n">
        <f aca="false">(Sens!G13064-Sens!G13060)*Seg!G78/(Seg!G78+Seg!G80)</f>
        <v>7.8691542635731</v>
      </c>
      <c r="H13065" s="6" t="n">
        <f aca="false">(Sens!H13064-Sens!H13060)*Seg!H78/(Seg!H78+Seg!H80)</f>
        <v>7.63125160105973</v>
      </c>
      <c r="I13065" s="6" t="n">
        <f aca="false">(Sens!I13064-Sens!I13060)*Seg!I78/(Seg!I78+Seg!I80)</f>
        <v>7.53775281020212</v>
      </c>
      <c r="J13065" s="6" t="n">
        <f aca="false">(Sens!J13064-Sens!J13060)*Seg!J78/(Seg!J78+Seg!J80)</f>
        <v>7.57766730524412</v>
      </c>
      <c r="K13065" s="6" t="n">
        <f aca="false">(Sens!K13064-Sens!K13060)*Seg!K78/(Seg!K78+Seg!K80)</f>
        <v>7.74670217662515</v>
      </c>
    </row>
    <row r="13066" customFormat="false" ht="17.15" hidden="false" customHeight="false" outlineLevel="0" collapsed="false">
      <c r="A13066" s="0" t="s">
        <v>1082</v>
      </c>
      <c r="B13066" s="0" t="s">
        <v>98</v>
      </c>
      <c r="F13066" s="6" t="n">
        <f aca="false">Sens!F13064-Sens!F13060-Sens!F13065</f>
        <v>6.81561783076564</v>
      </c>
      <c r="G13066" s="6" t="n">
        <f aca="false">Sens!G13064-Sens!G13060-Sens!G13065</f>
        <v>6.74622372237672</v>
      </c>
      <c r="H13066" s="6" t="n">
        <f aca="false">Sens!H13064-Sens!H13060-Sens!H13065</f>
        <v>6.73635215288526</v>
      </c>
      <c r="I13066" s="6" t="n">
        <f aca="false">Sens!I13064-Sens!I13060-Sens!I13065</f>
        <v>6.78339568565411</v>
      </c>
      <c r="J13066" s="6" t="n">
        <f aca="false">Sens!J13064-Sens!J13060-Sens!J13065</f>
        <v>6.88471400483723</v>
      </c>
      <c r="K13066" s="6" t="n">
        <f aca="false">Sens!K13064-Sens!K13060-Sens!K13065</f>
        <v>7.03829118095546</v>
      </c>
    </row>
    <row r="13067" customFormat="false" ht="17.15" hidden="false" customHeight="false" outlineLevel="0" collapsed="false">
      <c r="A13067" s="0" t="s">
        <v>1083</v>
      </c>
      <c r="B13067" s="0" t="s">
        <v>98</v>
      </c>
      <c r="F13067" s="6" t="n">
        <f aca="false">Sens!F13061-tax_f*(Sens!F13061-Thesis!F138)-Thesis!F135</f>
        <v>-122.579081185432</v>
      </c>
      <c r="G13067" s="6" t="n">
        <f aca="false">Sens!G13061-tax_f*(Sens!G13061-Thesis!G138)-Thesis!G135</f>
        <v>-117.373249511676</v>
      </c>
      <c r="H13067" s="6" t="n">
        <f aca="false">Sens!H13061-tax_f*(Sens!H13061-Thesis!H138)-Thesis!H135</f>
        <v>-95.285890998876</v>
      </c>
      <c r="I13067" s="6" t="n">
        <f aca="false">Sens!I13061-tax_f*(Sens!I13061-Thesis!I138)-Thesis!I135</f>
        <v>-41.8816809509416</v>
      </c>
      <c r="J13067" s="6" t="n">
        <f aca="false">Sens!J13061-tax_f*(Sens!J13061-Thesis!J138)-Thesis!J135</f>
        <v>15.3691414244864</v>
      </c>
      <c r="K13067" s="6" t="n">
        <f aca="false">Sens!K13061-tax_f*(Sens!K13061-Thesis!K138)-Thesis!K135</f>
        <v>34.6668916333283</v>
      </c>
    </row>
    <row r="13068" customFormat="false" ht="17.15" hidden="false" customHeight="false" outlineLevel="0" collapsed="false">
      <c r="A13068" s="0" t="s">
        <v>1084</v>
      </c>
      <c r="B13068" s="0" t="s">
        <v>98</v>
      </c>
      <c r="G13068" s="6" t="n">
        <f aca="false">Sens!G13067/(1+((px*sh_out26*(rf+beta*erp_hi)+(debt_face+fl_liab)*kd*(1-tax_w))/(px*sh_out26+debt_face+fl_liab)))^(Sens!G13040-(Sens!F13040+mid_yr))</f>
        <v>-111.228029526868</v>
      </c>
      <c r="H13068" s="6" t="n">
        <f aca="false">Sens!H13067/(1+((px*sh_out26*(rf+beta*erp_hi)+(debt_face+fl_liab)*kd*(1-tax_w))/(px*sh_out26+debt_face+fl_liab)))^(Sens!H13040-(Sens!F13040+mid_yr))</f>
        <v>-81.0893734653718</v>
      </c>
      <c r="I13068" s="6" t="n">
        <f aca="false">Sens!I13067/(1+((px*sh_out26*(rf+beta*erp_hi)+(debt_face+fl_liab)*kd*(1-tax_w))/(px*sh_out26+debt_face+fl_liab)))^(Sens!I13040-(Sens!F13040+mid_yr))</f>
        <v>-32.0073471327321</v>
      </c>
      <c r="J13068" s="6" t="n">
        <f aca="false">Sens!J13067/(1+((px*sh_out26*(rf+beta*erp_hi)+(debt_face+fl_liab)*kd*(1-tax_w))/(px*sh_out26+debt_face+fl_liab)))^(Sens!J13040-(Sens!F13040+mid_yr))</f>
        <v>10.5478856558918</v>
      </c>
      <c r="K13068" s="6" t="n">
        <f aca="false">Sens!K13067/(1+((px*sh_out26*(rf+beta*erp_hi)+(debt_face+fl_liab)*kd*(1-tax_w))/(px*sh_out26+debt_face+fl_liab)))^(Sens!K13040-(Sens!F13040+mid_yr))</f>
        <v>21.3658876074703</v>
      </c>
      <c r="L13068" s="1" t="s">
        <v>1085</v>
      </c>
    </row>
    <row r="13069" customFormat="false" ht="17.15" hidden="false" customHeight="false" outlineLevel="0" collapsed="false">
      <c r="A13069" s="0" t="s">
        <v>1086</v>
      </c>
      <c r="B13069" s="0" t="s">
        <v>98</v>
      </c>
      <c r="C13069" s="6" t="n">
        <f aca="false">(Sens!K13061-Thesis!K138)*(1-tax_f)*(1+g_tv)*(1-g_tv/(((px*sh_out26*(rf+beta*erp_hi)+(debt_face+fl_liab)*kd*(1-tax_w))/(px*sh_out26+debt_face+fl_liab))+ronic_prem))/(((px*sh_out26*(rf+beta*erp_hi)+(debt_face+fl_liab)*kd*(1-tax_w))/(px*sh_out26+debt_face+fl_liab))-g_tv)/(1+((px*sh_out26*(rf+beta*erp_hi)+(debt_face+fl_liab)*kd*(1-tax_w))/(px*sh_out26+debt_face+fl_liab)))^(Sens!K13040+mid_yr-(Sens!F13040+mid_yr))</f>
        <v>89.7608707689521</v>
      </c>
    </row>
    <row r="13070" customFormat="false" ht="17.15" hidden="false" customHeight="false" outlineLevel="0" collapsed="false">
      <c r="A13070" s="1" t="s">
        <v>1087</v>
      </c>
      <c r="B13070" s="0" t="s">
        <v>98</v>
      </c>
      <c r="C13070" s="6" t="n">
        <f aca="false">(SUM(Sens!G13068:K13068)+Sens!$C$13069)*(1+((px*sh_out26*(rf+beta*erp_hi)+(debt_face+fl_liab)*kd*(1-tax_w))/(px*sh_out26+debt_face+fl_liab)))^(t_roll-(Sens!F13040+mid_yr))</f>
        <v>-106.313414609454</v>
      </c>
      <c r="L13070" s="11" t="s">
        <v>1088</v>
      </c>
    </row>
    <row r="13071" customFormat="false" ht="17.15" hidden="false" customHeight="false" outlineLevel="0" collapsed="false">
      <c r="A13071" s="1" t="s">
        <v>1089</v>
      </c>
      <c r="B13071" s="0" t="s">
        <v>98</v>
      </c>
      <c r="C13071" s="6" t="n">
        <f aca="false">(w_ntm28*Thesis!G127+(1-w_ntm28)*Thesis!H127)*m_ai</f>
        <v>338.776008390068</v>
      </c>
    </row>
    <row r="13072" customFormat="false" ht="17.15" hidden="false" customHeight="false" outlineLevel="0" collapsed="false">
      <c r="A13072" s="1" t="s">
        <v>1090</v>
      </c>
      <c r="B13072" s="0" t="s">
        <v>98</v>
      </c>
      <c r="C13072" s="6" t="n">
        <f aca="false">(w_ntm28*Sens!G13063+(1-w_ntm28)*Sens!H13063)*m_cloud</f>
        <v>1056.83960927252</v>
      </c>
    </row>
    <row r="13073" customFormat="false" ht="17.15" hidden="false" customHeight="false" outlineLevel="0" collapsed="false">
      <c r="A13073" s="1" t="s">
        <v>1091</v>
      </c>
      <c r="B13073" s="0" t="s">
        <v>98</v>
      </c>
      <c r="C13073" s="6" t="n">
        <f aca="false">(w_ntm28*Sens!G13056+(1-w_ntm28)*Sens!H13056)*m_sw</f>
        <v>1046.81653016399</v>
      </c>
    </row>
    <row r="13074" customFormat="false" ht="17.15" hidden="false" customHeight="false" outlineLevel="0" collapsed="false">
      <c r="A13074" s="1" t="s">
        <v>1092</v>
      </c>
      <c r="B13074" s="0" t="s">
        <v>98</v>
      </c>
      <c r="C13074" s="6" t="n">
        <f aca="false">(w_ntm28*Sens!G13057+(1-w_ntm28)*Sens!H13057)*m_sw</f>
        <v>380.588206114803</v>
      </c>
    </row>
    <row r="13075" customFormat="false" ht="17.15" hidden="false" customHeight="false" outlineLevel="0" collapsed="false">
      <c r="A13075" s="1" t="s">
        <v>1093</v>
      </c>
      <c r="B13075" s="0" t="s">
        <v>98</v>
      </c>
      <c r="C13075" s="6" t="n">
        <f aca="false">(w_ntm28*Sens!G13058+(1-w_ntm28)*Sens!H13058)*m_sw</f>
        <v>109.941508211602</v>
      </c>
    </row>
    <row r="13076" customFormat="false" ht="17.15" hidden="false" customHeight="false" outlineLevel="0" collapsed="false">
      <c r="A13076" s="1" t="s">
        <v>1094</v>
      </c>
      <c r="B13076" s="0" t="s">
        <v>98</v>
      </c>
      <c r="C13076" s="6" t="n">
        <f aca="false">(w_ntm28*Sens!G13059+(1-w_ntm28)*Sens!H13059)*m_sw</f>
        <v>41.944622711021</v>
      </c>
    </row>
    <row r="13077" customFormat="false" ht="17.15" hidden="false" customHeight="false" outlineLevel="0" collapsed="false">
      <c r="A13077" s="1" t="s">
        <v>1095</v>
      </c>
      <c r="B13077" s="0" t="s">
        <v>98</v>
      </c>
      <c r="C13077" s="6" t="n">
        <f aca="false">(w_ntm28*Sens!G13060+(1-w_ntm28)*Sens!H13060)*m_ads</f>
        <v>115.893511108929</v>
      </c>
    </row>
    <row r="13078" customFormat="false" ht="17.15" hidden="false" customHeight="false" outlineLevel="0" collapsed="false">
      <c r="A13078" s="1" t="s">
        <v>1096</v>
      </c>
      <c r="B13078" s="0" t="s">
        <v>98</v>
      </c>
      <c r="C13078" s="6" t="n">
        <f aca="false">(w_ntm28*Sens!G13065+(1-w_ntm28)*Sens!H13065)*m_game</f>
        <v>98.416032447421</v>
      </c>
    </row>
    <row r="13079" customFormat="false" ht="17.15" hidden="false" customHeight="false" outlineLevel="0" collapsed="false">
      <c r="A13079" s="1" t="s">
        <v>1097</v>
      </c>
      <c r="B13079" s="0" t="s">
        <v>98</v>
      </c>
      <c r="C13079" s="6" t="n">
        <f aca="false">(w_ntm28*Sens!G13066+(1-w_ntm28)*Sens!H13066)*m_pc</f>
        <v>97.5716783311641</v>
      </c>
    </row>
    <row r="13080" customFormat="false" ht="17.15" hidden="false" customHeight="false" outlineLevel="0" collapsed="false">
      <c r="A13080" s="1" t="s">
        <v>1098</v>
      </c>
      <c r="B13080" s="0" t="s">
        <v>98</v>
      </c>
      <c r="C13080" s="6" t="n">
        <f aca="false">Sens!$C$13070+Sens!$C$13072+Sens!$C$13073+Sens!$C$13074+Sens!$C$13075+Sens!$C$13076+Sens!$C$13077+Sens!$C$13078+Sens!$C$13079</f>
        <v>2841.698283752</v>
      </c>
    </row>
    <row r="13081" customFormat="false" ht="17.15" hidden="false" customHeight="false" outlineLevel="0" collapsed="false">
      <c r="A13081" s="1" t="s">
        <v>1099</v>
      </c>
      <c r="B13081" s="0" t="s">
        <v>98</v>
      </c>
      <c r="C13081" s="6" t="n">
        <f aca="false">(Sens!G13042-Sens!G13067)*t_stub</f>
        <v>46.8760727339385</v>
      </c>
      <c r="L13081" s="1" t="s">
        <v>1100</v>
      </c>
    </row>
    <row r="13082" customFormat="false" ht="17.15" hidden="false" customHeight="false" outlineLevel="0" collapsed="false">
      <c r="A13082" s="1" t="s">
        <v>1014</v>
      </c>
      <c r="B13082" s="0" t="s">
        <v>98</v>
      </c>
      <c r="C13082" s="6" t="n">
        <f aca="false">CF!F100+oai_v-CF!F89+Sens!$C$13081</f>
        <v>153.718233647662</v>
      </c>
      <c r="L13082" s="1" t="s">
        <v>1101</v>
      </c>
    </row>
    <row r="13083" customFormat="false" ht="17.15" hidden="false" customHeight="false" outlineLevel="0" collapsed="false">
      <c r="A13083" s="1" t="s">
        <v>1102</v>
      </c>
      <c r="B13083" s="0" t="s">
        <v>75</v>
      </c>
      <c r="C13083" s="5" t="n">
        <f aca="false">(Sens!$C$13080+Sens!$C$13082)/(CF!F102+dil_gap)-CF!G92*roll_div_q/q_per_yr</f>
        <v>398.56249004798</v>
      </c>
      <c r="L13083" s="1" t="s">
        <v>1103</v>
      </c>
    </row>
    <row r="13084" customFormat="false" ht="17.15" hidden="false" customHeight="false" outlineLevel="0" collapsed="false">
      <c r="A13084" s="1" t="s">
        <v>1104</v>
      </c>
      <c r="B13084" s="0" t="s">
        <v>75</v>
      </c>
      <c r="C13084" s="5" t="n">
        <f aca="false">w_dcf*Sens!$C$13054+(1-w_dcf)*Sens!$C$13083</f>
        <v>326.801152957737</v>
      </c>
    </row>
    <row r="13085" customFormat="false" ht="17.15" hidden="false" customHeight="false" outlineLevel="0" collapsed="false">
      <c r="A13085" s="3" t="s">
        <v>1595</v>
      </c>
    </row>
    <row r="13086" customFormat="false" ht="15" hidden="false" customHeight="false" outlineLevel="0" collapsed="false">
      <c r="A13086" s="4" t="s">
        <v>43</v>
      </c>
      <c r="B13086" s="4" t="s">
        <v>65</v>
      </c>
      <c r="C13086" s="20" t="s">
        <v>799</v>
      </c>
      <c r="D13086" s="20" t="s">
        <v>800</v>
      </c>
      <c r="E13086" s="20" t="s">
        <v>801</v>
      </c>
      <c r="F13086" s="20" t="s">
        <v>802</v>
      </c>
      <c r="G13086" s="20" t="s">
        <v>803</v>
      </c>
      <c r="H13086" s="20" t="s">
        <v>804</v>
      </c>
      <c r="I13086" s="20" t="s">
        <v>805</v>
      </c>
      <c r="J13086" s="20" t="s">
        <v>806</v>
      </c>
      <c r="K13086" s="20" t="s">
        <v>807</v>
      </c>
      <c r="L13086" s="4" t="s">
        <v>47</v>
      </c>
    </row>
    <row r="13087" customFormat="false" ht="15" hidden="false" customHeight="false" outlineLevel="0" collapsed="false">
      <c r="A13087" s="1" t="s">
        <v>1057</v>
      </c>
      <c r="B13087" s="1" t="s">
        <v>235</v>
      </c>
      <c r="F13087" s="36" t="n">
        <f aca="false">Thesis!F6-base_fy-mid_yr</f>
        <v>0.5</v>
      </c>
      <c r="G13087" s="36" t="n">
        <f aca="false">Thesis!G6-base_fy-mid_yr</f>
        <v>1.5</v>
      </c>
      <c r="H13087" s="36" t="n">
        <f aca="false">Thesis!H6-base_fy-mid_yr</f>
        <v>2.5</v>
      </c>
      <c r="I13087" s="36" t="n">
        <f aca="false">Thesis!I6-base_fy-mid_yr</f>
        <v>3.5</v>
      </c>
      <c r="J13087" s="36" t="n">
        <f aca="false">Thesis!J6-base_fy-mid_yr</f>
        <v>4.5</v>
      </c>
      <c r="K13087" s="36" t="n">
        <f aca="false">Thesis!K6-base_fy-mid_yr</f>
        <v>5.5</v>
      </c>
    </row>
    <row r="13088" customFormat="false" ht="15" hidden="false" customHeight="false" outlineLevel="0" collapsed="false">
      <c r="A13088" s="1" t="s">
        <v>1058</v>
      </c>
      <c r="B13088" s="0" t="s">
        <v>185</v>
      </c>
      <c r="F13088" s="14" t="n">
        <f aca="false">1/(1+wacc)^Sens!F13087</f>
        <v>0.952193373608246</v>
      </c>
      <c r="G13088" s="14" t="n">
        <f aca="false">1/(1+wacc)^Sens!G13087</f>
        <v>0.863327280626589</v>
      </c>
      <c r="H13088" s="14" t="n">
        <f aca="false">1/(1+wacc)^Sens!H13087</f>
        <v>0.782754862754115</v>
      </c>
      <c r="I13088" s="14" t="n">
        <f aca="false">1/(1+wacc)^Sens!I13087</f>
        <v>0.709702089711011</v>
      </c>
      <c r="J13088" s="14" t="n">
        <f aca="false">1/(1+wacc)^Sens!J13087</f>
        <v>0.643467169744551</v>
      </c>
      <c r="K13088" s="14" t="n">
        <f aca="false">1/(1+wacc)^Sens!K13087</f>
        <v>0.583413807767797</v>
      </c>
    </row>
    <row r="13089" customFormat="false" ht="17.15" hidden="false" customHeight="false" outlineLevel="0" collapsed="false">
      <c r="A13089" s="1" t="s">
        <v>1059</v>
      </c>
      <c r="B13089" s="0" t="s">
        <v>98</v>
      </c>
      <c r="F13089" s="6" t="n">
        <f aca="false">CF!F22-CF!F20-CF!F26+Thesis!F44*(1-tax_f)</f>
        <v>0.8175674752552</v>
      </c>
      <c r="G13089" s="6" t="n">
        <f aca="false">CF!G22-CF!G20-CF!G26+Thesis!G44*(1-tax_f)</f>
        <v>46.5945454778033</v>
      </c>
      <c r="H13089" s="6" t="n">
        <f aca="false">CF!H22-CF!H20-CF!H26+Thesis!H44*(1-tax_f)</f>
        <v>105.224067029101</v>
      </c>
      <c r="I13089" s="6" t="n">
        <f aca="false">CF!I22-CF!I20-CF!I26+Thesis!I44*(1-tax_f)</f>
        <v>183.301417205555</v>
      </c>
      <c r="J13089" s="6" t="n">
        <f aca="false">CF!J22-CF!J20-CF!J26+Thesis!J44*(1-tax_f)</f>
        <v>261.555335183242</v>
      </c>
      <c r="K13089" s="6" t="n">
        <f aca="false">CF!K22-CF!K20-CF!K26+Thesis!K44*(1-tax_f)</f>
        <v>298.387942209483</v>
      </c>
      <c r="L13089" s="1" t="s">
        <v>1060</v>
      </c>
    </row>
    <row r="13090" customFormat="false" ht="15" hidden="false" customHeight="false" outlineLevel="0" collapsed="false">
      <c r="A13090" s="1" t="s">
        <v>1061</v>
      </c>
      <c r="B13090" s="0" t="s">
        <v>98</v>
      </c>
      <c r="F13090" s="6" t="n">
        <f aca="false">Sens!F13089*Sens!F13088</f>
        <v>0.778482332415625</v>
      </c>
      <c r="G13090" s="6" t="n">
        <f aca="false">Sens!G13089*Sens!G13088</f>
        <v>40.2263422393839</v>
      </c>
      <c r="H13090" s="6" t="n">
        <f aca="false">Sens!H13089*Sens!H13088</f>
        <v>82.364650145794</v>
      </c>
      <c r="I13090" s="6" t="n">
        <f aca="false">Sens!I13089*Sens!I13088</f>
        <v>130.089398837772</v>
      </c>
      <c r="J13090" s="6" t="n">
        <f aca="false">Sens!J13089*Sens!J13088</f>
        <v>168.302271261948</v>
      </c>
      <c r="K13090" s="6" t="n">
        <f aca="false">Sens!K13089*Sens!K13088</f>
        <v>174.083645556432</v>
      </c>
    </row>
    <row r="13091" customFormat="false" ht="17.15" hidden="false" customHeight="false" outlineLevel="0" collapsed="false">
      <c r="A13091" s="1" t="s">
        <v>1062</v>
      </c>
      <c r="B13091" s="0" t="s">
        <v>98</v>
      </c>
      <c r="C13091" s="6" t="n">
        <f aca="false">SUM(Sens!F13090:K13090)</f>
        <v>595.844790373745</v>
      </c>
    </row>
    <row r="13092" customFormat="false" ht="17.15" hidden="false" customHeight="false" outlineLevel="0" collapsed="false">
      <c r="A13092" s="1" t="s">
        <v>1063</v>
      </c>
      <c r="B13092" s="0" t="s">
        <v>98</v>
      </c>
      <c r="C13092" s="6" t="n">
        <f aca="false">PL!K39*(1+g_tv)*(1-tax_f)</f>
        <v>316.433872640522</v>
      </c>
    </row>
    <row r="13093" customFormat="false" ht="17.15" hidden="false" customHeight="false" outlineLevel="0" collapsed="false">
      <c r="A13093" s="1" t="s">
        <v>1064</v>
      </c>
      <c r="B13093" s="0" t="s">
        <v>98</v>
      </c>
      <c r="C13093" s="6" t="n">
        <f aca="false">Sens!$C$13092*(1-g_tv/(wacc+ronic_prem_hi))</f>
        <v>254.361409335985</v>
      </c>
    </row>
    <row r="13094" customFormat="false" ht="17.15" hidden="false" customHeight="false" outlineLevel="0" collapsed="false">
      <c r="A13094" s="1" t="s">
        <v>1065</v>
      </c>
      <c r="B13094" s="0" t="s">
        <v>98</v>
      </c>
      <c r="C13094" s="6" t="n">
        <f aca="false">Sens!$C$13093/(wacc-g_tv)</f>
        <v>3487.53591256471</v>
      </c>
    </row>
    <row r="13095" customFormat="false" ht="15" hidden="false" customHeight="false" outlineLevel="0" collapsed="false">
      <c r="A13095" s="1" t="s">
        <v>1066</v>
      </c>
      <c r="B13095" s="0" t="s">
        <v>98</v>
      </c>
      <c r="C13095" s="6" t="n">
        <f aca="false">Sens!$C$13094/(1+wacc)^(Sens!K13087+mid_yr)</f>
        <v>1937.40558212246</v>
      </c>
    </row>
    <row r="13096" customFormat="false" ht="17.15" hidden="false" customHeight="false" outlineLevel="0" collapsed="false">
      <c r="A13096" s="0" t="s">
        <v>986</v>
      </c>
      <c r="B13096" s="0" t="s">
        <v>98</v>
      </c>
      <c r="C13096" s="6" t="n">
        <f aca="false">Sens!$C$13091+Sens!$C$13095</f>
        <v>2533.25037249621</v>
      </c>
    </row>
    <row r="13097" customFormat="false" ht="15" hidden="false" customHeight="false" outlineLevel="0" collapsed="false">
      <c r="A13097" s="1" t="s">
        <v>987</v>
      </c>
      <c r="B13097" s="0" t="s">
        <v>129</v>
      </c>
      <c r="C13097" s="7" t="n">
        <f aca="false">Sens!$C$13095/Sens!$C$13096</f>
        <v>0.764790406490057</v>
      </c>
    </row>
    <row r="13098" customFormat="false" ht="17.15" hidden="false" customHeight="false" outlineLevel="0" collapsed="false">
      <c r="A13098" s="1" t="s">
        <v>1067</v>
      </c>
      <c r="B13098" s="0" t="s">
        <v>98</v>
      </c>
      <c r="C13098" s="6" t="n">
        <f aca="false">Sens!$C$13096+CF!E38-CF!E27+oai_v</f>
        <v>2667.7633724962</v>
      </c>
    </row>
    <row r="13099" customFormat="false" ht="17.15" hidden="false" customHeight="false" outlineLevel="0" collapsed="false">
      <c r="A13099" s="0" t="s">
        <v>994</v>
      </c>
      <c r="B13099" s="0" t="s">
        <v>75</v>
      </c>
      <c r="C13099" s="5" t="n">
        <f aca="false">Sens!$C$13098/sh_dil26</f>
        <v>357.944904400403</v>
      </c>
    </row>
    <row r="13100" customFormat="false" ht="15" hidden="false" customHeight="false" outlineLevel="0" collapsed="false">
      <c r="A13100" s="1" t="s">
        <v>1068</v>
      </c>
      <c r="B13100" s="0" t="s">
        <v>75</v>
      </c>
      <c r="C13100" s="8" t="n">
        <f aca="false">dps_27+CF!G30*roll_div_q/q_per_yr</f>
        <v>4.8895</v>
      </c>
    </row>
    <row r="13101" customFormat="false" ht="17.15" hidden="false" customHeight="false" outlineLevel="0" collapsed="false">
      <c r="A13101" s="0" t="s">
        <v>1069</v>
      </c>
      <c r="B13101" s="0" t="s">
        <v>75</v>
      </c>
      <c r="C13101" s="5" t="n">
        <f aca="false">Sens!$C$13099*(1+wacc)^t_roll-Sens!$C$13100</f>
        <v>402.714314251339</v>
      </c>
    </row>
    <row r="13102" customFormat="false" ht="17.15" hidden="false" customHeight="false" outlineLevel="0" collapsed="false">
      <c r="A13102" s="1" t="s">
        <v>1070</v>
      </c>
      <c r="B13102" s="0" t="s">
        <v>129</v>
      </c>
      <c r="F13102" s="7" t="n">
        <f aca="false">CF!F17/(Seg!F29-Thesis!F23)</f>
        <v>0.0705303854989974</v>
      </c>
      <c r="G13102" s="7" t="n">
        <f aca="false">CF!G17/(Seg!G29-Thesis!G23)</f>
        <v>0.0669153011130541</v>
      </c>
      <c r="H13102" s="7" t="n">
        <f aca="false">CF!H17/(Seg!H29-Thesis!H23)</f>
        <v>0.0648963302688647</v>
      </c>
      <c r="I13102" s="7" t="n">
        <f aca="false">CF!I17/(Seg!I29-Thesis!I23)</f>
        <v>0.0643411219550834</v>
      </c>
      <c r="J13102" s="7" t="n">
        <f aca="false">CF!J17/(Seg!J29-Thesis!J23)</f>
        <v>0.0648740961982593</v>
      </c>
      <c r="K13102" s="7" t="n">
        <f aca="false">CF!K17/(Seg!K29-Thesis!K23)</f>
        <v>0.0660244723636577</v>
      </c>
    </row>
    <row r="13103" customFormat="false" ht="17.15" hidden="false" customHeight="false" outlineLevel="0" collapsed="false">
      <c r="A13103" s="0" t="s">
        <v>1071</v>
      </c>
      <c r="B13103" s="0" t="s">
        <v>98</v>
      </c>
      <c r="F13103" s="6" t="n">
        <f aca="false">Seg!F14*(al_m365+Sens!F13102+sbc_r)</f>
        <v>85.2273329859862</v>
      </c>
      <c r="G13103" s="6" t="n">
        <f aca="false">Seg!G14*(al_m365+Sens!G13102+sbc_r)</f>
        <v>99.6892587904979</v>
      </c>
      <c r="H13103" s="6" t="n">
        <f aca="false">Seg!H14*(al_m365+Sens!H13102+sbc_r)</f>
        <v>114.315107566414</v>
      </c>
      <c r="I13103" s="6" t="n">
        <f aca="false">Seg!I14*(al_m365+Sens!I13102+sbc_r)</f>
        <v>127.42181750834</v>
      </c>
      <c r="J13103" s="6" t="n">
        <f aca="false">Seg!J14*(al_m365+Sens!J13102+sbc_r)</f>
        <v>138.823999012523</v>
      </c>
      <c r="K13103" s="6" t="n">
        <f aca="false">Seg!K14*(al_m365+Sens!K13102+sbc_r)</f>
        <v>149.845393216552</v>
      </c>
      <c r="L13103" s="11" t="s">
        <v>1072</v>
      </c>
    </row>
    <row r="13104" customFormat="false" ht="17.15" hidden="false" customHeight="false" outlineLevel="0" collapsed="false">
      <c r="A13104" s="0" t="s">
        <v>1073</v>
      </c>
      <c r="B13104" s="0" t="s">
        <v>98</v>
      </c>
      <c r="F13104" s="6" t="n">
        <f aca="false">Seg!F15*(al_lic+Sens!F13102+sbc_r)</f>
        <v>33.5204472060294</v>
      </c>
      <c r="G13104" s="6" t="n">
        <f aca="false">Seg!G15*(al_lic+Sens!G13102+sbc_r)</f>
        <v>34.7926166862242</v>
      </c>
      <c r="H13104" s="6" t="n">
        <f aca="false">Seg!H15*(al_lic+Sens!H13102+sbc_r)</f>
        <v>35.9862829687409</v>
      </c>
      <c r="I13104" s="6" t="n">
        <f aca="false">Seg!I15*(al_lic+Sens!I13102+sbc_r)</f>
        <v>37.0838788899664</v>
      </c>
      <c r="J13104" s="6" t="n">
        <f aca="false">Seg!J15*(al_lic+Sens!J13102+sbc_r)</f>
        <v>38.0565090086839</v>
      </c>
      <c r="K13104" s="6" t="n">
        <f aca="false">Seg!K15*(al_lic+Sens!K13102+sbc_r)</f>
        <v>38.8700352425884</v>
      </c>
    </row>
    <row r="13105" customFormat="false" ht="17.15" hidden="false" customHeight="false" outlineLevel="0" collapsed="false">
      <c r="A13105" s="0" t="s">
        <v>1074</v>
      </c>
      <c r="B13105" s="0" t="s">
        <v>98</v>
      </c>
      <c r="F13105" s="6" t="n">
        <f aca="false">Seg!F17*(al_ind+Sens!F13102+sbc_r)</f>
        <v>9.11980018094294</v>
      </c>
      <c r="G13105" s="6" t="n">
        <f aca="false">Seg!G17*(al_ind+Sens!G13102+sbc_r)</f>
        <v>9.88072195697034</v>
      </c>
      <c r="H13105" s="6" t="n">
        <f aca="false">Seg!H17*(al_ind+Sens!H13102+sbc_r)</f>
        <v>10.6900815637922</v>
      </c>
      <c r="I13105" s="6" t="n">
        <f aca="false">Seg!I17*(al_ind+Sens!I13102+sbc_r)</f>
        <v>11.5460282347577</v>
      </c>
      <c r="J13105" s="6" t="n">
        <f aca="false">Seg!J17*(al_ind+Sens!J13102+sbc_r)</f>
        <v>12.4374767512513</v>
      </c>
      <c r="K13105" s="6" t="n">
        <f aca="false">Seg!K17*(al_ind+Sens!K13102+sbc_r)</f>
        <v>13.3461587114563</v>
      </c>
    </row>
    <row r="13106" customFormat="false" ht="17.15" hidden="false" customHeight="false" outlineLevel="0" collapsed="false">
      <c r="A13106" s="0" t="s">
        <v>1075</v>
      </c>
      <c r="B13106" s="0" t="s">
        <v>98</v>
      </c>
      <c r="F13106" s="6" t="n">
        <f aca="false">Seg!F19*(al_fro+Sens!F13102+sbc_r)</f>
        <v>3.58958536902212</v>
      </c>
      <c r="G13106" s="6" t="n">
        <f aca="false">Seg!G19*(al_fro+Sens!G13102+sbc_r)</f>
        <v>3.79361306665995</v>
      </c>
      <c r="H13106" s="6" t="n">
        <f aca="false">Seg!H19*(al_fro+Sens!H13102+sbc_r)</f>
        <v>4.02838862857902</v>
      </c>
      <c r="I13106" s="6" t="n">
        <f aca="false">Seg!I19*(al_fro+Sens!I13102+sbc_r)</f>
        <v>4.29696179134221</v>
      </c>
      <c r="J13106" s="6" t="n">
        <f aca="false">Seg!J19*(al_fro+Sens!J13102+sbc_r)</f>
        <v>4.59985687395741</v>
      </c>
      <c r="K13106" s="6" t="n">
        <f aca="false">Seg!K19*(al_fro+Sens!K13102+sbc_r)</f>
        <v>4.93592238342414</v>
      </c>
    </row>
    <row r="13107" customFormat="false" ht="17.15" hidden="false" customHeight="false" outlineLevel="0" collapsed="false">
      <c r="A13107" s="0" t="s">
        <v>1076</v>
      </c>
      <c r="B13107" s="0" t="s">
        <v>98</v>
      </c>
      <c r="F13107" s="6" t="n">
        <f aca="false">Seg!F22*(al_srch+Sens!F13102+sbc_r)</f>
        <v>11.2630849868114</v>
      </c>
      <c r="G13107" s="6" t="n">
        <f aca="false">Seg!G22*(al_srch+Sens!G13102+sbc_r)</f>
        <v>12.3179728600437</v>
      </c>
      <c r="H13107" s="6" t="n">
        <f aca="false">Seg!H22*(al_srch+Sens!H13102+sbc_r)</f>
        <v>13.4217853035424</v>
      </c>
      <c r="I13107" s="6" t="n">
        <f aca="false">Seg!I22*(al_srch+Sens!I13102+sbc_r)</f>
        <v>14.565578354966</v>
      </c>
      <c r="J13107" s="6" t="n">
        <f aca="false">Seg!J22*(al_srch+Sens!J13102+sbc_r)</f>
        <v>15.7277683722803</v>
      </c>
      <c r="K13107" s="6" t="n">
        <f aca="false">Seg!K22*(al_srch+Sens!K13102+sbc_r)</f>
        <v>16.87683901418</v>
      </c>
    </row>
    <row r="13108" customFormat="false" ht="17.15" hidden="false" customHeight="false" outlineLevel="0" collapsed="false">
      <c r="A13108" s="0" t="s">
        <v>1077</v>
      </c>
      <c r="B13108" s="0" t="s">
        <v>98</v>
      </c>
      <c r="F13108" s="6" t="n">
        <f aca="false">Thesis!F29-Thesis!F30+Thesis!F44</f>
        <v>45.0374073018652</v>
      </c>
      <c r="G13108" s="6" t="n">
        <f aca="false">Thesis!G29-Thesis!G30+Thesis!G44</f>
        <v>89.051993487491</v>
      </c>
      <c r="H13108" s="6" t="n">
        <f aca="false">Thesis!H29-Thesis!H30+Thesis!H44</f>
        <v>140.728332825594</v>
      </c>
      <c r="I13108" s="6" t="n">
        <f aca="false">Thesis!I29-Thesis!I30+Thesis!I44</f>
        <v>182.158665153016</v>
      </c>
      <c r="J13108" s="6" t="n">
        <f aca="false">Thesis!J29-Thesis!J30+Thesis!J44</f>
        <v>211.722320149272</v>
      </c>
      <c r="K13108" s="6" t="n">
        <f aca="false">Thesis!K29-Thesis!K30+Thesis!K44</f>
        <v>230.495012322217</v>
      </c>
    </row>
    <row r="13109" customFormat="false" ht="17.15" hidden="false" customHeight="false" outlineLevel="0" collapsed="false">
      <c r="A13109" s="0" t="s">
        <v>1078</v>
      </c>
      <c r="B13109" s="0" t="s">
        <v>98</v>
      </c>
      <c r="F13109" s="6" t="n">
        <f aca="false">PL!F32+Thesis!F44+Thesis!F40+Sens!F13102*(Seg!F21-Thesis!F23)+sbc_r*Seg!F21</f>
        <v>236.979131882557</v>
      </c>
      <c r="G13109" s="6" t="n">
        <f aca="false">PL!G32+Thesis!G44+Thesis!G40+Sens!G13102*(Seg!G21-Thesis!G23)+sbc_r*Seg!G21</f>
        <v>310.298572894356</v>
      </c>
      <c r="H13109" s="6" t="n">
        <f aca="false">PL!H32+Thesis!H44+Thesis!H40+Sens!H13102*(Seg!H21-Thesis!H23)+sbc_r*Seg!H21</f>
        <v>391.97921499404</v>
      </c>
      <c r="I13109" s="6" t="n">
        <f aca="false">PL!I32+Thesis!I44+Thesis!I40+Sens!I13102*(Seg!I21-Thesis!I23)+sbc_r*Seg!I21</f>
        <v>461.338592490557</v>
      </c>
      <c r="J13109" s="6" t="n">
        <f aca="false">PL!J32+Thesis!J44+Thesis!J40+Sens!J13102*(Seg!J21-Thesis!J23)+sbc_r*Seg!J21</f>
        <v>515.876034980991</v>
      </c>
      <c r="K13109" s="6" t="n">
        <f aca="false">PL!K32+Thesis!K44+Thesis!K40+Sens!K13102*(Seg!K21-Thesis!K23)+sbc_r*Seg!K21</f>
        <v>557.225339287545</v>
      </c>
    </row>
    <row r="13110" customFormat="false" ht="17.15" hidden="false" customHeight="false" outlineLevel="0" collapsed="false">
      <c r="A13110" s="0" t="s">
        <v>1079</v>
      </c>
      <c r="B13110" s="0" t="s">
        <v>98</v>
      </c>
      <c r="F13110" s="6" t="n">
        <f aca="false">Sens!F13109-Sens!F13103-Sens!F13104-Sens!F13105-Sens!F13106-Sens!F13108</f>
        <v>60.4845588387112</v>
      </c>
      <c r="G13110" s="6" t="n">
        <f aca="false">Sens!G13109-Sens!G13103-Sens!G13104-Sens!G13105-Sens!G13106-Sens!G13108</f>
        <v>73.090368906513</v>
      </c>
      <c r="H13110" s="6" t="n">
        <f aca="false">Sens!H13109-Sens!H13103-Sens!H13104-Sens!H13105-Sens!H13106-Sens!H13108</f>
        <v>86.23102144092</v>
      </c>
      <c r="I13110" s="6" t="n">
        <f aca="false">Sens!I13109-Sens!I13103-Sens!I13104-Sens!I13105-Sens!I13106-Sens!I13108</f>
        <v>98.8312409131349</v>
      </c>
      <c r="J13110" s="6" t="n">
        <f aca="false">Sens!J13109-Sens!J13103-Sens!J13104-Sens!J13105-Sens!J13106-Sens!J13108</f>
        <v>110.235873185303</v>
      </c>
      <c r="K13110" s="6" t="n">
        <f aca="false">Sens!K13109-Sens!K13103-Sens!K13104-Sens!K13105-Sens!K13106-Sens!K13108</f>
        <v>119.732817411307</v>
      </c>
    </row>
    <row r="13111" customFormat="false" ht="17.15" hidden="false" customHeight="false" outlineLevel="0" collapsed="false">
      <c r="A13111" s="0" t="s">
        <v>1080</v>
      </c>
      <c r="B13111" s="0" t="s">
        <v>98</v>
      </c>
      <c r="F13111" s="6" t="n">
        <f aca="false">PL!F34+Sens!F13102*Seg!F28+sbc_r*Seg!F28</f>
        <v>26.3250729833002</v>
      </c>
      <c r="G13111" s="6" t="n">
        <f aca="false">PL!G34+Sens!G13102*Seg!G28+sbc_r*Seg!G28</f>
        <v>26.8840979798844</v>
      </c>
      <c r="H13111" s="6" t="n">
        <f aca="false">PL!H34+Sens!H13102*Seg!H28+sbc_r*Seg!H28</f>
        <v>27.7254420104725</v>
      </c>
      <c r="I13111" s="6" t="n">
        <f aca="false">PL!I34+Sens!I13102*Seg!I28+sbc_r*Seg!I28</f>
        <v>28.8195303030026</v>
      </c>
      <c r="J13111" s="6" t="n">
        <f aca="false">PL!J34+Sens!J13102*Seg!J28+sbc_r*Seg!J28</f>
        <v>30.1256822206383</v>
      </c>
      <c r="K13111" s="6" t="n">
        <f aca="false">PL!K34+Sens!K13102*Seg!K28+sbc_r*Seg!K28</f>
        <v>31.5981329181227</v>
      </c>
    </row>
    <row r="13112" customFormat="false" ht="17.15" hidden="false" customHeight="false" outlineLevel="0" collapsed="false">
      <c r="A13112" s="0" t="s">
        <v>1081</v>
      </c>
      <c r="B13112" s="0" t="s">
        <v>98</v>
      </c>
      <c r="F13112" s="6" t="n">
        <f aca="false">(Sens!F13111-Sens!F13107)*Seg!F24/(Seg!F24+Seg!F26)</f>
        <v>8.25683511803782</v>
      </c>
      <c r="G13112" s="6" t="n">
        <f aca="false">(Sens!G13111-Sens!G13107)*Seg!G24/(Seg!G24+Seg!G26)</f>
        <v>7.84263572934781</v>
      </c>
      <c r="H13112" s="6" t="n">
        <f aca="false">(Sens!H13111-Sens!H13107)*Seg!H24/(Seg!H24+Seg!H26)</f>
        <v>7.59728657715786</v>
      </c>
      <c r="I13112" s="6" t="n">
        <f aca="false">(Sens!I13111-Sens!I13107)*Seg!I24/(Seg!I24+Seg!I26)</f>
        <v>7.50238476920254</v>
      </c>
      <c r="J13112" s="6" t="n">
        <f aca="false">(Sens!J13111-Sens!J13107)*Seg!J24/(Seg!J24+Seg!J26)</f>
        <v>7.54388912124533</v>
      </c>
      <c r="K13112" s="6" t="n">
        <f aca="false">(Sens!K13111-Sens!K13107)*Seg!K24/(Seg!K24+Seg!K26)</f>
        <v>7.71332639591206</v>
      </c>
    </row>
    <row r="13113" customFormat="false" ht="17.15" hidden="false" customHeight="false" outlineLevel="0" collapsed="false">
      <c r="A13113" s="0" t="s">
        <v>1082</v>
      </c>
      <c r="B13113" s="0" t="s">
        <v>98</v>
      </c>
      <c r="F13113" s="6" t="n">
        <f aca="false">Sens!F13111-Sens!F13107-Sens!F13112</f>
        <v>6.80515287845105</v>
      </c>
      <c r="G13113" s="6" t="n">
        <f aca="false">Sens!G13111-Sens!G13107-Sens!G13112</f>
        <v>6.72348939049287</v>
      </c>
      <c r="H13113" s="6" t="n">
        <f aca="false">Sens!H13111-Sens!H13107-Sens!H13112</f>
        <v>6.70637012977225</v>
      </c>
      <c r="I13113" s="6" t="n">
        <f aca="false">Sens!I13111-Sens!I13107-Sens!I13112</f>
        <v>6.75156717883416</v>
      </c>
      <c r="J13113" s="6" t="n">
        <f aca="false">Sens!J13111-Sens!J13107-Sens!J13112</f>
        <v>6.85402472711273</v>
      </c>
      <c r="K13113" s="6" t="n">
        <f aca="false">Sens!K13111-Sens!K13107-Sens!K13112</f>
        <v>7.00796750803058</v>
      </c>
    </row>
    <row r="13114" customFormat="false" ht="17.15" hidden="false" customHeight="false" outlineLevel="0" collapsed="false">
      <c r="A13114" s="0" t="s">
        <v>1083</v>
      </c>
      <c r="B13114" s="0" t="s">
        <v>98</v>
      </c>
      <c r="F13114" s="6" t="n">
        <f aca="false">Sens!F13108-tax_f*(Sens!F13108-Thesis!F40)-Thesis!F37</f>
        <v>-117.492972553783</v>
      </c>
      <c r="G13114" s="6" t="n">
        <f aca="false">Sens!G13108-tax_f*(Sens!G13108-Thesis!G40)-Thesis!G37</f>
        <v>-100.507498271105</v>
      </c>
      <c r="H13114" s="6" t="n">
        <f aca="false">Sens!H13108-tax_f*(Sens!H13108-Thesis!H40)-Thesis!H37</f>
        <v>-58.2254156812621</v>
      </c>
      <c r="I13114" s="6" t="n">
        <f aca="false">Sens!I13108-tax_f*(Sens!I13108-Thesis!I40)-Thesis!I37</f>
        <v>4.14141173464586</v>
      </c>
      <c r="J13114" s="6" t="n">
        <f aca="false">Sens!J13108-tax_f*(Sens!J13108-Thesis!J40)-Thesis!J37</f>
        <v>67.7960840957439</v>
      </c>
      <c r="K13114" s="6" t="n">
        <f aca="false">Sens!K13108-tax_f*(Sens!K13108-Thesis!K40)-Thesis!K37</f>
        <v>90.8148873630444</v>
      </c>
    </row>
    <row r="13115" customFormat="false" ht="17.15" hidden="false" customHeight="false" outlineLevel="0" collapsed="false">
      <c r="A13115" s="0" t="s">
        <v>1084</v>
      </c>
      <c r="B13115" s="0" t="s">
        <v>98</v>
      </c>
      <c r="G13115" s="6" t="n">
        <f aca="false">Sens!G13114/(1+wacc)^(Sens!G13087-(Sens!F13087+mid_yr))</f>
        <v>-95.7025738516884</v>
      </c>
      <c r="H13115" s="6" t="n">
        <f aca="false">Sens!H13114/(1+wacc)^(Sens!H13087-(Sens!F13087+mid_yr))</f>
        <v>-50.2675897834568</v>
      </c>
      <c r="I13115" s="6" t="n">
        <f aca="false">Sens!I13114/(1+wacc)^(Sens!I13087-(Sens!F13087+mid_yr))</f>
        <v>3.241710173961</v>
      </c>
      <c r="J13115" s="6" t="n">
        <f aca="false">Sens!J13114/(1+wacc)^(Sens!J13087-(Sens!F13087+mid_yr))</f>
        <v>48.1150225569729</v>
      </c>
      <c r="K13115" s="6" t="n">
        <f aca="false">Sens!K13114/(1+wacc)^(Sens!K13087-(Sens!F13087+mid_yr))</f>
        <v>58.4363985421684</v>
      </c>
      <c r="L13115" s="1" t="s">
        <v>1085</v>
      </c>
    </row>
    <row r="13116" customFormat="false" ht="17.15" hidden="false" customHeight="false" outlineLevel="0" collapsed="false">
      <c r="A13116" s="0" t="s">
        <v>1086</v>
      </c>
      <c r="B13116" s="0" t="s">
        <v>98</v>
      </c>
      <c r="C13116" s="6" t="n">
        <f aca="false">(Sens!K13108-Thesis!K40)*(1-tax_f)*(1+g_tv)*(1-g_tv/(wacc+ronic_prem_hi))/(wacc-g_tv)/(1+wacc)^(Sens!K13087+mid_yr-(Sens!F13087+mid_yr))</f>
        <v>508.378810037748</v>
      </c>
    </row>
    <row r="13117" customFormat="false" ht="17.15" hidden="false" customHeight="false" outlineLevel="0" collapsed="false">
      <c r="A13117" s="1" t="s">
        <v>1087</v>
      </c>
      <c r="B13117" s="0" t="s">
        <v>98</v>
      </c>
      <c r="C13117" s="6" t="n">
        <f aca="false">(SUM(Sens!G13115:K13115)+Sens!$C$13116)*(1+wacc)^(t_roll-(Sens!F13087+mid_yr))</f>
        <v>487.528470448368</v>
      </c>
      <c r="L13117" s="11" t="s">
        <v>1088</v>
      </c>
    </row>
    <row r="13118" customFormat="false" ht="17.15" hidden="false" customHeight="false" outlineLevel="0" collapsed="false">
      <c r="A13118" s="1" t="s">
        <v>1089</v>
      </c>
      <c r="B13118" s="0" t="s">
        <v>98</v>
      </c>
      <c r="C13118" s="6" t="n">
        <f aca="false">(w_ntm28*Thesis!G29+(1-w_ntm28)*Thesis!H29)*m_ai</f>
        <v>551.711134531404</v>
      </c>
    </row>
    <row r="13119" customFormat="false" ht="17.15" hidden="false" customHeight="false" outlineLevel="0" collapsed="false">
      <c r="A13119" s="1" t="s">
        <v>1090</v>
      </c>
      <c r="B13119" s="0" t="s">
        <v>98</v>
      </c>
      <c r="C13119" s="6" t="n">
        <f aca="false">(w_ntm28*Sens!G13110+(1-w_ntm28)*Sens!H13110)*m_cloud</f>
        <v>1068.81917370447</v>
      </c>
    </row>
    <row r="13120" customFormat="false" ht="17.15" hidden="false" customHeight="false" outlineLevel="0" collapsed="false">
      <c r="A13120" s="1" t="s">
        <v>1091</v>
      </c>
      <c r="B13120" s="0" t="s">
        <v>98</v>
      </c>
      <c r="C13120" s="6" t="n">
        <f aca="false">(w_ntm28*Sens!G13103+(1-w_ntm28)*Sens!H13103)*m_sw</f>
        <v>1127.71024611553</v>
      </c>
    </row>
    <row r="13121" customFormat="false" ht="17.15" hidden="false" customHeight="false" outlineLevel="0" collapsed="false">
      <c r="A13121" s="1" t="s">
        <v>1092</v>
      </c>
      <c r="B13121" s="0" t="s">
        <v>98</v>
      </c>
      <c r="C13121" s="6" t="n">
        <f aca="false">(w_ntm28*Sens!G13104+(1-w_ntm28)*Sens!H13104)*m_sw</f>
        <v>379.927954212425</v>
      </c>
    </row>
    <row r="13122" customFormat="false" ht="17.15" hidden="false" customHeight="false" outlineLevel="0" collapsed="false">
      <c r="A13122" s="1" t="s">
        <v>1093</v>
      </c>
      <c r="B13122" s="0" t="s">
        <v>98</v>
      </c>
      <c r="C13122" s="6" t="n">
        <f aca="false">(w_ntm28*Sens!G13105+(1-w_ntm28)*Sens!H13105)*m_sw</f>
        <v>109.537681746057</v>
      </c>
    </row>
    <row r="13123" customFormat="false" ht="17.15" hidden="false" customHeight="false" outlineLevel="0" collapsed="false">
      <c r="A13123" s="1" t="s">
        <v>1094</v>
      </c>
      <c r="B13123" s="0" t="s">
        <v>98</v>
      </c>
      <c r="C13123" s="6" t="n">
        <f aca="false">(w_ntm28*Sens!G13106+(1-w_ntm28)*Sens!H13106)*m_sw</f>
        <v>41.7907416024197</v>
      </c>
    </row>
    <row r="13124" customFormat="false" ht="17.15" hidden="false" customHeight="false" outlineLevel="0" collapsed="false">
      <c r="A13124" s="1" t="s">
        <v>1095</v>
      </c>
      <c r="B13124" s="0" t="s">
        <v>98</v>
      </c>
      <c r="C13124" s="6" t="n">
        <f aca="false">(w_ntm28*Sens!G13107+(1-w_ntm28)*Sens!H13107)*m_ads</f>
        <v>115.467626729004</v>
      </c>
    </row>
    <row r="13125" customFormat="false" ht="17.15" hidden="false" customHeight="false" outlineLevel="0" collapsed="false">
      <c r="A13125" s="1" t="s">
        <v>1096</v>
      </c>
      <c r="B13125" s="0" t="s">
        <v>98</v>
      </c>
      <c r="C13125" s="6" t="n">
        <f aca="false">(w_ntm28*Sens!G13112+(1-w_ntm28)*Sens!H13112)*m_game</f>
        <v>98.0506984247457</v>
      </c>
    </row>
    <row r="13126" customFormat="false" ht="17.15" hidden="false" customHeight="false" outlineLevel="0" collapsed="false">
      <c r="A13126" s="1" t="s">
        <v>1097</v>
      </c>
      <c r="B13126" s="0" t="s">
        <v>98</v>
      </c>
      <c r="C13126" s="6" t="n">
        <f aca="false">(w_ntm28*Sens!G13113+(1-w_ntm28)*Sens!H13113)*m_pc</f>
        <v>97.2088080478016</v>
      </c>
    </row>
    <row r="13127" customFormat="false" ht="17.15" hidden="false" customHeight="false" outlineLevel="0" collapsed="false">
      <c r="A13127" s="1" t="s">
        <v>1098</v>
      </c>
      <c r="B13127" s="0" t="s">
        <v>98</v>
      </c>
      <c r="C13127" s="6" t="n">
        <f aca="false">Sens!$C$13117+Sens!$C$13119+Sens!$C$13120+Sens!$C$13121+Sens!$C$13122+Sens!$C$13123+Sens!$C$13124+Sens!$C$13125+Sens!$C$13126</f>
        <v>3526.04140103083</v>
      </c>
    </row>
    <row r="13128" customFormat="false" ht="17.15" hidden="false" customHeight="false" outlineLevel="0" collapsed="false">
      <c r="A13128" s="1" t="s">
        <v>1099</v>
      </c>
      <c r="B13128" s="0" t="s">
        <v>98</v>
      </c>
      <c r="C13128" s="6" t="n">
        <f aca="false">(Sens!G13089-Sens!G13114)*t_stub</f>
        <v>47.9592964551235</v>
      </c>
      <c r="L13128" s="1" t="s">
        <v>1100</v>
      </c>
    </row>
    <row r="13129" customFormat="false" ht="17.15" hidden="false" customHeight="false" outlineLevel="0" collapsed="false">
      <c r="A13129" s="1" t="s">
        <v>1014</v>
      </c>
      <c r="B13129" s="0" t="s">
        <v>98</v>
      </c>
      <c r="C13129" s="6" t="n">
        <f aca="false">CF!F38+oai_v-CF!F27+Sens!$C$13128</f>
        <v>163.066005497665</v>
      </c>
      <c r="L13129" s="1" t="s">
        <v>1101</v>
      </c>
    </row>
    <row r="13130" customFormat="false" ht="17.15" hidden="false" customHeight="false" outlineLevel="0" collapsed="false">
      <c r="A13130" s="1" t="s">
        <v>1102</v>
      </c>
      <c r="B13130" s="0" t="s">
        <v>75</v>
      </c>
      <c r="C13130" s="5" t="n">
        <f aca="false">(Sens!$C$13127+Sens!$C$13129)/(CF!F40+dil_gap)-CF!G30*roll_div_q/q_per_yr</f>
        <v>491.103964051293</v>
      </c>
      <c r="L13130" s="1" t="s">
        <v>1103</v>
      </c>
    </row>
    <row r="13131" customFormat="false" ht="17.15" hidden="false" customHeight="false" outlineLevel="0" collapsed="false">
      <c r="A13131" s="1" t="s">
        <v>1104</v>
      </c>
      <c r="B13131" s="0" t="s">
        <v>75</v>
      </c>
      <c r="C13131" s="5" t="n">
        <f aca="false">w_dcf*Sens!$C$13101+(1-w_dcf)*Sens!$C$13130</f>
        <v>446.909139151316</v>
      </c>
    </row>
    <row r="13132" customFormat="false" ht="17.15" hidden="false" customHeight="false" outlineLevel="0" collapsed="false">
      <c r="A13132" s="3" t="s">
        <v>1596</v>
      </c>
    </row>
    <row r="13133" customFormat="false" ht="15" hidden="false" customHeight="false" outlineLevel="0" collapsed="false">
      <c r="A13133" s="4" t="s">
        <v>43</v>
      </c>
      <c r="B13133" s="4" t="s">
        <v>65</v>
      </c>
      <c r="C13133" s="20" t="s">
        <v>799</v>
      </c>
      <c r="D13133" s="20" t="s">
        <v>800</v>
      </c>
      <c r="E13133" s="20" t="s">
        <v>801</v>
      </c>
      <c r="F13133" s="20" t="s">
        <v>802</v>
      </c>
      <c r="G13133" s="20" t="s">
        <v>803</v>
      </c>
      <c r="H13133" s="20" t="s">
        <v>804</v>
      </c>
      <c r="I13133" s="20" t="s">
        <v>805</v>
      </c>
      <c r="J13133" s="20" t="s">
        <v>806</v>
      </c>
      <c r="K13133" s="20" t="s">
        <v>807</v>
      </c>
      <c r="L13133" s="4" t="s">
        <v>47</v>
      </c>
    </row>
    <row r="13134" customFormat="false" ht="15" hidden="false" customHeight="false" outlineLevel="0" collapsed="false">
      <c r="A13134" s="1" t="s">
        <v>1057</v>
      </c>
      <c r="B13134" s="1" t="s">
        <v>235</v>
      </c>
      <c r="F13134" s="36" t="n">
        <f aca="false">Thesis!F55-base_fy-mid_yr</f>
        <v>0.5</v>
      </c>
      <c r="G13134" s="36" t="n">
        <f aca="false">Thesis!G55-base_fy-mid_yr</f>
        <v>1.5</v>
      </c>
      <c r="H13134" s="36" t="n">
        <f aca="false">Thesis!H55-base_fy-mid_yr</f>
        <v>2.5</v>
      </c>
      <c r="I13134" s="36" t="n">
        <f aca="false">Thesis!I55-base_fy-mid_yr</f>
        <v>3.5</v>
      </c>
      <c r="J13134" s="36" t="n">
        <f aca="false">Thesis!J55-base_fy-mid_yr</f>
        <v>4.5</v>
      </c>
      <c r="K13134" s="36" t="n">
        <f aca="false">Thesis!K55-base_fy-mid_yr</f>
        <v>5.5</v>
      </c>
    </row>
    <row r="13135" customFormat="false" ht="15" hidden="false" customHeight="false" outlineLevel="0" collapsed="false">
      <c r="A13135" s="1" t="s">
        <v>1058</v>
      </c>
      <c r="B13135" s="0" t="s">
        <v>185</v>
      </c>
      <c r="F13135" s="14" t="n">
        <f aca="false">1/(1+wacc)^Sens!F13134</f>
        <v>0.952193373608246</v>
      </c>
      <c r="G13135" s="14" t="n">
        <f aca="false">1/(1+wacc)^Sens!G13134</f>
        <v>0.863327280626589</v>
      </c>
      <c r="H13135" s="14" t="n">
        <f aca="false">1/(1+wacc)^Sens!H13134</f>
        <v>0.782754862754115</v>
      </c>
      <c r="I13135" s="14" t="n">
        <f aca="false">1/(1+wacc)^Sens!I13134</f>
        <v>0.709702089711011</v>
      </c>
      <c r="J13135" s="14" t="n">
        <f aca="false">1/(1+wacc)^Sens!J13134</f>
        <v>0.643467169744551</v>
      </c>
      <c r="K13135" s="14" t="n">
        <f aca="false">1/(1+wacc)^Sens!K13134</f>
        <v>0.583413807767797</v>
      </c>
    </row>
    <row r="13136" customFormat="false" ht="17.15" hidden="false" customHeight="false" outlineLevel="0" collapsed="false">
      <c r="A13136" s="1" t="s">
        <v>1059</v>
      </c>
      <c r="B13136" s="0" t="s">
        <v>98</v>
      </c>
      <c r="F13136" s="6" t="n">
        <f aca="false">CF!F53-CF!F51-CF!F57+Thesis!F93*(1-tax_f)</f>
        <v>-2.12916264917943</v>
      </c>
      <c r="G13136" s="6" t="n">
        <f aca="false">CF!G53-CF!G51-CF!G57+Thesis!G93*(1-tax_f)</f>
        <v>37.4539072201241</v>
      </c>
      <c r="H13136" s="6" t="n">
        <f aca="false">CF!H53-CF!H51-CF!H57+Thesis!H93*(1-tax_f)</f>
        <v>85.8888636072133</v>
      </c>
      <c r="I13136" s="6" t="n">
        <f aca="false">CF!I53-CF!I51-CF!I57+Thesis!I93*(1-tax_f)</f>
        <v>159.098024951333</v>
      </c>
      <c r="J13136" s="6" t="n">
        <f aca="false">CF!J53-CF!J51-CF!J57+Thesis!J93*(1-tax_f)</f>
        <v>233.876759261847</v>
      </c>
      <c r="K13136" s="6" t="n">
        <f aca="false">CF!K53-CF!K51-CF!K57+Thesis!K93*(1-tax_f)</f>
        <v>268.447783789649</v>
      </c>
      <c r="L13136" s="1" t="s">
        <v>1060</v>
      </c>
    </row>
    <row r="13137" customFormat="false" ht="15" hidden="false" customHeight="false" outlineLevel="0" collapsed="false">
      <c r="A13137" s="1" t="s">
        <v>1061</v>
      </c>
      <c r="B13137" s="0" t="s">
        <v>98</v>
      </c>
      <c r="F13137" s="6" t="n">
        <f aca="false">Sens!F13136*Sens!F13135</f>
        <v>-2.02737456588283</v>
      </c>
      <c r="G13137" s="6" t="n">
        <f aca="false">Sens!G13136*Sens!G13135</f>
        <v>32.3349798691903</v>
      </c>
      <c r="H13137" s="6" t="n">
        <f aca="false">Sens!H13136*Sens!H13135</f>
        <v>67.2299256449712</v>
      </c>
      <c r="I13137" s="6" t="n">
        <f aca="false">Sens!I13136*Sens!I13135</f>
        <v>112.912200776856</v>
      </c>
      <c r="J13137" s="6" t="n">
        <f aca="false">Sens!J13136*Sens!J13135</f>
        <v>150.492016351249</v>
      </c>
      <c r="K13137" s="6" t="n">
        <f aca="false">Sens!K13136*Sens!K13135</f>
        <v>156.616143727545</v>
      </c>
    </row>
    <row r="13138" customFormat="false" ht="17.15" hidden="false" customHeight="false" outlineLevel="0" collapsed="false">
      <c r="A13138" s="1" t="s">
        <v>1062</v>
      </c>
      <c r="B13138" s="0" t="s">
        <v>98</v>
      </c>
      <c r="C13138" s="6" t="n">
        <f aca="false">SUM(Sens!F13137:K13137)</f>
        <v>517.557891803928</v>
      </c>
    </row>
    <row r="13139" customFormat="false" ht="17.15" hidden="false" customHeight="false" outlineLevel="0" collapsed="false">
      <c r="A13139" s="1" t="s">
        <v>1063</v>
      </c>
      <c r="B13139" s="0" t="s">
        <v>98</v>
      </c>
      <c r="C13139" s="6" t="n">
        <f aca="false">PL!K78*(1+g_tv)*(1-tax_f)</f>
        <v>284.685941703094</v>
      </c>
    </row>
    <row r="13140" customFormat="false" ht="17.15" hidden="false" customHeight="false" outlineLevel="0" collapsed="false">
      <c r="A13140" s="1" t="s">
        <v>1064</v>
      </c>
      <c r="B13140" s="0" t="s">
        <v>98</v>
      </c>
      <c r="C13140" s="6" t="n">
        <f aca="false">Sens!$C$13139*(1-g_tv/(wacc+ronic_prem_hi))</f>
        <v>228.841232278582</v>
      </c>
    </row>
    <row r="13141" customFormat="false" ht="17.15" hidden="false" customHeight="false" outlineLevel="0" collapsed="false">
      <c r="A13141" s="1" t="s">
        <v>1065</v>
      </c>
      <c r="B13141" s="0" t="s">
        <v>98</v>
      </c>
      <c r="C13141" s="6" t="n">
        <f aca="false">Sens!$C$13140/(wacc-g_tv)</f>
        <v>3137.63010643223</v>
      </c>
    </row>
    <row r="13142" customFormat="false" ht="15" hidden="false" customHeight="false" outlineLevel="0" collapsed="false">
      <c r="A13142" s="1" t="s">
        <v>1066</v>
      </c>
      <c r="B13142" s="0" t="s">
        <v>98</v>
      </c>
      <c r="C13142" s="6" t="n">
        <f aca="false">Sens!$C$13141/(1+wacc)^(Sens!K13134+mid_yr)</f>
        <v>1743.02494232007</v>
      </c>
    </row>
    <row r="13143" customFormat="false" ht="17.15" hidden="false" customHeight="false" outlineLevel="0" collapsed="false">
      <c r="A13143" s="0" t="s">
        <v>986</v>
      </c>
      <c r="B13143" s="0" t="s">
        <v>98</v>
      </c>
      <c r="C13143" s="6" t="n">
        <f aca="false">Sens!$C$13138+Sens!$C$13142</f>
        <v>2260.582834124</v>
      </c>
    </row>
    <row r="13144" customFormat="false" ht="15" hidden="false" customHeight="false" outlineLevel="0" collapsed="false">
      <c r="A13144" s="1" t="s">
        <v>987</v>
      </c>
      <c r="B13144" s="0" t="s">
        <v>129</v>
      </c>
      <c r="C13144" s="7" t="n">
        <f aca="false">Sens!$C$13142/Sens!$C$13143</f>
        <v>0.771051127173366</v>
      </c>
    </row>
    <row r="13145" customFormat="false" ht="17.15" hidden="false" customHeight="false" outlineLevel="0" collapsed="false">
      <c r="A13145" s="1" t="s">
        <v>1067</v>
      </c>
      <c r="B13145" s="0" t="s">
        <v>98</v>
      </c>
      <c r="C13145" s="6" t="n">
        <f aca="false">Sens!$C$13143+CF!E69-CF!E58+oai_v</f>
        <v>2395.095834124</v>
      </c>
    </row>
    <row r="13146" customFormat="false" ht="17.15" hidden="false" customHeight="false" outlineLevel="0" collapsed="false">
      <c r="A13146" s="0" t="s">
        <v>994</v>
      </c>
      <c r="B13146" s="0" t="s">
        <v>75</v>
      </c>
      <c r="C13146" s="5" t="n">
        <f aca="false">Sens!$C$13145/sh_dil26</f>
        <v>321.359967009795</v>
      </c>
    </row>
    <row r="13147" customFormat="false" ht="15" hidden="false" customHeight="false" outlineLevel="0" collapsed="false">
      <c r="A13147" s="1" t="s">
        <v>1068</v>
      </c>
      <c r="B13147" s="0" t="s">
        <v>75</v>
      </c>
      <c r="C13147" s="8" t="n">
        <f aca="false">dps_27+CF!G61*roll_div_q/q_per_yr</f>
        <v>4.8895</v>
      </c>
    </row>
    <row r="13148" customFormat="false" ht="17.15" hidden="false" customHeight="false" outlineLevel="0" collapsed="false">
      <c r="A13148" s="0" t="s">
        <v>1069</v>
      </c>
      <c r="B13148" s="0" t="s">
        <v>75</v>
      </c>
      <c r="C13148" s="5" t="n">
        <f aca="false">Sens!$C$13146*(1+wacc)^t_roll-Sens!$C$13147</f>
        <v>361.053824490945</v>
      </c>
    </row>
    <row r="13149" customFormat="false" ht="17.15" hidden="false" customHeight="false" outlineLevel="0" collapsed="false">
      <c r="A13149" s="1" t="s">
        <v>1070</v>
      </c>
      <c r="B13149" s="0" t="s">
        <v>129</v>
      </c>
      <c r="F13149" s="7" t="n">
        <f aca="false">CF!F48/(Seg!F56-Thesis!F72)</f>
        <v>0.0708376243512414</v>
      </c>
      <c r="G13149" s="7" t="n">
        <f aca="false">CF!G48/(Seg!G56-Thesis!G72)</f>
        <v>0.0675792567445289</v>
      </c>
      <c r="H13149" s="7" t="n">
        <f aca="false">CF!H48/(Seg!H56-Thesis!H72)</f>
        <v>0.0657637992399081</v>
      </c>
      <c r="I13149" s="7" t="n">
        <f aca="false">CF!I48/(Seg!I56-Thesis!I72)</f>
        <v>0.0652507860006261</v>
      </c>
      <c r="J13149" s="7" t="n">
        <f aca="false">CF!J48/(Seg!J56-Thesis!J72)</f>
        <v>0.0657374094257698</v>
      </c>
      <c r="K13149" s="7" t="n">
        <f aca="false">CF!K48/(Seg!K56-Thesis!K72)</f>
        <v>0.0668595832904836</v>
      </c>
    </row>
    <row r="13150" customFormat="false" ht="17.15" hidden="false" customHeight="false" outlineLevel="0" collapsed="false">
      <c r="A13150" s="0" t="s">
        <v>1071</v>
      </c>
      <c r="B13150" s="0" t="s">
        <v>98</v>
      </c>
      <c r="F13150" s="6" t="n">
        <f aca="false">Seg!F41*(al_m365+Sens!F13149+sbc_r)</f>
        <v>84.2019918892952</v>
      </c>
      <c r="G13150" s="6" t="n">
        <f aca="false">Seg!G41*(al_m365+Sens!G13149+sbc_r)</f>
        <v>96.61090954529</v>
      </c>
      <c r="H13150" s="6" t="n">
        <f aca="false">Seg!H41*(al_m365+Sens!H13149+sbc_r)</f>
        <v>109.18271398457</v>
      </c>
      <c r="I13150" s="6" t="n">
        <f aca="false">Seg!I41*(al_m365+Sens!I13149+sbc_r)</f>
        <v>120.736322591613</v>
      </c>
      <c r="J13150" s="6" t="n">
        <f aca="false">Seg!J41*(al_m365+Sens!J13149+sbc_r)</f>
        <v>131.084561154645</v>
      </c>
      <c r="K13150" s="6" t="n">
        <f aca="false">Seg!K41*(al_m365+Sens!K13149+sbc_r)</f>
        <v>141.044207560217</v>
      </c>
      <c r="L13150" s="11" t="s">
        <v>1072</v>
      </c>
    </row>
    <row r="13151" customFormat="false" ht="17.15" hidden="false" customHeight="false" outlineLevel="0" collapsed="false">
      <c r="A13151" s="0" t="s">
        <v>1073</v>
      </c>
      <c r="B13151" s="0" t="s">
        <v>98</v>
      </c>
      <c r="F13151" s="6" t="n">
        <f aca="false">Seg!F42*(al_lic+Sens!F13149+sbc_r)</f>
        <v>33.5324516680982</v>
      </c>
      <c r="G13151" s="6" t="n">
        <f aca="false">Seg!G42*(al_lic+Sens!G13149+sbc_r)</f>
        <v>34.819657317048</v>
      </c>
      <c r="H13151" s="6" t="n">
        <f aca="false">Seg!H42*(al_lic+Sens!H13149+sbc_r)</f>
        <v>36.0229106304815</v>
      </c>
      <c r="I13151" s="6" t="n">
        <f aca="false">Seg!I42*(al_lic+Sens!I13149+sbc_r)</f>
        <v>37.1234854794919</v>
      </c>
      <c r="J13151" s="6" t="n">
        <f aca="false">Seg!J42*(al_lic+Sens!J13149+sbc_r)</f>
        <v>38.0950592345738</v>
      </c>
      <c r="K13151" s="6" t="n">
        <f aca="false">Seg!K42*(al_lic+Sens!K13149+sbc_r)</f>
        <v>38.9080719459809</v>
      </c>
    </row>
    <row r="13152" customFormat="false" ht="17.15" hidden="false" customHeight="false" outlineLevel="0" collapsed="false">
      <c r="A13152" s="0" t="s">
        <v>1074</v>
      </c>
      <c r="B13152" s="0" t="s">
        <v>98</v>
      </c>
      <c r="F13152" s="6" t="n">
        <f aca="false">Seg!F44*(al_ind+Sens!F13149+sbc_r)</f>
        <v>9.12666918765551</v>
      </c>
      <c r="G13152" s="6" t="n">
        <f aca="false">Seg!G44*(al_ind+Sens!G13149+sbc_r)</f>
        <v>9.89694850970116</v>
      </c>
      <c r="H13152" s="6" t="n">
        <f aca="false">Seg!H44*(al_ind+Sens!H13149+sbc_r)</f>
        <v>10.7131335152527</v>
      </c>
      <c r="I13152" s="6" t="n">
        <f aca="false">Seg!I44*(al_ind+Sens!I13149+sbc_r)</f>
        <v>11.5721730864119</v>
      </c>
      <c r="J13152" s="6" t="n">
        <f aca="false">Seg!J44*(al_ind+Sens!J13149+sbc_r)</f>
        <v>12.4641697526801</v>
      </c>
      <c r="K13152" s="6" t="n">
        <f aca="false">Seg!K44*(al_ind+Sens!K13149+sbc_r)</f>
        <v>13.3737871892836</v>
      </c>
    </row>
    <row r="13153" customFormat="false" ht="17.15" hidden="false" customHeight="false" outlineLevel="0" collapsed="false">
      <c r="A13153" s="0" t="s">
        <v>1075</v>
      </c>
      <c r="B13153" s="0" t="s">
        <v>98</v>
      </c>
      <c r="F13153" s="6" t="n">
        <f aca="false">Seg!F46*(al_fro+Sens!F13149+sbc_r)</f>
        <v>3.5922890341799</v>
      </c>
      <c r="G13153" s="6" t="n">
        <f aca="false">Seg!G46*(al_fro+Sens!G13149+sbc_r)</f>
        <v>3.79984310356763</v>
      </c>
      <c r="H13153" s="6" t="n">
        <f aca="false">Seg!H46*(al_fro+Sens!H13149+sbc_r)</f>
        <v>4.03707539290126</v>
      </c>
      <c r="I13153" s="6" t="n">
        <f aca="false">Seg!I46*(al_fro+Sens!I13149+sbc_r)</f>
        <v>4.30669184104541</v>
      </c>
      <c r="J13153" s="6" t="n">
        <f aca="false">Seg!J46*(al_fro+Sens!J13149+sbc_r)</f>
        <v>4.6097289716959</v>
      </c>
      <c r="K13153" s="6" t="n">
        <f aca="false">Seg!K46*(al_fro+Sens!K13149+sbc_r)</f>
        <v>4.94614045628512</v>
      </c>
    </row>
    <row r="13154" customFormat="false" ht="17.15" hidden="false" customHeight="false" outlineLevel="0" collapsed="false">
      <c r="A13154" s="0" t="s">
        <v>1076</v>
      </c>
      <c r="B13154" s="0" t="s">
        <v>98</v>
      </c>
      <c r="F13154" s="6" t="n">
        <f aca="false">Seg!F49*(al_srch+Sens!F13149+sbc_r)</f>
        <v>11.2715683093452</v>
      </c>
      <c r="G13154" s="6" t="n">
        <f aca="false">Seg!G49*(al_srch+Sens!G13149+sbc_r)</f>
        <v>12.338201972554</v>
      </c>
      <c r="H13154" s="6" t="n">
        <f aca="false">Seg!H49*(al_srch+Sens!H13149+sbc_r)</f>
        <v>13.450727865064</v>
      </c>
      <c r="I13154" s="6" t="n">
        <f aca="false">Seg!I49*(al_srch+Sens!I13149+sbc_r)</f>
        <v>14.598560682534</v>
      </c>
      <c r="J13154" s="6" t="n">
        <f aca="false">Seg!J49*(al_srch+Sens!J13149+sbc_r)</f>
        <v>15.7615229152659</v>
      </c>
      <c r="K13154" s="6" t="n">
        <f aca="false">Seg!K49*(al_srch+Sens!K13149+sbc_r)</f>
        <v>16.9117765106222</v>
      </c>
    </row>
    <row r="13155" customFormat="false" ht="17.15" hidden="false" customHeight="false" outlineLevel="0" collapsed="false">
      <c r="A13155" s="0" t="s">
        <v>1077</v>
      </c>
      <c r="B13155" s="0" t="s">
        <v>98</v>
      </c>
      <c r="F13155" s="6" t="n">
        <f aca="false">Thesis!F78-Thesis!F79+Thesis!F93</f>
        <v>42.2254306726393</v>
      </c>
      <c r="G13155" s="6" t="n">
        <f aca="false">Thesis!G78-Thesis!G79+Thesis!G93</f>
        <v>79.7027537443441</v>
      </c>
      <c r="H13155" s="6" t="n">
        <f aca="false">Thesis!H78-Thesis!H79+Thesis!H93</f>
        <v>120.060533679822</v>
      </c>
      <c r="I13155" s="6" t="n">
        <f aca="false">Thesis!I78-Thesis!I79+Thesis!I93</f>
        <v>156.515256506302</v>
      </c>
      <c r="J13155" s="6" t="n">
        <f aca="false">Thesis!J78-Thesis!J79+Thesis!J93</f>
        <v>182.51821819491</v>
      </c>
      <c r="K13155" s="6" t="n">
        <f aca="false">Thesis!K78-Thesis!K79+Thesis!K93</f>
        <v>199.254533496123</v>
      </c>
    </row>
    <row r="13156" customFormat="false" ht="17.15" hidden="false" customHeight="false" outlineLevel="0" collapsed="false">
      <c r="A13156" s="0" t="s">
        <v>1078</v>
      </c>
      <c r="B13156" s="0" t="s">
        <v>98</v>
      </c>
      <c r="F13156" s="6" t="n">
        <f aca="false">PL!F71+Thesis!F93+Thesis!F89+Sens!F13149*(Seg!F48-Thesis!F72)+sbc_r*Seg!F48</f>
        <v>233.08249657256</v>
      </c>
      <c r="G13156" s="6" t="n">
        <f aca="false">PL!G71+Thesis!G93+Thesis!G89+Sens!G13149*(Seg!G48-Thesis!G72)+sbc_r*Seg!G48</f>
        <v>297.663189032606</v>
      </c>
      <c r="H13156" s="6" t="n">
        <f aca="false">PL!H71+Thesis!H93+Thesis!H89+Sens!H13149*(Seg!H48-Thesis!H72)+sbc_r*Seg!H48</f>
        <v>365.628165851855</v>
      </c>
      <c r="I13156" s="6" t="n">
        <f aca="false">PL!I71+Thesis!I93+Thesis!I89+Sens!I13149*(Seg!I48-Thesis!I72)+sbc_r*Seg!I48</f>
        <v>428.31888397841</v>
      </c>
      <c r="J13156" s="6" t="n">
        <f aca="false">PL!J71+Thesis!J93+Thesis!J89+Sens!J13149*(Seg!J48-Thesis!J72)+sbc_r*Seg!J48</f>
        <v>478.127348640143</v>
      </c>
      <c r="K13156" s="6" t="n">
        <f aca="false">PL!K71+Thesis!K93+Thesis!K89+Sens!K13149*(Seg!K48-Thesis!K72)+sbc_r*Seg!K48</f>
        <v>516.321726855748</v>
      </c>
    </row>
    <row r="13157" customFormat="false" ht="17.15" hidden="false" customHeight="false" outlineLevel="0" collapsed="false">
      <c r="A13157" s="0" t="s">
        <v>1079</v>
      </c>
      <c r="B13157" s="0" t="s">
        <v>98</v>
      </c>
      <c r="F13157" s="6" t="n">
        <f aca="false">Sens!F13156-Sens!F13150-Sens!F13151-Sens!F13152-Sens!F13153-Sens!F13155</f>
        <v>60.4036641206917</v>
      </c>
      <c r="G13157" s="6" t="n">
        <f aca="false">Sens!G13156-Sens!G13150-Sens!G13151-Sens!G13152-Sens!G13153-Sens!G13155</f>
        <v>72.8330768126549</v>
      </c>
      <c r="H13157" s="6" t="n">
        <f aca="false">Sens!H13156-Sens!H13150-Sens!H13151-Sens!H13152-Sens!H13153-Sens!H13155</f>
        <v>85.6117986488275</v>
      </c>
      <c r="I13157" s="6" t="n">
        <f aca="false">Sens!I13156-Sens!I13150-Sens!I13151-Sens!I13152-Sens!I13153-Sens!I13155</f>
        <v>98.0649544735462</v>
      </c>
      <c r="J13157" s="6" t="n">
        <f aca="false">Sens!J13156-Sens!J13150-Sens!J13151-Sens!J13152-Sens!J13153-Sens!J13155</f>
        <v>109.355611331638</v>
      </c>
      <c r="K13157" s="6" t="n">
        <f aca="false">Sens!K13156-Sens!K13150-Sens!K13151-Sens!K13152-Sens!K13153-Sens!K13155</f>
        <v>118.794986207857</v>
      </c>
    </row>
    <row r="13158" customFormat="false" ht="17.15" hidden="false" customHeight="false" outlineLevel="0" collapsed="false">
      <c r="A13158" s="0" t="s">
        <v>1080</v>
      </c>
      <c r="B13158" s="0" t="s">
        <v>98</v>
      </c>
      <c r="F13158" s="6" t="n">
        <f aca="false">PL!F73+Sens!F13149*Seg!F55+sbc_r*Seg!F55</f>
        <v>26.345087006484</v>
      </c>
      <c r="G13158" s="6" t="n">
        <f aca="false">PL!G73+Sens!G13149*Seg!G55+sbc_r*Seg!G55</f>
        <v>26.928666241387</v>
      </c>
      <c r="H13158" s="6" t="n">
        <f aca="false">PL!H73+Sens!H13149*Seg!H55+sbc_r*Seg!H55</f>
        <v>27.7857977299272</v>
      </c>
      <c r="I13158" s="6" t="n">
        <f aca="false">PL!I73+Sens!I13149*Seg!I55+sbc_r*Seg!I55</f>
        <v>28.8854111921819</v>
      </c>
      <c r="J13158" s="6" t="n">
        <f aca="false">PL!J73+Sens!J13149*Seg!J55+sbc_r*Seg!J55</f>
        <v>30.1909525075627</v>
      </c>
      <c r="K13158" s="6" t="n">
        <f aca="false">PL!K73+Sens!K13149*Seg!K55+sbc_r*Seg!K55</f>
        <v>31.6641663414168</v>
      </c>
    </row>
    <row r="13159" customFormat="false" ht="17.15" hidden="false" customHeight="false" outlineLevel="0" collapsed="false">
      <c r="A13159" s="0" t="s">
        <v>1081</v>
      </c>
      <c r="B13159" s="0" t="s">
        <v>98</v>
      </c>
      <c r="F13159" s="6" t="n">
        <f aca="false">(Sens!F13158-Sens!F13154)*Seg!F51/(Seg!F51+Seg!F53)</f>
        <v>8.26315613582677</v>
      </c>
      <c r="G13159" s="6" t="n">
        <f aca="false">(Sens!G13158-Sens!G13154)*Seg!G51/(Seg!G51+Seg!G53)</f>
        <v>7.85574031810689</v>
      </c>
      <c r="H13159" s="6" t="n">
        <f aca="false">(Sens!H13158-Sens!H13154)*Seg!H51/(Seg!H51+Seg!H53)</f>
        <v>7.61397145487838</v>
      </c>
      <c r="I13159" s="6" t="n">
        <f aca="false">(Sens!I13158-Sens!I13154)*Seg!I51/(Seg!I51+Seg!I53)</f>
        <v>7.51970050510933</v>
      </c>
      <c r="J13159" s="6" t="n">
        <f aca="false">(Sens!J13158-Sens!J13154)*Seg!J51/(Seg!J51+Seg!J53)</f>
        <v>7.56040201890202</v>
      </c>
      <c r="K13159" s="6" t="n">
        <f aca="false">(Sens!K13158-Sens!K13154)*Seg!K51/(Seg!K51+Seg!K53)</f>
        <v>7.72961932742727</v>
      </c>
    </row>
    <row r="13160" customFormat="false" ht="17.15" hidden="false" customHeight="false" outlineLevel="0" collapsed="false">
      <c r="A13160" s="0" t="s">
        <v>1082</v>
      </c>
      <c r="B13160" s="0" t="s">
        <v>98</v>
      </c>
      <c r="F13160" s="6" t="n">
        <f aca="false">Sens!F13158-Sens!F13154-Sens!F13159</f>
        <v>6.81036256131213</v>
      </c>
      <c r="G13160" s="6" t="n">
        <f aca="false">Sens!G13158-Sens!G13154-Sens!G13159</f>
        <v>6.73472395072608</v>
      </c>
      <c r="H13160" s="6" t="n">
        <f aca="false">Sens!H13158-Sens!H13154-Sens!H13159</f>
        <v>6.72109840998485</v>
      </c>
      <c r="I13160" s="6" t="n">
        <f aca="false">Sens!I13158-Sens!I13154-Sens!I13159</f>
        <v>6.76715000453853</v>
      </c>
      <c r="J13160" s="6" t="n">
        <f aca="false">Sens!J13158-Sens!J13154-Sens!J13159</f>
        <v>6.86902757339483</v>
      </c>
      <c r="K13160" s="6" t="n">
        <f aca="false">Sens!K13158-Sens!K13154-Sens!K13159</f>
        <v>7.02277050336727</v>
      </c>
    </row>
    <row r="13161" customFormat="false" ht="17.15" hidden="false" customHeight="false" outlineLevel="0" collapsed="false">
      <c r="A13161" s="0" t="s">
        <v>1083</v>
      </c>
      <c r="B13161" s="0" t="s">
        <v>98</v>
      </c>
      <c r="F13161" s="6" t="n">
        <f aca="false">Sens!F13155-tax_f*(Sens!F13155-Thesis!F89)-Thesis!F86</f>
        <v>-119.742553857164</v>
      </c>
      <c r="G13161" s="6" t="n">
        <f aca="false">Sens!G13155-tax_f*(Sens!G13155-Thesis!G89)-Thesis!G86</f>
        <v>-107.986890065622</v>
      </c>
      <c r="H13161" s="6" t="n">
        <f aca="false">Sens!H13155-tax_f*(Sens!H13155-Thesis!H89)-Thesis!H86</f>
        <v>-74.7596549978803</v>
      </c>
      <c r="I13161" s="6" t="n">
        <f aca="false">Sens!I13155-tax_f*(Sens!I13155-Thesis!I89)-Thesis!I86</f>
        <v>-16.3733151827256</v>
      </c>
      <c r="J13161" s="6" t="n">
        <f aca="false">Sens!J13155-tax_f*(Sens!J13155-Thesis!J89)-Thesis!J86</f>
        <v>44.4328025322546</v>
      </c>
      <c r="K13161" s="6" t="n">
        <f aca="false">Sens!K13155-tax_f*(Sens!K13155-Thesis!K89)-Thesis!K86</f>
        <v>65.8225043021697</v>
      </c>
    </row>
    <row r="13162" customFormat="false" ht="17.15" hidden="false" customHeight="false" outlineLevel="0" collapsed="false">
      <c r="A13162" s="0" t="s">
        <v>1084</v>
      </c>
      <c r="B13162" s="0" t="s">
        <v>98</v>
      </c>
      <c r="G13162" s="6" t="n">
        <f aca="false">Sens!G13161/(1+wacc)^(Sens!G13134-(Sens!F13134+mid_yr))</f>
        <v>-102.824401157048</v>
      </c>
      <c r="H13162" s="6" t="n">
        <f aca="false">Sens!H13161/(1+wacc)^(Sens!H13134-(Sens!F13134+mid_yr))</f>
        <v>-64.5420496499019</v>
      </c>
      <c r="I13162" s="6" t="n">
        <f aca="false">Sens!I13161/(1+wacc)^(Sens!I13134-(Sens!F13134+mid_yr))</f>
        <v>-12.8162920786843</v>
      </c>
      <c r="J13162" s="6" t="n">
        <f aca="false">Sens!J13161/(1+wacc)^(Sens!J13134-(Sens!F13134+mid_yr))</f>
        <v>31.5340528088578</v>
      </c>
      <c r="K13162" s="6" t="n">
        <f aca="false">Sens!K13161/(1+wacc)^(Sens!K13134-(Sens!F13134+mid_yr))</f>
        <v>42.3546205488157</v>
      </c>
      <c r="L13162" s="1" t="s">
        <v>1085</v>
      </c>
    </row>
    <row r="13163" customFormat="false" ht="17.15" hidden="false" customHeight="false" outlineLevel="0" collapsed="false">
      <c r="A13163" s="0" t="s">
        <v>1086</v>
      </c>
      <c r="B13163" s="0" t="s">
        <v>98</v>
      </c>
      <c r="C13163" s="6" t="n">
        <f aca="false">(Sens!K13155-Thesis!K89)*(1-tax_f)*(1+g_tv)*(1-g_tv/(wacc+ronic_prem_hi))/(wacc-g_tv)/(1+wacc)^(Sens!K13134+mid_yr-(Sens!F13134+mid_yr))</f>
        <v>334.545834524263</v>
      </c>
    </row>
    <row r="13164" customFormat="false" ht="17.15" hidden="false" customHeight="false" outlineLevel="0" collapsed="false">
      <c r="A13164" s="1" t="s">
        <v>1087</v>
      </c>
      <c r="B13164" s="0" t="s">
        <v>98</v>
      </c>
      <c r="C13164" s="6" t="n">
        <f aca="false">(SUM(Sens!G13162:K13162)+Sens!$C$13163)*(1+wacc)^(t_roll-(Sens!F13134+mid_yr))</f>
        <v>235.660345061663</v>
      </c>
      <c r="L13164" s="11" t="s">
        <v>1088</v>
      </c>
    </row>
    <row r="13165" customFormat="false" ht="17.15" hidden="false" customHeight="false" outlineLevel="0" collapsed="false">
      <c r="A13165" s="1" t="s">
        <v>1089</v>
      </c>
      <c r="B13165" s="0" t="s">
        <v>98</v>
      </c>
      <c r="C13165" s="6" t="n">
        <f aca="false">(w_ntm28*Thesis!G78+(1-w_ntm28)*Thesis!H78)*m_ai</f>
        <v>454.922440830797</v>
      </c>
    </row>
    <row r="13166" customFormat="false" ht="17.15" hidden="false" customHeight="false" outlineLevel="0" collapsed="false">
      <c r="A13166" s="1" t="s">
        <v>1090</v>
      </c>
      <c r="B13166" s="0" t="s">
        <v>98</v>
      </c>
      <c r="C13166" s="6" t="n">
        <f aca="false">(w_ntm28*Sens!G13157+(1-w_ntm28)*Sens!H13157)*m_cloud</f>
        <v>1063.6463501031</v>
      </c>
    </row>
    <row r="13167" customFormat="false" ht="17.15" hidden="false" customHeight="false" outlineLevel="0" collapsed="false">
      <c r="A13167" s="1" t="s">
        <v>1091</v>
      </c>
      <c r="B13167" s="0" t="s">
        <v>98</v>
      </c>
      <c r="C13167" s="6" t="n">
        <f aca="false">(w_ntm28*Sens!G13150+(1-w_ntm28)*Sens!H13150)*m_sw</f>
        <v>1087.29236439713</v>
      </c>
    </row>
    <row r="13168" customFormat="false" ht="17.15" hidden="false" customHeight="false" outlineLevel="0" collapsed="false">
      <c r="A13168" s="1" t="s">
        <v>1092</v>
      </c>
      <c r="B13168" s="0" t="s">
        <v>98</v>
      </c>
      <c r="C13168" s="6" t="n">
        <f aca="false">(w_ntm28*Sens!G13151+(1-w_ntm28)*Sens!H13151)*m_sw</f>
        <v>380.253466209432</v>
      </c>
    </row>
    <row r="13169" customFormat="false" ht="17.15" hidden="false" customHeight="false" outlineLevel="0" collapsed="false">
      <c r="A13169" s="1" t="s">
        <v>1093</v>
      </c>
      <c r="B13169" s="0" t="s">
        <v>98</v>
      </c>
      <c r="C13169" s="6" t="n">
        <f aca="false">(w_ntm28*Sens!G13152+(1-w_ntm28)*Sens!H13152)*m_sw</f>
        <v>109.736759441964</v>
      </c>
    </row>
    <row r="13170" customFormat="false" ht="17.15" hidden="false" customHeight="false" outlineLevel="0" collapsed="false">
      <c r="A13170" s="1" t="s">
        <v>1094</v>
      </c>
      <c r="B13170" s="0" t="s">
        <v>98</v>
      </c>
      <c r="C13170" s="6" t="n">
        <f aca="false">(w_ntm28*Sens!G13153+(1-w_ntm28)*Sens!H13153)*m_sw</f>
        <v>41.8666036816175</v>
      </c>
    </row>
    <row r="13171" customFormat="false" ht="17.15" hidden="false" customHeight="false" outlineLevel="0" collapsed="false">
      <c r="A13171" s="1" t="s">
        <v>1095</v>
      </c>
      <c r="B13171" s="0" t="s">
        <v>98</v>
      </c>
      <c r="C13171" s="6" t="n">
        <f aca="false">(w_ntm28*Sens!G13154+(1-w_ntm28)*Sens!H13154)*m_ads</f>
        <v>115.677576364297</v>
      </c>
    </row>
    <row r="13172" customFormat="false" ht="17.15" hidden="false" customHeight="false" outlineLevel="0" collapsed="false">
      <c r="A13172" s="1" t="s">
        <v>1096</v>
      </c>
      <c r="B13172" s="0" t="s">
        <v>98</v>
      </c>
      <c r="C13172" s="6" t="n">
        <f aca="false">(w_ntm28*Sens!G13159+(1-w_ntm28)*Sens!H13159)*m_game</f>
        <v>98.230828142008</v>
      </c>
    </row>
    <row r="13173" customFormat="false" ht="17.15" hidden="false" customHeight="false" outlineLevel="0" collapsed="false">
      <c r="A13173" s="1" t="s">
        <v>1097</v>
      </c>
      <c r="B13173" s="0" t="s">
        <v>98</v>
      </c>
      <c r="C13173" s="6" t="n">
        <f aca="false">(w_ntm28*Sens!G13160+(1-w_ntm28)*Sens!H13160)*m_pc</f>
        <v>97.3877156607214</v>
      </c>
    </row>
    <row r="13174" customFormat="false" ht="17.15" hidden="false" customHeight="false" outlineLevel="0" collapsed="false">
      <c r="A13174" s="1" t="s">
        <v>1098</v>
      </c>
      <c r="B13174" s="0" t="s">
        <v>98</v>
      </c>
      <c r="C13174" s="6" t="n">
        <f aca="false">Sens!$C$13164+Sens!$C$13166+Sens!$C$13167+Sens!$C$13168+Sens!$C$13169+Sens!$C$13170+Sens!$C$13171+Sens!$C$13172+Sens!$C$13173</f>
        <v>3229.75200906193</v>
      </c>
    </row>
    <row r="13175" customFormat="false" ht="17.15" hidden="false" customHeight="false" outlineLevel="0" collapsed="false">
      <c r="A13175" s="1" t="s">
        <v>1099</v>
      </c>
      <c r="B13175" s="0" t="s">
        <v>98</v>
      </c>
      <c r="C13175" s="6" t="n">
        <f aca="false">(Sens!G13136-Sens!G13161)*t_stub</f>
        <v>47.417684594531</v>
      </c>
      <c r="L13175" s="1" t="s">
        <v>1100</v>
      </c>
    </row>
    <row r="13176" customFormat="false" ht="17.15" hidden="false" customHeight="false" outlineLevel="0" collapsed="false">
      <c r="A13176" s="1" t="s">
        <v>1014</v>
      </c>
      <c r="B13176" s="0" t="s">
        <v>98</v>
      </c>
      <c r="C13176" s="6" t="n">
        <f aca="false">CF!F69+oai_v-CF!F58+Sens!$C$13175</f>
        <v>158.699306060314</v>
      </c>
      <c r="L13176" s="1" t="s">
        <v>1101</v>
      </c>
    </row>
    <row r="13177" customFormat="false" ht="17.15" hidden="false" customHeight="false" outlineLevel="0" collapsed="false">
      <c r="A13177" s="1" t="s">
        <v>1102</v>
      </c>
      <c r="B13177" s="0" t="s">
        <v>75</v>
      </c>
      <c r="C13177" s="5" t="n">
        <f aca="false">(Sens!$C$13174+Sens!$C$13176)/(CF!F71+dil_gap)-CF!G61*roll_div_q/q_per_yr</f>
        <v>450.99509379966</v>
      </c>
      <c r="L13177" s="1" t="s">
        <v>1103</v>
      </c>
    </row>
    <row r="13178" customFormat="false" ht="17.15" hidden="false" customHeight="false" outlineLevel="0" collapsed="false">
      <c r="A13178" s="1" t="s">
        <v>1104</v>
      </c>
      <c r="B13178" s="0" t="s">
        <v>75</v>
      </c>
      <c r="C13178" s="5" t="n">
        <f aca="false">w_dcf*Sens!$C$13148+(1-w_dcf)*Sens!$C$13177</f>
        <v>406.024459145302</v>
      </c>
    </row>
    <row r="13179" customFormat="false" ht="17.15" hidden="false" customHeight="false" outlineLevel="0" collapsed="false">
      <c r="A13179" s="3" t="s">
        <v>1597</v>
      </c>
    </row>
    <row r="13180" customFormat="false" ht="15" hidden="false" customHeight="false" outlineLevel="0" collapsed="false">
      <c r="A13180" s="4" t="s">
        <v>43</v>
      </c>
      <c r="B13180" s="4" t="s">
        <v>65</v>
      </c>
      <c r="C13180" s="20" t="s">
        <v>799</v>
      </c>
      <c r="D13180" s="20" t="s">
        <v>800</v>
      </c>
      <c r="E13180" s="20" t="s">
        <v>801</v>
      </c>
      <c r="F13180" s="20" t="s">
        <v>802</v>
      </c>
      <c r="G13180" s="20" t="s">
        <v>803</v>
      </c>
      <c r="H13180" s="20" t="s">
        <v>804</v>
      </c>
      <c r="I13180" s="20" t="s">
        <v>805</v>
      </c>
      <c r="J13180" s="20" t="s">
        <v>806</v>
      </c>
      <c r="K13180" s="20" t="s">
        <v>807</v>
      </c>
      <c r="L13180" s="4" t="s">
        <v>47</v>
      </c>
    </row>
    <row r="13181" customFormat="false" ht="15" hidden="false" customHeight="false" outlineLevel="0" collapsed="false">
      <c r="A13181" s="1" t="s">
        <v>1057</v>
      </c>
      <c r="B13181" s="1" t="s">
        <v>235</v>
      </c>
      <c r="F13181" s="36" t="n">
        <f aca="false">Thesis!F104-base_fy-mid_yr</f>
        <v>0.5</v>
      </c>
      <c r="G13181" s="36" t="n">
        <f aca="false">Thesis!G104-base_fy-mid_yr</f>
        <v>1.5</v>
      </c>
      <c r="H13181" s="36" t="n">
        <f aca="false">Thesis!H104-base_fy-mid_yr</f>
        <v>2.5</v>
      </c>
      <c r="I13181" s="36" t="n">
        <f aca="false">Thesis!I104-base_fy-mid_yr</f>
        <v>3.5</v>
      </c>
      <c r="J13181" s="36" t="n">
        <f aca="false">Thesis!J104-base_fy-mid_yr</f>
        <v>4.5</v>
      </c>
      <c r="K13181" s="36" t="n">
        <f aca="false">Thesis!K104-base_fy-mid_yr</f>
        <v>5.5</v>
      </c>
    </row>
    <row r="13182" customFormat="false" ht="15" hidden="false" customHeight="false" outlineLevel="0" collapsed="false">
      <c r="A13182" s="1" t="s">
        <v>1058</v>
      </c>
      <c r="B13182" s="0" t="s">
        <v>185</v>
      </c>
      <c r="F13182" s="14" t="n">
        <f aca="false">1/(1+wacc)^Sens!F13181</f>
        <v>0.952193373608246</v>
      </c>
      <c r="G13182" s="14" t="n">
        <f aca="false">1/(1+wacc)^Sens!G13181</f>
        <v>0.863327280626589</v>
      </c>
      <c r="H13182" s="14" t="n">
        <f aca="false">1/(1+wacc)^Sens!H13181</f>
        <v>0.782754862754115</v>
      </c>
      <c r="I13182" s="14" t="n">
        <f aca="false">1/(1+wacc)^Sens!I13181</f>
        <v>0.709702089711011</v>
      </c>
      <c r="J13182" s="14" t="n">
        <f aca="false">1/(1+wacc)^Sens!J13181</f>
        <v>0.643467169744551</v>
      </c>
      <c r="K13182" s="14" t="n">
        <f aca="false">1/(1+wacc)^Sens!K13181</f>
        <v>0.583413807767797</v>
      </c>
    </row>
    <row r="13183" customFormat="false" ht="17.15" hidden="false" customHeight="false" outlineLevel="0" collapsed="false">
      <c r="A13183" s="1" t="s">
        <v>1059</v>
      </c>
      <c r="B13183" s="0" t="s">
        <v>98</v>
      </c>
      <c r="F13183" s="6" t="n">
        <f aca="false">CF!F84-CF!F82-CF!F88+Thesis!F142*(1-tax_f)</f>
        <v>-5.66283879850096</v>
      </c>
      <c r="G13183" s="6" t="n">
        <f aca="false">CF!G84-CF!G82-CF!G88+Thesis!G142*(1-tax_f)</f>
        <v>26.4063013109088</v>
      </c>
      <c r="H13183" s="6" t="n">
        <f aca="false">CF!H84-CF!H82-CF!H88+Thesis!H142*(1-tax_f)</f>
        <v>62.5616635009479</v>
      </c>
      <c r="I13183" s="6" t="n">
        <f aca="false">CF!I84-CF!I82-CF!I88+Thesis!I142*(1-tax_f)</f>
        <v>129.900993846266</v>
      </c>
      <c r="J13183" s="6" t="n">
        <f aca="false">CF!J84-CF!J82-CF!J88+Thesis!J142*(1-tax_f)</f>
        <v>200.497803796175</v>
      </c>
      <c r="K13183" s="6" t="n">
        <f aca="false">CF!K84-CF!K82-CF!K88+Thesis!K142*(1-tax_f)</f>
        <v>232.344395761849</v>
      </c>
      <c r="L13183" s="1" t="s">
        <v>1060</v>
      </c>
    </row>
    <row r="13184" customFormat="false" ht="15" hidden="false" customHeight="false" outlineLevel="0" collapsed="false">
      <c r="A13184" s="1" t="s">
        <v>1061</v>
      </c>
      <c r="B13184" s="0" t="s">
        <v>98</v>
      </c>
      <c r="F13184" s="6" t="n">
        <f aca="false">Sens!F13183*Sens!F13182</f>
        <v>-5.3921175797443</v>
      </c>
      <c r="G13184" s="6" t="n">
        <f aca="false">Sens!G13183*Sens!G13182</f>
        <v>22.7972803021532</v>
      </c>
      <c r="H13184" s="6" t="n">
        <f aca="false">Sens!H13183*Sens!H13182</f>
        <v>48.9704463273536</v>
      </c>
      <c r="I13184" s="6" t="n">
        <f aca="false">Sens!I13183*Sens!I13182</f>
        <v>92.1910067882323</v>
      </c>
      <c r="J13184" s="6" t="n">
        <f aca="false">Sens!J13183*Sens!J13182</f>
        <v>129.013754348723</v>
      </c>
      <c r="K13184" s="6" t="n">
        <f aca="false">Sens!K13183*Sens!K13182</f>
        <v>135.552928644928</v>
      </c>
    </row>
    <row r="13185" customFormat="false" ht="17.15" hidden="false" customHeight="false" outlineLevel="0" collapsed="false">
      <c r="A13185" s="1" t="s">
        <v>1062</v>
      </c>
      <c r="B13185" s="0" t="s">
        <v>98</v>
      </c>
      <c r="C13185" s="6" t="n">
        <f aca="false">SUM(Sens!F13184:K13184)</f>
        <v>423.133298831646</v>
      </c>
    </row>
    <row r="13186" customFormat="false" ht="17.15" hidden="false" customHeight="false" outlineLevel="0" collapsed="false">
      <c r="A13186" s="1" t="s">
        <v>1063</v>
      </c>
      <c r="B13186" s="0" t="s">
        <v>98</v>
      </c>
      <c r="C13186" s="6" t="n">
        <f aca="false">PL!K117*(1+g_tv)*(1-tax_f)</f>
        <v>246.58988426946</v>
      </c>
    </row>
    <row r="13187" customFormat="false" ht="17.15" hidden="false" customHeight="false" outlineLevel="0" collapsed="false">
      <c r="A13187" s="1" t="s">
        <v>1064</v>
      </c>
      <c r="B13187" s="0" t="s">
        <v>98</v>
      </c>
      <c r="C13187" s="6" t="n">
        <f aca="false">Sens!$C$13186*(1-g_tv/(wacc+ronic_prem_hi))</f>
        <v>198.218193164271</v>
      </c>
    </row>
    <row r="13188" customFormat="false" ht="17.15" hidden="false" customHeight="false" outlineLevel="0" collapsed="false">
      <c r="A13188" s="1" t="s">
        <v>1065</v>
      </c>
      <c r="B13188" s="0" t="s">
        <v>98</v>
      </c>
      <c r="C13188" s="6" t="n">
        <f aca="false">Sens!$C$13187/(wacc-g_tv)</f>
        <v>2717.7592268761</v>
      </c>
    </row>
    <row r="13189" customFormat="false" ht="15" hidden="false" customHeight="false" outlineLevel="0" collapsed="false">
      <c r="A13189" s="1" t="s">
        <v>1066</v>
      </c>
      <c r="B13189" s="0" t="s">
        <v>98</v>
      </c>
      <c r="C13189" s="6" t="n">
        <f aca="false">Sens!$C$13188/(1+wacc)^(Sens!K13181+mid_yr)</f>
        <v>1509.77711169788</v>
      </c>
    </row>
    <row r="13190" customFormat="false" ht="17.15" hidden="false" customHeight="false" outlineLevel="0" collapsed="false">
      <c r="A13190" s="0" t="s">
        <v>986</v>
      </c>
      <c r="B13190" s="0" t="s">
        <v>98</v>
      </c>
      <c r="C13190" s="6" t="n">
        <f aca="false">Sens!$C$13185+Sens!$C$13189</f>
        <v>1932.91041052953</v>
      </c>
    </row>
    <row r="13191" customFormat="false" ht="15" hidden="false" customHeight="false" outlineLevel="0" collapsed="false">
      <c r="A13191" s="1" t="s">
        <v>987</v>
      </c>
      <c r="B13191" s="0" t="s">
        <v>129</v>
      </c>
      <c r="C13191" s="7" t="n">
        <f aca="false">Sens!$C$13189/Sens!$C$13190</f>
        <v>0.781090061636262</v>
      </c>
    </row>
    <row r="13192" customFormat="false" ht="17.15" hidden="false" customHeight="false" outlineLevel="0" collapsed="false">
      <c r="A13192" s="1" t="s">
        <v>1067</v>
      </c>
      <c r="B13192" s="0" t="s">
        <v>98</v>
      </c>
      <c r="C13192" s="6" t="n">
        <f aca="false">Sens!$C$13190+CF!E100-CF!E89+oai_v</f>
        <v>2067.42341052953</v>
      </c>
    </row>
    <row r="13193" customFormat="false" ht="17.15" hidden="false" customHeight="false" outlineLevel="0" collapsed="false">
      <c r="A13193" s="0" t="s">
        <v>994</v>
      </c>
      <c r="B13193" s="0" t="s">
        <v>75</v>
      </c>
      <c r="C13193" s="5" t="n">
        <f aca="false">Sens!$C$13192/sh_dil26</f>
        <v>277.394795455458</v>
      </c>
    </row>
    <row r="13194" customFormat="false" ht="15" hidden="false" customHeight="false" outlineLevel="0" collapsed="false">
      <c r="A13194" s="1" t="s">
        <v>1068</v>
      </c>
      <c r="B13194" s="0" t="s">
        <v>75</v>
      </c>
      <c r="C13194" s="8" t="n">
        <f aca="false">dps_27+CF!G92*roll_div_q/q_per_yr</f>
        <v>4.8895</v>
      </c>
    </row>
    <row r="13195" customFormat="false" ht="17.15" hidden="false" customHeight="false" outlineLevel="0" collapsed="false">
      <c r="A13195" s="0" t="s">
        <v>1069</v>
      </c>
      <c r="B13195" s="0" t="s">
        <v>75</v>
      </c>
      <c r="C13195" s="5" t="n">
        <f aca="false">Sens!$C$13193*(1+wacc)^t_roll-Sens!$C$13194</f>
        <v>310.989215665794</v>
      </c>
    </row>
    <row r="13196" customFormat="false" ht="17.15" hidden="false" customHeight="false" outlineLevel="0" collapsed="false">
      <c r="A13196" s="1" t="s">
        <v>1070</v>
      </c>
      <c r="B13196" s="0" t="s">
        <v>129</v>
      </c>
      <c r="F13196" s="7" t="n">
        <f aca="false">CF!F79/(Seg!F83-Thesis!F121)</f>
        <v>0.0711475516535717</v>
      </c>
      <c r="G13196" s="7" t="n">
        <f aca="false">CF!G79/(Seg!G83-Thesis!G121)</f>
        <v>0.0682588862083999</v>
      </c>
      <c r="H13196" s="7" t="n">
        <f aca="false">CF!H79/(Seg!H83-Thesis!H121)</f>
        <v>0.0666622170094897</v>
      </c>
      <c r="I13196" s="7" t="n">
        <f aca="false">CF!I79/(Seg!I83-Thesis!I121)</f>
        <v>0.0661991449367101</v>
      </c>
      <c r="J13196" s="7" t="n">
        <f aca="false">CF!J79/(Seg!J83-Thesis!J121)</f>
        <v>0.0666400583966394</v>
      </c>
      <c r="K13196" s="7" t="n">
        <f aca="false">CF!K79/(Seg!K83-Thesis!K121)</f>
        <v>0.0677351822588561</v>
      </c>
    </row>
    <row r="13197" customFormat="false" ht="17.15" hidden="false" customHeight="false" outlineLevel="0" collapsed="false">
      <c r="A13197" s="0" t="s">
        <v>1071</v>
      </c>
      <c r="B13197" s="0" t="s">
        <v>98</v>
      </c>
      <c r="F13197" s="6" t="n">
        <f aca="false">Seg!F68*(al_m365+Sens!F13196+sbc_r)</f>
        <v>83.1760446796226</v>
      </c>
      <c r="G13197" s="6" t="n">
        <f aca="false">Seg!G68*(al_m365+Sens!G13196+sbc_r)</f>
        <v>93.5286621744803</v>
      </c>
      <c r="H13197" s="6" t="n">
        <f aca="false">Seg!H68*(al_m365+Sens!H13196+sbc_r)</f>
        <v>104.041881899886</v>
      </c>
      <c r="I13197" s="6" t="n">
        <f aca="false">Seg!I68*(al_m365+Sens!I13196+sbc_r)</f>
        <v>114.039361049722</v>
      </c>
      <c r="J13197" s="6" t="n">
        <f aca="false">Seg!J68*(al_m365+Sens!J13196+sbc_r)</f>
        <v>123.332589690985</v>
      </c>
      <c r="K13197" s="6" t="n">
        <f aca="false">Seg!K68*(al_m365+Sens!K13196+sbc_r)</f>
        <v>132.229319216379</v>
      </c>
      <c r="L13197" s="11" t="s">
        <v>1072</v>
      </c>
    </row>
    <row r="13198" customFormat="false" ht="17.15" hidden="false" customHeight="false" outlineLevel="0" collapsed="false">
      <c r="A13198" s="0" t="s">
        <v>1073</v>
      </c>
      <c r="B13198" s="0" t="s">
        <v>98</v>
      </c>
      <c r="F13198" s="6" t="n">
        <f aca="false">Seg!F69*(al_lic+Sens!F13196+sbc_r)</f>
        <v>33.5445611735131</v>
      </c>
      <c r="G13198" s="6" t="n">
        <f aca="false">Seg!G69*(al_lic+Sens!G13196+sbc_r)</f>
        <v>34.8473362891936</v>
      </c>
      <c r="H13198" s="6" t="n">
        <f aca="false">Seg!H69*(al_lic+Sens!H13196+sbc_r)</f>
        <v>36.0608450618725</v>
      </c>
      <c r="I13198" s="6" t="n">
        <f aca="false">Seg!I69*(al_lic+Sens!I13196+sbc_r)</f>
        <v>37.1647768367666</v>
      </c>
      <c r="J13198" s="6" t="n">
        <f aca="false">Seg!J69*(al_lic+Sens!J13196+sbc_r)</f>
        <v>38.1353659513221</v>
      </c>
      <c r="K13198" s="6" t="n">
        <f aca="false">Seg!K69*(al_lic+Sens!K13196+sbc_r)</f>
        <v>38.9479527536449</v>
      </c>
    </row>
    <row r="13199" customFormat="false" ht="17.15" hidden="false" customHeight="false" outlineLevel="0" collapsed="false">
      <c r="A13199" s="0" t="s">
        <v>1074</v>
      </c>
      <c r="B13199" s="0" t="s">
        <v>98</v>
      </c>
      <c r="F13199" s="6" t="n">
        <f aca="false">Seg!F71*(al_ind+Sens!F13196+sbc_r)</f>
        <v>9.13359830063899</v>
      </c>
      <c r="G13199" s="6" t="n">
        <f aca="false">Seg!G71*(al_ind+Sens!G13196+sbc_r)</f>
        <v>9.91355811855172</v>
      </c>
      <c r="H13199" s="6" t="n">
        <f aca="false">Seg!H71*(al_ind+Sens!H13196+sbc_r)</f>
        <v>10.737007894057</v>
      </c>
      <c r="I13199" s="6" t="n">
        <f aca="false">Seg!I71*(al_ind+Sens!I13196+sbc_r)</f>
        <v>11.5994300763088</v>
      </c>
      <c r="J13199" s="6" t="n">
        <f aca="false">Seg!J71*(al_ind+Sens!J13196+sbc_r)</f>
        <v>12.4920789859702</v>
      </c>
      <c r="K13199" s="6" t="n">
        <f aca="false">Seg!K71*(al_ind+Sens!K13196+sbc_r)</f>
        <v>13.4027551573777</v>
      </c>
    </row>
    <row r="13200" customFormat="false" ht="17.15" hidden="false" customHeight="false" outlineLevel="0" collapsed="false">
      <c r="A13200" s="0" t="s">
        <v>1075</v>
      </c>
      <c r="B13200" s="0" t="s">
        <v>98</v>
      </c>
      <c r="F13200" s="6" t="n">
        <f aca="false">Seg!F73*(al_fro+Sens!F13196+sbc_r)</f>
        <v>3.59501635737694</v>
      </c>
      <c r="G13200" s="6" t="n">
        <f aca="false">Seg!G73*(al_fro+Sens!G13196+sbc_r)</f>
        <v>3.80622021137838</v>
      </c>
      <c r="H13200" s="6" t="n">
        <f aca="false">Seg!H73*(al_fro+Sens!H13196+sbc_r)</f>
        <v>4.04607207599632</v>
      </c>
      <c r="I13200" s="6" t="n">
        <f aca="false">Seg!I73*(al_fro+Sens!I13196+sbc_r)</f>
        <v>4.31683578333903</v>
      </c>
      <c r="J13200" s="6" t="n">
        <f aca="false">Seg!J73*(al_fro+Sens!J13196+sbc_r)</f>
        <v>4.62005087871645</v>
      </c>
      <c r="K13200" s="6" t="n">
        <f aca="false">Seg!K73*(al_fro+Sens!K13196+sbc_r)</f>
        <v>4.95685392412327</v>
      </c>
    </row>
    <row r="13201" customFormat="false" ht="17.15" hidden="false" customHeight="false" outlineLevel="0" collapsed="false">
      <c r="A13201" s="0" t="s">
        <v>1076</v>
      </c>
      <c r="B13201" s="0" t="s">
        <v>98</v>
      </c>
      <c r="F13201" s="6" t="n">
        <f aca="false">Seg!F76*(al_srch+Sens!F13196+sbc_r)</f>
        <v>11.2801258639919</v>
      </c>
      <c r="G13201" s="6" t="n">
        <f aca="false">Seg!G76*(al_srch+Sens!G13196+sbc_r)</f>
        <v>12.3589086285988</v>
      </c>
      <c r="H13201" s="6" t="n">
        <f aca="false">Seg!H76*(al_srch+Sens!H13196+sbc_r)</f>
        <v>13.4807030139583</v>
      </c>
      <c r="I13201" s="6" t="n">
        <f aca="false">Seg!I76*(al_srch+Sens!I13196+sbc_r)</f>
        <v>14.6329459978989</v>
      </c>
      <c r="J13201" s="6" t="n">
        <f aca="false">Seg!J76*(al_srch+Sens!J13196+sbc_r)</f>
        <v>15.7968154400613</v>
      </c>
      <c r="K13201" s="6" t="n">
        <f aca="false">Seg!K76*(al_srch+Sens!K13196+sbc_r)</f>
        <v>16.9484078548661</v>
      </c>
    </row>
    <row r="13202" customFormat="false" ht="17.15" hidden="false" customHeight="false" outlineLevel="0" collapsed="false">
      <c r="A13202" s="0" t="s">
        <v>1077</v>
      </c>
      <c r="B13202" s="0" t="s">
        <v>98</v>
      </c>
      <c r="F13202" s="6" t="n">
        <f aca="false">Thesis!F127-Thesis!F128+Thesis!F142</f>
        <v>38.6797715123049</v>
      </c>
      <c r="G13202" s="6" t="n">
        <f aca="false">Thesis!G127-Thesis!G128+Thesis!G142</f>
        <v>67.9698044367775</v>
      </c>
      <c r="H13202" s="6" t="n">
        <f aca="false">Thesis!H127-Thesis!H128+Thesis!H142</f>
        <v>94.4027386785771</v>
      </c>
      <c r="I13202" s="6" t="n">
        <f aca="false">Thesis!I127-Thesis!I128+Thesis!I142</f>
        <v>124.629799296032</v>
      </c>
      <c r="J13202" s="6" t="n">
        <f aca="false">Thesis!J127-Thesis!J128+Thesis!J142</f>
        <v>146.1886418102</v>
      </c>
      <c r="K13202" s="6" t="n">
        <f aca="false">Thesis!K127-Thesis!K128+Thesis!K142</f>
        <v>160.310017660072</v>
      </c>
    </row>
    <row r="13203" customFormat="false" ht="17.15" hidden="false" customHeight="false" outlineLevel="0" collapsed="false">
      <c r="A13203" s="0" t="s">
        <v>1078</v>
      </c>
      <c r="B13203" s="0" t="s">
        <v>98</v>
      </c>
      <c r="F13203" s="6" t="n">
        <f aca="false">PL!F110+Thesis!F142+Thesis!F138+Sens!F13196*(Seg!F75-Thesis!F121)+sbc_r*Seg!F75</f>
        <v>228.424576651163</v>
      </c>
      <c r="G13203" s="6" t="n">
        <f aca="false">PL!G110+Thesis!G142+Thesis!G138+Sens!G13196*(Seg!G75-Thesis!G121)+sbc_r*Seg!G75</f>
        <v>282.553934266667</v>
      </c>
      <c r="H13203" s="6" t="n">
        <f aca="false">PL!H110+Thesis!H142+Thesis!H138+Sens!H13196*(Seg!H75-Thesis!H121)+sbc_r*Seg!H75</f>
        <v>334.098428585803</v>
      </c>
      <c r="I13203" s="6" t="n">
        <f aca="false">PL!I110+Thesis!I142+Thesis!I138+Sens!I13196*(Seg!I75-Thesis!I121)+sbc_r*Seg!I75</f>
        <v>388.820980572235</v>
      </c>
      <c r="J13203" s="6" t="n">
        <f aca="false">PL!J110+Thesis!J142+Thesis!J138+Sens!J13196*(Seg!J75-Thesis!J121)+sbc_r*Seg!J75</f>
        <v>432.983845251655</v>
      </c>
      <c r="K13203" s="6" t="n">
        <f aca="false">PL!K110+Thesis!K142+Thesis!K138+Sens!K13196*(Seg!K75-Thesis!K121)+sbc_r*Seg!K75</f>
        <v>467.422879139155</v>
      </c>
    </row>
    <row r="13204" customFormat="false" ht="17.15" hidden="false" customHeight="false" outlineLevel="0" collapsed="false">
      <c r="A13204" s="0" t="s">
        <v>1079</v>
      </c>
      <c r="B13204" s="0" t="s">
        <v>98</v>
      </c>
      <c r="F13204" s="6" t="n">
        <f aca="false">Sens!F13203-Sens!F13197-Sens!F13198-Sens!F13199-Sens!F13200-Sens!F13202</f>
        <v>60.2955846277069</v>
      </c>
      <c r="G13204" s="6" t="n">
        <f aca="false">Sens!G13203-Sens!G13197-Sens!G13198-Sens!G13199-Sens!G13200-Sens!G13202</f>
        <v>72.4883530362854</v>
      </c>
      <c r="H13204" s="6" t="n">
        <f aca="false">Sens!H13203-Sens!H13197-Sens!H13198-Sens!H13199-Sens!H13200-Sens!H13202</f>
        <v>84.8098829754144</v>
      </c>
      <c r="I13204" s="6" t="n">
        <f aca="false">Sens!I13203-Sens!I13197-Sens!I13198-Sens!I13199-Sens!I13200-Sens!I13202</f>
        <v>97.0707775300671</v>
      </c>
      <c r="J13204" s="6" t="n">
        <f aca="false">Sens!J13203-Sens!J13197-Sens!J13198-Sens!J13199-Sens!J13200-Sens!J13202</f>
        <v>108.215117934462</v>
      </c>
      <c r="K13204" s="6" t="n">
        <f aca="false">Sens!K13203-Sens!K13197-Sens!K13198-Sens!K13199-Sens!K13200-Sens!K13202</f>
        <v>117.575980427559</v>
      </c>
    </row>
    <row r="13205" customFormat="false" ht="17.15" hidden="false" customHeight="false" outlineLevel="0" collapsed="false">
      <c r="A13205" s="0" t="s">
        <v>1080</v>
      </c>
      <c r="B13205" s="0" t="s">
        <v>98</v>
      </c>
      <c r="F13205" s="6" t="n">
        <f aca="false">PL!F112+Sens!F13196*Seg!F82+sbc_r*Seg!F82</f>
        <v>26.3652761595447</v>
      </c>
      <c r="G13205" s="6" t="n">
        <f aca="false">PL!G112+Sens!G13196*Seg!G82+sbc_r*Seg!G82</f>
        <v>26.9742866145486</v>
      </c>
      <c r="H13205" s="6" t="n">
        <f aca="false">PL!H112+Sens!H13196*Seg!H82+sbc_r*Seg!H82</f>
        <v>27.8483067679033</v>
      </c>
      <c r="I13205" s="6" t="n">
        <f aca="false">PL!I112+Sens!I13196*Seg!I82+sbc_r*Seg!I82</f>
        <v>28.9540944937551</v>
      </c>
      <c r="J13205" s="6" t="n">
        <f aca="false">PL!J112+Sens!J13196*Seg!J82+sbc_r*Seg!J82</f>
        <v>30.2591967501426</v>
      </c>
      <c r="K13205" s="6" t="n">
        <f aca="false">PL!K112+Sens!K13196*Seg!K82+sbc_r*Seg!K82</f>
        <v>31.7334012124467</v>
      </c>
    </row>
    <row r="13206" customFormat="false" ht="17.15" hidden="false" customHeight="false" outlineLevel="0" collapsed="false">
      <c r="A13206" s="0" t="s">
        <v>1081</v>
      </c>
      <c r="B13206" s="0" t="s">
        <v>98</v>
      </c>
      <c r="F13206" s="6" t="n">
        <f aca="false">(Sens!F13205-Sens!F13201)*Seg!F78/(Seg!F78+Seg!F80)</f>
        <v>8.26953246478712</v>
      </c>
      <c r="G13206" s="6" t="n">
        <f aca="false">(Sens!G13205-Sens!G13201)*Seg!G78/(Seg!G78+Seg!G80)</f>
        <v>7.8691542635731</v>
      </c>
      <c r="H13206" s="6" t="n">
        <f aca="false">(Sens!H13205-Sens!H13201)*Seg!H78/(Seg!H78+Seg!H80)</f>
        <v>7.63125160105973</v>
      </c>
      <c r="I13206" s="6" t="n">
        <f aca="false">(Sens!I13205-Sens!I13201)*Seg!I78/(Seg!I78+Seg!I80)</f>
        <v>7.53775281020212</v>
      </c>
      <c r="J13206" s="6" t="n">
        <f aca="false">(Sens!J13205-Sens!J13201)*Seg!J78/(Seg!J78+Seg!J80)</f>
        <v>7.57766730524412</v>
      </c>
      <c r="K13206" s="6" t="n">
        <f aca="false">(Sens!K13205-Sens!K13201)*Seg!K78/(Seg!K78+Seg!K80)</f>
        <v>7.74670217662515</v>
      </c>
    </row>
    <row r="13207" customFormat="false" ht="17.15" hidden="false" customHeight="false" outlineLevel="0" collapsed="false">
      <c r="A13207" s="0" t="s">
        <v>1082</v>
      </c>
      <c r="B13207" s="0" t="s">
        <v>98</v>
      </c>
      <c r="F13207" s="6" t="n">
        <f aca="false">Sens!F13205-Sens!F13201-Sens!F13206</f>
        <v>6.81561783076564</v>
      </c>
      <c r="G13207" s="6" t="n">
        <f aca="false">Sens!G13205-Sens!G13201-Sens!G13206</f>
        <v>6.74622372237672</v>
      </c>
      <c r="H13207" s="6" t="n">
        <f aca="false">Sens!H13205-Sens!H13201-Sens!H13206</f>
        <v>6.73635215288526</v>
      </c>
      <c r="I13207" s="6" t="n">
        <f aca="false">Sens!I13205-Sens!I13201-Sens!I13206</f>
        <v>6.78339568565411</v>
      </c>
      <c r="J13207" s="6" t="n">
        <f aca="false">Sens!J13205-Sens!J13201-Sens!J13206</f>
        <v>6.88471400483723</v>
      </c>
      <c r="K13207" s="6" t="n">
        <f aca="false">Sens!K13205-Sens!K13201-Sens!K13206</f>
        <v>7.03829118095546</v>
      </c>
    </row>
    <row r="13208" customFormat="false" ht="17.15" hidden="false" customHeight="false" outlineLevel="0" collapsed="false">
      <c r="A13208" s="0" t="s">
        <v>1083</v>
      </c>
      <c r="B13208" s="0" t="s">
        <v>98</v>
      </c>
      <c r="F13208" s="6" t="n">
        <f aca="false">Sens!F13202-tax_f*(Sens!F13202-Thesis!F138)-Thesis!F135</f>
        <v>-122.579081185432</v>
      </c>
      <c r="G13208" s="6" t="n">
        <f aca="false">Sens!G13202-tax_f*(Sens!G13202-Thesis!G138)-Thesis!G135</f>
        <v>-117.373249511676</v>
      </c>
      <c r="H13208" s="6" t="n">
        <f aca="false">Sens!H13202-tax_f*(Sens!H13202-Thesis!H138)-Thesis!H135</f>
        <v>-95.285890998876</v>
      </c>
      <c r="I13208" s="6" t="n">
        <f aca="false">Sens!I13202-tax_f*(Sens!I13202-Thesis!I138)-Thesis!I135</f>
        <v>-41.8816809509416</v>
      </c>
      <c r="J13208" s="6" t="n">
        <f aca="false">Sens!J13202-tax_f*(Sens!J13202-Thesis!J138)-Thesis!J135</f>
        <v>15.3691414244864</v>
      </c>
      <c r="K13208" s="6" t="n">
        <f aca="false">Sens!K13202-tax_f*(Sens!K13202-Thesis!K138)-Thesis!K135</f>
        <v>34.6668916333283</v>
      </c>
    </row>
    <row r="13209" customFormat="false" ht="17.15" hidden="false" customHeight="false" outlineLevel="0" collapsed="false">
      <c r="A13209" s="0" t="s">
        <v>1084</v>
      </c>
      <c r="B13209" s="0" t="s">
        <v>98</v>
      </c>
      <c r="G13209" s="6" t="n">
        <f aca="false">Sens!G13208/(1+wacc)^(Sens!G13181-(Sens!F13181+mid_yr))</f>
        <v>-111.762030423885</v>
      </c>
      <c r="H13209" s="6" t="n">
        <f aca="false">Sens!H13208/(1+wacc)^(Sens!H13181-(Sens!F13181+mid_yr))</f>
        <v>-82.2629091581412</v>
      </c>
      <c r="I13209" s="6" t="n">
        <f aca="false">Sens!I13208/(1+wacc)^(Sens!I13181-(Sens!F13181+mid_yr))</f>
        <v>-32.7830894246659</v>
      </c>
      <c r="J13209" s="6" t="n">
        <f aca="false">Sens!J13208/(1+wacc)^(Sens!J13181-(Sens!F13181+mid_yr))</f>
        <v>10.907511786022</v>
      </c>
      <c r="K13209" s="6" t="n">
        <f aca="false">Sens!K13208/(1+wacc)^(Sens!K13181-(Sens!F13181+mid_yr))</f>
        <v>22.3070066431388</v>
      </c>
      <c r="L13209" s="1" t="s">
        <v>1085</v>
      </c>
    </row>
    <row r="13210" customFormat="false" ht="17.15" hidden="false" customHeight="false" outlineLevel="0" collapsed="false">
      <c r="A13210" s="0" t="s">
        <v>1086</v>
      </c>
      <c r="B13210" s="0" t="s">
        <v>98</v>
      </c>
      <c r="C13210" s="6" t="n">
        <f aca="false">(Sens!K13202-Thesis!K138)*(1-tax_f)*(1+g_tv)*(1-g_tv/(wacc+ronic_prem_hi))/(wacc-g_tv)/(1+wacc)^(Sens!K13181+mid_yr-(Sens!F13181+mid_yr))</f>
        <v>117.8448964433</v>
      </c>
    </row>
    <row r="13211" customFormat="false" ht="17.15" hidden="false" customHeight="false" outlineLevel="0" collapsed="false">
      <c r="A13211" s="1" t="s">
        <v>1087</v>
      </c>
      <c r="B13211" s="0" t="s">
        <v>98</v>
      </c>
      <c r="C13211" s="6" t="n">
        <f aca="false">(SUM(Sens!G13209:K13209)+Sens!$C$13210)*(1+wacc)^(t_roll-(Sens!F13181+mid_yr))</f>
        <v>-78.2072574339349</v>
      </c>
      <c r="L13211" s="11" t="s">
        <v>1088</v>
      </c>
    </row>
    <row r="13212" customFormat="false" ht="17.15" hidden="false" customHeight="false" outlineLevel="0" collapsed="false">
      <c r="A13212" s="1" t="s">
        <v>1089</v>
      </c>
      <c r="B13212" s="0" t="s">
        <v>98</v>
      </c>
      <c r="C13212" s="6" t="n">
        <f aca="false">(w_ntm28*Thesis!G127+(1-w_ntm28)*Thesis!H127)*m_ai</f>
        <v>338.776008390068</v>
      </c>
    </row>
    <row r="13213" customFormat="false" ht="17.15" hidden="false" customHeight="false" outlineLevel="0" collapsed="false">
      <c r="A13213" s="1" t="s">
        <v>1090</v>
      </c>
      <c r="B13213" s="0" t="s">
        <v>98</v>
      </c>
      <c r="C13213" s="6" t="n">
        <f aca="false">(w_ntm28*Sens!G13204+(1-w_ntm28)*Sens!H13204)*m_cloud</f>
        <v>1056.83960927252</v>
      </c>
    </row>
    <row r="13214" customFormat="false" ht="17.15" hidden="false" customHeight="false" outlineLevel="0" collapsed="false">
      <c r="A13214" s="1" t="s">
        <v>1091</v>
      </c>
      <c r="B13214" s="0" t="s">
        <v>98</v>
      </c>
      <c r="C13214" s="6" t="n">
        <f aca="false">(w_ntm28*Sens!G13197+(1-w_ntm28)*Sens!H13197)*m_sw</f>
        <v>1046.81653016399</v>
      </c>
    </row>
    <row r="13215" customFormat="false" ht="17.15" hidden="false" customHeight="false" outlineLevel="0" collapsed="false">
      <c r="A13215" s="1" t="s">
        <v>1092</v>
      </c>
      <c r="B13215" s="0" t="s">
        <v>98</v>
      </c>
      <c r="C13215" s="6" t="n">
        <f aca="false">(w_ntm28*Sens!G13198+(1-w_ntm28)*Sens!H13198)*m_sw</f>
        <v>380.588206114803</v>
      </c>
    </row>
    <row r="13216" customFormat="false" ht="17.15" hidden="false" customHeight="false" outlineLevel="0" collapsed="false">
      <c r="A13216" s="1" t="s">
        <v>1093</v>
      </c>
      <c r="B13216" s="0" t="s">
        <v>98</v>
      </c>
      <c r="C13216" s="6" t="n">
        <f aca="false">(w_ntm28*Sens!G13199+(1-w_ntm28)*Sens!H13199)*m_sw</f>
        <v>109.941508211602</v>
      </c>
    </row>
    <row r="13217" customFormat="false" ht="17.15" hidden="false" customHeight="false" outlineLevel="0" collapsed="false">
      <c r="A13217" s="1" t="s">
        <v>1094</v>
      </c>
      <c r="B13217" s="0" t="s">
        <v>98</v>
      </c>
      <c r="C13217" s="6" t="n">
        <f aca="false">(w_ntm28*Sens!G13200+(1-w_ntm28)*Sens!H13200)*m_sw</f>
        <v>41.944622711021</v>
      </c>
    </row>
    <row r="13218" customFormat="false" ht="17.15" hidden="false" customHeight="false" outlineLevel="0" collapsed="false">
      <c r="A13218" s="1" t="s">
        <v>1095</v>
      </c>
      <c r="B13218" s="0" t="s">
        <v>98</v>
      </c>
      <c r="C13218" s="6" t="n">
        <f aca="false">(w_ntm28*Sens!G13201+(1-w_ntm28)*Sens!H13201)*m_ads</f>
        <v>115.893511108929</v>
      </c>
    </row>
    <row r="13219" customFormat="false" ht="17.15" hidden="false" customHeight="false" outlineLevel="0" collapsed="false">
      <c r="A13219" s="1" t="s">
        <v>1096</v>
      </c>
      <c r="B13219" s="0" t="s">
        <v>98</v>
      </c>
      <c r="C13219" s="6" t="n">
        <f aca="false">(w_ntm28*Sens!G13206+(1-w_ntm28)*Sens!H13206)*m_game</f>
        <v>98.416032447421</v>
      </c>
    </row>
    <row r="13220" customFormat="false" ht="17.15" hidden="false" customHeight="false" outlineLevel="0" collapsed="false">
      <c r="A13220" s="1" t="s">
        <v>1097</v>
      </c>
      <c r="B13220" s="0" t="s">
        <v>98</v>
      </c>
      <c r="C13220" s="6" t="n">
        <f aca="false">(w_ntm28*Sens!G13207+(1-w_ntm28)*Sens!H13207)*m_pc</f>
        <v>97.5716783311641</v>
      </c>
    </row>
    <row r="13221" customFormat="false" ht="17.15" hidden="false" customHeight="false" outlineLevel="0" collapsed="false">
      <c r="A13221" s="1" t="s">
        <v>1098</v>
      </c>
      <c r="B13221" s="0" t="s">
        <v>98</v>
      </c>
      <c r="C13221" s="6" t="n">
        <f aca="false">Sens!$C$13211+Sens!$C$13213+Sens!$C$13214+Sens!$C$13215+Sens!$C$13216+Sens!$C$13217+Sens!$C$13218+Sens!$C$13219+Sens!$C$13220</f>
        <v>2869.80444092752</v>
      </c>
    </row>
    <row r="13222" customFormat="false" ht="17.15" hidden="false" customHeight="false" outlineLevel="0" collapsed="false">
      <c r="A13222" s="1" t="s">
        <v>1099</v>
      </c>
      <c r="B13222" s="0" t="s">
        <v>98</v>
      </c>
      <c r="C13222" s="6" t="n">
        <f aca="false">(Sens!G13183-Sens!G13208)*t_stub</f>
        <v>46.8760727339385</v>
      </c>
      <c r="L13222" s="1" t="s">
        <v>1100</v>
      </c>
    </row>
    <row r="13223" customFormat="false" ht="17.15" hidden="false" customHeight="false" outlineLevel="0" collapsed="false">
      <c r="A13223" s="1" t="s">
        <v>1014</v>
      </c>
      <c r="B13223" s="0" t="s">
        <v>98</v>
      </c>
      <c r="C13223" s="6" t="n">
        <f aca="false">CF!F100+oai_v-CF!F89+Sens!$C$13222</f>
        <v>153.718233647662</v>
      </c>
      <c r="L13223" s="1" t="s">
        <v>1101</v>
      </c>
    </row>
    <row r="13224" customFormat="false" ht="17.15" hidden="false" customHeight="false" outlineLevel="0" collapsed="false">
      <c r="A13224" s="1" t="s">
        <v>1102</v>
      </c>
      <c r="B13224" s="0" t="s">
        <v>75</v>
      </c>
      <c r="C13224" s="5" t="n">
        <f aca="false">(Sens!$C$13221+Sens!$C$13223)/(CF!F102+dil_gap)-CF!G92*roll_div_q/q_per_yr</f>
        <v>402.311977397969</v>
      </c>
      <c r="L13224" s="1" t="s">
        <v>1103</v>
      </c>
    </row>
    <row r="13225" customFormat="false" ht="17.15" hidden="false" customHeight="false" outlineLevel="0" collapsed="false">
      <c r="A13225" s="1" t="s">
        <v>1104</v>
      </c>
      <c r="B13225" s="0" t="s">
        <v>75</v>
      </c>
      <c r="C13225" s="5" t="n">
        <f aca="false">w_dcf*Sens!$C$13195+(1-w_dcf)*Sens!$C$13224</f>
        <v>356.650596531882</v>
      </c>
    </row>
    <row r="13226" customFormat="false" ht="17.15" hidden="false" customHeight="false" outlineLevel="0" collapsed="false">
      <c r="A13226" s="3" t="s">
        <v>1598</v>
      </c>
    </row>
    <row r="13227" customFormat="false" ht="15" hidden="false" customHeight="false" outlineLevel="0" collapsed="false">
      <c r="A13227" s="4" t="s">
        <v>43</v>
      </c>
      <c r="B13227" s="4" t="s">
        <v>65</v>
      </c>
      <c r="C13227" s="20" t="s">
        <v>799</v>
      </c>
      <c r="D13227" s="20" t="s">
        <v>800</v>
      </c>
      <c r="E13227" s="20" t="s">
        <v>801</v>
      </c>
      <c r="F13227" s="20" t="s">
        <v>802</v>
      </c>
      <c r="G13227" s="20" t="s">
        <v>803</v>
      </c>
      <c r="H13227" s="20" t="s">
        <v>804</v>
      </c>
      <c r="I13227" s="20" t="s">
        <v>805</v>
      </c>
      <c r="J13227" s="20" t="s">
        <v>806</v>
      </c>
      <c r="K13227" s="20" t="s">
        <v>807</v>
      </c>
      <c r="L13227" s="4" t="s">
        <v>47</v>
      </c>
    </row>
    <row r="13228" customFormat="false" ht="15" hidden="false" customHeight="false" outlineLevel="0" collapsed="false">
      <c r="A13228" s="1" t="s">
        <v>1057</v>
      </c>
      <c r="B13228" s="1" t="s">
        <v>235</v>
      </c>
      <c r="F13228" s="36" t="n">
        <f aca="false">Thesis!F6-base_fy-mid_yr</f>
        <v>0.5</v>
      </c>
      <c r="G13228" s="36" t="n">
        <f aca="false">Thesis!G6-base_fy-mid_yr</f>
        <v>1.5</v>
      </c>
      <c r="H13228" s="36" t="n">
        <f aca="false">Thesis!H6-base_fy-mid_yr</f>
        <v>2.5</v>
      </c>
      <c r="I13228" s="36" t="n">
        <f aca="false">Thesis!I6-base_fy-mid_yr</f>
        <v>3.5</v>
      </c>
      <c r="J13228" s="36" t="n">
        <f aca="false">Thesis!J6-base_fy-mid_yr</f>
        <v>4.5</v>
      </c>
      <c r="K13228" s="36" t="n">
        <f aca="false">Thesis!K6-base_fy-mid_yr</f>
        <v>5.5</v>
      </c>
    </row>
    <row r="13229" customFormat="false" ht="15" hidden="false" customHeight="false" outlineLevel="0" collapsed="false">
      <c r="A13229" s="1" t="s">
        <v>1058</v>
      </c>
      <c r="B13229" s="0" t="s">
        <v>185</v>
      </c>
      <c r="F13229" s="14" t="n">
        <f aca="false">1/(1+wacc)^Sens!F13228</f>
        <v>0.952193373608246</v>
      </c>
      <c r="G13229" s="14" t="n">
        <f aca="false">1/(1+wacc)^Sens!G13228</f>
        <v>0.863327280626589</v>
      </c>
      <c r="H13229" s="14" t="n">
        <f aca="false">1/(1+wacc)^Sens!H13228</f>
        <v>0.782754862754115</v>
      </c>
      <c r="I13229" s="14" t="n">
        <f aca="false">1/(1+wacc)^Sens!I13228</f>
        <v>0.709702089711011</v>
      </c>
      <c r="J13229" s="14" t="n">
        <f aca="false">1/(1+wacc)^Sens!J13228</f>
        <v>0.643467169744551</v>
      </c>
      <c r="K13229" s="14" t="n">
        <f aca="false">1/(1+wacc)^Sens!K13228</f>
        <v>0.583413807767797</v>
      </c>
    </row>
    <row r="13230" customFormat="false" ht="17.15" hidden="false" customHeight="false" outlineLevel="0" collapsed="false">
      <c r="A13230" s="1" t="s">
        <v>1059</v>
      </c>
      <c r="B13230" s="0" t="s">
        <v>98</v>
      </c>
      <c r="F13230" s="6" t="n">
        <f aca="false">CF!F22-CF!F20-CF!F26+Thesis!F44*(1-tax_f)</f>
        <v>0.8175674752552</v>
      </c>
      <c r="G13230" s="6" t="n">
        <f aca="false">CF!G22-CF!G20-CF!G26+Thesis!G44*(1-tax_f)</f>
        <v>46.5945454778033</v>
      </c>
      <c r="H13230" s="6" t="n">
        <f aca="false">CF!H22-CF!H20-CF!H26+Thesis!H44*(1-tax_f)</f>
        <v>105.224067029101</v>
      </c>
      <c r="I13230" s="6" t="n">
        <f aca="false">CF!I22-CF!I20-CF!I26+Thesis!I44*(1-tax_f)</f>
        <v>183.301417205555</v>
      </c>
      <c r="J13230" s="6" t="n">
        <f aca="false">CF!J22-CF!J20-CF!J26+Thesis!J44*(1-tax_f)</f>
        <v>261.555335183242</v>
      </c>
      <c r="K13230" s="6" t="n">
        <f aca="false">CF!K22-CF!K20-CF!K26+Thesis!K44*(1-tax_f)</f>
        <v>298.387942209483</v>
      </c>
      <c r="L13230" s="1" t="s">
        <v>1060</v>
      </c>
    </row>
    <row r="13231" customFormat="false" ht="15" hidden="false" customHeight="false" outlineLevel="0" collapsed="false">
      <c r="A13231" s="1" t="s">
        <v>1061</v>
      </c>
      <c r="B13231" s="0" t="s">
        <v>98</v>
      </c>
      <c r="F13231" s="6" t="n">
        <f aca="false">Sens!F13230*Sens!F13229</f>
        <v>0.778482332415625</v>
      </c>
      <c r="G13231" s="6" t="n">
        <f aca="false">Sens!G13230*Sens!G13229</f>
        <v>40.2263422393839</v>
      </c>
      <c r="H13231" s="6" t="n">
        <f aca="false">Sens!H13230*Sens!H13229</f>
        <v>82.364650145794</v>
      </c>
      <c r="I13231" s="6" t="n">
        <f aca="false">Sens!I13230*Sens!I13229</f>
        <v>130.089398837772</v>
      </c>
      <c r="J13231" s="6" t="n">
        <f aca="false">Sens!J13230*Sens!J13229</f>
        <v>168.302271261948</v>
      </c>
      <c r="K13231" s="6" t="n">
        <f aca="false">Sens!K13230*Sens!K13229</f>
        <v>174.083645556432</v>
      </c>
    </row>
    <row r="13232" customFormat="false" ht="17.15" hidden="false" customHeight="false" outlineLevel="0" collapsed="false">
      <c r="A13232" s="1" t="s">
        <v>1062</v>
      </c>
      <c r="B13232" s="0" t="s">
        <v>98</v>
      </c>
      <c r="C13232" s="6" t="n">
        <f aca="false">SUM(Sens!F13231:K13231)</f>
        <v>595.844790373745</v>
      </c>
    </row>
    <row r="13233" customFormat="false" ht="17.15" hidden="false" customHeight="false" outlineLevel="0" collapsed="false">
      <c r="A13233" s="1" t="s">
        <v>1063</v>
      </c>
      <c r="B13233" s="0" t="s">
        <v>98</v>
      </c>
      <c r="C13233" s="6" t="n">
        <f aca="false">PL!K39*(1+g_tv)*(1-tax_f)</f>
        <v>316.433872640522</v>
      </c>
    </row>
    <row r="13234" customFormat="false" ht="17.15" hidden="false" customHeight="false" outlineLevel="0" collapsed="false">
      <c r="A13234" s="1" t="s">
        <v>1064</v>
      </c>
      <c r="B13234" s="0" t="s">
        <v>98</v>
      </c>
      <c r="C13234" s="6" t="n">
        <f aca="false">Sens!$C$13233*(1-g_tv/(wacc+ronic_prem))</f>
        <v>224.209948217085</v>
      </c>
    </row>
    <row r="13235" customFormat="false" ht="17.15" hidden="false" customHeight="false" outlineLevel="0" collapsed="false">
      <c r="A13235" s="1" t="s">
        <v>1065</v>
      </c>
      <c r="B13235" s="0" t="s">
        <v>98</v>
      </c>
      <c r="C13235" s="6" t="n">
        <f aca="false">Sens!$C$13234/(wacc-g_tv)</f>
        <v>3074.13081411456</v>
      </c>
    </row>
    <row r="13236" customFormat="false" ht="15" hidden="false" customHeight="false" outlineLevel="0" collapsed="false">
      <c r="A13236" s="1" t="s">
        <v>1066</v>
      </c>
      <c r="B13236" s="0" t="s">
        <v>98</v>
      </c>
      <c r="C13236" s="6" t="n">
        <f aca="false">Sens!$C$13235/(1+wacc)^(Sens!K13228+mid_yr)</f>
        <v>1707.74964007764</v>
      </c>
    </row>
    <row r="13237" customFormat="false" ht="17.15" hidden="false" customHeight="false" outlineLevel="0" collapsed="false">
      <c r="A13237" s="0" t="s">
        <v>986</v>
      </c>
      <c r="B13237" s="0" t="s">
        <v>98</v>
      </c>
      <c r="C13237" s="6" t="n">
        <f aca="false">Sens!$C$13232+Sens!$C$13236</f>
        <v>2303.59443045138</v>
      </c>
    </row>
    <row r="13238" customFormat="false" ht="15" hidden="false" customHeight="false" outlineLevel="0" collapsed="false">
      <c r="A13238" s="1" t="s">
        <v>987</v>
      </c>
      <c r="B13238" s="0" t="s">
        <v>129</v>
      </c>
      <c r="C13238" s="7" t="n">
        <f aca="false">Sens!$C$13236/Sens!$C$13237</f>
        <v>0.741341278439803</v>
      </c>
    </row>
    <row r="13239" customFormat="false" ht="17.15" hidden="false" customHeight="false" outlineLevel="0" collapsed="false">
      <c r="A13239" s="1" t="s">
        <v>1067</v>
      </c>
      <c r="B13239" s="0" t="s">
        <v>98</v>
      </c>
      <c r="C13239" s="6" t="n">
        <f aca="false">Sens!$C$13237+CF!E38-CF!E27+oai_v</f>
        <v>2438.10743045138</v>
      </c>
    </row>
    <row r="13240" customFormat="false" ht="17.15" hidden="false" customHeight="false" outlineLevel="0" collapsed="false">
      <c r="A13240" s="0" t="s">
        <v>994</v>
      </c>
      <c r="B13240" s="0" t="s">
        <v>75</v>
      </c>
      <c r="C13240" s="5" t="n">
        <f aca="false">Sens!$C$13239/sh_dil26</f>
        <v>327.131011733715</v>
      </c>
    </row>
    <row r="13241" customFormat="false" ht="15" hidden="false" customHeight="false" outlineLevel="0" collapsed="false">
      <c r="A13241" s="1" t="s">
        <v>1068</v>
      </c>
      <c r="B13241" s="0" t="s">
        <v>75</v>
      </c>
      <c r="C13241" s="8" t="n">
        <f aca="false">dps_27+CF!G30*roll_div_q/q_per_yr</f>
        <v>4.8895</v>
      </c>
    </row>
    <row r="13242" customFormat="false" ht="17.15" hidden="false" customHeight="false" outlineLevel="0" collapsed="false">
      <c r="A13242" s="0" t="s">
        <v>1069</v>
      </c>
      <c r="B13242" s="0" t="s">
        <v>75</v>
      </c>
      <c r="C13242" s="5" t="n">
        <f aca="false">Sens!$C$13240*(1+wacc)^t_roll-Sens!$C$13241</f>
        <v>367.625505810519</v>
      </c>
    </row>
    <row r="13243" customFormat="false" ht="17.15" hidden="false" customHeight="false" outlineLevel="0" collapsed="false">
      <c r="A13243" s="1" t="s">
        <v>1070</v>
      </c>
      <c r="B13243" s="0" t="s">
        <v>129</v>
      </c>
      <c r="F13243" s="7" t="n">
        <f aca="false">CF!F17/(Seg!F29-Thesis!F23)</f>
        <v>0.0705303854989974</v>
      </c>
      <c r="G13243" s="7" t="n">
        <f aca="false">CF!G17/(Seg!G29-Thesis!G23)</f>
        <v>0.0669153011130541</v>
      </c>
      <c r="H13243" s="7" t="n">
        <f aca="false">CF!H17/(Seg!H29-Thesis!H23)</f>
        <v>0.0648963302688647</v>
      </c>
      <c r="I13243" s="7" t="n">
        <f aca="false">CF!I17/(Seg!I29-Thesis!I23)</f>
        <v>0.0643411219550834</v>
      </c>
      <c r="J13243" s="7" t="n">
        <f aca="false">CF!J17/(Seg!J29-Thesis!J23)</f>
        <v>0.0648740961982593</v>
      </c>
      <c r="K13243" s="7" t="n">
        <f aca="false">CF!K17/(Seg!K29-Thesis!K23)</f>
        <v>0.0660244723636577</v>
      </c>
    </row>
    <row r="13244" customFormat="false" ht="17.15" hidden="false" customHeight="false" outlineLevel="0" collapsed="false">
      <c r="A13244" s="0" t="s">
        <v>1071</v>
      </c>
      <c r="B13244" s="0" t="s">
        <v>98</v>
      </c>
      <c r="F13244" s="6" t="n">
        <f aca="false">Seg!F14*(al_m365+Sens!F13243+sbc_r)</f>
        <v>85.2273329859862</v>
      </c>
      <c r="G13244" s="6" t="n">
        <f aca="false">Seg!G14*(al_m365+Sens!G13243+sbc_r)</f>
        <v>99.6892587904979</v>
      </c>
      <c r="H13244" s="6" t="n">
        <f aca="false">Seg!H14*(al_m365+Sens!H13243+sbc_r)</f>
        <v>114.315107566414</v>
      </c>
      <c r="I13244" s="6" t="n">
        <f aca="false">Seg!I14*(al_m365+Sens!I13243+sbc_r)</f>
        <v>127.42181750834</v>
      </c>
      <c r="J13244" s="6" t="n">
        <f aca="false">Seg!J14*(al_m365+Sens!J13243+sbc_r)</f>
        <v>138.823999012523</v>
      </c>
      <c r="K13244" s="6" t="n">
        <f aca="false">Seg!K14*(al_m365+Sens!K13243+sbc_r)</f>
        <v>149.845393216552</v>
      </c>
      <c r="L13244" s="11" t="s">
        <v>1072</v>
      </c>
    </row>
    <row r="13245" customFormat="false" ht="17.15" hidden="false" customHeight="false" outlineLevel="0" collapsed="false">
      <c r="A13245" s="0" t="s">
        <v>1073</v>
      </c>
      <c r="B13245" s="0" t="s">
        <v>98</v>
      </c>
      <c r="F13245" s="6" t="n">
        <f aca="false">Seg!F15*(al_lic+Sens!F13243+sbc_r)</f>
        <v>33.5204472060294</v>
      </c>
      <c r="G13245" s="6" t="n">
        <f aca="false">Seg!G15*(al_lic+Sens!G13243+sbc_r)</f>
        <v>34.7926166862242</v>
      </c>
      <c r="H13245" s="6" t="n">
        <f aca="false">Seg!H15*(al_lic+Sens!H13243+sbc_r)</f>
        <v>35.9862829687409</v>
      </c>
      <c r="I13245" s="6" t="n">
        <f aca="false">Seg!I15*(al_lic+Sens!I13243+sbc_r)</f>
        <v>37.0838788899664</v>
      </c>
      <c r="J13245" s="6" t="n">
        <f aca="false">Seg!J15*(al_lic+Sens!J13243+sbc_r)</f>
        <v>38.0565090086839</v>
      </c>
      <c r="K13245" s="6" t="n">
        <f aca="false">Seg!K15*(al_lic+Sens!K13243+sbc_r)</f>
        <v>38.8700352425884</v>
      </c>
    </row>
    <row r="13246" customFormat="false" ht="17.15" hidden="false" customHeight="false" outlineLevel="0" collapsed="false">
      <c r="A13246" s="0" t="s">
        <v>1074</v>
      </c>
      <c r="B13246" s="0" t="s">
        <v>98</v>
      </c>
      <c r="F13246" s="6" t="n">
        <f aca="false">Seg!F17*(al_ind+Sens!F13243+sbc_r)</f>
        <v>9.11980018094294</v>
      </c>
      <c r="G13246" s="6" t="n">
        <f aca="false">Seg!G17*(al_ind+Sens!G13243+sbc_r)</f>
        <v>9.88072195697034</v>
      </c>
      <c r="H13246" s="6" t="n">
        <f aca="false">Seg!H17*(al_ind+Sens!H13243+sbc_r)</f>
        <v>10.6900815637922</v>
      </c>
      <c r="I13246" s="6" t="n">
        <f aca="false">Seg!I17*(al_ind+Sens!I13243+sbc_r)</f>
        <v>11.5460282347577</v>
      </c>
      <c r="J13246" s="6" t="n">
        <f aca="false">Seg!J17*(al_ind+Sens!J13243+sbc_r)</f>
        <v>12.4374767512513</v>
      </c>
      <c r="K13246" s="6" t="n">
        <f aca="false">Seg!K17*(al_ind+Sens!K13243+sbc_r)</f>
        <v>13.3461587114563</v>
      </c>
    </row>
    <row r="13247" customFormat="false" ht="17.15" hidden="false" customHeight="false" outlineLevel="0" collapsed="false">
      <c r="A13247" s="0" t="s">
        <v>1075</v>
      </c>
      <c r="B13247" s="0" t="s">
        <v>98</v>
      </c>
      <c r="F13247" s="6" t="n">
        <f aca="false">Seg!F19*(al_fro+Sens!F13243+sbc_r)</f>
        <v>3.58958536902212</v>
      </c>
      <c r="G13247" s="6" t="n">
        <f aca="false">Seg!G19*(al_fro+Sens!G13243+sbc_r)</f>
        <v>3.79361306665995</v>
      </c>
      <c r="H13247" s="6" t="n">
        <f aca="false">Seg!H19*(al_fro+Sens!H13243+sbc_r)</f>
        <v>4.02838862857902</v>
      </c>
      <c r="I13247" s="6" t="n">
        <f aca="false">Seg!I19*(al_fro+Sens!I13243+sbc_r)</f>
        <v>4.29696179134221</v>
      </c>
      <c r="J13247" s="6" t="n">
        <f aca="false">Seg!J19*(al_fro+Sens!J13243+sbc_r)</f>
        <v>4.59985687395741</v>
      </c>
      <c r="K13247" s="6" t="n">
        <f aca="false">Seg!K19*(al_fro+Sens!K13243+sbc_r)</f>
        <v>4.93592238342414</v>
      </c>
    </row>
    <row r="13248" customFormat="false" ht="17.15" hidden="false" customHeight="false" outlineLevel="0" collapsed="false">
      <c r="A13248" s="0" t="s">
        <v>1076</v>
      </c>
      <c r="B13248" s="0" t="s">
        <v>98</v>
      </c>
      <c r="F13248" s="6" t="n">
        <f aca="false">Seg!F22*(al_srch+Sens!F13243+sbc_r)</f>
        <v>11.2630849868114</v>
      </c>
      <c r="G13248" s="6" t="n">
        <f aca="false">Seg!G22*(al_srch+Sens!G13243+sbc_r)</f>
        <v>12.3179728600437</v>
      </c>
      <c r="H13248" s="6" t="n">
        <f aca="false">Seg!H22*(al_srch+Sens!H13243+sbc_r)</f>
        <v>13.4217853035424</v>
      </c>
      <c r="I13248" s="6" t="n">
        <f aca="false">Seg!I22*(al_srch+Sens!I13243+sbc_r)</f>
        <v>14.565578354966</v>
      </c>
      <c r="J13248" s="6" t="n">
        <f aca="false">Seg!J22*(al_srch+Sens!J13243+sbc_r)</f>
        <v>15.7277683722803</v>
      </c>
      <c r="K13248" s="6" t="n">
        <f aca="false">Seg!K22*(al_srch+Sens!K13243+sbc_r)</f>
        <v>16.87683901418</v>
      </c>
    </row>
    <row r="13249" customFormat="false" ht="17.15" hidden="false" customHeight="false" outlineLevel="0" collapsed="false">
      <c r="A13249" s="0" t="s">
        <v>1077</v>
      </c>
      <c r="B13249" s="0" t="s">
        <v>98</v>
      </c>
      <c r="F13249" s="6" t="n">
        <f aca="false">Thesis!F29-Thesis!F30+Thesis!F44</f>
        <v>45.0374073018652</v>
      </c>
      <c r="G13249" s="6" t="n">
        <f aca="false">Thesis!G29-Thesis!G30+Thesis!G44</f>
        <v>89.051993487491</v>
      </c>
      <c r="H13249" s="6" t="n">
        <f aca="false">Thesis!H29-Thesis!H30+Thesis!H44</f>
        <v>140.728332825594</v>
      </c>
      <c r="I13249" s="6" t="n">
        <f aca="false">Thesis!I29-Thesis!I30+Thesis!I44</f>
        <v>182.158665153016</v>
      </c>
      <c r="J13249" s="6" t="n">
        <f aca="false">Thesis!J29-Thesis!J30+Thesis!J44</f>
        <v>211.722320149272</v>
      </c>
      <c r="K13249" s="6" t="n">
        <f aca="false">Thesis!K29-Thesis!K30+Thesis!K44</f>
        <v>230.495012322217</v>
      </c>
    </row>
    <row r="13250" customFormat="false" ht="17.15" hidden="false" customHeight="false" outlineLevel="0" collapsed="false">
      <c r="A13250" s="0" t="s">
        <v>1078</v>
      </c>
      <c r="B13250" s="0" t="s">
        <v>98</v>
      </c>
      <c r="F13250" s="6" t="n">
        <f aca="false">PL!F32+Thesis!F44+Thesis!F40+Sens!F13243*(Seg!F21-Thesis!F23)+sbc_r*Seg!F21</f>
        <v>236.979131882557</v>
      </c>
      <c r="G13250" s="6" t="n">
        <f aca="false">PL!G32+Thesis!G44+Thesis!G40+Sens!G13243*(Seg!G21-Thesis!G23)+sbc_r*Seg!G21</f>
        <v>310.298572894356</v>
      </c>
      <c r="H13250" s="6" t="n">
        <f aca="false">PL!H32+Thesis!H44+Thesis!H40+Sens!H13243*(Seg!H21-Thesis!H23)+sbc_r*Seg!H21</f>
        <v>391.97921499404</v>
      </c>
      <c r="I13250" s="6" t="n">
        <f aca="false">PL!I32+Thesis!I44+Thesis!I40+Sens!I13243*(Seg!I21-Thesis!I23)+sbc_r*Seg!I21</f>
        <v>461.338592490557</v>
      </c>
      <c r="J13250" s="6" t="n">
        <f aca="false">PL!J32+Thesis!J44+Thesis!J40+Sens!J13243*(Seg!J21-Thesis!J23)+sbc_r*Seg!J21</f>
        <v>515.876034980991</v>
      </c>
      <c r="K13250" s="6" t="n">
        <f aca="false">PL!K32+Thesis!K44+Thesis!K40+Sens!K13243*(Seg!K21-Thesis!K23)+sbc_r*Seg!K21</f>
        <v>557.225339287545</v>
      </c>
    </row>
    <row r="13251" customFormat="false" ht="17.15" hidden="false" customHeight="false" outlineLevel="0" collapsed="false">
      <c r="A13251" s="0" t="s">
        <v>1079</v>
      </c>
      <c r="B13251" s="0" t="s">
        <v>98</v>
      </c>
      <c r="F13251" s="6" t="n">
        <f aca="false">Sens!F13250-Sens!F13244-Sens!F13245-Sens!F13246-Sens!F13247-Sens!F13249</f>
        <v>60.4845588387112</v>
      </c>
      <c r="G13251" s="6" t="n">
        <f aca="false">Sens!G13250-Sens!G13244-Sens!G13245-Sens!G13246-Sens!G13247-Sens!G13249</f>
        <v>73.090368906513</v>
      </c>
      <c r="H13251" s="6" t="n">
        <f aca="false">Sens!H13250-Sens!H13244-Sens!H13245-Sens!H13246-Sens!H13247-Sens!H13249</f>
        <v>86.23102144092</v>
      </c>
      <c r="I13251" s="6" t="n">
        <f aca="false">Sens!I13250-Sens!I13244-Sens!I13245-Sens!I13246-Sens!I13247-Sens!I13249</f>
        <v>98.8312409131349</v>
      </c>
      <c r="J13251" s="6" t="n">
        <f aca="false">Sens!J13250-Sens!J13244-Sens!J13245-Sens!J13246-Sens!J13247-Sens!J13249</f>
        <v>110.235873185303</v>
      </c>
      <c r="K13251" s="6" t="n">
        <f aca="false">Sens!K13250-Sens!K13244-Sens!K13245-Sens!K13246-Sens!K13247-Sens!K13249</f>
        <v>119.732817411307</v>
      </c>
    </row>
    <row r="13252" customFormat="false" ht="17.15" hidden="false" customHeight="false" outlineLevel="0" collapsed="false">
      <c r="A13252" s="0" t="s">
        <v>1080</v>
      </c>
      <c r="B13252" s="0" t="s">
        <v>98</v>
      </c>
      <c r="F13252" s="6" t="n">
        <f aca="false">PL!F34+Sens!F13243*Seg!F28+sbc_r*Seg!F28</f>
        <v>26.3250729833002</v>
      </c>
      <c r="G13252" s="6" t="n">
        <f aca="false">PL!G34+Sens!G13243*Seg!G28+sbc_r*Seg!G28</f>
        <v>26.8840979798844</v>
      </c>
      <c r="H13252" s="6" t="n">
        <f aca="false">PL!H34+Sens!H13243*Seg!H28+sbc_r*Seg!H28</f>
        <v>27.7254420104725</v>
      </c>
      <c r="I13252" s="6" t="n">
        <f aca="false">PL!I34+Sens!I13243*Seg!I28+sbc_r*Seg!I28</f>
        <v>28.8195303030026</v>
      </c>
      <c r="J13252" s="6" t="n">
        <f aca="false">PL!J34+Sens!J13243*Seg!J28+sbc_r*Seg!J28</f>
        <v>30.1256822206383</v>
      </c>
      <c r="K13252" s="6" t="n">
        <f aca="false">PL!K34+Sens!K13243*Seg!K28+sbc_r*Seg!K28</f>
        <v>31.5981329181227</v>
      </c>
    </row>
    <row r="13253" customFormat="false" ht="17.15" hidden="false" customHeight="false" outlineLevel="0" collapsed="false">
      <c r="A13253" s="0" t="s">
        <v>1081</v>
      </c>
      <c r="B13253" s="0" t="s">
        <v>98</v>
      </c>
      <c r="F13253" s="6" t="n">
        <f aca="false">(Sens!F13252-Sens!F13248)*Seg!F24/(Seg!F24+Seg!F26)</f>
        <v>8.25683511803782</v>
      </c>
      <c r="G13253" s="6" t="n">
        <f aca="false">(Sens!G13252-Sens!G13248)*Seg!G24/(Seg!G24+Seg!G26)</f>
        <v>7.84263572934781</v>
      </c>
      <c r="H13253" s="6" t="n">
        <f aca="false">(Sens!H13252-Sens!H13248)*Seg!H24/(Seg!H24+Seg!H26)</f>
        <v>7.59728657715786</v>
      </c>
      <c r="I13253" s="6" t="n">
        <f aca="false">(Sens!I13252-Sens!I13248)*Seg!I24/(Seg!I24+Seg!I26)</f>
        <v>7.50238476920254</v>
      </c>
      <c r="J13253" s="6" t="n">
        <f aca="false">(Sens!J13252-Sens!J13248)*Seg!J24/(Seg!J24+Seg!J26)</f>
        <v>7.54388912124533</v>
      </c>
      <c r="K13253" s="6" t="n">
        <f aca="false">(Sens!K13252-Sens!K13248)*Seg!K24/(Seg!K24+Seg!K26)</f>
        <v>7.71332639591206</v>
      </c>
    </row>
    <row r="13254" customFormat="false" ht="17.15" hidden="false" customHeight="false" outlineLevel="0" collapsed="false">
      <c r="A13254" s="0" t="s">
        <v>1082</v>
      </c>
      <c r="B13254" s="0" t="s">
        <v>98</v>
      </c>
      <c r="F13254" s="6" t="n">
        <f aca="false">Sens!F13252-Sens!F13248-Sens!F13253</f>
        <v>6.80515287845105</v>
      </c>
      <c r="G13254" s="6" t="n">
        <f aca="false">Sens!G13252-Sens!G13248-Sens!G13253</f>
        <v>6.72348939049287</v>
      </c>
      <c r="H13254" s="6" t="n">
        <f aca="false">Sens!H13252-Sens!H13248-Sens!H13253</f>
        <v>6.70637012977225</v>
      </c>
      <c r="I13254" s="6" t="n">
        <f aca="false">Sens!I13252-Sens!I13248-Sens!I13253</f>
        <v>6.75156717883416</v>
      </c>
      <c r="J13254" s="6" t="n">
        <f aca="false">Sens!J13252-Sens!J13248-Sens!J13253</f>
        <v>6.85402472711273</v>
      </c>
      <c r="K13254" s="6" t="n">
        <f aca="false">Sens!K13252-Sens!K13248-Sens!K13253</f>
        <v>7.00796750803058</v>
      </c>
    </row>
    <row r="13255" customFormat="false" ht="17.15" hidden="false" customHeight="false" outlineLevel="0" collapsed="false">
      <c r="A13255" s="0" t="s">
        <v>1083</v>
      </c>
      <c r="B13255" s="0" t="s">
        <v>98</v>
      </c>
      <c r="F13255" s="6" t="n">
        <f aca="false">Sens!F13249-tax_f*(Sens!F13249-Thesis!F40)-Thesis!F37</f>
        <v>-117.492972553783</v>
      </c>
      <c r="G13255" s="6" t="n">
        <f aca="false">Sens!G13249-tax_f*(Sens!G13249-Thesis!G40)-Thesis!G37</f>
        <v>-100.507498271105</v>
      </c>
      <c r="H13255" s="6" t="n">
        <f aca="false">Sens!H13249-tax_f*(Sens!H13249-Thesis!H40)-Thesis!H37</f>
        <v>-58.2254156812621</v>
      </c>
      <c r="I13255" s="6" t="n">
        <f aca="false">Sens!I13249-tax_f*(Sens!I13249-Thesis!I40)-Thesis!I37</f>
        <v>4.14141173464586</v>
      </c>
      <c r="J13255" s="6" t="n">
        <f aca="false">Sens!J13249-tax_f*(Sens!J13249-Thesis!J40)-Thesis!J37</f>
        <v>67.7960840957439</v>
      </c>
      <c r="K13255" s="6" t="n">
        <f aca="false">Sens!K13249-tax_f*(Sens!K13249-Thesis!K40)-Thesis!K37</f>
        <v>90.8148873630444</v>
      </c>
    </row>
    <row r="13256" customFormat="false" ht="17.15" hidden="false" customHeight="false" outlineLevel="0" collapsed="false">
      <c r="A13256" s="0" t="s">
        <v>1084</v>
      </c>
      <c r="B13256" s="0" t="s">
        <v>98</v>
      </c>
      <c r="G13256" s="6" t="n">
        <f aca="false">Sens!G13255/(1+wacc)^(Sens!G13228-(Sens!F13228+mid_yr))</f>
        <v>-95.7025738516884</v>
      </c>
      <c r="H13256" s="6" t="n">
        <f aca="false">Sens!H13255/(1+wacc)^(Sens!H13228-(Sens!F13228+mid_yr))</f>
        <v>-50.2675897834568</v>
      </c>
      <c r="I13256" s="6" t="n">
        <f aca="false">Sens!I13255/(1+wacc)^(Sens!I13228-(Sens!F13228+mid_yr))</f>
        <v>3.241710173961</v>
      </c>
      <c r="J13256" s="6" t="n">
        <f aca="false">Sens!J13255/(1+wacc)^(Sens!J13228-(Sens!F13228+mid_yr))</f>
        <v>48.1150225569729</v>
      </c>
      <c r="K13256" s="6" t="n">
        <f aca="false">Sens!K13255/(1+wacc)^(Sens!K13228-(Sens!F13228+mid_yr))</f>
        <v>58.4363985421684</v>
      </c>
      <c r="L13256" s="1" t="s">
        <v>1085</v>
      </c>
    </row>
    <row r="13257" customFormat="false" ht="17.15" hidden="false" customHeight="false" outlineLevel="0" collapsed="false">
      <c r="A13257" s="0" t="s">
        <v>1086</v>
      </c>
      <c r="B13257" s="0" t="s">
        <v>98</v>
      </c>
      <c r="C13257" s="6" t="n">
        <f aca="false">(Sens!K13249-Thesis!K40)*(1-tax_f)*(1+g_tv)*(1-g_tv/(wacc+ronic_prem))/(wacc-g_tv)/(1+wacc)^(Sens!K13228+mid_yr-(Sens!F13228+mid_yr))</f>
        <v>448.116665852667</v>
      </c>
    </row>
    <row r="13258" customFormat="false" ht="17.15" hidden="false" customHeight="false" outlineLevel="0" collapsed="false">
      <c r="A13258" s="1" t="s">
        <v>1087</v>
      </c>
      <c r="B13258" s="0" t="s">
        <v>98</v>
      </c>
      <c r="C13258" s="6" t="n">
        <f aca="false">(SUM(Sens!G13256:K13256)+Sens!$C$13257)*(1+wacc)^(t_roll-(Sens!F13228+mid_yr))</f>
        <v>425.310341738423</v>
      </c>
      <c r="L13258" s="11" t="s">
        <v>1088</v>
      </c>
    </row>
    <row r="13259" customFormat="false" ht="17.15" hidden="false" customHeight="false" outlineLevel="0" collapsed="false">
      <c r="A13259" s="1" t="s">
        <v>1089</v>
      </c>
      <c r="B13259" s="0" t="s">
        <v>98</v>
      </c>
      <c r="C13259" s="6" t="n">
        <f aca="false">(w_ntm28*Thesis!G29+(1-w_ntm28)*Thesis!H29)*m_ai*0.8</f>
        <v>441.368907625123</v>
      </c>
    </row>
    <row r="13260" customFormat="false" ht="17.15" hidden="false" customHeight="false" outlineLevel="0" collapsed="false">
      <c r="A13260" s="1" t="s">
        <v>1090</v>
      </c>
      <c r="B13260" s="0" t="s">
        <v>98</v>
      </c>
      <c r="C13260" s="6" t="n">
        <f aca="false">(w_ntm28*Sens!G13251+(1-w_ntm28)*Sens!H13251)*m_cloud*0.8</f>
        <v>855.055338963579</v>
      </c>
    </row>
    <row r="13261" customFormat="false" ht="17.15" hidden="false" customHeight="false" outlineLevel="0" collapsed="false">
      <c r="A13261" s="1" t="s">
        <v>1091</v>
      </c>
      <c r="B13261" s="0" t="s">
        <v>98</v>
      </c>
      <c r="C13261" s="6" t="n">
        <f aca="false">(w_ntm28*Sens!G13244+(1-w_ntm28)*Sens!H13244)*m_sw*0.8</f>
        <v>902.168196892427</v>
      </c>
    </row>
    <row r="13262" customFormat="false" ht="17.15" hidden="false" customHeight="false" outlineLevel="0" collapsed="false">
      <c r="A13262" s="1" t="s">
        <v>1092</v>
      </c>
      <c r="B13262" s="0" t="s">
        <v>98</v>
      </c>
      <c r="C13262" s="6" t="n">
        <f aca="false">(w_ntm28*Sens!G13245+(1-w_ntm28)*Sens!H13245)*m_sw*0.8</f>
        <v>303.94236336994</v>
      </c>
    </row>
    <row r="13263" customFormat="false" ht="17.15" hidden="false" customHeight="false" outlineLevel="0" collapsed="false">
      <c r="A13263" s="1" t="s">
        <v>1093</v>
      </c>
      <c r="B13263" s="0" t="s">
        <v>98</v>
      </c>
      <c r="C13263" s="6" t="n">
        <f aca="false">(w_ntm28*Sens!G13246+(1-w_ntm28)*Sens!H13246)*m_sw*0.8</f>
        <v>87.6301453968457</v>
      </c>
    </row>
    <row r="13264" customFormat="false" ht="17.15" hidden="false" customHeight="false" outlineLevel="0" collapsed="false">
      <c r="A13264" s="1" t="s">
        <v>1094</v>
      </c>
      <c r="B13264" s="0" t="s">
        <v>98</v>
      </c>
      <c r="C13264" s="6" t="n">
        <f aca="false">(w_ntm28*Sens!G13247+(1-w_ntm28)*Sens!H13247)*m_sw*0.8</f>
        <v>33.4325932819357</v>
      </c>
    </row>
    <row r="13265" customFormat="false" ht="17.15" hidden="false" customHeight="false" outlineLevel="0" collapsed="false">
      <c r="A13265" s="1" t="s">
        <v>1095</v>
      </c>
      <c r="B13265" s="0" t="s">
        <v>98</v>
      </c>
      <c r="C13265" s="6" t="n">
        <f aca="false">(w_ntm28*Sens!G13248+(1-w_ntm28)*Sens!H13248)*m_ads*0.8</f>
        <v>92.3741013832035</v>
      </c>
    </row>
    <row r="13266" customFormat="false" ht="17.15" hidden="false" customHeight="false" outlineLevel="0" collapsed="false">
      <c r="A13266" s="1" t="s">
        <v>1096</v>
      </c>
      <c r="B13266" s="0" t="s">
        <v>98</v>
      </c>
      <c r="C13266" s="6" t="n">
        <f aca="false">(w_ntm28*Sens!G13253+(1-w_ntm28)*Sens!H13253)*m_game*0.8</f>
        <v>78.4405587397966</v>
      </c>
    </row>
    <row r="13267" customFormat="false" ht="17.15" hidden="false" customHeight="false" outlineLevel="0" collapsed="false">
      <c r="A13267" s="1" t="s">
        <v>1097</v>
      </c>
      <c r="B13267" s="0" t="s">
        <v>98</v>
      </c>
      <c r="C13267" s="6" t="n">
        <f aca="false">(w_ntm28*Sens!G13254+(1-w_ntm28)*Sens!H13254)*m_pc*0.8</f>
        <v>77.7670464382413</v>
      </c>
    </row>
    <row r="13268" customFormat="false" ht="17.15" hidden="false" customHeight="false" outlineLevel="0" collapsed="false">
      <c r="A13268" s="1" t="s">
        <v>1098</v>
      </c>
      <c r="B13268" s="0" t="s">
        <v>98</v>
      </c>
      <c r="C13268" s="6" t="n">
        <f aca="false">Sens!$C$13258+Sens!$C$13260+Sens!$C$13261+Sens!$C$13262+Sens!$C$13263+Sens!$C$13264+Sens!$C$13265+Sens!$C$13266+Sens!$C$13267</f>
        <v>2856.12068620439</v>
      </c>
    </row>
    <row r="13269" customFormat="false" ht="17.15" hidden="false" customHeight="false" outlineLevel="0" collapsed="false">
      <c r="A13269" s="1" t="s">
        <v>1099</v>
      </c>
      <c r="B13269" s="0" t="s">
        <v>98</v>
      </c>
      <c r="C13269" s="6" t="n">
        <f aca="false">(Sens!G13230-Sens!G13255)*t_stub</f>
        <v>47.9592964551235</v>
      </c>
      <c r="L13269" s="1" t="s">
        <v>1100</v>
      </c>
    </row>
    <row r="13270" customFormat="false" ht="17.15" hidden="false" customHeight="false" outlineLevel="0" collapsed="false">
      <c r="A13270" s="1" t="s">
        <v>1014</v>
      </c>
      <c r="B13270" s="0" t="s">
        <v>98</v>
      </c>
      <c r="C13270" s="6" t="n">
        <f aca="false">CF!F38+oai_v-CF!F27+Sens!$C$13269</f>
        <v>163.066005497665</v>
      </c>
      <c r="L13270" s="1" t="s">
        <v>1101</v>
      </c>
    </row>
    <row r="13271" customFormat="false" ht="17.15" hidden="false" customHeight="false" outlineLevel="0" collapsed="false">
      <c r="A13271" s="1" t="s">
        <v>1102</v>
      </c>
      <c r="B13271" s="0" t="s">
        <v>75</v>
      </c>
      <c r="C13271" s="5" t="n">
        <f aca="false">(Sens!$C$13268+Sens!$C$13270)/(CF!F40+dil_gap)-CF!G30*roll_div_q/q_per_yr</f>
        <v>401.733537847126</v>
      </c>
      <c r="L13271" s="1" t="s">
        <v>1103</v>
      </c>
    </row>
    <row r="13272" customFormat="false" ht="17.15" hidden="false" customHeight="false" outlineLevel="0" collapsed="false">
      <c r="A13272" s="1" t="s">
        <v>1104</v>
      </c>
      <c r="B13272" s="0" t="s">
        <v>75</v>
      </c>
      <c r="C13272" s="5" t="n">
        <f aca="false">w_dcf*Sens!$C$13242+(1-w_dcf)*Sens!$C$13271</f>
        <v>384.679521828823</v>
      </c>
    </row>
    <row r="13273" customFormat="false" ht="17.15" hidden="false" customHeight="false" outlineLevel="0" collapsed="false">
      <c r="A13273" s="3" t="s">
        <v>1599</v>
      </c>
    </row>
    <row r="13274" customFormat="false" ht="15" hidden="false" customHeight="false" outlineLevel="0" collapsed="false">
      <c r="A13274" s="4" t="s">
        <v>43</v>
      </c>
      <c r="B13274" s="4" t="s">
        <v>65</v>
      </c>
      <c r="C13274" s="20" t="s">
        <v>799</v>
      </c>
      <c r="D13274" s="20" t="s">
        <v>800</v>
      </c>
      <c r="E13274" s="20" t="s">
        <v>801</v>
      </c>
      <c r="F13274" s="20" t="s">
        <v>802</v>
      </c>
      <c r="G13274" s="20" t="s">
        <v>803</v>
      </c>
      <c r="H13274" s="20" t="s">
        <v>804</v>
      </c>
      <c r="I13274" s="20" t="s">
        <v>805</v>
      </c>
      <c r="J13274" s="20" t="s">
        <v>806</v>
      </c>
      <c r="K13274" s="20" t="s">
        <v>807</v>
      </c>
      <c r="L13274" s="4" t="s">
        <v>47</v>
      </c>
    </row>
    <row r="13275" customFormat="false" ht="15" hidden="false" customHeight="false" outlineLevel="0" collapsed="false">
      <c r="A13275" s="1" t="s">
        <v>1057</v>
      </c>
      <c r="B13275" s="1" t="s">
        <v>235</v>
      </c>
      <c r="F13275" s="36" t="n">
        <f aca="false">Thesis!F55-base_fy-mid_yr</f>
        <v>0.5</v>
      </c>
      <c r="G13275" s="36" t="n">
        <f aca="false">Thesis!G55-base_fy-mid_yr</f>
        <v>1.5</v>
      </c>
      <c r="H13275" s="36" t="n">
        <f aca="false">Thesis!H55-base_fy-mid_yr</f>
        <v>2.5</v>
      </c>
      <c r="I13275" s="36" t="n">
        <f aca="false">Thesis!I55-base_fy-mid_yr</f>
        <v>3.5</v>
      </c>
      <c r="J13275" s="36" t="n">
        <f aca="false">Thesis!J55-base_fy-mid_yr</f>
        <v>4.5</v>
      </c>
      <c r="K13275" s="36" t="n">
        <f aca="false">Thesis!K55-base_fy-mid_yr</f>
        <v>5.5</v>
      </c>
    </row>
    <row r="13276" customFormat="false" ht="15" hidden="false" customHeight="false" outlineLevel="0" collapsed="false">
      <c r="A13276" s="1" t="s">
        <v>1058</v>
      </c>
      <c r="B13276" s="0" t="s">
        <v>185</v>
      </c>
      <c r="F13276" s="14" t="n">
        <f aca="false">1/(1+wacc)^Sens!F13275</f>
        <v>0.952193373608246</v>
      </c>
      <c r="G13276" s="14" t="n">
        <f aca="false">1/(1+wacc)^Sens!G13275</f>
        <v>0.863327280626589</v>
      </c>
      <c r="H13276" s="14" t="n">
        <f aca="false">1/(1+wacc)^Sens!H13275</f>
        <v>0.782754862754115</v>
      </c>
      <c r="I13276" s="14" t="n">
        <f aca="false">1/(1+wacc)^Sens!I13275</f>
        <v>0.709702089711011</v>
      </c>
      <c r="J13276" s="14" t="n">
        <f aca="false">1/(1+wacc)^Sens!J13275</f>
        <v>0.643467169744551</v>
      </c>
      <c r="K13276" s="14" t="n">
        <f aca="false">1/(1+wacc)^Sens!K13275</f>
        <v>0.583413807767797</v>
      </c>
    </row>
    <row r="13277" customFormat="false" ht="17.15" hidden="false" customHeight="false" outlineLevel="0" collapsed="false">
      <c r="A13277" s="1" t="s">
        <v>1059</v>
      </c>
      <c r="B13277" s="0" t="s">
        <v>98</v>
      </c>
      <c r="F13277" s="6" t="n">
        <f aca="false">CF!F53-CF!F51-CF!F57+Thesis!F93*(1-tax_f)</f>
        <v>-2.12916264917943</v>
      </c>
      <c r="G13277" s="6" t="n">
        <f aca="false">CF!G53-CF!G51-CF!G57+Thesis!G93*(1-tax_f)</f>
        <v>37.4539072201241</v>
      </c>
      <c r="H13277" s="6" t="n">
        <f aca="false">CF!H53-CF!H51-CF!H57+Thesis!H93*(1-tax_f)</f>
        <v>85.8888636072133</v>
      </c>
      <c r="I13277" s="6" t="n">
        <f aca="false">CF!I53-CF!I51-CF!I57+Thesis!I93*(1-tax_f)</f>
        <v>159.098024951333</v>
      </c>
      <c r="J13277" s="6" t="n">
        <f aca="false">CF!J53-CF!J51-CF!J57+Thesis!J93*(1-tax_f)</f>
        <v>233.876759261847</v>
      </c>
      <c r="K13277" s="6" t="n">
        <f aca="false">CF!K53-CF!K51-CF!K57+Thesis!K93*(1-tax_f)</f>
        <v>268.447783789649</v>
      </c>
      <c r="L13277" s="1" t="s">
        <v>1060</v>
      </c>
    </row>
    <row r="13278" customFormat="false" ht="15" hidden="false" customHeight="false" outlineLevel="0" collapsed="false">
      <c r="A13278" s="1" t="s">
        <v>1061</v>
      </c>
      <c r="B13278" s="0" t="s">
        <v>98</v>
      </c>
      <c r="F13278" s="6" t="n">
        <f aca="false">Sens!F13277*Sens!F13276</f>
        <v>-2.02737456588283</v>
      </c>
      <c r="G13278" s="6" t="n">
        <f aca="false">Sens!G13277*Sens!G13276</f>
        <v>32.3349798691903</v>
      </c>
      <c r="H13278" s="6" t="n">
        <f aca="false">Sens!H13277*Sens!H13276</f>
        <v>67.2299256449712</v>
      </c>
      <c r="I13278" s="6" t="n">
        <f aca="false">Sens!I13277*Sens!I13276</f>
        <v>112.912200776856</v>
      </c>
      <c r="J13278" s="6" t="n">
        <f aca="false">Sens!J13277*Sens!J13276</f>
        <v>150.492016351249</v>
      </c>
      <c r="K13278" s="6" t="n">
        <f aca="false">Sens!K13277*Sens!K13276</f>
        <v>156.616143727545</v>
      </c>
    </row>
    <row r="13279" customFormat="false" ht="17.15" hidden="false" customHeight="false" outlineLevel="0" collapsed="false">
      <c r="A13279" s="1" t="s">
        <v>1062</v>
      </c>
      <c r="B13279" s="0" t="s">
        <v>98</v>
      </c>
      <c r="C13279" s="6" t="n">
        <f aca="false">SUM(Sens!F13278:K13278)</f>
        <v>517.557891803928</v>
      </c>
    </row>
    <row r="13280" customFormat="false" ht="17.15" hidden="false" customHeight="false" outlineLevel="0" collapsed="false">
      <c r="A13280" s="1" t="s">
        <v>1063</v>
      </c>
      <c r="B13280" s="0" t="s">
        <v>98</v>
      </c>
      <c r="C13280" s="6" t="n">
        <f aca="false">PL!K78*(1+g_tv)*(1-tax_f)</f>
        <v>284.685941703094</v>
      </c>
    </row>
    <row r="13281" customFormat="false" ht="17.15" hidden="false" customHeight="false" outlineLevel="0" collapsed="false">
      <c r="A13281" s="1" t="s">
        <v>1064</v>
      </c>
      <c r="B13281" s="0" t="s">
        <v>98</v>
      </c>
      <c r="C13281" s="6" t="n">
        <f aca="false">Sens!$C$13280*(1-g_tv/(wacc+ronic_prem))</f>
        <v>201.714878735169</v>
      </c>
    </row>
    <row r="13282" customFormat="false" ht="17.15" hidden="false" customHeight="false" outlineLevel="0" collapsed="false">
      <c r="A13282" s="1" t="s">
        <v>1065</v>
      </c>
      <c r="B13282" s="0" t="s">
        <v>98</v>
      </c>
      <c r="C13282" s="6" t="n">
        <f aca="false">Sens!$C$13281/(wacc-g_tv)</f>
        <v>2765.70209893083</v>
      </c>
    </row>
    <row r="13283" customFormat="false" ht="15" hidden="false" customHeight="false" outlineLevel="0" collapsed="false">
      <c r="A13283" s="1" t="s">
        <v>1066</v>
      </c>
      <c r="B13283" s="0" t="s">
        <v>98</v>
      </c>
      <c r="C13283" s="6" t="n">
        <f aca="false">Sens!$C$13282/(1+wacc)^(Sens!K13275+mid_yr)</f>
        <v>1536.41046839169</v>
      </c>
    </row>
    <row r="13284" customFormat="false" ht="17.15" hidden="false" customHeight="false" outlineLevel="0" collapsed="false">
      <c r="A13284" s="0" t="s">
        <v>986</v>
      </c>
      <c r="B13284" s="0" t="s">
        <v>98</v>
      </c>
      <c r="C13284" s="6" t="n">
        <f aca="false">Sens!$C$13279+Sens!$C$13283</f>
        <v>2053.96836019562</v>
      </c>
    </row>
    <row r="13285" customFormat="false" ht="15" hidden="false" customHeight="false" outlineLevel="0" collapsed="false">
      <c r="A13285" s="1" t="s">
        <v>987</v>
      </c>
      <c r="B13285" s="0" t="s">
        <v>129</v>
      </c>
      <c r="C13285" s="7" t="n">
        <f aca="false">Sens!$C$13283/Sens!$C$13284</f>
        <v>0.748020513931073</v>
      </c>
    </row>
    <row r="13286" customFormat="false" ht="17.15" hidden="false" customHeight="false" outlineLevel="0" collapsed="false">
      <c r="A13286" s="1" t="s">
        <v>1067</v>
      </c>
      <c r="B13286" s="0" t="s">
        <v>98</v>
      </c>
      <c r="C13286" s="6" t="n">
        <f aca="false">Sens!$C$13284+CF!E69-CF!E58+oai_v</f>
        <v>2188.48136019562</v>
      </c>
    </row>
    <row r="13287" customFormat="false" ht="17.15" hidden="false" customHeight="false" outlineLevel="0" collapsed="false">
      <c r="A13287" s="0" t="s">
        <v>994</v>
      </c>
      <c r="B13287" s="0" t="s">
        <v>75</v>
      </c>
      <c r="C13287" s="5" t="n">
        <f aca="false">Sens!$C$13286/sh_dil26</f>
        <v>293.637643928032</v>
      </c>
    </row>
    <row r="13288" customFormat="false" ht="15" hidden="false" customHeight="false" outlineLevel="0" collapsed="false">
      <c r="A13288" s="1" t="s">
        <v>1068</v>
      </c>
      <c r="B13288" s="0" t="s">
        <v>75</v>
      </c>
      <c r="C13288" s="8" t="n">
        <f aca="false">dps_27+CF!G61*roll_div_q/q_per_yr</f>
        <v>4.8895</v>
      </c>
    </row>
    <row r="13289" customFormat="false" ht="17.15" hidden="false" customHeight="false" outlineLevel="0" collapsed="false">
      <c r="A13289" s="0" t="s">
        <v>1069</v>
      </c>
      <c r="B13289" s="0" t="s">
        <v>75</v>
      </c>
      <c r="C13289" s="5" t="n">
        <f aca="false">Sens!$C$13287*(1+wacc)^t_roll-Sens!$C$13288</f>
        <v>329.485489562521</v>
      </c>
    </row>
    <row r="13290" customFormat="false" ht="17.15" hidden="false" customHeight="false" outlineLevel="0" collapsed="false">
      <c r="A13290" s="1" t="s">
        <v>1070</v>
      </c>
      <c r="B13290" s="0" t="s">
        <v>129</v>
      </c>
      <c r="F13290" s="7" t="n">
        <f aca="false">CF!F48/(Seg!F56-Thesis!F72)</f>
        <v>0.0708376243512414</v>
      </c>
      <c r="G13290" s="7" t="n">
        <f aca="false">CF!G48/(Seg!G56-Thesis!G72)</f>
        <v>0.0675792567445289</v>
      </c>
      <c r="H13290" s="7" t="n">
        <f aca="false">CF!H48/(Seg!H56-Thesis!H72)</f>
        <v>0.0657637992399081</v>
      </c>
      <c r="I13290" s="7" t="n">
        <f aca="false">CF!I48/(Seg!I56-Thesis!I72)</f>
        <v>0.0652507860006261</v>
      </c>
      <c r="J13290" s="7" t="n">
        <f aca="false">CF!J48/(Seg!J56-Thesis!J72)</f>
        <v>0.0657374094257698</v>
      </c>
      <c r="K13290" s="7" t="n">
        <f aca="false">CF!K48/(Seg!K56-Thesis!K72)</f>
        <v>0.0668595832904836</v>
      </c>
    </row>
    <row r="13291" customFormat="false" ht="17.15" hidden="false" customHeight="false" outlineLevel="0" collapsed="false">
      <c r="A13291" s="0" t="s">
        <v>1071</v>
      </c>
      <c r="B13291" s="0" t="s">
        <v>98</v>
      </c>
      <c r="F13291" s="6" t="n">
        <f aca="false">Seg!F41*(al_m365+Sens!F13290+sbc_r)</f>
        <v>84.2019918892952</v>
      </c>
      <c r="G13291" s="6" t="n">
        <f aca="false">Seg!G41*(al_m365+Sens!G13290+sbc_r)</f>
        <v>96.61090954529</v>
      </c>
      <c r="H13291" s="6" t="n">
        <f aca="false">Seg!H41*(al_m365+Sens!H13290+sbc_r)</f>
        <v>109.18271398457</v>
      </c>
      <c r="I13291" s="6" t="n">
        <f aca="false">Seg!I41*(al_m365+Sens!I13290+sbc_r)</f>
        <v>120.736322591613</v>
      </c>
      <c r="J13291" s="6" t="n">
        <f aca="false">Seg!J41*(al_m365+Sens!J13290+sbc_r)</f>
        <v>131.084561154645</v>
      </c>
      <c r="K13291" s="6" t="n">
        <f aca="false">Seg!K41*(al_m365+Sens!K13290+sbc_r)</f>
        <v>141.044207560217</v>
      </c>
      <c r="L13291" s="11" t="s">
        <v>1072</v>
      </c>
    </row>
    <row r="13292" customFormat="false" ht="17.15" hidden="false" customHeight="false" outlineLevel="0" collapsed="false">
      <c r="A13292" s="0" t="s">
        <v>1073</v>
      </c>
      <c r="B13292" s="0" t="s">
        <v>98</v>
      </c>
      <c r="F13292" s="6" t="n">
        <f aca="false">Seg!F42*(al_lic+Sens!F13290+sbc_r)</f>
        <v>33.5324516680982</v>
      </c>
      <c r="G13292" s="6" t="n">
        <f aca="false">Seg!G42*(al_lic+Sens!G13290+sbc_r)</f>
        <v>34.819657317048</v>
      </c>
      <c r="H13292" s="6" t="n">
        <f aca="false">Seg!H42*(al_lic+Sens!H13290+sbc_r)</f>
        <v>36.0229106304815</v>
      </c>
      <c r="I13292" s="6" t="n">
        <f aca="false">Seg!I42*(al_lic+Sens!I13290+sbc_r)</f>
        <v>37.1234854794919</v>
      </c>
      <c r="J13292" s="6" t="n">
        <f aca="false">Seg!J42*(al_lic+Sens!J13290+sbc_r)</f>
        <v>38.0950592345738</v>
      </c>
      <c r="K13292" s="6" t="n">
        <f aca="false">Seg!K42*(al_lic+Sens!K13290+sbc_r)</f>
        <v>38.9080719459809</v>
      </c>
    </row>
    <row r="13293" customFormat="false" ht="17.15" hidden="false" customHeight="false" outlineLevel="0" collapsed="false">
      <c r="A13293" s="0" t="s">
        <v>1074</v>
      </c>
      <c r="B13293" s="0" t="s">
        <v>98</v>
      </c>
      <c r="F13293" s="6" t="n">
        <f aca="false">Seg!F44*(al_ind+Sens!F13290+sbc_r)</f>
        <v>9.12666918765551</v>
      </c>
      <c r="G13293" s="6" t="n">
        <f aca="false">Seg!G44*(al_ind+Sens!G13290+sbc_r)</f>
        <v>9.89694850970116</v>
      </c>
      <c r="H13293" s="6" t="n">
        <f aca="false">Seg!H44*(al_ind+Sens!H13290+sbc_r)</f>
        <v>10.7131335152527</v>
      </c>
      <c r="I13293" s="6" t="n">
        <f aca="false">Seg!I44*(al_ind+Sens!I13290+sbc_r)</f>
        <v>11.5721730864119</v>
      </c>
      <c r="J13293" s="6" t="n">
        <f aca="false">Seg!J44*(al_ind+Sens!J13290+sbc_r)</f>
        <v>12.4641697526801</v>
      </c>
      <c r="K13293" s="6" t="n">
        <f aca="false">Seg!K44*(al_ind+Sens!K13290+sbc_r)</f>
        <v>13.3737871892836</v>
      </c>
    </row>
    <row r="13294" customFormat="false" ht="17.15" hidden="false" customHeight="false" outlineLevel="0" collapsed="false">
      <c r="A13294" s="0" t="s">
        <v>1075</v>
      </c>
      <c r="B13294" s="0" t="s">
        <v>98</v>
      </c>
      <c r="F13294" s="6" t="n">
        <f aca="false">Seg!F46*(al_fro+Sens!F13290+sbc_r)</f>
        <v>3.5922890341799</v>
      </c>
      <c r="G13294" s="6" t="n">
        <f aca="false">Seg!G46*(al_fro+Sens!G13290+sbc_r)</f>
        <v>3.79984310356763</v>
      </c>
      <c r="H13294" s="6" t="n">
        <f aca="false">Seg!H46*(al_fro+Sens!H13290+sbc_r)</f>
        <v>4.03707539290126</v>
      </c>
      <c r="I13294" s="6" t="n">
        <f aca="false">Seg!I46*(al_fro+Sens!I13290+sbc_r)</f>
        <v>4.30669184104541</v>
      </c>
      <c r="J13294" s="6" t="n">
        <f aca="false">Seg!J46*(al_fro+Sens!J13290+sbc_r)</f>
        <v>4.6097289716959</v>
      </c>
      <c r="K13294" s="6" t="n">
        <f aca="false">Seg!K46*(al_fro+Sens!K13290+sbc_r)</f>
        <v>4.94614045628512</v>
      </c>
    </row>
    <row r="13295" customFormat="false" ht="17.15" hidden="false" customHeight="false" outlineLevel="0" collapsed="false">
      <c r="A13295" s="0" t="s">
        <v>1076</v>
      </c>
      <c r="B13295" s="0" t="s">
        <v>98</v>
      </c>
      <c r="F13295" s="6" t="n">
        <f aca="false">Seg!F49*(al_srch+Sens!F13290+sbc_r)</f>
        <v>11.2715683093452</v>
      </c>
      <c r="G13295" s="6" t="n">
        <f aca="false">Seg!G49*(al_srch+Sens!G13290+sbc_r)</f>
        <v>12.338201972554</v>
      </c>
      <c r="H13295" s="6" t="n">
        <f aca="false">Seg!H49*(al_srch+Sens!H13290+sbc_r)</f>
        <v>13.450727865064</v>
      </c>
      <c r="I13295" s="6" t="n">
        <f aca="false">Seg!I49*(al_srch+Sens!I13290+sbc_r)</f>
        <v>14.598560682534</v>
      </c>
      <c r="J13295" s="6" t="n">
        <f aca="false">Seg!J49*(al_srch+Sens!J13290+sbc_r)</f>
        <v>15.7615229152659</v>
      </c>
      <c r="K13295" s="6" t="n">
        <f aca="false">Seg!K49*(al_srch+Sens!K13290+sbc_r)</f>
        <v>16.9117765106222</v>
      </c>
    </row>
    <row r="13296" customFormat="false" ht="17.15" hidden="false" customHeight="false" outlineLevel="0" collapsed="false">
      <c r="A13296" s="0" t="s">
        <v>1077</v>
      </c>
      <c r="B13296" s="0" t="s">
        <v>98</v>
      </c>
      <c r="F13296" s="6" t="n">
        <f aca="false">Thesis!F78-Thesis!F79+Thesis!F93</f>
        <v>42.2254306726393</v>
      </c>
      <c r="G13296" s="6" t="n">
        <f aca="false">Thesis!G78-Thesis!G79+Thesis!G93</f>
        <v>79.7027537443441</v>
      </c>
      <c r="H13296" s="6" t="n">
        <f aca="false">Thesis!H78-Thesis!H79+Thesis!H93</f>
        <v>120.060533679822</v>
      </c>
      <c r="I13296" s="6" t="n">
        <f aca="false">Thesis!I78-Thesis!I79+Thesis!I93</f>
        <v>156.515256506302</v>
      </c>
      <c r="J13296" s="6" t="n">
        <f aca="false">Thesis!J78-Thesis!J79+Thesis!J93</f>
        <v>182.51821819491</v>
      </c>
      <c r="K13296" s="6" t="n">
        <f aca="false">Thesis!K78-Thesis!K79+Thesis!K93</f>
        <v>199.254533496123</v>
      </c>
    </row>
    <row r="13297" customFormat="false" ht="17.15" hidden="false" customHeight="false" outlineLevel="0" collapsed="false">
      <c r="A13297" s="0" t="s">
        <v>1078</v>
      </c>
      <c r="B13297" s="0" t="s">
        <v>98</v>
      </c>
      <c r="F13297" s="6" t="n">
        <f aca="false">PL!F71+Thesis!F93+Thesis!F89+Sens!F13290*(Seg!F48-Thesis!F72)+sbc_r*Seg!F48</f>
        <v>233.08249657256</v>
      </c>
      <c r="G13297" s="6" t="n">
        <f aca="false">PL!G71+Thesis!G93+Thesis!G89+Sens!G13290*(Seg!G48-Thesis!G72)+sbc_r*Seg!G48</f>
        <v>297.663189032606</v>
      </c>
      <c r="H13297" s="6" t="n">
        <f aca="false">PL!H71+Thesis!H93+Thesis!H89+Sens!H13290*(Seg!H48-Thesis!H72)+sbc_r*Seg!H48</f>
        <v>365.628165851855</v>
      </c>
      <c r="I13297" s="6" t="n">
        <f aca="false">PL!I71+Thesis!I93+Thesis!I89+Sens!I13290*(Seg!I48-Thesis!I72)+sbc_r*Seg!I48</f>
        <v>428.31888397841</v>
      </c>
      <c r="J13297" s="6" t="n">
        <f aca="false">PL!J71+Thesis!J93+Thesis!J89+Sens!J13290*(Seg!J48-Thesis!J72)+sbc_r*Seg!J48</f>
        <v>478.127348640143</v>
      </c>
      <c r="K13297" s="6" t="n">
        <f aca="false">PL!K71+Thesis!K93+Thesis!K89+Sens!K13290*(Seg!K48-Thesis!K72)+sbc_r*Seg!K48</f>
        <v>516.321726855748</v>
      </c>
    </row>
    <row r="13298" customFormat="false" ht="17.15" hidden="false" customHeight="false" outlineLevel="0" collapsed="false">
      <c r="A13298" s="0" t="s">
        <v>1079</v>
      </c>
      <c r="B13298" s="0" t="s">
        <v>98</v>
      </c>
      <c r="F13298" s="6" t="n">
        <f aca="false">Sens!F13297-Sens!F13291-Sens!F13292-Sens!F13293-Sens!F13294-Sens!F13296</f>
        <v>60.4036641206917</v>
      </c>
      <c r="G13298" s="6" t="n">
        <f aca="false">Sens!G13297-Sens!G13291-Sens!G13292-Sens!G13293-Sens!G13294-Sens!G13296</f>
        <v>72.8330768126549</v>
      </c>
      <c r="H13298" s="6" t="n">
        <f aca="false">Sens!H13297-Sens!H13291-Sens!H13292-Sens!H13293-Sens!H13294-Sens!H13296</f>
        <v>85.6117986488275</v>
      </c>
      <c r="I13298" s="6" t="n">
        <f aca="false">Sens!I13297-Sens!I13291-Sens!I13292-Sens!I13293-Sens!I13294-Sens!I13296</f>
        <v>98.0649544735462</v>
      </c>
      <c r="J13298" s="6" t="n">
        <f aca="false">Sens!J13297-Sens!J13291-Sens!J13292-Sens!J13293-Sens!J13294-Sens!J13296</f>
        <v>109.355611331638</v>
      </c>
      <c r="K13298" s="6" t="n">
        <f aca="false">Sens!K13297-Sens!K13291-Sens!K13292-Sens!K13293-Sens!K13294-Sens!K13296</f>
        <v>118.794986207857</v>
      </c>
    </row>
    <row r="13299" customFormat="false" ht="17.15" hidden="false" customHeight="false" outlineLevel="0" collapsed="false">
      <c r="A13299" s="0" t="s">
        <v>1080</v>
      </c>
      <c r="B13299" s="0" t="s">
        <v>98</v>
      </c>
      <c r="F13299" s="6" t="n">
        <f aca="false">PL!F73+Sens!F13290*Seg!F55+sbc_r*Seg!F55</f>
        <v>26.345087006484</v>
      </c>
      <c r="G13299" s="6" t="n">
        <f aca="false">PL!G73+Sens!G13290*Seg!G55+sbc_r*Seg!G55</f>
        <v>26.928666241387</v>
      </c>
      <c r="H13299" s="6" t="n">
        <f aca="false">PL!H73+Sens!H13290*Seg!H55+sbc_r*Seg!H55</f>
        <v>27.7857977299272</v>
      </c>
      <c r="I13299" s="6" t="n">
        <f aca="false">PL!I73+Sens!I13290*Seg!I55+sbc_r*Seg!I55</f>
        <v>28.8854111921819</v>
      </c>
      <c r="J13299" s="6" t="n">
        <f aca="false">PL!J73+Sens!J13290*Seg!J55+sbc_r*Seg!J55</f>
        <v>30.1909525075627</v>
      </c>
      <c r="K13299" s="6" t="n">
        <f aca="false">PL!K73+Sens!K13290*Seg!K55+sbc_r*Seg!K55</f>
        <v>31.6641663414168</v>
      </c>
    </row>
    <row r="13300" customFormat="false" ht="17.15" hidden="false" customHeight="false" outlineLevel="0" collapsed="false">
      <c r="A13300" s="0" t="s">
        <v>1081</v>
      </c>
      <c r="B13300" s="0" t="s">
        <v>98</v>
      </c>
      <c r="F13300" s="6" t="n">
        <f aca="false">(Sens!F13299-Sens!F13295)*Seg!F51/(Seg!F51+Seg!F53)</f>
        <v>8.26315613582677</v>
      </c>
      <c r="G13300" s="6" t="n">
        <f aca="false">(Sens!G13299-Sens!G13295)*Seg!G51/(Seg!G51+Seg!G53)</f>
        <v>7.85574031810689</v>
      </c>
      <c r="H13300" s="6" t="n">
        <f aca="false">(Sens!H13299-Sens!H13295)*Seg!H51/(Seg!H51+Seg!H53)</f>
        <v>7.61397145487838</v>
      </c>
      <c r="I13300" s="6" t="n">
        <f aca="false">(Sens!I13299-Sens!I13295)*Seg!I51/(Seg!I51+Seg!I53)</f>
        <v>7.51970050510933</v>
      </c>
      <c r="J13300" s="6" t="n">
        <f aca="false">(Sens!J13299-Sens!J13295)*Seg!J51/(Seg!J51+Seg!J53)</f>
        <v>7.56040201890202</v>
      </c>
      <c r="K13300" s="6" t="n">
        <f aca="false">(Sens!K13299-Sens!K13295)*Seg!K51/(Seg!K51+Seg!K53)</f>
        <v>7.72961932742727</v>
      </c>
    </row>
    <row r="13301" customFormat="false" ht="17.15" hidden="false" customHeight="false" outlineLevel="0" collapsed="false">
      <c r="A13301" s="0" t="s">
        <v>1082</v>
      </c>
      <c r="B13301" s="0" t="s">
        <v>98</v>
      </c>
      <c r="F13301" s="6" t="n">
        <f aca="false">Sens!F13299-Sens!F13295-Sens!F13300</f>
        <v>6.81036256131213</v>
      </c>
      <c r="G13301" s="6" t="n">
        <f aca="false">Sens!G13299-Sens!G13295-Sens!G13300</f>
        <v>6.73472395072608</v>
      </c>
      <c r="H13301" s="6" t="n">
        <f aca="false">Sens!H13299-Sens!H13295-Sens!H13300</f>
        <v>6.72109840998485</v>
      </c>
      <c r="I13301" s="6" t="n">
        <f aca="false">Sens!I13299-Sens!I13295-Sens!I13300</f>
        <v>6.76715000453853</v>
      </c>
      <c r="J13301" s="6" t="n">
        <f aca="false">Sens!J13299-Sens!J13295-Sens!J13300</f>
        <v>6.86902757339483</v>
      </c>
      <c r="K13301" s="6" t="n">
        <f aca="false">Sens!K13299-Sens!K13295-Sens!K13300</f>
        <v>7.02277050336727</v>
      </c>
    </row>
    <row r="13302" customFormat="false" ht="17.15" hidden="false" customHeight="false" outlineLevel="0" collapsed="false">
      <c r="A13302" s="0" t="s">
        <v>1083</v>
      </c>
      <c r="B13302" s="0" t="s">
        <v>98</v>
      </c>
      <c r="F13302" s="6" t="n">
        <f aca="false">Sens!F13296-tax_f*(Sens!F13296-Thesis!F89)-Thesis!F86</f>
        <v>-119.742553857164</v>
      </c>
      <c r="G13302" s="6" t="n">
        <f aca="false">Sens!G13296-tax_f*(Sens!G13296-Thesis!G89)-Thesis!G86</f>
        <v>-107.986890065622</v>
      </c>
      <c r="H13302" s="6" t="n">
        <f aca="false">Sens!H13296-tax_f*(Sens!H13296-Thesis!H89)-Thesis!H86</f>
        <v>-74.7596549978803</v>
      </c>
      <c r="I13302" s="6" t="n">
        <f aca="false">Sens!I13296-tax_f*(Sens!I13296-Thesis!I89)-Thesis!I86</f>
        <v>-16.3733151827256</v>
      </c>
      <c r="J13302" s="6" t="n">
        <f aca="false">Sens!J13296-tax_f*(Sens!J13296-Thesis!J89)-Thesis!J86</f>
        <v>44.4328025322546</v>
      </c>
      <c r="K13302" s="6" t="n">
        <f aca="false">Sens!K13296-tax_f*(Sens!K13296-Thesis!K89)-Thesis!K86</f>
        <v>65.8225043021697</v>
      </c>
    </row>
    <row r="13303" customFormat="false" ht="17.15" hidden="false" customHeight="false" outlineLevel="0" collapsed="false">
      <c r="A13303" s="0" t="s">
        <v>1084</v>
      </c>
      <c r="B13303" s="0" t="s">
        <v>98</v>
      </c>
      <c r="G13303" s="6" t="n">
        <f aca="false">Sens!G13302/(1+wacc)^(Sens!G13275-(Sens!F13275+mid_yr))</f>
        <v>-102.824401157048</v>
      </c>
      <c r="H13303" s="6" t="n">
        <f aca="false">Sens!H13302/(1+wacc)^(Sens!H13275-(Sens!F13275+mid_yr))</f>
        <v>-64.5420496499019</v>
      </c>
      <c r="I13303" s="6" t="n">
        <f aca="false">Sens!I13302/(1+wacc)^(Sens!I13275-(Sens!F13275+mid_yr))</f>
        <v>-12.8162920786843</v>
      </c>
      <c r="J13303" s="6" t="n">
        <f aca="false">Sens!J13302/(1+wacc)^(Sens!J13275-(Sens!F13275+mid_yr))</f>
        <v>31.5340528088578</v>
      </c>
      <c r="K13303" s="6" t="n">
        <f aca="false">Sens!K13302/(1+wacc)^(Sens!K13275-(Sens!F13275+mid_yr))</f>
        <v>42.3546205488157</v>
      </c>
      <c r="L13303" s="1" t="s">
        <v>1085</v>
      </c>
    </row>
    <row r="13304" customFormat="false" ht="17.15" hidden="false" customHeight="false" outlineLevel="0" collapsed="false">
      <c r="A13304" s="0" t="s">
        <v>1086</v>
      </c>
      <c r="B13304" s="0" t="s">
        <v>98</v>
      </c>
      <c r="C13304" s="6" t="n">
        <f aca="false">(Sens!K13296-Thesis!K89)*(1-tax_f)*(1+g_tv)*(1-g_tv/(wacc+ronic_prem))/(wacc-g_tv)/(1+wacc)^(Sens!K13275+mid_yr-(Sens!F13275+mid_yr))</f>
        <v>294.889481980532</v>
      </c>
    </row>
    <row r="13305" customFormat="false" ht="17.15" hidden="false" customHeight="false" outlineLevel="0" collapsed="false">
      <c r="A13305" s="1" t="s">
        <v>1087</v>
      </c>
      <c r="B13305" s="0" t="s">
        <v>98</v>
      </c>
      <c r="C13305" s="6" t="n">
        <f aca="false">(SUM(Sens!G13303:K13303)+Sens!$C$13304)*(1+wacc)^(t_roll-(Sens!F13275+mid_yr))</f>
        <v>194.716829358755</v>
      </c>
      <c r="L13305" s="11" t="s">
        <v>1088</v>
      </c>
    </row>
    <row r="13306" customFormat="false" ht="17.15" hidden="false" customHeight="false" outlineLevel="0" collapsed="false">
      <c r="A13306" s="1" t="s">
        <v>1089</v>
      </c>
      <c r="B13306" s="0" t="s">
        <v>98</v>
      </c>
      <c r="C13306" s="6" t="n">
        <f aca="false">(w_ntm28*Thesis!G78+(1-w_ntm28)*Thesis!H78)*m_ai*0.8</f>
        <v>363.937952664637</v>
      </c>
    </row>
    <row r="13307" customFormat="false" ht="17.15" hidden="false" customHeight="false" outlineLevel="0" collapsed="false">
      <c r="A13307" s="1" t="s">
        <v>1090</v>
      </c>
      <c r="B13307" s="0" t="s">
        <v>98</v>
      </c>
      <c r="C13307" s="6" t="n">
        <f aca="false">(w_ntm28*Sens!G13298+(1-w_ntm28)*Sens!H13298)*m_cloud*0.8</f>
        <v>850.917080082481</v>
      </c>
    </row>
    <row r="13308" customFormat="false" ht="17.15" hidden="false" customHeight="false" outlineLevel="0" collapsed="false">
      <c r="A13308" s="1" t="s">
        <v>1091</v>
      </c>
      <c r="B13308" s="0" t="s">
        <v>98</v>
      </c>
      <c r="C13308" s="6" t="n">
        <f aca="false">(w_ntm28*Sens!G13291+(1-w_ntm28)*Sens!H13291)*m_sw*0.8</f>
        <v>869.833891517704</v>
      </c>
    </row>
    <row r="13309" customFormat="false" ht="17.15" hidden="false" customHeight="false" outlineLevel="0" collapsed="false">
      <c r="A13309" s="1" t="s">
        <v>1092</v>
      </c>
      <c r="B13309" s="0" t="s">
        <v>98</v>
      </c>
      <c r="C13309" s="6" t="n">
        <f aca="false">(w_ntm28*Sens!G13292+(1-w_ntm28)*Sens!H13292)*m_sw*0.8</f>
        <v>304.202772967546</v>
      </c>
    </row>
    <row r="13310" customFormat="false" ht="17.15" hidden="false" customHeight="false" outlineLevel="0" collapsed="false">
      <c r="A13310" s="1" t="s">
        <v>1093</v>
      </c>
      <c r="B13310" s="0" t="s">
        <v>98</v>
      </c>
      <c r="C13310" s="6" t="n">
        <f aca="false">(w_ntm28*Sens!G13293+(1-w_ntm28)*Sens!H13293)*m_sw*0.8</f>
        <v>87.7894075535713</v>
      </c>
    </row>
    <row r="13311" customFormat="false" ht="17.15" hidden="false" customHeight="false" outlineLevel="0" collapsed="false">
      <c r="A13311" s="1" t="s">
        <v>1094</v>
      </c>
      <c r="B13311" s="0" t="s">
        <v>98</v>
      </c>
      <c r="C13311" s="6" t="n">
        <f aca="false">(w_ntm28*Sens!G13294+(1-w_ntm28)*Sens!H13294)*m_sw*0.8</f>
        <v>33.493282945294</v>
      </c>
    </row>
    <row r="13312" customFormat="false" ht="17.15" hidden="false" customHeight="false" outlineLevel="0" collapsed="false">
      <c r="A13312" s="1" t="s">
        <v>1095</v>
      </c>
      <c r="B13312" s="0" t="s">
        <v>98</v>
      </c>
      <c r="C13312" s="6" t="n">
        <f aca="false">(w_ntm28*Sens!G13295+(1-w_ntm28)*Sens!H13295)*m_ads*0.8</f>
        <v>92.5420610914375</v>
      </c>
    </row>
    <row r="13313" customFormat="false" ht="17.15" hidden="false" customHeight="false" outlineLevel="0" collapsed="false">
      <c r="A13313" s="1" t="s">
        <v>1096</v>
      </c>
      <c r="B13313" s="0" t="s">
        <v>98</v>
      </c>
      <c r="C13313" s="6" t="n">
        <f aca="false">(w_ntm28*Sens!G13300+(1-w_ntm28)*Sens!H13300)*m_game*0.8</f>
        <v>78.5846625136064</v>
      </c>
    </row>
    <row r="13314" customFormat="false" ht="17.15" hidden="false" customHeight="false" outlineLevel="0" collapsed="false">
      <c r="A13314" s="1" t="s">
        <v>1097</v>
      </c>
      <c r="B13314" s="0" t="s">
        <v>98</v>
      </c>
      <c r="C13314" s="6" t="n">
        <f aca="false">(w_ntm28*Sens!G13301+(1-w_ntm28)*Sens!H13301)*m_pc*0.8</f>
        <v>77.9101725285771</v>
      </c>
    </row>
    <row r="13315" customFormat="false" ht="17.15" hidden="false" customHeight="false" outlineLevel="0" collapsed="false">
      <c r="A13315" s="1" t="s">
        <v>1098</v>
      </c>
      <c r="B13315" s="0" t="s">
        <v>98</v>
      </c>
      <c r="C13315" s="6" t="n">
        <f aca="false">Sens!$C$13305+Sens!$C$13307+Sens!$C$13308+Sens!$C$13309+Sens!$C$13310+Sens!$C$13311+Sens!$C$13312+Sens!$C$13313+Sens!$C$13314</f>
        <v>2589.99016055897</v>
      </c>
    </row>
    <row r="13316" customFormat="false" ht="17.15" hidden="false" customHeight="false" outlineLevel="0" collapsed="false">
      <c r="A13316" s="1" t="s">
        <v>1099</v>
      </c>
      <c r="B13316" s="0" t="s">
        <v>98</v>
      </c>
      <c r="C13316" s="6" t="n">
        <f aca="false">(Sens!G13277-Sens!G13302)*t_stub</f>
        <v>47.417684594531</v>
      </c>
      <c r="L13316" s="1" t="s">
        <v>1100</v>
      </c>
    </row>
    <row r="13317" customFormat="false" ht="17.15" hidden="false" customHeight="false" outlineLevel="0" collapsed="false">
      <c r="A13317" s="1" t="s">
        <v>1014</v>
      </c>
      <c r="B13317" s="0" t="s">
        <v>98</v>
      </c>
      <c r="C13317" s="6" t="n">
        <f aca="false">CF!F69+oai_v-CF!F58+Sens!$C$13316</f>
        <v>158.699306060314</v>
      </c>
      <c r="L13317" s="1" t="s">
        <v>1101</v>
      </c>
    </row>
    <row r="13318" customFormat="false" ht="17.15" hidden="false" customHeight="false" outlineLevel="0" collapsed="false">
      <c r="A13318" s="1" t="s">
        <v>1102</v>
      </c>
      <c r="B13318" s="0" t="s">
        <v>75</v>
      </c>
      <c r="C13318" s="5" t="n">
        <f aca="false">(Sens!$C$13315+Sens!$C$13317)/(CF!F71+dil_gap)-CF!G61*roll_div_q/q_per_yr</f>
        <v>365.647995546863</v>
      </c>
      <c r="L13318" s="1" t="s">
        <v>1103</v>
      </c>
    </row>
    <row r="13319" customFormat="false" ht="17.15" hidden="false" customHeight="false" outlineLevel="0" collapsed="false">
      <c r="A13319" s="1" t="s">
        <v>1104</v>
      </c>
      <c r="B13319" s="0" t="s">
        <v>75</v>
      </c>
      <c r="C13319" s="5" t="n">
        <f aca="false">w_dcf*Sens!$C$13289+(1-w_dcf)*Sens!$C$13318</f>
        <v>347.566742554692</v>
      </c>
    </row>
    <row r="13320" customFormat="false" ht="17.15" hidden="false" customHeight="false" outlineLevel="0" collapsed="false">
      <c r="A13320" s="3" t="s">
        <v>1600</v>
      </c>
    </row>
    <row r="13321" customFormat="false" ht="15" hidden="false" customHeight="false" outlineLevel="0" collapsed="false">
      <c r="A13321" s="4" t="s">
        <v>43</v>
      </c>
      <c r="B13321" s="4" t="s">
        <v>65</v>
      </c>
      <c r="C13321" s="20" t="s">
        <v>799</v>
      </c>
      <c r="D13321" s="20" t="s">
        <v>800</v>
      </c>
      <c r="E13321" s="20" t="s">
        <v>801</v>
      </c>
      <c r="F13321" s="20" t="s">
        <v>802</v>
      </c>
      <c r="G13321" s="20" t="s">
        <v>803</v>
      </c>
      <c r="H13321" s="20" t="s">
        <v>804</v>
      </c>
      <c r="I13321" s="20" t="s">
        <v>805</v>
      </c>
      <c r="J13321" s="20" t="s">
        <v>806</v>
      </c>
      <c r="K13321" s="20" t="s">
        <v>807</v>
      </c>
      <c r="L13321" s="4" t="s">
        <v>47</v>
      </c>
    </row>
    <row r="13322" customFormat="false" ht="15" hidden="false" customHeight="false" outlineLevel="0" collapsed="false">
      <c r="A13322" s="1" t="s">
        <v>1057</v>
      </c>
      <c r="B13322" s="1" t="s">
        <v>235</v>
      </c>
      <c r="F13322" s="36" t="n">
        <f aca="false">Thesis!F104-base_fy-mid_yr</f>
        <v>0.5</v>
      </c>
      <c r="G13322" s="36" t="n">
        <f aca="false">Thesis!G104-base_fy-mid_yr</f>
        <v>1.5</v>
      </c>
      <c r="H13322" s="36" t="n">
        <f aca="false">Thesis!H104-base_fy-mid_yr</f>
        <v>2.5</v>
      </c>
      <c r="I13322" s="36" t="n">
        <f aca="false">Thesis!I104-base_fy-mid_yr</f>
        <v>3.5</v>
      </c>
      <c r="J13322" s="36" t="n">
        <f aca="false">Thesis!J104-base_fy-mid_yr</f>
        <v>4.5</v>
      </c>
      <c r="K13322" s="36" t="n">
        <f aca="false">Thesis!K104-base_fy-mid_yr</f>
        <v>5.5</v>
      </c>
    </row>
    <row r="13323" customFormat="false" ht="15" hidden="false" customHeight="false" outlineLevel="0" collapsed="false">
      <c r="A13323" s="1" t="s">
        <v>1058</v>
      </c>
      <c r="B13323" s="0" t="s">
        <v>185</v>
      </c>
      <c r="F13323" s="14" t="n">
        <f aca="false">1/(1+wacc)^Sens!F13322</f>
        <v>0.952193373608246</v>
      </c>
      <c r="G13323" s="14" t="n">
        <f aca="false">1/(1+wacc)^Sens!G13322</f>
        <v>0.863327280626589</v>
      </c>
      <c r="H13323" s="14" t="n">
        <f aca="false">1/(1+wacc)^Sens!H13322</f>
        <v>0.782754862754115</v>
      </c>
      <c r="I13323" s="14" t="n">
        <f aca="false">1/(1+wacc)^Sens!I13322</f>
        <v>0.709702089711011</v>
      </c>
      <c r="J13323" s="14" t="n">
        <f aca="false">1/(1+wacc)^Sens!J13322</f>
        <v>0.643467169744551</v>
      </c>
      <c r="K13323" s="14" t="n">
        <f aca="false">1/(1+wacc)^Sens!K13322</f>
        <v>0.583413807767797</v>
      </c>
    </row>
    <row r="13324" customFormat="false" ht="17.15" hidden="false" customHeight="false" outlineLevel="0" collapsed="false">
      <c r="A13324" s="1" t="s">
        <v>1059</v>
      </c>
      <c r="B13324" s="0" t="s">
        <v>98</v>
      </c>
      <c r="F13324" s="6" t="n">
        <f aca="false">CF!F84-CF!F82-CF!F88+Thesis!F142*(1-tax_f)</f>
        <v>-5.66283879850096</v>
      </c>
      <c r="G13324" s="6" t="n">
        <f aca="false">CF!G84-CF!G82-CF!G88+Thesis!G142*(1-tax_f)</f>
        <v>26.4063013109088</v>
      </c>
      <c r="H13324" s="6" t="n">
        <f aca="false">CF!H84-CF!H82-CF!H88+Thesis!H142*(1-tax_f)</f>
        <v>62.5616635009479</v>
      </c>
      <c r="I13324" s="6" t="n">
        <f aca="false">CF!I84-CF!I82-CF!I88+Thesis!I142*(1-tax_f)</f>
        <v>129.900993846266</v>
      </c>
      <c r="J13324" s="6" t="n">
        <f aca="false">CF!J84-CF!J82-CF!J88+Thesis!J142*(1-tax_f)</f>
        <v>200.497803796175</v>
      </c>
      <c r="K13324" s="6" t="n">
        <f aca="false">CF!K84-CF!K82-CF!K88+Thesis!K142*(1-tax_f)</f>
        <v>232.344395761849</v>
      </c>
      <c r="L13324" s="1" t="s">
        <v>1060</v>
      </c>
    </row>
    <row r="13325" customFormat="false" ht="15" hidden="false" customHeight="false" outlineLevel="0" collapsed="false">
      <c r="A13325" s="1" t="s">
        <v>1061</v>
      </c>
      <c r="B13325" s="0" t="s">
        <v>98</v>
      </c>
      <c r="F13325" s="6" t="n">
        <f aca="false">Sens!F13324*Sens!F13323</f>
        <v>-5.3921175797443</v>
      </c>
      <c r="G13325" s="6" t="n">
        <f aca="false">Sens!G13324*Sens!G13323</f>
        <v>22.7972803021532</v>
      </c>
      <c r="H13325" s="6" t="n">
        <f aca="false">Sens!H13324*Sens!H13323</f>
        <v>48.9704463273536</v>
      </c>
      <c r="I13325" s="6" t="n">
        <f aca="false">Sens!I13324*Sens!I13323</f>
        <v>92.1910067882323</v>
      </c>
      <c r="J13325" s="6" t="n">
        <f aca="false">Sens!J13324*Sens!J13323</f>
        <v>129.013754348723</v>
      </c>
      <c r="K13325" s="6" t="n">
        <f aca="false">Sens!K13324*Sens!K13323</f>
        <v>135.552928644928</v>
      </c>
    </row>
    <row r="13326" customFormat="false" ht="17.15" hidden="false" customHeight="false" outlineLevel="0" collapsed="false">
      <c r="A13326" s="1" t="s">
        <v>1062</v>
      </c>
      <c r="B13326" s="0" t="s">
        <v>98</v>
      </c>
      <c r="C13326" s="6" t="n">
        <f aca="false">SUM(Sens!F13325:K13325)</f>
        <v>423.133298831646</v>
      </c>
    </row>
    <row r="13327" customFormat="false" ht="17.15" hidden="false" customHeight="false" outlineLevel="0" collapsed="false">
      <c r="A13327" s="1" t="s">
        <v>1063</v>
      </c>
      <c r="B13327" s="0" t="s">
        <v>98</v>
      </c>
      <c r="C13327" s="6" t="n">
        <f aca="false">PL!K117*(1+g_tv)*(1-tax_f)</f>
        <v>246.58988426946</v>
      </c>
    </row>
    <row r="13328" customFormat="false" ht="17.15" hidden="false" customHeight="false" outlineLevel="0" collapsed="false">
      <c r="A13328" s="1" t="s">
        <v>1064</v>
      </c>
      <c r="B13328" s="0" t="s">
        <v>98</v>
      </c>
      <c r="C13328" s="6" t="n">
        <f aca="false">Sens!$C$13327*(1-g_tv/(wacc+ronic_prem))</f>
        <v>174.721829624483</v>
      </c>
    </row>
    <row r="13329" customFormat="false" ht="17.15" hidden="false" customHeight="false" outlineLevel="0" collapsed="false">
      <c r="A13329" s="1" t="s">
        <v>1065</v>
      </c>
      <c r="B13329" s="0" t="s">
        <v>98</v>
      </c>
      <c r="C13329" s="6" t="n">
        <f aca="false">Sens!$C$13328/(wacc-g_tv)</f>
        <v>2395.60182149923</v>
      </c>
    </row>
    <row r="13330" customFormat="false" ht="15" hidden="false" customHeight="false" outlineLevel="0" collapsed="false">
      <c r="A13330" s="1" t="s">
        <v>1066</v>
      </c>
      <c r="B13330" s="0" t="s">
        <v>98</v>
      </c>
      <c r="C13330" s="6" t="n">
        <f aca="false">Sens!$C$13329/(1+wacc)^(Sens!K13322+mid_yr)</f>
        <v>1330.81134011956</v>
      </c>
    </row>
    <row r="13331" customFormat="false" ht="17.15" hidden="false" customHeight="false" outlineLevel="0" collapsed="false">
      <c r="A13331" s="0" t="s">
        <v>986</v>
      </c>
      <c r="B13331" s="0" t="s">
        <v>98</v>
      </c>
      <c r="C13331" s="6" t="n">
        <f aca="false">Sens!$C$13326+Sens!$C$13330</f>
        <v>1753.94463895121</v>
      </c>
    </row>
    <row r="13332" customFormat="false" ht="15" hidden="false" customHeight="false" outlineLevel="0" collapsed="false">
      <c r="A13332" s="1" t="s">
        <v>987</v>
      </c>
      <c r="B13332" s="0" t="s">
        <v>129</v>
      </c>
      <c r="C13332" s="7" t="n">
        <f aca="false">Sens!$C$13330/Sens!$C$13331</f>
        <v>0.758753332668092</v>
      </c>
    </row>
    <row r="13333" customFormat="false" ht="17.15" hidden="false" customHeight="false" outlineLevel="0" collapsed="false">
      <c r="A13333" s="1" t="s">
        <v>1067</v>
      </c>
      <c r="B13333" s="0" t="s">
        <v>98</v>
      </c>
      <c r="C13333" s="6" t="n">
        <f aca="false">Sens!$C$13331+CF!E100-CF!E89+oai_v</f>
        <v>1888.45763895121</v>
      </c>
    </row>
    <row r="13334" customFormat="false" ht="17.15" hidden="false" customHeight="false" outlineLevel="0" collapsed="false">
      <c r="A13334" s="0" t="s">
        <v>994</v>
      </c>
      <c r="B13334" s="0" t="s">
        <v>75</v>
      </c>
      <c r="C13334" s="5" t="n">
        <f aca="false">Sens!$C$13333/sh_dil26</f>
        <v>253.382213732887</v>
      </c>
    </row>
    <row r="13335" customFormat="false" ht="15" hidden="false" customHeight="false" outlineLevel="0" collapsed="false">
      <c r="A13335" s="1" t="s">
        <v>1068</v>
      </c>
      <c r="B13335" s="0" t="s">
        <v>75</v>
      </c>
      <c r="C13335" s="8" t="n">
        <f aca="false">dps_27+CF!G92*roll_div_q/q_per_yr</f>
        <v>4.8895</v>
      </c>
    </row>
    <row r="13336" customFormat="false" ht="17.15" hidden="false" customHeight="false" outlineLevel="0" collapsed="false">
      <c r="A13336" s="0" t="s">
        <v>1069</v>
      </c>
      <c r="B13336" s="0" t="s">
        <v>75</v>
      </c>
      <c r="C13336" s="5" t="n">
        <f aca="false">Sens!$C$13334*(1+wacc)^t_roll-Sens!$C$13335</f>
        <v>283.645287089587</v>
      </c>
    </row>
    <row r="13337" customFormat="false" ht="17.15" hidden="false" customHeight="false" outlineLevel="0" collapsed="false">
      <c r="A13337" s="1" t="s">
        <v>1070</v>
      </c>
      <c r="B13337" s="0" t="s">
        <v>129</v>
      </c>
      <c r="F13337" s="7" t="n">
        <f aca="false">CF!F79/(Seg!F83-Thesis!F121)</f>
        <v>0.0711475516535717</v>
      </c>
      <c r="G13337" s="7" t="n">
        <f aca="false">CF!G79/(Seg!G83-Thesis!G121)</f>
        <v>0.0682588862083999</v>
      </c>
      <c r="H13337" s="7" t="n">
        <f aca="false">CF!H79/(Seg!H83-Thesis!H121)</f>
        <v>0.0666622170094897</v>
      </c>
      <c r="I13337" s="7" t="n">
        <f aca="false">CF!I79/(Seg!I83-Thesis!I121)</f>
        <v>0.0661991449367101</v>
      </c>
      <c r="J13337" s="7" t="n">
        <f aca="false">CF!J79/(Seg!J83-Thesis!J121)</f>
        <v>0.0666400583966394</v>
      </c>
      <c r="K13337" s="7" t="n">
        <f aca="false">CF!K79/(Seg!K83-Thesis!K121)</f>
        <v>0.0677351822588561</v>
      </c>
    </row>
    <row r="13338" customFormat="false" ht="17.15" hidden="false" customHeight="false" outlineLevel="0" collapsed="false">
      <c r="A13338" s="0" t="s">
        <v>1071</v>
      </c>
      <c r="B13338" s="0" t="s">
        <v>98</v>
      </c>
      <c r="F13338" s="6" t="n">
        <f aca="false">Seg!F68*(al_m365+Sens!F13337+sbc_r)</f>
        <v>83.1760446796226</v>
      </c>
      <c r="G13338" s="6" t="n">
        <f aca="false">Seg!G68*(al_m365+Sens!G13337+sbc_r)</f>
        <v>93.5286621744803</v>
      </c>
      <c r="H13338" s="6" t="n">
        <f aca="false">Seg!H68*(al_m365+Sens!H13337+sbc_r)</f>
        <v>104.041881899886</v>
      </c>
      <c r="I13338" s="6" t="n">
        <f aca="false">Seg!I68*(al_m365+Sens!I13337+sbc_r)</f>
        <v>114.039361049722</v>
      </c>
      <c r="J13338" s="6" t="n">
        <f aca="false">Seg!J68*(al_m365+Sens!J13337+sbc_r)</f>
        <v>123.332589690985</v>
      </c>
      <c r="K13338" s="6" t="n">
        <f aca="false">Seg!K68*(al_m365+Sens!K13337+sbc_r)</f>
        <v>132.229319216379</v>
      </c>
      <c r="L13338" s="11" t="s">
        <v>1072</v>
      </c>
    </row>
    <row r="13339" customFormat="false" ht="17.15" hidden="false" customHeight="false" outlineLevel="0" collapsed="false">
      <c r="A13339" s="0" t="s">
        <v>1073</v>
      </c>
      <c r="B13339" s="0" t="s">
        <v>98</v>
      </c>
      <c r="F13339" s="6" t="n">
        <f aca="false">Seg!F69*(al_lic+Sens!F13337+sbc_r)</f>
        <v>33.5445611735131</v>
      </c>
      <c r="G13339" s="6" t="n">
        <f aca="false">Seg!G69*(al_lic+Sens!G13337+sbc_r)</f>
        <v>34.8473362891936</v>
      </c>
      <c r="H13339" s="6" t="n">
        <f aca="false">Seg!H69*(al_lic+Sens!H13337+sbc_r)</f>
        <v>36.0608450618725</v>
      </c>
      <c r="I13339" s="6" t="n">
        <f aca="false">Seg!I69*(al_lic+Sens!I13337+sbc_r)</f>
        <v>37.1647768367666</v>
      </c>
      <c r="J13339" s="6" t="n">
        <f aca="false">Seg!J69*(al_lic+Sens!J13337+sbc_r)</f>
        <v>38.1353659513221</v>
      </c>
      <c r="K13339" s="6" t="n">
        <f aca="false">Seg!K69*(al_lic+Sens!K13337+sbc_r)</f>
        <v>38.9479527536449</v>
      </c>
    </row>
    <row r="13340" customFormat="false" ht="17.15" hidden="false" customHeight="false" outlineLevel="0" collapsed="false">
      <c r="A13340" s="0" t="s">
        <v>1074</v>
      </c>
      <c r="B13340" s="0" t="s">
        <v>98</v>
      </c>
      <c r="F13340" s="6" t="n">
        <f aca="false">Seg!F71*(al_ind+Sens!F13337+sbc_r)</f>
        <v>9.13359830063899</v>
      </c>
      <c r="G13340" s="6" t="n">
        <f aca="false">Seg!G71*(al_ind+Sens!G13337+sbc_r)</f>
        <v>9.91355811855172</v>
      </c>
      <c r="H13340" s="6" t="n">
        <f aca="false">Seg!H71*(al_ind+Sens!H13337+sbc_r)</f>
        <v>10.737007894057</v>
      </c>
      <c r="I13340" s="6" t="n">
        <f aca="false">Seg!I71*(al_ind+Sens!I13337+sbc_r)</f>
        <v>11.5994300763088</v>
      </c>
      <c r="J13340" s="6" t="n">
        <f aca="false">Seg!J71*(al_ind+Sens!J13337+sbc_r)</f>
        <v>12.4920789859702</v>
      </c>
      <c r="K13340" s="6" t="n">
        <f aca="false">Seg!K71*(al_ind+Sens!K13337+sbc_r)</f>
        <v>13.4027551573777</v>
      </c>
    </row>
    <row r="13341" customFormat="false" ht="17.15" hidden="false" customHeight="false" outlineLevel="0" collapsed="false">
      <c r="A13341" s="0" t="s">
        <v>1075</v>
      </c>
      <c r="B13341" s="0" t="s">
        <v>98</v>
      </c>
      <c r="F13341" s="6" t="n">
        <f aca="false">Seg!F73*(al_fro+Sens!F13337+sbc_r)</f>
        <v>3.59501635737694</v>
      </c>
      <c r="G13341" s="6" t="n">
        <f aca="false">Seg!G73*(al_fro+Sens!G13337+sbc_r)</f>
        <v>3.80622021137838</v>
      </c>
      <c r="H13341" s="6" t="n">
        <f aca="false">Seg!H73*(al_fro+Sens!H13337+sbc_r)</f>
        <v>4.04607207599632</v>
      </c>
      <c r="I13341" s="6" t="n">
        <f aca="false">Seg!I73*(al_fro+Sens!I13337+sbc_r)</f>
        <v>4.31683578333903</v>
      </c>
      <c r="J13341" s="6" t="n">
        <f aca="false">Seg!J73*(al_fro+Sens!J13337+sbc_r)</f>
        <v>4.62005087871645</v>
      </c>
      <c r="K13341" s="6" t="n">
        <f aca="false">Seg!K73*(al_fro+Sens!K13337+sbc_r)</f>
        <v>4.95685392412327</v>
      </c>
    </row>
    <row r="13342" customFormat="false" ht="17.15" hidden="false" customHeight="false" outlineLevel="0" collapsed="false">
      <c r="A13342" s="0" t="s">
        <v>1076</v>
      </c>
      <c r="B13342" s="0" t="s">
        <v>98</v>
      </c>
      <c r="F13342" s="6" t="n">
        <f aca="false">Seg!F76*(al_srch+Sens!F13337+sbc_r)</f>
        <v>11.2801258639919</v>
      </c>
      <c r="G13342" s="6" t="n">
        <f aca="false">Seg!G76*(al_srch+Sens!G13337+sbc_r)</f>
        <v>12.3589086285988</v>
      </c>
      <c r="H13342" s="6" t="n">
        <f aca="false">Seg!H76*(al_srch+Sens!H13337+sbc_r)</f>
        <v>13.4807030139583</v>
      </c>
      <c r="I13342" s="6" t="n">
        <f aca="false">Seg!I76*(al_srch+Sens!I13337+sbc_r)</f>
        <v>14.6329459978989</v>
      </c>
      <c r="J13342" s="6" t="n">
        <f aca="false">Seg!J76*(al_srch+Sens!J13337+sbc_r)</f>
        <v>15.7968154400613</v>
      </c>
      <c r="K13342" s="6" t="n">
        <f aca="false">Seg!K76*(al_srch+Sens!K13337+sbc_r)</f>
        <v>16.9484078548661</v>
      </c>
    </row>
    <row r="13343" customFormat="false" ht="17.15" hidden="false" customHeight="false" outlineLevel="0" collapsed="false">
      <c r="A13343" s="0" t="s">
        <v>1077</v>
      </c>
      <c r="B13343" s="0" t="s">
        <v>98</v>
      </c>
      <c r="F13343" s="6" t="n">
        <f aca="false">Thesis!F127-Thesis!F128+Thesis!F142</f>
        <v>38.6797715123049</v>
      </c>
      <c r="G13343" s="6" t="n">
        <f aca="false">Thesis!G127-Thesis!G128+Thesis!G142</f>
        <v>67.9698044367775</v>
      </c>
      <c r="H13343" s="6" t="n">
        <f aca="false">Thesis!H127-Thesis!H128+Thesis!H142</f>
        <v>94.4027386785771</v>
      </c>
      <c r="I13343" s="6" t="n">
        <f aca="false">Thesis!I127-Thesis!I128+Thesis!I142</f>
        <v>124.629799296032</v>
      </c>
      <c r="J13343" s="6" t="n">
        <f aca="false">Thesis!J127-Thesis!J128+Thesis!J142</f>
        <v>146.1886418102</v>
      </c>
      <c r="K13343" s="6" t="n">
        <f aca="false">Thesis!K127-Thesis!K128+Thesis!K142</f>
        <v>160.310017660072</v>
      </c>
    </row>
    <row r="13344" customFormat="false" ht="17.15" hidden="false" customHeight="false" outlineLevel="0" collapsed="false">
      <c r="A13344" s="0" t="s">
        <v>1078</v>
      </c>
      <c r="B13344" s="0" t="s">
        <v>98</v>
      </c>
      <c r="F13344" s="6" t="n">
        <f aca="false">PL!F110+Thesis!F142+Thesis!F138+Sens!F13337*(Seg!F75-Thesis!F121)+sbc_r*Seg!F75</f>
        <v>228.424576651163</v>
      </c>
      <c r="G13344" s="6" t="n">
        <f aca="false">PL!G110+Thesis!G142+Thesis!G138+Sens!G13337*(Seg!G75-Thesis!G121)+sbc_r*Seg!G75</f>
        <v>282.553934266667</v>
      </c>
      <c r="H13344" s="6" t="n">
        <f aca="false">PL!H110+Thesis!H142+Thesis!H138+Sens!H13337*(Seg!H75-Thesis!H121)+sbc_r*Seg!H75</f>
        <v>334.098428585803</v>
      </c>
      <c r="I13344" s="6" t="n">
        <f aca="false">PL!I110+Thesis!I142+Thesis!I138+Sens!I13337*(Seg!I75-Thesis!I121)+sbc_r*Seg!I75</f>
        <v>388.820980572235</v>
      </c>
      <c r="J13344" s="6" t="n">
        <f aca="false">PL!J110+Thesis!J142+Thesis!J138+Sens!J13337*(Seg!J75-Thesis!J121)+sbc_r*Seg!J75</f>
        <v>432.983845251655</v>
      </c>
      <c r="K13344" s="6" t="n">
        <f aca="false">PL!K110+Thesis!K142+Thesis!K138+Sens!K13337*(Seg!K75-Thesis!K121)+sbc_r*Seg!K75</f>
        <v>467.422879139155</v>
      </c>
    </row>
    <row r="13345" customFormat="false" ht="17.15" hidden="false" customHeight="false" outlineLevel="0" collapsed="false">
      <c r="A13345" s="0" t="s">
        <v>1079</v>
      </c>
      <c r="B13345" s="0" t="s">
        <v>98</v>
      </c>
      <c r="F13345" s="6" t="n">
        <f aca="false">Sens!F13344-Sens!F13338-Sens!F13339-Sens!F13340-Sens!F13341-Sens!F13343</f>
        <v>60.2955846277069</v>
      </c>
      <c r="G13345" s="6" t="n">
        <f aca="false">Sens!G13344-Sens!G13338-Sens!G13339-Sens!G13340-Sens!G13341-Sens!G13343</f>
        <v>72.4883530362854</v>
      </c>
      <c r="H13345" s="6" t="n">
        <f aca="false">Sens!H13344-Sens!H13338-Sens!H13339-Sens!H13340-Sens!H13341-Sens!H13343</f>
        <v>84.8098829754144</v>
      </c>
      <c r="I13345" s="6" t="n">
        <f aca="false">Sens!I13344-Sens!I13338-Sens!I13339-Sens!I13340-Sens!I13341-Sens!I13343</f>
        <v>97.0707775300671</v>
      </c>
      <c r="J13345" s="6" t="n">
        <f aca="false">Sens!J13344-Sens!J13338-Sens!J13339-Sens!J13340-Sens!J13341-Sens!J13343</f>
        <v>108.215117934462</v>
      </c>
      <c r="K13345" s="6" t="n">
        <f aca="false">Sens!K13344-Sens!K13338-Sens!K13339-Sens!K13340-Sens!K13341-Sens!K13343</f>
        <v>117.575980427559</v>
      </c>
    </row>
    <row r="13346" customFormat="false" ht="17.15" hidden="false" customHeight="false" outlineLevel="0" collapsed="false">
      <c r="A13346" s="0" t="s">
        <v>1080</v>
      </c>
      <c r="B13346" s="0" t="s">
        <v>98</v>
      </c>
      <c r="F13346" s="6" t="n">
        <f aca="false">PL!F112+Sens!F13337*Seg!F82+sbc_r*Seg!F82</f>
        <v>26.3652761595447</v>
      </c>
      <c r="G13346" s="6" t="n">
        <f aca="false">PL!G112+Sens!G13337*Seg!G82+sbc_r*Seg!G82</f>
        <v>26.9742866145486</v>
      </c>
      <c r="H13346" s="6" t="n">
        <f aca="false">PL!H112+Sens!H13337*Seg!H82+sbc_r*Seg!H82</f>
        <v>27.8483067679033</v>
      </c>
      <c r="I13346" s="6" t="n">
        <f aca="false">PL!I112+Sens!I13337*Seg!I82+sbc_r*Seg!I82</f>
        <v>28.9540944937551</v>
      </c>
      <c r="J13346" s="6" t="n">
        <f aca="false">PL!J112+Sens!J13337*Seg!J82+sbc_r*Seg!J82</f>
        <v>30.2591967501426</v>
      </c>
      <c r="K13346" s="6" t="n">
        <f aca="false">PL!K112+Sens!K13337*Seg!K82+sbc_r*Seg!K82</f>
        <v>31.7334012124467</v>
      </c>
    </row>
    <row r="13347" customFormat="false" ht="17.15" hidden="false" customHeight="false" outlineLevel="0" collapsed="false">
      <c r="A13347" s="0" t="s">
        <v>1081</v>
      </c>
      <c r="B13347" s="0" t="s">
        <v>98</v>
      </c>
      <c r="F13347" s="6" t="n">
        <f aca="false">(Sens!F13346-Sens!F13342)*Seg!F78/(Seg!F78+Seg!F80)</f>
        <v>8.26953246478712</v>
      </c>
      <c r="G13347" s="6" t="n">
        <f aca="false">(Sens!G13346-Sens!G13342)*Seg!G78/(Seg!G78+Seg!G80)</f>
        <v>7.8691542635731</v>
      </c>
      <c r="H13347" s="6" t="n">
        <f aca="false">(Sens!H13346-Sens!H13342)*Seg!H78/(Seg!H78+Seg!H80)</f>
        <v>7.63125160105973</v>
      </c>
      <c r="I13347" s="6" t="n">
        <f aca="false">(Sens!I13346-Sens!I13342)*Seg!I78/(Seg!I78+Seg!I80)</f>
        <v>7.53775281020212</v>
      </c>
      <c r="J13347" s="6" t="n">
        <f aca="false">(Sens!J13346-Sens!J13342)*Seg!J78/(Seg!J78+Seg!J80)</f>
        <v>7.57766730524412</v>
      </c>
      <c r="K13347" s="6" t="n">
        <f aca="false">(Sens!K13346-Sens!K13342)*Seg!K78/(Seg!K78+Seg!K80)</f>
        <v>7.74670217662515</v>
      </c>
    </row>
    <row r="13348" customFormat="false" ht="17.15" hidden="false" customHeight="false" outlineLevel="0" collapsed="false">
      <c r="A13348" s="0" t="s">
        <v>1082</v>
      </c>
      <c r="B13348" s="0" t="s">
        <v>98</v>
      </c>
      <c r="F13348" s="6" t="n">
        <f aca="false">Sens!F13346-Sens!F13342-Sens!F13347</f>
        <v>6.81561783076564</v>
      </c>
      <c r="G13348" s="6" t="n">
        <f aca="false">Sens!G13346-Sens!G13342-Sens!G13347</f>
        <v>6.74622372237672</v>
      </c>
      <c r="H13348" s="6" t="n">
        <f aca="false">Sens!H13346-Sens!H13342-Sens!H13347</f>
        <v>6.73635215288526</v>
      </c>
      <c r="I13348" s="6" t="n">
        <f aca="false">Sens!I13346-Sens!I13342-Sens!I13347</f>
        <v>6.78339568565411</v>
      </c>
      <c r="J13348" s="6" t="n">
        <f aca="false">Sens!J13346-Sens!J13342-Sens!J13347</f>
        <v>6.88471400483723</v>
      </c>
      <c r="K13348" s="6" t="n">
        <f aca="false">Sens!K13346-Sens!K13342-Sens!K13347</f>
        <v>7.03829118095546</v>
      </c>
    </row>
    <row r="13349" customFormat="false" ht="17.15" hidden="false" customHeight="false" outlineLevel="0" collapsed="false">
      <c r="A13349" s="0" t="s">
        <v>1083</v>
      </c>
      <c r="B13349" s="0" t="s">
        <v>98</v>
      </c>
      <c r="F13349" s="6" t="n">
        <f aca="false">Sens!F13343-tax_f*(Sens!F13343-Thesis!F138)-Thesis!F135</f>
        <v>-122.579081185432</v>
      </c>
      <c r="G13349" s="6" t="n">
        <f aca="false">Sens!G13343-tax_f*(Sens!G13343-Thesis!G138)-Thesis!G135</f>
        <v>-117.373249511676</v>
      </c>
      <c r="H13349" s="6" t="n">
        <f aca="false">Sens!H13343-tax_f*(Sens!H13343-Thesis!H138)-Thesis!H135</f>
        <v>-95.285890998876</v>
      </c>
      <c r="I13349" s="6" t="n">
        <f aca="false">Sens!I13343-tax_f*(Sens!I13343-Thesis!I138)-Thesis!I135</f>
        <v>-41.8816809509416</v>
      </c>
      <c r="J13349" s="6" t="n">
        <f aca="false">Sens!J13343-tax_f*(Sens!J13343-Thesis!J138)-Thesis!J135</f>
        <v>15.3691414244864</v>
      </c>
      <c r="K13349" s="6" t="n">
        <f aca="false">Sens!K13343-tax_f*(Sens!K13343-Thesis!K138)-Thesis!K135</f>
        <v>34.6668916333283</v>
      </c>
    </row>
    <row r="13350" customFormat="false" ht="17.15" hidden="false" customHeight="false" outlineLevel="0" collapsed="false">
      <c r="A13350" s="0" t="s">
        <v>1084</v>
      </c>
      <c r="B13350" s="0" t="s">
        <v>98</v>
      </c>
      <c r="G13350" s="6" t="n">
        <f aca="false">Sens!G13349/(1+wacc)^(Sens!G13322-(Sens!F13322+mid_yr))</f>
        <v>-111.762030423885</v>
      </c>
      <c r="H13350" s="6" t="n">
        <f aca="false">Sens!H13349/(1+wacc)^(Sens!H13322-(Sens!F13322+mid_yr))</f>
        <v>-82.2629091581412</v>
      </c>
      <c r="I13350" s="6" t="n">
        <f aca="false">Sens!I13349/(1+wacc)^(Sens!I13322-(Sens!F13322+mid_yr))</f>
        <v>-32.7830894246659</v>
      </c>
      <c r="J13350" s="6" t="n">
        <f aca="false">Sens!J13349/(1+wacc)^(Sens!J13322-(Sens!F13322+mid_yr))</f>
        <v>10.907511786022</v>
      </c>
      <c r="K13350" s="6" t="n">
        <f aca="false">Sens!K13349/(1+wacc)^(Sens!K13322-(Sens!F13322+mid_yr))</f>
        <v>22.3070066431388</v>
      </c>
      <c r="L13350" s="1" t="s">
        <v>1085</v>
      </c>
    </row>
    <row r="13351" customFormat="false" ht="17.15" hidden="false" customHeight="false" outlineLevel="0" collapsed="false">
      <c r="A13351" s="0" t="s">
        <v>1086</v>
      </c>
      <c r="B13351" s="0" t="s">
        <v>98</v>
      </c>
      <c r="C13351" s="6" t="n">
        <f aca="false">(Sens!K13343-Thesis!K138)*(1-tax_f)*(1+g_tv)*(1-g_tv/(wacc+ronic_prem))/(wacc-g_tv)/(1+wacc)^(Sens!K13322+mid_yr-(Sens!F13322+mid_yr))</f>
        <v>103.875812758606</v>
      </c>
    </row>
    <row r="13352" customFormat="false" ht="17.15" hidden="false" customHeight="false" outlineLevel="0" collapsed="false">
      <c r="A13352" s="1" t="s">
        <v>1087</v>
      </c>
      <c r="B13352" s="0" t="s">
        <v>98</v>
      </c>
      <c r="C13352" s="6" t="n">
        <f aca="false">(SUM(Sens!G13350:K13350)+Sens!$C$13351)*(1+wacc)^(t_roll-(Sens!F13322+mid_yr))</f>
        <v>-92.6297486746201</v>
      </c>
      <c r="L13352" s="11" t="s">
        <v>1088</v>
      </c>
    </row>
    <row r="13353" customFormat="false" ht="17.15" hidden="false" customHeight="false" outlineLevel="0" collapsed="false">
      <c r="A13353" s="1" t="s">
        <v>1089</v>
      </c>
      <c r="B13353" s="0" t="s">
        <v>98</v>
      </c>
      <c r="C13353" s="6" t="n">
        <f aca="false">(w_ntm28*Thesis!G127+(1-w_ntm28)*Thesis!H127)*m_ai*0.8</f>
        <v>271.020806712054</v>
      </c>
    </row>
    <row r="13354" customFormat="false" ht="17.15" hidden="false" customHeight="false" outlineLevel="0" collapsed="false">
      <c r="A13354" s="1" t="s">
        <v>1090</v>
      </c>
      <c r="B13354" s="0" t="s">
        <v>98</v>
      </c>
      <c r="C13354" s="6" t="n">
        <f aca="false">(w_ntm28*Sens!G13345+(1-w_ntm28)*Sens!H13345)*m_cloud*0.8</f>
        <v>845.471687418013</v>
      </c>
    </row>
    <row r="13355" customFormat="false" ht="17.15" hidden="false" customHeight="false" outlineLevel="0" collapsed="false">
      <c r="A13355" s="1" t="s">
        <v>1091</v>
      </c>
      <c r="B13355" s="0" t="s">
        <v>98</v>
      </c>
      <c r="C13355" s="6" t="n">
        <f aca="false">(w_ntm28*Sens!G13338+(1-w_ntm28)*Sens!H13338)*m_sw*0.8</f>
        <v>837.453224131195</v>
      </c>
    </row>
    <row r="13356" customFormat="false" ht="17.15" hidden="false" customHeight="false" outlineLevel="0" collapsed="false">
      <c r="A13356" s="1" t="s">
        <v>1092</v>
      </c>
      <c r="B13356" s="0" t="s">
        <v>98</v>
      </c>
      <c r="C13356" s="6" t="n">
        <f aca="false">(w_ntm28*Sens!G13339+(1-w_ntm28)*Sens!H13339)*m_sw*0.8</f>
        <v>304.470564891842</v>
      </c>
    </row>
    <row r="13357" customFormat="false" ht="17.15" hidden="false" customHeight="false" outlineLevel="0" collapsed="false">
      <c r="A13357" s="1" t="s">
        <v>1093</v>
      </c>
      <c r="B13357" s="0" t="s">
        <v>98</v>
      </c>
      <c r="C13357" s="6" t="n">
        <f aca="false">(w_ntm28*Sens!G13340+(1-w_ntm28)*Sens!H13340)*m_sw*0.8</f>
        <v>87.9532065692819</v>
      </c>
    </row>
    <row r="13358" customFormat="false" ht="17.15" hidden="false" customHeight="false" outlineLevel="0" collapsed="false">
      <c r="A13358" s="1" t="s">
        <v>1094</v>
      </c>
      <c r="B13358" s="0" t="s">
        <v>98</v>
      </c>
      <c r="C13358" s="6" t="n">
        <f aca="false">(w_ntm28*Sens!G13341+(1-w_ntm28)*Sens!H13341)*m_sw*0.8</f>
        <v>33.5556981688168</v>
      </c>
    </row>
    <row r="13359" customFormat="false" ht="17.15" hidden="false" customHeight="false" outlineLevel="0" collapsed="false">
      <c r="A13359" s="1" t="s">
        <v>1095</v>
      </c>
      <c r="B13359" s="0" t="s">
        <v>98</v>
      </c>
      <c r="C13359" s="6" t="n">
        <f aca="false">(w_ntm28*Sens!G13342+(1-w_ntm28)*Sens!H13342)*m_ads*0.8</f>
        <v>92.7148088871431</v>
      </c>
    </row>
    <row r="13360" customFormat="false" ht="17.15" hidden="false" customHeight="false" outlineLevel="0" collapsed="false">
      <c r="A13360" s="1" t="s">
        <v>1096</v>
      </c>
      <c r="B13360" s="0" t="s">
        <v>98</v>
      </c>
      <c r="C13360" s="6" t="n">
        <f aca="false">(w_ntm28*Sens!G13347+(1-w_ntm28)*Sens!H13347)*m_game*0.8</f>
        <v>78.7328259579368</v>
      </c>
    </row>
    <row r="13361" customFormat="false" ht="17.15" hidden="false" customHeight="false" outlineLevel="0" collapsed="false">
      <c r="A13361" s="1" t="s">
        <v>1097</v>
      </c>
      <c r="B13361" s="0" t="s">
        <v>98</v>
      </c>
      <c r="C13361" s="6" t="n">
        <f aca="false">(w_ntm28*Sens!G13348+(1-w_ntm28)*Sens!H13348)*m_pc*0.8</f>
        <v>78.0573426649313</v>
      </c>
    </row>
    <row r="13362" customFormat="false" ht="17.15" hidden="false" customHeight="false" outlineLevel="0" collapsed="false">
      <c r="A13362" s="1" t="s">
        <v>1098</v>
      </c>
      <c r="B13362" s="0" t="s">
        <v>98</v>
      </c>
      <c r="C13362" s="6" t="n">
        <f aca="false">Sens!$C$13352+Sens!$C$13354+Sens!$C$13355+Sens!$C$13356+Sens!$C$13357+Sens!$C$13358+Sens!$C$13359+Sens!$C$13360+Sens!$C$13361</f>
        <v>2265.77961001454</v>
      </c>
    </row>
    <row r="13363" customFormat="false" ht="17.15" hidden="false" customHeight="false" outlineLevel="0" collapsed="false">
      <c r="A13363" s="1" t="s">
        <v>1099</v>
      </c>
      <c r="B13363" s="0" t="s">
        <v>98</v>
      </c>
      <c r="C13363" s="6" t="n">
        <f aca="false">(Sens!G13324-Sens!G13349)*t_stub</f>
        <v>46.8760727339385</v>
      </c>
      <c r="L13363" s="1" t="s">
        <v>1100</v>
      </c>
    </row>
    <row r="13364" customFormat="false" ht="17.15" hidden="false" customHeight="false" outlineLevel="0" collapsed="false">
      <c r="A13364" s="1" t="s">
        <v>1014</v>
      </c>
      <c r="B13364" s="0" t="s">
        <v>98</v>
      </c>
      <c r="C13364" s="6" t="n">
        <f aca="false">CF!F100+oai_v-CF!F89+Sens!$C$13363</f>
        <v>153.718233647662</v>
      </c>
      <c r="L13364" s="1" t="s">
        <v>1101</v>
      </c>
    </row>
    <row r="13365" customFormat="false" ht="17.15" hidden="false" customHeight="false" outlineLevel="0" collapsed="false">
      <c r="A13365" s="1" t="s">
        <v>1102</v>
      </c>
      <c r="B13365" s="0" t="s">
        <v>75</v>
      </c>
      <c r="C13365" s="5" t="n">
        <f aca="false">(Sens!$C$13362+Sens!$C$13364)/(CF!F102+dil_gap)-CF!G92*roll_div_q/q_per_yr</f>
        <v>321.732357478949</v>
      </c>
      <c r="L13365" s="1" t="s">
        <v>1103</v>
      </c>
    </row>
    <row r="13366" customFormat="false" ht="17.15" hidden="false" customHeight="false" outlineLevel="0" collapsed="false">
      <c r="A13366" s="1" t="s">
        <v>1104</v>
      </c>
      <c r="B13366" s="0" t="s">
        <v>75</v>
      </c>
      <c r="C13366" s="5" t="n">
        <f aca="false">w_dcf*Sens!$C$13336+(1-w_dcf)*Sens!$C$13365</f>
        <v>302.688822284268</v>
      </c>
    </row>
    <row r="13367" customFormat="false" ht="17.15" hidden="false" customHeight="false" outlineLevel="0" collapsed="false">
      <c r="A13367" s="3" t="s">
        <v>1601</v>
      </c>
    </row>
    <row r="13368" customFormat="false" ht="15" hidden="false" customHeight="false" outlineLevel="0" collapsed="false">
      <c r="A13368" s="4" t="s">
        <v>43</v>
      </c>
      <c r="B13368" s="4" t="s">
        <v>65</v>
      </c>
      <c r="C13368" s="20" t="s">
        <v>799</v>
      </c>
      <c r="D13368" s="20" t="s">
        <v>800</v>
      </c>
      <c r="E13368" s="20" t="s">
        <v>801</v>
      </c>
      <c r="F13368" s="20" t="s">
        <v>802</v>
      </c>
      <c r="G13368" s="20" t="s">
        <v>803</v>
      </c>
      <c r="H13368" s="20" t="s">
        <v>804</v>
      </c>
      <c r="I13368" s="20" t="s">
        <v>805</v>
      </c>
      <c r="J13368" s="20" t="s">
        <v>806</v>
      </c>
      <c r="K13368" s="20" t="s">
        <v>807</v>
      </c>
      <c r="L13368" s="4" t="s">
        <v>47</v>
      </c>
    </row>
    <row r="13369" customFormat="false" ht="15" hidden="false" customHeight="false" outlineLevel="0" collapsed="false">
      <c r="A13369" s="1" t="s">
        <v>1057</v>
      </c>
      <c r="B13369" s="1" t="s">
        <v>235</v>
      </c>
      <c r="F13369" s="36" t="n">
        <f aca="false">Thesis!F6-base_fy-mid_yr</f>
        <v>0.5</v>
      </c>
      <c r="G13369" s="36" t="n">
        <f aca="false">Thesis!G6-base_fy-mid_yr</f>
        <v>1.5</v>
      </c>
      <c r="H13369" s="36" t="n">
        <f aca="false">Thesis!H6-base_fy-mid_yr</f>
        <v>2.5</v>
      </c>
      <c r="I13369" s="36" t="n">
        <f aca="false">Thesis!I6-base_fy-mid_yr</f>
        <v>3.5</v>
      </c>
      <c r="J13369" s="36" t="n">
        <f aca="false">Thesis!J6-base_fy-mid_yr</f>
        <v>4.5</v>
      </c>
      <c r="K13369" s="36" t="n">
        <f aca="false">Thesis!K6-base_fy-mid_yr</f>
        <v>5.5</v>
      </c>
    </row>
    <row r="13370" customFormat="false" ht="15" hidden="false" customHeight="false" outlineLevel="0" collapsed="false">
      <c r="A13370" s="1" t="s">
        <v>1058</v>
      </c>
      <c r="B13370" s="0" t="s">
        <v>185</v>
      </c>
      <c r="F13370" s="14" t="n">
        <f aca="false">1/(1+wacc)^Sens!F13369</f>
        <v>0.952193373608246</v>
      </c>
      <c r="G13370" s="14" t="n">
        <f aca="false">1/(1+wacc)^Sens!G13369</f>
        <v>0.863327280626589</v>
      </c>
      <c r="H13370" s="14" t="n">
        <f aca="false">1/(1+wacc)^Sens!H13369</f>
        <v>0.782754862754115</v>
      </c>
      <c r="I13370" s="14" t="n">
        <f aca="false">1/(1+wacc)^Sens!I13369</f>
        <v>0.709702089711011</v>
      </c>
      <c r="J13370" s="14" t="n">
        <f aca="false">1/(1+wacc)^Sens!J13369</f>
        <v>0.643467169744551</v>
      </c>
      <c r="K13370" s="14" t="n">
        <f aca="false">1/(1+wacc)^Sens!K13369</f>
        <v>0.583413807767797</v>
      </c>
    </row>
    <row r="13371" customFormat="false" ht="17.15" hidden="false" customHeight="false" outlineLevel="0" collapsed="false">
      <c r="A13371" s="1" t="s">
        <v>1059</v>
      </c>
      <c r="B13371" s="0" t="s">
        <v>98</v>
      </c>
      <c r="F13371" s="6" t="n">
        <f aca="false">CF!F22-CF!F20-CF!F26+Thesis!F44*(1-tax_f)</f>
        <v>0.8175674752552</v>
      </c>
      <c r="G13371" s="6" t="n">
        <f aca="false">CF!G22-CF!G20-CF!G26+Thesis!G44*(1-tax_f)</f>
        <v>46.5945454778033</v>
      </c>
      <c r="H13371" s="6" t="n">
        <f aca="false">CF!H22-CF!H20-CF!H26+Thesis!H44*(1-tax_f)</f>
        <v>105.224067029101</v>
      </c>
      <c r="I13371" s="6" t="n">
        <f aca="false">CF!I22-CF!I20-CF!I26+Thesis!I44*(1-tax_f)</f>
        <v>183.301417205555</v>
      </c>
      <c r="J13371" s="6" t="n">
        <f aca="false">CF!J22-CF!J20-CF!J26+Thesis!J44*(1-tax_f)</f>
        <v>261.555335183242</v>
      </c>
      <c r="K13371" s="6" t="n">
        <f aca="false">CF!K22-CF!K20-CF!K26+Thesis!K44*(1-tax_f)</f>
        <v>298.387942209483</v>
      </c>
      <c r="L13371" s="1" t="s">
        <v>1060</v>
      </c>
    </row>
    <row r="13372" customFormat="false" ht="15" hidden="false" customHeight="false" outlineLevel="0" collapsed="false">
      <c r="A13372" s="1" t="s">
        <v>1061</v>
      </c>
      <c r="B13372" s="0" t="s">
        <v>98</v>
      </c>
      <c r="F13372" s="6" t="n">
        <f aca="false">Sens!F13371*Sens!F13370</f>
        <v>0.778482332415625</v>
      </c>
      <c r="G13372" s="6" t="n">
        <f aca="false">Sens!G13371*Sens!G13370</f>
        <v>40.2263422393839</v>
      </c>
      <c r="H13372" s="6" t="n">
        <f aca="false">Sens!H13371*Sens!H13370</f>
        <v>82.364650145794</v>
      </c>
      <c r="I13372" s="6" t="n">
        <f aca="false">Sens!I13371*Sens!I13370</f>
        <v>130.089398837772</v>
      </c>
      <c r="J13372" s="6" t="n">
        <f aca="false">Sens!J13371*Sens!J13370</f>
        <v>168.302271261948</v>
      </c>
      <c r="K13372" s="6" t="n">
        <f aca="false">Sens!K13371*Sens!K13370</f>
        <v>174.083645556432</v>
      </c>
    </row>
    <row r="13373" customFormat="false" ht="17.15" hidden="false" customHeight="false" outlineLevel="0" collapsed="false">
      <c r="A13373" s="1" t="s">
        <v>1062</v>
      </c>
      <c r="B13373" s="0" t="s">
        <v>98</v>
      </c>
      <c r="C13373" s="6" t="n">
        <f aca="false">SUM(Sens!F13372:K13372)</f>
        <v>595.844790373745</v>
      </c>
    </row>
    <row r="13374" customFormat="false" ht="17.15" hidden="false" customHeight="false" outlineLevel="0" collapsed="false">
      <c r="A13374" s="1" t="s">
        <v>1063</v>
      </c>
      <c r="B13374" s="0" t="s">
        <v>98</v>
      </c>
      <c r="C13374" s="6" t="n">
        <f aca="false">PL!K39*(1+g_tv)*(1-tax_f)</f>
        <v>316.433872640522</v>
      </c>
    </row>
    <row r="13375" customFormat="false" ht="17.15" hidden="false" customHeight="false" outlineLevel="0" collapsed="false">
      <c r="A13375" s="1" t="s">
        <v>1064</v>
      </c>
      <c r="B13375" s="0" t="s">
        <v>98</v>
      </c>
      <c r="C13375" s="6" t="n">
        <f aca="false">Sens!$C$13374*(1-g_tv/(wacc+ronic_prem))</f>
        <v>224.209948217085</v>
      </c>
    </row>
    <row r="13376" customFormat="false" ht="17.15" hidden="false" customHeight="false" outlineLevel="0" collapsed="false">
      <c r="A13376" s="1" t="s">
        <v>1065</v>
      </c>
      <c r="B13376" s="0" t="s">
        <v>98</v>
      </c>
      <c r="C13376" s="6" t="n">
        <f aca="false">Sens!$C$13375/(wacc-g_tv)</f>
        <v>3074.13081411456</v>
      </c>
    </row>
    <row r="13377" customFormat="false" ht="15" hidden="false" customHeight="false" outlineLevel="0" collapsed="false">
      <c r="A13377" s="1" t="s">
        <v>1066</v>
      </c>
      <c r="B13377" s="0" t="s">
        <v>98</v>
      </c>
      <c r="C13377" s="6" t="n">
        <f aca="false">Sens!$C$13376/(1+wacc)^(Sens!K13369+mid_yr)</f>
        <v>1707.74964007764</v>
      </c>
    </row>
    <row r="13378" customFormat="false" ht="17.15" hidden="false" customHeight="false" outlineLevel="0" collapsed="false">
      <c r="A13378" s="0" t="s">
        <v>986</v>
      </c>
      <c r="B13378" s="0" t="s">
        <v>98</v>
      </c>
      <c r="C13378" s="6" t="n">
        <f aca="false">Sens!$C$13373+Sens!$C$13377</f>
        <v>2303.59443045138</v>
      </c>
    </row>
    <row r="13379" customFormat="false" ht="15" hidden="false" customHeight="false" outlineLevel="0" collapsed="false">
      <c r="A13379" s="1" t="s">
        <v>987</v>
      </c>
      <c r="B13379" s="0" t="s">
        <v>129</v>
      </c>
      <c r="C13379" s="7" t="n">
        <f aca="false">Sens!$C$13377/Sens!$C$13378</f>
        <v>0.741341278439803</v>
      </c>
    </row>
    <row r="13380" customFormat="false" ht="17.15" hidden="false" customHeight="false" outlineLevel="0" collapsed="false">
      <c r="A13380" s="1" t="s">
        <v>1067</v>
      </c>
      <c r="B13380" s="0" t="s">
        <v>98</v>
      </c>
      <c r="C13380" s="6" t="n">
        <f aca="false">Sens!$C$13378+CF!E38-CF!E27+oai_v</f>
        <v>2438.10743045138</v>
      </c>
    </row>
    <row r="13381" customFormat="false" ht="17.15" hidden="false" customHeight="false" outlineLevel="0" collapsed="false">
      <c r="A13381" s="0" t="s">
        <v>994</v>
      </c>
      <c r="B13381" s="0" t="s">
        <v>75</v>
      </c>
      <c r="C13381" s="5" t="n">
        <f aca="false">Sens!$C$13380/sh_dil26</f>
        <v>327.131011733715</v>
      </c>
    </row>
    <row r="13382" customFormat="false" ht="15" hidden="false" customHeight="false" outlineLevel="0" collapsed="false">
      <c r="A13382" s="1" t="s">
        <v>1068</v>
      </c>
      <c r="B13382" s="0" t="s">
        <v>75</v>
      </c>
      <c r="C13382" s="8" t="n">
        <f aca="false">dps_27+CF!G30*roll_div_q/q_per_yr</f>
        <v>4.8895</v>
      </c>
    </row>
    <row r="13383" customFormat="false" ht="17.15" hidden="false" customHeight="false" outlineLevel="0" collapsed="false">
      <c r="A13383" s="0" t="s">
        <v>1069</v>
      </c>
      <c r="B13383" s="0" t="s">
        <v>75</v>
      </c>
      <c r="C13383" s="5" t="n">
        <f aca="false">Sens!$C$13381*(1+wacc)^t_roll-Sens!$C$13382</f>
        <v>367.625505810519</v>
      </c>
    </row>
    <row r="13384" customFormat="false" ht="17.15" hidden="false" customHeight="false" outlineLevel="0" collapsed="false">
      <c r="A13384" s="1" t="s">
        <v>1070</v>
      </c>
      <c r="B13384" s="0" t="s">
        <v>129</v>
      </c>
      <c r="F13384" s="7" t="n">
        <f aca="false">CF!F17/(Seg!F29-Thesis!F23)</f>
        <v>0.0705303854989974</v>
      </c>
      <c r="G13384" s="7" t="n">
        <f aca="false">CF!G17/(Seg!G29-Thesis!G23)</f>
        <v>0.0669153011130541</v>
      </c>
      <c r="H13384" s="7" t="n">
        <f aca="false">CF!H17/(Seg!H29-Thesis!H23)</f>
        <v>0.0648963302688647</v>
      </c>
      <c r="I13384" s="7" t="n">
        <f aca="false">CF!I17/(Seg!I29-Thesis!I23)</f>
        <v>0.0643411219550834</v>
      </c>
      <c r="J13384" s="7" t="n">
        <f aca="false">CF!J17/(Seg!J29-Thesis!J23)</f>
        <v>0.0648740961982593</v>
      </c>
      <c r="K13384" s="7" t="n">
        <f aca="false">CF!K17/(Seg!K29-Thesis!K23)</f>
        <v>0.0660244723636577</v>
      </c>
    </row>
    <row r="13385" customFormat="false" ht="17.15" hidden="false" customHeight="false" outlineLevel="0" collapsed="false">
      <c r="A13385" s="0" t="s">
        <v>1071</v>
      </c>
      <c r="B13385" s="0" t="s">
        <v>98</v>
      </c>
      <c r="F13385" s="6" t="n">
        <f aca="false">Seg!F14*(al_m365+Sens!F13384+sbc_r)</f>
        <v>85.2273329859862</v>
      </c>
      <c r="G13385" s="6" t="n">
        <f aca="false">Seg!G14*(al_m365+Sens!G13384+sbc_r)</f>
        <v>99.6892587904979</v>
      </c>
      <c r="H13385" s="6" t="n">
        <f aca="false">Seg!H14*(al_m365+Sens!H13384+sbc_r)</f>
        <v>114.315107566414</v>
      </c>
      <c r="I13385" s="6" t="n">
        <f aca="false">Seg!I14*(al_m365+Sens!I13384+sbc_r)</f>
        <v>127.42181750834</v>
      </c>
      <c r="J13385" s="6" t="n">
        <f aca="false">Seg!J14*(al_m365+Sens!J13384+sbc_r)</f>
        <v>138.823999012523</v>
      </c>
      <c r="K13385" s="6" t="n">
        <f aca="false">Seg!K14*(al_m365+Sens!K13384+sbc_r)</f>
        <v>149.845393216552</v>
      </c>
      <c r="L13385" s="11" t="s">
        <v>1072</v>
      </c>
    </row>
    <row r="13386" customFormat="false" ht="17.15" hidden="false" customHeight="false" outlineLevel="0" collapsed="false">
      <c r="A13386" s="0" t="s">
        <v>1073</v>
      </c>
      <c r="B13386" s="0" t="s">
        <v>98</v>
      </c>
      <c r="F13386" s="6" t="n">
        <f aca="false">Seg!F15*(al_lic+Sens!F13384+sbc_r)</f>
        <v>33.5204472060294</v>
      </c>
      <c r="G13386" s="6" t="n">
        <f aca="false">Seg!G15*(al_lic+Sens!G13384+sbc_r)</f>
        <v>34.7926166862242</v>
      </c>
      <c r="H13386" s="6" t="n">
        <f aca="false">Seg!H15*(al_lic+Sens!H13384+sbc_r)</f>
        <v>35.9862829687409</v>
      </c>
      <c r="I13386" s="6" t="n">
        <f aca="false">Seg!I15*(al_lic+Sens!I13384+sbc_r)</f>
        <v>37.0838788899664</v>
      </c>
      <c r="J13386" s="6" t="n">
        <f aca="false">Seg!J15*(al_lic+Sens!J13384+sbc_r)</f>
        <v>38.0565090086839</v>
      </c>
      <c r="K13386" s="6" t="n">
        <f aca="false">Seg!K15*(al_lic+Sens!K13384+sbc_r)</f>
        <v>38.8700352425884</v>
      </c>
    </row>
    <row r="13387" customFormat="false" ht="17.15" hidden="false" customHeight="false" outlineLevel="0" collapsed="false">
      <c r="A13387" s="0" t="s">
        <v>1074</v>
      </c>
      <c r="B13387" s="0" t="s">
        <v>98</v>
      </c>
      <c r="F13387" s="6" t="n">
        <f aca="false">Seg!F17*(al_ind+Sens!F13384+sbc_r)</f>
        <v>9.11980018094294</v>
      </c>
      <c r="G13387" s="6" t="n">
        <f aca="false">Seg!G17*(al_ind+Sens!G13384+sbc_r)</f>
        <v>9.88072195697034</v>
      </c>
      <c r="H13387" s="6" t="n">
        <f aca="false">Seg!H17*(al_ind+Sens!H13384+sbc_r)</f>
        <v>10.6900815637922</v>
      </c>
      <c r="I13387" s="6" t="n">
        <f aca="false">Seg!I17*(al_ind+Sens!I13384+sbc_r)</f>
        <v>11.5460282347577</v>
      </c>
      <c r="J13387" s="6" t="n">
        <f aca="false">Seg!J17*(al_ind+Sens!J13384+sbc_r)</f>
        <v>12.4374767512513</v>
      </c>
      <c r="K13387" s="6" t="n">
        <f aca="false">Seg!K17*(al_ind+Sens!K13384+sbc_r)</f>
        <v>13.3461587114563</v>
      </c>
    </row>
    <row r="13388" customFormat="false" ht="17.15" hidden="false" customHeight="false" outlineLevel="0" collapsed="false">
      <c r="A13388" s="0" t="s">
        <v>1075</v>
      </c>
      <c r="B13388" s="0" t="s">
        <v>98</v>
      </c>
      <c r="F13388" s="6" t="n">
        <f aca="false">Seg!F19*(al_fro+Sens!F13384+sbc_r)</f>
        <v>3.58958536902212</v>
      </c>
      <c r="G13388" s="6" t="n">
        <f aca="false">Seg!G19*(al_fro+Sens!G13384+sbc_r)</f>
        <v>3.79361306665995</v>
      </c>
      <c r="H13388" s="6" t="n">
        <f aca="false">Seg!H19*(al_fro+Sens!H13384+sbc_r)</f>
        <v>4.02838862857902</v>
      </c>
      <c r="I13388" s="6" t="n">
        <f aca="false">Seg!I19*(al_fro+Sens!I13384+sbc_r)</f>
        <v>4.29696179134221</v>
      </c>
      <c r="J13388" s="6" t="n">
        <f aca="false">Seg!J19*(al_fro+Sens!J13384+sbc_r)</f>
        <v>4.59985687395741</v>
      </c>
      <c r="K13388" s="6" t="n">
        <f aca="false">Seg!K19*(al_fro+Sens!K13384+sbc_r)</f>
        <v>4.93592238342414</v>
      </c>
    </row>
    <row r="13389" customFormat="false" ht="17.15" hidden="false" customHeight="false" outlineLevel="0" collapsed="false">
      <c r="A13389" s="0" t="s">
        <v>1076</v>
      </c>
      <c r="B13389" s="0" t="s">
        <v>98</v>
      </c>
      <c r="F13389" s="6" t="n">
        <f aca="false">Seg!F22*(al_srch+Sens!F13384+sbc_r)</f>
        <v>11.2630849868114</v>
      </c>
      <c r="G13389" s="6" t="n">
        <f aca="false">Seg!G22*(al_srch+Sens!G13384+sbc_r)</f>
        <v>12.3179728600437</v>
      </c>
      <c r="H13389" s="6" t="n">
        <f aca="false">Seg!H22*(al_srch+Sens!H13384+sbc_r)</f>
        <v>13.4217853035424</v>
      </c>
      <c r="I13389" s="6" t="n">
        <f aca="false">Seg!I22*(al_srch+Sens!I13384+sbc_r)</f>
        <v>14.565578354966</v>
      </c>
      <c r="J13389" s="6" t="n">
        <f aca="false">Seg!J22*(al_srch+Sens!J13384+sbc_r)</f>
        <v>15.7277683722803</v>
      </c>
      <c r="K13389" s="6" t="n">
        <f aca="false">Seg!K22*(al_srch+Sens!K13384+sbc_r)</f>
        <v>16.87683901418</v>
      </c>
    </row>
    <row r="13390" customFormat="false" ht="17.15" hidden="false" customHeight="false" outlineLevel="0" collapsed="false">
      <c r="A13390" s="0" t="s">
        <v>1077</v>
      </c>
      <c r="B13390" s="0" t="s">
        <v>98</v>
      </c>
      <c r="F13390" s="6" t="n">
        <f aca="false">Thesis!F29-Thesis!F30+Thesis!F44</f>
        <v>45.0374073018652</v>
      </c>
      <c r="G13390" s="6" t="n">
        <f aca="false">Thesis!G29-Thesis!G30+Thesis!G44</f>
        <v>89.051993487491</v>
      </c>
      <c r="H13390" s="6" t="n">
        <f aca="false">Thesis!H29-Thesis!H30+Thesis!H44</f>
        <v>140.728332825594</v>
      </c>
      <c r="I13390" s="6" t="n">
        <f aca="false">Thesis!I29-Thesis!I30+Thesis!I44</f>
        <v>182.158665153016</v>
      </c>
      <c r="J13390" s="6" t="n">
        <f aca="false">Thesis!J29-Thesis!J30+Thesis!J44</f>
        <v>211.722320149272</v>
      </c>
      <c r="K13390" s="6" t="n">
        <f aca="false">Thesis!K29-Thesis!K30+Thesis!K44</f>
        <v>230.495012322217</v>
      </c>
    </row>
    <row r="13391" customFormat="false" ht="17.15" hidden="false" customHeight="false" outlineLevel="0" collapsed="false">
      <c r="A13391" s="0" t="s">
        <v>1078</v>
      </c>
      <c r="B13391" s="0" t="s">
        <v>98</v>
      </c>
      <c r="F13391" s="6" t="n">
        <f aca="false">PL!F32+Thesis!F44+Thesis!F40+Sens!F13384*(Seg!F21-Thesis!F23)+sbc_r*Seg!F21</f>
        <v>236.979131882557</v>
      </c>
      <c r="G13391" s="6" t="n">
        <f aca="false">PL!G32+Thesis!G44+Thesis!G40+Sens!G13384*(Seg!G21-Thesis!G23)+sbc_r*Seg!G21</f>
        <v>310.298572894356</v>
      </c>
      <c r="H13391" s="6" t="n">
        <f aca="false">PL!H32+Thesis!H44+Thesis!H40+Sens!H13384*(Seg!H21-Thesis!H23)+sbc_r*Seg!H21</f>
        <v>391.97921499404</v>
      </c>
      <c r="I13391" s="6" t="n">
        <f aca="false">PL!I32+Thesis!I44+Thesis!I40+Sens!I13384*(Seg!I21-Thesis!I23)+sbc_r*Seg!I21</f>
        <v>461.338592490557</v>
      </c>
      <c r="J13391" s="6" t="n">
        <f aca="false">PL!J32+Thesis!J44+Thesis!J40+Sens!J13384*(Seg!J21-Thesis!J23)+sbc_r*Seg!J21</f>
        <v>515.876034980991</v>
      </c>
      <c r="K13391" s="6" t="n">
        <f aca="false">PL!K32+Thesis!K44+Thesis!K40+Sens!K13384*(Seg!K21-Thesis!K23)+sbc_r*Seg!K21</f>
        <v>557.225339287545</v>
      </c>
    </row>
    <row r="13392" customFormat="false" ht="17.15" hidden="false" customHeight="false" outlineLevel="0" collapsed="false">
      <c r="A13392" s="0" t="s">
        <v>1079</v>
      </c>
      <c r="B13392" s="0" t="s">
        <v>98</v>
      </c>
      <c r="F13392" s="6" t="n">
        <f aca="false">Sens!F13391-Sens!F13385-Sens!F13386-Sens!F13387-Sens!F13388-Sens!F13390</f>
        <v>60.4845588387112</v>
      </c>
      <c r="G13392" s="6" t="n">
        <f aca="false">Sens!G13391-Sens!G13385-Sens!G13386-Sens!G13387-Sens!G13388-Sens!G13390</f>
        <v>73.090368906513</v>
      </c>
      <c r="H13392" s="6" t="n">
        <f aca="false">Sens!H13391-Sens!H13385-Sens!H13386-Sens!H13387-Sens!H13388-Sens!H13390</f>
        <v>86.23102144092</v>
      </c>
      <c r="I13392" s="6" t="n">
        <f aca="false">Sens!I13391-Sens!I13385-Sens!I13386-Sens!I13387-Sens!I13388-Sens!I13390</f>
        <v>98.8312409131349</v>
      </c>
      <c r="J13392" s="6" t="n">
        <f aca="false">Sens!J13391-Sens!J13385-Sens!J13386-Sens!J13387-Sens!J13388-Sens!J13390</f>
        <v>110.235873185303</v>
      </c>
      <c r="K13392" s="6" t="n">
        <f aca="false">Sens!K13391-Sens!K13385-Sens!K13386-Sens!K13387-Sens!K13388-Sens!K13390</f>
        <v>119.732817411307</v>
      </c>
    </row>
    <row r="13393" customFormat="false" ht="17.15" hidden="false" customHeight="false" outlineLevel="0" collapsed="false">
      <c r="A13393" s="0" t="s">
        <v>1080</v>
      </c>
      <c r="B13393" s="0" t="s">
        <v>98</v>
      </c>
      <c r="F13393" s="6" t="n">
        <f aca="false">PL!F34+Sens!F13384*Seg!F28+sbc_r*Seg!F28</f>
        <v>26.3250729833002</v>
      </c>
      <c r="G13393" s="6" t="n">
        <f aca="false">PL!G34+Sens!G13384*Seg!G28+sbc_r*Seg!G28</f>
        <v>26.8840979798844</v>
      </c>
      <c r="H13393" s="6" t="n">
        <f aca="false">PL!H34+Sens!H13384*Seg!H28+sbc_r*Seg!H28</f>
        <v>27.7254420104725</v>
      </c>
      <c r="I13393" s="6" t="n">
        <f aca="false">PL!I34+Sens!I13384*Seg!I28+sbc_r*Seg!I28</f>
        <v>28.8195303030026</v>
      </c>
      <c r="J13393" s="6" t="n">
        <f aca="false">PL!J34+Sens!J13384*Seg!J28+sbc_r*Seg!J28</f>
        <v>30.1256822206383</v>
      </c>
      <c r="K13393" s="6" t="n">
        <f aca="false">PL!K34+Sens!K13384*Seg!K28+sbc_r*Seg!K28</f>
        <v>31.5981329181227</v>
      </c>
    </row>
    <row r="13394" customFormat="false" ht="17.15" hidden="false" customHeight="false" outlineLevel="0" collapsed="false">
      <c r="A13394" s="0" t="s">
        <v>1081</v>
      </c>
      <c r="B13394" s="0" t="s">
        <v>98</v>
      </c>
      <c r="F13394" s="6" t="n">
        <f aca="false">(Sens!F13393-Sens!F13389)*Seg!F24/(Seg!F24+Seg!F26)</f>
        <v>8.25683511803782</v>
      </c>
      <c r="G13394" s="6" t="n">
        <f aca="false">(Sens!G13393-Sens!G13389)*Seg!G24/(Seg!G24+Seg!G26)</f>
        <v>7.84263572934781</v>
      </c>
      <c r="H13394" s="6" t="n">
        <f aca="false">(Sens!H13393-Sens!H13389)*Seg!H24/(Seg!H24+Seg!H26)</f>
        <v>7.59728657715786</v>
      </c>
      <c r="I13394" s="6" t="n">
        <f aca="false">(Sens!I13393-Sens!I13389)*Seg!I24/(Seg!I24+Seg!I26)</f>
        <v>7.50238476920254</v>
      </c>
      <c r="J13394" s="6" t="n">
        <f aca="false">(Sens!J13393-Sens!J13389)*Seg!J24/(Seg!J24+Seg!J26)</f>
        <v>7.54388912124533</v>
      </c>
      <c r="K13394" s="6" t="n">
        <f aca="false">(Sens!K13393-Sens!K13389)*Seg!K24/(Seg!K24+Seg!K26)</f>
        <v>7.71332639591206</v>
      </c>
    </row>
    <row r="13395" customFormat="false" ht="17.15" hidden="false" customHeight="false" outlineLevel="0" collapsed="false">
      <c r="A13395" s="0" t="s">
        <v>1082</v>
      </c>
      <c r="B13395" s="0" t="s">
        <v>98</v>
      </c>
      <c r="F13395" s="6" t="n">
        <f aca="false">Sens!F13393-Sens!F13389-Sens!F13394</f>
        <v>6.80515287845105</v>
      </c>
      <c r="G13395" s="6" t="n">
        <f aca="false">Sens!G13393-Sens!G13389-Sens!G13394</f>
        <v>6.72348939049287</v>
      </c>
      <c r="H13395" s="6" t="n">
        <f aca="false">Sens!H13393-Sens!H13389-Sens!H13394</f>
        <v>6.70637012977225</v>
      </c>
      <c r="I13395" s="6" t="n">
        <f aca="false">Sens!I13393-Sens!I13389-Sens!I13394</f>
        <v>6.75156717883416</v>
      </c>
      <c r="J13395" s="6" t="n">
        <f aca="false">Sens!J13393-Sens!J13389-Sens!J13394</f>
        <v>6.85402472711273</v>
      </c>
      <c r="K13395" s="6" t="n">
        <f aca="false">Sens!K13393-Sens!K13389-Sens!K13394</f>
        <v>7.00796750803058</v>
      </c>
    </row>
    <row r="13396" customFormat="false" ht="17.15" hidden="false" customHeight="false" outlineLevel="0" collapsed="false">
      <c r="A13396" s="0" t="s">
        <v>1083</v>
      </c>
      <c r="B13396" s="0" t="s">
        <v>98</v>
      </c>
      <c r="F13396" s="6" t="n">
        <f aca="false">Sens!F13390-tax_f*(Sens!F13390-Thesis!F40)-Thesis!F37</f>
        <v>-117.492972553783</v>
      </c>
      <c r="G13396" s="6" t="n">
        <f aca="false">Sens!G13390-tax_f*(Sens!G13390-Thesis!G40)-Thesis!G37</f>
        <v>-100.507498271105</v>
      </c>
      <c r="H13396" s="6" t="n">
        <f aca="false">Sens!H13390-tax_f*(Sens!H13390-Thesis!H40)-Thesis!H37</f>
        <v>-58.2254156812621</v>
      </c>
      <c r="I13396" s="6" t="n">
        <f aca="false">Sens!I13390-tax_f*(Sens!I13390-Thesis!I40)-Thesis!I37</f>
        <v>4.14141173464586</v>
      </c>
      <c r="J13396" s="6" t="n">
        <f aca="false">Sens!J13390-tax_f*(Sens!J13390-Thesis!J40)-Thesis!J37</f>
        <v>67.7960840957439</v>
      </c>
      <c r="K13396" s="6" t="n">
        <f aca="false">Sens!K13390-tax_f*(Sens!K13390-Thesis!K40)-Thesis!K37</f>
        <v>90.8148873630444</v>
      </c>
    </row>
    <row r="13397" customFormat="false" ht="17.15" hidden="false" customHeight="false" outlineLevel="0" collapsed="false">
      <c r="A13397" s="0" t="s">
        <v>1084</v>
      </c>
      <c r="B13397" s="0" t="s">
        <v>98</v>
      </c>
      <c r="G13397" s="6" t="n">
        <f aca="false">Sens!G13396/(1+wacc)^(Sens!G13369-(Sens!F13369+mid_yr))</f>
        <v>-95.7025738516884</v>
      </c>
      <c r="H13397" s="6" t="n">
        <f aca="false">Sens!H13396/(1+wacc)^(Sens!H13369-(Sens!F13369+mid_yr))</f>
        <v>-50.2675897834568</v>
      </c>
      <c r="I13397" s="6" t="n">
        <f aca="false">Sens!I13396/(1+wacc)^(Sens!I13369-(Sens!F13369+mid_yr))</f>
        <v>3.241710173961</v>
      </c>
      <c r="J13397" s="6" t="n">
        <f aca="false">Sens!J13396/(1+wacc)^(Sens!J13369-(Sens!F13369+mid_yr))</f>
        <v>48.1150225569729</v>
      </c>
      <c r="K13397" s="6" t="n">
        <f aca="false">Sens!K13396/(1+wacc)^(Sens!K13369-(Sens!F13369+mid_yr))</f>
        <v>58.4363985421684</v>
      </c>
      <c r="L13397" s="1" t="s">
        <v>1085</v>
      </c>
    </row>
    <row r="13398" customFormat="false" ht="17.15" hidden="false" customHeight="false" outlineLevel="0" collapsed="false">
      <c r="A13398" s="0" t="s">
        <v>1086</v>
      </c>
      <c r="B13398" s="0" t="s">
        <v>98</v>
      </c>
      <c r="C13398" s="6" t="n">
        <f aca="false">(Sens!K13390-Thesis!K40)*(1-tax_f)*(1+g_tv)*(1-g_tv/(wacc+ronic_prem))/(wacc-g_tv)/(1+wacc)^(Sens!K13369+mid_yr-(Sens!F13369+mid_yr))</f>
        <v>448.116665852667</v>
      </c>
    </row>
    <row r="13399" customFormat="false" ht="17.15" hidden="false" customHeight="false" outlineLevel="0" collapsed="false">
      <c r="A13399" s="1" t="s">
        <v>1087</v>
      </c>
      <c r="B13399" s="0" t="s">
        <v>98</v>
      </c>
      <c r="C13399" s="6" t="n">
        <f aca="false">(SUM(Sens!G13397:K13397)+Sens!$C$13398)*(1+wacc)^(t_roll-(Sens!F13369+mid_yr))</f>
        <v>425.310341738423</v>
      </c>
      <c r="L13399" s="11" t="s">
        <v>1088</v>
      </c>
    </row>
    <row r="13400" customFormat="false" ht="17.15" hidden="false" customHeight="false" outlineLevel="0" collapsed="false">
      <c r="A13400" s="1" t="s">
        <v>1089</v>
      </c>
      <c r="B13400" s="0" t="s">
        <v>98</v>
      </c>
      <c r="C13400" s="6" t="n">
        <f aca="false">(w_ntm28*Thesis!G29+(1-w_ntm28)*Thesis!H29)*m_ai*1.2</f>
        <v>662.053361437685</v>
      </c>
    </row>
    <row r="13401" customFormat="false" ht="17.15" hidden="false" customHeight="false" outlineLevel="0" collapsed="false">
      <c r="A13401" s="1" t="s">
        <v>1090</v>
      </c>
      <c r="B13401" s="0" t="s">
        <v>98</v>
      </c>
      <c r="C13401" s="6" t="n">
        <f aca="false">(w_ntm28*Sens!G13392+(1-w_ntm28)*Sens!H13392)*m_cloud*1.2</f>
        <v>1282.58300844537</v>
      </c>
    </row>
    <row r="13402" customFormat="false" ht="17.15" hidden="false" customHeight="false" outlineLevel="0" collapsed="false">
      <c r="A13402" s="1" t="s">
        <v>1091</v>
      </c>
      <c r="B13402" s="0" t="s">
        <v>98</v>
      </c>
      <c r="C13402" s="6" t="n">
        <f aca="false">(w_ntm28*Sens!G13385+(1-w_ntm28)*Sens!H13385)*m_sw*1.2</f>
        <v>1353.25229533864</v>
      </c>
    </row>
    <row r="13403" customFormat="false" ht="17.15" hidden="false" customHeight="false" outlineLevel="0" collapsed="false">
      <c r="A13403" s="1" t="s">
        <v>1092</v>
      </c>
      <c r="B13403" s="0" t="s">
        <v>98</v>
      </c>
      <c r="C13403" s="6" t="n">
        <f aca="false">(w_ntm28*Sens!G13386+(1-w_ntm28)*Sens!H13386)*m_sw*1.2</f>
        <v>455.91354505491</v>
      </c>
    </row>
    <row r="13404" customFormat="false" ht="17.15" hidden="false" customHeight="false" outlineLevel="0" collapsed="false">
      <c r="A13404" s="1" t="s">
        <v>1093</v>
      </c>
      <c r="B13404" s="0" t="s">
        <v>98</v>
      </c>
      <c r="C13404" s="6" t="n">
        <f aca="false">(w_ntm28*Sens!G13387+(1-w_ntm28)*Sens!H13387)*m_sw*1.2</f>
        <v>131.445218095268</v>
      </c>
    </row>
    <row r="13405" customFormat="false" ht="17.15" hidden="false" customHeight="false" outlineLevel="0" collapsed="false">
      <c r="A13405" s="1" t="s">
        <v>1094</v>
      </c>
      <c r="B13405" s="0" t="s">
        <v>98</v>
      </c>
      <c r="C13405" s="6" t="n">
        <f aca="false">(w_ntm28*Sens!G13388+(1-w_ntm28)*Sens!H13388)*m_sw*1.2</f>
        <v>50.1488899229036</v>
      </c>
    </row>
    <row r="13406" customFormat="false" ht="17.15" hidden="false" customHeight="false" outlineLevel="0" collapsed="false">
      <c r="A13406" s="1" t="s">
        <v>1095</v>
      </c>
      <c r="B13406" s="0" t="s">
        <v>98</v>
      </c>
      <c r="C13406" s="6" t="n">
        <f aca="false">(w_ntm28*Sens!G13389+(1-w_ntm28)*Sens!H13389)*m_ads*1.2</f>
        <v>138.561152074805</v>
      </c>
    </row>
    <row r="13407" customFormat="false" ht="17.15" hidden="false" customHeight="false" outlineLevel="0" collapsed="false">
      <c r="A13407" s="1" t="s">
        <v>1096</v>
      </c>
      <c r="B13407" s="0" t="s">
        <v>98</v>
      </c>
      <c r="C13407" s="6" t="n">
        <f aca="false">(w_ntm28*Sens!G13394+(1-w_ntm28)*Sens!H13394)*m_game*1.2</f>
        <v>117.660838109695</v>
      </c>
    </row>
    <row r="13408" customFormat="false" ht="17.15" hidden="false" customHeight="false" outlineLevel="0" collapsed="false">
      <c r="A13408" s="1" t="s">
        <v>1097</v>
      </c>
      <c r="B13408" s="0" t="s">
        <v>98</v>
      </c>
      <c r="C13408" s="6" t="n">
        <f aca="false">(w_ntm28*Sens!G13395+(1-w_ntm28)*Sens!H13395)*m_pc*1.2</f>
        <v>116.650569657362</v>
      </c>
    </row>
    <row r="13409" customFormat="false" ht="17.15" hidden="false" customHeight="false" outlineLevel="0" collapsed="false">
      <c r="A13409" s="1" t="s">
        <v>1098</v>
      </c>
      <c r="B13409" s="0" t="s">
        <v>98</v>
      </c>
      <c r="C13409" s="6" t="n">
        <f aca="false">Sens!$C$13399+Sens!$C$13401+Sens!$C$13402+Sens!$C$13403+Sens!$C$13404+Sens!$C$13405+Sens!$C$13406+Sens!$C$13407+Sens!$C$13408</f>
        <v>4071.52585843738</v>
      </c>
    </row>
    <row r="13410" customFormat="false" ht="17.15" hidden="false" customHeight="false" outlineLevel="0" collapsed="false">
      <c r="A13410" s="1" t="s">
        <v>1099</v>
      </c>
      <c r="B13410" s="0" t="s">
        <v>98</v>
      </c>
      <c r="C13410" s="6" t="n">
        <f aca="false">(Sens!G13371-Sens!G13396)*t_stub</f>
        <v>47.9592964551235</v>
      </c>
      <c r="L13410" s="1" t="s">
        <v>1100</v>
      </c>
    </row>
    <row r="13411" customFormat="false" ht="17.15" hidden="false" customHeight="false" outlineLevel="0" collapsed="false">
      <c r="A13411" s="1" t="s">
        <v>1014</v>
      </c>
      <c r="B13411" s="0" t="s">
        <v>98</v>
      </c>
      <c r="C13411" s="6" t="n">
        <f aca="false">CF!F38+oai_v-CF!F27+Sens!$C$13410</f>
        <v>163.066005497665</v>
      </c>
      <c r="L13411" s="1" t="s">
        <v>1101</v>
      </c>
    </row>
    <row r="13412" customFormat="false" ht="17.15" hidden="false" customHeight="false" outlineLevel="0" collapsed="false">
      <c r="A13412" s="1" t="s">
        <v>1102</v>
      </c>
      <c r="B13412" s="0" t="s">
        <v>75</v>
      </c>
      <c r="C13412" s="5" t="n">
        <f aca="false">(Sens!$C$13409+Sens!$C$13411)/(CF!F40+dil_gap)-CF!G30*roll_div_q/q_per_yr</f>
        <v>563.874035743736</v>
      </c>
      <c r="L13412" s="1" t="s">
        <v>1103</v>
      </c>
    </row>
    <row r="13413" customFormat="false" ht="17.15" hidden="false" customHeight="false" outlineLevel="0" collapsed="false">
      <c r="A13413" s="1" t="s">
        <v>1104</v>
      </c>
      <c r="B13413" s="0" t="s">
        <v>75</v>
      </c>
      <c r="C13413" s="5" t="n">
        <f aca="false">w_dcf*Sens!$C$13383+(1-w_dcf)*Sens!$C$13412</f>
        <v>465.749770777127</v>
      </c>
    </row>
    <row r="13414" customFormat="false" ht="17.15" hidden="false" customHeight="false" outlineLevel="0" collapsed="false">
      <c r="A13414" s="3" t="s">
        <v>1602</v>
      </c>
    </row>
    <row r="13415" customFormat="false" ht="15" hidden="false" customHeight="false" outlineLevel="0" collapsed="false">
      <c r="A13415" s="4" t="s">
        <v>43</v>
      </c>
      <c r="B13415" s="4" t="s">
        <v>65</v>
      </c>
      <c r="C13415" s="20" t="s">
        <v>799</v>
      </c>
      <c r="D13415" s="20" t="s">
        <v>800</v>
      </c>
      <c r="E13415" s="20" t="s">
        <v>801</v>
      </c>
      <c r="F13415" s="20" t="s">
        <v>802</v>
      </c>
      <c r="G13415" s="20" t="s">
        <v>803</v>
      </c>
      <c r="H13415" s="20" t="s">
        <v>804</v>
      </c>
      <c r="I13415" s="20" t="s">
        <v>805</v>
      </c>
      <c r="J13415" s="20" t="s">
        <v>806</v>
      </c>
      <c r="K13415" s="20" t="s">
        <v>807</v>
      </c>
      <c r="L13415" s="4" t="s">
        <v>47</v>
      </c>
    </row>
    <row r="13416" customFormat="false" ht="15" hidden="false" customHeight="false" outlineLevel="0" collapsed="false">
      <c r="A13416" s="1" t="s">
        <v>1057</v>
      </c>
      <c r="B13416" s="1" t="s">
        <v>235</v>
      </c>
      <c r="F13416" s="36" t="n">
        <f aca="false">Thesis!F55-base_fy-mid_yr</f>
        <v>0.5</v>
      </c>
      <c r="G13416" s="36" t="n">
        <f aca="false">Thesis!G55-base_fy-mid_yr</f>
        <v>1.5</v>
      </c>
      <c r="H13416" s="36" t="n">
        <f aca="false">Thesis!H55-base_fy-mid_yr</f>
        <v>2.5</v>
      </c>
      <c r="I13416" s="36" t="n">
        <f aca="false">Thesis!I55-base_fy-mid_yr</f>
        <v>3.5</v>
      </c>
      <c r="J13416" s="36" t="n">
        <f aca="false">Thesis!J55-base_fy-mid_yr</f>
        <v>4.5</v>
      </c>
      <c r="K13416" s="36" t="n">
        <f aca="false">Thesis!K55-base_fy-mid_yr</f>
        <v>5.5</v>
      </c>
    </row>
    <row r="13417" customFormat="false" ht="15" hidden="false" customHeight="false" outlineLevel="0" collapsed="false">
      <c r="A13417" s="1" t="s">
        <v>1058</v>
      </c>
      <c r="B13417" s="0" t="s">
        <v>185</v>
      </c>
      <c r="F13417" s="14" t="n">
        <f aca="false">1/(1+wacc)^Sens!F13416</f>
        <v>0.952193373608246</v>
      </c>
      <c r="G13417" s="14" t="n">
        <f aca="false">1/(1+wacc)^Sens!G13416</f>
        <v>0.863327280626589</v>
      </c>
      <c r="H13417" s="14" t="n">
        <f aca="false">1/(1+wacc)^Sens!H13416</f>
        <v>0.782754862754115</v>
      </c>
      <c r="I13417" s="14" t="n">
        <f aca="false">1/(1+wacc)^Sens!I13416</f>
        <v>0.709702089711011</v>
      </c>
      <c r="J13417" s="14" t="n">
        <f aca="false">1/(1+wacc)^Sens!J13416</f>
        <v>0.643467169744551</v>
      </c>
      <c r="K13417" s="14" t="n">
        <f aca="false">1/(1+wacc)^Sens!K13416</f>
        <v>0.583413807767797</v>
      </c>
    </row>
    <row r="13418" customFormat="false" ht="17.15" hidden="false" customHeight="false" outlineLevel="0" collapsed="false">
      <c r="A13418" s="1" t="s">
        <v>1059</v>
      </c>
      <c r="B13418" s="0" t="s">
        <v>98</v>
      </c>
      <c r="F13418" s="6" t="n">
        <f aca="false">CF!F53-CF!F51-CF!F57+Thesis!F93*(1-tax_f)</f>
        <v>-2.12916264917943</v>
      </c>
      <c r="G13418" s="6" t="n">
        <f aca="false">CF!G53-CF!G51-CF!G57+Thesis!G93*(1-tax_f)</f>
        <v>37.4539072201241</v>
      </c>
      <c r="H13418" s="6" t="n">
        <f aca="false">CF!H53-CF!H51-CF!H57+Thesis!H93*(1-tax_f)</f>
        <v>85.8888636072133</v>
      </c>
      <c r="I13418" s="6" t="n">
        <f aca="false">CF!I53-CF!I51-CF!I57+Thesis!I93*(1-tax_f)</f>
        <v>159.098024951333</v>
      </c>
      <c r="J13418" s="6" t="n">
        <f aca="false">CF!J53-CF!J51-CF!J57+Thesis!J93*(1-tax_f)</f>
        <v>233.876759261847</v>
      </c>
      <c r="K13418" s="6" t="n">
        <f aca="false">CF!K53-CF!K51-CF!K57+Thesis!K93*(1-tax_f)</f>
        <v>268.447783789649</v>
      </c>
      <c r="L13418" s="1" t="s">
        <v>1060</v>
      </c>
    </row>
    <row r="13419" customFormat="false" ht="15" hidden="false" customHeight="false" outlineLevel="0" collapsed="false">
      <c r="A13419" s="1" t="s">
        <v>1061</v>
      </c>
      <c r="B13419" s="0" t="s">
        <v>98</v>
      </c>
      <c r="F13419" s="6" t="n">
        <f aca="false">Sens!F13418*Sens!F13417</f>
        <v>-2.02737456588283</v>
      </c>
      <c r="G13419" s="6" t="n">
        <f aca="false">Sens!G13418*Sens!G13417</f>
        <v>32.3349798691903</v>
      </c>
      <c r="H13419" s="6" t="n">
        <f aca="false">Sens!H13418*Sens!H13417</f>
        <v>67.2299256449712</v>
      </c>
      <c r="I13419" s="6" t="n">
        <f aca="false">Sens!I13418*Sens!I13417</f>
        <v>112.912200776856</v>
      </c>
      <c r="J13419" s="6" t="n">
        <f aca="false">Sens!J13418*Sens!J13417</f>
        <v>150.492016351249</v>
      </c>
      <c r="K13419" s="6" t="n">
        <f aca="false">Sens!K13418*Sens!K13417</f>
        <v>156.616143727545</v>
      </c>
    </row>
    <row r="13420" customFormat="false" ht="17.15" hidden="false" customHeight="false" outlineLevel="0" collapsed="false">
      <c r="A13420" s="1" t="s">
        <v>1062</v>
      </c>
      <c r="B13420" s="0" t="s">
        <v>98</v>
      </c>
      <c r="C13420" s="6" t="n">
        <f aca="false">SUM(Sens!F13419:K13419)</f>
        <v>517.557891803928</v>
      </c>
    </row>
    <row r="13421" customFormat="false" ht="17.15" hidden="false" customHeight="false" outlineLevel="0" collapsed="false">
      <c r="A13421" s="1" t="s">
        <v>1063</v>
      </c>
      <c r="B13421" s="0" t="s">
        <v>98</v>
      </c>
      <c r="C13421" s="6" t="n">
        <f aca="false">PL!K78*(1+g_tv)*(1-tax_f)</f>
        <v>284.685941703094</v>
      </c>
    </row>
    <row r="13422" customFormat="false" ht="17.15" hidden="false" customHeight="false" outlineLevel="0" collapsed="false">
      <c r="A13422" s="1" t="s">
        <v>1064</v>
      </c>
      <c r="B13422" s="0" t="s">
        <v>98</v>
      </c>
      <c r="C13422" s="6" t="n">
        <f aca="false">Sens!$C$13421*(1-g_tv/(wacc+ronic_prem))</f>
        <v>201.714878735169</v>
      </c>
    </row>
    <row r="13423" customFormat="false" ht="17.15" hidden="false" customHeight="false" outlineLevel="0" collapsed="false">
      <c r="A13423" s="1" t="s">
        <v>1065</v>
      </c>
      <c r="B13423" s="0" t="s">
        <v>98</v>
      </c>
      <c r="C13423" s="6" t="n">
        <f aca="false">Sens!$C$13422/(wacc-g_tv)</f>
        <v>2765.70209893083</v>
      </c>
    </row>
    <row r="13424" customFormat="false" ht="15" hidden="false" customHeight="false" outlineLevel="0" collapsed="false">
      <c r="A13424" s="1" t="s">
        <v>1066</v>
      </c>
      <c r="B13424" s="0" t="s">
        <v>98</v>
      </c>
      <c r="C13424" s="6" t="n">
        <f aca="false">Sens!$C$13423/(1+wacc)^(Sens!K13416+mid_yr)</f>
        <v>1536.41046839169</v>
      </c>
    </row>
    <row r="13425" customFormat="false" ht="17.15" hidden="false" customHeight="false" outlineLevel="0" collapsed="false">
      <c r="A13425" s="0" t="s">
        <v>986</v>
      </c>
      <c r="B13425" s="0" t="s">
        <v>98</v>
      </c>
      <c r="C13425" s="6" t="n">
        <f aca="false">Sens!$C$13420+Sens!$C$13424</f>
        <v>2053.96836019562</v>
      </c>
    </row>
    <row r="13426" customFormat="false" ht="15" hidden="false" customHeight="false" outlineLevel="0" collapsed="false">
      <c r="A13426" s="1" t="s">
        <v>987</v>
      </c>
      <c r="B13426" s="0" t="s">
        <v>129</v>
      </c>
      <c r="C13426" s="7" t="n">
        <f aca="false">Sens!$C$13424/Sens!$C$13425</f>
        <v>0.748020513931073</v>
      </c>
    </row>
    <row r="13427" customFormat="false" ht="17.15" hidden="false" customHeight="false" outlineLevel="0" collapsed="false">
      <c r="A13427" s="1" t="s">
        <v>1067</v>
      </c>
      <c r="B13427" s="0" t="s">
        <v>98</v>
      </c>
      <c r="C13427" s="6" t="n">
        <f aca="false">Sens!$C$13425+CF!E69-CF!E58+oai_v</f>
        <v>2188.48136019562</v>
      </c>
    </row>
    <row r="13428" customFormat="false" ht="17.15" hidden="false" customHeight="false" outlineLevel="0" collapsed="false">
      <c r="A13428" s="0" t="s">
        <v>994</v>
      </c>
      <c r="B13428" s="0" t="s">
        <v>75</v>
      </c>
      <c r="C13428" s="5" t="n">
        <f aca="false">Sens!$C$13427/sh_dil26</f>
        <v>293.637643928032</v>
      </c>
    </row>
    <row r="13429" customFormat="false" ht="15" hidden="false" customHeight="false" outlineLevel="0" collapsed="false">
      <c r="A13429" s="1" t="s">
        <v>1068</v>
      </c>
      <c r="B13429" s="0" t="s">
        <v>75</v>
      </c>
      <c r="C13429" s="8" t="n">
        <f aca="false">dps_27+CF!G61*roll_div_q/q_per_yr</f>
        <v>4.8895</v>
      </c>
    </row>
    <row r="13430" customFormat="false" ht="17.15" hidden="false" customHeight="false" outlineLevel="0" collapsed="false">
      <c r="A13430" s="0" t="s">
        <v>1069</v>
      </c>
      <c r="B13430" s="0" t="s">
        <v>75</v>
      </c>
      <c r="C13430" s="5" t="n">
        <f aca="false">Sens!$C$13428*(1+wacc)^t_roll-Sens!$C$13429</f>
        <v>329.485489562521</v>
      </c>
    </row>
    <row r="13431" customFormat="false" ht="17.15" hidden="false" customHeight="false" outlineLevel="0" collapsed="false">
      <c r="A13431" s="1" t="s">
        <v>1070</v>
      </c>
      <c r="B13431" s="0" t="s">
        <v>129</v>
      </c>
      <c r="F13431" s="7" t="n">
        <f aca="false">CF!F48/(Seg!F56-Thesis!F72)</f>
        <v>0.0708376243512414</v>
      </c>
      <c r="G13431" s="7" t="n">
        <f aca="false">CF!G48/(Seg!G56-Thesis!G72)</f>
        <v>0.0675792567445289</v>
      </c>
      <c r="H13431" s="7" t="n">
        <f aca="false">CF!H48/(Seg!H56-Thesis!H72)</f>
        <v>0.0657637992399081</v>
      </c>
      <c r="I13431" s="7" t="n">
        <f aca="false">CF!I48/(Seg!I56-Thesis!I72)</f>
        <v>0.0652507860006261</v>
      </c>
      <c r="J13431" s="7" t="n">
        <f aca="false">CF!J48/(Seg!J56-Thesis!J72)</f>
        <v>0.0657374094257698</v>
      </c>
      <c r="K13431" s="7" t="n">
        <f aca="false">CF!K48/(Seg!K56-Thesis!K72)</f>
        <v>0.0668595832904836</v>
      </c>
    </row>
    <row r="13432" customFormat="false" ht="17.15" hidden="false" customHeight="false" outlineLevel="0" collapsed="false">
      <c r="A13432" s="0" t="s">
        <v>1071</v>
      </c>
      <c r="B13432" s="0" t="s">
        <v>98</v>
      </c>
      <c r="F13432" s="6" t="n">
        <f aca="false">Seg!F41*(al_m365+Sens!F13431+sbc_r)</f>
        <v>84.2019918892952</v>
      </c>
      <c r="G13432" s="6" t="n">
        <f aca="false">Seg!G41*(al_m365+Sens!G13431+sbc_r)</f>
        <v>96.61090954529</v>
      </c>
      <c r="H13432" s="6" t="n">
        <f aca="false">Seg!H41*(al_m365+Sens!H13431+sbc_r)</f>
        <v>109.18271398457</v>
      </c>
      <c r="I13432" s="6" t="n">
        <f aca="false">Seg!I41*(al_m365+Sens!I13431+sbc_r)</f>
        <v>120.736322591613</v>
      </c>
      <c r="J13432" s="6" t="n">
        <f aca="false">Seg!J41*(al_m365+Sens!J13431+sbc_r)</f>
        <v>131.084561154645</v>
      </c>
      <c r="K13432" s="6" t="n">
        <f aca="false">Seg!K41*(al_m365+Sens!K13431+sbc_r)</f>
        <v>141.044207560217</v>
      </c>
      <c r="L13432" s="11" t="s">
        <v>1072</v>
      </c>
    </row>
    <row r="13433" customFormat="false" ht="17.15" hidden="false" customHeight="false" outlineLevel="0" collapsed="false">
      <c r="A13433" s="0" t="s">
        <v>1073</v>
      </c>
      <c r="B13433" s="0" t="s">
        <v>98</v>
      </c>
      <c r="F13433" s="6" t="n">
        <f aca="false">Seg!F42*(al_lic+Sens!F13431+sbc_r)</f>
        <v>33.5324516680982</v>
      </c>
      <c r="G13433" s="6" t="n">
        <f aca="false">Seg!G42*(al_lic+Sens!G13431+sbc_r)</f>
        <v>34.819657317048</v>
      </c>
      <c r="H13433" s="6" t="n">
        <f aca="false">Seg!H42*(al_lic+Sens!H13431+sbc_r)</f>
        <v>36.0229106304815</v>
      </c>
      <c r="I13433" s="6" t="n">
        <f aca="false">Seg!I42*(al_lic+Sens!I13431+sbc_r)</f>
        <v>37.1234854794919</v>
      </c>
      <c r="J13433" s="6" t="n">
        <f aca="false">Seg!J42*(al_lic+Sens!J13431+sbc_r)</f>
        <v>38.0950592345738</v>
      </c>
      <c r="K13433" s="6" t="n">
        <f aca="false">Seg!K42*(al_lic+Sens!K13431+sbc_r)</f>
        <v>38.9080719459809</v>
      </c>
    </row>
    <row r="13434" customFormat="false" ht="17.15" hidden="false" customHeight="false" outlineLevel="0" collapsed="false">
      <c r="A13434" s="0" t="s">
        <v>1074</v>
      </c>
      <c r="B13434" s="0" t="s">
        <v>98</v>
      </c>
      <c r="F13434" s="6" t="n">
        <f aca="false">Seg!F44*(al_ind+Sens!F13431+sbc_r)</f>
        <v>9.12666918765551</v>
      </c>
      <c r="G13434" s="6" t="n">
        <f aca="false">Seg!G44*(al_ind+Sens!G13431+sbc_r)</f>
        <v>9.89694850970116</v>
      </c>
      <c r="H13434" s="6" t="n">
        <f aca="false">Seg!H44*(al_ind+Sens!H13431+sbc_r)</f>
        <v>10.7131335152527</v>
      </c>
      <c r="I13434" s="6" t="n">
        <f aca="false">Seg!I44*(al_ind+Sens!I13431+sbc_r)</f>
        <v>11.5721730864119</v>
      </c>
      <c r="J13434" s="6" t="n">
        <f aca="false">Seg!J44*(al_ind+Sens!J13431+sbc_r)</f>
        <v>12.4641697526801</v>
      </c>
      <c r="K13434" s="6" t="n">
        <f aca="false">Seg!K44*(al_ind+Sens!K13431+sbc_r)</f>
        <v>13.3737871892836</v>
      </c>
    </row>
    <row r="13435" customFormat="false" ht="17.15" hidden="false" customHeight="false" outlineLevel="0" collapsed="false">
      <c r="A13435" s="0" t="s">
        <v>1075</v>
      </c>
      <c r="B13435" s="0" t="s">
        <v>98</v>
      </c>
      <c r="F13435" s="6" t="n">
        <f aca="false">Seg!F46*(al_fro+Sens!F13431+sbc_r)</f>
        <v>3.5922890341799</v>
      </c>
      <c r="G13435" s="6" t="n">
        <f aca="false">Seg!G46*(al_fro+Sens!G13431+sbc_r)</f>
        <v>3.79984310356763</v>
      </c>
      <c r="H13435" s="6" t="n">
        <f aca="false">Seg!H46*(al_fro+Sens!H13431+sbc_r)</f>
        <v>4.03707539290126</v>
      </c>
      <c r="I13435" s="6" t="n">
        <f aca="false">Seg!I46*(al_fro+Sens!I13431+sbc_r)</f>
        <v>4.30669184104541</v>
      </c>
      <c r="J13435" s="6" t="n">
        <f aca="false">Seg!J46*(al_fro+Sens!J13431+sbc_r)</f>
        <v>4.6097289716959</v>
      </c>
      <c r="K13435" s="6" t="n">
        <f aca="false">Seg!K46*(al_fro+Sens!K13431+sbc_r)</f>
        <v>4.94614045628512</v>
      </c>
    </row>
    <row r="13436" customFormat="false" ht="17.15" hidden="false" customHeight="false" outlineLevel="0" collapsed="false">
      <c r="A13436" s="0" t="s">
        <v>1076</v>
      </c>
      <c r="B13436" s="0" t="s">
        <v>98</v>
      </c>
      <c r="F13436" s="6" t="n">
        <f aca="false">Seg!F49*(al_srch+Sens!F13431+sbc_r)</f>
        <v>11.2715683093452</v>
      </c>
      <c r="G13436" s="6" t="n">
        <f aca="false">Seg!G49*(al_srch+Sens!G13431+sbc_r)</f>
        <v>12.338201972554</v>
      </c>
      <c r="H13436" s="6" t="n">
        <f aca="false">Seg!H49*(al_srch+Sens!H13431+sbc_r)</f>
        <v>13.450727865064</v>
      </c>
      <c r="I13436" s="6" t="n">
        <f aca="false">Seg!I49*(al_srch+Sens!I13431+sbc_r)</f>
        <v>14.598560682534</v>
      </c>
      <c r="J13436" s="6" t="n">
        <f aca="false">Seg!J49*(al_srch+Sens!J13431+sbc_r)</f>
        <v>15.7615229152659</v>
      </c>
      <c r="K13436" s="6" t="n">
        <f aca="false">Seg!K49*(al_srch+Sens!K13431+sbc_r)</f>
        <v>16.9117765106222</v>
      </c>
    </row>
    <row r="13437" customFormat="false" ht="17.15" hidden="false" customHeight="false" outlineLevel="0" collapsed="false">
      <c r="A13437" s="0" t="s">
        <v>1077</v>
      </c>
      <c r="B13437" s="0" t="s">
        <v>98</v>
      </c>
      <c r="F13437" s="6" t="n">
        <f aca="false">Thesis!F78-Thesis!F79+Thesis!F93</f>
        <v>42.2254306726393</v>
      </c>
      <c r="G13437" s="6" t="n">
        <f aca="false">Thesis!G78-Thesis!G79+Thesis!G93</f>
        <v>79.7027537443441</v>
      </c>
      <c r="H13437" s="6" t="n">
        <f aca="false">Thesis!H78-Thesis!H79+Thesis!H93</f>
        <v>120.060533679822</v>
      </c>
      <c r="I13437" s="6" t="n">
        <f aca="false">Thesis!I78-Thesis!I79+Thesis!I93</f>
        <v>156.515256506302</v>
      </c>
      <c r="J13437" s="6" t="n">
        <f aca="false">Thesis!J78-Thesis!J79+Thesis!J93</f>
        <v>182.51821819491</v>
      </c>
      <c r="K13437" s="6" t="n">
        <f aca="false">Thesis!K78-Thesis!K79+Thesis!K93</f>
        <v>199.254533496123</v>
      </c>
    </row>
    <row r="13438" customFormat="false" ht="17.15" hidden="false" customHeight="false" outlineLevel="0" collapsed="false">
      <c r="A13438" s="0" t="s">
        <v>1078</v>
      </c>
      <c r="B13438" s="0" t="s">
        <v>98</v>
      </c>
      <c r="F13438" s="6" t="n">
        <f aca="false">PL!F71+Thesis!F93+Thesis!F89+Sens!F13431*(Seg!F48-Thesis!F72)+sbc_r*Seg!F48</f>
        <v>233.08249657256</v>
      </c>
      <c r="G13438" s="6" t="n">
        <f aca="false">PL!G71+Thesis!G93+Thesis!G89+Sens!G13431*(Seg!G48-Thesis!G72)+sbc_r*Seg!G48</f>
        <v>297.663189032606</v>
      </c>
      <c r="H13438" s="6" t="n">
        <f aca="false">PL!H71+Thesis!H93+Thesis!H89+Sens!H13431*(Seg!H48-Thesis!H72)+sbc_r*Seg!H48</f>
        <v>365.628165851855</v>
      </c>
      <c r="I13438" s="6" t="n">
        <f aca="false">PL!I71+Thesis!I93+Thesis!I89+Sens!I13431*(Seg!I48-Thesis!I72)+sbc_r*Seg!I48</f>
        <v>428.31888397841</v>
      </c>
      <c r="J13438" s="6" t="n">
        <f aca="false">PL!J71+Thesis!J93+Thesis!J89+Sens!J13431*(Seg!J48-Thesis!J72)+sbc_r*Seg!J48</f>
        <v>478.127348640143</v>
      </c>
      <c r="K13438" s="6" t="n">
        <f aca="false">PL!K71+Thesis!K93+Thesis!K89+Sens!K13431*(Seg!K48-Thesis!K72)+sbc_r*Seg!K48</f>
        <v>516.321726855748</v>
      </c>
    </row>
    <row r="13439" customFormat="false" ht="17.15" hidden="false" customHeight="false" outlineLevel="0" collapsed="false">
      <c r="A13439" s="0" t="s">
        <v>1079</v>
      </c>
      <c r="B13439" s="0" t="s">
        <v>98</v>
      </c>
      <c r="F13439" s="6" t="n">
        <f aca="false">Sens!F13438-Sens!F13432-Sens!F13433-Sens!F13434-Sens!F13435-Sens!F13437</f>
        <v>60.4036641206917</v>
      </c>
      <c r="G13439" s="6" t="n">
        <f aca="false">Sens!G13438-Sens!G13432-Sens!G13433-Sens!G13434-Sens!G13435-Sens!G13437</f>
        <v>72.8330768126549</v>
      </c>
      <c r="H13439" s="6" t="n">
        <f aca="false">Sens!H13438-Sens!H13432-Sens!H13433-Sens!H13434-Sens!H13435-Sens!H13437</f>
        <v>85.6117986488275</v>
      </c>
      <c r="I13439" s="6" t="n">
        <f aca="false">Sens!I13438-Sens!I13432-Sens!I13433-Sens!I13434-Sens!I13435-Sens!I13437</f>
        <v>98.0649544735462</v>
      </c>
      <c r="J13439" s="6" t="n">
        <f aca="false">Sens!J13438-Sens!J13432-Sens!J13433-Sens!J13434-Sens!J13435-Sens!J13437</f>
        <v>109.355611331638</v>
      </c>
      <c r="K13439" s="6" t="n">
        <f aca="false">Sens!K13438-Sens!K13432-Sens!K13433-Sens!K13434-Sens!K13435-Sens!K13437</f>
        <v>118.794986207857</v>
      </c>
    </row>
    <row r="13440" customFormat="false" ht="17.15" hidden="false" customHeight="false" outlineLevel="0" collapsed="false">
      <c r="A13440" s="0" t="s">
        <v>1080</v>
      </c>
      <c r="B13440" s="0" t="s">
        <v>98</v>
      </c>
      <c r="F13440" s="6" t="n">
        <f aca="false">PL!F73+Sens!F13431*Seg!F55+sbc_r*Seg!F55</f>
        <v>26.345087006484</v>
      </c>
      <c r="G13440" s="6" t="n">
        <f aca="false">PL!G73+Sens!G13431*Seg!G55+sbc_r*Seg!G55</f>
        <v>26.928666241387</v>
      </c>
      <c r="H13440" s="6" t="n">
        <f aca="false">PL!H73+Sens!H13431*Seg!H55+sbc_r*Seg!H55</f>
        <v>27.7857977299272</v>
      </c>
      <c r="I13440" s="6" t="n">
        <f aca="false">PL!I73+Sens!I13431*Seg!I55+sbc_r*Seg!I55</f>
        <v>28.8854111921819</v>
      </c>
      <c r="J13440" s="6" t="n">
        <f aca="false">PL!J73+Sens!J13431*Seg!J55+sbc_r*Seg!J55</f>
        <v>30.1909525075627</v>
      </c>
      <c r="K13440" s="6" t="n">
        <f aca="false">PL!K73+Sens!K13431*Seg!K55+sbc_r*Seg!K55</f>
        <v>31.6641663414168</v>
      </c>
    </row>
    <row r="13441" customFormat="false" ht="17.15" hidden="false" customHeight="false" outlineLevel="0" collapsed="false">
      <c r="A13441" s="0" t="s">
        <v>1081</v>
      </c>
      <c r="B13441" s="0" t="s">
        <v>98</v>
      </c>
      <c r="F13441" s="6" t="n">
        <f aca="false">(Sens!F13440-Sens!F13436)*Seg!F51/(Seg!F51+Seg!F53)</f>
        <v>8.26315613582677</v>
      </c>
      <c r="G13441" s="6" t="n">
        <f aca="false">(Sens!G13440-Sens!G13436)*Seg!G51/(Seg!G51+Seg!G53)</f>
        <v>7.85574031810689</v>
      </c>
      <c r="H13441" s="6" t="n">
        <f aca="false">(Sens!H13440-Sens!H13436)*Seg!H51/(Seg!H51+Seg!H53)</f>
        <v>7.61397145487838</v>
      </c>
      <c r="I13441" s="6" t="n">
        <f aca="false">(Sens!I13440-Sens!I13436)*Seg!I51/(Seg!I51+Seg!I53)</f>
        <v>7.51970050510933</v>
      </c>
      <c r="J13441" s="6" t="n">
        <f aca="false">(Sens!J13440-Sens!J13436)*Seg!J51/(Seg!J51+Seg!J53)</f>
        <v>7.56040201890202</v>
      </c>
      <c r="K13441" s="6" t="n">
        <f aca="false">(Sens!K13440-Sens!K13436)*Seg!K51/(Seg!K51+Seg!K53)</f>
        <v>7.72961932742727</v>
      </c>
    </row>
    <row r="13442" customFormat="false" ht="17.15" hidden="false" customHeight="false" outlineLevel="0" collapsed="false">
      <c r="A13442" s="0" t="s">
        <v>1082</v>
      </c>
      <c r="B13442" s="0" t="s">
        <v>98</v>
      </c>
      <c r="F13442" s="6" t="n">
        <f aca="false">Sens!F13440-Sens!F13436-Sens!F13441</f>
        <v>6.81036256131213</v>
      </c>
      <c r="G13442" s="6" t="n">
        <f aca="false">Sens!G13440-Sens!G13436-Sens!G13441</f>
        <v>6.73472395072608</v>
      </c>
      <c r="H13442" s="6" t="n">
        <f aca="false">Sens!H13440-Sens!H13436-Sens!H13441</f>
        <v>6.72109840998485</v>
      </c>
      <c r="I13442" s="6" t="n">
        <f aca="false">Sens!I13440-Sens!I13436-Sens!I13441</f>
        <v>6.76715000453853</v>
      </c>
      <c r="J13442" s="6" t="n">
        <f aca="false">Sens!J13440-Sens!J13436-Sens!J13441</f>
        <v>6.86902757339483</v>
      </c>
      <c r="K13442" s="6" t="n">
        <f aca="false">Sens!K13440-Sens!K13436-Sens!K13441</f>
        <v>7.02277050336727</v>
      </c>
    </row>
    <row r="13443" customFormat="false" ht="17.15" hidden="false" customHeight="false" outlineLevel="0" collapsed="false">
      <c r="A13443" s="0" t="s">
        <v>1083</v>
      </c>
      <c r="B13443" s="0" t="s">
        <v>98</v>
      </c>
      <c r="F13443" s="6" t="n">
        <f aca="false">Sens!F13437-tax_f*(Sens!F13437-Thesis!F89)-Thesis!F86</f>
        <v>-119.742553857164</v>
      </c>
      <c r="G13443" s="6" t="n">
        <f aca="false">Sens!G13437-tax_f*(Sens!G13437-Thesis!G89)-Thesis!G86</f>
        <v>-107.986890065622</v>
      </c>
      <c r="H13443" s="6" t="n">
        <f aca="false">Sens!H13437-tax_f*(Sens!H13437-Thesis!H89)-Thesis!H86</f>
        <v>-74.7596549978803</v>
      </c>
      <c r="I13443" s="6" t="n">
        <f aca="false">Sens!I13437-tax_f*(Sens!I13437-Thesis!I89)-Thesis!I86</f>
        <v>-16.3733151827256</v>
      </c>
      <c r="J13443" s="6" t="n">
        <f aca="false">Sens!J13437-tax_f*(Sens!J13437-Thesis!J89)-Thesis!J86</f>
        <v>44.4328025322546</v>
      </c>
      <c r="K13443" s="6" t="n">
        <f aca="false">Sens!K13437-tax_f*(Sens!K13437-Thesis!K89)-Thesis!K86</f>
        <v>65.8225043021697</v>
      </c>
    </row>
    <row r="13444" customFormat="false" ht="17.15" hidden="false" customHeight="false" outlineLevel="0" collapsed="false">
      <c r="A13444" s="0" t="s">
        <v>1084</v>
      </c>
      <c r="B13444" s="0" t="s">
        <v>98</v>
      </c>
      <c r="G13444" s="6" t="n">
        <f aca="false">Sens!G13443/(1+wacc)^(Sens!G13416-(Sens!F13416+mid_yr))</f>
        <v>-102.824401157048</v>
      </c>
      <c r="H13444" s="6" t="n">
        <f aca="false">Sens!H13443/(1+wacc)^(Sens!H13416-(Sens!F13416+mid_yr))</f>
        <v>-64.5420496499019</v>
      </c>
      <c r="I13444" s="6" t="n">
        <f aca="false">Sens!I13443/(1+wacc)^(Sens!I13416-(Sens!F13416+mid_yr))</f>
        <v>-12.8162920786843</v>
      </c>
      <c r="J13444" s="6" t="n">
        <f aca="false">Sens!J13443/(1+wacc)^(Sens!J13416-(Sens!F13416+mid_yr))</f>
        <v>31.5340528088578</v>
      </c>
      <c r="K13444" s="6" t="n">
        <f aca="false">Sens!K13443/(1+wacc)^(Sens!K13416-(Sens!F13416+mid_yr))</f>
        <v>42.3546205488157</v>
      </c>
      <c r="L13444" s="1" t="s">
        <v>1085</v>
      </c>
    </row>
    <row r="13445" customFormat="false" ht="17.15" hidden="false" customHeight="false" outlineLevel="0" collapsed="false">
      <c r="A13445" s="0" t="s">
        <v>1086</v>
      </c>
      <c r="B13445" s="0" t="s">
        <v>98</v>
      </c>
      <c r="C13445" s="6" t="n">
        <f aca="false">(Sens!K13437-Thesis!K89)*(1-tax_f)*(1+g_tv)*(1-g_tv/(wacc+ronic_prem))/(wacc-g_tv)/(1+wacc)^(Sens!K13416+mid_yr-(Sens!F13416+mid_yr))</f>
        <v>294.889481980532</v>
      </c>
    </row>
    <row r="13446" customFormat="false" ht="17.15" hidden="false" customHeight="false" outlineLevel="0" collapsed="false">
      <c r="A13446" s="1" t="s">
        <v>1087</v>
      </c>
      <c r="B13446" s="0" t="s">
        <v>98</v>
      </c>
      <c r="C13446" s="6" t="n">
        <f aca="false">(SUM(Sens!G13444:K13444)+Sens!$C$13445)*(1+wacc)^(t_roll-(Sens!F13416+mid_yr))</f>
        <v>194.716829358755</v>
      </c>
      <c r="L13446" s="11" t="s">
        <v>1088</v>
      </c>
    </row>
    <row r="13447" customFormat="false" ht="17.15" hidden="false" customHeight="false" outlineLevel="0" collapsed="false">
      <c r="A13447" s="1" t="s">
        <v>1089</v>
      </c>
      <c r="B13447" s="0" t="s">
        <v>98</v>
      </c>
      <c r="C13447" s="6" t="n">
        <f aca="false">(w_ntm28*Thesis!G78+(1-w_ntm28)*Thesis!H78)*m_ai*1.2</f>
        <v>545.906928996956</v>
      </c>
    </row>
    <row r="13448" customFormat="false" ht="17.15" hidden="false" customHeight="false" outlineLevel="0" collapsed="false">
      <c r="A13448" s="1" t="s">
        <v>1090</v>
      </c>
      <c r="B13448" s="0" t="s">
        <v>98</v>
      </c>
      <c r="C13448" s="6" t="n">
        <f aca="false">(w_ntm28*Sens!G13439+(1-w_ntm28)*Sens!H13439)*m_cloud*1.2</f>
        <v>1276.37562012372</v>
      </c>
    </row>
    <row r="13449" customFormat="false" ht="17.15" hidden="false" customHeight="false" outlineLevel="0" collapsed="false">
      <c r="A13449" s="1" t="s">
        <v>1091</v>
      </c>
      <c r="B13449" s="0" t="s">
        <v>98</v>
      </c>
      <c r="C13449" s="6" t="n">
        <f aca="false">(w_ntm28*Sens!G13432+(1-w_ntm28)*Sens!H13432)*m_sw*1.2</f>
        <v>1304.75083727656</v>
      </c>
    </row>
    <row r="13450" customFormat="false" ht="17.15" hidden="false" customHeight="false" outlineLevel="0" collapsed="false">
      <c r="A13450" s="1" t="s">
        <v>1092</v>
      </c>
      <c r="B13450" s="0" t="s">
        <v>98</v>
      </c>
      <c r="C13450" s="6" t="n">
        <f aca="false">(w_ntm28*Sens!G13433+(1-w_ntm28)*Sens!H13433)*m_sw*1.2</f>
        <v>456.304159451319</v>
      </c>
    </row>
    <row r="13451" customFormat="false" ht="17.15" hidden="false" customHeight="false" outlineLevel="0" collapsed="false">
      <c r="A13451" s="1" t="s">
        <v>1093</v>
      </c>
      <c r="B13451" s="0" t="s">
        <v>98</v>
      </c>
      <c r="C13451" s="6" t="n">
        <f aca="false">(w_ntm28*Sens!G13434+(1-w_ntm28)*Sens!H13434)*m_sw*1.2</f>
        <v>131.684111330357</v>
      </c>
    </row>
    <row r="13452" customFormat="false" ht="17.15" hidden="false" customHeight="false" outlineLevel="0" collapsed="false">
      <c r="A13452" s="1" t="s">
        <v>1094</v>
      </c>
      <c r="B13452" s="0" t="s">
        <v>98</v>
      </c>
      <c r="C13452" s="6" t="n">
        <f aca="false">(w_ntm28*Sens!G13435+(1-w_ntm28)*Sens!H13435)*m_sw*1.2</f>
        <v>50.239924417941</v>
      </c>
    </row>
    <row r="13453" customFormat="false" ht="17.15" hidden="false" customHeight="false" outlineLevel="0" collapsed="false">
      <c r="A13453" s="1" t="s">
        <v>1095</v>
      </c>
      <c r="B13453" s="0" t="s">
        <v>98</v>
      </c>
      <c r="C13453" s="6" t="n">
        <f aca="false">(w_ntm28*Sens!G13436+(1-w_ntm28)*Sens!H13436)*m_ads*1.2</f>
        <v>138.813091637156</v>
      </c>
    </row>
    <row r="13454" customFormat="false" ht="17.15" hidden="false" customHeight="false" outlineLevel="0" collapsed="false">
      <c r="A13454" s="1" t="s">
        <v>1096</v>
      </c>
      <c r="B13454" s="0" t="s">
        <v>98</v>
      </c>
      <c r="C13454" s="6" t="n">
        <f aca="false">(w_ntm28*Sens!G13441+(1-w_ntm28)*Sens!H13441)*m_game*1.2</f>
        <v>117.87699377041</v>
      </c>
    </row>
    <row r="13455" customFormat="false" ht="17.15" hidden="false" customHeight="false" outlineLevel="0" collapsed="false">
      <c r="A13455" s="1" t="s">
        <v>1097</v>
      </c>
      <c r="B13455" s="0" t="s">
        <v>98</v>
      </c>
      <c r="C13455" s="6" t="n">
        <f aca="false">(w_ntm28*Sens!G13442+(1-w_ntm28)*Sens!H13442)*m_pc*1.2</f>
        <v>116.865258792866</v>
      </c>
    </row>
    <row r="13456" customFormat="false" ht="17.15" hidden="false" customHeight="false" outlineLevel="0" collapsed="false">
      <c r="A13456" s="1" t="s">
        <v>1098</v>
      </c>
      <c r="B13456" s="0" t="s">
        <v>98</v>
      </c>
      <c r="C13456" s="6" t="n">
        <f aca="false">Sens!$C$13446+Sens!$C$13448+Sens!$C$13449+Sens!$C$13450+Sens!$C$13451+Sens!$C$13452+Sens!$C$13453+Sens!$C$13454+Sens!$C$13455</f>
        <v>3787.62682615908</v>
      </c>
    </row>
    <row r="13457" customFormat="false" ht="17.15" hidden="false" customHeight="false" outlineLevel="0" collapsed="false">
      <c r="A13457" s="1" t="s">
        <v>1099</v>
      </c>
      <c r="B13457" s="0" t="s">
        <v>98</v>
      </c>
      <c r="C13457" s="6" t="n">
        <f aca="false">(Sens!G13418-Sens!G13443)*t_stub</f>
        <v>47.417684594531</v>
      </c>
      <c r="L13457" s="1" t="s">
        <v>1100</v>
      </c>
    </row>
    <row r="13458" customFormat="false" ht="17.15" hidden="false" customHeight="false" outlineLevel="0" collapsed="false">
      <c r="A13458" s="1" t="s">
        <v>1014</v>
      </c>
      <c r="B13458" s="0" t="s">
        <v>98</v>
      </c>
      <c r="C13458" s="6" t="n">
        <f aca="false">CF!F69+oai_v-CF!F58+Sens!$C$13457</f>
        <v>158.699306060314</v>
      </c>
      <c r="L13458" s="1" t="s">
        <v>1101</v>
      </c>
    </row>
    <row r="13459" customFormat="false" ht="17.15" hidden="false" customHeight="false" outlineLevel="0" collapsed="false">
      <c r="A13459" s="1" t="s">
        <v>1102</v>
      </c>
      <c r="B13459" s="0" t="s">
        <v>75</v>
      </c>
      <c r="C13459" s="5" t="n">
        <f aca="false">(Sens!$C$13456+Sens!$C$13458)/(CF!F71+dil_gap)-CF!G61*roll_div_q/q_per_yr</f>
        <v>525.41809501326</v>
      </c>
      <c r="L13459" s="1" t="s">
        <v>1103</v>
      </c>
    </row>
    <row r="13460" customFormat="false" ht="17.15" hidden="false" customHeight="false" outlineLevel="0" collapsed="false">
      <c r="A13460" s="1" t="s">
        <v>1104</v>
      </c>
      <c r="B13460" s="0" t="s">
        <v>75</v>
      </c>
      <c r="C13460" s="5" t="n">
        <f aca="false">w_dcf*Sens!$C$13430+(1-w_dcf)*Sens!$C$13459</f>
        <v>427.45179228789</v>
      </c>
    </row>
    <row r="13461" customFormat="false" ht="17.15" hidden="false" customHeight="false" outlineLevel="0" collapsed="false">
      <c r="A13461" s="3" t="s">
        <v>1603</v>
      </c>
    </row>
    <row r="13462" customFormat="false" ht="15" hidden="false" customHeight="false" outlineLevel="0" collapsed="false">
      <c r="A13462" s="4" t="s">
        <v>43</v>
      </c>
      <c r="B13462" s="4" t="s">
        <v>65</v>
      </c>
      <c r="C13462" s="20" t="s">
        <v>799</v>
      </c>
      <c r="D13462" s="20" t="s">
        <v>800</v>
      </c>
      <c r="E13462" s="20" t="s">
        <v>801</v>
      </c>
      <c r="F13462" s="20" t="s">
        <v>802</v>
      </c>
      <c r="G13462" s="20" t="s">
        <v>803</v>
      </c>
      <c r="H13462" s="20" t="s">
        <v>804</v>
      </c>
      <c r="I13462" s="20" t="s">
        <v>805</v>
      </c>
      <c r="J13462" s="20" t="s">
        <v>806</v>
      </c>
      <c r="K13462" s="20" t="s">
        <v>807</v>
      </c>
      <c r="L13462" s="4" t="s">
        <v>47</v>
      </c>
    </row>
    <row r="13463" customFormat="false" ht="15" hidden="false" customHeight="false" outlineLevel="0" collapsed="false">
      <c r="A13463" s="1" t="s">
        <v>1057</v>
      </c>
      <c r="B13463" s="1" t="s">
        <v>235</v>
      </c>
      <c r="F13463" s="36" t="n">
        <f aca="false">Thesis!F104-base_fy-mid_yr</f>
        <v>0.5</v>
      </c>
      <c r="G13463" s="36" t="n">
        <f aca="false">Thesis!G104-base_fy-mid_yr</f>
        <v>1.5</v>
      </c>
      <c r="H13463" s="36" t="n">
        <f aca="false">Thesis!H104-base_fy-mid_yr</f>
        <v>2.5</v>
      </c>
      <c r="I13463" s="36" t="n">
        <f aca="false">Thesis!I104-base_fy-mid_yr</f>
        <v>3.5</v>
      </c>
      <c r="J13463" s="36" t="n">
        <f aca="false">Thesis!J104-base_fy-mid_yr</f>
        <v>4.5</v>
      </c>
      <c r="K13463" s="36" t="n">
        <f aca="false">Thesis!K104-base_fy-mid_yr</f>
        <v>5.5</v>
      </c>
    </row>
    <row r="13464" customFormat="false" ht="15" hidden="false" customHeight="false" outlineLevel="0" collapsed="false">
      <c r="A13464" s="1" t="s">
        <v>1058</v>
      </c>
      <c r="B13464" s="0" t="s">
        <v>185</v>
      </c>
      <c r="F13464" s="14" t="n">
        <f aca="false">1/(1+wacc)^Sens!F13463</f>
        <v>0.952193373608246</v>
      </c>
      <c r="G13464" s="14" t="n">
        <f aca="false">1/(1+wacc)^Sens!G13463</f>
        <v>0.863327280626589</v>
      </c>
      <c r="H13464" s="14" t="n">
        <f aca="false">1/(1+wacc)^Sens!H13463</f>
        <v>0.782754862754115</v>
      </c>
      <c r="I13464" s="14" t="n">
        <f aca="false">1/(1+wacc)^Sens!I13463</f>
        <v>0.709702089711011</v>
      </c>
      <c r="J13464" s="14" t="n">
        <f aca="false">1/(1+wacc)^Sens!J13463</f>
        <v>0.643467169744551</v>
      </c>
      <c r="K13464" s="14" t="n">
        <f aca="false">1/(1+wacc)^Sens!K13463</f>
        <v>0.583413807767797</v>
      </c>
    </row>
    <row r="13465" customFormat="false" ht="17.15" hidden="false" customHeight="false" outlineLevel="0" collapsed="false">
      <c r="A13465" s="1" t="s">
        <v>1059</v>
      </c>
      <c r="B13465" s="0" t="s">
        <v>98</v>
      </c>
      <c r="F13465" s="6" t="n">
        <f aca="false">CF!F84-CF!F82-CF!F88+Thesis!F142*(1-tax_f)</f>
        <v>-5.66283879850096</v>
      </c>
      <c r="G13465" s="6" t="n">
        <f aca="false">CF!G84-CF!G82-CF!G88+Thesis!G142*(1-tax_f)</f>
        <v>26.4063013109088</v>
      </c>
      <c r="H13465" s="6" t="n">
        <f aca="false">CF!H84-CF!H82-CF!H88+Thesis!H142*(1-tax_f)</f>
        <v>62.5616635009479</v>
      </c>
      <c r="I13465" s="6" t="n">
        <f aca="false">CF!I84-CF!I82-CF!I88+Thesis!I142*(1-tax_f)</f>
        <v>129.900993846266</v>
      </c>
      <c r="J13465" s="6" t="n">
        <f aca="false">CF!J84-CF!J82-CF!J88+Thesis!J142*(1-tax_f)</f>
        <v>200.497803796175</v>
      </c>
      <c r="K13465" s="6" t="n">
        <f aca="false">CF!K84-CF!K82-CF!K88+Thesis!K142*(1-tax_f)</f>
        <v>232.344395761849</v>
      </c>
      <c r="L13465" s="1" t="s">
        <v>1060</v>
      </c>
    </row>
    <row r="13466" customFormat="false" ht="15" hidden="false" customHeight="false" outlineLevel="0" collapsed="false">
      <c r="A13466" s="1" t="s">
        <v>1061</v>
      </c>
      <c r="B13466" s="0" t="s">
        <v>98</v>
      </c>
      <c r="F13466" s="6" t="n">
        <f aca="false">Sens!F13465*Sens!F13464</f>
        <v>-5.3921175797443</v>
      </c>
      <c r="G13466" s="6" t="n">
        <f aca="false">Sens!G13465*Sens!G13464</f>
        <v>22.7972803021532</v>
      </c>
      <c r="H13466" s="6" t="n">
        <f aca="false">Sens!H13465*Sens!H13464</f>
        <v>48.9704463273536</v>
      </c>
      <c r="I13466" s="6" t="n">
        <f aca="false">Sens!I13465*Sens!I13464</f>
        <v>92.1910067882323</v>
      </c>
      <c r="J13466" s="6" t="n">
        <f aca="false">Sens!J13465*Sens!J13464</f>
        <v>129.013754348723</v>
      </c>
      <c r="K13466" s="6" t="n">
        <f aca="false">Sens!K13465*Sens!K13464</f>
        <v>135.552928644928</v>
      </c>
    </row>
    <row r="13467" customFormat="false" ht="17.15" hidden="false" customHeight="false" outlineLevel="0" collapsed="false">
      <c r="A13467" s="1" t="s">
        <v>1062</v>
      </c>
      <c r="B13467" s="0" t="s">
        <v>98</v>
      </c>
      <c r="C13467" s="6" t="n">
        <f aca="false">SUM(Sens!F13466:K13466)</f>
        <v>423.133298831646</v>
      </c>
    </row>
    <row r="13468" customFormat="false" ht="17.15" hidden="false" customHeight="false" outlineLevel="0" collapsed="false">
      <c r="A13468" s="1" t="s">
        <v>1063</v>
      </c>
      <c r="B13468" s="0" t="s">
        <v>98</v>
      </c>
      <c r="C13468" s="6" t="n">
        <f aca="false">PL!K117*(1+g_tv)*(1-tax_f)</f>
        <v>246.58988426946</v>
      </c>
    </row>
    <row r="13469" customFormat="false" ht="17.15" hidden="false" customHeight="false" outlineLevel="0" collapsed="false">
      <c r="A13469" s="1" t="s">
        <v>1064</v>
      </c>
      <c r="B13469" s="0" t="s">
        <v>98</v>
      </c>
      <c r="C13469" s="6" t="n">
        <f aca="false">Sens!$C$13468*(1-g_tv/(wacc+ronic_prem))</f>
        <v>174.721829624483</v>
      </c>
    </row>
    <row r="13470" customFormat="false" ht="17.15" hidden="false" customHeight="false" outlineLevel="0" collapsed="false">
      <c r="A13470" s="1" t="s">
        <v>1065</v>
      </c>
      <c r="B13470" s="0" t="s">
        <v>98</v>
      </c>
      <c r="C13470" s="6" t="n">
        <f aca="false">Sens!$C$13469/(wacc-g_tv)</f>
        <v>2395.60182149923</v>
      </c>
    </row>
    <row r="13471" customFormat="false" ht="15" hidden="false" customHeight="false" outlineLevel="0" collapsed="false">
      <c r="A13471" s="1" t="s">
        <v>1066</v>
      </c>
      <c r="B13471" s="0" t="s">
        <v>98</v>
      </c>
      <c r="C13471" s="6" t="n">
        <f aca="false">Sens!$C$13470/(1+wacc)^(Sens!K13463+mid_yr)</f>
        <v>1330.81134011956</v>
      </c>
    </row>
    <row r="13472" customFormat="false" ht="17.15" hidden="false" customHeight="false" outlineLevel="0" collapsed="false">
      <c r="A13472" s="0" t="s">
        <v>986</v>
      </c>
      <c r="B13472" s="0" t="s">
        <v>98</v>
      </c>
      <c r="C13472" s="6" t="n">
        <f aca="false">Sens!$C$13467+Sens!$C$13471</f>
        <v>1753.94463895121</v>
      </c>
    </row>
    <row r="13473" customFormat="false" ht="15" hidden="false" customHeight="false" outlineLevel="0" collapsed="false">
      <c r="A13473" s="1" t="s">
        <v>987</v>
      </c>
      <c r="B13473" s="0" t="s">
        <v>129</v>
      </c>
      <c r="C13473" s="7" t="n">
        <f aca="false">Sens!$C$13471/Sens!$C$13472</f>
        <v>0.758753332668092</v>
      </c>
    </row>
    <row r="13474" customFormat="false" ht="17.15" hidden="false" customHeight="false" outlineLevel="0" collapsed="false">
      <c r="A13474" s="1" t="s">
        <v>1067</v>
      </c>
      <c r="B13474" s="0" t="s">
        <v>98</v>
      </c>
      <c r="C13474" s="6" t="n">
        <f aca="false">Sens!$C$13472+CF!E100-CF!E89+oai_v</f>
        <v>1888.45763895121</v>
      </c>
    </row>
    <row r="13475" customFormat="false" ht="17.15" hidden="false" customHeight="false" outlineLevel="0" collapsed="false">
      <c r="A13475" s="0" t="s">
        <v>994</v>
      </c>
      <c r="B13475" s="0" t="s">
        <v>75</v>
      </c>
      <c r="C13475" s="5" t="n">
        <f aca="false">Sens!$C$13474/sh_dil26</f>
        <v>253.382213732887</v>
      </c>
    </row>
    <row r="13476" customFormat="false" ht="15" hidden="false" customHeight="false" outlineLevel="0" collapsed="false">
      <c r="A13476" s="1" t="s">
        <v>1068</v>
      </c>
      <c r="B13476" s="0" t="s">
        <v>75</v>
      </c>
      <c r="C13476" s="8" t="n">
        <f aca="false">dps_27+CF!G92*roll_div_q/q_per_yr</f>
        <v>4.8895</v>
      </c>
    </row>
    <row r="13477" customFormat="false" ht="17.15" hidden="false" customHeight="false" outlineLevel="0" collapsed="false">
      <c r="A13477" s="0" t="s">
        <v>1069</v>
      </c>
      <c r="B13477" s="0" t="s">
        <v>75</v>
      </c>
      <c r="C13477" s="5" t="n">
        <f aca="false">Sens!$C$13475*(1+wacc)^t_roll-Sens!$C$13476</f>
        <v>283.645287089587</v>
      </c>
    </row>
    <row r="13478" customFormat="false" ht="17.15" hidden="false" customHeight="false" outlineLevel="0" collapsed="false">
      <c r="A13478" s="1" t="s">
        <v>1070</v>
      </c>
      <c r="B13478" s="0" t="s">
        <v>129</v>
      </c>
      <c r="F13478" s="7" t="n">
        <f aca="false">CF!F79/(Seg!F83-Thesis!F121)</f>
        <v>0.0711475516535717</v>
      </c>
      <c r="G13478" s="7" t="n">
        <f aca="false">CF!G79/(Seg!G83-Thesis!G121)</f>
        <v>0.0682588862083999</v>
      </c>
      <c r="H13478" s="7" t="n">
        <f aca="false">CF!H79/(Seg!H83-Thesis!H121)</f>
        <v>0.0666622170094897</v>
      </c>
      <c r="I13478" s="7" t="n">
        <f aca="false">CF!I79/(Seg!I83-Thesis!I121)</f>
        <v>0.0661991449367101</v>
      </c>
      <c r="J13478" s="7" t="n">
        <f aca="false">CF!J79/(Seg!J83-Thesis!J121)</f>
        <v>0.0666400583966394</v>
      </c>
      <c r="K13478" s="7" t="n">
        <f aca="false">CF!K79/(Seg!K83-Thesis!K121)</f>
        <v>0.0677351822588561</v>
      </c>
    </row>
    <row r="13479" customFormat="false" ht="17.15" hidden="false" customHeight="false" outlineLevel="0" collapsed="false">
      <c r="A13479" s="0" t="s">
        <v>1071</v>
      </c>
      <c r="B13479" s="0" t="s">
        <v>98</v>
      </c>
      <c r="F13479" s="6" t="n">
        <f aca="false">Seg!F68*(al_m365+Sens!F13478+sbc_r)</f>
        <v>83.1760446796226</v>
      </c>
      <c r="G13479" s="6" t="n">
        <f aca="false">Seg!G68*(al_m365+Sens!G13478+sbc_r)</f>
        <v>93.5286621744803</v>
      </c>
      <c r="H13479" s="6" t="n">
        <f aca="false">Seg!H68*(al_m365+Sens!H13478+sbc_r)</f>
        <v>104.041881899886</v>
      </c>
      <c r="I13479" s="6" t="n">
        <f aca="false">Seg!I68*(al_m365+Sens!I13478+sbc_r)</f>
        <v>114.039361049722</v>
      </c>
      <c r="J13479" s="6" t="n">
        <f aca="false">Seg!J68*(al_m365+Sens!J13478+sbc_r)</f>
        <v>123.332589690985</v>
      </c>
      <c r="K13479" s="6" t="n">
        <f aca="false">Seg!K68*(al_m365+Sens!K13478+sbc_r)</f>
        <v>132.229319216379</v>
      </c>
      <c r="L13479" s="11" t="s">
        <v>1072</v>
      </c>
    </row>
    <row r="13480" customFormat="false" ht="17.15" hidden="false" customHeight="false" outlineLevel="0" collapsed="false">
      <c r="A13480" s="0" t="s">
        <v>1073</v>
      </c>
      <c r="B13480" s="0" t="s">
        <v>98</v>
      </c>
      <c r="F13480" s="6" t="n">
        <f aca="false">Seg!F69*(al_lic+Sens!F13478+sbc_r)</f>
        <v>33.5445611735131</v>
      </c>
      <c r="G13480" s="6" t="n">
        <f aca="false">Seg!G69*(al_lic+Sens!G13478+sbc_r)</f>
        <v>34.8473362891936</v>
      </c>
      <c r="H13480" s="6" t="n">
        <f aca="false">Seg!H69*(al_lic+Sens!H13478+sbc_r)</f>
        <v>36.0608450618725</v>
      </c>
      <c r="I13480" s="6" t="n">
        <f aca="false">Seg!I69*(al_lic+Sens!I13478+sbc_r)</f>
        <v>37.1647768367666</v>
      </c>
      <c r="J13480" s="6" t="n">
        <f aca="false">Seg!J69*(al_lic+Sens!J13478+sbc_r)</f>
        <v>38.1353659513221</v>
      </c>
      <c r="K13480" s="6" t="n">
        <f aca="false">Seg!K69*(al_lic+Sens!K13478+sbc_r)</f>
        <v>38.9479527536449</v>
      </c>
    </row>
    <row r="13481" customFormat="false" ht="17.15" hidden="false" customHeight="false" outlineLevel="0" collapsed="false">
      <c r="A13481" s="0" t="s">
        <v>1074</v>
      </c>
      <c r="B13481" s="0" t="s">
        <v>98</v>
      </c>
      <c r="F13481" s="6" t="n">
        <f aca="false">Seg!F71*(al_ind+Sens!F13478+sbc_r)</f>
        <v>9.13359830063899</v>
      </c>
      <c r="G13481" s="6" t="n">
        <f aca="false">Seg!G71*(al_ind+Sens!G13478+sbc_r)</f>
        <v>9.91355811855172</v>
      </c>
      <c r="H13481" s="6" t="n">
        <f aca="false">Seg!H71*(al_ind+Sens!H13478+sbc_r)</f>
        <v>10.737007894057</v>
      </c>
      <c r="I13481" s="6" t="n">
        <f aca="false">Seg!I71*(al_ind+Sens!I13478+sbc_r)</f>
        <v>11.5994300763088</v>
      </c>
      <c r="J13481" s="6" t="n">
        <f aca="false">Seg!J71*(al_ind+Sens!J13478+sbc_r)</f>
        <v>12.4920789859702</v>
      </c>
      <c r="K13481" s="6" t="n">
        <f aca="false">Seg!K71*(al_ind+Sens!K13478+sbc_r)</f>
        <v>13.4027551573777</v>
      </c>
    </row>
    <row r="13482" customFormat="false" ht="17.15" hidden="false" customHeight="false" outlineLevel="0" collapsed="false">
      <c r="A13482" s="0" t="s">
        <v>1075</v>
      </c>
      <c r="B13482" s="0" t="s">
        <v>98</v>
      </c>
      <c r="F13482" s="6" t="n">
        <f aca="false">Seg!F73*(al_fro+Sens!F13478+sbc_r)</f>
        <v>3.59501635737694</v>
      </c>
      <c r="G13482" s="6" t="n">
        <f aca="false">Seg!G73*(al_fro+Sens!G13478+sbc_r)</f>
        <v>3.80622021137838</v>
      </c>
      <c r="H13482" s="6" t="n">
        <f aca="false">Seg!H73*(al_fro+Sens!H13478+sbc_r)</f>
        <v>4.04607207599632</v>
      </c>
      <c r="I13482" s="6" t="n">
        <f aca="false">Seg!I73*(al_fro+Sens!I13478+sbc_r)</f>
        <v>4.31683578333903</v>
      </c>
      <c r="J13482" s="6" t="n">
        <f aca="false">Seg!J73*(al_fro+Sens!J13478+sbc_r)</f>
        <v>4.62005087871645</v>
      </c>
      <c r="K13482" s="6" t="n">
        <f aca="false">Seg!K73*(al_fro+Sens!K13478+sbc_r)</f>
        <v>4.95685392412327</v>
      </c>
    </row>
    <row r="13483" customFormat="false" ht="17.15" hidden="false" customHeight="false" outlineLevel="0" collapsed="false">
      <c r="A13483" s="0" t="s">
        <v>1076</v>
      </c>
      <c r="B13483" s="0" t="s">
        <v>98</v>
      </c>
      <c r="F13483" s="6" t="n">
        <f aca="false">Seg!F76*(al_srch+Sens!F13478+sbc_r)</f>
        <v>11.2801258639919</v>
      </c>
      <c r="G13483" s="6" t="n">
        <f aca="false">Seg!G76*(al_srch+Sens!G13478+sbc_r)</f>
        <v>12.3589086285988</v>
      </c>
      <c r="H13483" s="6" t="n">
        <f aca="false">Seg!H76*(al_srch+Sens!H13478+sbc_r)</f>
        <v>13.4807030139583</v>
      </c>
      <c r="I13483" s="6" t="n">
        <f aca="false">Seg!I76*(al_srch+Sens!I13478+sbc_r)</f>
        <v>14.6329459978989</v>
      </c>
      <c r="J13483" s="6" t="n">
        <f aca="false">Seg!J76*(al_srch+Sens!J13478+sbc_r)</f>
        <v>15.7968154400613</v>
      </c>
      <c r="K13483" s="6" t="n">
        <f aca="false">Seg!K76*(al_srch+Sens!K13478+sbc_r)</f>
        <v>16.9484078548661</v>
      </c>
    </row>
    <row r="13484" customFormat="false" ht="17.15" hidden="false" customHeight="false" outlineLevel="0" collapsed="false">
      <c r="A13484" s="0" t="s">
        <v>1077</v>
      </c>
      <c r="B13484" s="0" t="s">
        <v>98</v>
      </c>
      <c r="F13484" s="6" t="n">
        <f aca="false">Thesis!F127-Thesis!F128+Thesis!F142</f>
        <v>38.6797715123049</v>
      </c>
      <c r="G13484" s="6" t="n">
        <f aca="false">Thesis!G127-Thesis!G128+Thesis!G142</f>
        <v>67.9698044367775</v>
      </c>
      <c r="H13484" s="6" t="n">
        <f aca="false">Thesis!H127-Thesis!H128+Thesis!H142</f>
        <v>94.4027386785771</v>
      </c>
      <c r="I13484" s="6" t="n">
        <f aca="false">Thesis!I127-Thesis!I128+Thesis!I142</f>
        <v>124.629799296032</v>
      </c>
      <c r="J13484" s="6" t="n">
        <f aca="false">Thesis!J127-Thesis!J128+Thesis!J142</f>
        <v>146.1886418102</v>
      </c>
      <c r="K13484" s="6" t="n">
        <f aca="false">Thesis!K127-Thesis!K128+Thesis!K142</f>
        <v>160.310017660072</v>
      </c>
    </row>
    <row r="13485" customFormat="false" ht="17.15" hidden="false" customHeight="false" outlineLevel="0" collapsed="false">
      <c r="A13485" s="0" t="s">
        <v>1078</v>
      </c>
      <c r="B13485" s="0" t="s">
        <v>98</v>
      </c>
      <c r="F13485" s="6" t="n">
        <f aca="false">PL!F110+Thesis!F142+Thesis!F138+Sens!F13478*(Seg!F75-Thesis!F121)+sbc_r*Seg!F75</f>
        <v>228.424576651163</v>
      </c>
      <c r="G13485" s="6" t="n">
        <f aca="false">PL!G110+Thesis!G142+Thesis!G138+Sens!G13478*(Seg!G75-Thesis!G121)+sbc_r*Seg!G75</f>
        <v>282.553934266667</v>
      </c>
      <c r="H13485" s="6" t="n">
        <f aca="false">PL!H110+Thesis!H142+Thesis!H138+Sens!H13478*(Seg!H75-Thesis!H121)+sbc_r*Seg!H75</f>
        <v>334.098428585803</v>
      </c>
      <c r="I13485" s="6" t="n">
        <f aca="false">PL!I110+Thesis!I142+Thesis!I138+Sens!I13478*(Seg!I75-Thesis!I121)+sbc_r*Seg!I75</f>
        <v>388.820980572235</v>
      </c>
      <c r="J13485" s="6" t="n">
        <f aca="false">PL!J110+Thesis!J142+Thesis!J138+Sens!J13478*(Seg!J75-Thesis!J121)+sbc_r*Seg!J75</f>
        <v>432.983845251655</v>
      </c>
      <c r="K13485" s="6" t="n">
        <f aca="false">PL!K110+Thesis!K142+Thesis!K138+Sens!K13478*(Seg!K75-Thesis!K121)+sbc_r*Seg!K75</f>
        <v>467.422879139155</v>
      </c>
    </row>
    <row r="13486" customFormat="false" ht="17.15" hidden="false" customHeight="false" outlineLevel="0" collapsed="false">
      <c r="A13486" s="0" t="s">
        <v>1079</v>
      </c>
      <c r="B13486" s="0" t="s">
        <v>98</v>
      </c>
      <c r="F13486" s="6" t="n">
        <f aca="false">Sens!F13485-Sens!F13479-Sens!F13480-Sens!F13481-Sens!F13482-Sens!F13484</f>
        <v>60.2955846277069</v>
      </c>
      <c r="G13486" s="6" t="n">
        <f aca="false">Sens!G13485-Sens!G13479-Sens!G13480-Sens!G13481-Sens!G13482-Sens!G13484</f>
        <v>72.4883530362854</v>
      </c>
      <c r="H13486" s="6" t="n">
        <f aca="false">Sens!H13485-Sens!H13479-Sens!H13480-Sens!H13481-Sens!H13482-Sens!H13484</f>
        <v>84.8098829754144</v>
      </c>
      <c r="I13486" s="6" t="n">
        <f aca="false">Sens!I13485-Sens!I13479-Sens!I13480-Sens!I13481-Sens!I13482-Sens!I13484</f>
        <v>97.0707775300671</v>
      </c>
      <c r="J13486" s="6" t="n">
        <f aca="false">Sens!J13485-Sens!J13479-Sens!J13480-Sens!J13481-Sens!J13482-Sens!J13484</f>
        <v>108.215117934462</v>
      </c>
      <c r="K13486" s="6" t="n">
        <f aca="false">Sens!K13485-Sens!K13479-Sens!K13480-Sens!K13481-Sens!K13482-Sens!K13484</f>
        <v>117.575980427559</v>
      </c>
    </row>
    <row r="13487" customFormat="false" ht="17.15" hidden="false" customHeight="false" outlineLevel="0" collapsed="false">
      <c r="A13487" s="0" t="s">
        <v>1080</v>
      </c>
      <c r="B13487" s="0" t="s">
        <v>98</v>
      </c>
      <c r="F13487" s="6" t="n">
        <f aca="false">PL!F112+Sens!F13478*Seg!F82+sbc_r*Seg!F82</f>
        <v>26.3652761595447</v>
      </c>
      <c r="G13487" s="6" t="n">
        <f aca="false">PL!G112+Sens!G13478*Seg!G82+sbc_r*Seg!G82</f>
        <v>26.9742866145486</v>
      </c>
      <c r="H13487" s="6" t="n">
        <f aca="false">PL!H112+Sens!H13478*Seg!H82+sbc_r*Seg!H82</f>
        <v>27.8483067679033</v>
      </c>
      <c r="I13487" s="6" t="n">
        <f aca="false">PL!I112+Sens!I13478*Seg!I82+sbc_r*Seg!I82</f>
        <v>28.9540944937551</v>
      </c>
      <c r="J13487" s="6" t="n">
        <f aca="false">PL!J112+Sens!J13478*Seg!J82+sbc_r*Seg!J82</f>
        <v>30.2591967501426</v>
      </c>
      <c r="K13487" s="6" t="n">
        <f aca="false">PL!K112+Sens!K13478*Seg!K82+sbc_r*Seg!K82</f>
        <v>31.7334012124467</v>
      </c>
    </row>
    <row r="13488" customFormat="false" ht="17.15" hidden="false" customHeight="false" outlineLevel="0" collapsed="false">
      <c r="A13488" s="0" t="s">
        <v>1081</v>
      </c>
      <c r="B13488" s="0" t="s">
        <v>98</v>
      </c>
      <c r="F13488" s="6" t="n">
        <f aca="false">(Sens!F13487-Sens!F13483)*Seg!F78/(Seg!F78+Seg!F80)</f>
        <v>8.26953246478712</v>
      </c>
      <c r="G13488" s="6" t="n">
        <f aca="false">(Sens!G13487-Sens!G13483)*Seg!G78/(Seg!G78+Seg!G80)</f>
        <v>7.8691542635731</v>
      </c>
      <c r="H13488" s="6" t="n">
        <f aca="false">(Sens!H13487-Sens!H13483)*Seg!H78/(Seg!H78+Seg!H80)</f>
        <v>7.63125160105973</v>
      </c>
      <c r="I13488" s="6" t="n">
        <f aca="false">(Sens!I13487-Sens!I13483)*Seg!I78/(Seg!I78+Seg!I80)</f>
        <v>7.53775281020212</v>
      </c>
      <c r="J13488" s="6" t="n">
        <f aca="false">(Sens!J13487-Sens!J13483)*Seg!J78/(Seg!J78+Seg!J80)</f>
        <v>7.57766730524412</v>
      </c>
      <c r="K13488" s="6" t="n">
        <f aca="false">(Sens!K13487-Sens!K13483)*Seg!K78/(Seg!K78+Seg!K80)</f>
        <v>7.74670217662515</v>
      </c>
    </row>
    <row r="13489" customFormat="false" ht="17.15" hidden="false" customHeight="false" outlineLevel="0" collapsed="false">
      <c r="A13489" s="0" t="s">
        <v>1082</v>
      </c>
      <c r="B13489" s="0" t="s">
        <v>98</v>
      </c>
      <c r="F13489" s="6" t="n">
        <f aca="false">Sens!F13487-Sens!F13483-Sens!F13488</f>
        <v>6.81561783076564</v>
      </c>
      <c r="G13489" s="6" t="n">
        <f aca="false">Sens!G13487-Sens!G13483-Sens!G13488</f>
        <v>6.74622372237672</v>
      </c>
      <c r="H13489" s="6" t="n">
        <f aca="false">Sens!H13487-Sens!H13483-Sens!H13488</f>
        <v>6.73635215288526</v>
      </c>
      <c r="I13489" s="6" t="n">
        <f aca="false">Sens!I13487-Sens!I13483-Sens!I13488</f>
        <v>6.78339568565411</v>
      </c>
      <c r="J13489" s="6" t="n">
        <f aca="false">Sens!J13487-Sens!J13483-Sens!J13488</f>
        <v>6.88471400483723</v>
      </c>
      <c r="K13489" s="6" t="n">
        <f aca="false">Sens!K13487-Sens!K13483-Sens!K13488</f>
        <v>7.03829118095546</v>
      </c>
    </row>
    <row r="13490" customFormat="false" ht="17.15" hidden="false" customHeight="false" outlineLevel="0" collapsed="false">
      <c r="A13490" s="0" t="s">
        <v>1083</v>
      </c>
      <c r="B13490" s="0" t="s">
        <v>98</v>
      </c>
      <c r="F13490" s="6" t="n">
        <f aca="false">Sens!F13484-tax_f*(Sens!F13484-Thesis!F138)-Thesis!F135</f>
        <v>-122.579081185432</v>
      </c>
      <c r="G13490" s="6" t="n">
        <f aca="false">Sens!G13484-tax_f*(Sens!G13484-Thesis!G138)-Thesis!G135</f>
        <v>-117.373249511676</v>
      </c>
      <c r="H13490" s="6" t="n">
        <f aca="false">Sens!H13484-tax_f*(Sens!H13484-Thesis!H138)-Thesis!H135</f>
        <v>-95.285890998876</v>
      </c>
      <c r="I13490" s="6" t="n">
        <f aca="false">Sens!I13484-tax_f*(Sens!I13484-Thesis!I138)-Thesis!I135</f>
        <v>-41.8816809509416</v>
      </c>
      <c r="J13490" s="6" t="n">
        <f aca="false">Sens!J13484-tax_f*(Sens!J13484-Thesis!J138)-Thesis!J135</f>
        <v>15.3691414244864</v>
      </c>
      <c r="K13490" s="6" t="n">
        <f aca="false">Sens!K13484-tax_f*(Sens!K13484-Thesis!K138)-Thesis!K135</f>
        <v>34.6668916333283</v>
      </c>
    </row>
    <row r="13491" customFormat="false" ht="17.15" hidden="false" customHeight="false" outlineLevel="0" collapsed="false">
      <c r="A13491" s="0" t="s">
        <v>1084</v>
      </c>
      <c r="B13491" s="0" t="s">
        <v>98</v>
      </c>
      <c r="G13491" s="6" t="n">
        <f aca="false">Sens!G13490/(1+wacc)^(Sens!G13463-(Sens!F13463+mid_yr))</f>
        <v>-111.762030423885</v>
      </c>
      <c r="H13491" s="6" t="n">
        <f aca="false">Sens!H13490/(1+wacc)^(Sens!H13463-(Sens!F13463+mid_yr))</f>
        <v>-82.2629091581412</v>
      </c>
      <c r="I13491" s="6" t="n">
        <f aca="false">Sens!I13490/(1+wacc)^(Sens!I13463-(Sens!F13463+mid_yr))</f>
        <v>-32.7830894246659</v>
      </c>
      <c r="J13491" s="6" t="n">
        <f aca="false">Sens!J13490/(1+wacc)^(Sens!J13463-(Sens!F13463+mid_yr))</f>
        <v>10.907511786022</v>
      </c>
      <c r="K13491" s="6" t="n">
        <f aca="false">Sens!K13490/(1+wacc)^(Sens!K13463-(Sens!F13463+mid_yr))</f>
        <v>22.3070066431388</v>
      </c>
      <c r="L13491" s="1" t="s">
        <v>1085</v>
      </c>
    </row>
    <row r="13492" customFormat="false" ht="17.15" hidden="false" customHeight="false" outlineLevel="0" collapsed="false">
      <c r="A13492" s="0" t="s">
        <v>1086</v>
      </c>
      <c r="B13492" s="0" t="s">
        <v>98</v>
      </c>
      <c r="C13492" s="6" t="n">
        <f aca="false">(Sens!K13484-Thesis!K138)*(1-tax_f)*(1+g_tv)*(1-g_tv/(wacc+ronic_prem))/(wacc-g_tv)/(1+wacc)^(Sens!K13463+mid_yr-(Sens!F13463+mid_yr))</f>
        <v>103.875812758606</v>
      </c>
    </row>
    <row r="13493" customFormat="false" ht="17.15" hidden="false" customHeight="false" outlineLevel="0" collapsed="false">
      <c r="A13493" s="1" t="s">
        <v>1087</v>
      </c>
      <c r="B13493" s="0" t="s">
        <v>98</v>
      </c>
      <c r="C13493" s="6" t="n">
        <f aca="false">(SUM(Sens!G13491:K13491)+Sens!$C$13492)*(1+wacc)^(t_roll-(Sens!F13463+mid_yr))</f>
        <v>-92.6297486746201</v>
      </c>
      <c r="L13493" s="11" t="s">
        <v>1088</v>
      </c>
    </row>
    <row r="13494" customFormat="false" ht="17.15" hidden="false" customHeight="false" outlineLevel="0" collapsed="false">
      <c r="A13494" s="1" t="s">
        <v>1089</v>
      </c>
      <c r="B13494" s="0" t="s">
        <v>98</v>
      </c>
      <c r="C13494" s="6" t="n">
        <f aca="false">(w_ntm28*Thesis!G127+(1-w_ntm28)*Thesis!H127)*m_ai*1.2</f>
        <v>406.531210068081</v>
      </c>
    </row>
    <row r="13495" customFormat="false" ht="17.15" hidden="false" customHeight="false" outlineLevel="0" collapsed="false">
      <c r="A13495" s="1" t="s">
        <v>1090</v>
      </c>
      <c r="B13495" s="0" t="s">
        <v>98</v>
      </c>
      <c r="C13495" s="6" t="n">
        <f aca="false">(w_ntm28*Sens!G13486+(1-w_ntm28)*Sens!H13486)*m_cloud*1.2</f>
        <v>1268.20753112702</v>
      </c>
    </row>
    <row r="13496" customFormat="false" ht="17.15" hidden="false" customHeight="false" outlineLevel="0" collapsed="false">
      <c r="A13496" s="1" t="s">
        <v>1091</v>
      </c>
      <c r="B13496" s="0" t="s">
        <v>98</v>
      </c>
      <c r="C13496" s="6" t="n">
        <f aca="false">(w_ntm28*Sens!G13479+(1-w_ntm28)*Sens!H13479)*m_sw*1.2</f>
        <v>1256.17983619679</v>
      </c>
    </row>
    <row r="13497" customFormat="false" ht="17.15" hidden="false" customHeight="false" outlineLevel="0" collapsed="false">
      <c r="A13497" s="1" t="s">
        <v>1092</v>
      </c>
      <c r="B13497" s="0" t="s">
        <v>98</v>
      </c>
      <c r="C13497" s="6" t="n">
        <f aca="false">(w_ntm28*Sens!G13480+(1-w_ntm28)*Sens!H13480)*m_sw*1.2</f>
        <v>456.705847337764</v>
      </c>
    </row>
    <row r="13498" customFormat="false" ht="17.15" hidden="false" customHeight="false" outlineLevel="0" collapsed="false">
      <c r="A13498" s="1" t="s">
        <v>1093</v>
      </c>
      <c r="B13498" s="0" t="s">
        <v>98</v>
      </c>
      <c r="C13498" s="6" t="n">
        <f aca="false">(w_ntm28*Sens!G13481+(1-w_ntm28)*Sens!H13481)*m_sw*1.2</f>
        <v>131.929809853923</v>
      </c>
    </row>
    <row r="13499" customFormat="false" ht="17.15" hidden="false" customHeight="false" outlineLevel="0" collapsed="false">
      <c r="A13499" s="1" t="s">
        <v>1094</v>
      </c>
      <c r="B13499" s="0" t="s">
        <v>98</v>
      </c>
      <c r="C13499" s="6" t="n">
        <f aca="false">(w_ntm28*Sens!G13482+(1-w_ntm28)*Sens!H13482)*m_sw*1.2</f>
        <v>50.3335472532252</v>
      </c>
    </row>
    <row r="13500" customFormat="false" ht="17.15" hidden="false" customHeight="false" outlineLevel="0" collapsed="false">
      <c r="A13500" s="1" t="s">
        <v>1095</v>
      </c>
      <c r="B13500" s="0" t="s">
        <v>98</v>
      </c>
      <c r="C13500" s="6" t="n">
        <f aca="false">(w_ntm28*Sens!G13483+(1-w_ntm28)*Sens!H13483)*m_ads*1.2</f>
        <v>139.072213330715</v>
      </c>
    </row>
    <row r="13501" customFormat="false" ht="17.15" hidden="false" customHeight="false" outlineLevel="0" collapsed="false">
      <c r="A13501" s="1" t="s">
        <v>1096</v>
      </c>
      <c r="B13501" s="0" t="s">
        <v>98</v>
      </c>
      <c r="C13501" s="6" t="n">
        <f aca="false">(w_ntm28*Sens!G13488+(1-w_ntm28)*Sens!H13488)*m_game*1.2</f>
        <v>118.099238936905</v>
      </c>
    </row>
    <row r="13502" customFormat="false" ht="17.15" hidden="false" customHeight="false" outlineLevel="0" collapsed="false">
      <c r="A13502" s="1" t="s">
        <v>1097</v>
      </c>
      <c r="B13502" s="0" t="s">
        <v>98</v>
      </c>
      <c r="C13502" s="6" t="n">
        <f aca="false">(w_ntm28*Sens!G13489+(1-w_ntm28)*Sens!H13489)*m_pc*1.2</f>
        <v>117.086013997397</v>
      </c>
    </row>
    <row r="13503" customFormat="false" ht="17.15" hidden="false" customHeight="false" outlineLevel="0" collapsed="false">
      <c r="A13503" s="1" t="s">
        <v>1098</v>
      </c>
      <c r="B13503" s="0" t="s">
        <v>98</v>
      </c>
      <c r="C13503" s="6" t="n">
        <f aca="false">Sens!$C$13493+Sens!$C$13495+Sens!$C$13496+Sens!$C$13497+Sens!$C$13498+Sens!$C$13499+Sens!$C$13500+Sens!$C$13501+Sens!$C$13502</f>
        <v>3444.98428935912</v>
      </c>
    </row>
    <row r="13504" customFormat="false" ht="17.15" hidden="false" customHeight="false" outlineLevel="0" collapsed="false">
      <c r="A13504" s="1" t="s">
        <v>1099</v>
      </c>
      <c r="B13504" s="0" t="s">
        <v>98</v>
      </c>
      <c r="C13504" s="6" t="n">
        <f aca="false">(Sens!G13465-Sens!G13490)*t_stub</f>
        <v>46.8760727339385</v>
      </c>
      <c r="L13504" s="1" t="s">
        <v>1100</v>
      </c>
    </row>
    <row r="13505" customFormat="false" ht="17.15" hidden="false" customHeight="false" outlineLevel="0" collapsed="false">
      <c r="A13505" s="1" t="s">
        <v>1014</v>
      </c>
      <c r="B13505" s="0" t="s">
        <v>98</v>
      </c>
      <c r="C13505" s="6" t="n">
        <f aca="false">CF!F100+oai_v-CF!F89+Sens!$C$13504</f>
        <v>153.718233647662</v>
      </c>
      <c r="L13505" s="1" t="s">
        <v>1101</v>
      </c>
    </row>
    <row r="13506" customFormat="false" ht="17.15" hidden="false" customHeight="false" outlineLevel="0" collapsed="false">
      <c r="A13506" s="1" t="s">
        <v>1102</v>
      </c>
      <c r="B13506" s="0" t="s">
        <v>75</v>
      </c>
      <c r="C13506" s="5" t="n">
        <f aca="false">(Sens!$C$13503+Sens!$C$13505)/(CF!F102+dil_gap)-CF!G92*roll_div_q/q_per_yr</f>
        <v>479.043547359496</v>
      </c>
      <c r="L13506" s="1" t="s">
        <v>1103</v>
      </c>
    </row>
    <row r="13507" customFormat="false" ht="17.15" hidden="false" customHeight="false" outlineLevel="0" collapsed="false">
      <c r="A13507" s="1" t="s">
        <v>1104</v>
      </c>
      <c r="B13507" s="0" t="s">
        <v>75</v>
      </c>
      <c r="C13507" s="5" t="n">
        <f aca="false">w_dcf*Sens!$C$13477+(1-w_dcf)*Sens!$C$13506</f>
        <v>381.344417224541</v>
      </c>
    </row>
    <row r="13508" customFormat="false" ht="17.15" hidden="false" customHeight="false" outlineLevel="0" collapsed="false">
      <c r="A13508" s="3" t="s">
        <v>1604</v>
      </c>
    </row>
    <row r="13509" customFormat="false" ht="15" hidden="false" customHeight="false" outlineLevel="0" collapsed="false">
      <c r="A13509" s="4" t="s">
        <v>43</v>
      </c>
      <c r="B13509" s="4" t="s">
        <v>65</v>
      </c>
      <c r="C13509" s="20" t="s">
        <v>799</v>
      </c>
      <c r="D13509" s="20" t="s">
        <v>800</v>
      </c>
      <c r="E13509" s="20" t="s">
        <v>801</v>
      </c>
      <c r="F13509" s="20" t="s">
        <v>802</v>
      </c>
      <c r="G13509" s="20" t="s">
        <v>803</v>
      </c>
      <c r="H13509" s="20" t="s">
        <v>804</v>
      </c>
      <c r="I13509" s="20" t="s">
        <v>805</v>
      </c>
      <c r="J13509" s="20" t="s">
        <v>806</v>
      </c>
      <c r="K13509" s="20" t="s">
        <v>807</v>
      </c>
      <c r="L13509" s="4" t="s">
        <v>47</v>
      </c>
    </row>
    <row r="13510" customFormat="false" ht="17.15" hidden="false" customHeight="false" outlineLevel="0" collapsed="false">
      <c r="A13510" s="1" t="s">
        <v>808</v>
      </c>
      <c r="B13510" s="1" t="s">
        <v>235</v>
      </c>
      <c r="C13510" s="28" t="n">
        <v>2024</v>
      </c>
      <c r="D13510" s="28" t="n">
        <v>2025</v>
      </c>
      <c r="E13510" s="28" t="n">
        <v>2026</v>
      </c>
      <c r="F13510" s="28" t="n">
        <v>2027</v>
      </c>
      <c r="G13510" s="28" t="n">
        <v>2028</v>
      </c>
      <c r="H13510" s="28" t="n">
        <v>2029</v>
      </c>
      <c r="I13510" s="28" t="n">
        <v>2030</v>
      </c>
      <c r="J13510" s="28" t="n">
        <v>2031</v>
      </c>
      <c r="K13510" s="28" t="n">
        <v>2032</v>
      </c>
    </row>
    <row r="13511" customFormat="false" ht="17.15" hidden="false" customHeight="false" outlineLevel="0" collapsed="false">
      <c r="A13511" s="1" t="s">
        <v>809</v>
      </c>
      <c r="B13511" s="0" t="s">
        <v>399</v>
      </c>
      <c r="F13511" s="29" t="n">
        <f aca="false">pace_epoch</f>
        <v>650</v>
      </c>
      <c r="G13511" s="29" t="n">
        <f aca="false">pace_epoch</f>
        <v>650</v>
      </c>
      <c r="H13511" s="29" t="n">
        <f aca="false">pace_epoch</f>
        <v>650</v>
      </c>
      <c r="I13511" s="29" t="n">
        <f aca="false">pace_epoch+(g_tv*Sens!H13512-pace_epoch)*MIN(1,(Sens!I13510-pace_y0)/(pace_y1-pace_y0))</f>
        <v>477.193333333333</v>
      </c>
      <c r="J13511" s="29" t="n">
        <f aca="false">pace_epoch+(g_tv*Sens!I13512-pace_epoch)*MIN(1,(Sens!J13510-pace_y0)/(pace_y1-pace_y0))</f>
        <v>304.386666666667</v>
      </c>
      <c r="K13511" s="29" t="n">
        <f aca="false">pace_epoch+(g_tv*Sens!J13512-pace_epoch)*MIN(1,(Sens!K13510-pace_y0)/(pace_y1-pace_y0))</f>
        <v>131.58</v>
      </c>
      <c r="L13511" s="11" t="s">
        <v>810</v>
      </c>
    </row>
    <row r="13512" customFormat="false" ht="17.15" hidden="false" customHeight="false" outlineLevel="0" collapsed="false">
      <c r="A13512" s="1" t="s">
        <v>811</v>
      </c>
      <c r="B13512" s="0" t="s">
        <v>399</v>
      </c>
      <c r="C13512" s="29" t="n">
        <f aca="false">mw_ext_24</f>
        <v>640</v>
      </c>
      <c r="D13512" s="29" t="n">
        <f aca="false">mw_ext_25</f>
        <v>1630</v>
      </c>
      <c r="E13512" s="29" t="n">
        <f aca="false">mw_ext_26</f>
        <v>3250</v>
      </c>
      <c r="F13512" s="29" t="n">
        <f aca="false">MIN(cap_epoch,Sens!E13512+Sens!F13511)</f>
        <v>3900</v>
      </c>
      <c r="G13512" s="29" t="n">
        <f aca="false">MIN(cap_epoch,Sens!F13512+Sens!G13511)</f>
        <v>4386</v>
      </c>
      <c r="H13512" s="29" t="n">
        <f aca="false">MIN(cap_epoch,Sens!G13512+Sens!H13511)</f>
        <v>4386</v>
      </c>
      <c r="I13512" s="29" t="n">
        <f aca="false">MIN(cap_epoch,Sens!H13512+Sens!I13511)</f>
        <v>4386</v>
      </c>
      <c r="J13512" s="29" t="n">
        <f aca="false">MIN(cap_epoch,Sens!I13512+Sens!J13511)</f>
        <v>4386</v>
      </c>
      <c r="K13512" s="29" t="n">
        <f aca="false">MIN(cap_epoch,Sens!J13512+Sens!K13511)</f>
        <v>4386</v>
      </c>
      <c r="L13512" s="1" t="s">
        <v>812</v>
      </c>
    </row>
    <row r="13513" customFormat="false" ht="17.15" hidden="false" customHeight="false" outlineLevel="0" collapsed="false">
      <c r="A13513" s="1" t="s">
        <v>813</v>
      </c>
      <c r="B13513" s="0" t="s">
        <v>399</v>
      </c>
      <c r="C13513" s="29" t="n">
        <f aca="false">rent_ext_24</f>
        <v>150</v>
      </c>
      <c r="D13513" s="29" t="n">
        <f aca="false">rent_ext_25</f>
        <v>400</v>
      </c>
      <c r="E13513" s="29" t="n">
        <f aca="false">rent_ext_26</f>
        <v>550</v>
      </c>
      <c r="F13513" s="29" t="n">
        <f aca="false">rent_ext_f</f>
        <v>756</v>
      </c>
      <c r="G13513" s="29" t="n">
        <f aca="false">rent_ext_f</f>
        <v>756</v>
      </c>
      <c r="H13513" s="29" t="n">
        <f aca="false">rent_ext_f</f>
        <v>756</v>
      </c>
      <c r="I13513" s="29" t="n">
        <f aca="false">rent_ext_f</f>
        <v>756</v>
      </c>
      <c r="J13513" s="29" t="n">
        <f aca="false">rent_ext_f</f>
        <v>756</v>
      </c>
      <c r="K13513" s="29" t="n">
        <f aca="false">rent_ext_f</f>
        <v>756</v>
      </c>
      <c r="L13513" s="1" t="s">
        <v>814</v>
      </c>
    </row>
    <row r="13514" customFormat="false" ht="17.15" hidden="false" customHeight="false" outlineLevel="0" collapsed="false">
      <c r="A13514" s="1" t="s">
        <v>815</v>
      </c>
      <c r="B13514" s="0" t="s">
        <v>399</v>
      </c>
      <c r="C13514" s="29" t="n">
        <f aca="false">Sens!C13512-Sens!C13513</f>
        <v>490</v>
      </c>
      <c r="D13514" s="29" t="n">
        <f aca="false">Sens!D13512-Sens!D13513</f>
        <v>1230</v>
      </c>
      <c r="E13514" s="29" t="n">
        <f aca="false">Sens!E13512-Sens!E13513</f>
        <v>2700</v>
      </c>
      <c r="F13514" s="29" t="n">
        <f aca="false">Sens!F13512-Sens!F13513</f>
        <v>3144</v>
      </c>
      <c r="G13514" s="29" t="n">
        <f aca="false">Sens!G13512-Sens!G13513</f>
        <v>3630</v>
      </c>
      <c r="H13514" s="29" t="n">
        <f aca="false">Sens!H13512-Sens!H13513</f>
        <v>3630</v>
      </c>
      <c r="I13514" s="29" t="n">
        <f aca="false">Sens!I13512-Sens!I13513</f>
        <v>3630</v>
      </c>
      <c r="J13514" s="29" t="n">
        <f aca="false">Sens!J13512-Sens!J13513</f>
        <v>3630</v>
      </c>
      <c r="K13514" s="29" t="n">
        <f aca="false">Sens!K13512-Sens!K13513</f>
        <v>3630</v>
      </c>
    </row>
    <row r="13515" customFormat="false" ht="17.15" hidden="false" customHeight="false" outlineLevel="0" collapsed="false">
      <c r="A13515" s="1" t="s">
        <v>816</v>
      </c>
      <c r="B13515" s="0" t="s">
        <v>399</v>
      </c>
      <c r="C13515" s="29" t="n">
        <f aca="false">Sens!C13514/ext_sh</f>
        <v>816.666666666667</v>
      </c>
      <c r="D13515" s="29" t="n">
        <f aca="false">Sens!D13514/ext_sh</f>
        <v>2050</v>
      </c>
      <c r="E13515" s="29" t="n">
        <f aca="false">Sens!E13514/ext_sh</f>
        <v>4500</v>
      </c>
      <c r="F13515" s="29" t="n">
        <f aca="false">Sens!F13514/ext_sh</f>
        <v>5240</v>
      </c>
      <c r="G13515" s="29" t="n">
        <f aca="false">Sens!G13514/ext_sh</f>
        <v>6050</v>
      </c>
      <c r="H13515" s="29" t="n">
        <f aca="false">Sens!H13514/ext_sh</f>
        <v>6050</v>
      </c>
      <c r="I13515" s="29" t="n">
        <f aca="false">Sens!I13514/ext_sh</f>
        <v>6050</v>
      </c>
      <c r="J13515" s="29" t="n">
        <f aca="false">Sens!J13514/ext_sh</f>
        <v>6050</v>
      </c>
      <c r="K13515" s="29" t="n">
        <f aca="false">Sens!K13514/ext_sh</f>
        <v>6050</v>
      </c>
      <c r="L13515" s="1" t="s">
        <v>817</v>
      </c>
    </row>
    <row r="13516" customFormat="false" ht="17.15" hidden="false" customHeight="false" outlineLevel="0" collapsed="false">
      <c r="A13516" s="1" t="s">
        <v>818</v>
      </c>
      <c r="B13516" s="0" t="s">
        <v>399</v>
      </c>
      <c r="C13516" s="29" t="n">
        <f aca="false">Sens!C13515-Sens!C13514</f>
        <v>326.666666666667</v>
      </c>
      <c r="D13516" s="29" t="n">
        <f aca="false">Sens!D13515-Sens!D13514</f>
        <v>820</v>
      </c>
      <c r="E13516" s="29" t="n">
        <f aca="false">Sens!E13515-Sens!E13514</f>
        <v>1800</v>
      </c>
      <c r="F13516" s="29" t="n">
        <f aca="false">Sens!F13515-Sens!F13514</f>
        <v>2096</v>
      </c>
      <c r="G13516" s="29" t="n">
        <f aca="false">Sens!G13515-Sens!G13514</f>
        <v>2420</v>
      </c>
      <c r="H13516" s="29" t="n">
        <f aca="false">Sens!H13515-Sens!H13514</f>
        <v>2420</v>
      </c>
      <c r="I13516" s="29" t="n">
        <f aca="false">Sens!I13515-Sens!I13514</f>
        <v>2420</v>
      </c>
      <c r="J13516" s="29" t="n">
        <f aca="false">Sens!J13515-Sens!J13514</f>
        <v>2420</v>
      </c>
      <c r="K13516" s="29" t="n">
        <f aca="false">Sens!K13515-Sens!K13514</f>
        <v>2420</v>
      </c>
    </row>
    <row r="13517" customFormat="false" ht="17.15" hidden="false" customHeight="false" outlineLevel="0" collapsed="false">
      <c r="A13517" s="1" t="s">
        <v>819</v>
      </c>
      <c r="B13517" s="0" t="s">
        <v>399</v>
      </c>
      <c r="C13517" s="29" t="n">
        <f aca="false">Sens!C13515</f>
        <v>816.666666666667</v>
      </c>
      <c r="D13517" s="29" t="n">
        <f aca="false">Sens!D13515-Sens!C13515</f>
        <v>1233.33333333333</v>
      </c>
      <c r="E13517" s="29" t="n">
        <f aca="false">Sens!E13515-Sens!D13515</f>
        <v>2450</v>
      </c>
      <c r="F13517" s="29" t="n">
        <f aca="false">Sens!F13515-Sens!E13515</f>
        <v>740</v>
      </c>
      <c r="G13517" s="29" t="n">
        <f aca="false">Sens!G13515-Sens!F13515</f>
        <v>810</v>
      </c>
      <c r="H13517" s="29" t="n">
        <f aca="false">Sens!H13515-Sens!G13515</f>
        <v>0</v>
      </c>
      <c r="I13517" s="29" t="n">
        <f aca="false">Sens!I13515-Sens!H13515</f>
        <v>0</v>
      </c>
      <c r="J13517" s="29" t="n">
        <f aca="false">Sens!J13515-Sens!I13515</f>
        <v>0</v>
      </c>
      <c r="K13517" s="29" t="n">
        <f aca="false">Sens!K13515-Sens!J13515</f>
        <v>0</v>
      </c>
    </row>
    <row r="13518" customFormat="false" ht="17.15" hidden="false" customHeight="false" outlineLevel="0" collapsed="false">
      <c r="A13518" s="1" t="s">
        <v>820</v>
      </c>
      <c r="B13518" s="0" t="s">
        <v>399</v>
      </c>
      <c r="D13518" s="29" t="n">
        <f aca="false">Sens!D13512-Sens!C13512</f>
        <v>990</v>
      </c>
      <c r="E13518" s="29" t="n">
        <f aca="false">Sens!E13512-Sens!D13512</f>
        <v>1620</v>
      </c>
      <c r="F13518" s="29" t="n">
        <f aca="false">Sens!F13512-Sens!E13512</f>
        <v>650</v>
      </c>
      <c r="G13518" s="29" t="n">
        <f aca="false">Sens!G13512-Sens!F13512</f>
        <v>486</v>
      </c>
      <c r="H13518" s="29" t="n">
        <f aca="false">Sens!H13512-Sens!G13512</f>
        <v>0</v>
      </c>
      <c r="I13518" s="29" t="n">
        <f aca="false">Sens!I13512-Sens!H13512</f>
        <v>0</v>
      </c>
      <c r="J13518" s="29" t="n">
        <f aca="false">Sens!J13512-Sens!I13512</f>
        <v>0</v>
      </c>
      <c r="K13518" s="29" t="n">
        <f aca="false">Sens!K13512-Sens!J13512</f>
        <v>0</v>
      </c>
    </row>
    <row r="13519" customFormat="false" ht="17.15" hidden="false" customHeight="false" outlineLevel="0" collapsed="false">
      <c r="A13519" s="1" t="s">
        <v>821</v>
      </c>
      <c r="B13519" s="0" t="s">
        <v>399</v>
      </c>
      <c r="F13519" s="29" t="n">
        <f aca="false">Sens!F13536*ext_sh</f>
        <v>0</v>
      </c>
      <c r="G13519" s="29" t="n">
        <f aca="false">Sens!G13536*ext_sh</f>
        <v>0</v>
      </c>
      <c r="H13519" s="29" t="n">
        <f aca="false">Sens!H13536*ext_sh</f>
        <v>0</v>
      </c>
      <c r="I13519" s="29" t="n">
        <f aca="false">Sens!I13536*ext_sh</f>
        <v>490</v>
      </c>
      <c r="J13519" s="29" t="n">
        <f aca="false">Sens!J13536*ext_sh</f>
        <v>740</v>
      </c>
      <c r="K13519" s="29" t="n">
        <f aca="false">Sens!K13536*ext_sh</f>
        <v>1470</v>
      </c>
      <c r="L13519" s="1" t="s">
        <v>822</v>
      </c>
    </row>
    <row r="13520" customFormat="false" ht="17.15" hidden="false" customHeight="false" outlineLevel="0" collapsed="false">
      <c r="A13520" s="1" t="s">
        <v>823</v>
      </c>
      <c r="B13520" s="0" t="s">
        <v>399</v>
      </c>
      <c r="C13520" s="29" t="n">
        <f aca="false">mix_h*Sens!C13512</f>
        <v>128</v>
      </c>
      <c r="D13520" s="29" t="n">
        <f aca="false">mix_h*Sens!D13512</f>
        <v>326</v>
      </c>
      <c r="E13520" s="29" t="n">
        <f aca="false">mix_h*Sens!E13512</f>
        <v>650</v>
      </c>
      <c r="F13520" s="29" t="n">
        <f aca="false">Sens!E13520-Sens!F13519*mix_h</f>
        <v>650</v>
      </c>
      <c r="G13520" s="29" t="n">
        <f aca="false">Sens!F13520-Sens!G13519*mix_h</f>
        <v>650</v>
      </c>
      <c r="H13520" s="29" t="n">
        <f aca="false">Sens!G13520-Sens!H13519*mix_h</f>
        <v>650</v>
      </c>
      <c r="I13520" s="29" t="n">
        <f aca="false">Sens!H13520-Sens!I13519*mix_h</f>
        <v>552</v>
      </c>
      <c r="J13520" s="29" t="n">
        <f aca="false">Sens!I13520-Sens!J13519*mix_h</f>
        <v>404</v>
      </c>
      <c r="K13520" s="29" t="n">
        <f aca="false">Sens!J13520-Sens!K13519*mix_h</f>
        <v>110</v>
      </c>
    </row>
    <row r="13521" customFormat="false" ht="17.15" hidden="false" customHeight="false" outlineLevel="0" collapsed="false">
      <c r="A13521" s="1" t="s">
        <v>824</v>
      </c>
      <c r="B13521" s="0" t="s">
        <v>399</v>
      </c>
      <c r="C13521" s="29" t="n">
        <f aca="false">mix_g2*Sens!C13512</f>
        <v>288</v>
      </c>
      <c r="D13521" s="29" t="n">
        <f aca="false">mix_g2*Sens!D13512</f>
        <v>733.5</v>
      </c>
      <c r="E13521" s="29" t="n">
        <f aca="false">mix_g2*Sens!E13512</f>
        <v>1462.5</v>
      </c>
      <c r="F13521" s="29" t="n">
        <f aca="false">Sens!E13521-Sens!F13519*mix_g2</f>
        <v>1462.5</v>
      </c>
      <c r="G13521" s="29" t="n">
        <f aca="false">Sens!F13521-Sens!G13519*mix_g2</f>
        <v>1462.5</v>
      </c>
      <c r="H13521" s="29" t="n">
        <f aca="false">Sens!G13521-Sens!H13519*mix_g2</f>
        <v>1462.5</v>
      </c>
      <c r="I13521" s="29" t="n">
        <f aca="false">Sens!H13521-Sens!I13519*mix_g2</f>
        <v>1242</v>
      </c>
      <c r="J13521" s="29" t="n">
        <f aca="false">Sens!I13521-Sens!J13519*mix_g2</f>
        <v>909</v>
      </c>
      <c r="K13521" s="29" t="n">
        <f aca="false">Sens!J13521-Sens!K13519*mix_g2</f>
        <v>247.5</v>
      </c>
    </row>
    <row r="13522" customFormat="false" ht="17.15" hidden="false" customHeight="false" outlineLevel="0" collapsed="false">
      <c r="A13522" s="1" t="s">
        <v>825</v>
      </c>
      <c r="B13522" s="0" t="s">
        <v>399</v>
      </c>
      <c r="C13522" s="29" t="n">
        <f aca="false">mix_g3*Sens!C13512</f>
        <v>224</v>
      </c>
      <c r="D13522" s="29" t="n">
        <f aca="false">mix_g3*Sens!D13512</f>
        <v>570.5</v>
      </c>
      <c r="E13522" s="29" t="n">
        <f aca="false">mix_g3*Sens!E13512</f>
        <v>1137.5</v>
      </c>
      <c r="F13522" s="29" t="n">
        <f aca="false">Sens!E13522+(Sens!F13518+Sens!F13519)*a_g3_27-Sens!F13519*mix_g3</f>
        <v>1592.5</v>
      </c>
      <c r="G13522" s="29" t="n">
        <f aca="false">Sens!F13522+(Sens!G13518+Sens!G13519)*a_g3_28-Sens!G13519*mix_g3</f>
        <v>1738.3</v>
      </c>
      <c r="H13522" s="29" t="n">
        <f aca="false">Sens!G13522+(Sens!H13518+Sens!H13519)*a_g3_29-Sens!H13519*mix_g3</f>
        <v>1738.3</v>
      </c>
      <c r="I13522" s="29" t="n">
        <f aca="false">Sens!H13522+(Sens!I13518+Sens!I13519)*a_g3_29-Sens!I13519*mix_g3</f>
        <v>1615.8</v>
      </c>
      <c r="J13522" s="29" t="n">
        <f aca="false">Sens!I13522+(Sens!J13518+Sens!J13519)*a_g3_29-Sens!J13519*mix_g3</f>
        <v>1430.8</v>
      </c>
      <c r="K13522" s="29" t="n">
        <f aca="false">Sens!J13522+(Sens!K13518+Sens!K13519)*a_g3_29-Sens!K13519*mix_g3</f>
        <v>1063.3</v>
      </c>
    </row>
    <row r="13523" customFormat="false" ht="17.15" hidden="false" customHeight="false" outlineLevel="0" collapsed="false">
      <c r="A13523" s="1" t="s">
        <v>826</v>
      </c>
      <c r="B13523" s="0" t="s">
        <v>399</v>
      </c>
      <c r="C13523" s="29" t="n">
        <v>0</v>
      </c>
      <c r="D13523" s="29" t="n">
        <v>0</v>
      </c>
      <c r="E13523" s="29" t="n">
        <v>0</v>
      </c>
      <c r="F13523" s="29" t="n">
        <f aca="false">Sens!E13523+(Sens!F13518+Sens!F13519)*(1-a_g3_27)</f>
        <v>195</v>
      </c>
      <c r="G13523" s="29" t="n">
        <f aca="false">Sens!F13523+(Sens!G13518+Sens!G13519)*(1-a_g3_28)</f>
        <v>535.2</v>
      </c>
      <c r="H13523" s="29" t="n">
        <f aca="false">Sens!G13523+(Sens!H13518+Sens!H13519)*(1-a_g3_29)</f>
        <v>535.2</v>
      </c>
      <c r="I13523" s="29" t="n">
        <f aca="false">Sens!H13523+(Sens!I13518+Sens!I13519)*(1-a_g3_29)</f>
        <v>976.2</v>
      </c>
      <c r="J13523" s="29" t="n">
        <f aca="false">Sens!I13523+(Sens!J13518+Sens!J13519)*(1-a_g3_29)</f>
        <v>1642.2</v>
      </c>
      <c r="K13523" s="29" t="n">
        <f aca="false">Sens!J13523+(Sens!K13518+Sens!K13519)*(1-a_g3_29)</f>
        <v>2965.2</v>
      </c>
    </row>
    <row r="13524" customFormat="false" ht="17.15" hidden="false" customHeight="false" outlineLevel="0" collapsed="false">
      <c r="A13524" s="1" t="s">
        <v>827</v>
      </c>
      <c r="B13524" s="0" t="s">
        <v>346</v>
      </c>
      <c r="C13524" s="14" t="n">
        <f aca="false">(Sens!C13520*tk_hold_h100+Sens!C13521*tk_hold_gb200+Sens!C13522*tk_hold_gb300+Sens!C13523*tk_hold_vr200)/Sens!C13512</f>
        <v>9.7235358126469</v>
      </c>
      <c r="D13524" s="14" t="n">
        <f aca="false">(Sens!D13520*tk_hold_h100+Sens!D13521*tk_hold_gb200+Sens!D13522*tk_hold_gb300+Sens!D13523*tk_hold_vr200)/Sens!D13512</f>
        <v>9.7235358126469</v>
      </c>
      <c r="E13524" s="14" t="n">
        <f aca="false">(Sens!E13520*tk_hold_h100+Sens!E13521*tk_hold_gb200+Sens!E13522*tk_hold_gb300+Sens!E13523*tk_hold_vr200)/Sens!E13512</f>
        <v>9.7235358126469</v>
      </c>
      <c r="F13524" s="14" t="n">
        <f aca="false">(Sens!F13520*tk_hold_h100+Sens!F13521*tk_hold_gb200+Sens!F13522*tk_hold_gb300+Sens!F13523*tk_hold_vr200)/Sens!F13512</f>
        <v>9.9843013443478</v>
      </c>
      <c r="G13524" s="14" t="n">
        <f aca="false">(Sens!G13520*tk_hold_h100+Sens!G13521*tk_hold_gb200+Sens!G13522*tk_hold_gb300+Sens!G13523*tk_hold_vr200)/Sens!G13512</f>
        <v>10.1881256732384</v>
      </c>
      <c r="H13524" s="14" t="n">
        <f aca="false">(Sens!H13520*tk_hold_h100+Sens!H13521*tk_hold_gb200+Sens!H13522*tk_hold_gb300+Sens!H13523*tk_hold_vr200)/Sens!H13512</f>
        <v>10.1881256732384</v>
      </c>
      <c r="I13524" s="14" t="n">
        <f aca="false">(Sens!I13520*tk_hold_h100+Sens!I13521*tk_hold_gb200+Sens!I13522*tk_hold_gb300+Sens!I13523*tk_hold_vr200)/Sens!I13512</f>
        <v>10.4526797781011</v>
      </c>
      <c r="J13524" s="14" t="n">
        <f aca="false">(Sens!J13520*tk_hold_h100+Sens!J13521*tk_hold_gb200+Sens!J13522*tk_hold_gb300+Sens!J13523*tk_hold_vr200)/Sens!J13512</f>
        <v>10.8522104670775</v>
      </c>
      <c r="K13524" s="14" t="n">
        <f aca="false">(Sens!K13520*tk_hold_h100+Sens!K13521*tk_hold_gb200+Sens!K13522*tk_hold_gb300+Sens!K13523*tk_hold_vr200)/Sens!K13512</f>
        <v>11.6458727816658</v>
      </c>
    </row>
    <row r="13525" customFormat="false" ht="17.15" hidden="false" customHeight="false" outlineLevel="0" collapsed="false">
      <c r="A13525" s="0" t="s">
        <v>828</v>
      </c>
      <c r="B13525" s="0" t="s">
        <v>185</v>
      </c>
      <c r="C13525" s="14" t="n">
        <f aca="false">k_B</f>
        <v>1.17213932619116</v>
      </c>
      <c r="D13525" s="14" t="n">
        <f aca="false">k_B</f>
        <v>1.17213932619116</v>
      </c>
      <c r="E13525" s="14" t="n">
        <f aca="false">k_B</f>
        <v>1.17213932619116</v>
      </c>
      <c r="F13525" s="14" t="n">
        <f aca="false">(k_B+((ls_C*k_long+(1-ls_C)*k_spot)-k_B)*MIN(1,(Sens!F13510-base_fy)/k_ramp))</f>
        <v>1.07843258004497</v>
      </c>
      <c r="G13525" s="14" t="n">
        <f aca="false">(k_B+((ls_C*k_long+(1-ls_C)*k_spot)-k_B)*MIN(1,(Sens!G13510-base_fy)/k_ramp))</f>
        <v>0.984725833898784</v>
      </c>
      <c r="H13525" s="14" t="n">
        <f aca="false">(k_B+((ls_C*k_long+(1-ls_C)*k_spot)-k_B)*MIN(1,(Sens!H13510-base_fy)/k_ramp))</f>
        <v>0.891019087752599</v>
      </c>
      <c r="I13525" s="14" t="n">
        <f aca="false">(k_B+((ls_C*k_long+(1-ls_C)*k_spot)-k_B)*MIN(1,(Sens!I13510-base_fy)/k_ramp))</f>
        <v>0.891019087752599</v>
      </c>
      <c r="J13525" s="14" t="n">
        <f aca="false">(k_B+((ls_C*k_long+(1-ls_C)*k_spot)-k_B)*MIN(1,(Sens!J13510-base_fy)/k_ramp))</f>
        <v>0.891019087752599</v>
      </c>
      <c r="K13525" s="14" t="n">
        <f aca="false">(k_B+((ls_C*k_long+(1-ls_C)*k_spot)-k_B)*MIN(1,(Sens!K13510-base_fy)/k_ramp))</f>
        <v>0.891019087752599</v>
      </c>
      <c r="L13525" s="1" t="s">
        <v>829</v>
      </c>
    </row>
    <row r="13526" customFormat="false" ht="17.15" hidden="false" customHeight="false" outlineLevel="0" collapsed="false">
      <c r="A13526" s="1" t="s">
        <v>830</v>
      </c>
      <c r="B13526" s="0" t="s">
        <v>346</v>
      </c>
      <c r="C13526" s="14" t="n">
        <f aca="false">Sens!C13524*Sens!C13525*chip_f</f>
        <v>11.3973387156315</v>
      </c>
      <c r="D13526" s="14" t="n">
        <f aca="false">Sens!D13524*Sens!D13525*chip_f</f>
        <v>11.3973387156315</v>
      </c>
      <c r="E13526" s="14" t="n">
        <f aca="false">Sens!E13524*Sens!E13525*chip_f</f>
        <v>11.3973387156315</v>
      </c>
      <c r="F13526" s="14" t="n">
        <f aca="false">Sens!F13524*Sens!F13525*chip_f</f>
        <v>10.7673958587315</v>
      </c>
      <c r="G13526" s="14" t="n">
        <f aca="false">Sens!G13524*Sens!G13525*chip_f</f>
        <v>10.0325105494453</v>
      </c>
      <c r="H13526" s="14" t="n">
        <f aca="false">Sens!H13524*Sens!H13525*chip_f</f>
        <v>9.0778144432777</v>
      </c>
      <c r="I13526" s="14" t="n">
        <f aca="false">Sens!I13524*Sens!I13525*chip_f</f>
        <v>9.31353720045371</v>
      </c>
      <c r="J13526" s="14" t="n">
        <f aca="false">Sens!J13524*Sens!J13525*chip_f</f>
        <v>9.66952667047463</v>
      </c>
      <c r="K13526" s="14" t="n">
        <f aca="false">Sens!K13524*Sens!K13525*chip_f</f>
        <v>10.3766949420027</v>
      </c>
      <c r="L13526" s="1" t="s">
        <v>831</v>
      </c>
    </row>
    <row r="13527" customFormat="false" ht="17.15" hidden="false" customHeight="false" outlineLevel="0" collapsed="false">
      <c r="A13527" s="0" t="s">
        <v>832</v>
      </c>
      <c r="B13527" s="0" t="s">
        <v>98</v>
      </c>
      <c r="D13527" s="6" t="n">
        <f aca="false">(Sens!C13512+Sens!D13512)/2*Sens!D13526/1000</f>
        <v>12.9359794422418</v>
      </c>
      <c r="E13527" s="6" t="n">
        <f aca="false">(Sens!D13512+Sens!E13512)/2*Sens!E13526/1000</f>
        <v>27.8095064661409</v>
      </c>
      <c r="F13527" s="6" t="n">
        <f aca="false">(Sens!E13512+Sens!F13512)/2*Sens!F13526/1000</f>
        <v>38.493440194965</v>
      </c>
      <c r="G13527" s="6" t="n">
        <f aca="false">(Sens!F13512+Sens!G13512)/2*Sens!G13526/1000</f>
        <v>41.5646912063518</v>
      </c>
      <c r="H13527" s="6" t="n">
        <f aca="false">(Sens!G13512+Sens!H13512)/2*Sens!H13526/1000</f>
        <v>39.815294148216</v>
      </c>
      <c r="I13527" s="6" t="n">
        <f aca="false">(Sens!H13512+Sens!I13512)/2*Sens!I13526/1000</f>
        <v>40.84917416119</v>
      </c>
      <c r="J13527" s="6" t="n">
        <f aca="false">(Sens!I13512+Sens!J13512)/2*Sens!J13526/1000</f>
        <v>42.4105439767017</v>
      </c>
      <c r="K13527" s="6" t="n">
        <f aca="false">(Sens!J13512+Sens!K13512)/2*Sens!K13526/1000</f>
        <v>45.5121840156236</v>
      </c>
      <c r="L13527" s="11" t="s">
        <v>833</v>
      </c>
    </row>
    <row r="13528" customFormat="false" ht="17.15" hidden="false" customHeight="false" outlineLevel="0" collapsed="false">
      <c r="A13528" s="1" t="s">
        <v>834</v>
      </c>
      <c r="B13528" s="0" t="s">
        <v>346</v>
      </c>
      <c r="C13528" s="14" t="n">
        <f aca="false">(Sens!C13520*tk_opex_h100+Sens!C13521*tk_opex_gb200+Sens!C13522*tk_opex_gb300+Sens!C13523*tk_opex_vr200)/Sens!C13512</f>
        <v>1.88636041306092</v>
      </c>
      <c r="D13528" s="14" t="n">
        <f aca="false">(Sens!D13520*tk_opex_h100+Sens!D13521*tk_opex_gb200+Sens!D13522*tk_opex_gb300+Sens!D13523*tk_opex_vr200)/Sens!D13512</f>
        <v>1.88636041306092</v>
      </c>
      <c r="E13528" s="14" t="n">
        <f aca="false">(Sens!E13520*tk_opex_h100+Sens!E13521*tk_opex_gb200+Sens!E13522*tk_opex_gb300+Sens!E13523*tk_opex_vr200)/Sens!E13512</f>
        <v>1.88636041306092</v>
      </c>
      <c r="F13528" s="14" t="n">
        <f aca="false">(Sens!F13520*tk_opex_h100+Sens!F13521*tk_opex_gb200+Sens!F13522*tk_opex_gb300+Sens!F13523*tk_opex_vr200)/Sens!F13512</f>
        <v>1.90794918316667</v>
      </c>
      <c r="G13528" s="14" t="n">
        <f aca="false">(Sens!G13520*tk_opex_h100+Sens!G13521*tk_opex_gb200+Sens!G13522*tk_opex_gb300+Sens!G13523*tk_opex_vr200)/Sens!G13512</f>
        <v>1.92482379289624</v>
      </c>
      <c r="H13528" s="14" t="n">
        <f aca="false">(Sens!H13520*tk_opex_h100+Sens!H13521*tk_opex_gb200+Sens!H13522*tk_opex_gb300+Sens!H13523*tk_opex_vr200)/Sens!H13512</f>
        <v>1.92482379289624</v>
      </c>
      <c r="I13528" s="14" t="n">
        <f aca="false">(Sens!I13520*tk_opex_h100+Sens!I13521*tk_opex_gb200+Sens!I13522*tk_opex_gb300+Sens!I13523*tk_opex_vr200)/Sens!I13512</f>
        <v>1.946726218854</v>
      </c>
      <c r="J13528" s="14" t="n">
        <f aca="false">(Sens!J13520*tk_opex_h100+Sens!J13521*tk_opex_gb200+Sens!J13522*tk_opex_gb300+Sens!J13523*tk_opex_vr200)/Sens!J13512</f>
        <v>1.97980335193306</v>
      </c>
      <c r="K13528" s="14" t="n">
        <f aca="false">(Sens!K13520*tk_opex_h100+Sens!K13521*tk_opex_gb200+Sens!K13522*tk_opex_gb300+Sens!K13523*tk_opex_vr200)/Sens!K13512</f>
        <v>2.04551062980633</v>
      </c>
    </row>
    <row r="13529" customFormat="false" ht="17.15" hidden="false" customHeight="false" outlineLevel="0" collapsed="false">
      <c r="A13529" s="0" t="s">
        <v>835</v>
      </c>
      <c r="B13529" s="0" t="s">
        <v>98</v>
      </c>
      <c r="D13529" s="6" t="n">
        <f aca="false">(Sens!C13515+Sens!D13515)/2*Sens!D13528/1000</f>
        <v>2.70378325872065</v>
      </c>
      <c r="E13529" s="6" t="n">
        <f aca="false">(Sens!D13515+Sens!E13515)/2*Sens!E13528/1000</f>
        <v>6.17783035277451</v>
      </c>
      <c r="F13529" s="6" t="n">
        <f aca="false">(Sens!E13515+Sens!F13515)/2*Sens!F13528/1000</f>
        <v>9.29171252202166</v>
      </c>
      <c r="G13529" s="6" t="n">
        <f aca="false">(Sens!F13515+Sens!G13515)/2*Sens!G13528/1000</f>
        <v>10.8656303108993</v>
      </c>
      <c r="H13529" s="6" t="n">
        <f aca="false">(Sens!G13515+Sens!H13515)/2*Sens!H13528/1000</f>
        <v>11.6451839470223</v>
      </c>
      <c r="I13529" s="6" t="n">
        <f aca="false">(Sens!H13515+Sens!I13515)/2*Sens!I13528/1000</f>
        <v>11.7776936240667</v>
      </c>
      <c r="J13529" s="6" t="n">
        <f aca="false">(Sens!I13515+Sens!J13515)/2*Sens!J13528/1000</f>
        <v>11.977810279195</v>
      </c>
      <c r="K13529" s="6" t="n">
        <f aca="false">(Sens!J13515+Sens!K13515)/2*Sens!K13528/1000</f>
        <v>12.3753393103283</v>
      </c>
    </row>
    <row r="13530" customFormat="false" ht="17.15" hidden="false" customHeight="false" outlineLevel="0" collapsed="false">
      <c r="A13530" s="0" t="s">
        <v>836</v>
      </c>
      <c r="B13530" s="0" t="s">
        <v>98</v>
      </c>
      <c r="D13530" s="6" t="n">
        <f aca="false">(Sens!C13513+Sens!D13513)/2*rent_mw/1000</f>
        <v>2.44475</v>
      </c>
      <c r="E13530" s="6" t="n">
        <f aca="false">(Sens!D13513+Sens!E13513)/2*rent_mw/1000</f>
        <v>4.22275</v>
      </c>
      <c r="F13530" s="6" t="n">
        <f aca="false">(Sens!E13513+Sens!F13513)/2*rent_mw/1000</f>
        <v>5.80517</v>
      </c>
      <c r="G13530" s="6" t="n">
        <f aca="false">(Sens!F13513+Sens!G13513)/2*rent_mw/1000</f>
        <v>6.72084</v>
      </c>
      <c r="H13530" s="6" t="n">
        <f aca="false">(Sens!G13513+Sens!H13513)/2*rent_mw/1000</f>
        <v>6.72084</v>
      </c>
      <c r="I13530" s="6" t="n">
        <f aca="false">(Sens!H13513+Sens!I13513)/2*rent_mw/1000</f>
        <v>6.72084</v>
      </c>
      <c r="J13530" s="6" t="n">
        <f aca="false">(Sens!I13513+Sens!J13513)/2*rent_mw/1000</f>
        <v>6.72084</v>
      </c>
      <c r="K13530" s="6" t="n">
        <f aca="false">(Sens!J13513+Sens!K13513)/2*rent_mw/1000</f>
        <v>6.72084</v>
      </c>
    </row>
    <row r="13531" customFormat="false" ht="17.15" hidden="false" customHeight="false" outlineLevel="0" collapsed="false">
      <c r="A13531" s="0" t="s">
        <v>837</v>
      </c>
      <c r="B13531" s="0" t="s">
        <v>98</v>
      </c>
      <c r="D13531" s="6" t="n">
        <f aca="false">(Sens!C13515+Sens!D13515)/2*(1-self_build)*fac_rent/1000</f>
        <v>0.853242375631075</v>
      </c>
      <c r="E13531" s="6" t="n">
        <f aca="false">(Sens!D13515+Sens!E13515)/2*(1-self_build)*fac_rent/1000</f>
        <v>1.94955961408728</v>
      </c>
      <c r="F13531" s="6" t="n">
        <f aca="false">(Sens!E13515+Sens!F13515)/2*(1-self_build)*fac_rent/1000</f>
        <v>2.89903979255117</v>
      </c>
      <c r="G13531" s="6" t="n">
        <f aca="false">(Sens!F13515+Sens!G13515)/2*(1-self_build)*fac_rent/1000</f>
        <v>3.36038596077029</v>
      </c>
      <c r="H13531" s="6" t="n">
        <f aca="false">(Sens!G13515+Sens!H13515)/2*(1-self_build)*fac_rent/1000</f>
        <v>3.60147653900094</v>
      </c>
      <c r="I13531" s="6" t="n">
        <f aca="false">(Sens!H13515+Sens!I13515)/2*(1-self_build)*fac_rent/1000</f>
        <v>3.60147653900094</v>
      </c>
      <c r="J13531" s="6" t="n">
        <f aca="false">(Sens!I13515+Sens!J13515)/2*(1-self_build)*fac_rent/1000</f>
        <v>3.60147653900094</v>
      </c>
      <c r="K13531" s="6" t="n">
        <f aca="false">(Sens!J13515+Sens!K13515)/2*(1-self_build)*fac_rent/1000</f>
        <v>3.60147653900094</v>
      </c>
      <c r="L13531" s="11" t="s">
        <v>838</v>
      </c>
    </row>
    <row r="13532" customFormat="false" ht="17.15" hidden="false" customHeight="false" outlineLevel="0" collapsed="false">
      <c r="A13532" s="1" t="s">
        <v>839</v>
      </c>
      <c r="B13532" s="0" t="s">
        <v>129</v>
      </c>
      <c r="D13532" s="7" t="n">
        <f aca="false">(Sens!C13514+Sens!D13514)/(Sens!C13515+Sens!D13515)</f>
        <v>0.6</v>
      </c>
      <c r="E13532" s="7" t="n">
        <f aca="false">(Sens!D13514+Sens!E13514)/(Sens!D13515+Sens!E13515)</f>
        <v>0.6</v>
      </c>
      <c r="F13532" s="7" t="n">
        <f aca="false">(Sens!E13514+Sens!F13514)/(Sens!E13515+Sens!F13515)</f>
        <v>0.6</v>
      </c>
      <c r="G13532" s="7" t="n">
        <f aca="false">(Sens!F13514+Sens!G13514)/(Sens!F13515+Sens!G13515)</f>
        <v>0.6</v>
      </c>
      <c r="H13532" s="7" t="n">
        <f aca="false">(Sens!G13514+Sens!H13514)/(Sens!G13515+Sens!H13515)</f>
        <v>0.6</v>
      </c>
      <c r="I13532" s="7" t="n">
        <f aca="false">(Sens!H13514+Sens!I13514)/(Sens!H13515+Sens!I13515)</f>
        <v>0.6</v>
      </c>
      <c r="J13532" s="7" t="n">
        <f aca="false">(Sens!I13514+Sens!J13514)/(Sens!I13515+Sens!J13515)</f>
        <v>0.6</v>
      </c>
      <c r="K13532" s="7" t="n">
        <f aca="false">(Sens!J13514+Sens!K13514)/(Sens!J13515+Sens!K13515)</f>
        <v>0.6</v>
      </c>
    </row>
    <row r="13533" customFormat="false" ht="17.15" hidden="false" customHeight="false" outlineLevel="0" collapsed="false">
      <c r="A13533" s="0" t="s">
        <v>840</v>
      </c>
      <c r="B13533" s="0" t="s">
        <v>98</v>
      </c>
      <c r="D13533" s="6" t="n">
        <f aca="false">Sens!D13527-Sens!D13532*(Sens!D13529+Sens!D13531)-Sens!D13530</f>
        <v>8.35701406163072</v>
      </c>
      <c r="E13533" s="6" t="n">
        <f aca="false">Sens!E13527-Sens!E13532*(Sens!E13529+Sens!E13531)-Sens!E13530</f>
        <v>18.7103224860238</v>
      </c>
      <c r="F13533" s="6" t="n">
        <f aca="false">Sens!F13527-Sens!F13532*(Sens!F13529+Sens!F13531)-Sens!F13530</f>
        <v>25.3738188062213</v>
      </c>
      <c r="G13533" s="6" t="n">
        <f aca="false">Sens!G13527-Sens!G13532*(Sens!G13529+Sens!G13531)-Sens!G13530</f>
        <v>26.3082414433501</v>
      </c>
      <c r="H13533" s="6" t="n">
        <f aca="false">Sens!H13527-Sens!H13532*(Sens!H13529+Sens!H13531)-Sens!H13530</f>
        <v>23.9464578566021</v>
      </c>
      <c r="I13533" s="6" t="n">
        <f aca="false">Sens!I13527-Sens!I13532*(Sens!I13529+Sens!I13531)-Sens!I13530</f>
        <v>24.9008320633494</v>
      </c>
      <c r="J13533" s="6" t="n">
        <f aca="false">Sens!J13527-Sens!J13532*(Sens!J13529+Sens!J13531)-Sens!J13530</f>
        <v>26.3421318857841</v>
      </c>
      <c r="K13533" s="6" t="n">
        <f aca="false">Sens!K13527-Sens!K13532*(Sens!K13529+Sens!K13531)-Sens!K13530</f>
        <v>29.2052545060261</v>
      </c>
    </row>
    <row r="13534" customFormat="false" ht="17.15" hidden="false" customHeight="false" outlineLevel="0" collapsed="false">
      <c r="A13534" s="1" t="s">
        <v>841</v>
      </c>
      <c r="B13534" s="0" t="s">
        <v>98</v>
      </c>
      <c r="D13534" s="6" t="n">
        <f aca="false">(1-Sens!D13532)*(Sens!D13529+Sens!D13531)</f>
        <v>1.42281025374069</v>
      </c>
      <c r="E13534" s="6" t="n">
        <f aca="false">(1-Sens!E13532)*(Sens!E13529+Sens!E13531)</f>
        <v>3.25095598674472</v>
      </c>
      <c r="F13534" s="6" t="n">
        <f aca="false">(1-Sens!F13532)*(Sens!F13529+Sens!F13531)</f>
        <v>4.87630092582913</v>
      </c>
      <c r="G13534" s="6" t="n">
        <f aca="false">(1-Sens!G13532)*(Sens!G13529+Sens!G13531)</f>
        <v>5.69040650866783</v>
      </c>
      <c r="H13534" s="6" t="n">
        <f aca="false">(1-Sens!H13532)*(Sens!H13529+Sens!H13531)</f>
        <v>6.09866419440928</v>
      </c>
      <c r="I13534" s="6" t="n">
        <f aca="false">(1-Sens!I13532)*(Sens!I13529+Sens!I13531)</f>
        <v>6.15166806522705</v>
      </c>
      <c r="J13534" s="6" t="n">
        <f aca="false">(1-Sens!J13532)*(Sens!J13529+Sens!J13531)</f>
        <v>6.23171472727838</v>
      </c>
      <c r="K13534" s="6" t="n">
        <f aca="false">(1-Sens!K13532)*(Sens!K13529+Sens!K13531)</f>
        <v>6.39072633973169</v>
      </c>
    </row>
    <row r="13535" customFormat="false" ht="17.15" hidden="false" customHeight="false" outlineLevel="0" collapsed="false">
      <c r="A13535" s="1" t="s">
        <v>842</v>
      </c>
      <c r="B13535" s="0" t="s">
        <v>357</v>
      </c>
      <c r="C13535" s="8" t="n">
        <f aca="false">cxit_open</f>
        <v>27.5918995</v>
      </c>
      <c r="D13535" s="8" t="n">
        <f aca="false">cxit_open</f>
        <v>27.5918995</v>
      </c>
      <c r="E13535" s="8" t="n">
        <f aca="false">cxit_open</f>
        <v>27.5918995</v>
      </c>
      <c r="F13535" s="8" t="n">
        <f aca="false">(a_g3_27*tk_cxit_gb300+(1-a_g3_27)*tk_cxit_vr200)</f>
        <v>33.8419624</v>
      </c>
      <c r="G13535" s="8" t="n">
        <f aca="false">(a_g3_28*tk_cxit_gb300+(1-a_g3_28)*tk_cxit_vr200)</f>
        <v>35.9816136</v>
      </c>
      <c r="H13535" s="8" t="n">
        <f aca="false">(a_g3_29*tk_cxit_gb300+(1-a_g3_29)*tk_cxit_vr200)</f>
        <v>37.0514392</v>
      </c>
      <c r="I13535" s="8" t="n">
        <f aca="false">(a_g3_29*tk_cxit_gb300+(1-a_g3_29)*tk_cxit_vr200)</f>
        <v>37.0514392</v>
      </c>
      <c r="J13535" s="8" t="n">
        <f aca="false">(a_g3_29*tk_cxit_gb300+(1-a_g3_29)*tk_cxit_vr200)</f>
        <v>37.0514392</v>
      </c>
      <c r="K13535" s="8" t="n">
        <f aca="false">(a_g3_29*tk_cxit_gb300+(1-a_g3_29)*tk_cxit_vr200)</f>
        <v>37.0514392</v>
      </c>
      <c r="L13535" s="11" t="s">
        <v>843</v>
      </c>
    </row>
    <row r="13536" customFormat="false" ht="17.15" hidden="false" customHeight="false" outlineLevel="0" collapsed="false">
      <c r="A13536" s="0" t="s">
        <v>844</v>
      </c>
      <c r="B13536" s="0" t="s">
        <v>399</v>
      </c>
      <c r="F13536" s="29" t="n">
        <f aca="false">Sens!C13517*IF(Sens!F13510-Sens!C13510=life_it,1,0)+Sens!D13517*IF(Sens!F13510-Sens!D13510=life_it,1,0)+Sens!E13517*IF(Sens!F13510-Sens!E13510=life_it,1,0)</f>
        <v>0</v>
      </c>
      <c r="G13536" s="29" t="n">
        <f aca="false">Sens!C13517*IF(Sens!G13510-Sens!C13510=life_it,1,0)+Sens!D13517*IF(Sens!G13510-Sens!D13510=life_it,1,0)+Sens!E13517*IF(Sens!G13510-Sens!E13510=life_it,1,0)+Sens!F13517*IF(Sens!G13510-Sens!F13510=life_it,1,0)</f>
        <v>0</v>
      </c>
      <c r="H13536" s="29" t="n">
        <f aca="false">Sens!C13517*IF(Sens!H13510-Sens!C13510=life_it,1,0)+Sens!D13517*IF(Sens!H13510-Sens!D13510=life_it,1,0)+Sens!E13517*IF(Sens!H13510-Sens!E13510=life_it,1,0)+Sens!F13517*IF(Sens!H13510-Sens!F13510=life_it,1,0)+Sens!G13517*IF(Sens!H13510-Sens!G13510=life_it,1,0)</f>
        <v>0</v>
      </c>
      <c r="I13536" s="29" t="n">
        <f aca="false">Sens!C13517*IF(Sens!I13510-Sens!C13510=life_it,1,0)+Sens!D13517*IF(Sens!I13510-Sens!D13510=life_it,1,0)+Sens!E13517*IF(Sens!I13510-Sens!E13510=life_it,1,0)+Sens!F13517*IF(Sens!I13510-Sens!F13510=life_it,1,0)+Sens!G13517*IF(Sens!I13510-Sens!G13510=life_it,1,0)+Sens!H13517*IF(Sens!I13510-Sens!H13510=life_it,1,0)</f>
        <v>816.666666666667</v>
      </c>
      <c r="J13536" s="29" t="n">
        <f aca="false">Sens!C13517*IF(Sens!J13510-Sens!C13510=life_it,1,0)+Sens!D13517*IF(Sens!J13510-Sens!D13510=life_it,1,0)+Sens!E13517*IF(Sens!J13510-Sens!E13510=life_it,1,0)+Sens!F13517*IF(Sens!J13510-Sens!F13510=life_it,1,0)+Sens!G13517*IF(Sens!J13510-Sens!G13510=life_it,1,0)+Sens!H13517*IF(Sens!J13510-Sens!H13510=life_it,1,0)+Sens!I13517*IF(Sens!J13510-Sens!I13510=life_it,1,0)</f>
        <v>1233.33333333333</v>
      </c>
      <c r="K13536" s="29" t="n">
        <f aca="false">Sens!C13517*IF(Sens!K13510-Sens!C13510=life_it,1,0)+Sens!D13517*IF(Sens!K13510-Sens!D13510=life_it,1,0)+Sens!E13517*IF(Sens!K13510-Sens!E13510=life_it,1,0)+Sens!F13517*IF(Sens!K13510-Sens!F13510=life_it,1,0)+Sens!G13517*IF(Sens!K13510-Sens!G13510=life_it,1,0)+Sens!H13517*IF(Sens!K13510-Sens!H13510=life_it,1,0)+Sens!I13517*IF(Sens!K13510-Sens!I13510=life_it,1,0)+Sens!J13517*IF(Sens!K13510-Sens!J13510=life_it,1,0)</f>
        <v>2450</v>
      </c>
      <c r="L13536" s="1" t="s">
        <v>845</v>
      </c>
    </row>
    <row r="13537" customFormat="false" ht="17.15" hidden="false" customHeight="false" outlineLevel="0" collapsed="false">
      <c r="A13537" s="0" t="s">
        <v>846</v>
      </c>
      <c r="B13537" s="0" t="s">
        <v>98</v>
      </c>
      <c r="C13537" s="6" t="n">
        <f aca="false">Sens!C13517*Sens!C13535/1000</f>
        <v>22.5333845916667</v>
      </c>
      <c r="D13537" s="6" t="n">
        <f aca="false">Sens!D13517*Sens!D13535/1000</f>
        <v>34.0300093833333</v>
      </c>
      <c r="E13537" s="6" t="n">
        <f aca="false">Sens!E13517*Sens!E13535/1000</f>
        <v>67.600153775</v>
      </c>
      <c r="F13537" s="6" t="n">
        <f aca="false">(Sens!F13517+Sens!F13536)*Sens!F13535/1000</f>
        <v>25.043052176</v>
      </c>
      <c r="G13537" s="6" t="n">
        <f aca="false">(Sens!G13517+Sens!G13536)*Sens!G13535/1000</f>
        <v>29.145107016</v>
      </c>
      <c r="H13537" s="6" t="n">
        <f aca="false">(Sens!H13517+Sens!H13536)*Sens!H13535/1000</f>
        <v>0</v>
      </c>
      <c r="I13537" s="6" t="n">
        <f aca="false">(Sens!I13517+Sens!I13536)*Sens!I13535/1000</f>
        <v>30.2586753466667</v>
      </c>
      <c r="J13537" s="6" t="n">
        <f aca="false">(Sens!J13517+Sens!J13536)*Sens!J13535/1000</f>
        <v>45.6967750133333</v>
      </c>
      <c r="K13537" s="6" t="n">
        <f aca="false">(Sens!K13517+Sens!K13536)*Sens!K13535/1000</f>
        <v>90.77602604</v>
      </c>
    </row>
    <row r="13538" customFormat="false" ht="17.15" hidden="false" customHeight="false" outlineLevel="0" collapsed="false">
      <c r="A13538" s="0" t="s">
        <v>847</v>
      </c>
      <c r="B13538" s="0" t="s">
        <v>98</v>
      </c>
      <c r="C13538" s="6" t="n">
        <f aca="false">Sens!C13517*self_build*tk_cxfac/1000</f>
        <v>6.2083</v>
      </c>
      <c r="D13538" s="6" t="n">
        <f aca="false">Sens!D13517*self_build*tk_cxfac/1000</f>
        <v>9.3758</v>
      </c>
      <c r="E13538" s="6" t="n">
        <f aca="false">Sens!E13517*self_build*tk_cxfac/1000</f>
        <v>18.6249</v>
      </c>
      <c r="F13538" s="6" t="n">
        <f aca="false">Sens!F13517*self_build*tk_cxfac/1000</f>
        <v>5.62548</v>
      </c>
      <c r="G13538" s="6" t="n">
        <f aca="false">Sens!G13517*self_build*tk_cxfac/1000</f>
        <v>6.15762</v>
      </c>
      <c r="H13538" s="6" t="n">
        <f aca="false">Sens!H13517*self_build*tk_cxfac/1000</f>
        <v>0</v>
      </c>
      <c r="I13538" s="6" t="n">
        <f aca="false">Sens!I13517*self_build*tk_cxfac/1000</f>
        <v>0</v>
      </c>
      <c r="J13538" s="6" t="n">
        <f aca="false">Sens!J13517*self_build*tk_cxfac/1000</f>
        <v>0</v>
      </c>
      <c r="K13538" s="6" t="n">
        <f aca="false">Sens!K13517*self_build*tk_cxfac/1000</f>
        <v>0</v>
      </c>
    </row>
    <row r="13539" customFormat="false" ht="17.15" hidden="false" customHeight="false" outlineLevel="0" collapsed="false">
      <c r="A13539" s="0" t="s">
        <v>848</v>
      </c>
      <c r="B13539" s="0" t="s">
        <v>98</v>
      </c>
      <c r="F13539" s="6" t="n">
        <f aca="false">MAX(0,capex_floor27-Sens!F13537-Sens!F13538-Sens!F13633)</f>
        <v>138.102120594438</v>
      </c>
    </row>
    <row r="13540" customFormat="false" ht="17.15" hidden="false" customHeight="false" outlineLevel="0" collapsed="false">
      <c r="A13540" s="0" t="s">
        <v>849</v>
      </c>
      <c r="B13540" s="0" t="s">
        <v>98</v>
      </c>
      <c r="C13540" s="6" t="n">
        <f aca="false">Sens!C13537</f>
        <v>22.5333845916667</v>
      </c>
      <c r="D13540" s="6" t="n">
        <f aca="false">Sens!D13537</f>
        <v>34.0300093833333</v>
      </c>
      <c r="E13540" s="6" t="n">
        <f aca="false">Sens!E13537</f>
        <v>67.600153775</v>
      </c>
      <c r="F13540" s="6" t="n">
        <f aca="false">Sens!F13537</f>
        <v>25.043052176</v>
      </c>
      <c r="G13540" s="6" t="n">
        <f aca="false">Sens!G13537</f>
        <v>29.145107016</v>
      </c>
      <c r="H13540" s="6" t="n">
        <f aca="false">Sens!H13537</f>
        <v>0</v>
      </c>
      <c r="I13540" s="6" t="n">
        <f aca="false">Sens!I13537</f>
        <v>30.2586753466667</v>
      </c>
      <c r="J13540" s="6" t="n">
        <f aca="false">Sens!J13537</f>
        <v>45.6967750133333</v>
      </c>
      <c r="K13540" s="6" t="n">
        <f aca="false">Sens!K13537</f>
        <v>90.77602604</v>
      </c>
    </row>
    <row r="13541" customFormat="false" ht="17.15" hidden="false" customHeight="false" outlineLevel="0" collapsed="false">
      <c r="A13541" s="0" t="s">
        <v>850</v>
      </c>
      <c r="B13541" s="0" t="s">
        <v>98</v>
      </c>
      <c r="C13541" s="6" t="n">
        <f aca="false">Sens!C13540+Sens!C13538</f>
        <v>28.7416845916667</v>
      </c>
      <c r="D13541" s="6" t="n">
        <f aca="false">Sens!D13540+Sens!D13538</f>
        <v>43.4058093833333</v>
      </c>
      <c r="E13541" s="6" t="n">
        <f aca="false">Sens!E13540+Sens!E13538</f>
        <v>86.225053775</v>
      </c>
      <c r="F13541" s="6" t="n">
        <f aca="false">Sens!F13540+Sens!F13538</f>
        <v>30.668532176</v>
      </c>
      <c r="G13541" s="6" t="n">
        <f aca="false">Sens!G13540+Sens!G13538</f>
        <v>35.302727016</v>
      </c>
      <c r="H13541" s="6" t="n">
        <f aca="false">Sens!H13540+Sens!H13538</f>
        <v>0</v>
      </c>
      <c r="I13541" s="6" t="n">
        <f aca="false">Sens!I13540+Sens!I13538</f>
        <v>30.2586753466667</v>
      </c>
      <c r="J13541" s="6" t="n">
        <f aca="false">Sens!J13540+Sens!J13538</f>
        <v>45.6967750133333</v>
      </c>
      <c r="K13541" s="6" t="n">
        <f aca="false">Sens!K13540+Sens!K13538</f>
        <v>90.77602604</v>
      </c>
      <c r="L13541" s="11" t="s">
        <v>851</v>
      </c>
    </row>
    <row r="13542" customFormat="false" ht="17.15" hidden="false" customHeight="false" outlineLevel="0" collapsed="false">
      <c r="A13542" s="0" t="s">
        <v>852</v>
      </c>
      <c r="B13542" s="0" t="s">
        <v>98</v>
      </c>
      <c r="E13542" s="6" t="n">
        <f aca="false">(Sens!C13540*IF(2&lt;life_it,1,IF(2=life_it,0.5,0))+Sens!D13540*IF(1&lt;life_it,1,IF(1=life_it,0.5,0))+Sens!E13540*0.5)/life_it</f>
        <v>15.0605784770833</v>
      </c>
      <c r="F13542" s="6" t="n">
        <f aca="false">(Sens!C13540*IF(3&lt;life_it,1,IF(3=life_it,0.5,0))+Sens!D13540*IF(2&lt;life_it,1,IF(2=life_it,0.5,0))+Sens!E13540*IF(1&lt;life_it,1,IF(1=life_it,0.5,0))+Sens!F13540*0.5)/life_it</f>
        <v>22.7808456396667</v>
      </c>
      <c r="G13542" s="6" t="n">
        <f aca="false">(Sens!C13540*IF(4&lt;life_it,1,IF(4=life_it,0.5,0))+Sens!D13540*IF(3&lt;life_it,1,IF(3=life_it,0.5,0))+Sens!E13540*IF(2&lt;life_it,1,IF(2=life_it,0.5,0))+Sens!F13540*IF(1&lt;life_it,1,IF(1=life_it,0.5,0))+Sens!G13540*0.5)/life_it</f>
        <v>27.2965255723333</v>
      </c>
      <c r="H13542" s="6" t="n">
        <f aca="false">(Sens!C13540*IF(5&lt;life_it,1,IF(5=life_it,0.5,0))+Sens!D13540*IF(4&lt;life_it,1,IF(4=life_it,0.5,0))+Sens!E13540*IF(3&lt;life_it,1,IF(3=life_it,0.5,0))+Sens!F13540*IF(2&lt;life_it,1,IF(2=life_it,0.5,0))+Sens!G13540*IF(1&lt;life_it,1,IF(1=life_it,0.5,0))+Sens!H13540*0.5)/life_it</f>
        <v>29.7252844903333</v>
      </c>
      <c r="I13542" s="6" t="n">
        <f aca="false">(Sens!C13540*IF(6&lt;life_it,1,IF(6=life_it,0.5,0))+Sens!D13540*IF(5&lt;life_it,1,IF(5=life_it,0.5,0))+Sens!E13540*IF(4&lt;life_it,1,IF(4=life_it,0.5,0))+Sens!F13540*IF(3&lt;life_it,1,IF(3=life_it,0.5,0))+Sens!G13540*IF(2&lt;life_it,1,IF(2=life_it,0.5,0))+Sens!H13540*IF(1&lt;life_it,1,IF(1=life_it,0.5,0))+Sens!I13540*0.5)/life_it</f>
        <v>30.3690587199167</v>
      </c>
      <c r="J13542" s="6" t="n">
        <f aca="false">(Sens!C13540*IF(7&lt;life_it,1,IF(7=life_it,0.5,0))+Sens!D13540*IF(6&lt;life_it,1,IF(6=life_it,0.5,0))+Sens!E13540*IF(5&lt;life_it,1,IF(5=life_it,0.5,0))+Sens!F13540*IF(4&lt;life_it,1,IF(4=life_it,0.5,0))+Sens!G13540*IF(3&lt;life_it,1,IF(3=life_it,0.5,0))+Sens!H13540*IF(2&lt;life_it,1,IF(2=life_it,0.5,0))+Sens!I13540*IF(1&lt;life_it,1,IF(1=life_it,0.5,0))+Sens!J13540*0.5)/life_it</f>
        <v>31.9850634186667</v>
      </c>
      <c r="K13542" s="6" t="n">
        <f aca="false">(Sens!C13540*IF(8&lt;life_it,1,IF(8=life_it,0.5,0))+Sens!D13540*IF(7&lt;life_it,1,IF(7=life_it,0.5,0))+Sens!E13540*IF(6&lt;life_it,1,IF(6=life_it,0.5,0))+Sens!F13540*IF(5&lt;life_it,1,IF(5=life_it,0.5,0))+Sens!G13540*IF(4&lt;life_it,1,IF(4=life_it,0.5,0))+Sens!H13540*IF(3&lt;life_it,1,IF(3=life_it,0.5,0))+Sens!I13540*IF(2&lt;life_it,1,IF(2=life_it,0.5,0))+Sens!J13540*IF(1&lt;life_it,1,IF(1=life_it,0.5,0))+Sens!K13540*0.5)/life_it</f>
        <v>34.8886165765833</v>
      </c>
    </row>
    <row r="13543" customFormat="false" ht="17.15" hidden="false" customHeight="false" outlineLevel="0" collapsed="false">
      <c r="A13543" s="0" t="s">
        <v>853</v>
      </c>
      <c r="B13543" s="0" t="s">
        <v>98</v>
      </c>
      <c r="E13543" s="6" t="n">
        <f aca="false">(Sens!C13538*IF(2&lt;life_fac,1,IF(2=life_fac,0.5,0))+Sens!D13538*IF(1&lt;life_fac,1,IF(1=life_fac,0.5,0))+Sens!E13538*0.5)/life_fac</f>
        <v>1.2448275</v>
      </c>
      <c r="F13543" s="6" t="n">
        <f aca="false">(Sens!C13538*IF(3&lt;life_fac,1,IF(3=life_fac,0.5,0))+Sens!D13538*IF(2&lt;life_fac,1,IF(2=life_fac,0.5,0))+Sens!E13538*IF(1&lt;life_fac,1,IF(1=life_fac,0.5,0))+Sens!F13538*0.5)/life_fac</f>
        <v>1.851087</v>
      </c>
      <c r="G13543" s="6" t="n">
        <f aca="false">(Sens!C13538*IF(4&lt;life_fac,1,IF(4=life_fac,0.5,0))+Sens!D13538*IF(3&lt;life_fac,1,IF(3=life_fac,0.5,0))+Sens!E13538*IF(2&lt;life_fac,1,IF(2=life_fac,0.5,0))+Sens!F13538*IF(1&lt;life_fac,1,IF(1=life_fac,0.5,0))+Sens!G13538*0.5)/life_fac</f>
        <v>2.1456645</v>
      </c>
      <c r="H13543" s="6" t="n">
        <f aca="false">(Sens!C13538*IF(5&lt;life_fac,1,IF(5=life_fac,0.5,0))+Sens!D13538*IF(4&lt;life_fac,1,IF(4=life_fac,0.5,0))+Sens!E13538*IF(3&lt;life_fac,1,IF(3=life_fac,0.5,0))+Sens!F13538*IF(2&lt;life_fac,1,IF(2=life_fac,0.5,0))+Sens!G13538*IF(1&lt;life_fac,1,IF(1=life_fac,0.5,0))+Sens!H13538*0.5)/life_fac</f>
        <v>2.299605</v>
      </c>
      <c r="I13543" s="6" t="n">
        <f aca="false">(Sens!C13538*IF(6&lt;life_fac,1,IF(6=life_fac,0.5,0))+Sens!D13538*IF(5&lt;life_fac,1,IF(5=life_fac,0.5,0))+Sens!E13538*IF(4&lt;life_fac,1,IF(4=life_fac,0.5,0))+Sens!F13538*IF(3&lt;life_fac,1,IF(3=life_fac,0.5,0))+Sens!G13538*IF(2&lt;life_fac,1,IF(2=life_fac,0.5,0))+Sens!H13538*IF(1&lt;life_fac,1,IF(1=life_fac,0.5,0))+Sens!I13538*0.5)/life_fac</f>
        <v>2.299605</v>
      </c>
      <c r="J13543" s="6" t="n">
        <f aca="false">(Sens!C13538*IF(7&lt;life_fac,1,IF(7=life_fac,0.5,0))+Sens!D13538*IF(6&lt;life_fac,1,IF(6=life_fac,0.5,0))+Sens!E13538*IF(5&lt;life_fac,1,IF(5=life_fac,0.5,0))+Sens!F13538*IF(4&lt;life_fac,1,IF(4=life_fac,0.5,0))+Sens!G13538*IF(3&lt;life_fac,1,IF(3=life_fac,0.5,0))+Sens!H13538*IF(2&lt;life_fac,1,IF(2=life_fac,0.5,0))+Sens!I13538*IF(1&lt;life_fac,1,IF(1=life_fac,0.5,0))+Sens!J13538*0.5)/life_fac</f>
        <v>2.299605</v>
      </c>
      <c r="K13543" s="6" t="n">
        <f aca="false">(Sens!C13538*IF(8&lt;life_fac,1,IF(8=life_fac,0.5,0))+Sens!D13538*IF(7&lt;life_fac,1,IF(7=life_fac,0.5,0))+Sens!E13538*IF(6&lt;life_fac,1,IF(6=life_fac,0.5,0))+Sens!F13538*IF(5&lt;life_fac,1,IF(5=life_fac,0.5,0))+Sens!G13538*IF(4&lt;life_fac,1,IF(4=life_fac,0.5,0))+Sens!H13538*IF(3&lt;life_fac,1,IF(3=life_fac,0.5,0))+Sens!I13538*IF(2&lt;life_fac,1,IF(2=life_fac,0.5,0))+Sens!J13538*IF(1&lt;life_fac,1,IF(1=life_fac,0.5,0))+Sens!K13538*0.5)/life_fac</f>
        <v>2.299605</v>
      </c>
    </row>
    <row r="13544" customFormat="false" ht="17.15" hidden="false" customHeight="false" outlineLevel="0" collapsed="false">
      <c r="A13544" s="0" t="s">
        <v>854</v>
      </c>
      <c r="B13544" s="0" t="s">
        <v>98</v>
      </c>
      <c r="E13544" s="6" t="n">
        <f aca="false">Sens!E13542+Sens!E13543</f>
        <v>16.3054059770833</v>
      </c>
      <c r="F13544" s="6" t="n">
        <f aca="false">Sens!F13542+Sens!F13543</f>
        <v>24.6319326396667</v>
      </c>
      <c r="G13544" s="6" t="n">
        <f aca="false">Sens!G13542+Sens!G13543</f>
        <v>29.4421900723333</v>
      </c>
      <c r="H13544" s="6" t="n">
        <f aca="false">Sens!H13542+Sens!H13543</f>
        <v>32.0248894903333</v>
      </c>
      <c r="I13544" s="6" t="n">
        <f aca="false">Sens!I13542+Sens!I13543</f>
        <v>32.6686637199167</v>
      </c>
      <c r="J13544" s="6" t="n">
        <f aca="false">Sens!J13542+Sens!J13543</f>
        <v>34.2846684186667</v>
      </c>
      <c r="K13544" s="6" t="n">
        <f aca="false">Sens!K13542+Sens!K13543</f>
        <v>37.1882215765833</v>
      </c>
    </row>
    <row r="13545" customFormat="false" ht="17.15" hidden="false" customHeight="false" outlineLevel="0" collapsed="false">
      <c r="A13545" s="0" t="s">
        <v>855</v>
      </c>
      <c r="B13545" s="0" t="s">
        <v>98</v>
      </c>
      <c r="E13545" s="6" t="n">
        <f aca="false">Sens!E13533-Sens!E13532*Sens!E13544</f>
        <v>8.92707889977379</v>
      </c>
      <c r="F13545" s="6" t="n">
        <f aca="false">Sens!F13533-Sens!F13532*Sens!F13544</f>
        <v>10.5946592224213</v>
      </c>
      <c r="G13545" s="6" t="n">
        <f aca="false">Sens!G13533-Sens!G13532*Sens!G13544</f>
        <v>8.64292739995008</v>
      </c>
      <c r="H13545" s="6" t="n">
        <f aca="false">Sens!H13533-Sens!H13532*Sens!H13544</f>
        <v>4.7315241624021</v>
      </c>
      <c r="I13545" s="6" t="n">
        <f aca="false">Sens!I13533-Sens!I13532*Sens!I13544</f>
        <v>5.29963383139942</v>
      </c>
      <c r="J13545" s="6" t="n">
        <f aca="false">Sens!J13533-Sens!J13532*Sens!J13544</f>
        <v>5.77133083458414</v>
      </c>
      <c r="K13545" s="6" t="n">
        <f aca="false">Sens!K13533-Sens!K13532*Sens!K13544</f>
        <v>6.89232156007611</v>
      </c>
    </row>
    <row r="13546" customFormat="false" ht="17.15" hidden="false" customHeight="false" outlineLevel="0" collapsed="false">
      <c r="A13546" s="3" t="s">
        <v>1605</v>
      </c>
    </row>
    <row r="13547" customFormat="false" ht="15" hidden="false" customHeight="false" outlineLevel="0" collapsed="false">
      <c r="A13547" s="4" t="s">
        <v>43</v>
      </c>
      <c r="B13547" s="4" t="s">
        <v>65</v>
      </c>
      <c r="C13547" s="20" t="s">
        <v>799</v>
      </c>
      <c r="D13547" s="20" t="s">
        <v>800</v>
      </c>
      <c r="E13547" s="20" t="s">
        <v>801</v>
      </c>
      <c r="F13547" s="20" t="s">
        <v>802</v>
      </c>
      <c r="G13547" s="20" t="s">
        <v>803</v>
      </c>
      <c r="H13547" s="20" t="s">
        <v>804</v>
      </c>
      <c r="I13547" s="20" t="s">
        <v>805</v>
      </c>
      <c r="J13547" s="20" t="s">
        <v>806</v>
      </c>
      <c r="K13547" s="20" t="s">
        <v>807</v>
      </c>
      <c r="L13547" s="4" t="s">
        <v>47</v>
      </c>
    </row>
    <row r="13548" customFormat="false" ht="17.15" hidden="false" customHeight="false" outlineLevel="0" collapsed="false">
      <c r="A13548" s="0" t="s">
        <v>874</v>
      </c>
      <c r="B13548" s="0" t="s">
        <v>98</v>
      </c>
      <c r="D13548" s="6" t="n">
        <f aca="false">Sens!D13527</f>
        <v>12.9359794422418</v>
      </c>
      <c r="E13548" s="6" t="n">
        <f aca="false">Sens!E13527</f>
        <v>27.8095064661409</v>
      </c>
      <c r="F13548" s="6" t="n">
        <f aca="false">Sens!F13527</f>
        <v>38.493440194965</v>
      </c>
      <c r="G13548" s="6" t="n">
        <f aca="false">Sens!G13527</f>
        <v>41.5646912063518</v>
      </c>
      <c r="H13548" s="6" t="n">
        <f aca="false">Sens!H13527</f>
        <v>39.815294148216</v>
      </c>
      <c r="I13548" s="6" t="n">
        <f aca="false">Sens!I13527</f>
        <v>40.84917416119</v>
      </c>
      <c r="J13548" s="6" t="n">
        <f aca="false">Sens!J13527</f>
        <v>42.4105439767017</v>
      </c>
      <c r="K13548" s="6" t="n">
        <f aca="false">Sens!K13527</f>
        <v>45.5121840156236</v>
      </c>
    </row>
    <row r="13549" customFormat="false" ht="17.15" hidden="false" customHeight="false" outlineLevel="0" collapsed="false">
      <c r="A13549" s="0" t="s">
        <v>875</v>
      </c>
      <c r="B13549" s="0" t="s">
        <v>98</v>
      </c>
      <c r="D13549" s="6" t="n">
        <f aca="false">Q!L6-Sens!D13548</f>
        <v>59.6740205577583</v>
      </c>
      <c r="E13549" s="6" t="n">
        <f aca="false">Q!M6-Sens!E13548</f>
        <v>74.1284935338591</v>
      </c>
      <c r="F13549" s="6" t="n">
        <f aca="false">Sens!E13549*(1+Sens!F13550)</f>
        <v>90.0799497373663</v>
      </c>
      <c r="G13549" s="6" t="n">
        <f aca="false">Sens!F13549*(1+Sens!G13550)</f>
        <v>107.02842520331</v>
      </c>
      <c r="H13549" s="6" t="n">
        <f aca="false">Sens!G13549*(1+Sens!H13550)</f>
        <v>124.271982585636</v>
      </c>
      <c r="I13549" s="6" t="n">
        <f aca="false">Sens!H13549*(1+Sens!I13550)</f>
        <v>140.933702381855</v>
      </c>
      <c r="J13549" s="6" t="n">
        <f aca="false">Sens!I13549*(1+Sens!J13550)</f>
        <v>156.018867314332</v>
      </c>
      <c r="K13549" s="6" t="n">
        <f aca="false">Sens!J13549*(1+Sens!K13550)</f>
        <v>168.500376699478</v>
      </c>
    </row>
    <row r="13550" customFormat="false" ht="15" hidden="false" customHeight="false" outlineLevel="0" collapsed="false">
      <c r="A13550" s="1" t="s">
        <v>876</v>
      </c>
      <c r="B13550" s="0" t="s">
        <v>129</v>
      </c>
      <c r="E13550" s="7" t="n">
        <f aca="false">Sens!E13549/Sens!D13549-1</f>
        <v>0.242223883039864</v>
      </c>
      <c r="F13550" s="7" t="n">
        <f aca="false">Sens!$E$13550+(glt_azo-Sens!$E$13550)*MIN(1,(Sens!F13510-base_fy)/n_conv)</f>
        <v>0.215186569199887</v>
      </c>
      <c r="G13550" s="7" t="n">
        <f aca="false">Sens!$E$13550+(glt_azo-Sens!$E$13550)*MIN(1,(Sens!G13510-base_fy)/n_conv)</f>
        <v>0.18814925535991</v>
      </c>
      <c r="H13550" s="7" t="n">
        <f aca="false">Sens!$E$13550+(glt_azo-Sens!$E$13550)*MIN(1,(Sens!H13510-base_fy)/n_conv)</f>
        <v>0.161111941519932</v>
      </c>
      <c r="I13550" s="7" t="n">
        <f aca="false">Sens!$E$13550+(glt_azo-Sens!$E$13550)*MIN(1,(Sens!I13510-base_fy)/n_conv)</f>
        <v>0.134074627679955</v>
      </c>
      <c r="J13550" s="7" t="n">
        <f aca="false">Sens!$E$13550+(glt_azo-Sens!$E$13550)*MIN(1,(Sens!J13510-base_fy)/n_conv)</f>
        <v>0.107037313839977</v>
      </c>
      <c r="K13550" s="7" t="n">
        <f aca="false">Sens!$E$13550+(glt_azo-Sens!$E$13550)*MIN(1,(Sens!K13510-base_fy)/n_conv)</f>
        <v>0.08</v>
      </c>
    </row>
    <row r="13551" customFormat="false" ht="15" hidden="false" customHeight="false" outlineLevel="0" collapsed="false">
      <c r="A13551" s="0" t="s">
        <v>877</v>
      </c>
      <c r="B13551" s="0" t="s">
        <v>98</v>
      </c>
      <c r="D13551" s="6" t="n">
        <f aca="false">Sens!D13548+Sens!D13549</f>
        <v>72.61</v>
      </c>
      <c r="E13551" s="6" t="n">
        <f aca="false">Sens!E13548+Sens!E13549</f>
        <v>101.938</v>
      </c>
      <c r="F13551" s="6" t="n">
        <f aca="false">Sens!F13548+Sens!F13549</f>
        <v>128.573389932331</v>
      </c>
      <c r="G13551" s="6" t="n">
        <f aca="false">Sens!G13548+Sens!G13549</f>
        <v>148.593116409662</v>
      </c>
      <c r="H13551" s="6" t="n">
        <f aca="false">Sens!H13548+Sens!H13549</f>
        <v>164.087276733852</v>
      </c>
      <c r="I13551" s="6" t="n">
        <f aca="false">Sens!I13548+Sens!I13549</f>
        <v>181.782876543045</v>
      </c>
      <c r="J13551" s="6" t="n">
        <f aca="false">Sens!J13548+Sens!J13549</f>
        <v>198.429411291033</v>
      </c>
      <c r="K13551" s="6" t="n">
        <f aca="false">Sens!K13548+Sens!K13549</f>
        <v>214.012560715102</v>
      </c>
    </row>
    <row r="13552" customFormat="false" ht="17.15" hidden="false" customHeight="false" outlineLevel="0" collapsed="false">
      <c r="A13552" s="0" t="s">
        <v>878</v>
      </c>
      <c r="B13552" s="1" t="s">
        <v>528</v>
      </c>
      <c r="C13552" s="29" t="n">
        <f aca="false">cop_s24</f>
        <v>1</v>
      </c>
      <c r="D13552" s="29" t="n">
        <f aca="false">cop_s25</f>
        <v>5</v>
      </c>
      <c r="E13552" s="29" t="n">
        <f aca="false">cop_s26</f>
        <v>30</v>
      </c>
      <c r="F13552" s="29" t="n">
        <f aca="false">Sens!E13552+cop_add_C</f>
        <v>40</v>
      </c>
      <c r="G13552" s="29" t="n">
        <f aca="false">Sens!F13552+cop_add_C</f>
        <v>50</v>
      </c>
      <c r="H13552" s="29" t="n">
        <f aca="false">Sens!G13552+cop_add_C</f>
        <v>60</v>
      </c>
      <c r="I13552" s="29" t="n">
        <f aca="false">Sens!H13552+cop_add_C*cop_tail</f>
        <v>65</v>
      </c>
      <c r="J13552" s="29" t="n">
        <f aca="false">Sens!I13552+cop_add_C*cop_tail</f>
        <v>70</v>
      </c>
      <c r="K13552" s="29" t="n">
        <f aca="false">Sens!J13552+cop_add_C*cop_tail</f>
        <v>75</v>
      </c>
      <c r="L13552" s="11" t="s">
        <v>879</v>
      </c>
    </row>
    <row r="13553" customFormat="false" ht="17.15" hidden="false" customHeight="false" outlineLevel="0" collapsed="false">
      <c r="A13553" s="0" t="s">
        <v>880</v>
      </c>
      <c r="B13553" s="0" t="s">
        <v>98</v>
      </c>
      <c r="D13553" s="6" t="n">
        <f aca="false">(Sens!C13552+Sens!D13552)/2*cop_px*12/1000</f>
        <v>0.9</v>
      </c>
      <c r="E13553" s="6" t="n">
        <f aca="false">(Sens!D13552+Sens!E13552)/2*cop_px*12/1000</f>
        <v>5.25</v>
      </c>
      <c r="F13553" s="6" t="n">
        <f aca="false">(Sens!E13552+Sens!F13552)/2*cop_px*12/1000</f>
        <v>10.5</v>
      </c>
      <c r="G13553" s="6" t="n">
        <f aca="false">(Sens!F13552+Sens!G13552)/2*cop_px*12/1000</f>
        <v>13.5</v>
      </c>
      <c r="H13553" s="6" t="n">
        <f aca="false">(Sens!G13552+Sens!H13552)/2*cop_px*12/1000</f>
        <v>16.5</v>
      </c>
      <c r="I13553" s="6" t="n">
        <f aca="false">(Sens!H13552+Sens!I13552)/2*cop_px*12/1000</f>
        <v>18.75</v>
      </c>
      <c r="J13553" s="6" t="n">
        <f aca="false">(Sens!I13552+Sens!J13552)/2*cop_px*12/1000</f>
        <v>20.25</v>
      </c>
      <c r="K13553" s="6" t="n">
        <f aca="false">(Sens!J13552+Sens!K13552)/2*cop_px*12/1000</f>
        <v>21.75</v>
      </c>
      <c r="L13553" s="1" t="s">
        <v>881</v>
      </c>
    </row>
    <row r="13554" customFormat="false" ht="17.15" hidden="false" customHeight="false" outlineLevel="0" collapsed="false">
      <c r="A13554" s="0" t="s">
        <v>882</v>
      </c>
      <c r="B13554" s="0" t="s">
        <v>98</v>
      </c>
      <c r="D13554" s="6" t="n">
        <f aca="false">Q!L7-Sens!D13553</f>
        <v>83.705</v>
      </c>
      <c r="E13554" s="6" t="n">
        <f aca="false">Q!M7-Sens!E13553</f>
        <v>95.049</v>
      </c>
      <c r="F13554" s="6" t="n">
        <f aca="false">Sens!E13554*(1+Sens!F13555)</f>
        <v>106.89238776686</v>
      </c>
      <c r="G13554" s="6" t="n">
        <f aca="false">Sens!F13554*(1+Sens!G13555)</f>
        <v>119.044168448684</v>
      </c>
      <c r="H13554" s="6" t="n">
        <f aca="false">Sens!G13554*(1+Sens!H13555)</f>
        <v>131.277359388781</v>
      </c>
      <c r="I13554" s="6" t="n">
        <f aca="false">Sens!H13554*(1+Sens!I13555)</f>
        <v>143.334028071957</v>
      </c>
      <c r="J13554" s="6" t="n">
        <f aca="false">Sens!I13554*(1+Sens!J13555)</f>
        <v>154.932702785465</v>
      </c>
      <c r="K13554" s="6" t="n">
        <f aca="false">Sens!J13554*(1+Sens!K13555)</f>
        <v>165.777991980448</v>
      </c>
    </row>
    <row r="13555" customFormat="false" ht="15" hidden="false" customHeight="false" outlineLevel="0" collapsed="false">
      <c r="A13555" s="1" t="s">
        <v>876</v>
      </c>
      <c r="B13555" s="0" t="s">
        <v>129</v>
      </c>
      <c r="E13555" s="7" t="n">
        <f aca="false">Sens!E13554/Sens!D13554-1</f>
        <v>0.135523564900544</v>
      </c>
      <c r="F13555" s="7" t="n">
        <f aca="false">Sens!$E$13555+(glt_m365b-Sens!$E$13555)*MIN(1,(Sens!F13510-base_fy)/n_conv)</f>
        <v>0.124602970750453</v>
      </c>
      <c r="G13555" s="7" t="n">
        <f aca="false">Sens!$E$13555+(glt_m365b-Sens!$E$13555)*MIN(1,(Sens!G13510-base_fy)/n_conv)</f>
        <v>0.113682376600363</v>
      </c>
      <c r="H13555" s="7" t="n">
        <f aca="false">Sens!$E$13555+(glt_m365b-Sens!$E$13555)*MIN(1,(Sens!H13510-base_fy)/n_conv)</f>
        <v>0.102761782450272</v>
      </c>
      <c r="I13555" s="7" t="n">
        <f aca="false">Sens!$E$13555+(glt_m365b-Sens!$E$13555)*MIN(1,(Sens!I13510-base_fy)/n_conv)</f>
        <v>0.0918411883001813</v>
      </c>
      <c r="J13555" s="7" t="n">
        <f aca="false">Sens!$E$13555+(glt_m365b-Sens!$E$13555)*MIN(1,(Sens!J13510-base_fy)/n_conv)</f>
        <v>0.0809205941500906</v>
      </c>
      <c r="K13555" s="7" t="n">
        <f aca="false">Sens!$E$13555+(glt_m365b-Sens!$E$13555)*MIN(1,(Sens!K13510-base_fy)/n_conv)</f>
        <v>0.07</v>
      </c>
    </row>
    <row r="13556" customFormat="false" ht="15" hidden="false" customHeight="false" outlineLevel="0" collapsed="false">
      <c r="A13556" s="0" t="s">
        <v>883</v>
      </c>
      <c r="B13556" s="0" t="s">
        <v>98</v>
      </c>
      <c r="D13556" s="6" t="n">
        <f aca="false">Sens!D13554+Sens!D13553</f>
        <v>84.605</v>
      </c>
      <c r="E13556" s="6" t="n">
        <f aca="false">Sens!E13554+Sens!E13553</f>
        <v>100.299</v>
      </c>
      <c r="F13556" s="6" t="n">
        <f aca="false">Sens!F13554+Sens!F13553</f>
        <v>117.39238776686</v>
      </c>
      <c r="G13556" s="6" t="n">
        <f aca="false">Sens!G13554+Sens!G13553</f>
        <v>132.544168448684</v>
      </c>
      <c r="H13556" s="6" t="n">
        <f aca="false">Sens!H13554+Sens!H13553</f>
        <v>147.777359388781</v>
      </c>
      <c r="I13556" s="6" t="n">
        <f aca="false">Sens!I13554+Sens!I13553</f>
        <v>162.084028071957</v>
      </c>
      <c r="J13556" s="6" t="n">
        <f aca="false">Sens!J13554+Sens!J13553</f>
        <v>175.182702785465</v>
      </c>
      <c r="K13556" s="6" t="n">
        <f aca="false">Sens!K13554+Sens!K13553</f>
        <v>187.527991980448</v>
      </c>
    </row>
    <row r="13557" customFormat="false" ht="15" hidden="false" customHeight="false" outlineLevel="0" collapsed="false">
      <c r="A13557" s="0" t="s">
        <v>884</v>
      </c>
      <c r="B13557" s="0" t="s">
        <v>98</v>
      </c>
      <c r="D13557" s="6" t="n">
        <f aca="false">Q!L8</f>
        <v>35.391</v>
      </c>
      <c r="E13557" s="6" t="n">
        <f aca="false">Q!M8</f>
        <v>37.285</v>
      </c>
      <c r="F13557" s="6" t="n">
        <f aca="false">Sens!E13557*(1+Sens!F13558)</f>
        <v>39.0720834331704</v>
      </c>
      <c r="G13557" s="6" t="n">
        <f aca="false">Sens!F13557*(1+Sens!G13558)</f>
        <v>40.726562953769</v>
      </c>
      <c r="H13557" s="6" t="n">
        <f aca="false">Sens!G13557*(1+Sens!H13558)</f>
        <v>42.2235987259198</v>
      </c>
      <c r="I13557" s="6" t="n">
        <f aca="false">Sens!H13557*(1+Sens!I13558)</f>
        <v>43.5397988077414</v>
      </c>
      <c r="J13557" s="6" t="n">
        <f aca="false">Sens!I13557*(1+Sens!J13558)</f>
        <v>44.653811225693</v>
      </c>
      <c r="K13557" s="6" t="n">
        <f aca="false">Sens!J13557*(1+Sens!K13558)</f>
        <v>45.5468874502068</v>
      </c>
    </row>
    <row r="13558" customFormat="false" ht="15" hidden="false" customHeight="false" outlineLevel="0" collapsed="false">
      <c r="A13558" s="1" t="s">
        <v>876</v>
      </c>
      <c r="B13558" s="0" t="s">
        <v>129</v>
      </c>
      <c r="E13558" s="7" t="n">
        <f aca="false">Sens!E13557/Sens!D13557-1</f>
        <v>0.0535164307309768</v>
      </c>
      <c r="F13558" s="7" t="n">
        <f aca="false">Sens!$E$13558+(glt_lic-Sens!$E$13558)*MIN(1,(Sens!F13510-base_fy)/n_conv)</f>
        <v>0.0479303589424807</v>
      </c>
      <c r="G13558" s="7" t="n">
        <f aca="false">Sens!$E$13558+(glt_lic-Sens!$E$13558)*MIN(1,(Sens!G13510-base_fy)/n_conv)</f>
        <v>0.0423442871539845</v>
      </c>
      <c r="H13558" s="7" t="n">
        <f aca="false">Sens!$E$13558+(glt_lic-Sens!$E$13558)*MIN(1,(Sens!H13510-base_fy)/n_conv)</f>
        <v>0.0367582153654884</v>
      </c>
      <c r="I13558" s="7" t="n">
        <f aca="false">Sens!$E$13558+(glt_lic-Sens!$E$13558)*MIN(1,(Sens!I13510-base_fy)/n_conv)</f>
        <v>0.0311721435769923</v>
      </c>
      <c r="J13558" s="7" t="n">
        <f aca="false">Sens!$E$13558+(glt_lic-Sens!$E$13558)*MIN(1,(Sens!J13510-base_fy)/n_conv)</f>
        <v>0.0255860717884961</v>
      </c>
      <c r="K13558" s="7" t="n">
        <f aca="false">Sens!$E$13558+(glt_lic-Sens!$E$13558)*MIN(1,(Sens!K13510-base_fy)/n_conv)</f>
        <v>0.02</v>
      </c>
    </row>
    <row r="13559" customFormat="false" ht="15" hidden="false" customHeight="false" outlineLevel="0" collapsed="false">
      <c r="A13559" s="0" t="s">
        <v>885</v>
      </c>
      <c r="B13559" s="0" t="s">
        <v>98</v>
      </c>
      <c r="D13559" s="6" t="n">
        <f aca="false">Q!L9</f>
        <v>18.417</v>
      </c>
      <c r="E13559" s="6" t="n">
        <f aca="false">Q!M9</f>
        <v>20.345</v>
      </c>
      <c r="F13559" s="6" t="n">
        <f aca="false">Sens!E13559*(1+Sens!F13560)</f>
        <v>22.3572203267814</v>
      </c>
      <c r="G13559" s="6" t="n">
        <f aca="false">Sens!F13559*(1+Sens!G13560)</f>
        <v>24.4392124437232</v>
      </c>
      <c r="H13559" s="6" t="n">
        <f aca="false">Sens!G13559*(1+Sens!H13560)</f>
        <v>26.5738052080665</v>
      </c>
      <c r="I13559" s="6" t="n">
        <f aca="false">Sens!H13559*(1+Sens!I13560)</f>
        <v>28.7412169166967</v>
      </c>
      <c r="J13559" s="6" t="n">
        <f aca="false">Sens!I13559*(1+Sens!J13560)</f>
        <v>30.9192545395413</v>
      </c>
      <c r="K13559" s="6" t="n">
        <f aca="false">Sens!J13559*(1+Sens!K13560)</f>
        <v>33.0836023573092</v>
      </c>
    </row>
    <row r="13560" customFormat="false" ht="15" hidden="false" customHeight="false" outlineLevel="0" collapsed="false">
      <c r="A13560" s="1" t="s">
        <v>876</v>
      </c>
      <c r="B13560" s="0" t="s">
        <v>129</v>
      </c>
      <c r="E13560" s="7" t="n">
        <f aca="false">Sens!E13559/Sens!D13559-1</f>
        <v>0.104685888038225</v>
      </c>
      <c r="F13560" s="7" t="n">
        <f aca="false">Sens!$E$13560+(glt_ind-Sens!$E$13560)*MIN(1,(Sens!F13510-base_fy)/n_conv)</f>
        <v>0.0989049066985211</v>
      </c>
      <c r="G13560" s="7" t="n">
        <f aca="false">Sens!$E$13560+(glt_ind-Sens!$E$13560)*MIN(1,(Sens!G13510-base_fy)/n_conv)</f>
        <v>0.0931239253588169</v>
      </c>
      <c r="H13560" s="7" t="n">
        <f aca="false">Sens!$E$13560+(glt_ind-Sens!$E$13560)*MIN(1,(Sens!H13510-base_fy)/n_conv)</f>
        <v>0.0873429440191127</v>
      </c>
      <c r="I13560" s="7" t="n">
        <f aca="false">Sens!$E$13560+(glt_ind-Sens!$E$13560)*MIN(1,(Sens!I13510-base_fy)/n_conv)</f>
        <v>0.0815619626794085</v>
      </c>
      <c r="J13560" s="7" t="n">
        <f aca="false">Sens!$E$13560+(glt_ind-Sens!$E$13560)*MIN(1,(Sens!J13510-base_fy)/n_conv)</f>
        <v>0.0757809813397042</v>
      </c>
      <c r="K13560" s="7" t="n">
        <f aca="false">Sens!$E$13560+(glt_ind-Sens!$E$13560)*MIN(1,(Sens!K13510-base_fy)/n_conv)</f>
        <v>0.07</v>
      </c>
    </row>
    <row r="13561" customFormat="false" ht="15" hidden="false" customHeight="false" outlineLevel="0" collapsed="false">
      <c r="A13561" s="0" t="s">
        <v>886</v>
      </c>
      <c r="B13561" s="0" t="s">
        <v>98</v>
      </c>
      <c r="D13561" s="6" t="n">
        <f aca="false">Q!L10</f>
        <v>7.76</v>
      </c>
      <c r="E13561" s="6" t="n">
        <f aca="false">Q!M10</f>
        <v>8.26</v>
      </c>
      <c r="F13561" s="6" t="n">
        <f aca="false">Sens!E13561*(1+Sens!F13562)</f>
        <v>8.79988041237113</v>
      </c>
      <c r="G13561" s="6" t="n">
        <f aca="false">Sens!F13561*(1+Sens!G13562)</f>
        <v>9.38321269125306</v>
      </c>
      <c r="H13561" s="6" t="n">
        <f aca="false">Sens!G13561*(1+Sens!H13562)</f>
        <v>10.0139193587476</v>
      </c>
      <c r="I13561" s="6" t="n">
        <f aca="false">Sens!H13561*(1+Sens!I13562)</f>
        <v>10.6963111830911</v>
      </c>
      <c r="J13561" s="6" t="n">
        <f aca="false">Sens!I13561*(1+Sens!J13562)</f>
        <v>11.4351285534696</v>
      </c>
      <c r="K13561" s="6" t="n">
        <f aca="false">Sens!J13561*(1+Sens!K13562)</f>
        <v>12.2355875522124</v>
      </c>
    </row>
    <row r="13562" customFormat="false" ht="15" hidden="false" customHeight="false" outlineLevel="0" collapsed="false">
      <c r="A13562" s="1" t="s">
        <v>876</v>
      </c>
      <c r="B13562" s="0" t="s">
        <v>129</v>
      </c>
      <c r="E13562" s="7" t="n">
        <f aca="false">Sens!E13561/Sens!D13561-1</f>
        <v>0.0644329896907216</v>
      </c>
      <c r="F13562" s="7" t="n">
        <f aca="false">Sens!$E$13562+(glt_fro-Sens!$E$13562)*MIN(1,(Sens!F13510-base_fy)/n_conv)</f>
        <v>0.065360824742268</v>
      </c>
      <c r="G13562" s="7" t="n">
        <f aca="false">Sens!$E$13562+(glt_fro-Sens!$E$13562)*MIN(1,(Sens!G13510-base_fy)/n_conv)</f>
        <v>0.0662886597938144</v>
      </c>
      <c r="H13562" s="7" t="n">
        <f aca="false">Sens!$E$13562+(glt_fro-Sens!$E$13562)*MIN(1,(Sens!H13510-base_fy)/n_conv)</f>
        <v>0.0672164948453608</v>
      </c>
      <c r="I13562" s="7" t="n">
        <f aca="false">Sens!$E$13562+(glt_fro-Sens!$E$13562)*MIN(1,(Sens!I13510-base_fy)/n_conv)</f>
        <v>0.0681443298969072</v>
      </c>
      <c r="J13562" s="7" t="n">
        <f aca="false">Sens!$E$13562+(glt_fro-Sens!$E$13562)*MIN(1,(Sens!J13510-base_fy)/n_conv)</f>
        <v>0.0690721649484536</v>
      </c>
      <c r="K13562" s="7" t="n">
        <f aca="false">Sens!$E$13562+(glt_fro-Sens!$E$13562)*MIN(1,(Sens!K13510-base_fy)/n_conv)</f>
        <v>0.07</v>
      </c>
    </row>
    <row r="13563" customFormat="false" ht="15" hidden="false" customHeight="false" outlineLevel="0" collapsed="false">
      <c r="A13563" s="0" t="s">
        <v>715</v>
      </c>
      <c r="B13563" s="0" t="s">
        <v>98</v>
      </c>
      <c r="D13563" s="6" t="n">
        <f aca="false">Sens!D13551+Sens!D13556+Sens!D13557+Sens!D13559+Sens!D13561</f>
        <v>218.783</v>
      </c>
      <c r="E13563" s="6" t="n">
        <f aca="false">Sens!E13551+Sens!E13556+Sens!E13557+Sens!E13559+Sens!E13561</f>
        <v>268.127</v>
      </c>
      <c r="F13563" s="6" t="n">
        <f aca="false">Sens!F13551+Sens!F13556+Sens!F13557+Sens!F13559+Sens!F13561</f>
        <v>316.194961871514</v>
      </c>
      <c r="G13563" s="6" t="n">
        <f aca="false">Sens!G13551+Sens!G13556+Sens!G13557+Sens!G13559+Sens!G13561</f>
        <v>355.686272947091</v>
      </c>
      <c r="H13563" s="6" t="n">
        <f aca="false">Sens!H13551+Sens!H13556+Sens!H13557+Sens!H13559+Sens!H13561</f>
        <v>390.675959415367</v>
      </c>
      <c r="I13563" s="6" t="n">
        <f aca="false">Sens!I13551+Sens!I13556+Sens!I13557+Sens!I13559+Sens!I13561</f>
        <v>426.844231522531</v>
      </c>
      <c r="J13563" s="6" t="n">
        <f aca="false">Sens!J13551+Sens!J13556+Sens!J13557+Sens!J13559+Sens!J13561</f>
        <v>460.620308395202</v>
      </c>
      <c r="K13563" s="6" t="n">
        <f aca="false">Sens!K13551+Sens!K13556+Sens!K13557+Sens!K13559+Sens!K13561</f>
        <v>492.406630055278</v>
      </c>
    </row>
    <row r="13564" customFormat="false" ht="15" hidden="false" customHeight="false" outlineLevel="0" collapsed="false">
      <c r="A13564" s="0" t="s">
        <v>887</v>
      </c>
      <c r="B13564" s="0" t="s">
        <v>98</v>
      </c>
      <c r="D13564" s="6" t="n">
        <f aca="false">Q!L13</f>
        <v>22.171</v>
      </c>
      <c r="E13564" s="6" t="n">
        <f aca="false">Q!M13</f>
        <v>24.835</v>
      </c>
      <c r="F13564" s="6" t="n">
        <f aca="false">Sens!E13564*(1+Sens!F13565)</f>
        <v>27.6114901218559</v>
      </c>
      <c r="G13564" s="6" t="n">
        <f aca="false">Sens!F13564*(1+Sens!G13565)</f>
        <v>30.4675667338515</v>
      </c>
      <c r="H13564" s="6" t="n">
        <f aca="false">Sens!G13564*(1+Sens!H13565)</f>
        <v>33.3643766955789</v>
      </c>
      <c r="I13564" s="6" t="n">
        <f aca="false">Sens!H13564*(1+Sens!I13565)</f>
        <v>36.2577016533691</v>
      </c>
      <c r="J13564" s="6" t="n">
        <f aca="false">Sens!I13564*(1+Sens!J13565)</f>
        <v>39.0988367952171</v>
      </c>
      <c r="K13564" s="6" t="n">
        <f aca="false">Sens!J13564*(1+Sens!K13565)</f>
        <v>41.8357553708823</v>
      </c>
    </row>
    <row r="13565" customFormat="false" ht="15" hidden="false" customHeight="false" outlineLevel="0" collapsed="false">
      <c r="A13565" s="1" t="s">
        <v>876</v>
      </c>
      <c r="B13565" s="0" t="s">
        <v>129</v>
      </c>
      <c r="E13565" s="7" t="n">
        <f aca="false">Sens!E13564/Sens!D13564-1</f>
        <v>0.120156961796942</v>
      </c>
      <c r="F13565" s="7" t="n">
        <f aca="false">Sens!$E$13565+(glt_srch-Sens!$E$13565)*MIN(1,(Sens!F13510-base_fy)/n_conv)</f>
        <v>0.111797468164118</v>
      </c>
      <c r="G13565" s="7" t="n">
        <f aca="false">Sens!$E$13565+(glt_srch-Sens!$E$13565)*MIN(1,(Sens!G13510-base_fy)/n_conv)</f>
        <v>0.103437974531295</v>
      </c>
      <c r="H13565" s="7" t="n">
        <f aca="false">Sens!$E$13565+(glt_srch-Sens!$E$13565)*MIN(1,(Sens!H13510-base_fy)/n_conv)</f>
        <v>0.095078480898471</v>
      </c>
      <c r="I13565" s="7" t="n">
        <f aca="false">Sens!$E$13565+(glt_srch-Sens!$E$13565)*MIN(1,(Sens!I13510-base_fy)/n_conv)</f>
        <v>0.0867189872656474</v>
      </c>
      <c r="J13565" s="7" t="n">
        <f aca="false">Sens!$E$13565+(glt_srch-Sens!$E$13565)*MIN(1,(Sens!J13510-base_fy)/n_conv)</f>
        <v>0.0783594936328237</v>
      </c>
      <c r="K13565" s="7" t="n">
        <f aca="false">Sens!$E$13565+(glt_srch-Sens!$E$13565)*MIN(1,(Sens!K13510-base_fy)/n_conv)</f>
        <v>0.07</v>
      </c>
    </row>
    <row r="13566" customFormat="false" ht="15" hidden="false" customHeight="false" outlineLevel="0" collapsed="false">
      <c r="A13566" s="0" t="s">
        <v>888</v>
      </c>
      <c r="B13566" s="0" t="s">
        <v>98</v>
      </c>
      <c r="D13566" s="6" t="n">
        <f aca="false">Q!L14</f>
        <v>23.455</v>
      </c>
      <c r="E13566" s="6" t="n">
        <f aca="false">Q!M14</f>
        <v>21.79</v>
      </c>
      <c r="F13566" s="6" t="n">
        <f aca="false">Sens!E13566*(1+Sens!F13567)</f>
        <v>20.5736277908051</v>
      </c>
      <c r="G13566" s="6" t="n">
        <f aca="false">Sens!F13566*(1+Sens!G13567)</f>
        <v>19.7371452817919</v>
      </c>
      <c r="H13566" s="6" t="n">
        <f aca="false">Sens!G13566*(1+Sens!H13567)</f>
        <v>19.2339764043138</v>
      </c>
      <c r="I13566" s="6" t="n">
        <f aca="false">Sens!H13566*(1+Sens!I13567)</f>
        <v>19.0353086852681</v>
      </c>
      <c r="J13566" s="6" t="n">
        <f aca="false">Sens!I13566*(1+Sens!J13567)</f>
        <v>19.1273539319129</v>
      </c>
      <c r="K13566" s="6" t="n">
        <f aca="false">Sens!J13566*(1+Sens!K13567)</f>
        <v>19.5099010105511</v>
      </c>
    </row>
    <row r="13567" customFormat="false" ht="15" hidden="false" customHeight="false" outlineLevel="0" collapsed="false">
      <c r="A13567" s="1" t="s">
        <v>876</v>
      </c>
      <c r="B13567" s="0" t="s">
        <v>129</v>
      </c>
      <c r="E13567" s="7" t="n">
        <f aca="false">Sens!E13566/Sens!D13566-1</f>
        <v>-0.0709869963760392</v>
      </c>
      <c r="F13567" s="7" t="n">
        <f aca="false">Sens!$E$13567+(glt_xbox-Sens!$E$13567)*MIN(1,(Sens!F13510-base_fy)/n_conv)</f>
        <v>-0.0558224969800327</v>
      </c>
      <c r="G13567" s="7" t="n">
        <f aca="false">Sens!$E$13567+(glt_xbox-Sens!$E$13567)*MIN(1,(Sens!G13510-base_fy)/n_conv)</f>
        <v>-0.0406579975840262</v>
      </c>
      <c r="H13567" s="7" t="n">
        <f aca="false">Sens!$E$13567+(glt_xbox-Sens!$E$13567)*MIN(1,(Sens!H13510-base_fy)/n_conv)</f>
        <v>-0.0254934981880196</v>
      </c>
      <c r="I13567" s="7" t="n">
        <f aca="false">Sens!$E$13567+(glt_xbox-Sens!$E$13567)*MIN(1,(Sens!I13510-base_fy)/n_conv)</f>
        <v>-0.0103289987920131</v>
      </c>
      <c r="J13567" s="7" t="n">
        <f aca="false">Sens!$E$13567+(glt_xbox-Sens!$E$13567)*MIN(1,(Sens!J13510-base_fy)/n_conv)</f>
        <v>0.00483550060399347</v>
      </c>
      <c r="K13567" s="7" t="n">
        <f aca="false">Sens!$E$13567+(glt_xbox-Sens!$E$13567)*MIN(1,(Sens!K13510-base_fy)/n_conv)</f>
        <v>0.02</v>
      </c>
    </row>
    <row r="13568" customFormat="false" ht="15" hidden="false" customHeight="false" outlineLevel="0" collapsed="false">
      <c r="A13568" s="0" t="s">
        <v>889</v>
      </c>
      <c r="B13568" s="0" t="s">
        <v>98</v>
      </c>
      <c r="D13568" s="6" t="n">
        <f aca="false">Q!L15</f>
        <v>17.315</v>
      </c>
      <c r="E13568" s="6" t="n">
        <f aca="false">Q!M15</f>
        <v>17.087</v>
      </c>
      <c r="F13568" s="6" t="n">
        <f aca="false">Sens!E13568*(1+Sens!F13569)</f>
        <v>16.9564585436519</v>
      </c>
      <c r="G13568" s="6" t="n">
        <f aca="false">Sens!F13568*(1+Sens!G13569)</f>
        <v>16.9206490624268</v>
      </c>
      <c r="H13568" s="6" t="n">
        <f aca="false">Sens!G13568*(1+Sens!H13569)</f>
        <v>16.9784519149849</v>
      </c>
      <c r="I13568" s="6" t="n">
        <f aca="false">Sens!H13568*(1+Sens!I13569)</f>
        <v>17.1303084701817</v>
      </c>
      <c r="J13568" s="6" t="n">
        <f aca="false">Sens!I13568*(1+Sens!J13569)</f>
        <v>17.3782189407267</v>
      </c>
      <c r="K13568" s="6" t="n">
        <f aca="false">Sens!J13568*(1+Sens!K13569)</f>
        <v>17.7257833195413</v>
      </c>
    </row>
    <row r="13569" customFormat="false" ht="15" hidden="false" customHeight="false" outlineLevel="0" collapsed="false">
      <c r="A13569" s="1" t="s">
        <v>876</v>
      </c>
      <c r="B13569" s="0" t="s">
        <v>129</v>
      </c>
      <c r="E13569" s="7" t="n">
        <f aca="false">Sens!E13568/Sens!D13568-1</f>
        <v>-0.0131677736066995</v>
      </c>
      <c r="F13569" s="7" t="n">
        <f aca="false">Sens!$E$13569+(glt_win-Sens!$E$13569)*MIN(1,(Sens!F13510-base_fy)/n_conv)</f>
        <v>-0.00763981133891627</v>
      </c>
      <c r="G13569" s="7" t="n">
        <f aca="false">Sens!$E$13569+(glt_win-Sens!$E$13569)*MIN(1,(Sens!G13510-base_fy)/n_conv)</f>
        <v>-0.00211184907113301</v>
      </c>
      <c r="H13569" s="7" t="n">
        <f aca="false">Sens!$E$13569+(glt_win-Sens!$E$13569)*MIN(1,(Sens!H13510-base_fy)/n_conv)</f>
        <v>0.00341611319665024</v>
      </c>
      <c r="I13569" s="7" t="n">
        <f aca="false">Sens!$E$13569+(glt_win-Sens!$E$13569)*MIN(1,(Sens!I13510-base_fy)/n_conv)</f>
        <v>0.00894407546443349</v>
      </c>
      <c r="J13569" s="7" t="n">
        <f aca="false">Sens!$E$13569+(glt_win-Sens!$E$13569)*MIN(1,(Sens!J13510-base_fy)/n_conv)</f>
        <v>0.0144720377322168</v>
      </c>
      <c r="K13569" s="7" t="n">
        <f aca="false">Sens!$E$13569+(glt_win-Sens!$E$13569)*MIN(1,(Sens!K13510-base_fy)/n_conv)</f>
        <v>0.02</v>
      </c>
    </row>
    <row r="13570" customFormat="false" ht="15" hidden="false" customHeight="false" outlineLevel="0" collapsed="false">
      <c r="A13570" s="0" t="s">
        <v>729</v>
      </c>
      <c r="B13570" s="0" t="s">
        <v>98</v>
      </c>
      <c r="D13570" s="6" t="n">
        <f aca="false">Sens!D13564+Sens!D13566+Sens!D13568</f>
        <v>62.941</v>
      </c>
      <c r="E13570" s="6" t="n">
        <f aca="false">Sens!E13564+Sens!E13566+Sens!E13568</f>
        <v>63.712</v>
      </c>
      <c r="F13570" s="6" t="n">
        <f aca="false">Sens!F13564+Sens!F13566+Sens!F13568</f>
        <v>65.1415764563129</v>
      </c>
      <c r="G13570" s="6" t="n">
        <f aca="false">Sens!G13564+Sens!G13566+Sens!G13568</f>
        <v>67.1253610780702</v>
      </c>
      <c r="H13570" s="6" t="n">
        <f aca="false">Sens!H13564+Sens!H13566+Sens!H13568</f>
        <v>69.5768050148776</v>
      </c>
      <c r="I13570" s="6" t="n">
        <f aca="false">Sens!I13564+Sens!I13566+Sens!I13568</f>
        <v>72.4233188088189</v>
      </c>
      <c r="J13570" s="6" t="n">
        <f aca="false">Sens!J13564+Sens!J13566+Sens!J13568</f>
        <v>75.6044096678567</v>
      </c>
      <c r="K13570" s="6" t="n">
        <f aca="false">Sens!K13564+Sens!K13566+Sens!K13568</f>
        <v>79.0714397009747</v>
      </c>
    </row>
    <row r="13571" customFormat="false" ht="15" hidden="false" customHeight="false" outlineLevel="0" collapsed="false">
      <c r="A13571" s="1" t="s">
        <v>890</v>
      </c>
      <c r="B13571" s="0" t="s">
        <v>98</v>
      </c>
      <c r="D13571" s="6" t="n">
        <f aca="false">Sens!D13563+Sens!D13570</f>
        <v>281.724</v>
      </c>
      <c r="E13571" s="6" t="n">
        <f aca="false">Sens!E13563+Sens!E13570</f>
        <v>331.839</v>
      </c>
      <c r="F13571" s="6" t="n">
        <f aca="false">Sens!F13563+Sens!F13570</f>
        <v>381.336538327827</v>
      </c>
      <c r="G13571" s="6" t="n">
        <f aca="false">Sens!G13563+Sens!G13570</f>
        <v>422.811634025161</v>
      </c>
      <c r="H13571" s="6" t="n">
        <f aca="false">Sens!H13563+Sens!H13570</f>
        <v>460.252764430245</v>
      </c>
      <c r="I13571" s="6" t="n">
        <f aca="false">Sens!I13563+Sens!I13570</f>
        <v>499.26755033135</v>
      </c>
      <c r="J13571" s="6" t="n">
        <f aca="false">Sens!J13563+Sens!J13570</f>
        <v>536.224718063059</v>
      </c>
      <c r="K13571" s="6" t="n">
        <f aca="false">Sens!K13563+Sens!K13570</f>
        <v>571.478069756253</v>
      </c>
    </row>
    <row r="13572" customFormat="false" ht="15" hidden="false" customHeight="false" outlineLevel="0" collapsed="false">
      <c r="A13572" s="23" t="s">
        <v>891</v>
      </c>
      <c r="B13572" s="30" t="s">
        <v>98</v>
      </c>
      <c r="C13572" s="30"/>
      <c r="D13572" s="24" t="n">
        <f aca="false">(Sens!D13551+Sens!D13556+Sens!D13557+Sens!D13559+Sens!D13561-Sens!D13563)+(Sens!D13564+Sens!D13566+Sens!D13568-Sens!D13570)+(Sens!D13563-Q!L5)+(Sens!D13570-Q!L12)+(Sens!D13551-Q!L6)+(Sens!D13556-Q!L7)</f>
        <v>0</v>
      </c>
      <c r="E13572" s="24" t="n">
        <f aca="false">(Sens!E13551+Sens!E13556+Sens!E13557+Sens!E13559+Sens!E13561-Sens!E13563)+(Sens!E13564+Sens!E13566+Sens!E13568-Sens!E13570)+(Sens!E13563-Q!M5)+(Sens!E13570-Q!M12)+(Sens!E13551-Q!M6)+(Sens!E13556-Q!M7)</f>
        <v>0</v>
      </c>
      <c r="F13572" s="24" t="n">
        <f aca="false">(Sens!F13551+Sens!F13556+Sens!F13557+Sens!F13559+Sens!F13561-Sens!F13563)+(Sens!F13564+Sens!F13566+Sens!F13568-Sens!F13570)</f>
        <v>0</v>
      </c>
      <c r="G13572" s="24" t="n">
        <f aca="false">(Sens!G13551+Sens!G13556+Sens!G13557+Sens!G13559+Sens!G13561-Sens!G13563)+(Sens!G13564+Sens!G13566+Sens!G13568-Sens!G13570)</f>
        <v>0</v>
      </c>
      <c r="H13572" s="24" t="n">
        <f aca="false">(Sens!H13551+Sens!H13556+Sens!H13557+Sens!H13559+Sens!H13561-Sens!H13563)+(Sens!H13564+Sens!H13566+Sens!H13568-Sens!H13570)</f>
        <v>0</v>
      </c>
      <c r="I13572" s="24" t="n">
        <f aca="false">(Sens!I13551+Sens!I13556+Sens!I13557+Sens!I13559+Sens!I13561-Sens!I13563)+(Sens!I13564+Sens!I13566+Sens!I13568-Sens!I13570)</f>
        <v>0</v>
      </c>
      <c r="J13572" s="24" t="n">
        <f aca="false">(Sens!J13551+Sens!J13556+Sens!J13557+Sens!J13559+Sens!J13561-Sens!J13563)+(Sens!J13564+Sens!J13566+Sens!J13568-Sens!J13570)</f>
        <v>0</v>
      </c>
      <c r="K13572" s="24" t="n">
        <f aca="false">(Sens!K13551+Sens!K13556+Sens!K13557+Sens!K13559+Sens!K13561-Sens!K13563)+(Sens!K13564+Sens!K13566+Sens!K13568-Sens!K13570)</f>
        <v>0</v>
      </c>
    </row>
    <row r="13573" customFormat="false" ht="17.15" hidden="false" customHeight="false" outlineLevel="0" collapsed="false">
      <c r="A13573" s="3" t="s">
        <v>1606</v>
      </c>
    </row>
    <row r="13574" customFormat="false" ht="15" hidden="false" customHeight="false" outlineLevel="0" collapsed="false">
      <c r="A13574" s="4" t="s">
        <v>43</v>
      </c>
      <c r="B13574" s="4" t="s">
        <v>65</v>
      </c>
      <c r="C13574" s="20" t="s">
        <v>799</v>
      </c>
      <c r="D13574" s="20" t="s">
        <v>800</v>
      </c>
      <c r="E13574" s="20" t="s">
        <v>801</v>
      </c>
      <c r="F13574" s="20" t="s">
        <v>802</v>
      </c>
      <c r="G13574" s="20" t="s">
        <v>803</v>
      </c>
      <c r="H13574" s="20" t="s">
        <v>804</v>
      </c>
      <c r="I13574" s="20" t="s">
        <v>805</v>
      </c>
      <c r="J13574" s="20" t="s">
        <v>806</v>
      </c>
      <c r="K13574" s="20" t="s">
        <v>807</v>
      </c>
      <c r="L13574" s="4" t="s">
        <v>47</v>
      </c>
    </row>
    <row r="13575" customFormat="false" ht="15" hidden="false" customHeight="false" outlineLevel="0" collapsed="false">
      <c r="A13575" s="0" t="s">
        <v>877</v>
      </c>
      <c r="B13575" s="0" t="s">
        <v>98</v>
      </c>
      <c r="D13575" s="6" t="n">
        <f aca="false">Sens!D13551</f>
        <v>72.61</v>
      </c>
      <c r="E13575" s="6" t="n">
        <f aca="false">Sens!E13551</f>
        <v>101.938</v>
      </c>
      <c r="F13575" s="6" t="n">
        <f aca="false">Sens!F13551</f>
        <v>128.573389932331</v>
      </c>
      <c r="G13575" s="6" t="n">
        <f aca="false">Sens!G13551</f>
        <v>148.593116409662</v>
      </c>
      <c r="H13575" s="6" t="n">
        <f aca="false">Sens!H13551</f>
        <v>164.087276733852</v>
      </c>
      <c r="I13575" s="6" t="n">
        <f aca="false">Sens!I13551</f>
        <v>181.782876543045</v>
      </c>
      <c r="J13575" s="6" t="n">
        <f aca="false">Sens!J13551</f>
        <v>198.429411291033</v>
      </c>
      <c r="K13575" s="6" t="n">
        <f aca="false">Sens!K13551</f>
        <v>214.012560715102</v>
      </c>
    </row>
    <row r="13576" customFormat="false" ht="17.15" hidden="false" customHeight="false" outlineLevel="0" collapsed="false">
      <c r="A13576" s="0" t="s">
        <v>874</v>
      </c>
      <c r="B13576" s="0" t="s">
        <v>98</v>
      </c>
      <c r="D13576" s="6" t="n">
        <f aca="false">Sens!D13548</f>
        <v>12.9359794422418</v>
      </c>
      <c r="E13576" s="6" t="n">
        <f aca="false">Sens!E13548</f>
        <v>27.8095064661409</v>
      </c>
      <c r="F13576" s="6" t="n">
        <f aca="false">Sens!F13548</f>
        <v>38.493440194965</v>
      </c>
      <c r="G13576" s="6" t="n">
        <f aca="false">Sens!G13548</f>
        <v>41.5646912063518</v>
      </c>
      <c r="H13576" s="6" t="n">
        <f aca="false">Sens!H13548</f>
        <v>39.815294148216</v>
      </c>
      <c r="I13576" s="6" t="n">
        <f aca="false">Sens!I13548</f>
        <v>40.84917416119</v>
      </c>
      <c r="J13576" s="6" t="n">
        <f aca="false">Sens!J13548</f>
        <v>42.4105439767017</v>
      </c>
      <c r="K13576" s="6" t="n">
        <f aca="false">Sens!K13548</f>
        <v>45.5121840156236</v>
      </c>
    </row>
    <row r="13577" customFormat="false" ht="17.15" hidden="false" customHeight="false" outlineLevel="0" collapsed="false">
      <c r="A13577" s="0" t="s">
        <v>902</v>
      </c>
      <c r="B13577" s="0" t="s">
        <v>98</v>
      </c>
      <c r="D13577" s="6" t="n">
        <f aca="false">Sens!D13549</f>
        <v>59.6740205577583</v>
      </c>
      <c r="E13577" s="6" t="n">
        <f aca="false">Sens!E13549</f>
        <v>74.1284935338591</v>
      </c>
      <c r="F13577" s="6" t="n">
        <f aca="false">Sens!F13549</f>
        <v>90.0799497373663</v>
      </c>
      <c r="G13577" s="6" t="n">
        <f aca="false">Sens!G13549</f>
        <v>107.02842520331</v>
      </c>
      <c r="H13577" s="6" t="n">
        <f aca="false">Sens!H13549</f>
        <v>124.271982585636</v>
      </c>
      <c r="I13577" s="6" t="n">
        <f aca="false">Sens!I13549</f>
        <v>140.933702381855</v>
      </c>
      <c r="J13577" s="6" t="n">
        <f aca="false">Sens!J13549</f>
        <v>156.018867314332</v>
      </c>
      <c r="K13577" s="6" t="n">
        <f aca="false">Sens!K13549</f>
        <v>168.500376699478</v>
      </c>
    </row>
    <row r="13578" customFormat="false" ht="15" hidden="false" customHeight="false" outlineLevel="0" collapsed="false">
      <c r="A13578" s="0" t="s">
        <v>883</v>
      </c>
      <c r="B13578" s="0" t="s">
        <v>98</v>
      </c>
      <c r="D13578" s="6" t="n">
        <f aca="false">Sens!D13556</f>
        <v>84.605</v>
      </c>
      <c r="E13578" s="6" t="n">
        <f aca="false">Sens!E13556</f>
        <v>100.299</v>
      </c>
      <c r="F13578" s="6" t="n">
        <f aca="false">Sens!F13556</f>
        <v>117.39238776686</v>
      </c>
      <c r="G13578" s="6" t="n">
        <f aca="false">Sens!G13556</f>
        <v>132.544168448684</v>
      </c>
      <c r="H13578" s="6" t="n">
        <f aca="false">Sens!H13556</f>
        <v>147.777359388781</v>
      </c>
      <c r="I13578" s="6" t="n">
        <f aca="false">Sens!I13556</f>
        <v>162.084028071957</v>
      </c>
      <c r="J13578" s="6" t="n">
        <f aca="false">Sens!J13556</f>
        <v>175.182702785465</v>
      </c>
      <c r="K13578" s="6" t="n">
        <f aca="false">Sens!K13556</f>
        <v>187.527991980448</v>
      </c>
    </row>
    <row r="13579" customFormat="false" ht="17.15" hidden="false" customHeight="false" outlineLevel="0" collapsed="false">
      <c r="A13579" s="0" t="s">
        <v>903</v>
      </c>
      <c r="B13579" s="0" t="s">
        <v>98</v>
      </c>
      <c r="D13579" s="6" t="n">
        <f aca="false">Sens!D13554</f>
        <v>83.705</v>
      </c>
      <c r="E13579" s="6" t="n">
        <f aca="false">Sens!E13554</f>
        <v>95.049</v>
      </c>
      <c r="F13579" s="6" t="n">
        <f aca="false">Sens!F13554</f>
        <v>106.89238776686</v>
      </c>
      <c r="G13579" s="6" t="n">
        <f aca="false">Sens!G13554</f>
        <v>119.044168448684</v>
      </c>
      <c r="H13579" s="6" t="n">
        <f aca="false">Sens!H13554</f>
        <v>131.277359388781</v>
      </c>
      <c r="I13579" s="6" t="n">
        <f aca="false">Sens!I13554</f>
        <v>143.334028071957</v>
      </c>
      <c r="J13579" s="6" t="n">
        <f aca="false">Sens!J13554</f>
        <v>154.932702785465</v>
      </c>
      <c r="K13579" s="6" t="n">
        <f aca="false">Sens!K13554</f>
        <v>165.777991980448</v>
      </c>
    </row>
    <row r="13580" customFormat="false" ht="17.15" hidden="false" customHeight="false" outlineLevel="0" collapsed="false">
      <c r="A13580" s="0" t="s">
        <v>904</v>
      </c>
      <c r="B13580" s="0" t="s">
        <v>98</v>
      </c>
      <c r="D13580" s="6" t="n">
        <f aca="false">Sens!D13553</f>
        <v>0.9</v>
      </c>
      <c r="E13580" s="6" t="n">
        <f aca="false">Sens!E13553</f>
        <v>5.25</v>
      </c>
      <c r="F13580" s="6" t="n">
        <f aca="false">Sens!F13553</f>
        <v>10.5</v>
      </c>
      <c r="G13580" s="6" t="n">
        <f aca="false">Sens!G13553</f>
        <v>13.5</v>
      </c>
      <c r="H13580" s="6" t="n">
        <f aca="false">Sens!H13553</f>
        <v>16.5</v>
      </c>
      <c r="I13580" s="6" t="n">
        <f aca="false">Sens!I13553</f>
        <v>18.75</v>
      </c>
      <c r="J13580" s="6" t="n">
        <f aca="false">Sens!J13553</f>
        <v>20.25</v>
      </c>
      <c r="K13580" s="6" t="n">
        <f aca="false">Sens!K13553</f>
        <v>21.75</v>
      </c>
    </row>
    <row r="13581" customFormat="false" ht="15" hidden="false" customHeight="false" outlineLevel="0" collapsed="false">
      <c r="A13581" s="0" t="s">
        <v>884</v>
      </c>
      <c r="B13581" s="0" t="s">
        <v>98</v>
      </c>
      <c r="D13581" s="6" t="n">
        <f aca="false">Sens!D13557</f>
        <v>35.391</v>
      </c>
      <c r="E13581" s="6" t="n">
        <f aca="false">Sens!E13557</f>
        <v>37.285</v>
      </c>
      <c r="F13581" s="6" t="n">
        <f aca="false">Sens!F13557</f>
        <v>39.0720834331704</v>
      </c>
      <c r="G13581" s="6" t="n">
        <f aca="false">Sens!G13557</f>
        <v>40.726562953769</v>
      </c>
      <c r="H13581" s="6" t="n">
        <f aca="false">Sens!H13557</f>
        <v>42.2235987259198</v>
      </c>
      <c r="I13581" s="6" t="n">
        <f aca="false">Sens!I13557</f>
        <v>43.5397988077414</v>
      </c>
      <c r="J13581" s="6" t="n">
        <f aca="false">Sens!J13557</f>
        <v>44.653811225693</v>
      </c>
      <c r="K13581" s="6" t="n">
        <f aca="false">Sens!K13557</f>
        <v>45.5468874502068</v>
      </c>
    </row>
    <row r="13582" customFormat="false" ht="15" hidden="false" customHeight="false" outlineLevel="0" collapsed="false">
      <c r="A13582" s="0" t="s">
        <v>885</v>
      </c>
      <c r="B13582" s="0" t="s">
        <v>98</v>
      </c>
      <c r="D13582" s="6" t="n">
        <f aca="false">Sens!D13559</f>
        <v>18.417</v>
      </c>
      <c r="E13582" s="6" t="n">
        <f aca="false">Sens!E13559</f>
        <v>20.345</v>
      </c>
      <c r="F13582" s="6" t="n">
        <f aca="false">Sens!F13559</f>
        <v>22.3572203267814</v>
      </c>
      <c r="G13582" s="6" t="n">
        <f aca="false">Sens!G13559</f>
        <v>24.4392124437232</v>
      </c>
      <c r="H13582" s="6" t="n">
        <f aca="false">Sens!H13559</f>
        <v>26.5738052080665</v>
      </c>
      <c r="I13582" s="6" t="n">
        <f aca="false">Sens!I13559</f>
        <v>28.7412169166967</v>
      </c>
      <c r="J13582" s="6" t="n">
        <f aca="false">Sens!J13559</f>
        <v>30.9192545395413</v>
      </c>
      <c r="K13582" s="6" t="n">
        <f aca="false">Sens!K13559</f>
        <v>33.0836023573092</v>
      </c>
    </row>
    <row r="13583" customFormat="false" ht="15" hidden="false" customHeight="false" outlineLevel="0" collapsed="false">
      <c r="A13583" s="0" t="s">
        <v>886</v>
      </c>
      <c r="B13583" s="0" t="s">
        <v>98</v>
      </c>
      <c r="D13583" s="6" t="n">
        <f aca="false">Sens!D13561</f>
        <v>7.76</v>
      </c>
      <c r="E13583" s="6" t="n">
        <f aca="false">Sens!E13561</f>
        <v>8.26</v>
      </c>
      <c r="F13583" s="6" t="n">
        <f aca="false">Sens!F13561</f>
        <v>8.79988041237113</v>
      </c>
      <c r="G13583" s="6" t="n">
        <f aca="false">Sens!G13561</f>
        <v>9.38321269125306</v>
      </c>
      <c r="H13583" s="6" t="n">
        <f aca="false">Sens!H13561</f>
        <v>10.0139193587476</v>
      </c>
      <c r="I13583" s="6" t="n">
        <f aca="false">Sens!I13561</f>
        <v>10.6963111830911</v>
      </c>
      <c r="J13583" s="6" t="n">
        <f aca="false">Sens!J13561</f>
        <v>11.4351285534696</v>
      </c>
      <c r="K13583" s="6" t="n">
        <f aca="false">Sens!K13561</f>
        <v>12.2355875522124</v>
      </c>
    </row>
    <row r="13584" customFormat="false" ht="15" hidden="false" customHeight="false" outlineLevel="0" collapsed="false">
      <c r="A13584" s="0" t="s">
        <v>715</v>
      </c>
      <c r="B13584" s="0" t="s">
        <v>98</v>
      </c>
      <c r="D13584" s="6" t="n">
        <f aca="false">Sens!D13563</f>
        <v>218.783</v>
      </c>
      <c r="E13584" s="6" t="n">
        <f aca="false">Sens!E13563</f>
        <v>268.127</v>
      </c>
      <c r="F13584" s="6" t="n">
        <f aca="false">Sens!F13563</f>
        <v>316.194961871514</v>
      </c>
      <c r="G13584" s="6" t="n">
        <f aca="false">Sens!G13563</f>
        <v>355.686272947091</v>
      </c>
      <c r="H13584" s="6" t="n">
        <f aca="false">Sens!H13563</f>
        <v>390.675959415367</v>
      </c>
      <c r="I13584" s="6" t="n">
        <f aca="false">Sens!I13563</f>
        <v>426.844231522531</v>
      </c>
      <c r="J13584" s="6" t="n">
        <f aca="false">Sens!J13563</f>
        <v>460.620308395202</v>
      </c>
      <c r="K13584" s="6" t="n">
        <f aca="false">Sens!K13563</f>
        <v>492.406630055278</v>
      </c>
    </row>
    <row r="13585" customFormat="false" ht="15" hidden="false" customHeight="false" outlineLevel="0" collapsed="false">
      <c r="A13585" s="0" t="s">
        <v>887</v>
      </c>
      <c r="B13585" s="0" t="s">
        <v>98</v>
      </c>
      <c r="D13585" s="6" t="n">
        <f aca="false">Sens!D13564</f>
        <v>22.171</v>
      </c>
      <c r="E13585" s="6" t="n">
        <f aca="false">Sens!E13564</f>
        <v>24.835</v>
      </c>
      <c r="F13585" s="6" t="n">
        <f aca="false">Sens!F13564</f>
        <v>27.6114901218559</v>
      </c>
      <c r="G13585" s="6" t="n">
        <f aca="false">Sens!G13564</f>
        <v>30.4675667338515</v>
      </c>
      <c r="H13585" s="6" t="n">
        <f aca="false">Sens!H13564</f>
        <v>33.3643766955789</v>
      </c>
      <c r="I13585" s="6" t="n">
        <f aca="false">Sens!I13564</f>
        <v>36.2577016533691</v>
      </c>
      <c r="J13585" s="6" t="n">
        <f aca="false">Sens!J13564</f>
        <v>39.0988367952171</v>
      </c>
      <c r="K13585" s="6" t="n">
        <f aca="false">Sens!K13564</f>
        <v>41.8357553708823</v>
      </c>
    </row>
    <row r="13586" customFormat="false" ht="15" hidden="false" customHeight="false" outlineLevel="0" collapsed="false">
      <c r="A13586" s="0" t="s">
        <v>888</v>
      </c>
      <c r="B13586" s="0" t="s">
        <v>98</v>
      </c>
      <c r="D13586" s="6" t="n">
        <f aca="false">Sens!D13566</f>
        <v>23.455</v>
      </c>
      <c r="E13586" s="6" t="n">
        <f aca="false">Sens!E13566</f>
        <v>21.79</v>
      </c>
      <c r="F13586" s="6" t="n">
        <f aca="false">Sens!F13566</f>
        <v>20.5736277908051</v>
      </c>
      <c r="G13586" s="6" t="n">
        <f aca="false">Sens!G13566</f>
        <v>19.7371452817919</v>
      </c>
      <c r="H13586" s="6" t="n">
        <f aca="false">Sens!H13566</f>
        <v>19.2339764043138</v>
      </c>
      <c r="I13586" s="6" t="n">
        <f aca="false">Sens!I13566</f>
        <v>19.0353086852681</v>
      </c>
      <c r="J13586" s="6" t="n">
        <f aca="false">Sens!J13566</f>
        <v>19.1273539319129</v>
      </c>
      <c r="K13586" s="6" t="n">
        <f aca="false">Sens!K13566</f>
        <v>19.5099010105511</v>
      </c>
    </row>
    <row r="13587" customFormat="false" ht="15" hidden="false" customHeight="false" outlineLevel="0" collapsed="false">
      <c r="A13587" s="0" t="s">
        <v>889</v>
      </c>
      <c r="B13587" s="0" t="s">
        <v>98</v>
      </c>
      <c r="D13587" s="6" t="n">
        <f aca="false">Sens!D13568</f>
        <v>17.315</v>
      </c>
      <c r="E13587" s="6" t="n">
        <f aca="false">Sens!E13568</f>
        <v>17.087</v>
      </c>
      <c r="F13587" s="6" t="n">
        <f aca="false">Sens!F13568</f>
        <v>16.9564585436519</v>
      </c>
      <c r="G13587" s="6" t="n">
        <f aca="false">Sens!G13568</f>
        <v>16.9206490624268</v>
      </c>
      <c r="H13587" s="6" t="n">
        <f aca="false">Sens!H13568</f>
        <v>16.9784519149849</v>
      </c>
      <c r="I13587" s="6" t="n">
        <f aca="false">Sens!I13568</f>
        <v>17.1303084701817</v>
      </c>
      <c r="J13587" s="6" t="n">
        <f aca="false">Sens!J13568</f>
        <v>17.3782189407267</v>
      </c>
      <c r="K13587" s="6" t="n">
        <f aca="false">Sens!K13568</f>
        <v>17.7257833195413</v>
      </c>
    </row>
    <row r="13588" customFormat="false" ht="15" hidden="false" customHeight="false" outlineLevel="0" collapsed="false">
      <c r="A13588" s="0" t="s">
        <v>729</v>
      </c>
      <c r="B13588" s="0" t="s">
        <v>98</v>
      </c>
      <c r="D13588" s="6" t="n">
        <f aca="false">Sens!D13570</f>
        <v>62.941</v>
      </c>
      <c r="E13588" s="6" t="n">
        <f aca="false">Sens!E13570</f>
        <v>63.712</v>
      </c>
      <c r="F13588" s="6" t="n">
        <f aca="false">Sens!F13570</f>
        <v>65.1415764563129</v>
      </c>
      <c r="G13588" s="6" t="n">
        <f aca="false">Sens!G13570</f>
        <v>67.1253610780702</v>
      </c>
      <c r="H13588" s="6" t="n">
        <f aca="false">Sens!H13570</f>
        <v>69.5768050148776</v>
      </c>
      <c r="I13588" s="6" t="n">
        <f aca="false">Sens!I13570</f>
        <v>72.4233188088189</v>
      </c>
      <c r="J13588" s="6" t="n">
        <f aca="false">Sens!J13570</f>
        <v>75.6044096678567</v>
      </c>
      <c r="K13588" s="6" t="n">
        <f aca="false">Sens!K13570</f>
        <v>79.0714397009747</v>
      </c>
    </row>
    <row r="13589" customFormat="false" ht="15" hidden="false" customHeight="false" outlineLevel="0" collapsed="false">
      <c r="A13589" s="1" t="s">
        <v>905</v>
      </c>
      <c r="B13589" s="0" t="s">
        <v>98</v>
      </c>
      <c r="D13589" s="6" t="n">
        <f aca="false">Sens!D13571</f>
        <v>281.724</v>
      </c>
      <c r="E13589" s="6" t="n">
        <f aca="false">Sens!E13571</f>
        <v>331.839</v>
      </c>
      <c r="F13589" s="6" t="n">
        <f aca="false">Sens!F13571</f>
        <v>381.336538327827</v>
      </c>
      <c r="G13589" s="6" t="n">
        <f aca="false">Sens!G13571</f>
        <v>422.811634025161</v>
      </c>
      <c r="H13589" s="6" t="n">
        <f aca="false">Sens!H13571</f>
        <v>460.252764430245</v>
      </c>
      <c r="I13589" s="6" t="n">
        <f aca="false">Sens!I13571</f>
        <v>499.26755033135</v>
      </c>
      <c r="J13589" s="6" t="n">
        <f aca="false">Sens!J13571</f>
        <v>536.224718063059</v>
      </c>
      <c r="K13589" s="6" t="n">
        <f aca="false">Sens!K13571</f>
        <v>571.478069756253</v>
      </c>
    </row>
    <row r="13590" customFormat="false" ht="15" hidden="false" customHeight="false" outlineLevel="0" collapsed="false">
      <c r="A13590" s="1" t="s">
        <v>906</v>
      </c>
      <c r="B13590" s="0" t="s">
        <v>129</v>
      </c>
      <c r="E13590" s="7" t="n">
        <f aca="false">Sens!E13589/Sens!D13589-1</f>
        <v>0.177886867998467</v>
      </c>
      <c r="F13590" s="7" t="n">
        <f aca="false">Sens!F13589/Sens!E13589-1</f>
        <v>0.149161305114308</v>
      </c>
      <c r="G13590" s="7" t="n">
        <f aca="false">Sens!G13589/Sens!F13589-1</f>
        <v>0.108762448726272</v>
      </c>
      <c r="H13590" s="7" t="n">
        <f aca="false">Sens!H13589/Sens!G13589-1</f>
        <v>0.088552744040282</v>
      </c>
      <c r="I13590" s="7" t="n">
        <f aca="false">Sens!I13589/Sens!H13589-1</f>
        <v>0.0847681728743168</v>
      </c>
      <c r="J13590" s="7" t="n">
        <f aca="false">Sens!J13589/Sens!I13589-1</f>
        <v>0.0740227713721466</v>
      </c>
      <c r="K13590" s="7" t="n">
        <f aca="false">Sens!K13589/Sens!J13589-1</f>
        <v>0.0657436155135391</v>
      </c>
    </row>
    <row r="13591" customFormat="false" ht="17.15" hidden="false" customHeight="false" outlineLevel="0" collapsed="false">
      <c r="A13591" s="23" t="s">
        <v>907</v>
      </c>
      <c r="B13591" s="30" t="s">
        <v>98</v>
      </c>
      <c r="C13591" s="30"/>
      <c r="D13591" s="24" t="n">
        <f aca="false">(Sens!D13584+Sens!D13588-Sens!D13589)+(Sens!D13576+Sens!D13577-Sens!D13575)+(Sens!D13579+Sens!D13580-Sens!D13578)+(Sens!D13589-Q!L18)</f>
        <v>0</v>
      </c>
      <c r="E13591" s="24" t="n">
        <f aca="false">(Sens!E13584+Sens!E13588-Sens!E13589)+(Sens!E13576+Sens!E13577-Sens!E13575)+(Sens!E13579+Sens!E13580-Sens!E13578)+(Sens!E13589-Q!M18)</f>
        <v>0</v>
      </c>
      <c r="F13591" s="24" t="n">
        <f aca="false">(Sens!F13584+Sens!F13588-Sens!F13589)+(Sens!F13576+Sens!F13577-Sens!F13575)+(Sens!F13579+Sens!F13580-Sens!F13578)</f>
        <v>0</v>
      </c>
      <c r="G13591" s="24" t="n">
        <f aca="false">(Sens!G13584+Sens!G13588-Sens!G13589)+(Sens!G13576+Sens!G13577-Sens!G13575)+(Sens!G13579+Sens!G13580-Sens!G13578)</f>
        <v>0</v>
      </c>
      <c r="H13591" s="24" t="n">
        <f aca="false">(Sens!H13584+Sens!H13588-Sens!H13589)+(Sens!H13576+Sens!H13577-Sens!H13575)+(Sens!H13579+Sens!H13580-Sens!H13578)</f>
        <v>0</v>
      </c>
      <c r="I13591" s="24" t="n">
        <f aca="false">(Sens!I13584+Sens!I13588-Sens!I13589)+(Sens!I13576+Sens!I13577-Sens!I13575)+(Sens!I13579+Sens!I13580-Sens!I13578)</f>
        <v>0</v>
      </c>
      <c r="J13591" s="24" t="n">
        <f aca="false">(Sens!J13584+Sens!J13588-Sens!J13589)+(Sens!J13576+Sens!J13577-Sens!J13575)+(Sens!J13579+Sens!J13580-Sens!J13578)</f>
        <v>0</v>
      </c>
      <c r="K13591" s="24" t="n">
        <f aca="false">(Sens!K13584+Sens!K13588-Sens!K13589)+(Sens!K13576+Sens!K13577-Sens!K13575)+(Sens!K13579+Sens!K13580-Sens!K13578)</f>
        <v>0</v>
      </c>
    </row>
    <row r="13592" customFormat="false" ht="17.15" hidden="false" customHeight="false" outlineLevel="0" collapsed="false">
      <c r="A13592" s="0" t="s">
        <v>908</v>
      </c>
      <c r="B13592" s="0" t="s">
        <v>129</v>
      </c>
      <c r="E13592" s="7" t="n">
        <f aca="false">(Q!M21+Sens!E13529+Sens!E13530+Sens!E13531+Sens!E13544-Sens!E13527)/(Q!M5-Sens!E13527)</f>
        <v>0.570957350878296</v>
      </c>
      <c r="F13592" s="7" t="n">
        <f aca="false">Sens!$E$13592+dm_seg</f>
        <v>0.570957350878296</v>
      </c>
      <c r="G13592" s="7" t="n">
        <f aca="false">Sens!$E$13592+dm_seg</f>
        <v>0.570957350878296</v>
      </c>
      <c r="H13592" s="7" t="n">
        <f aca="false">Sens!$E$13592+dm_seg</f>
        <v>0.570957350878296</v>
      </c>
      <c r="I13592" s="7" t="n">
        <f aca="false">Sens!$E$13592+dm_seg</f>
        <v>0.570957350878296</v>
      </c>
      <c r="J13592" s="7" t="n">
        <f aca="false">Sens!$E$13592+dm_seg</f>
        <v>0.570957350878296</v>
      </c>
      <c r="K13592" s="7" t="n">
        <f aca="false">Sens!$E$13592+dm_seg</f>
        <v>0.570957350878296</v>
      </c>
      <c r="L13592" s="11" t="s">
        <v>909</v>
      </c>
    </row>
    <row r="13593" customFormat="false" ht="17.15" hidden="false" customHeight="false" outlineLevel="0" collapsed="false">
      <c r="A13593" s="0" t="s">
        <v>743</v>
      </c>
      <c r="B13593" s="0" t="s">
        <v>98</v>
      </c>
      <c r="D13593" s="6" t="n">
        <f aca="false">Q!L21</f>
        <v>110.814</v>
      </c>
      <c r="E13593" s="6" t="n">
        <f aca="false">Q!M21</f>
        <v>136.365</v>
      </c>
      <c r="F13593" s="6" t="n">
        <f aca="false">Sens!F13592*(Sens!F13563-Sens!F13527)+Sens!F13527-(Sens!F13529+Sens!F13530+Sens!F13531)-Sens!F13544-Sens!F13627</f>
        <v>140.611098332596</v>
      </c>
      <c r="G13593" s="6" t="n">
        <f aca="false">Sens!G13592*(Sens!G13563-Sens!G13527)+Sens!G13527-(Sens!G13529+Sens!G13530+Sens!G13531)-Sens!G13544-Sens!G13627</f>
        <v>158.096480173242</v>
      </c>
      <c r="H13593" s="6" t="n">
        <f aca="false">Sens!H13592*(Sens!H13563-Sens!H13527)+Sens!H13527-(Sens!H13529+Sens!H13530+Sens!H13531)-Sens!H13544-Sens!H13627</f>
        <v>174.963108372039</v>
      </c>
      <c r="I13593" s="6" t="n">
        <f aca="false">Sens!I13592*(Sens!I13563-Sens!I13527)+Sens!I13527-(Sens!I13529+Sens!I13530+Sens!I13531)-Sens!I13544-Sens!I13627</f>
        <v>196.399571090018</v>
      </c>
      <c r="J13593" s="6" t="n">
        <f aca="false">Sens!J13592*(Sens!J13563-Sens!J13527)+Sens!J13527-(Sens!J13529+Sens!J13530+Sens!J13531)-Sens!J13544-Sens!J13627</f>
        <v>215.544807811461</v>
      </c>
      <c r="K13593" s="6" t="n">
        <f aca="false">Sens!K13592*(Sens!K13563-Sens!K13527)+Sens!K13527-(Sens!K13529+Sens!K13530+Sens!K13531)-Sens!K13544-Sens!K13627</f>
        <v>232.629183503755</v>
      </c>
      <c r="L13593" s="1" t="s">
        <v>910</v>
      </c>
    </row>
    <row r="13594" customFormat="false" ht="17.15" hidden="false" customHeight="false" outlineLevel="0" collapsed="false">
      <c r="A13594" s="0" t="s">
        <v>911</v>
      </c>
      <c r="B13594" s="0" t="s">
        <v>129</v>
      </c>
      <c r="E13594" s="7" t="n">
        <f aca="false">Q!M22/Q!M12</f>
        <v>0.296207935710698</v>
      </c>
      <c r="F13594" s="7" t="n">
        <f aca="false">Sens!$E$13594+dm_seg</f>
        <v>0.296207935710698</v>
      </c>
      <c r="G13594" s="7" t="n">
        <f aca="false">Sens!$E$13594+dm_seg</f>
        <v>0.296207935710698</v>
      </c>
      <c r="H13594" s="7" t="n">
        <f aca="false">Sens!$E$13594+dm_seg</f>
        <v>0.296207935710698</v>
      </c>
      <c r="I13594" s="7" t="n">
        <f aca="false">Sens!$E$13594+dm_seg</f>
        <v>0.296207935710698</v>
      </c>
      <c r="J13594" s="7" t="n">
        <f aca="false">Sens!$E$13594+dm_seg</f>
        <v>0.296207935710698</v>
      </c>
      <c r="K13594" s="7" t="n">
        <f aca="false">Sens!$E$13594+dm_seg</f>
        <v>0.296207935710698</v>
      </c>
      <c r="L13594" s="11" t="s">
        <v>912</v>
      </c>
    </row>
    <row r="13595" customFormat="false" ht="17.15" hidden="false" customHeight="false" outlineLevel="0" collapsed="false">
      <c r="A13595" s="0" t="s">
        <v>745</v>
      </c>
      <c r="B13595" s="0" t="s">
        <v>98</v>
      </c>
      <c r="D13595" s="6" t="n">
        <f aca="false">Q!L22</f>
        <v>17.714</v>
      </c>
      <c r="E13595" s="6" t="n">
        <f aca="false">Q!M22</f>
        <v>18.872</v>
      </c>
      <c r="F13595" s="6" t="n">
        <f aca="false">Sens!F13570*Sens!F13594</f>
        <v>19.2954518910651</v>
      </c>
      <c r="G13595" s="6" t="n">
        <f aca="false">Sens!G13570*Sens!G13594</f>
        <v>19.8830646387704</v>
      </c>
      <c r="H13595" s="6" t="n">
        <f aca="false">Sens!H13570*Sens!H13594</f>
        <v>20.6092017868026</v>
      </c>
      <c r="I13595" s="6" t="n">
        <f aca="false">Sens!I13570*Sens!I13594</f>
        <v>21.452361761678</v>
      </c>
      <c r="J13595" s="6" t="n">
        <f aca="false">Sens!J13570*Sens!J13594</f>
        <v>22.3946261183418</v>
      </c>
      <c r="K13595" s="6" t="n">
        <f aca="false">Sens!K13570*Sens!K13594</f>
        <v>23.4215879274986</v>
      </c>
    </row>
    <row r="13596" customFormat="false" ht="15" hidden="false" customHeight="false" outlineLevel="0" collapsed="false">
      <c r="A13596" s="1" t="s">
        <v>913</v>
      </c>
      <c r="B13596" s="0" t="s">
        <v>98</v>
      </c>
      <c r="D13596" s="6" t="n">
        <f aca="false">Sens!D13593+Sens!D13595</f>
        <v>128.528</v>
      </c>
      <c r="E13596" s="6" t="n">
        <f aca="false">Sens!E13593+Sens!E13595</f>
        <v>155.237</v>
      </c>
      <c r="F13596" s="6" t="n">
        <f aca="false">Sens!F13593+Sens!F13595</f>
        <v>159.906550223661</v>
      </c>
      <c r="G13596" s="6" t="n">
        <f aca="false">Sens!G13593+Sens!G13595</f>
        <v>177.979544812013</v>
      </c>
      <c r="H13596" s="6" t="n">
        <f aca="false">Sens!H13593+Sens!H13595</f>
        <v>195.572310158842</v>
      </c>
      <c r="I13596" s="6" t="n">
        <f aca="false">Sens!I13593+Sens!I13595</f>
        <v>217.851932851696</v>
      </c>
      <c r="J13596" s="6" t="n">
        <f aca="false">Sens!J13593+Sens!J13595</f>
        <v>237.939433929803</v>
      </c>
      <c r="K13596" s="6" t="n">
        <f aca="false">Sens!K13593+Sens!K13595</f>
        <v>256.050771431253</v>
      </c>
    </row>
    <row r="13597" customFormat="false" ht="15" hidden="false" customHeight="false" outlineLevel="0" collapsed="false">
      <c r="A13597" s="23" t="s">
        <v>914</v>
      </c>
      <c r="B13597" s="30" t="s">
        <v>98</v>
      </c>
      <c r="C13597" s="30"/>
      <c r="D13597" s="24" t="n">
        <f aca="false">Sens!D13596-Q!L23</f>
        <v>0</v>
      </c>
      <c r="E13597" s="24" t="n">
        <f aca="false">Sens!E13596-Q!M23</f>
        <v>0</v>
      </c>
      <c r="F13597" s="30"/>
      <c r="G13597" s="30"/>
      <c r="H13597" s="30"/>
      <c r="I13597" s="30"/>
      <c r="J13597" s="30"/>
      <c r="K13597" s="30"/>
    </row>
    <row r="13598" customFormat="false" ht="15" hidden="false" customHeight="false" outlineLevel="0" collapsed="false">
      <c r="A13598" s="1" t="s">
        <v>915</v>
      </c>
      <c r="B13598" s="0" t="s">
        <v>129</v>
      </c>
      <c r="D13598" s="7" t="n">
        <f aca="false">Sens!D13596/Sens!D13589</f>
        <v>0.456219562408598</v>
      </c>
      <c r="E13598" s="7" t="n">
        <f aca="false">Sens!E13596/Sens!E13589</f>
        <v>0.467808184089272</v>
      </c>
      <c r="F13598" s="7" t="n">
        <f aca="false">Sens!F13596/Sens!F13589</f>
        <v>0.419331834617413</v>
      </c>
      <c r="G13598" s="7" t="n">
        <f aca="false">Sens!G13596/Sens!G13589</f>
        <v>0.420942875004762</v>
      </c>
      <c r="H13598" s="7" t="n">
        <f aca="false">Sens!H13596/Sens!H13589</f>
        <v>0.424923705566319</v>
      </c>
      <c r="I13598" s="7" t="n">
        <f aca="false">Sens!I13596/Sens!I13589</f>
        <v>0.436343064369223</v>
      </c>
      <c r="J13598" s="7" t="n">
        <f aca="false">Sens!J13596/Sens!J13589</f>
        <v>0.443730820148097</v>
      </c>
      <c r="K13598" s="7" t="n">
        <f aca="false">Sens!K13596/Sens!K13589</f>
        <v>0.448050038981311</v>
      </c>
    </row>
    <row r="13599" customFormat="false" ht="17.15" hidden="false" customHeight="false" outlineLevel="0" collapsed="false">
      <c r="A13599" s="1" t="s">
        <v>916</v>
      </c>
      <c r="B13599" s="0" t="s">
        <v>98</v>
      </c>
      <c r="F13599" s="6" t="n">
        <f aca="false">Sens!F13614</f>
        <v>3.37245816558284</v>
      </c>
      <c r="G13599" s="6" t="n">
        <f aca="false">Sens!G13614</f>
        <v>4.94794499348405</v>
      </c>
      <c r="H13599" s="6" t="n">
        <f aca="false">Sens!H13614</f>
        <v>4.88554929991378</v>
      </c>
      <c r="I13599" s="6" t="n">
        <f aca="false">Sens!I13614</f>
        <v>3.89455031683526</v>
      </c>
      <c r="J13599" s="6" t="n">
        <f aca="false">Sens!J13614</f>
        <v>3.48159335528161</v>
      </c>
      <c r="K13599" s="6" t="n">
        <f aca="false">Sens!K13614</f>
        <v>3.50612249815711</v>
      </c>
      <c r="L13599" s="1" t="s">
        <v>917</v>
      </c>
    </row>
    <row r="13600" customFormat="false" ht="17.15" hidden="false" customHeight="false" outlineLevel="0" collapsed="false">
      <c r="A13600" s="1" t="s">
        <v>918</v>
      </c>
      <c r="B13600" s="0" t="s">
        <v>98</v>
      </c>
      <c r="D13600" s="6" t="n">
        <f aca="false">Sens!D13596</f>
        <v>128.528</v>
      </c>
      <c r="E13600" s="6" t="n">
        <f aca="false">Sens!E13596</f>
        <v>155.237</v>
      </c>
      <c r="F13600" s="6" t="n">
        <f aca="false">Sens!F13596+Sens!F13599</f>
        <v>163.279008389244</v>
      </c>
      <c r="G13600" s="6" t="n">
        <f aca="false">Sens!G13596+Sens!G13599</f>
        <v>182.927489805497</v>
      </c>
      <c r="H13600" s="6" t="n">
        <f aca="false">Sens!H13596+Sens!H13599</f>
        <v>200.457859458756</v>
      </c>
      <c r="I13600" s="6" t="n">
        <f aca="false">Sens!I13596+Sens!I13599</f>
        <v>221.746483168532</v>
      </c>
      <c r="J13600" s="6" t="n">
        <f aca="false">Sens!J13596+Sens!J13599</f>
        <v>241.421027285085</v>
      </c>
      <c r="K13600" s="6" t="n">
        <f aca="false">Sens!K13596+Sens!K13599</f>
        <v>259.556893929411</v>
      </c>
    </row>
    <row r="13601" customFormat="false" ht="17.15" hidden="false" customHeight="false" outlineLevel="0" collapsed="false">
      <c r="A13601" s="1" t="s">
        <v>919</v>
      </c>
      <c r="B13601" s="0" t="s">
        <v>98</v>
      </c>
      <c r="E13601" s="6" t="n">
        <f aca="false">Sens!E13544</f>
        <v>16.3054059770833</v>
      </c>
      <c r="F13601" s="6" t="n">
        <f aca="false">Sens!F13544</f>
        <v>24.6319326396667</v>
      </c>
      <c r="G13601" s="6" t="n">
        <f aca="false">Sens!G13544</f>
        <v>29.4421900723333</v>
      </c>
      <c r="H13601" s="6" t="n">
        <f aca="false">Sens!H13544</f>
        <v>32.0248894903333</v>
      </c>
      <c r="I13601" s="6" t="n">
        <f aca="false">Sens!I13544</f>
        <v>32.6686637199167</v>
      </c>
      <c r="J13601" s="6" t="n">
        <f aca="false">Sens!J13544</f>
        <v>34.2846684186667</v>
      </c>
      <c r="K13601" s="6" t="n">
        <f aca="false">Sens!K13544</f>
        <v>37.1882215765833</v>
      </c>
    </row>
    <row r="13602" customFormat="false" ht="17.15" hidden="false" customHeight="false" outlineLevel="0" collapsed="false">
      <c r="A13602" s="1" t="s">
        <v>920</v>
      </c>
      <c r="B13602" s="0" t="s">
        <v>98</v>
      </c>
      <c r="E13602" s="6" t="n">
        <f aca="false">Sens!E13626</f>
        <v>22.2285940229167</v>
      </c>
      <c r="F13602" s="6" t="n">
        <f aca="false">Sens!F13626</f>
        <v>37.358881403025</v>
      </c>
      <c r="G13602" s="6" t="n">
        <f aca="false">Sens!G13626</f>
        <v>37.6932826197614</v>
      </c>
      <c r="H13602" s="6" t="n">
        <f aca="false">Sens!H13626</f>
        <v>38.5301057221942</v>
      </c>
      <c r="I13602" s="6" t="n">
        <f aca="false">Sens!I13626</f>
        <v>39.7994351811392</v>
      </c>
      <c r="J13602" s="6" t="n">
        <f aca="false">Sens!J13626</f>
        <v>41.4150829880627</v>
      </c>
      <c r="K13602" s="6" t="n">
        <f aca="false">Sens!K13626</f>
        <v>43.2829449634558</v>
      </c>
    </row>
    <row r="13603" customFormat="false" ht="17.15" hidden="false" customHeight="false" outlineLevel="0" collapsed="false">
      <c r="A13603" s="1" t="s">
        <v>921</v>
      </c>
      <c r="B13603" s="0" t="s">
        <v>98</v>
      </c>
      <c r="D13603" s="6" t="n">
        <f aca="false">Q!L27</f>
        <v>-4.901</v>
      </c>
      <c r="E13603" s="6" t="n">
        <f aca="false">Q!M27</f>
        <v>10.697</v>
      </c>
      <c r="F13603" s="6" t="n">
        <f aca="false">oie_f</f>
        <v>-0.4</v>
      </c>
      <c r="G13603" s="6" t="n">
        <f aca="false">oie_f</f>
        <v>-0.4</v>
      </c>
      <c r="H13603" s="6" t="n">
        <f aca="false">oie_f</f>
        <v>-0.4</v>
      </c>
      <c r="I13603" s="6" t="n">
        <f aca="false">oie_f</f>
        <v>-0.4</v>
      </c>
      <c r="J13603" s="6" t="n">
        <f aca="false">oie_f</f>
        <v>-0.4</v>
      </c>
      <c r="K13603" s="6" t="n">
        <f aca="false">oie_f</f>
        <v>-0.4</v>
      </c>
      <c r="L13603" s="11" t="s">
        <v>922</v>
      </c>
    </row>
    <row r="13604" customFormat="false" ht="15" hidden="false" customHeight="false" outlineLevel="0" collapsed="false">
      <c r="A13604" s="1" t="s">
        <v>923</v>
      </c>
      <c r="B13604" s="0" t="s">
        <v>98</v>
      </c>
      <c r="D13604" s="6" t="n">
        <f aca="false">Sens!D13596+Sens!D13603</f>
        <v>123.627</v>
      </c>
      <c r="E13604" s="6" t="n">
        <f aca="false">Sens!E13596+Sens!E13603</f>
        <v>165.934</v>
      </c>
      <c r="F13604" s="6" t="n">
        <f aca="false">Sens!F13596+Sens!F13603</f>
        <v>159.506550223661</v>
      </c>
      <c r="G13604" s="6" t="n">
        <f aca="false">Sens!G13596+Sens!G13603</f>
        <v>177.579544812013</v>
      </c>
      <c r="H13604" s="6" t="n">
        <f aca="false">Sens!H13596+Sens!H13603</f>
        <v>195.172310158842</v>
      </c>
      <c r="I13604" s="6" t="n">
        <f aca="false">Sens!I13596+Sens!I13603</f>
        <v>217.451932851696</v>
      </c>
      <c r="J13604" s="6" t="n">
        <f aca="false">Sens!J13596+Sens!J13603</f>
        <v>237.539433929803</v>
      </c>
      <c r="K13604" s="6" t="n">
        <f aca="false">Sens!K13596+Sens!K13603</f>
        <v>255.650771431253</v>
      </c>
    </row>
    <row r="13605" customFormat="false" ht="15" hidden="false" customHeight="false" outlineLevel="0" collapsed="false">
      <c r="A13605" s="1" t="s">
        <v>924</v>
      </c>
      <c r="B13605" s="0" t="s">
        <v>98</v>
      </c>
      <c r="D13605" s="6" t="n">
        <f aca="false">Q!L29</f>
        <v>21.795</v>
      </c>
      <c r="E13605" s="6" t="n">
        <f aca="false">Q!M29</f>
        <v>32.185</v>
      </c>
      <c r="F13605" s="6" t="n">
        <f aca="false">Sens!F13604*tax_f</f>
        <v>31.9013100447322</v>
      </c>
      <c r="G13605" s="6" t="n">
        <f aca="false">Sens!G13604*tax_f</f>
        <v>35.5159089624025</v>
      </c>
      <c r="H13605" s="6" t="n">
        <f aca="false">Sens!H13604*tax_f</f>
        <v>39.0344620317684</v>
      </c>
      <c r="I13605" s="6" t="n">
        <f aca="false">Sens!I13604*tax_f</f>
        <v>43.4903865703393</v>
      </c>
      <c r="J13605" s="6" t="n">
        <f aca="false">Sens!J13604*tax_f</f>
        <v>47.5078867859606</v>
      </c>
      <c r="K13605" s="6" t="n">
        <f aca="false">Sens!K13604*tax_f</f>
        <v>51.1301542862507</v>
      </c>
    </row>
    <row r="13606" customFormat="false" ht="15" hidden="false" customHeight="false" outlineLevel="0" collapsed="false">
      <c r="A13606" s="1" t="s">
        <v>925</v>
      </c>
      <c r="B13606" s="0" t="s">
        <v>98</v>
      </c>
      <c r="D13606" s="6" t="n">
        <f aca="false">Sens!D13604-Sens!D13605</f>
        <v>101.832</v>
      </c>
      <c r="E13606" s="6" t="n">
        <f aca="false">Sens!E13604-Sens!E13605</f>
        <v>133.749</v>
      </c>
      <c r="F13606" s="6" t="n">
        <f aca="false">Sens!F13604-Sens!F13605</f>
        <v>127.605240178929</v>
      </c>
      <c r="G13606" s="6" t="n">
        <f aca="false">Sens!G13604-Sens!G13605</f>
        <v>142.06363584961</v>
      </c>
      <c r="H13606" s="6" t="n">
        <f aca="false">Sens!H13604-Sens!H13605</f>
        <v>156.137848127073</v>
      </c>
      <c r="I13606" s="6" t="n">
        <f aca="false">Sens!I13604-Sens!I13605</f>
        <v>173.961546281357</v>
      </c>
      <c r="J13606" s="6" t="n">
        <f aca="false">Sens!J13604-Sens!J13605</f>
        <v>190.031547143842</v>
      </c>
      <c r="K13606" s="6" t="n">
        <f aca="false">Sens!K13604-Sens!K13605</f>
        <v>204.520617145003</v>
      </c>
    </row>
    <row r="13607" customFormat="false" ht="17.15" hidden="false" customHeight="false" outlineLevel="0" collapsed="false">
      <c r="A13607" s="1" t="s">
        <v>926</v>
      </c>
      <c r="B13607" s="1" t="s">
        <v>81</v>
      </c>
      <c r="D13607" s="14" t="n">
        <f aca="false">Q!L31</f>
        <v>7.465</v>
      </c>
      <c r="E13607" s="14" t="n">
        <f aca="false">Q!M31</f>
        <v>7.453</v>
      </c>
      <c r="F13607" s="14" t="n">
        <f aca="false">Sens!F13650</f>
        <v>7.4735</v>
      </c>
      <c r="G13607" s="14" t="n">
        <f aca="false">Sens!G13650</f>
        <v>7.49987171271795</v>
      </c>
      <c r="H13607" s="14" t="n">
        <f aca="false">Sens!H13650</f>
        <v>7.50899501128585</v>
      </c>
      <c r="I13607" s="14" t="n">
        <f aca="false">Sens!I13650</f>
        <v>7.52077584329316</v>
      </c>
      <c r="J13607" s="14" t="n">
        <f aca="false">Sens!J13650</f>
        <v>7.53501735441104</v>
      </c>
      <c r="K13607" s="14" t="n">
        <f aca="false">Sens!K13650</f>
        <v>7.55153727211278</v>
      </c>
    </row>
    <row r="13608" customFormat="false" ht="17.15" hidden="false" customHeight="false" outlineLevel="0" collapsed="false">
      <c r="A13608" s="0" t="s">
        <v>927</v>
      </c>
      <c r="B13608" s="0" t="s">
        <v>75</v>
      </c>
      <c r="D13608" s="8" t="n">
        <f aca="false">Sens!D13606/Sens!D13607</f>
        <v>13.641259209645</v>
      </c>
      <c r="E13608" s="8" t="n">
        <f aca="false">Sens!E13606/Sens!E13607</f>
        <v>17.9456594659869</v>
      </c>
      <c r="F13608" s="8" t="n">
        <f aca="false">Sens!F13606/Sens!F13607</f>
        <v>17.0743614342582</v>
      </c>
      <c r="G13608" s="8" t="n">
        <f aca="false">Sens!G13606/Sens!G13607</f>
        <v>18.9421421180718</v>
      </c>
      <c r="H13608" s="8" t="n">
        <f aca="false">Sens!H13606/Sens!H13607</f>
        <v>20.7934414515394</v>
      </c>
      <c r="I13608" s="8" t="n">
        <f aca="false">Sens!I13606/Sens!I13607</f>
        <v>23.1307979264522</v>
      </c>
      <c r="J13608" s="8" t="n">
        <f aca="false">Sens!J13606/Sens!J13607</f>
        <v>25.2197889143012</v>
      </c>
      <c r="K13608" s="8" t="n">
        <f aca="false">Sens!K13606/Sens!K13607</f>
        <v>27.0833089707815</v>
      </c>
      <c r="L13608" s="1" t="s">
        <v>928</v>
      </c>
    </row>
    <row r="13609" customFormat="false" ht="17.15" hidden="false" customHeight="false" outlineLevel="0" collapsed="false">
      <c r="A13609" s="1" t="s">
        <v>929</v>
      </c>
      <c r="B13609" s="0" t="s">
        <v>98</v>
      </c>
      <c r="D13609" s="6" t="n">
        <f aca="false">Sens!D13606</f>
        <v>101.832</v>
      </c>
      <c r="E13609" s="6" t="n">
        <f aca="false">Sens!E13606</f>
        <v>133.749</v>
      </c>
      <c r="F13609" s="6" t="n">
        <f aca="false">Sens!F13606+Sens!F13599*(1-tax_f)</f>
        <v>130.303206711395</v>
      </c>
      <c r="G13609" s="6" t="n">
        <f aca="false">Sens!G13606+Sens!G13599*(1-tax_f)</f>
        <v>146.021991844397</v>
      </c>
      <c r="H13609" s="6" t="n">
        <f aca="false">Sens!H13606+Sens!H13599*(1-tax_f)</f>
        <v>160.046287567004</v>
      </c>
      <c r="I13609" s="6" t="n">
        <f aca="false">Sens!I13606+Sens!I13599*(1-tax_f)</f>
        <v>177.077186534825</v>
      </c>
      <c r="J13609" s="6" t="n">
        <f aca="false">Sens!J13606+Sens!J13599*(1-tax_f)</f>
        <v>192.816821828068</v>
      </c>
      <c r="K13609" s="6" t="n">
        <f aca="false">Sens!K13606+Sens!K13599*(1-tax_f)</f>
        <v>207.325515143528</v>
      </c>
    </row>
    <row r="13610" customFormat="false" ht="17.15" hidden="false" customHeight="false" outlineLevel="0" collapsed="false">
      <c r="A13610" s="0" t="s">
        <v>930</v>
      </c>
      <c r="B13610" s="0" t="s">
        <v>75</v>
      </c>
      <c r="D13610" s="8" t="n">
        <f aca="false">Sens!D13609/Sens!D13607</f>
        <v>13.641259209645</v>
      </c>
      <c r="E13610" s="8" t="n">
        <f aca="false">Sens!E13609/Sens!E13607</f>
        <v>17.9456594659869</v>
      </c>
      <c r="F13610" s="8" t="n">
        <f aca="false">Sens!F13609/Sens!F13607</f>
        <v>17.4353658542042</v>
      </c>
      <c r="G13610" s="8" t="n">
        <f aca="false">Sens!G13609/Sens!G13607</f>
        <v>19.4699319452064</v>
      </c>
      <c r="H13610" s="8" t="n">
        <f aca="false">Sens!H13609/Sens!H13607</f>
        <v>21.3139424552099</v>
      </c>
      <c r="I13610" s="8" t="n">
        <f aca="false">Sens!I13609/Sens!I13607</f>
        <v>23.545069049324</v>
      </c>
      <c r="J13610" s="8" t="n">
        <f aca="false">Sens!J13609/Sens!J13607</f>
        <v>25.5894330110855</v>
      </c>
      <c r="K13610" s="8" t="n">
        <f aca="false">Sens!K13609/Sens!K13607</f>
        <v>27.4547430109582</v>
      </c>
      <c r="L13610" s="1" t="s">
        <v>931</v>
      </c>
    </row>
    <row r="13611" customFormat="false" ht="17.15" hidden="false" customHeight="false" outlineLevel="0" collapsed="false">
      <c r="A13611" s="0" t="s">
        <v>932</v>
      </c>
      <c r="B13611" s="0" t="s">
        <v>129</v>
      </c>
      <c r="E13611" s="7" t="n">
        <f aca="false">Sens!E13610/Sens!D13610-1</f>
        <v>0.315542736208578</v>
      </c>
      <c r="F13611" s="7" t="n">
        <f aca="false">Sens!F13610/Sens!E13610-1</f>
        <v>-0.0284354895260242</v>
      </c>
      <c r="G13611" s="7" t="n">
        <f aca="false">Sens!G13610/Sens!F13610-1</f>
        <v>0.116691907013333</v>
      </c>
      <c r="H13611" s="7" t="n">
        <f aca="false">Sens!H13610/Sens!G13610-1</f>
        <v>0.0947106808176303</v>
      </c>
      <c r="I13611" s="7" t="n">
        <f aca="false">Sens!I13610/Sens!H13610-1</f>
        <v>0.104679206993391</v>
      </c>
      <c r="J13611" s="7" t="n">
        <f aca="false">Sens!J13610/Sens!I13610-1</f>
        <v>0.086827690225872</v>
      </c>
      <c r="K13611" s="7" t="n">
        <f aca="false">Sens!K13610/Sens!J13610-1</f>
        <v>0.0728937604465336</v>
      </c>
    </row>
    <row r="13612" customFormat="false" ht="17.15" hidden="false" customHeight="false" outlineLevel="0" collapsed="false">
      <c r="A13612" s="0" t="s">
        <v>856</v>
      </c>
      <c r="B13612" s="0" t="s">
        <v>98</v>
      </c>
      <c r="E13612" s="6" t="n">
        <f aca="false">Sens!E13553</f>
        <v>5.25</v>
      </c>
      <c r="F13612" s="6" t="n">
        <f aca="false">Sens!F13553</f>
        <v>10.5</v>
      </c>
      <c r="G13612" s="6" t="n">
        <f aca="false">Sens!G13553</f>
        <v>13.5</v>
      </c>
      <c r="H13612" s="6" t="n">
        <f aca="false">Sens!H13553</f>
        <v>16.5</v>
      </c>
      <c r="I13612" s="6" t="n">
        <f aca="false">Sens!I13553</f>
        <v>18.75</v>
      </c>
      <c r="J13612" s="6" t="n">
        <f aca="false">Sens!J13553</f>
        <v>20.25</v>
      </c>
      <c r="K13612" s="6" t="n">
        <f aca="false">Sens!K13553</f>
        <v>21.75</v>
      </c>
    </row>
    <row r="13613" customFormat="false" ht="17.15" hidden="false" customHeight="false" outlineLevel="0" collapsed="false">
      <c r="A13613" s="1" t="s">
        <v>857</v>
      </c>
      <c r="B13613" s="0" t="s">
        <v>98</v>
      </c>
      <c r="F13613" s="6" t="n">
        <f aca="false">MAX(0,((Sens!E13516+Sens!F13516)/2-(shadow_base*(Sens!$D$13516+Sens!$E$13516)/2+(1-shadow_base)*Sens!$E$13516))*Sens!F13524/1000-(Sens!F13612-Sens!$E$13612)*Sens!F13592)</f>
        <v>3.37245816558284</v>
      </c>
      <c r="G13613" s="6" t="n">
        <f aca="false">MAX(0,((Sens!F13516+Sens!G13516)/2-(shadow_base*(Sens!$D$13516+Sens!$E$13516)/2+(1-shadow_base)*Sens!$E$13516))*Sens!G13524/1000-(Sens!G13612-Sens!$E$13612)*Sens!G13592)</f>
        <v>4.94794499348405</v>
      </c>
      <c r="H13613" s="6" t="n">
        <f aca="false">MAX(0,((Sens!G13516+Sens!H13516)/2-(shadow_base*(Sens!$D$13516+Sens!$E$13516)/2+(1-shadow_base)*Sens!$E$13516))*Sens!H13524/1000-(Sens!H13612-Sens!$E$13612)*Sens!H13592)</f>
        <v>4.88554929991378</v>
      </c>
      <c r="I13613" s="6" t="n">
        <f aca="false">MAX(0,((Sens!H13516+Sens!I13516)/2-(shadow_base*(Sens!$D$13516+Sens!$E$13516)/2+(1-shadow_base)*Sens!$E$13516))*Sens!I13524/1000-(Sens!I13612-Sens!$E$13612)*Sens!I13592)</f>
        <v>3.89455031683526</v>
      </c>
      <c r="J13613" s="6" t="n">
        <f aca="false">MAX(0,((Sens!I13516+Sens!J13516)/2-(shadow_base*(Sens!$D$13516+Sens!$E$13516)/2+(1-shadow_base)*Sens!$E$13516))*Sens!J13524/1000-(Sens!J13612-Sens!$E$13612)*Sens!J13592)</f>
        <v>3.48159335528161</v>
      </c>
      <c r="K13613" s="6" t="n">
        <f aca="false">MAX(0,((Sens!J13516+Sens!K13516)/2-(shadow_base*(Sens!$D$13516+Sens!$E$13516)/2+(1-shadow_base)*Sens!$E$13516))*Sens!K13524/1000-(Sens!K13612-Sens!$E$13612)*Sens!K13592)</f>
        <v>3.50612249815711</v>
      </c>
      <c r="L13613" s="1" t="s">
        <v>858</v>
      </c>
    </row>
    <row r="13614" customFormat="false" ht="17.15" hidden="false" customHeight="false" outlineLevel="0" collapsed="false">
      <c r="A13614" s="1" t="s">
        <v>859</v>
      </c>
      <c r="B13614" s="0" t="s">
        <v>98</v>
      </c>
      <c r="F13614" s="6" t="n">
        <f aca="false">IF(internal_ai_reading=2,1,0)*Sens!F13613</f>
        <v>3.37245816558284</v>
      </c>
      <c r="G13614" s="6" t="n">
        <f aca="false">IF(internal_ai_reading=2,1,0)*Sens!G13613</f>
        <v>4.94794499348405</v>
      </c>
      <c r="H13614" s="6" t="n">
        <f aca="false">IF(internal_ai_reading=2,1,0)*Sens!H13613</f>
        <v>4.88554929991378</v>
      </c>
      <c r="I13614" s="6" t="n">
        <f aca="false">IF(internal_ai_reading=2,1,0)*Sens!I13613</f>
        <v>3.89455031683526</v>
      </c>
      <c r="J13614" s="6" t="n">
        <f aca="false">IF(internal_ai_reading=2,1,0)*Sens!J13613</f>
        <v>3.48159335528161</v>
      </c>
      <c r="K13614" s="6" t="n">
        <f aca="false">IF(internal_ai_reading=2,1,0)*Sens!K13613</f>
        <v>3.50612249815711</v>
      </c>
    </row>
    <row r="13615" customFormat="false" ht="17.15" hidden="false" customHeight="false" outlineLevel="0" collapsed="false">
      <c r="A13615" s="0" t="s">
        <v>860</v>
      </c>
      <c r="B13615" s="0" t="s">
        <v>98</v>
      </c>
      <c r="F13615" s="6" t="n">
        <f aca="false">Sens!F13533+Sens!F13612*Sens!F13592+Sens!F13614-Sens!F13534-Sens!F13544</f>
        <v>5.23309559053041</v>
      </c>
      <c r="G13615" s="6" t="n">
        <f aca="false">Sens!G13533+Sens!G13612*Sens!G13592+Sens!G13614-Sens!G13534-Sens!G13544</f>
        <v>3.83151409268997</v>
      </c>
      <c r="H13615" s="6" t="n">
        <f aca="false">Sens!H13533+Sens!H13612*Sens!H13592+Sens!H13614-Sens!H13534-Sens!H13544</f>
        <v>0.12924976126515</v>
      </c>
      <c r="I13615" s="6" t="n">
        <f aca="false">Sens!I13533+Sens!I13612*Sens!I13592+Sens!I13614-Sens!I13534-Sens!I13544</f>
        <v>0.680500924009017</v>
      </c>
      <c r="J13615" s="6" t="n">
        <f aca="false">Sens!J13533+Sens!J13612*Sens!J13592+Sens!J13614-Sens!J13534-Sens!J13544</f>
        <v>0.869228450406212</v>
      </c>
      <c r="K13615" s="6" t="n">
        <f aca="false">Sens!K13533+Sens!K13612*Sens!K13592+Sens!K13614-Sens!K13534-Sens!K13544</f>
        <v>1.55075146947114</v>
      </c>
    </row>
    <row r="13616" customFormat="false" ht="17.15" hidden="false" customHeight="false" outlineLevel="0" collapsed="false">
      <c r="A13616" s="0" t="s">
        <v>861</v>
      </c>
      <c r="B13616" s="0" t="s">
        <v>98</v>
      </c>
      <c r="E13616" s="6" t="n">
        <f aca="false">Sens!E13515*(cxit_open+self_build*tk_cxfac)/1000*ai_net_open</f>
        <v>126.6980382</v>
      </c>
      <c r="F13616" s="6" t="n">
        <f aca="false">Sens!E13616+Sens!F13541-Sens!F13544</f>
        <v>132.734637736333</v>
      </c>
      <c r="G13616" s="6" t="n">
        <f aca="false">Sens!F13616+Sens!G13541-Sens!G13544</f>
        <v>138.59517468</v>
      </c>
      <c r="H13616" s="6" t="n">
        <f aca="false">Sens!G13616+Sens!H13541-Sens!H13544</f>
        <v>106.570285189667</v>
      </c>
      <c r="I13616" s="6" t="n">
        <f aca="false">Sens!H13616+Sens!I13541-Sens!I13544</f>
        <v>104.160296816417</v>
      </c>
      <c r="J13616" s="6" t="n">
        <f aca="false">Sens!I13616+Sens!J13541-Sens!J13544</f>
        <v>115.572403411083</v>
      </c>
      <c r="K13616" s="6" t="n">
        <f aca="false">Sens!J13616+Sens!K13541-Sens!K13544</f>
        <v>169.1602078745</v>
      </c>
      <c r="L13616" s="1" t="s">
        <v>862</v>
      </c>
    </row>
    <row r="13617" customFormat="false" ht="17.15" hidden="false" customHeight="false" outlineLevel="0" collapsed="false">
      <c r="A13617" s="0" t="s">
        <v>863</v>
      </c>
      <c r="B13617" s="0" t="s">
        <v>129</v>
      </c>
      <c r="F13617" s="7" t="n">
        <f aca="false">Sens!F13615*(1-tax_f)/((Sens!E13616+Sens!F13616)/2)</f>
        <v>0.032274087736363</v>
      </c>
      <c r="G13617" s="7" t="n">
        <f aca="false">Sens!G13615*(1-tax_f)/((Sens!F13616+Sens!G13616)/2)</f>
        <v>0.0225939880830247</v>
      </c>
      <c r="H13617" s="7" t="n">
        <f aca="false">Sens!H13615*(1-tax_f)/((Sens!G13616+Sens!H13616)/2)</f>
        <v>0.000843510411842589</v>
      </c>
      <c r="I13617" s="7" t="n">
        <f aca="false">Sens!I13615*(1-tax_f)/((Sens!H13616+Sens!I13616)/2)</f>
        <v>0.00516679386565257</v>
      </c>
      <c r="J13617" s="7" t="n">
        <f aca="false">Sens!J13615*(1-tax_f)/((Sens!I13616+Sens!J13616)/2)</f>
        <v>0.00632935161316459</v>
      </c>
      <c r="K13617" s="7" t="n">
        <f aca="false">Sens!K13615*(1-tax_f)/((Sens!J13616+Sens!K13616)/2)</f>
        <v>0.00871414882879434</v>
      </c>
    </row>
    <row r="13618" customFormat="false" ht="17.15" hidden="false" customHeight="false" outlineLevel="0" collapsed="false">
      <c r="A13618" s="1" t="s">
        <v>864</v>
      </c>
      <c r="B13618" s="0" t="s">
        <v>129</v>
      </c>
      <c r="F13618" s="7" t="n">
        <f aca="false">(Sens!F13615-Sens!F13614)*(1-tax_f)/((Sens!E13616+Sens!F13616)/2)</f>
        <v>0.0114751153422427</v>
      </c>
      <c r="G13618" s="7" t="n">
        <f aca="false">(Sens!G13615-Sens!G13614)*(1-tax_f)/((Sens!F13616+Sens!G13616)/2)</f>
        <v>-0.00658346174849969</v>
      </c>
      <c r="H13618" s="7" t="n">
        <f aca="false">(Sens!H13615-Sens!H13614)*(1-tax_f)/((Sens!G13616+Sens!H13616)/2)</f>
        <v>-0.031040584860051</v>
      </c>
      <c r="I13618" s="7" t="n">
        <f aca="false">(Sens!I13615-Sens!I13614)*(1-tax_f)/((Sens!H13616+Sens!I13616)/2)</f>
        <v>-0.0244030979251675</v>
      </c>
      <c r="J13618" s="7" t="n">
        <f aca="false">(Sens!J13615-Sens!J13614)*(1-tax_f)/((Sens!I13616+Sens!J13616)/2)</f>
        <v>-0.0190221293575017</v>
      </c>
      <c r="K13618" s="7" t="n">
        <f aca="false">(Sens!K13615-Sens!K13614)*(1-tax_f)/((Sens!J13616+Sens!K13616)/2)</f>
        <v>-0.0109878304131437</v>
      </c>
    </row>
    <row r="13619" customFormat="false" ht="17.15" hidden="false" customHeight="false" outlineLevel="0" collapsed="false">
      <c r="A13619" s="1" t="s">
        <v>865</v>
      </c>
      <c r="B13619" s="0" t="s">
        <v>129</v>
      </c>
      <c r="F13619" s="7" t="n">
        <f aca="false">(Sens!F13615-Sens!F13614+Sens!F13613)*(1-tax_f)/((Sens!E13616+Sens!F13616)/2)</f>
        <v>0.032274087736363</v>
      </c>
      <c r="G13619" s="7" t="n">
        <f aca="false">(Sens!G13615-Sens!G13614+Sens!G13613)*(1-tax_f)/((Sens!F13616+Sens!G13616)/2)</f>
        <v>0.0225939880830247</v>
      </c>
      <c r="H13619" s="7" t="n">
        <f aca="false">(Sens!H13615-Sens!H13614+Sens!H13613)*(1-tax_f)/((Sens!G13616+Sens!H13616)/2)</f>
        <v>0.000843510411842589</v>
      </c>
      <c r="I13619" s="7" t="n">
        <f aca="false">(Sens!I13615-Sens!I13614+Sens!I13613)*(1-tax_f)/((Sens!H13616+Sens!I13616)/2)</f>
        <v>0.00516679386565257</v>
      </c>
      <c r="J13619" s="7" t="n">
        <f aca="false">(Sens!J13615-Sens!J13614+Sens!J13613)*(1-tax_f)/((Sens!I13616+Sens!J13616)/2)</f>
        <v>0.00632935161316459</v>
      </c>
      <c r="K13619" s="7" t="n">
        <f aca="false">(Sens!K13615-Sens!K13614+Sens!K13613)*(1-tax_f)/((Sens!J13616+Sens!K13616)/2)</f>
        <v>0.00871414882879434</v>
      </c>
    </row>
    <row r="13620" customFormat="false" ht="17.15" hidden="false" customHeight="false" outlineLevel="0" collapsed="false">
      <c r="A13620" s="1" t="s">
        <v>866</v>
      </c>
      <c r="B13620" s="0" t="s">
        <v>129</v>
      </c>
      <c r="F13620" s="7" t="n">
        <f aca="false">Sens!F13545*(1-tax_f)/(Sens!F13532*(Sens!E13616+Sens!F13616)/2)</f>
        <v>0.108900794748217</v>
      </c>
      <c r="G13620" s="7" t="n">
        <f aca="false">Sens!G13545*(1-tax_f)/(Sens!G13532*(Sens!F13616+Sens!G13616)/2)</f>
        <v>0.0849438776911913</v>
      </c>
      <c r="H13620" s="7" t="n">
        <f aca="false">Sens!H13545*(1-tax_f)/(Sens!H13532*(Sens!G13616+Sens!H13616)/2)</f>
        <v>0.0514648261346161</v>
      </c>
      <c r="I13620" s="7" t="n">
        <f aca="false">Sens!I13545*(1-tax_f)/(Sens!I13532*(Sens!H13616+Sens!I13616)/2)</f>
        <v>0.0670636257404908</v>
      </c>
      <c r="J13620" s="7" t="n">
        <f aca="false">Sens!J13545*(1-tax_f)/(Sens!J13532*(Sens!I13616+Sens!J13616)/2)</f>
        <v>0.0700406245540914</v>
      </c>
      <c r="K13620" s="7" t="n">
        <f aca="false">Sens!K13545*(1-tax_f)/(Sens!K13532*(Sens!J13616+Sens!K13616)/2)</f>
        <v>0.0645501197675195</v>
      </c>
    </row>
    <row r="13621" customFormat="false" ht="17.15" hidden="false" customHeight="false" outlineLevel="0" collapsed="false">
      <c r="A13621" s="0" t="s">
        <v>867</v>
      </c>
      <c r="B13621" s="0" t="s">
        <v>209</v>
      </c>
      <c r="F13621" s="7" t="n">
        <f aca="false">Sens!F13617-wacc</f>
        <v>-0.0706603323565127</v>
      </c>
      <c r="G13621" s="7" t="n">
        <f aca="false">Sens!G13617-wacc</f>
        <v>-0.0803404320098511</v>
      </c>
      <c r="H13621" s="7" t="n">
        <f aca="false">Sens!H13617-wacc</f>
        <v>-0.102090909681033</v>
      </c>
      <c r="I13621" s="7" t="n">
        <f aca="false">Sens!I13617-wacc</f>
        <v>-0.0977676262272232</v>
      </c>
      <c r="J13621" s="7" t="n">
        <f aca="false">Sens!J13617-wacc</f>
        <v>-0.0966050684797112</v>
      </c>
      <c r="K13621" s="7" t="n">
        <f aca="false">Sens!K13617-wacc</f>
        <v>-0.0942202712640814</v>
      </c>
    </row>
    <row r="13622" customFormat="false" ht="17.15" hidden="false" customHeight="false" outlineLevel="0" collapsed="false">
      <c r="A13622" s="0" t="s">
        <v>868</v>
      </c>
      <c r="B13622" s="0" t="s">
        <v>98</v>
      </c>
      <c r="F13622" s="6" t="n">
        <f aca="false">Sens!F13615*(1-tax_f)-wacc*(Sens!E13616+Sens!F13616)/2</f>
        <v>-9.16579955290039</v>
      </c>
      <c r="G13622" s="6" t="n">
        <f aca="false">Sens!G13615*(1-tax_f)-wacc*(Sens!F13616+Sens!G13616)/2</f>
        <v>-10.89937717334</v>
      </c>
      <c r="H13622" s="6" t="n">
        <f aca="false">Sens!H13615*(1-tax_f)-wacc*(Sens!G13616+Sens!H13616)/2</f>
        <v>-12.5145824102315</v>
      </c>
      <c r="I13622" s="6" t="n">
        <f aca="false">Sens!I13615*(1-tax_f)-wacc*(Sens!H13616+Sens!I13616)/2</f>
        <v>-10.301314388108</v>
      </c>
      <c r="J13622" s="6" t="n">
        <f aca="false">Sens!J13615*(1-tax_f)-wacc*(Sens!I13616+Sens!J13616)/2</f>
        <v>-10.6136462763547</v>
      </c>
      <c r="K13622" s="6" t="n">
        <f aca="false">Sens!K13615*(1-tax_f)-wacc*(Sens!J13616+Sens!K13616)/2</f>
        <v>-13.413791936529</v>
      </c>
    </row>
    <row r="13623" customFormat="false" ht="17.15" hidden="false" customHeight="false" outlineLevel="0" collapsed="false">
      <c r="A13623" s="3" t="s">
        <v>1607</v>
      </c>
    </row>
    <row r="13624" customFormat="false" ht="15" hidden="false" customHeight="false" outlineLevel="0" collapsed="false">
      <c r="A13624" s="4" t="s">
        <v>43</v>
      </c>
      <c r="B13624" s="4" t="s">
        <v>65</v>
      </c>
      <c r="C13624" s="20" t="s">
        <v>799</v>
      </c>
      <c r="D13624" s="20" t="s">
        <v>800</v>
      </c>
      <c r="E13624" s="20" t="s">
        <v>801</v>
      </c>
      <c r="F13624" s="20" t="s">
        <v>802</v>
      </c>
      <c r="G13624" s="20" t="s">
        <v>803</v>
      </c>
      <c r="H13624" s="20" t="s">
        <v>804</v>
      </c>
      <c r="I13624" s="20" t="s">
        <v>805</v>
      </c>
      <c r="J13624" s="20" t="s">
        <v>806</v>
      </c>
      <c r="K13624" s="20" t="s">
        <v>807</v>
      </c>
      <c r="L13624" s="4" t="s">
        <v>47</v>
      </c>
    </row>
    <row r="13625" customFormat="false" ht="15" hidden="false" customHeight="false" outlineLevel="0" collapsed="false">
      <c r="A13625" s="1" t="s">
        <v>925</v>
      </c>
      <c r="B13625" s="0" t="s">
        <v>98</v>
      </c>
      <c r="F13625" s="6" t="n">
        <f aca="false">Sens!F13606</f>
        <v>127.605240178929</v>
      </c>
      <c r="G13625" s="6" t="n">
        <f aca="false">Sens!G13606</f>
        <v>142.06363584961</v>
      </c>
      <c r="H13625" s="6" t="n">
        <f aca="false">Sens!H13606</f>
        <v>156.137848127073</v>
      </c>
      <c r="I13625" s="6" t="n">
        <f aca="false">Sens!I13606</f>
        <v>173.961546281357</v>
      </c>
      <c r="J13625" s="6" t="n">
        <f aca="false">Sens!J13606</f>
        <v>190.031547143842</v>
      </c>
      <c r="K13625" s="6" t="n">
        <f aca="false">Sens!K13606</f>
        <v>204.520617145003</v>
      </c>
    </row>
    <row r="13626" customFormat="false" ht="17.15" hidden="false" customHeight="false" outlineLevel="0" collapsed="false">
      <c r="A13626" s="1" t="s">
        <v>947</v>
      </c>
      <c r="B13626" s="0" t="s">
        <v>98</v>
      </c>
      <c r="E13626" s="6" t="n">
        <f aca="false">Q!M38-Sens!E13544</f>
        <v>22.2285940229167</v>
      </c>
      <c r="F13626" s="6" t="n">
        <f aca="false">Sens!E13626*(1-1/life_nonai)+(Sens!F13633+Sens!F13634)/life_nonai</f>
        <v>37.358881403025</v>
      </c>
      <c r="G13626" s="6" t="n">
        <f aca="false">Sens!F13626*(1-1/life_nonai)+(Sens!G13633)/life_nonai</f>
        <v>37.6932826197614</v>
      </c>
      <c r="H13626" s="6" t="n">
        <f aca="false">Sens!G13626*(1-1/life_nonai)+(Sens!H13633)/life_nonai</f>
        <v>38.5301057221942</v>
      </c>
      <c r="I13626" s="6" t="n">
        <f aca="false">Sens!H13626*(1-1/life_nonai)+(Sens!I13633)/life_nonai</f>
        <v>39.7994351811392</v>
      </c>
      <c r="J13626" s="6" t="n">
        <f aca="false">Sens!I13626*(1-1/life_nonai)+(Sens!J13633)/life_nonai</f>
        <v>41.4150829880627</v>
      </c>
      <c r="K13626" s="6" t="n">
        <f aca="false">Sens!J13626*(1-1/life_nonai)+(Sens!K13633)/life_nonai</f>
        <v>43.2829449634558</v>
      </c>
      <c r="L13626" s="11" t="s">
        <v>948</v>
      </c>
    </row>
    <row r="13627" customFormat="false" ht="17.15" hidden="false" customHeight="false" outlineLevel="0" collapsed="false">
      <c r="A13627" s="1" t="s">
        <v>949</v>
      </c>
      <c r="B13627" s="0" t="s">
        <v>98</v>
      </c>
      <c r="F13627" s="6" t="n">
        <f aca="false">Sens!$F$13634/life_nonai*(1-1/life_nonai)^(Sens!F13510-2027)</f>
        <v>13.8102120594438</v>
      </c>
      <c r="G13627" s="6" t="n">
        <f aca="false">Sens!$F$13634/life_nonai*(1-1/life_nonai)^(Sens!G13510-2027)</f>
        <v>12.4291908534994</v>
      </c>
      <c r="H13627" s="6" t="n">
        <f aca="false">Sens!$F$13634/life_nonai*(1-1/life_nonai)^(Sens!H13510-2027)</f>
        <v>11.1862717681494</v>
      </c>
      <c r="I13627" s="6" t="n">
        <f aca="false">Sens!$F$13634/life_nonai*(1-1/life_nonai)^(Sens!I13510-2027)</f>
        <v>10.0676445913345</v>
      </c>
      <c r="J13627" s="6" t="n">
        <f aca="false">Sens!$F$13634/life_nonai*(1-1/life_nonai)^(Sens!J13510-2027)</f>
        <v>9.06088013220105</v>
      </c>
      <c r="K13627" s="6" t="n">
        <f aca="false">Sens!$F$13634/life_nonai*(1-1/life_nonai)^(Sens!K13510-2027)</f>
        <v>8.15479211898094</v>
      </c>
      <c r="L13627" s="1" t="s">
        <v>950</v>
      </c>
    </row>
    <row r="13628" customFormat="false" ht="17.15" hidden="false" customHeight="false" outlineLevel="0" collapsed="false">
      <c r="A13628" s="1" t="s">
        <v>951</v>
      </c>
      <c r="B13628" s="0" t="s">
        <v>98</v>
      </c>
      <c r="E13628" s="6" t="n">
        <f aca="false">Sens!E13544+Sens!E13626</f>
        <v>38.534</v>
      </c>
      <c r="F13628" s="6" t="n">
        <f aca="false">Sens!F13544+Sens!F13626</f>
        <v>61.9908140426917</v>
      </c>
      <c r="G13628" s="6" t="n">
        <f aca="false">Sens!G13544+Sens!G13626</f>
        <v>67.1354726920948</v>
      </c>
      <c r="H13628" s="6" t="n">
        <f aca="false">Sens!H13544+Sens!H13626</f>
        <v>70.5549952125276</v>
      </c>
      <c r="I13628" s="6" t="n">
        <f aca="false">Sens!I13544+Sens!I13626</f>
        <v>72.4680989010559</v>
      </c>
      <c r="J13628" s="6" t="n">
        <f aca="false">Sens!J13544+Sens!J13626</f>
        <v>75.6997514067293</v>
      </c>
      <c r="K13628" s="6" t="n">
        <f aca="false">Sens!K13544+Sens!K13626</f>
        <v>80.4711665400391</v>
      </c>
    </row>
    <row r="13629" customFormat="false" ht="17.15" hidden="false" customHeight="false" outlineLevel="0" collapsed="false">
      <c r="A13629" s="1" t="s">
        <v>952</v>
      </c>
      <c r="B13629" s="0" t="s">
        <v>98</v>
      </c>
      <c r="F13629" s="6" t="n">
        <f aca="false">Sens!F13571*sbc_r</f>
        <v>14.255345989943</v>
      </c>
      <c r="G13629" s="6" t="n">
        <f aca="false">Sens!G13571*sbc_r</f>
        <v>15.8057923272494</v>
      </c>
      <c r="H13629" s="6" t="n">
        <f aca="false">Sens!H13571*sbc_r</f>
        <v>17.2054386095582</v>
      </c>
      <c r="I13629" s="6" t="n">
        <f aca="false">Sens!I13571*sbc_r</f>
        <v>18.6639122039917</v>
      </c>
      <c r="J13629" s="6" t="n">
        <f aca="false">Sens!J13571*sbc_r</f>
        <v>20.0454667099776</v>
      </c>
      <c r="K13629" s="6" t="n">
        <f aca="false">Sens!K13571*sbc_r</f>
        <v>21.3633281661478</v>
      </c>
    </row>
    <row r="13630" customFormat="false" ht="17.15" hidden="false" customHeight="false" outlineLevel="0" collapsed="false">
      <c r="A13630" s="1" t="s">
        <v>953</v>
      </c>
      <c r="B13630" s="0" t="s">
        <v>98</v>
      </c>
      <c r="F13630" s="6" t="n">
        <f aca="false">wc27</f>
        <v>-4.895</v>
      </c>
      <c r="G13630" s="6" t="n">
        <f aca="false">wc_f</f>
        <v>0</v>
      </c>
      <c r="H13630" s="6" t="n">
        <f aca="false">wc_f</f>
        <v>0</v>
      </c>
      <c r="I13630" s="6" t="n">
        <f aca="false">wc_f</f>
        <v>0</v>
      </c>
      <c r="J13630" s="6" t="n">
        <f aca="false">wc_f</f>
        <v>0</v>
      </c>
      <c r="K13630" s="6" t="n">
        <f aca="false">wc_f</f>
        <v>0</v>
      </c>
      <c r="L13630" s="11" t="s">
        <v>954</v>
      </c>
    </row>
    <row r="13631" customFormat="false" ht="15" hidden="false" customHeight="false" outlineLevel="0" collapsed="false">
      <c r="A13631" s="1" t="s">
        <v>767</v>
      </c>
      <c r="B13631" s="0" t="s">
        <v>98</v>
      </c>
      <c r="E13631" s="6" t="n">
        <f aca="false">Q!M35</f>
        <v>182.935</v>
      </c>
      <c r="F13631" s="6" t="n">
        <f aca="false">Sens!F13625+Sens!F13628+Sens!F13629+Sens!F13630</f>
        <v>198.956400211563</v>
      </c>
      <c r="G13631" s="6" t="n">
        <f aca="false">Sens!G13625+Sens!G13628+Sens!G13629+Sens!G13630</f>
        <v>225.004900868954</v>
      </c>
      <c r="H13631" s="6" t="n">
        <f aca="false">Sens!H13625+Sens!H13628+Sens!H13629+Sens!H13630</f>
        <v>243.898281949159</v>
      </c>
      <c r="I13631" s="6" t="n">
        <f aca="false">Sens!I13625+Sens!I13628+Sens!I13629+Sens!I13630</f>
        <v>265.093557386405</v>
      </c>
      <c r="J13631" s="6" t="n">
        <f aca="false">Sens!J13625+Sens!J13628+Sens!J13629+Sens!J13630</f>
        <v>285.776765260549</v>
      </c>
      <c r="K13631" s="6" t="n">
        <f aca="false">Sens!K13625+Sens!K13628+Sens!K13629+Sens!K13630</f>
        <v>306.35511185119</v>
      </c>
    </row>
    <row r="13632" customFormat="false" ht="17.15" hidden="false" customHeight="false" outlineLevel="0" collapsed="false">
      <c r="A13632" s="0" t="s">
        <v>955</v>
      </c>
      <c r="B13632" s="0" t="s">
        <v>98</v>
      </c>
      <c r="F13632" s="6" t="n">
        <f aca="false">Sens!F13541</f>
        <v>30.668532176</v>
      </c>
      <c r="G13632" s="6" t="n">
        <f aca="false">Sens!G13541</f>
        <v>35.302727016</v>
      </c>
      <c r="H13632" s="6" t="n">
        <f aca="false">Sens!H13541</f>
        <v>0</v>
      </c>
      <c r="I13632" s="6" t="n">
        <f aca="false">Sens!I13541</f>
        <v>30.2586753466667</v>
      </c>
      <c r="J13632" s="6" t="n">
        <f aca="false">Sens!J13541</f>
        <v>45.6967750133333</v>
      </c>
      <c r="K13632" s="6" t="n">
        <f aca="false">Sens!K13541</f>
        <v>90.77602604</v>
      </c>
    </row>
    <row r="13633" customFormat="false" ht="17.15" hidden="false" customHeight="false" outlineLevel="0" collapsed="false">
      <c r="A13633" s="1" t="s">
        <v>956</v>
      </c>
      <c r="B13633" s="0" t="s">
        <v>98</v>
      </c>
      <c r="E13633" s="6" t="n">
        <f aca="false">Sens!E13549*cx_azo+Sens!E13556*cx_m365+Sens!E13557*cx_lic+(Sens!E13559+Sens!E13561)*cx_ind+Sens!E13564*cx_srch+(Sens!E13566+Sens!E13568)*cx_dev</f>
        <v>30.1846587067718</v>
      </c>
      <c r="F13633" s="6" t="n">
        <f aca="false">Sens!F13549*cx_azo+Sens!F13556*cx_m365+Sens!F13557*cx_lic+(Sens!F13559+Sens!F13561)*cx_ind+Sens!F13564*cx_srch+(Sens!F13566+Sens!F13568)*cx_dev</f>
        <v>35.4293472295625</v>
      </c>
      <c r="G13633" s="6" t="n">
        <f aca="false">Sens!G13549*cx_azo+Sens!G13556*cx_m365+Sens!G13557*cx_lic+(Sens!G13559+Sens!G13561)*cx_ind+Sens!G13564*cx_srch+(Sens!G13566+Sens!G13568)*cx_dev</f>
        <v>40.7028935703892</v>
      </c>
      <c r="H13633" s="6" t="n">
        <f aca="false">Sens!H13549*cx_azo+Sens!H13556*cx_m365+Sens!H13557*cx_lic+(Sens!H13559+Sens!H13561)*cx_ind+Sens!H13564*cx_srch+(Sens!H13566+Sens!H13568)*cx_dev</f>
        <v>46.0615136440897</v>
      </c>
      <c r="I13633" s="6" t="n">
        <f aca="false">Sens!I13549*cx_azo+Sens!I13556*cx_m365+Sens!I13557*cx_lic+(Sens!I13559+Sens!I13561)*cx_ind+Sens!I13564*cx_srch+(Sens!I13566+Sens!I13568)*cx_dev</f>
        <v>51.2234003116439</v>
      </c>
      <c r="J13633" s="6" t="n">
        <f aca="false">Sens!J13549*cx_azo+Sens!J13556*cx_m365+Sens!J13557*cx_lic+(Sens!J13559+Sens!J13561)*cx_ind+Sens!J13564*cx_srch+(Sens!J13566+Sens!J13568)*cx_dev</f>
        <v>55.9559132503738</v>
      </c>
      <c r="K13633" s="6" t="n">
        <f aca="false">Sens!K13549*cx_azo+Sens!K13556*cx_m365+Sens!K13557*cx_lic+(Sens!K13559+Sens!K13561)*cx_ind+Sens!K13564*cx_srch+(Sens!K13566+Sens!K13568)*cx_dev</f>
        <v>60.093702741994</v>
      </c>
    </row>
    <row r="13634" customFormat="false" ht="17.15" hidden="false" customHeight="false" outlineLevel="0" collapsed="false">
      <c r="A13634" s="0" t="s">
        <v>957</v>
      </c>
      <c r="B13634" s="0" t="s">
        <v>98</v>
      </c>
      <c r="F13634" s="6" t="n">
        <f aca="false">Sens!F13539</f>
        <v>138.102120594438</v>
      </c>
      <c r="L13634" s="1" t="s">
        <v>958</v>
      </c>
    </row>
    <row r="13635" customFormat="false" ht="17.15" hidden="false" customHeight="false" outlineLevel="0" collapsed="false">
      <c r="A13635" s="1" t="s">
        <v>959</v>
      </c>
      <c r="B13635" s="0" t="s">
        <v>98</v>
      </c>
      <c r="E13635" s="6" t="n">
        <f aca="false">Q!M42</f>
        <v>145.3</v>
      </c>
      <c r="F13635" s="6" t="n">
        <f aca="false">Sens!F13632+Sens!F13633+Sens!F13634</f>
        <v>204.2</v>
      </c>
      <c r="G13635" s="6" t="n">
        <f aca="false">Sens!G13632+Sens!G13633</f>
        <v>76.0056205863892</v>
      </c>
      <c r="H13635" s="6" t="n">
        <f aca="false">Sens!H13632+Sens!H13633</f>
        <v>46.0615136440897</v>
      </c>
      <c r="I13635" s="6" t="n">
        <f aca="false">Sens!I13632+Sens!I13633</f>
        <v>81.4820756583106</v>
      </c>
      <c r="J13635" s="6" t="n">
        <f aca="false">Sens!J13632+Sens!J13633</f>
        <v>101.652688263707</v>
      </c>
      <c r="K13635" s="6" t="n">
        <f aca="false">Sens!K13632+Sens!K13633</f>
        <v>150.869728781994</v>
      </c>
      <c r="L13635" s="1" t="s">
        <v>960</v>
      </c>
    </row>
    <row r="13636" customFormat="false" ht="15" hidden="false" customHeight="false" outlineLevel="0" collapsed="false">
      <c r="A13636" s="1" t="s">
        <v>961</v>
      </c>
      <c r="B13636" s="0" t="s">
        <v>98</v>
      </c>
      <c r="E13636" s="6" t="n">
        <f aca="false">fl_liab</f>
        <v>66.594</v>
      </c>
      <c r="F13636" s="6" t="n">
        <f aca="false">Sens!E13636-Sens!F13637</f>
        <v>62.46973</v>
      </c>
      <c r="G13636" s="6" t="n">
        <f aca="false">Sens!F13636-Sens!G13637</f>
        <v>57.98686785</v>
      </c>
      <c r="H13636" s="6" t="n">
        <f aca="false">Sens!G13636-Sens!H13637</f>
        <v>53.92827690325</v>
      </c>
      <c r="I13636" s="6" t="n">
        <f aca="false">Sens!H13636-Sens!I13637</f>
        <v>49.7850493638962</v>
      </c>
      <c r="J13636" s="6" t="n">
        <f aca="false">Sens!I13636-Sens!J13637</f>
        <v>45.4823765852716</v>
      </c>
      <c r="K13636" s="6" t="n">
        <f aca="false">Sens!J13636-Sens!K13637</f>
        <v>40.9860835316088</v>
      </c>
    </row>
    <row r="13637" customFormat="false" ht="15" hidden="false" customHeight="false" outlineLevel="0" collapsed="false">
      <c r="A13637" s="1" t="s">
        <v>962</v>
      </c>
      <c r="B13637" s="0" t="s">
        <v>98</v>
      </c>
      <c r="F13637" s="6" t="n">
        <f aca="false">fl_pay_27-Sens!E13636*fl_rate</f>
        <v>4.12427</v>
      </c>
      <c r="G13637" s="6" t="n">
        <f aca="false">fl_pay_28-Sens!F13636*fl_rate</f>
        <v>4.48286215</v>
      </c>
      <c r="H13637" s="6" t="n">
        <f aca="false">fl_pay_29-Sens!G13636*fl_rate</f>
        <v>4.05859094675</v>
      </c>
      <c r="I13637" s="6" t="n">
        <f aca="false">fl_pay_30-Sens!H13636*fl_rate</f>
        <v>4.14322753935375</v>
      </c>
      <c r="J13637" s="6" t="n">
        <f aca="false">fl_pay_31-Sens!I13636*fl_rate</f>
        <v>4.30267277862467</v>
      </c>
      <c r="K13637" s="6" t="n">
        <f aca="false">fl_pay_32-Sens!J13636*fl_rate</f>
        <v>4.49629305366278</v>
      </c>
    </row>
    <row r="13638" customFormat="false" ht="17.15" hidden="false" customHeight="false" outlineLevel="0" collapsed="false">
      <c r="A13638" s="1" t="s">
        <v>963</v>
      </c>
      <c r="B13638" s="0" t="s">
        <v>98</v>
      </c>
      <c r="E13638" s="6" t="n">
        <f aca="false">Q!M35-Q!M36-Q!M43</f>
        <v>63.886</v>
      </c>
      <c r="F13638" s="6" t="n">
        <f aca="false">Sens!F13631-Sens!F13635-Sens!F13637</f>
        <v>-9.36786978843663</v>
      </c>
      <c r="G13638" s="6" t="n">
        <f aca="false">Sens!G13631-Sens!G13635-Sens!G13637</f>
        <v>144.516418132565</v>
      </c>
      <c r="H13638" s="6" t="n">
        <f aca="false">Sens!H13631-Sens!H13635-Sens!H13637</f>
        <v>193.77817735832</v>
      </c>
      <c r="I13638" s="6" t="n">
        <f aca="false">Sens!I13631-Sens!I13635-Sens!I13637</f>
        <v>179.46825418874</v>
      </c>
      <c r="J13638" s="6" t="n">
        <f aca="false">Sens!J13631-Sens!J13635-Sens!J13637</f>
        <v>179.821404218218</v>
      </c>
      <c r="K13638" s="6" t="n">
        <f aca="false">Sens!K13631-Sens!K13635-Sens!K13637</f>
        <v>150.989090015533</v>
      </c>
      <c r="L13638" s="11" t="s">
        <v>964</v>
      </c>
    </row>
    <row r="13639" customFormat="false" ht="15" hidden="false" customHeight="false" outlineLevel="0" collapsed="false">
      <c r="A13639" s="1" t="s">
        <v>965</v>
      </c>
      <c r="B13639" s="0" t="s">
        <v>75</v>
      </c>
      <c r="F13639" s="8" t="n">
        <f aca="false">dps_27</f>
        <v>3.85</v>
      </c>
      <c r="G13639" s="8" t="n">
        <f aca="false">Sens!F13639*(1+dps_g)</f>
        <v>4.158</v>
      </c>
      <c r="H13639" s="8" t="n">
        <f aca="false">Sens!G13639*(1+dps_g)</f>
        <v>4.49064</v>
      </c>
      <c r="I13639" s="8" t="n">
        <f aca="false">Sens!H13639*(1+dps_g)</f>
        <v>4.8498912</v>
      </c>
      <c r="J13639" s="8" t="n">
        <f aca="false">Sens!I13639*(1+dps_g)</f>
        <v>5.237882496</v>
      </c>
      <c r="K13639" s="8" t="n">
        <f aca="false">Sens!J13639*(1+dps_g)</f>
        <v>5.65691309568</v>
      </c>
    </row>
    <row r="13640" customFormat="false" ht="17.15" hidden="false" customHeight="false" outlineLevel="0" collapsed="false">
      <c r="A13640" s="1" t="s">
        <v>966</v>
      </c>
      <c r="B13640" s="0" t="s">
        <v>98</v>
      </c>
      <c r="E13640" s="6" t="n">
        <f aca="false">Q!M41</f>
        <v>26.445</v>
      </c>
      <c r="F13640" s="6" t="n">
        <f aca="false">Sens!F13639*Sens!E13649</f>
        <v>28.59395</v>
      </c>
      <c r="G13640" s="6" t="n">
        <f aca="false">Sens!G13639*Sens!F13649</f>
        <v>31.068576</v>
      </c>
      <c r="H13640" s="6" t="n">
        <f aca="false">Sens!H13639*Sens!G13649</f>
        <v>33.5888350159995</v>
      </c>
      <c r="I13640" s="6" t="n">
        <f aca="false">Sens!I13639*Sens!H13649</f>
        <v>36.3268810572789</v>
      </c>
      <c r="J13640" s="6" t="n">
        <f aca="false">Sens!J13639*Sens!I13649</f>
        <v>39.3014303901806</v>
      </c>
      <c r="K13640" s="6" t="n">
        <f aca="false">Sens!K13639*Sens!J13649</f>
        <v>42.5328000467001</v>
      </c>
      <c r="L13640" s="1" t="s">
        <v>967</v>
      </c>
    </row>
    <row r="13641" customFormat="false" ht="15" hidden="false" customHeight="false" outlineLevel="0" collapsed="false">
      <c r="A13641" s="1" t="s">
        <v>968</v>
      </c>
      <c r="B13641" s="0" t="s">
        <v>98</v>
      </c>
      <c r="E13641" s="6" t="n">
        <f aca="false">Sens!E13638-Sens!E13640</f>
        <v>37.441</v>
      </c>
      <c r="F13641" s="6" t="n">
        <f aca="false">Sens!F13638-Sens!F13640</f>
        <v>-37.9618197884366</v>
      </c>
      <c r="G13641" s="6" t="n">
        <f aca="false">Sens!G13638-Sens!G13640</f>
        <v>113.447842132565</v>
      </c>
      <c r="H13641" s="6" t="n">
        <f aca="false">Sens!H13638-Sens!H13640</f>
        <v>160.18934234232</v>
      </c>
      <c r="I13641" s="6" t="n">
        <f aca="false">Sens!I13638-Sens!I13640</f>
        <v>143.141373131461</v>
      </c>
      <c r="J13641" s="6" t="n">
        <f aca="false">Sens!J13638-Sens!J13640</f>
        <v>140.519973828037</v>
      </c>
      <c r="K13641" s="6" t="n">
        <f aca="false">Sens!K13638-Sens!K13640</f>
        <v>108.456289968833</v>
      </c>
    </row>
    <row r="13642" customFormat="false" ht="15" hidden="false" customHeight="false" outlineLevel="0" collapsed="false">
      <c r="A13642" s="1" t="s">
        <v>969</v>
      </c>
      <c r="B13642" s="0" t="s">
        <v>98</v>
      </c>
      <c r="F13642" s="6" t="n">
        <f aca="false">debt_mat_27</f>
        <v>9.25</v>
      </c>
      <c r="G13642" s="6" t="n">
        <f aca="false">debt_mat_28</f>
        <v>0</v>
      </c>
      <c r="H13642" s="6" t="n">
        <f aca="false">debt_mat_29</f>
        <v>2.001</v>
      </c>
      <c r="I13642" s="6" t="n">
        <f aca="false">debt_mat_30</f>
        <v>0</v>
      </c>
      <c r="J13642" s="6" t="n">
        <f aca="false">debt_mat_31</f>
        <v>0.5</v>
      </c>
      <c r="K13642" s="6" t="n">
        <f aca="false">debt_mat_32</f>
        <v>0</v>
      </c>
    </row>
    <row r="13643" customFormat="false" ht="15" hidden="false" customHeight="false" outlineLevel="0" collapsed="false">
      <c r="A13643" s="1" t="s">
        <v>970</v>
      </c>
      <c r="B13643" s="0" t="s">
        <v>98</v>
      </c>
      <c r="E13643" s="6" t="n">
        <f aca="false">Q!M40</f>
        <v>22.271</v>
      </c>
      <c r="F13643" s="6" t="n">
        <f aca="false">MAX(0,MIN(bb_target,Sens!E13645+Sens!F13641-Sens!F13642-min_cash))</f>
        <v>0</v>
      </c>
      <c r="G13643" s="6" t="n">
        <f aca="false">MAX(0,MIN(bb_target,Sens!F13645+Sens!G13641-Sens!G13642-min_cash))</f>
        <v>22.271</v>
      </c>
      <c r="H13643" s="6" t="n">
        <f aca="false">MAX(0,MIN(bb_target,Sens!G13645+Sens!H13641-Sens!H13642-min_cash))</f>
        <v>22.271</v>
      </c>
      <c r="I13643" s="6" t="n">
        <f aca="false">MAX(0,MIN(bb_target,Sens!H13645+Sens!I13641-Sens!I13642-min_cash))</f>
        <v>22.271</v>
      </c>
      <c r="J13643" s="6" t="n">
        <f aca="false">MAX(0,MIN(bb_target,Sens!I13645+Sens!J13641-Sens!J13642-min_cash))</f>
        <v>22.271</v>
      </c>
      <c r="K13643" s="6" t="n">
        <f aca="false">MAX(0,MIN(bb_target,Sens!J13645+Sens!K13641-Sens!K13642-min_cash))</f>
        <v>22.271</v>
      </c>
    </row>
    <row r="13644" customFormat="false" ht="15" hidden="false" customHeight="false" outlineLevel="0" collapsed="false">
      <c r="A13644" s="1" t="s">
        <v>971</v>
      </c>
      <c r="B13644" s="0" t="s">
        <v>98</v>
      </c>
      <c r="F13644" s="6" t="n">
        <f aca="false">MAX(0,min_cash-(Sens!E13645+Sens!F13641-Sens!F13642-Sens!F13643))</f>
        <v>20.3688197884366</v>
      </c>
      <c r="G13644" s="6" t="n">
        <f aca="false">MAX(0,min_cash-(Sens!F13645+Sens!G13641-Sens!G13642-Sens!G13643))</f>
        <v>0</v>
      </c>
      <c r="H13644" s="6" t="n">
        <f aca="false">MAX(0,min_cash-(Sens!G13645+Sens!H13641-Sens!H13642-Sens!H13643))</f>
        <v>0</v>
      </c>
      <c r="I13644" s="6" t="n">
        <f aca="false">MAX(0,min_cash-(Sens!H13645+Sens!I13641-Sens!I13642-Sens!I13643))</f>
        <v>0</v>
      </c>
      <c r="J13644" s="6" t="n">
        <f aca="false">MAX(0,min_cash-(Sens!I13645+Sens!J13641-Sens!J13642-Sens!J13643))</f>
        <v>0</v>
      </c>
      <c r="K13644" s="6" t="n">
        <f aca="false">MAX(0,min_cash-(Sens!J13645+Sens!K13641-Sens!K13642-Sens!K13643))</f>
        <v>0</v>
      </c>
    </row>
    <row r="13645" customFormat="false" ht="15" hidden="false" customHeight="false" outlineLevel="0" collapsed="false">
      <c r="A13645" s="1" t="s">
        <v>972</v>
      </c>
      <c r="B13645" s="0" t="s">
        <v>98</v>
      </c>
      <c r="E13645" s="6" t="n">
        <f aca="false">cash_open</f>
        <v>76.843</v>
      </c>
      <c r="F13645" s="6" t="n">
        <f aca="false">Sens!E13645+Sens!F13641-Sens!F13642-Sens!F13643+Sens!F13644</f>
        <v>50</v>
      </c>
      <c r="G13645" s="6" t="n">
        <f aca="false">Sens!F13645+Sens!G13641-Sens!G13642-Sens!G13643+Sens!G13644</f>
        <v>141.176842132565</v>
      </c>
      <c r="H13645" s="6" t="n">
        <f aca="false">Sens!G13645+Sens!H13641-Sens!H13642-Sens!H13643+Sens!H13644</f>
        <v>277.094184474885</v>
      </c>
      <c r="I13645" s="6" t="n">
        <f aca="false">Sens!H13645+Sens!I13641-Sens!I13642-Sens!I13643+Sens!I13644</f>
        <v>397.964557606347</v>
      </c>
      <c r="J13645" s="6" t="n">
        <f aca="false">Sens!I13645+Sens!J13641-Sens!J13642-Sens!J13643+Sens!J13644</f>
        <v>515.713531434384</v>
      </c>
      <c r="K13645" s="6" t="n">
        <f aca="false">Sens!J13645+Sens!K13641-Sens!K13642-Sens!K13643+Sens!K13644</f>
        <v>601.898821403216</v>
      </c>
    </row>
    <row r="13646" customFormat="false" ht="15" hidden="false" customHeight="false" outlineLevel="0" collapsed="false">
      <c r="A13646" s="1" t="s">
        <v>973</v>
      </c>
      <c r="B13646" s="0" t="s">
        <v>98</v>
      </c>
      <c r="E13646" s="6" t="n">
        <f aca="false">debt_face</f>
        <v>46.136</v>
      </c>
      <c r="F13646" s="6" t="n">
        <f aca="false">Sens!E13646-Sens!F13642+Sens!F13644</f>
        <v>57.2548197884366</v>
      </c>
      <c r="G13646" s="6" t="n">
        <f aca="false">Sens!F13646-Sens!G13642+Sens!G13644</f>
        <v>57.2548197884366</v>
      </c>
      <c r="H13646" s="6" t="n">
        <f aca="false">Sens!G13646-Sens!H13642+Sens!H13644</f>
        <v>55.2538197884366</v>
      </c>
      <c r="I13646" s="6" t="n">
        <f aca="false">Sens!H13646-Sens!I13642+Sens!I13644</f>
        <v>55.2538197884366</v>
      </c>
      <c r="J13646" s="6" t="n">
        <f aca="false">Sens!I13646-Sens!J13642+Sens!J13644</f>
        <v>54.7538197884366</v>
      </c>
      <c r="K13646" s="6" t="n">
        <f aca="false">Sens!J13646-Sens!K13642+Sens!K13644</f>
        <v>54.7538197884366</v>
      </c>
    </row>
    <row r="13647" customFormat="false" ht="15" hidden="false" customHeight="false" outlineLevel="0" collapsed="false">
      <c r="A13647" s="1" t="s">
        <v>974</v>
      </c>
      <c r="B13647" s="0" t="s">
        <v>98</v>
      </c>
      <c r="E13647" s="6" t="n">
        <f aca="false">Sens!E13645-Sens!E13646</f>
        <v>30.707</v>
      </c>
      <c r="F13647" s="6" t="n">
        <f aca="false">Sens!F13645-Sens!F13646</f>
        <v>-7.25481978843663</v>
      </c>
      <c r="G13647" s="6" t="n">
        <f aca="false">Sens!G13645-Sens!G13646</f>
        <v>83.9220223441283</v>
      </c>
      <c r="H13647" s="6" t="n">
        <f aca="false">Sens!H13645-Sens!H13646</f>
        <v>221.840364686448</v>
      </c>
      <c r="I13647" s="6" t="n">
        <f aca="false">Sens!I13645-Sens!I13646</f>
        <v>342.71073781791</v>
      </c>
      <c r="J13647" s="6" t="n">
        <f aca="false">Sens!J13645-Sens!J13646</f>
        <v>460.959711645947</v>
      </c>
      <c r="K13647" s="6" t="n">
        <f aca="false">Sens!K13645-Sens!K13646</f>
        <v>547.14500161478</v>
      </c>
    </row>
    <row r="13648" customFormat="false" ht="15" hidden="false" customHeight="false" outlineLevel="0" collapsed="false">
      <c r="A13648" s="1" t="s">
        <v>975</v>
      </c>
      <c r="B13648" s="0" t="s">
        <v>75</v>
      </c>
      <c r="F13648" s="29" t="n">
        <f aca="false">px*(1+bb_g)^(Sens!F13510-base_fy-mid_yr)</f>
        <v>553.494156066711</v>
      </c>
      <c r="G13648" s="29" t="n">
        <f aca="false">px*(1+bb_g)^(Sens!G13510-base_fy-mid_yr)</f>
        <v>597.773688552047</v>
      </c>
      <c r="H13648" s="29" t="n">
        <f aca="false">px*(1+bb_g)^(Sens!H13510-base_fy-mid_yr)</f>
        <v>645.595583636211</v>
      </c>
      <c r="I13648" s="29" t="n">
        <f aca="false">px*(1+bb_g)^(Sens!I13510-base_fy-mid_yr)</f>
        <v>697.243230327108</v>
      </c>
      <c r="J13648" s="29" t="n">
        <f aca="false">px*(1+bb_g)^(Sens!J13510-base_fy-mid_yr)</f>
        <v>753.022688753277</v>
      </c>
      <c r="K13648" s="29" t="n">
        <f aca="false">px*(1+bb_g)^(Sens!K13510-base_fy-mid_yr)</f>
        <v>813.264503853539</v>
      </c>
    </row>
    <row r="13649" customFormat="false" ht="15" hidden="false" customHeight="false" outlineLevel="0" collapsed="false">
      <c r="A13649" s="1" t="s">
        <v>976</v>
      </c>
      <c r="B13649" s="1" t="s">
        <v>81</v>
      </c>
      <c r="E13649" s="14" t="n">
        <f aca="false">sh_out26</f>
        <v>7.427</v>
      </c>
      <c r="F13649" s="14" t="n">
        <f aca="false">Sens!E13649+sh_iss-Sens!F13643/Sens!F13648</f>
        <v>7.472</v>
      </c>
      <c r="G13649" s="14" t="n">
        <f aca="false">Sens!F13649+sh_iss-Sens!G13643/Sens!G13648</f>
        <v>7.47974342543589</v>
      </c>
      <c r="H13649" s="14" t="n">
        <f aca="false">Sens!G13649+sh_iss-Sens!H13643/Sens!H13648</f>
        <v>7.4902465971358</v>
      </c>
      <c r="I13649" s="14" t="n">
        <f aca="false">Sens!H13649+sh_iss-Sens!I13643/Sens!I13648</f>
        <v>7.50330508945052</v>
      </c>
      <c r="J13649" s="14" t="n">
        <f aca="false">Sens!I13649+sh_iss-Sens!J13643/Sens!J13648</f>
        <v>7.51872961937156</v>
      </c>
      <c r="K13649" s="14" t="n">
        <f aca="false">Sens!J13649+sh_iss-Sens!K13643/Sens!K13648</f>
        <v>7.53634492485401</v>
      </c>
    </row>
    <row r="13650" customFormat="false" ht="15" hidden="false" customHeight="false" outlineLevel="0" collapsed="false">
      <c r="A13650" s="1" t="s">
        <v>977</v>
      </c>
      <c r="B13650" s="1" t="s">
        <v>81</v>
      </c>
      <c r="E13650" s="14" t="n">
        <f aca="false">sh_dil26</f>
        <v>7.453</v>
      </c>
      <c r="F13650" s="14" t="n">
        <f aca="false">(Sens!E13649+Sens!F13649)/2+dil_gap</f>
        <v>7.4735</v>
      </c>
      <c r="G13650" s="14" t="n">
        <f aca="false">(Sens!F13649+Sens!G13649)/2+dil_gap</f>
        <v>7.49987171271795</v>
      </c>
      <c r="H13650" s="14" t="n">
        <f aca="false">(Sens!G13649+Sens!H13649)/2+dil_gap</f>
        <v>7.50899501128585</v>
      </c>
      <c r="I13650" s="14" t="n">
        <f aca="false">(Sens!H13649+Sens!I13649)/2+dil_gap</f>
        <v>7.52077584329316</v>
      </c>
      <c r="J13650" s="14" t="n">
        <f aca="false">(Sens!I13649+Sens!J13649)/2+dil_gap</f>
        <v>7.53501735441104</v>
      </c>
      <c r="K13650" s="14" t="n">
        <f aca="false">(Sens!J13649+Sens!K13649)/2+dil_gap</f>
        <v>7.55153727211278</v>
      </c>
    </row>
    <row r="13651" customFormat="false" ht="17.15" hidden="false" customHeight="false" outlineLevel="0" collapsed="false">
      <c r="A13651" s="1" t="s">
        <v>978</v>
      </c>
      <c r="B13651" s="0" t="s">
        <v>98</v>
      </c>
      <c r="C13651" s="6" t="n">
        <f aca="false">SUM(Sens!F13641:J13641)</f>
        <v>519.336711645947</v>
      </c>
    </row>
    <row r="13652" customFormat="false" ht="15" hidden="false" customHeight="false" outlineLevel="0" collapsed="false">
      <c r="A13652" s="23" t="s">
        <v>945</v>
      </c>
      <c r="B13652" s="30" t="s">
        <v>98</v>
      </c>
      <c r="C13652" s="24" t="n">
        <f aca="false">Sens!$C$13651-(Sens!F13641+Sens!G13641+Sens!H13641+Sens!I13641+Sens!J13641)</f>
        <v>0</v>
      </c>
      <c r="D13652" s="30"/>
      <c r="E13652" s="30"/>
      <c r="F13652" s="30"/>
      <c r="G13652" s="30"/>
      <c r="H13652" s="30"/>
      <c r="I13652" s="30"/>
      <c r="J13652" s="30"/>
      <c r="K13652" s="30"/>
    </row>
    <row r="13653" customFormat="false" ht="17.15" hidden="false" customHeight="false" outlineLevel="0" collapsed="false">
      <c r="A13653" s="1" t="s">
        <v>939</v>
      </c>
      <c r="B13653" s="1" t="s">
        <v>979</v>
      </c>
      <c r="C13653" s="32" t="str">
        <f aca="false">IF(SUM(Sens!F13644:J13644)&gt;0.05,"需要舉債 "&amp;TEXT(SUM(Sens!F13644:J13644),"0.0")&amp;" 十億美元","不需舉債")&amp;"；"&amp;IF(SUM(Sens!F13643:J13643)&lt;COUNT(Sens!F13643:J13643)*bb_target-0.05,"回購較每年 "&amp;TEXT(bb_target,"0.0")&amp;" 的目標少 "&amp;TEXT(COUNT(Sens!F13643:J13643)*bb_target-SUM(Sens!F13643:J13643),"0.0")&amp;" 十億美元（"&amp;TEXT(COUNTIF(Sens!F13643:J13643,"&lt;"&amp;(bb_target-0.05)),"0")&amp;" 年減少）","回購不減")</f>
        <v>需要舉債 20.4 十億美元；回購較每年 22.3 的目標少 22.3 十億美元（1 年減少）</v>
      </c>
    </row>
    <row r="13654" customFormat="false" ht="17.15" hidden="false" customHeight="false" outlineLevel="0" collapsed="false">
      <c r="A13654" s="3" t="s">
        <v>1608</v>
      </c>
    </row>
    <row r="13655" customFormat="false" ht="15" hidden="false" customHeight="false" outlineLevel="0" collapsed="false">
      <c r="A13655" s="4" t="s">
        <v>43</v>
      </c>
      <c r="B13655" s="4" t="s">
        <v>65</v>
      </c>
      <c r="C13655" s="20" t="s">
        <v>799</v>
      </c>
      <c r="D13655" s="20" t="s">
        <v>800</v>
      </c>
      <c r="E13655" s="20" t="s">
        <v>801</v>
      </c>
      <c r="F13655" s="20" t="s">
        <v>802</v>
      </c>
      <c r="G13655" s="20" t="s">
        <v>803</v>
      </c>
      <c r="H13655" s="20" t="s">
        <v>804</v>
      </c>
      <c r="I13655" s="20" t="s">
        <v>805</v>
      </c>
      <c r="J13655" s="20" t="s">
        <v>806</v>
      </c>
      <c r="K13655" s="20" t="s">
        <v>807</v>
      </c>
      <c r="L13655" s="4" t="s">
        <v>47</v>
      </c>
    </row>
    <row r="13656" customFormat="false" ht="15" hidden="false" customHeight="false" outlineLevel="0" collapsed="false">
      <c r="A13656" s="1" t="s">
        <v>1057</v>
      </c>
      <c r="B13656" s="1" t="s">
        <v>235</v>
      </c>
      <c r="F13656" s="36" t="n">
        <f aca="false">Sens!F13510-base_fy-mid_yr</f>
        <v>0.5</v>
      </c>
      <c r="G13656" s="36" t="n">
        <f aca="false">Sens!G13510-base_fy-mid_yr</f>
        <v>1.5</v>
      </c>
      <c r="H13656" s="36" t="n">
        <f aca="false">Sens!H13510-base_fy-mid_yr</f>
        <v>2.5</v>
      </c>
      <c r="I13656" s="36" t="n">
        <f aca="false">Sens!I13510-base_fy-mid_yr</f>
        <v>3.5</v>
      </c>
      <c r="J13656" s="36" t="n">
        <f aca="false">Sens!J13510-base_fy-mid_yr</f>
        <v>4.5</v>
      </c>
      <c r="K13656" s="36" t="n">
        <f aca="false">Sens!K13510-base_fy-mid_yr</f>
        <v>5.5</v>
      </c>
    </row>
    <row r="13657" customFormat="false" ht="15" hidden="false" customHeight="false" outlineLevel="0" collapsed="false">
      <c r="A13657" s="1" t="s">
        <v>1058</v>
      </c>
      <c r="B13657" s="0" t="s">
        <v>185</v>
      </c>
      <c r="F13657" s="14" t="n">
        <f aca="false">1/(1+wacc)^Sens!F13656</f>
        <v>0.952193373608246</v>
      </c>
      <c r="G13657" s="14" t="n">
        <f aca="false">1/(1+wacc)^Sens!G13656</f>
        <v>0.863327280626589</v>
      </c>
      <c r="H13657" s="14" t="n">
        <f aca="false">1/(1+wacc)^Sens!H13656</f>
        <v>0.782754862754115</v>
      </c>
      <c r="I13657" s="14" t="n">
        <f aca="false">1/(1+wacc)^Sens!I13656</f>
        <v>0.709702089711011</v>
      </c>
      <c r="J13657" s="14" t="n">
        <f aca="false">1/(1+wacc)^Sens!J13656</f>
        <v>0.643467169744551</v>
      </c>
      <c r="K13657" s="14" t="n">
        <f aca="false">1/(1+wacc)^Sens!K13656</f>
        <v>0.583413807767797</v>
      </c>
    </row>
    <row r="13658" customFormat="false" ht="17.15" hidden="false" customHeight="false" outlineLevel="0" collapsed="false">
      <c r="A13658" s="1" t="s">
        <v>1059</v>
      </c>
      <c r="B13658" s="0" t="s">
        <v>98</v>
      </c>
      <c r="F13658" s="6" t="n">
        <f aca="false">Sens!F13631-Sens!F13629-Sens!F13635+Sens!F13614*(1-tax_f)</f>
        <v>-16.8009792459133</v>
      </c>
      <c r="G13658" s="6" t="n">
        <f aca="false">Sens!G13631-Sens!G13629-Sens!G13635+Sens!G13614*(1-tax_f)</f>
        <v>137.151843950103</v>
      </c>
      <c r="H13658" s="6" t="n">
        <f aca="false">Sens!H13631-Sens!H13629-Sens!H13635+Sens!H13614*(1-tax_f)</f>
        <v>184.539769135442</v>
      </c>
      <c r="I13658" s="6" t="n">
        <f aca="false">Sens!I13631-Sens!I13629-Sens!I13635+Sens!I13614*(1-tax_f)</f>
        <v>168.063209777571</v>
      </c>
      <c r="J13658" s="6" t="n">
        <f aca="false">Sens!J13631-Sens!J13629-Sens!J13635+Sens!J13614*(1-tax_f)</f>
        <v>166.86388497109</v>
      </c>
      <c r="K13658" s="6" t="n">
        <f aca="false">Sens!K13631-Sens!K13629-Sens!K13635+Sens!K13614*(1-tax_f)</f>
        <v>136.926952901574</v>
      </c>
      <c r="L13658" s="1" t="s">
        <v>1060</v>
      </c>
    </row>
    <row r="13659" customFormat="false" ht="15" hidden="false" customHeight="false" outlineLevel="0" collapsed="false">
      <c r="A13659" s="1" t="s">
        <v>1061</v>
      </c>
      <c r="B13659" s="0" t="s">
        <v>98</v>
      </c>
      <c r="F13659" s="6" t="n">
        <f aca="false">Sens!F13658*Sens!F13657</f>
        <v>-15.9977811080883</v>
      </c>
      <c r="G13659" s="6" t="n">
        <f aca="false">Sens!G13658*Sens!G13657</f>
        <v>118.406928470364</v>
      </c>
      <c r="H13659" s="6" t="n">
        <f aca="false">Sens!H13658*Sens!H13657</f>
        <v>144.449401662289</v>
      </c>
      <c r="I13659" s="6" t="n">
        <f aca="false">Sens!I13658*Sens!I13657</f>
        <v>119.274811182682</v>
      </c>
      <c r="J13659" s="6" t="n">
        <f aca="false">Sens!J13658*Sens!J13657</f>
        <v>107.371431794928</v>
      </c>
      <c r="K13659" s="6" t="n">
        <f aca="false">Sens!K13658*Sens!K13657</f>
        <v>79.8850749783488</v>
      </c>
    </row>
    <row r="13660" customFormat="false" ht="17.15" hidden="false" customHeight="false" outlineLevel="0" collapsed="false">
      <c r="A13660" s="1" t="s">
        <v>1062</v>
      </c>
      <c r="B13660" s="0" t="s">
        <v>98</v>
      </c>
      <c r="C13660" s="6" t="n">
        <f aca="false">SUM(Sens!F13659:K13659)</f>
        <v>553.389866980524</v>
      </c>
    </row>
    <row r="13661" customFormat="false" ht="17.15" hidden="false" customHeight="false" outlineLevel="0" collapsed="false">
      <c r="A13661" s="1" t="s">
        <v>1063</v>
      </c>
      <c r="B13661" s="0" t="s">
        <v>98</v>
      </c>
      <c r="C13661" s="6" t="n">
        <f aca="false">Sens!K13600*(1+g_tv)*(1-tax_f)</f>
        <v>213.874880597834</v>
      </c>
    </row>
    <row r="13662" customFormat="false" ht="17.15" hidden="false" customHeight="false" outlineLevel="0" collapsed="false">
      <c r="A13662" s="1" t="s">
        <v>1064</v>
      </c>
      <c r="B13662" s="0" t="s">
        <v>98</v>
      </c>
      <c r="C13662" s="6" t="n">
        <f aca="false">Sens!$C$13661*(1-g_tv/(wacc+ronic_prem))</f>
        <v>151.541538532607</v>
      </c>
    </row>
    <row r="13663" customFormat="false" ht="17.15" hidden="false" customHeight="false" outlineLevel="0" collapsed="false">
      <c r="A13663" s="1" t="s">
        <v>1065</v>
      </c>
      <c r="B13663" s="0" t="s">
        <v>98</v>
      </c>
      <c r="C13663" s="6" t="n">
        <f aca="false">Sens!$C$13662/(wacc-g_tv)</f>
        <v>2077.77806884091</v>
      </c>
    </row>
    <row r="13664" customFormat="false" ht="15" hidden="false" customHeight="false" outlineLevel="0" collapsed="false">
      <c r="A13664" s="1" t="s">
        <v>1066</v>
      </c>
      <c r="B13664" s="0" t="s">
        <v>98</v>
      </c>
      <c r="C13664" s="6" t="n">
        <f aca="false">Sens!$C$13663/(1+wacc)^(Sens!K13656+mid_yr)</f>
        <v>1154.25301126826</v>
      </c>
    </row>
    <row r="13665" customFormat="false" ht="17.15" hidden="false" customHeight="false" outlineLevel="0" collapsed="false">
      <c r="A13665" s="0" t="s">
        <v>986</v>
      </c>
      <c r="B13665" s="0" t="s">
        <v>98</v>
      </c>
      <c r="C13665" s="6" t="n">
        <f aca="false">Sens!$C$13660+Sens!$C$13664</f>
        <v>1707.64287824878</v>
      </c>
    </row>
    <row r="13666" customFormat="false" ht="15" hidden="false" customHeight="false" outlineLevel="0" collapsed="false">
      <c r="A13666" s="1" t="s">
        <v>987</v>
      </c>
      <c r="B13666" s="0" t="s">
        <v>129</v>
      </c>
      <c r="C13666" s="7" t="n">
        <f aca="false">Sens!$C$13664/Sens!$C$13665</f>
        <v>0.675933490526992</v>
      </c>
    </row>
    <row r="13667" customFormat="false" ht="17.15" hidden="false" customHeight="false" outlineLevel="0" collapsed="false">
      <c r="A13667" s="1" t="s">
        <v>1067</v>
      </c>
      <c r="B13667" s="0" t="s">
        <v>98</v>
      </c>
      <c r="C13667" s="6" t="n">
        <f aca="false">Sens!$C$13665+Sens!E13647-Sens!E13636+oai_v</f>
        <v>1842.15587824878</v>
      </c>
    </row>
    <row r="13668" customFormat="false" ht="17.15" hidden="false" customHeight="false" outlineLevel="0" collapsed="false">
      <c r="A13668" s="0" t="s">
        <v>994</v>
      </c>
      <c r="B13668" s="0" t="s">
        <v>75</v>
      </c>
      <c r="C13668" s="5" t="n">
        <f aca="false">Sens!$C$13667/sh_dil26</f>
        <v>247.169713974075</v>
      </c>
    </row>
    <row r="13669" customFormat="false" ht="15" hidden="false" customHeight="false" outlineLevel="0" collapsed="false">
      <c r="A13669" s="1" t="s">
        <v>1068</v>
      </c>
      <c r="B13669" s="0" t="s">
        <v>75</v>
      </c>
      <c r="C13669" s="8" t="n">
        <f aca="false">dps_27+Sens!G13639*roll_div_q/q_per_yr</f>
        <v>4.8895</v>
      </c>
    </row>
    <row r="13670" customFormat="false" ht="17.15" hidden="false" customHeight="false" outlineLevel="0" collapsed="false">
      <c r="A13670" s="0" t="s">
        <v>1069</v>
      </c>
      <c r="B13670" s="0" t="s">
        <v>75</v>
      </c>
      <c r="C13670" s="5" t="n">
        <f aca="false">Sens!$C$13668*(1+wacc)^t_roll-Sens!$C$13669</f>
        <v>276.570906181807</v>
      </c>
    </row>
    <row r="13671" customFormat="false" ht="17.15" hidden="false" customHeight="false" outlineLevel="0" collapsed="false">
      <c r="A13671" s="1" t="s">
        <v>1070</v>
      </c>
      <c r="B13671" s="0" t="s">
        <v>129</v>
      </c>
      <c r="F13671" s="7" t="n">
        <f aca="false">Sens!F13626/(Sens!F13571-Sens!F13527)</f>
        <v>0.108967867827829</v>
      </c>
      <c r="G13671" s="7" t="n">
        <f aca="false">Sens!G13626/(Sens!G13571-Sens!G13527)</f>
        <v>0.098868419353268</v>
      </c>
      <c r="H13671" s="7" t="n">
        <f aca="false">Sens!H13626/(Sens!H13571-Sens!H13527)</f>
        <v>0.0916428920960549</v>
      </c>
      <c r="I13671" s="7" t="n">
        <f aca="false">Sens!I13626/(Sens!I13571-Sens!I13527)</f>
        <v>0.0868190222077095</v>
      </c>
      <c r="J13671" s="7" t="n">
        <f aca="false">Sens!J13626/(Sens!J13571-Sens!J13527)</f>
        <v>0.0838677485608586</v>
      </c>
      <c r="K13671" s="7" t="n">
        <f aca="false">Sens!K13626/(Sens!K13571-Sens!K13527)</f>
        <v>0.0822923047613777</v>
      </c>
    </row>
    <row r="13672" customFormat="false" ht="17.15" hidden="false" customHeight="false" outlineLevel="0" collapsed="false">
      <c r="A13672" s="0" t="s">
        <v>1071</v>
      </c>
      <c r="B13672" s="0" t="s">
        <v>98</v>
      </c>
      <c r="F13672" s="6" t="n">
        <f aca="false">Sens!F13556*(al_m365+Sens!F13671+sbc_r)</f>
        <v>87.6158619014162</v>
      </c>
      <c r="G13672" s="6" t="n">
        <f aca="false">Sens!G13556*(al_m365+Sens!G13671+sbc_r)</f>
        <v>97.5857772917693</v>
      </c>
      <c r="H13672" s="6" t="n">
        <f aca="false">Sens!H13556*(al_m365+Sens!H13671+sbc_r)</f>
        <v>107.733460099927</v>
      </c>
      <c r="I13672" s="6" t="n">
        <f aca="false">Sens!I13556*(al_m365+Sens!I13671+sbc_r)</f>
        <v>117.381513816155</v>
      </c>
      <c r="J13672" s="6" t="n">
        <f aca="false">Sens!J13556*(al_m365+Sens!J13671+sbc_r)</f>
        <v>126.350583016703</v>
      </c>
      <c r="K13672" s="6" t="n">
        <f aca="false">Sens!K13556*(al_m365+Sens!K13671+sbc_r)</f>
        <v>134.95918716829</v>
      </c>
      <c r="L13672" s="11" t="s">
        <v>1072</v>
      </c>
    </row>
    <row r="13673" customFormat="false" ht="17.15" hidden="false" customHeight="false" outlineLevel="0" collapsed="false">
      <c r="A13673" s="0" t="s">
        <v>1073</v>
      </c>
      <c r="B13673" s="0" t="s">
        <v>98</v>
      </c>
      <c r="F13673" s="6" t="n">
        <f aca="false">Sens!F13557*(al_lic+Sens!F13671+sbc_r)</f>
        <v>35.0222797225425</v>
      </c>
      <c r="G13673" s="6" t="n">
        <f aca="false">Sens!G13557*(al_lic+Sens!G13671+sbc_r)</f>
        <v>36.0939573678035</v>
      </c>
      <c r="H13673" s="6" t="n">
        <f aca="false">Sens!H13557*(al_lic+Sens!H13671+sbc_r)</f>
        <v>37.1156190626302</v>
      </c>
      <c r="I13673" s="6" t="n">
        <f aca="false">Sens!I13557*(al_lic+Sens!I13671+sbc_r)</f>
        <v>38.0625621445862</v>
      </c>
      <c r="J13673" s="6" t="n">
        <f aca="false">Sens!J13557*(al_lic+Sens!J13671+sbc_r)</f>
        <v>38.9046479757698</v>
      </c>
      <c r="K13673" s="6" t="n">
        <f aca="false">Sens!K13557*(al_lic+Sens!K13671+sbc_r)</f>
        <v>39.6109843738662</v>
      </c>
    </row>
    <row r="13674" customFormat="false" ht="17.15" hidden="false" customHeight="false" outlineLevel="0" collapsed="false">
      <c r="A13674" s="0" t="s">
        <v>1074</v>
      </c>
      <c r="B13674" s="0" t="s">
        <v>98</v>
      </c>
      <c r="F13674" s="6" t="n">
        <f aca="false">Sens!F13559*(al_ind+Sens!F13671+sbc_r)</f>
        <v>9.97915544217539</v>
      </c>
      <c r="G13674" s="6" t="n">
        <f aca="false">Sens!G13559*(al_ind+Sens!G13671+sbc_r)</f>
        <v>10.6616310018823</v>
      </c>
      <c r="H13674" s="6" t="n">
        <f aca="false">Sens!H13559*(al_ind+Sens!H13671+sbc_r)</f>
        <v>11.4008394877734</v>
      </c>
      <c r="I13674" s="6" t="n">
        <f aca="false">Sens!I13559*(al_ind+Sens!I13671+sbc_r)</f>
        <v>12.1920704417503</v>
      </c>
      <c r="J13674" s="6" t="n">
        <f aca="false">Sens!J13559*(al_ind+Sens!J13671+sbc_r)</f>
        <v>13.0247463232861</v>
      </c>
      <c r="K13674" s="6" t="n">
        <f aca="false">Sens!K13559*(al_ind+Sens!K13671+sbc_r)</f>
        <v>13.8843572097178</v>
      </c>
    </row>
    <row r="13675" customFormat="false" ht="17.15" hidden="false" customHeight="false" outlineLevel="0" collapsed="false">
      <c r="A13675" s="0" t="s">
        <v>1075</v>
      </c>
      <c r="B13675" s="0" t="s">
        <v>98</v>
      </c>
      <c r="F13675" s="6" t="n">
        <f aca="false">Sens!F13561*(al_fro+Sens!F13671+sbc_r)</f>
        <v>3.92783061686847</v>
      </c>
      <c r="G13675" s="6" t="n">
        <f aca="false">Sens!G13561*(al_fro+Sens!G13671+sbc_r)</f>
        <v>4.09343597125663</v>
      </c>
      <c r="H13675" s="6" t="n">
        <f aca="false">Sens!H13561*(al_fro+Sens!H13671+sbc_r)</f>
        <v>4.29622654184026</v>
      </c>
      <c r="I13675" s="6" t="n">
        <f aca="false">Sens!I13561*(al_fro+Sens!I13671+sbc_r)</f>
        <v>4.53739240718678</v>
      </c>
      <c r="J13675" s="6" t="n">
        <f aca="false">Sens!J13561*(al_fro+Sens!J13671+sbc_r)</f>
        <v>4.81705173042364</v>
      </c>
      <c r="K13675" s="6" t="n">
        <f aca="false">Sens!K13561*(al_fro+Sens!K13671+sbc_r)</f>
        <v>5.13496887101116</v>
      </c>
    </row>
    <row r="13676" customFormat="false" ht="17.15" hidden="false" customHeight="false" outlineLevel="0" collapsed="false">
      <c r="A13676" s="0" t="s">
        <v>1076</v>
      </c>
      <c r="B13676" s="0" t="s">
        <v>98</v>
      </c>
      <c r="F13676" s="6" t="n">
        <f aca="false">Sens!F13564*(al_srch+Sens!F13671+sbc_r)</f>
        <v>12.3244011504429</v>
      </c>
      <c r="G13676" s="6" t="n">
        <f aca="false">Sens!G13564*(al_srch+Sens!G13671+sbc_r)</f>
        <v>13.2915066223821</v>
      </c>
      <c r="H13676" s="6" t="n">
        <f aca="false">Sens!H13564*(al_srch+Sens!H13671+sbc_r)</f>
        <v>14.3141676676563</v>
      </c>
      <c r="I13676" s="6" t="n">
        <f aca="false">Sens!I13564*(al_srch+Sens!I13671+sbc_r)</f>
        <v>15.3805753561199</v>
      </c>
      <c r="J13676" s="6" t="n">
        <f aca="false">Sens!J13564*(al_srch+Sens!J13671+sbc_r)</f>
        <v>16.4703980861506</v>
      </c>
      <c r="K13676" s="6" t="n">
        <f aca="false">Sens!K13564*(al_srch+Sens!K13671+sbc_r)</f>
        <v>17.5574160707855</v>
      </c>
    </row>
    <row r="13677" customFormat="false" ht="17.15" hidden="false" customHeight="false" outlineLevel="0" collapsed="false">
      <c r="A13677" s="0" t="s">
        <v>1077</v>
      </c>
      <c r="B13677" s="0" t="s">
        <v>98</v>
      </c>
      <c r="F13677" s="6" t="n">
        <f aca="false">Sens!F13533-Sens!F13534+Sens!F13614</f>
        <v>23.869976045975</v>
      </c>
      <c r="G13677" s="6" t="n">
        <f aca="false">Sens!G13533-Sens!G13534+Sens!G13614</f>
        <v>25.5657799281663</v>
      </c>
      <c r="H13677" s="6" t="n">
        <f aca="false">Sens!H13533-Sens!H13534+Sens!H13614</f>
        <v>22.7333429621066</v>
      </c>
      <c r="I13677" s="6" t="n">
        <f aca="false">Sens!I13533-Sens!I13534+Sens!I13614</f>
        <v>22.6437143149576</v>
      </c>
      <c r="J13677" s="6" t="n">
        <f aca="false">Sens!J13533-Sens!J13534+Sens!J13614</f>
        <v>23.5920105137874</v>
      </c>
      <c r="K13677" s="6" t="n">
        <f aca="false">Sens!K13533-Sens!K13534+Sens!K13614</f>
        <v>26.3206506644515</v>
      </c>
    </row>
    <row r="13678" customFormat="false" ht="17.15" hidden="false" customHeight="false" outlineLevel="0" collapsed="false">
      <c r="A13678" s="0" t="s">
        <v>1078</v>
      </c>
      <c r="B13678" s="0" t="s">
        <v>98</v>
      </c>
      <c r="F13678" s="6" t="n">
        <f aca="false">Sens!F13593+Sens!F13614+Sens!F13544+Sens!F13671*(Sens!F13563-Sens!F13527)+sbc_r*Sens!F13563</f>
        <v>210.696217244666</v>
      </c>
      <c r="G13678" s="6" t="n">
        <f aca="false">Sens!G13593+Sens!G13614+Sens!G13544+Sens!G13671*(Sens!G13563-Sens!G13527)+sbc_r*Sens!G13563</f>
        <v>236.839792245512</v>
      </c>
      <c r="H13678" s="6" t="n">
        <f aca="false">Sens!H13593+Sens!H13614+Sens!H13544+Sens!H13671*(Sens!H13563-Sens!H13527)+sbc_r*Sens!H13563</f>
        <v>258.6319109533</v>
      </c>
      <c r="I13678" s="6" t="n">
        <f aca="false">Sens!I13593+Sens!I13614+Sens!I13544+Sens!I13671*(Sens!I13563-Sens!I13527)+sbc_r*Sens!I13563</f>
        <v>282.431039834428</v>
      </c>
      <c r="J13678" s="6" t="n">
        <f aca="false">Sens!J13593+Sens!J13614+Sens!J13544+Sens!J13671*(Sens!J13563-Sens!J13527)+sbc_r*Sens!J13563</f>
        <v>305.604559306843</v>
      </c>
      <c r="K13678" s="6" t="n">
        <f aca="false">Sens!K13593+Sens!K13614+Sens!K13544+Sens!K13671*(Sens!K13563-Sens!K13527)+sbc_r*Sens!K13563</f>
        <v>328.506934788973</v>
      </c>
    </row>
    <row r="13679" customFormat="false" ht="17.15" hidden="false" customHeight="false" outlineLevel="0" collapsed="false">
      <c r="A13679" s="0" t="s">
        <v>1079</v>
      </c>
      <c r="B13679" s="0" t="s">
        <v>98</v>
      </c>
      <c r="F13679" s="6" t="n">
        <f aca="false">Sens!F13678-Sens!F13672-Sens!F13673-Sens!F13674-Sens!F13675-Sens!F13677</f>
        <v>50.2811135156888</v>
      </c>
      <c r="G13679" s="6" t="n">
        <f aca="false">Sens!G13678-Sens!G13672-Sens!G13673-Sens!G13674-Sens!G13675-Sens!G13677</f>
        <v>62.8392106846336</v>
      </c>
      <c r="H13679" s="6" t="n">
        <f aca="false">Sens!H13678-Sens!H13672-Sens!H13673-Sens!H13674-Sens!H13675-Sens!H13677</f>
        <v>75.3524227990223</v>
      </c>
      <c r="I13679" s="6" t="n">
        <f aca="false">Sens!I13678-Sens!I13672-Sens!I13673-Sens!I13674-Sens!I13675-Sens!I13677</f>
        <v>87.6137867097918</v>
      </c>
      <c r="J13679" s="6" t="n">
        <f aca="false">Sens!J13678-Sens!J13672-Sens!J13673-Sens!J13674-Sens!J13675-Sens!J13677</f>
        <v>98.9155197468724</v>
      </c>
      <c r="K13679" s="6" t="n">
        <f aca="false">Sens!K13678-Sens!K13672-Sens!K13673-Sens!K13674-Sens!K13675-Sens!K13677</f>
        <v>108.596786501636</v>
      </c>
    </row>
    <row r="13680" customFormat="false" ht="17.15" hidden="false" customHeight="false" outlineLevel="0" collapsed="false">
      <c r="A13680" s="0" t="s">
        <v>1080</v>
      </c>
      <c r="B13680" s="0" t="s">
        <v>98</v>
      </c>
      <c r="F13680" s="6" t="n">
        <f aca="false">Sens!F13595+Sens!F13671*Sens!F13570+sbc_r*Sens!F13570</f>
        <v>28.828951177212</v>
      </c>
      <c r="G13680" s="6" t="n">
        <f aca="false">Sens!G13595+Sens!G13671*Sens!G13570+sbc_r*Sens!G13570</f>
        <v>29.028962579329</v>
      </c>
      <c r="H13680" s="6" t="n">
        <f aca="false">Sens!H13595+Sens!H13671*Sens!H13570+sbc_r*Sens!H13570</f>
        <v>29.5863823275413</v>
      </c>
      <c r="I13680" s="6" t="n">
        <f aca="false">Sens!I13595+Sens!I13671*Sens!I13570+sbc_r*Sens!I13570</f>
        <v>30.4474544391514</v>
      </c>
      <c r="J13680" s="6" t="n">
        <f aca="false">Sens!J13595+Sens!J13671*Sens!J13570+sbc_r*Sens!J13570</f>
        <v>31.5616860949492</v>
      </c>
      <c r="K13680" s="6" t="n">
        <f aca="false">Sens!K13595+Sens!K13671*Sens!K13570+sbc_r*Sens!K13570</f>
        <v>32.8844538466245</v>
      </c>
    </row>
    <row r="13681" customFormat="false" ht="17.15" hidden="false" customHeight="false" outlineLevel="0" collapsed="false">
      <c r="A13681" s="0" t="s">
        <v>1081</v>
      </c>
      <c r="B13681" s="0" t="s">
        <v>98</v>
      </c>
      <c r="F13681" s="6" t="n">
        <f aca="false">(Sens!F13680-Sens!F13676)*Sens!F13566/(Sens!F13566+Sens!F13568)</f>
        <v>9.04763357268685</v>
      </c>
      <c r="G13681" s="6" t="n">
        <f aca="false">(Sens!G13680-Sens!G13676)*Sens!G13566/(Sens!G13566+Sens!G13568)</f>
        <v>8.47329906626119</v>
      </c>
      <c r="H13681" s="6" t="n">
        <f aca="false">(Sens!H13680-Sens!H13676)*Sens!H13566/(Sens!H13566+Sens!H13568)</f>
        <v>8.11172931623856</v>
      </c>
      <c r="I13681" s="6" t="n">
        <f aca="false">(Sens!I13680-Sens!I13676)*Sens!I13566/(Sens!I13566+Sens!I13568)</f>
        <v>7.93025853910794</v>
      </c>
      <c r="J13681" s="6" t="n">
        <f aca="false">(Sens!J13680-Sens!J13676)*Sens!J13566/(Sens!J13566+Sens!J13568)</f>
        <v>7.90718743244448</v>
      </c>
      <c r="K13681" s="6" t="n">
        <f aca="false">(Sens!K13680-Sens!K13676)*Sens!K13566/(Sens!K13566+Sens!K13568)</f>
        <v>8.03071019564782</v>
      </c>
    </row>
    <row r="13682" customFormat="false" ht="17.15" hidden="false" customHeight="false" outlineLevel="0" collapsed="false">
      <c r="A13682" s="0" t="s">
        <v>1082</v>
      </c>
      <c r="B13682" s="0" t="s">
        <v>98</v>
      </c>
      <c r="F13682" s="6" t="n">
        <f aca="false">Sens!F13680-Sens!F13676-Sens!F13681</f>
        <v>7.45691645408224</v>
      </c>
      <c r="G13682" s="6" t="n">
        <f aca="false">Sens!G13680-Sens!G13676-Sens!G13681</f>
        <v>7.26415689068576</v>
      </c>
      <c r="H13682" s="6" t="n">
        <f aca="false">Sens!H13680-Sens!H13676-Sens!H13681</f>
        <v>7.16048534364637</v>
      </c>
      <c r="I13682" s="6" t="n">
        <f aca="false">Sens!I13680-Sens!I13676-Sens!I13681</f>
        <v>7.13662054392361</v>
      </c>
      <c r="J13682" s="6" t="n">
        <f aca="false">Sens!J13680-Sens!J13676-Sens!J13681</f>
        <v>7.18410057635403</v>
      </c>
      <c r="K13682" s="6" t="n">
        <f aca="false">Sens!K13680-Sens!K13676-Sens!K13681</f>
        <v>7.29632758019118</v>
      </c>
    </row>
    <row r="13683" customFormat="false" ht="17.15" hidden="false" customHeight="false" outlineLevel="0" collapsed="false">
      <c r="A13683" s="0" t="s">
        <v>1083</v>
      </c>
      <c r="B13683" s="0" t="s">
        <v>98</v>
      </c>
      <c r="F13683" s="6" t="n">
        <f aca="false">Sens!F13677-tax_f*(Sens!F13677-Sens!F13544)-Sens!F13541</f>
        <v>-6.6461648112867</v>
      </c>
      <c r="G13683" s="6" t="n">
        <f aca="false">Sens!G13677-tax_f*(Sens!G13677-Sens!G13544)-Sens!G13541</f>
        <v>-8.96166505900029</v>
      </c>
      <c r="H13683" s="6" t="n">
        <f aca="false">Sens!H13677-tax_f*(Sens!H13677-Sens!H13544)-Sens!H13541</f>
        <v>24.591652267752</v>
      </c>
      <c r="I13683" s="6" t="n">
        <f aca="false">Sens!I13677-tax_f*(Sens!I13677-Sens!I13544)-Sens!I13541</f>
        <v>-5.60997115071723</v>
      </c>
      <c r="J13683" s="6" t="n">
        <f aca="false">Sens!J13677-tax_f*(Sens!J13677-Sens!J13544)-Sens!J13541</f>
        <v>-19.9662329185701</v>
      </c>
      <c r="K13683" s="6" t="n">
        <f aca="false">Sens!K13677-tax_f*(Sens!K13677-Sens!K13544)-Sens!K13541</f>
        <v>-62.2818611931221</v>
      </c>
    </row>
    <row r="13684" customFormat="false" ht="17.15" hidden="false" customHeight="false" outlineLevel="0" collapsed="false">
      <c r="A13684" s="0" t="s">
        <v>1084</v>
      </c>
      <c r="B13684" s="0" t="s">
        <v>98</v>
      </c>
      <c r="G13684" s="6" t="n">
        <f aca="false">Sens!G13683/(1+wacc)^(Sens!G13656-(Sens!F13656+mid_yr))</f>
        <v>-8.53323808567663</v>
      </c>
      <c r="H13684" s="6" t="n">
        <f aca="false">Sens!H13683/(1+wacc)^(Sens!H13656-(Sens!F13656+mid_yr))</f>
        <v>21.230644278433</v>
      </c>
      <c r="I13684" s="6" t="n">
        <f aca="false">Sens!I13683/(1+wacc)^(Sens!I13656-(Sens!F13656+mid_yr))</f>
        <v>-4.39123219813421</v>
      </c>
      <c r="J13684" s="6" t="n">
        <f aca="false">Sens!J13683/(1+wacc)^(Sens!J13656-(Sens!F13656+mid_yr))</f>
        <v>-14.170077225966</v>
      </c>
      <c r="K13684" s="6" t="n">
        <f aca="false">Sens!K13683/(1+wacc)^(Sens!K13656-(Sens!F13656+mid_yr))</f>
        <v>-40.0763329483613</v>
      </c>
      <c r="L13684" s="1" t="s">
        <v>1085</v>
      </c>
    </row>
    <row r="13685" customFormat="false" ht="17.15" hidden="false" customHeight="false" outlineLevel="0" collapsed="false">
      <c r="A13685" s="0" t="s">
        <v>1086</v>
      </c>
      <c r="B13685" s="0" t="s">
        <v>98</v>
      </c>
      <c r="C13685" s="6" t="n">
        <f aca="false">(Sens!K13677-Sens!K13544)*(1-tax_f)*(1+g_tv)*(1-g_tv/(wacc+ronic_prem))/(wacc-g_tv)/(1+wacc)^(Sens!K13656+mid_yr-(Sens!F13656+mid_yr))</f>
        <v>-53.3028733543556</v>
      </c>
    </row>
    <row r="13686" customFormat="false" ht="17.15" hidden="false" customHeight="false" outlineLevel="0" collapsed="false">
      <c r="A13686" s="1" t="s">
        <v>1087</v>
      </c>
      <c r="B13686" s="0" t="s">
        <v>98</v>
      </c>
      <c r="C13686" s="6" t="n">
        <f aca="false">(SUM(Sens!G13684:K13684)+Sens!$C$13685)*(1+wacc)^(t_roll-(Sens!F13656+mid_yr))</f>
        <v>-102.464335547057</v>
      </c>
      <c r="L13686" s="11" t="s">
        <v>1088</v>
      </c>
    </row>
    <row r="13687" customFormat="false" ht="17.15" hidden="false" customHeight="false" outlineLevel="0" collapsed="false">
      <c r="A13687" s="1" t="s">
        <v>1089</v>
      </c>
      <c r="B13687" s="0" t="s">
        <v>98</v>
      </c>
      <c r="C13687" s="6" t="n">
        <f aca="false">(w_ntm28*Sens!G13533+(1-w_ntm28)*Sens!H13533)*m_ai</f>
        <v>153.268235565806</v>
      </c>
    </row>
    <row r="13688" customFormat="false" ht="17.15" hidden="false" customHeight="false" outlineLevel="0" collapsed="false">
      <c r="A13688" s="1" t="s">
        <v>1090</v>
      </c>
      <c r="B13688" s="0" t="s">
        <v>98</v>
      </c>
      <c r="C13688" s="6" t="n">
        <f aca="false">(w_ntm28*Sens!G13679+(1-w_ntm28)*Sens!H13679)*m_cloud</f>
        <v>924.34486642235</v>
      </c>
    </row>
    <row r="13689" customFormat="false" ht="17.15" hidden="false" customHeight="false" outlineLevel="0" collapsed="false">
      <c r="A13689" s="1" t="s">
        <v>1091</v>
      </c>
      <c r="B13689" s="0" t="s">
        <v>98</v>
      </c>
      <c r="C13689" s="6" t="n">
        <f aca="false">(w_ntm28*Sens!G13672+(1-w_ntm28)*Sens!H13672)*m_sw</f>
        <v>1089.35709878047</v>
      </c>
    </row>
    <row r="13690" customFormat="false" ht="17.15" hidden="false" customHeight="false" outlineLevel="0" collapsed="false">
      <c r="A13690" s="1" t="s">
        <v>1092</v>
      </c>
      <c r="B13690" s="0" t="s">
        <v>98</v>
      </c>
      <c r="C13690" s="6" t="n">
        <f aca="false">(w_ntm28*Sens!G13673+(1-w_ntm28)*Sens!H13673)*m_sw</f>
        <v>393.381878377448</v>
      </c>
    </row>
    <row r="13691" customFormat="false" ht="17.15" hidden="false" customHeight="false" outlineLevel="0" collapsed="false">
      <c r="A13691" s="1" t="s">
        <v>1093</v>
      </c>
      <c r="B13691" s="0" t="s">
        <v>98</v>
      </c>
      <c r="C13691" s="6" t="n">
        <f aca="false">(w_ntm28*Sens!G13674+(1-w_ntm28)*Sens!H13674)*m_sw</f>
        <v>117.72656631189</v>
      </c>
    </row>
    <row r="13692" customFormat="false" ht="17.15" hidden="false" customHeight="false" outlineLevel="0" collapsed="false">
      <c r="A13692" s="1" t="s">
        <v>1094</v>
      </c>
      <c r="B13692" s="0" t="s">
        <v>98</v>
      </c>
      <c r="C13692" s="6" t="n">
        <f aca="false">(w_ntm28*Sens!G13675+(1-w_ntm28)*Sens!H13675)*m_sw</f>
        <v>44.9171531557409</v>
      </c>
    </row>
    <row r="13693" customFormat="false" ht="17.15" hidden="false" customHeight="false" outlineLevel="0" collapsed="false">
      <c r="A13693" s="1" t="s">
        <v>1095</v>
      </c>
      <c r="B13693" s="0" t="s">
        <v>98</v>
      </c>
      <c r="C13693" s="6" t="n">
        <f aca="false">(w_ntm28*Sens!G13676+(1-w_ntm28)*Sens!H13676)*m_ads</f>
        <v>124.097516207843</v>
      </c>
    </row>
    <row r="13694" customFormat="false" ht="17.15" hidden="false" customHeight="false" outlineLevel="0" collapsed="false">
      <c r="A13694" s="1" t="s">
        <v>1096</v>
      </c>
      <c r="B13694" s="0" t="s">
        <v>98</v>
      </c>
      <c r="C13694" s="6" t="n">
        <f aca="false">(w_ntm28*Sens!G13681+(1-w_ntm28)*Sens!H13681)*m_game</f>
        <v>105.541433340444</v>
      </c>
    </row>
    <row r="13695" customFormat="false" ht="17.15" hidden="false" customHeight="false" outlineLevel="0" collapsed="false">
      <c r="A13695" s="1" t="s">
        <v>1097</v>
      </c>
      <c r="B13695" s="0" t="s">
        <v>98</v>
      </c>
      <c r="C13695" s="6" t="n">
        <f aca="false">(w_ntm28*Sens!G13682+(1-w_ntm28)*Sens!H13682)*m_pc</f>
        <v>104.627377551489</v>
      </c>
    </row>
    <row r="13696" customFormat="false" ht="17.15" hidden="false" customHeight="false" outlineLevel="0" collapsed="false">
      <c r="A13696" s="1" t="s">
        <v>1098</v>
      </c>
      <c r="B13696" s="0" t="s">
        <v>98</v>
      </c>
      <c r="C13696" s="6" t="n">
        <f aca="false">Sens!$C$13686+Sens!$C$13688+Sens!$C$13689+Sens!$C$13690+Sens!$C$13691+Sens!$C$13692+Sens!$C$13693+Sens!$C$13694+Sens!$C$13695</f>
        <v>2801.52955460062</v>
      </c>
    </row>
    <row r="13697" customFormat="false" ht="17.15" hidden="false" customHeight="false" outlineLevel="0" collapsed="false">
      <c r="A13697" s="1" t="s">
        <v>1099</v>
      </c>
      <c r="B13697" s="0" t="s">
        <v>98</v>
      </c>
      <c r="C13697" s="6" t="n">
        <f aca="false">(Sens!G13658-Sens!G13683)*t_stub</f>
        <v>47.6370070468035</v>
      </c>
      <c r="L13697" s="1" t="s">
        <v>1100</v>
      </c>
    </row>
    <row r="13698" customFormat="false" ht="17.15" hidden="false" customHeight="false" outlineLevel="0" collapsed="false">
      <c r="A13698" s="1" t="s">
        <v>1014</v>
      </c>
      <c r="B13698" s="0" t="s">
        <v>98</v>
      </c>
      <c r="C13698" s="6" t="n">
        <f aca="false">Sens!F13647+oai_v-Sens!F13636+Sens!$C$13697</f>
        <v>148.312457258367</v>
      </c>
      <c r="L13698" s="1" t="s">
        <v>1101</v>
      </c>
    </row>
    <row r="13699" customFormat="false" ht="17.15" hidden="false" customHeight="false" outlineLevel="0" collapsed="false">
      <c r="A13699" s="1" t="s">
        <v>1102</v>
      </c>
      <c r="B13699" s="0" t="s">
        <v>75</v>
      </c>
      <c r="C13699" s="5" t="n">
        <f aca="false">(Sens!$C$13696+Sens!$C$13698)/(Sens!F13649+dil_gap)-Sens!G13639*roll_div_q/q_per_yr</f>
        <v>392.482646726118</v>
      </c>
      <c r="L13699" s="1" t="s">
        <v>1103</v>
      </c>
    </row>
    <row r="13700" customFormat="false" ht="17.15" hidden="false" customHeight="false" outlineLevel="0" collapsed="false">
      <c r="A13700" s="1" t="s">
        <v>1104</v>
      </c>
      <c r="B13700" s="0" t="s">
        <v>75</v>
      </c>
      <c r="C13700" s="5" t="n">
        <f aca="false">w_dcf*Sens!$C$13670+(1-w_dcf)*Sens!$C$13699</f>
        <v>334.526776453963</v>
      </c>
    </row>
    <row r="13701" customFormat="false" ht="17.15" hidden="false" customHeight="false" outlineLevel="0" collapsed="false">
      <c r="A13701" s="3" t="s">
        <v>1609</v>
      </c>
    </row>
    <row r="13702" customFormat="false" ht="15" hidden="false" customHeight="false" outlineLevel="0" collapsed="false">
      <c r="A13702" s="4" t="s">
        <v>43</v>
      </c>
      <c r="B13702" s="4" t="s">
        <v>65</v>
      </c>
      <c r="C13702" s="20" t="s">
        <v>799</v>
      </c>
      <c r="D13702" s="20" t="s">
        <v>800</v>
      </c>
      <c r="E13702" s="20" t="s">
        <v>801</v>
      </c>
      <c r="F13702" s="20" t="s">
        <v>802</v>
      </c>
      <c r="G13702" s="20" t="s">
        <v>803</v>
      </c>
      <c r="H13702" s="20" t="s">
        <v>804</v>
      </c>
      <c r="I13702" s="20" t="s">
        <v>805</v>
      </c>
      <c r="J13702" s="20" t="s">
        <v>806</v>
      </c>
      <c r="K13702" s="20" t="s">
        <v>807</v>
      </c>
      <c r="L13702" s="4" t="s">
        <v>47</v>
      </c>
    </row>
    <row r="13703" customFormat="false" ht="17.15" hidden="false" customHeight="false" outlineLevel="0" collapsed="false">
      <c r="A13703" s="1" t="s">
        <v>808</v>
      </c>
      <c r="B13703" s="1" t="s">
        <v>235</v>
      </c>
      <c r="C13703" s="28" t="n">
        <v>2024</v>
      </c>
      <c r="D13703" s="28" t="n">
        <v>2025</v>
      </c>
      <c r="E13703" s="28" t="n">
        <v>2026</v>
      </c>
      <c r="F13703" s="28" t="n">
        <v>2027</v>
      </c>
      <c r="G13703" s="28" t="n">
        <v>2028</v>
      </c>
      <c r="H13703" s="28" t="n">
        <v>2029</v>
      </c>
      <c r="I13703" s="28" t="n">
        <v>2030</v>
      </c>
      <c r="J13703" s="28" t="n">
        <v>2031</v>
      </c>
      <c r="K13703" s="28" t="n">
        <v>2032</v>
      </c>
    </row>
    <row r="13704" customFormat="false" ht="17.15" hidden="false" customHeight="false" outlineLevel="0" collapsed="false">
      <c r="A13704" s="1" t="s">
        <v>809</v>
      </c>
      <c r="B13704" s="0" t="s">
        <v>399</v>
      </c>
      <c r="F13704" s="29" t="n">
        <f aca="false">pace</f>
        <v>2527.2</v>
      </c>
      <c r="G13704" s="29" t="n">
        <f aca="false">pace</f>
        <v>2527.2</v>
      </c>
      <c r="H13704" s="29" t="n">
        <f aca="false">pace</f>
        <v>2527.2</v>
      </c>
      <c r="I13704" s="29" t="n">
        <f aca="false">pace+(g_tv*Sens!H13705-pace)*MIN(1,(Sens!I13703-pace_y0)/(pace_y1-pace_y0))</f>
        <v>1793.116</v>
      </c>
      <c r="J13704" s="29" t="n">
        <f aca="false">pace+(g_tv*Sens!I13705-pace)*MIN(1,(Sens!J13703-pace_y0)/(pace_y1-pace_y0))</f>
        <v>1094.89432</v>
      </c>
      <c r="K13704" s="29" t="n">
        <f aca="false">pace+(g_tv*Sens!J13705-pace)*MIN(1,(Sens!K13703-pace_y0)/(pace_y1-pace_y0))</f>
        <v>411.5883096</v>
      </c>
      <c r="L13704" s="11" t="s">
        <v>810</v>
      </c>
    </row>
    <row r="13705" customFormat="false" ht="17.15" hidden="false" customHeight="false" outlineLevel="0" collapsed="false">
      <c r="A13705" s="1" t="s">
        <v>811</v>
      </c>
      <c r="B13705" s="0" t="s">
        <v>399</v>
      </c>
      <c r="C13705" s="29" t="n">
        <f aca="false">mw_ext_24</f>
        <v>640</v>
      </c>
      <c r="D13705" s="29" t="n">
        <f aca="false">mw_ext_25</f>
        <v>1630</v>
      </c>
      <c r="E13705" s="29" t="n">
        <f aca="false">mw_ext_26</f>
        <v>3250</v>
      </c>
      <c r="F13705" s="29" t="n">
        <f aca="false">Sens!E13705+Sens!F13704</f>
        <v>5777.2</v>
      </c>
      <c r="G13705" s="29" t="n">
        <f aca="false">Sens!F13705+Sens!G13704</f>
        <v>8304.4</v>
      </c>
      <c r="H13705" s="29" t="n">
        <f aca="false">Sens!G13705+Sens!H13704</f>
        <v>10831.6</v>
      </c>
      <c r="I13705" s="29" t="n">
        <f aca="false">Sens!H13705+Sens!I13704</f>
        <v>12624.716</v>
      </c>
      <c r="J13705" s="29" t="n">
        <f aca="false">Sens!I13705+Sens!J13704</f>
        <v>13719.61032</v>
      </c>
      <c r="K13705" s="29" t="n">
        <f aca="false">Sens!J13705+Sens!K13704</f>
        <v>14131.1986296</v>
      </c>
      <c r="L13705" s="1" t="s">
        <v>812</v>
      </c>
    </row>
    <row r="13706" customFormat="false" ht="17.15" hidden="false" customHeight="false" outlineLevel="0" collapsed="false">
      <c r="A13706" s="1" t="s">
        <v>813</v>
      </c>
      <c r="B13706" s="0" t="s">
        <v>399</v>
      </c>
      <c r="C13706" s="29" t="n">
        <f aca="false">rent_ext_24</f>
        <v>150</v>
      </c>
      <c r="D13706" s="29" t="n">
        <f aca="false">rent_ext_25</f>
        <v>400</v>
      </c>
      <c r="E13706" s="29" t="n">
        <f aca="false">rent_ext_26</f>
        <v>550</v>
      </c>
      <c r="F13706" s="29" t="n">
        <f aca="false">rent_ext_f</f>
        <v>756</v>
      </c>
      <c r="G13706" s="29" t="n">
        <f aca="false">rent_ext_f</f>
        <v>756</v>
      </c>
      <c r="H13706" s="29" t="n">
        <f aca="false">rent_ext_f</f>
        <v>756</v>
      </c>
      <c r="I13706" s="29" t="n">
        <f aca="false">rent_ext_f</f>
        <v>756</v>
      </c>
      <c r="J13706" s="29" t="n">
        <f aca="false">rent_ext_f</f>
        <v>756</v>
      </c>
      <c r="K13706" s="29" t="n">
        <f aca="false">rent_ext_f</f>
        <v>756</v>
      </c>
      <c r="L13706" s="1" t="s">
        <v>814</v>
      </c>
    </row>
    <row r="13707" customFormat="false" ht="17.15" hidden="false" customHeight="false" outlineLevel="0" collapsed="false">
      <c r="A13707" s="1" t="s">
        <v>815</v>
      </c>
      <c r="B13707" s="0" t="s">
        <v>399</v>
      </c>
      <c r="C13707" s="29" t="n">
        <f aca="false">Sens!C13705-Sens!C13706</f>
        <v>490</v>
      </c>
      <c r="D13707" s="29" t="n">
        <f aca="false">Sens!D13705-Sens!D13706</f>
        <v>1230</v>
      </c>
      <c r="E13707" s="29" t="n">
        <f aca="false">Sens!E13705-Sens!E13706</f>
        <v>2700</v>
      </c>
      <c r="F13707" s="29" t="n">
        <f aca="false">Sens!F13705-Sens!F13706</f>
        <v>5021.2</v>
      </c>
      <c r="G13707" s="29" t="n">
        <f aca="false">Sens!G13705-Sens!G13706</f>
        <v>7548.4</v>
      </c>
      <c r="H13707" s="29" t="n">
        <f aca="false">Sens!H13705-Sens!H13706</f>
        <v>10075.6</v>
      </c>
      <c r="I13707" s="29" t="n">
        <f aca="false">Sens!I13705-Sens!I13706</f>
        <v>11868.716</v>
      </c>
      <c r="J13707" s="29" t="n">
        <f aca="false">Sens!J13705-Sens!J13706</f>
        <v>12963.61032</v>
      </c>
      <c r="K13707" s="29" t="n">
        <f aca="false">Sens!K13705-Sens!K13706</f>
        <v>13375.1986296</v>
      </c>
    </row>
    <row r="13708" customFormat="false" ht="17.15" hidden="false" customHeight="false" outlineLevel="0" collapsed="false">
      <c r="A13708" s="1" t="s">
        <v>816</v>
      </c>
      <c r="B13708" s="0" t="s">
        <v>399</v>
      </c>
      <c r="C13708" s="29" t="n">
        <f aca="false">Sens!C13707/ext_sh</f>
        <v>816.666666666667</v>
      </c>
      <c r="D13708" s="29" t="n">
        <f aca="false">Sens!D13707/ext_sh</f>
        <v>2050</v>
      </c>
      <c r="E13708" s="29" t="n">
        <f aca="false">Sens!E13707/ext_sh</f>
        <v>4500</v>
      </c>
      <c r="F13708" s="29" t="n">
        <f aca="false">Sens!F13707/ext_sh</f>
        <v>8368.66666666667</v>
      </c>
      <c r="G13708" s="29" t="n">
        <f aca="false">Sens!G13707/ext_sh</f>
        <v>12580.6666666667</v>
      </c>
      <c r="H13708" s="29" t="n">
        <f aca="false">Sens!H13707/ext_sh</f>
        <v>16792.6666666667</v>
      </c>
      <c r="I13708" s="29" t="n">
        <f aca="false">Sens!I13707/ext_sh</f>
        <v>19781.1933333333</v>
      </c>
      <c r="J13708" s="29" t="n">
        <f aca="false">Sens!J13707/ext_sh</f>
        <v>21606.0172</v>
      </c>
      <c r="K13708" s="29" t="n">
        <f aca="false">Sens!K13707/ext_sh</f>
        <v>22291.997716</v>
      </c>
      <c r="L13708" s="1" t="s">
        <v>817</v>
      </c>
    </row>
    <row r="13709" customFormat="false" ht="17.15" hidden="false" customHeight="false" outlineLevel="0" collapsed="false">
      <c r="A13709" s="1" t="s">
        <v>818</v>
      </c>
      <c r="B13709" s="0" t="s">
        <v>399</v>
      </c>
      <c r="C13709" s="29" t="n">
        <f aca="false">Sens!C13708-Sens!C13707</f>
        <v>326.666666666667</v>
      </c>
      <c r="D13709" s="29" t="n">
        <f aca="false">Sens!D13708-Sens!D13707</f>
        <v>820</v>
      </c>
      <c r="E13709" s="29" t="n">
        <f aca="false">Sens!E13708-Sens!E13707</f>
        <v>1800</v>
      </c>
      <c r="F13709" s="29" t="n">
        <f aca="false">Sens!F13708-Sens!F13707</f>
        <v>3347.46666666667</v>
      </c>
      <c r="G13709" s="29" t="n">
        <f aca="false">Sens!G13708-Sens!G13707</f>
        <v>5032.26666666667</v>
      </c>
      <c r="H13709" s="29" t="n">
        <f aca="false">Sens!H13708-Sens!H13707</f>
        <v>6717.06666666667</v>
      </c>
      <c r="I13709" s="29" t="n">
        <f aca="false">Sens!I13708-Sens!I13707</f>
        <v>7912.47733333333</v>
      </c>
      <c r="J13709" s="29" t="n">
        <f aca="false">Sens!J13708-Sens!J13707</f>
        <v>8642.40688</v>
      </c>
      <c r="K13709" s="29" t="n">
        <f aca="false">Sens!K13708-Sens!K13707</f>
        <v>8916.7990864</v>
      </c>
    </row>
    <row r="13710" customFormat="false" ht="17.15" hidden="false" customHeight="false" outlineLevel="0" collapsed="false">
      <c r="A13710" s="1" t="s">
        <v>819</v>
      </c>
      <c r="B13710" s="0" t="s">
        <v>399</v>
      </c>
      <c r="C13710" s="29" t="n">
        <f aca="false">Sens!C13708</f>
        <v>816.666666666667</v>
      </c>
      <c r="D13710" s="29" t="n">
        <f aca="false">Sens!D13708-Sens!C13708</f>
        <v>1233.33333333333</v>
      </c>
      <c r="E13710" s="29" t="n">
        <f aca="false">Sens!E13708-Sens!D13708</f>
        <v>2450</v>
      </c>
      <c r="F13710" s="29" t="n">
        <f aca="false">Sens!F13708-Sens!E13708</f>
        <v>3868.66666666667</v>
      </c>
      <c r="G13710" s="29" t="n">
        <f aca="false">Sens!G13708-Sens!F13708</f>
        <v>4212</v>
      </c>
      <c r="H13710" s="29" t="n">
        <f aca="false">Sens!H13708-Sens!G13708</f>
        <v>4212</v>
      </c>
      <c r="I13710" s="29" t="n">
        <f aca="false">Sens!I13708-Sens!H13708</f>
        <v>2988.52666666667</v>
      </c>
      <c r="J13710" s="29" t="n">
        <f aca="false">Sens!J13708-Sens!I13708</f>
        <v>1824.82386666667</v>
      </c>
      <c r="K13710" s="29" t="n">
        <f aca="false">Sens!K13708-Sens!J13708</f>
        <v>685.980516</v>
      </c>
    </row>
    <row r="13711" customFormat="false" ht="17.15" hidden="false" customHeight="false" outlineLevel="0" collapsed="false">
      <c r="A13711" s="1" t="s">
        <v>820</v>
      </c>
      <c r="B13711" s="0" t="s">
        <v>399</v>
      </c>
      <c r="D13711" s="29" t="n">
        <f aca="false">Sens!D13705-Sens!C13705</f>
        <v>990</v>
      </c>
      <c r="E13711" s="29" t="n">
        <f aca="false">Sens!E13705-Sens!D13705</f>
        <v>1620</v>
      </c>
      <c r="F13711" s="29" t="n">
        <f aca="false">Sens!F13705-Sens!E13705</f>
        <v>2527.2</v>
      </c>
      <c r="G13711" s="29" t="n">
        <f aca="false">Sens!G13705-Sens!F13705</f>
        <v>2527.2</v>
      </c>
      <c r="H13711" s="29" t="n">
        <f aca="false">Sens!H13705-Sens!G13705</f>
        <v>2527.2</v>
      </c>
      <c r="I13711" s="29" t="n">
        <f aca="false">Sens!I13705-Sens!H13705</f>
        <v>1793.116</v>
      </c>
      <c r="J13711" s="29" t="n">
        <f aca="false">Sens!J13705-Sens!I13705</f>
        <v>1094.89432</v>
      </c>
      <c r="K13711" s="29" t="n">
        <f aca="false">Sens!K13705-Sens!J13705</f>
        <v>411.5883096</v>
      </c>
    </row>
    <row r="13712" customFormat="false" ht="17.15" hidden="false" customHeight="false" outlineLevel="0" collapsed="false">
      <c r="A13712" s="1" t="s">
        <v>821</v>
      </c>
      <c r="B13712" s="0" t="s">
        <v>399</v>
      </c>
      <c r="F13712" s="29" t="n">
        <f aca="false">Sens!F13729*ext_sh</f>
        <v>0</v>
      </c>
      <c r="G13712" s="29" t="n">
        <f aca="false">Sens!G13729*ext_sh</f>
        <v>0</v>
      </c>
      <c r="H13712" s="29" t="n">
        <f aca="false">Sens!H13729*ext_sh</f>
        <v>0</v>
      </c>
      <c r="I13712" s="29" t="n">
        <f aca="false">Sens!I13729*ext_sh</f>
        <v>490</v>
      </c>
      <c r="J13712" s="29" t="n">
        <f aca="false">Sens!J13729*ext_sh</f>
        <v>740</v>
      </c>
      <c r="K13712" s="29" t="n">
        <f aca="false">Sens!K13729*ext_sh</f>
        <v>1470</v>
      </c>
      <c r="L13712" s="1" t="s">
        <v>822</v>
      </c>
    </row>
    <row r="13713" customFormat="false" ht="17.15" hidden="false" customHeight="false" outlineLevel="0" collapsed="false">
      <c r="A13713" s="1" t="s">
        <v>823</v>
      </c>
      <c r="B13713" s="0" t="s">
        <v>399</v>
      </c>
      <c r="C13713" s="29" t="n">
        <f aca="false">mix_h*Sens!C13705</f>
        <v>128</v>
      </c>
      <c r="D13713" s="29" t="n">
        <f aca="false">mix_h*Sens!D13705</f>
        <v>326</v>
      </c>
      <c r="E13713" s="29" t="n">
        <f aca="false">mix_h*Sens!E13705</f>
        <v>650</v>
      </c>
      <c r="F13713" s="29" t="n">
        <f aca="false">Sens!E13713-Sens!F13712*mix_h</f>
        <v>650</v>
      </c>
      <c r="G13713" s="29" t="n">
        <f aca="false">Sens!F13713-Sens!G13712*mix_h</f>
        <v>650</v>
      </c>
      <c r="H13713" s="29" t="n">
        <f aca="false">Sens!G13713-Sens!H13712*mix_h</f>
        <v>650</v>
      </c>
      <c r="I13713" s="29" t="n">
        <f aca="false">Sens!H13713-Sens!I13712*mix_h</f>
        <v>552</v>
      </c>
      <c r="J13713" s="29" t="n">
        <f aca="false">Sens!I13713-Sens!J13712*mix_h</f>
        <v>404</v>
      </c>
      <c r="K13713" s="29" t="n">
        <f aca="false">Sens!J13713-Sens!K13712*mix_h</f>
        <v>110</v>
      </c>
    </row>
    <row r="13714" customFormat="false" ht="17.15" hidden="false" customHeight="false" outlineLevel="0" collapsed="false">
      <c r="A13714" s="1" t="s">
        <v>824</v>
      </c>
      <c r="B13714" s="0" t="s">
        <v>399</v>
      </c>
      <c r="C13714" s="29" t="n">
        <f aca="false">mix_g2*Sens!C13705</f>
        <v>288</v>
      </c>
      <c r="D13714" s="29" t="n">
        <f aca="false">mix_g2*Sens!D13705</f>
        <v>733.5</v>
      </c>
      <c r="E13714" s="29" t="n">
        <f aca="false">mix_g2*Sens!E13705</f>
        <v>1462.5</v>
      </c>
      <c r="F13714" s="29" t="n">
        <f aca="false">Sens!E13714-Sens!F13712*mix_g2</f>
        <v>1462.5</v>
      </c>
      <c r="G13714" s="29" t="n">
        <f aca="false">Sens!F13714-Sens!G13712*mix_g2</f>
        <v>1462.5</v>
      </c>
      <c r="H13714" s="29" t="n">
        <f aca="false">Sens!G13714-Sens!H13712*mix_g2</f>
        <v>1462.5</v>
      </c>
      <c r="I13714" s="29" t="n">
        <f aca="false">Sens!H13714-Sens!I13712*mix_g2</f>
        <v>1242</v>
      </c>
      <c r="J13714" s="29" t="n">
        <f aca="false">Sens!I13714-Sens!J13712*mix_g2</f>
        <v>909</v>
      </c>
      <c r="K13714" s="29" t="n">
        <f aca="false">Sens!J13714-Sens!K13712*mix_g2</f>
        <v>247.5</v>
      </c>
    </row>
    <row r="13715" customFormat="false" ht="17.15" hidden="false" customHeight="false" outlineLevel="0" collapsed="false">
      <c r="A13715" s="1" t="s">
        <v>825</v>
      </c>
      <c r="B13715" s="0" t="s">
        <v>399</v>
      </c>
      <c r="C13715" s="29" t="n">
        <f aca="false">mix_g3*Sens!C13705</f>
        <v>224</v>
      </c>
      <c r="D13715" s="29" t="n">
        <f aca="false">mix_g3*Sens!D13705</f>
        <v>570.5</v>
      </c>
      <c r="E13715" s="29" t="n">
        <f aca="false">mix_g3*Sens!E13705</f>
        <v>1137.5</v>
      </c>
      <c r="F13715" s="29" t="n">
        <f aca="false">Sens!E13715+(Sens!F13711+Sens!F13712)*a_g3_27-Sens!F13712*mix_g3</f>
        <v>2906.54</v>
      </c>
      <c r="G13715" s="29" t="n">
        <f aca="false">Sens!F13715+(Sens!G13711+Sens!G13712)*a_g3_28-Sens!G13712*mix_g3</f>
        <v>3664.7</v>
      </c>
      <c r="H13715" s="29" t="n">
        <f aca="false">Sens!G13715+(Sens!H13711+Sens!H13712)*a_g3_29-Sens!H13712*mix_g3</f>
        <v>3917.42</v>
      </c>
      <c r="I13715" s="29" t="n">
        <f aca="false">Sens!H13715+(Sens!I13711+Sens!I13712)*a_g3_29-Sens!I13712*mix_g3</f>
        <v>3974.2316</v>
      </c>
      <c r="J13715" s="29" t="n">
        <f aca="false">Sens!I13715+(Sens!J13711+Sens!J13712)*a_g3_29-Sens!J13712*mix_g3</f>
        <v>3898.721032</v>
      </c>
      <c r="K13715" s="29" t="n">
        <f aca="false">Sens!J13715+(Sens!K13711+Sens!K13712)*a_g3_29-Sens!K13712*mix_g3</f>
        <v>3572.37986296</v>
      </c>
    </row>
    <row r="13716" customFormat="false" ht="17.15" hidden="false" customHeight="false" outlineLevel="0" collapsed="false">
      <c r="A13716" s="1" t="s">
        <v>826</v>
      </c>
      <c r="B13716" s="0" t="s">
        <v>399</v>
      </c>
      <c r="C13716" s="29" t="n">
        <v>0</v>
      </c>
      <c r="D13716" s="29" t="n">
        <v>0</v>
      </c>
      <c r="E13716" s="29" t="n">
        <v>0</v>
      </c>
      <c r="F13716" s="29" t="n">
        <f aca="false">Sens!E13716+(Sens!F13711+Sens!F13712)*(1-a_g3_27)</f>
        <v>758.16</v>
      </c>
      <c r="G13716" s="29" t="n">
        <f aca="false">Sens!F13716+(Sens!G13711+Sens!G13712)*(1-a_g3_28)</f>
        <v>2527.2</v>
      </c>
      <c r="H13716" s="29" t="n">
        <f aca="false">Sens!G13716+(Sens!H13711+Sens!H13712)*(1-a_g3_29)</f>
        <v>4801.68</v>
      </c>
      <c r="I13716" s="29" t="n">
        <f aca="false">Sens!H13716+(Sens!I13711+Sens!I13712)*(1-a_g3_29)</f>
        <v>6856.4844</v>
      </c>
      <c r="J13716" s="29" t="n">
        <f aca="false">Sens!I13716+(Sens!J13711+Sens!J13712)*(1-a_g3_29)</f>
        <v>8507.889288</v>
      </c>
      <c r="K13716" s="29" t="n">
        <f aca="false">Sens!J13716+(Sens!K13711+Sens!K13712)*(1-a_g3_29)</f>
        <v>10201.31876664</v>
      </c>
    </row>
    <row r="13717" customFormat="false" ht="17.15" hidden="false" customHeight="false" outlineLevel="0" collapsed="false">
      <c r="A13717" s="1" t="s">
        <v>827</v>
      </c>
      <c r="B13717" s="0" t="s">
        <v>346</v>
      </c>
      <c r="C13717" s="14" t="n">
        <f aca="false">(Sens!C13713*tk_hold_h100+Sens!C13714*tk_hold_gb200+Sens!C13715*tk_hold_gb300+Sens!C13716*tk_hold_vr200)/Sens!C13705</f>
        <v>9.7235358126469</v>
      </c>
      <c r="D13717" s="14" t="n">
        <f aca="false">(Sens!D13713*tk_hold_h100+Sens!D13714*tk_hold_gb200+Sens!D13715*tk_hold_gb300+Sens!D13716*tk_hold_vr200)/Sens!D13705</f>
        <v>9.7235358126469</v>
      </c>
      <c r="E13717" s="14" t="n">
        <f aca="false">(Sens!E13713*tk_hold_h100+Sens!E13714*tk_hold_gb200+Sens!E13715*tk_hold_gb300+Sens!E13716*tk_hold_vr200)/Sens!E13705</f>
        <v>9.7235358126469</v>
      </c>
      <c r="F13717" s="14" t="n">
        <f aca="false">(Sens!F13713*tk_hold_h100+Sens!F13714*tk_hold_gb200+Sens!F13715*tk_hold_gb300+Sens!F13716*tk_hold_vr200)/Sens!F13705</f>
        <v>10.4079573161931</v>
      </c>
      <c r="G13717" s="14" t="n">
        <f aca="false">(Sens!G13713*tk_hold_h100+Sens!G13714*tk_hold_gb200+Sens!G13715*tk_hold_gb300+Sens!G13716*tk_hold_vr200)/Sens!G13705</f>
        <v>10.8388131109316</v>
      </c>
      <c r="H13717" s="14" t="n">
        <f aca="false">(Sens!H13713*tk_hold_h100+Sens!H13714*tk_hold_gb200+Sens!H13715*tk_hold_gb300+Sens!H13716*tk_hold_vr200)/Sens!H13705</f>
        <v>11.1311018388216</v>
      </c>
      <c r="I13717" s="14" t="n">
        <f aca="false">(Sens!I13713*tk_hold_h100+Sens!I13714*tk_hold_gb200+Sens!I13715*tk_hold_gb300+Sens!I13716*tk_hold_vr200)/Sens!I13705</f>
        <v>11.3594282560989</v>
      </c>
      <c r="J13717" s="14" t="n">
        <f aca="false">(Sens!J13713*tk_hold_h100+Sens!J13714*tk_hold_gb200+Sens!J13715*tk_hold_gb300+Sens!J13716*tk_hold_vr200)/Sens!J13705</f>
        <v>11.5455817917599</v>
      </c>
      <c r="K13717" s="14" t="n">
        <f aca="false">(Sens!K13713*tk_hold_h100+Sens!K13714*tk_hold_gb200+Sens!K13715*tk_hold_gb300+Sens!K13716*tk_hold_vr200)/Sens!K13705</f>
        <v>11.8078187977246</v>
      </c>
    </row>
    <row r="13718" customFormat="false" ht="17.15" hidden="false" customHeight="false" outlineLevel="0" collapsed="false">
      <c r="A13718" s="0" t="s">
        <v>828</v>
      </c>
      <c r="B13718" s="0" t="s">
        <v>185</v>
      </c>
      <c r="C13718" s="14" t="n">
        <f aca="false">k_B</f>
        <v>1.17213932619116</v>
      </c>
      <c r="D13718" s="14" t="n">
        <f aca="false">k_B</f>
        <v>1.17213932619116</v>
      </c>
      <c r="E13718" s="14" t="n">
        <f aca="false">k_B</f>
        <v>1.17213932619116</v>
      </c>
      <c r="F13718" s="14" t="n">
        <f aca="false">(k_B+((ls_C*k_long+(1-ls_C)*k_spot)-k_B)*MIN(1,(Sens!F13703-base_fy)/k_ramp))*(k_long_lo/k_C)</f>
        <v>0.568553904031711</v>
      </c>
      <c r="G13718" s="14" t="n">
        <f aca="false">(k_B+((ls_C*k_long+(1-ls_C)*k_spot)-k_B)*MIN(1,(Sens!G13703-base_fy)/k_ramp))*(k_long_lo/k_C)</f>
        <v>0.519151338362468</v>
      </c>
      <c r="H13718" s="14" t="n">
        <f aca="false">(k_B+((ls_C*k_long+(1-ls_C)*k_spot)-k_B)*MIN(1,(Sens!H13703-base_fy)/k_ramp))*(k_long_lo/k_C)</f>
        <v>0.469748772693226</v>
      </c>
      <c r="I13718" s="14" t="n">
        <f aca="false">(k_B+((ls_C*k_long+(1-ls_C)*k_spot)-k_B)*MIN(1,(Sens!I13703-base_fy)/k_ramp))*(k_long_lo/k_C)</f>
        <v>0.469748772693226</v>
      </c>
      <c r="J13718" s="14" t="n">
        <f aca="false">(k_B+((ls_C*k_long+(1-ls_C)*k_spot)-k_B)*MIN(1,(Sens!J13703-base_fy)/k_ramp))*(k_long_lo/k_C)</f>
        <v>0.469748772693226</v>
      </c>
      <c r="K13718" s="14" t="n">
        <f aca="false">(k_B+((ls_C*k_long+(1-ls_C)*k_spot)-k_B)*MIN(1,(Sens!K13703-base_fy)/k_ramp))*(k_long_lo/k_C)</f>
        <v>0.469748772693226</v>
      </c>
      <c r="L13718" s="1" t="s">
        <v>829</v>
      </c>
    </row>
    <row r="13719" customFormat="false" ht="17.15" hidden="false" customHeight="false" outlineLevel="0" collapsed="false">
      <c r="A13719" s="1" t="s">
        <v>830</v>
      </c>
      <c r="B13719" s="0" t="s">
        <v>346</v>
      </c>
      <c r="C13719" s="14" t="n">
        <f aca="false">Sens!C13717*Sens!C13718*chip_f</f>
        <v>11.3973387156315</v>
      </c>
      <c r="D13719" s="14" t="n">
        <f aca="false">Sens!D13717*Sens!D13718*chip_f</f>
        <v>11.3973387156315</v>
      </c>
      <c r="E13719" s="14" t="n">
        <f aca="false">Sens!E13717*Sens!E13718*chip_f</f>
        <v>11.3973387156315</v>
      </c>
      <c r="F13719" s="14" t="n">
        <f aca="false">Sens!F13717*Sens!F13718*chip_f</f>
        <v>5.91748476511699</v>
      </c>
      <c r="G13719" s="14" t="n">
        <f aca="false">Sens!G13717*Sens!G13718*chip_f</f>
        <v>5.62698433280078</v>
      </c>
      <c r="H13719" s="14" t="n">
        <f aca="false">Sens!H13717*Sens!H13718*chip_f</f>
        <v>5.22882142750974</v>
      </c>
      <c r="I13719" s="14" t="n">
        <f aca="false">Sens!I13717*Sens!I13718*chip_f</f>
        <v>5.33607748179921</v>
      </c>
      <c r="J13719" s="14" t="n">
        <f aca="false">Sens!J13717*Sens!J13718*chip_f</f>
        <v>5.42352287670848</v>
      </c>
      <c r="K13719" s="14" t="n">
        <f aca="false">Sens!K13717*Sens!K13718*chip_f</f>
        <v>5.54670838841513</v>
      </c>
      <c r="L13719" s="1" t="s">
        <v>831</v>
      </c>
    </row>
    <row r="13720" customFormat="false" ht="17.15" hidden="false" customHeight="false" outlineLevel="0" collapsed="false">
      <c r="A13720" s="0" t="s">
        <v>832</v>
      </c>
      <c r="B13720" s="0" t="s">
        <v>98</v>
      </c>
      <c r="D13720" s="6" t="n">
        <f aca="false">(Sens!C13705+Sens!D13705)/2*Sens!D13719/1000</f>
        <v>12.9359794422418</v>
      </c>
      <c r="E13720" s="6" t="n">
        <f aca="false">(Sens!D13705+Sens!E13705)/2*Sens!E13719/1000</f>
        <v>27.8095064661409</v>
      </c>
      <c r="F13720" s="6" t="n">
        <f aca="false">(Sens!E13705+Sens!F13705)/2*Sens!F13719/1000</f>
        <v>26.709159235832</v>
      </c>
      <c r="G13720" s="6" t="n">
        <f aca="false">(Sens!F13705+Sens!G13705)/2*Sens!G13719/1000</f>
        <v>39.6184712903838</v>
      </c>
      <c r="H13720" s="6" t="n">
        <f aca="false">(Sens!G13705+Sens!H13705)/2*Sens!H13719/1000</f>
        <v>50.0293634184132</v>
      </c>
      <c r="I13720" s="6" t="n">
        <f aca="false">(Sens!H13705+Sens!I13705)/2*Sens!I13719/1000</f>
        <v>62.5823598067833</v>
      </c>
      <c r="J13720" s="6" t="n">
        <f aca="false">(Sens!I13705+Sens!J13705)/2*Sens!J13719/1000</f>
        <v>71.4395282339966</v>
      </c>
      <c r="K13720" s="6" t="n">
        <f aca="false">(Sens!J13705+Sens!K13705)/2*Sens!K13719/1000</f>
        <v>77.2401578124467</v>
      </c>
      <c r="L13720" s="11" t="s">
        <v>833</v>
      </c>
    </row>
    <row r="13721" customFormat="false" ht="17.15" hidden="false" customHeight="false" outlineLevel="0" collapsed="false">
      <c r="A13721" s="1" t="s">
        <v>834</v>
      </c>
      <c r="B13721" s="0" t="s">
        <v>346</v>
      </c>
      <c r="C13721" s="14" t="n">
        <f aca="false">(Sens!C13713*tk_opex_h100+Sens!C13714*tk_opex_gb200+Sens!C13715*tk_opex_gb300+Sens!C13716*tk_opex_vr200)/Sens!C13705</f>
        <v>1.88636041306092</v>
      </c>
      <c r="D13721" s="14" t="n">
        <f aca="false">(Sens!D13713*tk_opex_h100+Sens!D13714*tk_opex_gb200+Sens!D13715*tk_opex_gb300+Sens!D13716*tk_opex_vr200)/Sens!D13705</f>
        <v>1.88636041306092</v>
      </c>
      <c r="E13721" s="14" t="n">
        <f aca="false">(Sens!E13713*tk_opex_h100+Sens!E13714*tk_opex_gb200+Sens!E13715*tk_opex_gb300+Sens!E13716*tk_opex_vr200)/Sens!E13705</f>
        <v>1.88636041306092</v>
      </c>
      <c r="F13721" s="14" t="n">
        <f aca="false">(Sens!F13713*tk_opex_h100+Sens!F13714*tk_opex_gb200+Sens!F13715*tk_opex_gb300+Sens!F13716*tk_opex_vr200)/Sens!F13705</f>
        <v>1.9430236476499</v>
      </c>
      <c r="G13721" s="14" t="n">
        <f aca="false">(Sens!G13713*tk_opex_h100+Sens!G13714*tk_opex_gb200+Sens!G13715*tk_opex_gb300+Sens!G13716*tk_opex_vr200)/Sens!G13705</f>
        <v>1.9786941852423</v>
      </c>
      <c r="H13721" s="14" t="n">
        <f aca="false">(Sens!H13713*tk_opex_h100+Sens!H13714*tk_opex_gb200+Sens!H13715*tk_opex_gb300+Sens!H13716*tk_opex_vr200)/Sens!H13705</f>
        <v>2.00289275976156</v>
      </c>
      <c r="I13721" s="14" t="n">
        <f aca="false">(Sens!I13713*tk_opex_h100+Sens!I13714*tk_opex_gb200+Sens!I13715*tk_opex_gb300+Sens!I13716*tk_opex_vr200)/Sens!I13705</f>
        <v>2.02179589661219</v>
      </c>
      <c r="J13721" s="14" t="n">
        <f aca="false">(Sens!J13713*tk_opex_h100+Sens!J13714*tk_opex_gb200+Sens!J13715*tk_opex_gb300+Sens!J13716*tk_opex_vr200)/Sens!J13705</f>
        <v>2.03720754193029</v>
      </c>
      <c r="K13721" s="14" t="n">
        <f aca="false">(Sens!K13713*tk_opex_h100+Sens!K13714*tk_opex_gb200+Sens!K13715*tk_opex_gb300+Sens!K13716*tk_opex_vr200)/Sens!K13705</f>
        <v>2.0589181353437</v>
      </c>
    </row>
    <row r="13722" customFormat="false" ht="17.15" hidden="false" customHeight="false" outlineLevel="0" collapsed="false">
      <c r="A13722" s="0" t="s">
        <v>835</v>
      </c>
      <c r="B13722" s="0" t="s">
        <v>98</v>
      </c>
      <c r="D13722" s="6" t="n">
        <f aca="false">(Sens!C13708+Sens!D13708)/2*Sens!D13721/1000</f>
        <v>2.70378325872065</v>
      </c>
      <c r="E13722" s="6" t="n">
        <f aca="false">(Sens!D13708+Sens!E13708)/2*Sens!E13721/1000</f>
        <v>6.17783035277451</v>
      </c>
      <c r="F13722" s="6" t="n">
        <f aca="false">(Sens!E13708+Sens!F13708)/2*Sens!F13721/1000</f>
        <v>12.5020618235287</v>
      </c>
      <c r="G13722" s="6" t="n">
        <f aca="false">(Sens!F13708+Sens!G13708)/2*Sens!G13721/1000</f>
        <v>20.7261620256847</v>
      </c>
      <c r="H13722" s="6" t="n">
        <f aca="false">(Sens!G13708+Sens!H13708)/2*Sens!H13721/1000</f>
        <v>29.4158183316982</v>
      </c>
      <c r="I13722" s="6" t="n">
        <f aca="false">(Sens!H13708+Sens!I13708)/2*Sens!I13721/1000</f>
        <v>36.9724400356344</v>
      </c>
      <c r="J13722" s="6" t="n">
        <f aca="false">(Sens!I13708+Sens!J13708)/2*Sens!J13721/1000</f>
        <v>42.1571687189816</v>
      </c>
      <c r="K13722" s="6" t="n">
        <f aca="false">(Sens!J13708+Sens!K13708)/2*Sens!K13721/1000</f>
        <v>45.1912095080704</v>
      </c>
    </row>
    <row r="13723" customFormat="false" ht="17.15" hidden="false" customHeight="false" outlineLevel="0" collapsed="false">
      <c r="A13723" s="0" t="s">
        <v>836</v>
      </c>
      <c r="B13723" s="0" t="s">
        <v>98</v>
      </c>
      <c r="D13723" s="6" t="n">
        <f aca="false">(Sens!C13706+Sens!D13706)/2*rent_mw/1000</f>
        <v>2.44475</v>
      </c>
      <c r="E13723" s="6" t="n">
        <f aca="false">(Sens!D13706+Sens!E13706)/2*rent_mw/1000</f>
        <v>4.22275</v>
      </c>
      <c r="F13723" s="6" t="n">
        <f aca="false">(Sens!E13706+Sens!F13706)/2*rent_mw/1000</f>
        <v>5.80517</v>
      </c>
      <c r="G13723" s="6" t="n">
        <f aca="false">(Sens!F13706+Sens!G13706)/2*rent_mw/1000</f>
        <v>6.72084</v>
      </c>
      <c r="H13723" s="6" t="n">
        <f aca="false">(Sens!G13706+Sens!H13706)/2*rent_mw/1000</f>
        <v>6.72084</v>
      </c>
      <c r="I13723" s="6" t="n">
        <f aca="false">(Sens!H13706+Sens!I13706)/2*rent_mw/1000</f>
        <v>6.72084</v>
      </c>
      <c r="J13723" s="6" t="n">
        <f aca="false">(Sens!I13706+Sens!J13706)/2*rent_mw/1000</f>
        <v>6.72084</v>
      </c>
      <c r="K13723" s="6" t="n">
        <f aca="false">(Sens!J13706+Sens!K13706)/2*rent_mw/1000</f>
        <v>6.72084</v>
      </c>
    </row>
    <row r="13724" customFormat="false" ht="17.15" hidden="false" customHeight="false" outlineLevel="0" collapsed="false">
      <c r="A13724" s="0" t="s">
        <v>837</v>
      </c>
      <c r="B13724" s="0" t="s">
        <v>98</v>
      </c>
      <c r="D13724" s="6" t="n">
        <f aca="false">(Sens!C13708+Sens!D13708)/2*(1-self_build)*fac_rent/1000</f>
        <v>0.853242375631075</v>
      </c>
      <c r="E13724" s="6" t="n">
        <f aca="false">(Sens!D13708+Sens!E13708)/2*(1-self_build)*fac_rent/1000</f>
        <v>1.94955961408728</v>
      </c>
      <c r="F13724" s="6" t="n">
        <f aca="false">(Sens!E13708+Sens!F13708)/2*(1-self_build)*fac_rent/1000</f>
        <v>3.83026455274573</v>
      </c>
      <c r="G13724" s="6" t="n">
        <f aca="false">(Sens!F13708+Sens!G13708)/2*(1-self_build)*fac_rent/1000</f>
        <v>6.23541590972812</v>
      </c>
      <c r="H13724" s="6" t="n">
        <f aca="false">(Sens!G13708+Sens!H13708)/2*(1-self_build)*fac_rent/1000</f>
        <v>8.74275792332679</v>
      </c>
      <c r="I13724" s="6" t="n">
        <f aca="false">(Sens!H13708+Sens!I13708)/2*(1-self_build)*fac_rent/1000</f>
        <v>10.8859420438599</v>
      </c>
      <c r="J13724" s="6" t="n">
        <f aca="false">(Sens!I13708+Sens!J13708)/2*(1-self_build)*fac_rent/1000</f>
        <v>12.3186006405366</v>
      </c>
      <c r="K13724" s="6" t="n">
        <f aca="false">(Sens!J13708+Sens!K13708)/2*(1-self_build)*fac_rent/1000</f>
        <v>13.0659232089824</v>
      </c>
      <c r="L13724" s="11" t="s">
        <v>838</v>
      </c>
    </row>
    <row r="13725" customFormat="false" ht="17.15" hidden="false" customHeight="false" outlineLevel="0" collapsed="false">
      <c r="A13725" s="1" t="s">
        <v>839</v>
      </c>
      <c r="B13725" s="0" t="s">
        <v>129</v>
      </c>
      <c r="D13725" s="7" t="n">
        <f aca="false">(Sens!C13707+Sens!D13707)/(Sens!C13708+Sens!D13708)</f>
        <v>0.6</v>
      </c>
      <c r="E13725" s="7" t="n">
        <f aca="false">(Sens!D13707+Sens!E13707)/(Sens!D13708+Sens!E13708)</f>
        <v>0.6</v>
      </c>
      <c r="F13725" s="7" t="n">
        <f aca="false">(Sens!E13707+Sens!F13707)/(Sens!E13708+Sens!F13708)</f>
        <v>0.6</v>
      </c>
      <c r="G13725" s="7" t="n">
        <f aca="false">(Sens!F13707+Sens!G13707)/(Sens!F13708+Sens!G13708)</f>
        <v>0.6</v>
      </c>
      <c r="H13725" s="7" t="n">
        <f aca="false">(Sens!G13707+Sens!H13707)/(Sens!G13708+Sens!H13708)</f>
        <v>0.6</v>
      </c>
      <c r="I13725" s="7" t="n">
        <f aca="false">(Sens!H13707+Sens!I13707)/(Sens!H13708+Sens!I13708)</f>
        <v>0.6</v>
      </c>
      <c r="J13725" s="7" t="n">
        <f aca="false">(Sens!I13707+Sens!J13707)/(Sens!I13708+Sens!J13708)</f>
        <v>0.6</v>
      </c>
      <c r="K13725" s="7" t="n">
        <f aca="false">(Sens!J13707+Sens!K13707)/(Sens!J13708+Sens!K13708)</f>
        <v>0.6</v>
      </c>
    </row>
    <row r="13726" customFormat="false" ht="17.15" hidden="false" customHeight="false" outlineLevel="0" collapsed="false">
      <c r="A13726" s="0" t="s">
        <v>840</v>
      </c>
      <c r="B13726" s="0" t="s">
        <v>98</v>
      </c>
      <c r="D13726" s="6" t="n">
        <f aca="false">Sens!D13720-Sens!D13725*(Sens!D13722+Sens!D13724)-Sens!D13723</f>
        <v>8.35701406163072</v>
      </c>
      <c r="E13726" s="6" t="n">
        <f aca="false">Sens!E13720-Sens!E13725*(Sens!E13722+Sens!E13724)-Sens!E13723</f>
        <v>18.7103224860238</v>
      </c>
      <c r="F13726" s="6" t="n">
        <f aca="false">Sens!F13720-Sens!F13725*(Sens!F13722+Sens!F13724)-Sens!F13723</f>
        <v>11.1045934100674</v>
      </c>
      <c r="G13726" s="6" t="n">
        <f aca="false">Sens!G13720-Sens!G13725*(Sens!G13722+Sens!G13724)-Sens!G13723</f>
        <v>16.7206845291361</v>
      </c>
      <c r="H13726" s="6" t="n">
        <f aca="false">Sens!H13720-Sens!H13725*(Sens!H13722+Sens!H13724)-Sens!H13723</f>
        <v>20.4133776653982</v>
      </c>
      <c r="I13726" s="6" t="n">
        <f aca="false">Sens!I13720-Sens!I13725*(Sens!I13722+Sens!I13724)-Sens!I13723</f>
        <v>27.1464905590867</v>
      </c>
      <c r="J13726" s="6" t="n">
        <f aca="false">Sens!J13720-Sens!J13725*(Sens!J13722+Sens!J13724)-Sens!J13723</f>
        <v>32.0332266182857</v>
      </c>
      <c r="K13726" s="6" t="n">
        <f aca="false">Sens!K13720-Sens!K13725*(Sens!K13722+Sens!K13724)-Sens!K13723</f>
        <v>35.5650381822151</v>
      </c>
    </row>
    <row r="13727" customFormat="false" ht="17.15" hidden="false" customHeight="false" outlineLevel="0" collapsed="false">
      <c r="A13727" s="1" t="s">
        <v>841</v>
      </c>
      <c r="B13727" s="0" t="s">
        <v>98</v>
      </c>
      <c r="D13727" s="6" t="n">
        <f aca="false">(1-Sens!D13725)*(Sens!D13722+Sens!D13724)</f>
        <v>1.42281025374069</v>
      </c>
      <c r="E13727" s="6" t="n">
        <f aca="false">(1-Sens!E13725)*(Sens!E13722+Sens!E13724)</f>
        <v>3.25095598674472</v>
      </c>
      <c r="F13727" s="6" t="n">
        <f aca="false">(1-Sens!F13725)*(Sens!F13722+Sens!F13724)</f>
        <v>6.53293055050977</v>
      </c>
      <c r="G13727" s="6" t="n">
        <f aca="false">(1-Sens!G13725)*(Sens!G13722+Sens!G13724)</f>
        <v>10.7846311741651</v>
      </c>
      <c r="H13727" s="6" t="n">
        <f aca="false">(1-Sens!H13725)*(Sens!H13722+Sens!H13724)</f>
        <v>15.26343050201</v>
      </c>
      <c r="I13727" s="6" t="n">
        <f aca="false">(1-Sens!I13725)*(Sens!I13722+Sens!I13724)</f>
        <v>19.1433528317977</v>
      </c>
      <c r="J13727" s="6" t="n">
        <f aca="false">(1-Sens!J13725)*(Sens!J13722+Sens!J13724)</f>
        <v>21.7903077438073</v>
      </c>
      <c r="K13727" s="6" t="n">
        <f aca="false">(1-Sens!K13725)*(Sens!K13722+Sens!K13724)</f>
        <v>23.3028530868211</v>
      </c>
    </row>
    <row r="13728" customFormat="false" ht="17.15" hidden="false" customHeight="false" outlineLevel="0" collapsed="false">
      <c r="A13728" s="1" t="s">
        <v>842</v>
      </c>
      <c r="B13728" s="0" t="s">
        <v>357</v>
      </c>
      <c r="C13728" s="8" t="n">
        <f aca="false">cxit_open</f>
        <v>27.5918995</v>
      </c>
      <c r="D13728" s="8" t="n">
        <f aca="false">cxit_open</f>
        <v>27.5918995</v>
      </c>
      <c r="E13728" s="8" t="n">
        <f aca="false">cxit_open</f>
        <v>27.5918995</v>
      </c>
      <c r="F13728" s="8" t="n">
        <f aca="false">(a_g3_27*tk_cxit_gb300+(1-a_g3_27)*tk_cxit_vr200)</f>
        <v>33.8419624</v>
      </c>
      <c r="G13728" s="8" t="n">
        <f aca="false">(a_g3_28*tk_cxit_gb300+(1-a_g3_28)*tk_cxit_vr200)</f>
        <v>35.9816136</v>
      </c>
      <c r="H13728" s="8" t="n">
        <f aca="false">(a_g3_29*tk_cxit_gb300+(1-a_g3_29)*tk_cxit_vr200)</f>
        <v>37.0514392</v>
      </c>
      <c r="I13728" s="8" t="n">
        <f aca="false">(a_g3_29*tk_cxit_gb300+(1-a_g3_29)*tk_cxit_vr200)</f>
        <v>37.0514392</v>
      </c>
      <c r="J13728" s="8" t="n">
        <f aca="false">(a_g3_29*tk_cxit_gb300+(1-a_g3_29)*tk_cxit_vr200)</f>
        <v>37.0514392</v>
      </c>
      <c r="K13728" s="8" t="n">
        <f aca="false">(a_g3_29*tk_cxit_gb300+(1-a_g3_29)*tk_cxit_vr200)</f>
        <v>37.0514392</v>
      </c>
      <c r="L13728" s="11" t="s">
        <v>843</v>
      </c>
    </row>
    <row r="13729" customFormat="false" ht="17.15" hidden="false" customHeight="false" outlineLevel="0" collapsed="false">
      <c r="A13729" s="0" t="s">
        <v>844</v>
      </c>
      <c r="B13729" s="0" t="s">
        <v>399</v>
      </c>
      <c r="F13729" s="29" t="n">
        <f aca="false">Sens!C13710*IF(Sens!F13703-Sens!C13703=life_it,1,0)+Sens!D13710*IF(Sens!F13703-Sens!D13703=life_it,1,0)+Sens!E13710*IF(Sens!F13703-Sens!E13703=life_it,1,0)</f>
        <v>0</v>
      </c>
      <c r="G13729" s="29" t="n">
        <f aca="false">Sens!C13710*IF(Sens!G13703-Sens!C13703=life_it,1,0)+Sens!D13710*IF(Sens!G13703-Sens!D13703=life_it,1,0)+Sens!E13710*IF(Sens!G13703-Sens!E13703=life_it,1,0)+Sens!F13710*IF(Sens!G13703-Sens!F13703=life_it,1,0)</f>
        <v>0</v>
      </c>
      <c r="H13729" s="29" t="n">
        <f aca="false">Sens!C13710*IF(Sens!H13703-Sens!C13703=life_it,1,0)+Sens!D13710*IF(Sens!H13703-Sens!D13703=life_it,1,0)+Sens!E13710*IF(Sens!H13703-Sens!E13703=life_it,1,0)+Sens!F13710*IF(Sens!H13703-Sens!F13703=life_it,1,0)+Sens!G13710*IF(Sens!H13703-Sens!G13703=life_it,1,0)</f>
        <v>0</v>
      </c>
      <c r="I13729" s="29" t="n">
        <f aca="false">Sens!C13710*IF(Sens!I13703-Sens!C13703=life_it,1,0)+Sens!D13710*IF(Sens!I13703-Sens!D13703=life_it,1,0)+Sens!E13710*IF(Sens!I13703-Sens!E13703=life_it,1,0)+Sens!F13710*IF(Sens!I13703-Sens!F13703=life_it,1,0)+Sens!G13710*IF(Sens!I13703-Sens!G13703=life_it,1,0)+Sens!H13710*IF(Sens!I13703-Sens!H13703=life_it,1,0)</f>
        <v>816.666666666667</v>
      </c>
      <c r="J13729" s="29" t="n">
        <f aca="false">Sens!C13710*IF(Sens!J13703-Sens!C13703=life_it,1,0)+Sens!D13710*IF(Sens!J13703-Sens!D13703=life_it,1,0)+Sens!E13710*IF(Sens!J13703-Sens!E13703=life_it,1,0)+Sens!F13710*IF(Sens!J13703-Sens!F13703=life_it,1,0)+Sens!G13710*IF(Sens!J13703-Sens!G13703=life_it,1,0)+Sens!H13710*IF(Sens!J13703-Sens!H13703=life_it,1,0)+Sens!I13710*IF(Sens!J13703-Sens!I13703=life_it,1,0)</f>
        <v>1233.33333333333</v>
      </c>
      <c r="K13729" s="29" t="n">
        <f aca="false">Sens!C13710*IF(Sens!K13703-Sens!C13703=life_it,1,0)+Sens!D13710*IF(Sens!K13703-Sens!D13703=life_it,1,0)+Sens!E13710*IF(Sens!K13703-Sens!E13703=life_it,1,0)+Sens!F13710*IF(Sens!K13703-Sens!F13703=life_it,1,0)+Sens!G13710*IF(Sens!K13703-Sens!G13703=life_it,1,0)+Sens!H13710*IF(Sens!K13703-Sens!H13703=life_it,1,0)+Sens!I13710*IF(Sens!K13703-Sens!I13703=life_it,1,0)+Sens!J13710*IF(Sens!K13703-Sens!J13703=life_it,1,0)</f>
        <v>2450</v>
      </c>
      <c r="L13729" s="1" t="s">
        <v>845</v>
      </c>
    </row>
    <row r="13730" customFormat="false" ht="17.15" hidden="false" customHeight="false" outlineLevel="0" collapsed="false">
      <c r="A13730" s="0" t="s">
        <v>846</v>
      </c>
      <c r="B13730" s="0" t="s">
        <v>98</v>
      </c>
      <c r="C13730" s="6" t="n">
        <f aca="false">Sens!C13710*Sens!C13728/1000</f>
        <v>22.5333845916667</v>
      </c>
      <c r="D13730" s="6" t="n">
        <f aca="false">Sens!D13710*Sens!D13728/1000</f>
        <v>34.0300093833333</v>
      </c>
      <c r="E13730" s="6" t="n">
        <f aca="false">Sens!E13710*Sens!E13728/1000</f>
        <v>67.600153775</v>
      </c>
      <c r="F13730" s="6" t="n">
        <f aca="false">(Sens!F13710+Sens!F13729)*Sens!F13728/1000</f>
        <v>130.923271871467</v>
      </c>
      <c r="G13730" s="6" t="n">
        <f aca="false">(Sens!G13710+Sens!G13729)*Sens!G13728/1000</f>
        <v>151.5545564832</v>
      </c>
      <c r="H13730" s="6" t="n">
        <f aca="false">(Sens!H13710+Sens!H13729)*Sens!H13728/1000</f>
        <v>156.0606619104</v>
      </c>
      <c r="I13730" s="6" t="n">
        <f aca="false">(Sens!I13710+Sens!I13729)*Sens!I13728/1000</f>
        <v>140.987889434245</v>
      </c>
      <c r="J13730" s="6" t="n">
        <f aca="false">(Sens!J13710+Sens!J13729)*Sens!J13728/1000</f>
        <v>113.309125559842</v>
      </c>
      <c r="K13730" s="6" t="n">
        <f aca="false">(Sens!K13710+Sens!K13729)*Sens!K13728/1000</f>
        <v>116.192591420959</v>
      </c>
    </row>
    <row r="13731" customFormat="false" ht="17.15" hidden="false" customHeight="false" outlineLevel="0" collapsed="false">
      <c r="A13731" s="0" t="s">
        <v>847</v>
      </c>
      <c r="B13731" s="0" t="s">
        <v>98</v>
      </c>
      <c r="C13731" s="6" t="n">
        <f aca="false">Sens!C13710*self_build*tk_cxfac/1000</f>
        <v>6.2083</v>
      </c>
      <c r="D13731" s="6" t="n">
        <f aca="false">Sens!D13710*self_build*tk_cxfac/1000</f>
        <v>9.3758</v>
      </c>
      <c r="E13731" s="6" t="n">
        <f aca="false">Sens!E13710*self_build*tk_cxfac/1000</f>
        <v>18.6249</v>
      </c>
      <c r="F13731" s="6" t="n">
        <f aca="false">Sens!F13710*self_build*tk_cxfac/1000</f>
        <v>29.409604</v>
      </c>
      <c r="G13731" s="6" t="n">
        <f aca="false">Sens!G13710*self_build*tk_cxfac/1000</f>
        <v>32.019624</v>
      </c>
      <c r="H13731" s="6" t="n">
        <f aca="false">Sens!H13710*self_build*tk_cxfac/1000</f>
        <v>32.019624</v>
      </c>
      <c r="I13731" s="6" t="n">
        <f aca="false">Sens!I13710*self_build*tk_cxfac/1000</f>
        <v>22.71877972</v>
      </c>
      <c r="J13731" s="6" t="n">
        <f aca="false">Sens!J13710*self_build*tk_cxfac/1000</f>
        <v>13.8723110344</v>
      </c>
      <c r="K13731" s="6" t="n">
        <f aca="false">Sens!K13710*self_build*tk_cxfac/1000</f>
        <v>5.214823882632</v>
      </c>
    </row>
    <row r="13732" customFormat="false" ht="17.15" hidden="false" customHeight="false" outlineLevel="0" collapsed="false">
      <c r="A13732" s="0" t="s">
        <v>848</v>
      </c>
      <c r="B13732" s="0" t="s">
        <v>98</v>
      </c>
      <c r="F13732" s="6" t="n">
        <f aca="false">MAX(0,capex_floor27-Sens!F13730-Sens!F13731-Sens!F13826)</f>
        <v>8.43777689897088</v>
      </c>
    </row>
    <row r="13733" customFormat="false" ht="17.15" hidden="false" customHeight="false" outlineLevel="0" collapsed="false">
      <c r="A13733" s="0" t="s">
        <v>849</v>
      </c>
      <c r="B13733" s="0" t="s">
        <v>98</v>
      </c>
      <c r="C13733" s="6" t="n">
        <f aca="false">Sens!C13730</f>
        <v>22.5333845916667</v>
      </c>
      <c r="D13733" s="6" t="n">
        <f aca="false">Sens!D13730</f>
        <v>34.0300093833333</v>
      </c>
      <c r="E13733" s="6" t="n">
        <f aca="false">Sens!E13730</f>
        <v>67.600153775</v>
      </c>
      <c r="F13733" s="6" t="n">
        <f aca="false">Sens!F13730</f>
        <v>130.923271871467</v>
      </c>
      <c r="G13733" s="6" t="n">
        <f aca="false">Sens!G13730</f>
        <v>151.5545564832</v>
      </c>
      <c r="H13733" s="6" t="n">
        <f aca="false">Sens!H13730</f>
        <v>156.0606619104</v>
      </c>
      <c r="I13733" s="6" t="n">
        <f aca="false">Sens!I13730</f>
        <v>140.987889434245</v>
      </c>
      <c r="J13733" s="6" t="n">
        <f aca="false">Sens!J13730</f>
        <v>113.309125559842</v>
      </c>
      <c r="K13733" s="6" t="n">
        <f aca="false">Sens!K13730</f>
        <v>116.192591420959</v>
      </c>
    </row>
    <row r="13734" customFormat="false" ht="17.15" hidden="false" customHeight="false" outlineLevel="0" collapsed="false">
      <c r="A13734" s="0" t="s">
        <v>850</v>
      </c>
      <c r="B13734" s="0" t="s">
        <v>98</v>
      </c>
      <c r="C13734" s="6" t="n">
        <f aca="false">Sens!C13733+Sens!C13731</f>
        <v>28.7416845916667</v>
      </c>
      <c r="D13734" s="6" t="n">
        <f aca="false">Sens!D13733+Sens!D13731</f>
        <v>43.4058093833333</v>
      </c>
      <c r="E13734" s="6" t="n">
        <f aca="false">Sens!E13733+Sens!E13731</f>
        <v>86.225053775</v>
      </c>
      <c r="F13734" s="6" t="n">
        <f aca="false">Sens!F13733+Sens!F13731</f>
        <v>160.332875871467</v>
      </c>
      <c r="G13734" s="6" t="n">
        <f aca="false">Sens!G13733+Sens!G13731</f>
        <v>183.5741804832</v>
      </c>
      <c r="H13734" s="6" t="n">
        <f aca="false">Sens!H13733+Sens!H13731</f>
        <v>188.0802859104</v>
      </c>
      <c r="I13734" s="6" t="n">
        <f aca="false">Sens!I13733+Sens!I13731</f>
        <v>163.706669154245</v>
      </c>
      <c r="J13734" s="6" t="n">
        <f aca="false">Sens!J13733+Sens!J13731</f>
        <v>127.181436594242</v>
      </c>
      <c r="K13734" s="6" t="n">
        <f aca="false">Sens!K13733+Sens!K13731</f>
        <v>121.407415303591</v>
      </c>
      <c r="L13734" s="11" t="s">
        <v>851</v>
      </c>
    </row>
    <row r="13735" customFormat="false" ht="17.15" hidden="false" customHeight="false" outlineLevel="0" collapsed="false">
      <c r="A13735" s="0" t="s">
        <v>852</v>
      </c>
      <c r="B13735" s="0" t="s">
        <v>98</v>
      </c>
      <c r="E13735" s="6" t="n">
        <f aca="false">(Sens!C13733*IF(2&lt;life_it,1,IF(2=life_it,0.5,0))+Sens!D13733*IF(1&lt;life_it,1,IF(1=life_it,0.5,0))+Sens!E13733*0.5)/life_it</f>
        <v>15.0605784770833</v>
      </c>
      <c r="F13735" s="6" t="n">
        <f aca="false">(Sens!C13733*IF(3&lt;life_it,1,IF(3=life_it,0.5,0))+Sens!D13733*IF(2&lt;life_it,1,IF(2=life_it,0.5,0))+Sens!E13733*IF(1&lt;life_it,1,IF(1=life_it,0.5,0))+Sens!F13733*0.5)/life_it</f>
        <v>31.6041972809556</v>
      </c>
      <c r="G13735" s="6" t="n">
        <f aca="false">(Sens!C13733*IF(4&lt;life_it,1,IF(4=life_it,0.5,0))+Sens!D13733*IF(3&lt;life_it,1,IF(3=life_it,0.5,0))+Sens!E13733*IF(2&lt;life_it,1,IF(2=life_it,0.5,0))+Sens!F13733*IF(1&lt;life_it,1,IF(1=life_it,0.5,0))+Sens!G13733*0.5)/life_it</f>
        <v>55.1440163105111</v>
      </c>
      <c r="H13735" s="6" t="n">
        <f aca="false">(Sens!C13733*IF(5&lt;life_it,1,IF(5=life_it,0.5,0))+Sens!D13733*IF(4&lt;life_it,1,IF(4=life_it,0.5,0))+Sens!E13733*IF(3&lt;life_it,1,IF(3=life_it,0.5,0))+Sens!F13733*IF(2&lt;life_it,1,IF(2=life_it,0.5,0))+Sens!G13733*IF(1&lt;life_it,1,IF(1=life_it,0.5,0))+Sens!H13733*0.5)/life_it</f>
        <v>80.7786178433111</v>
      </c>
      <c r="I13735" s="6" t="n">
        <f aca="false">(Sens!C13733*IF(6&lt;life_it,1,IF(6=life_it,0.5,0))+Sens!D13733*IF(5&lt;life_it,1,IF(5=life_it,0.5,0))+Sens!E13733*IF(4&lt;life_it,1,IF(4=life_it,0.5,0))+Sens!F13733*IF(3&lt;life_it,1,IF(3=life_it,0.5,0))+Sens!G13733*IF(2&lt;life_it,1,IF(2=life_it,0.5,0))+Sens!H13733*IF(1&lt;life_it,1,IF(1=life_it,0.5,0))+Sens!I13733*0.5)/life_it</f>
        <v>103.654881739393</v>
      </c>
      <c r="J13735" s="6" t="n">
        <f aca="false">(Sens!C13733*IF(7&lt;life_it,1,IF(7=life_it,0.5,0))+Sens!D13733*IF(6&lt;life_it,1,IF(6=life_it,0.5,0))+Sens!E13733*IF(5&lt;life_it,1,IF(5=life_it,0.5,0))+Sens!F13733*IF(4&lt;life_it,1,IF(4=life_it,0.5,0))+Sens!G13733*IF(3&lt;life_it,1,IF(3=life_it,0.5,0))+Sens!H13733*IF(2&lt;life_it,1,IF(2=life_it,0.5,0))+Sens!I13733*IF(1&lt;life_it,1,IF(1=life_it,0.5,0))+Sens!J13733*0.5)/life_it</f>
        <v>120.132683490983</v>
      </c>
      <c r="K13735" s="6" t="n">
        <f aca="false">(Sens!C13733*IF(8&lt;life_it,1,IF(8=life_it,0.5,0))+Sens!D13733*IF(7&lt;life_it,1,IF(7=life_it,0.5,0))+Sens!E13733*IF(6&lt;life_it,1,IF(6=life_it,0.5,0))+Sens!F13733*IF(5&lt;life_it,1,IF(5=life_it,0.5,0))+Sens!G13733*IF(4&lt;life_it,1,IF(4=life_it,0.5,0))+Sens!H13733*IF(3&lt;life_it,1,IF(3=life_it,0.5,0))+Sens!I13733*IF(2&lt;life_it,1,IF(2=life_it,0.5,0))+Sens!J13733*IF(1&lt;life_it,1,IF(1=life_it,0.5,0))+Sens!K13733*0.5)/life_it</f>
        <v>130.788646309522</v>
      </c>
    </row>
    <row r="13736" customFormat="false" ht="17.15" hidden="false" customHeight="false" outlineLevel="0" collapsed="false">
      <c r="A13736" s="0" t="s">
        <v>853</v>
      </c>
      <c r="B13736" s="0" t="s">
        <v>98</v>
      </c>
      <c r="E13736" s="6" t="n">
        <f aca="false">(Sens!C13731*IF(2&lt;life_fac,1,IF(2=life_fac,0.5,0))+Sens!D13731*IF(1&lt;life_fac,1,IF(1=life_fac,0.5,0))+Sens!E13731*0.5)/life_fac</f>
        <v>1.2448275</v>
      </c>
      <c r="F13736" s="6" t="n">
        <f aca="false">(Sens!C13731*IF(3&lt;life_fac,1,IF(3=life_fac,0.5,0))+Sens!D13731*IF(2&lt;life_fac,1,IF(2=life_fac,0.5,0))+Sens!E13731*IF(1&lt;life_fac,1,IF(1=life_fac,0.5,0))+Sens!F13731*0.5)/life_fac</f>
        <v>2.4456901</v>
      </c>
      <c r="G13736" s="6" t="n">
        <f aca="false">(Sens!C13731*IF(4&lt;life_fac,1,IF(4=life_fac,0.5,0))+Sens!D13731*IF(3&lt;life_fac,1,IF(3=life_fac,0.5,0))+Sens!E13731*IF(2&lt;life_fac,1,IF(2=life_fac,0.5,0))+Sens!F13731*IF(1&lt;life_fac,1,IF(1=life_fac,0.5,0))+Sens!G13731*0.5)/life_fac</f>
        <v>3.9814208</v>
      </c>
      <c r="H13736" s="6" t="n">
        <f aca="false">(Sens!C13731*IF(5&lt;life_fac,1,IF(5=life_fac,0.5,0))+Sens!D13731*IF(4&lt;life_fac,1,IF(4=life_fac,0.5,0))+Sens!E13731*IF(3&lt;life_fac,1,IF(3=life_fac,0.5,0))+Sens!F13731*IF(2&lt;life_fac,1,IF(2=life_fac,0.5,0))+Sens!G13731*IF(1&lt;life_fac,1,IF(1=life_fac,0.5,0))+Sens!H13731*0.5)/life_fac</f>
        <v>5.582402</v>
      </c>
      <c r="I13736" s="6" t="n">
        <f aca="false">(Sens!C13731*IF(6&lt;life_fac,1,IF(6=life_fac,0.5,0))+Sens!D13731*IF(5&lt;life_fac,1,IF(5=life_fac,0.5,0))+Sens!E13731*IF(4&lt;life_fac,1,IF(4=life_fac,0.5,0))+Sens!F13731*IF(3&lt;life_fac,1,IF(3=life_fac,0.5,0))+Sens!G13731*IF(2&lt;life_fac,1,IF(2=life_fac,0.5,0))+Sens!H13731*IF(1&lt;life_fac,1,IF(1=life_fac,0.5,0))+Sens!I13731*0.5)/life_fac</f>
        <v>6.950862093</v>
      </c>
      <c r="J13736" s="6" t="n">
        <f aca="false">(Sens!C13731*IF(7&lt;life_fac,1,IF(7=life_fac,0.5,0))+Sens!D13731*IF(6&lt;life_fac,1,IF(6=life_fac,0.5,0))+Sens!E13731*IF(5&lt;life_fac,1,IF(5=life_fac,0.5,0))+Sens!F13731*IF(4&lt;life_fac,1,IF(4=life_fac,0.5,0))+Sens!G13731*IF(3&lt;life_fac,1,IF(3=life_fac,0.5,0))+Sens!H13731*IF(2&lt;life_fac,1,IF(2=life_fac,0.5,0))+Sens!I13731*IF(1&lt;life_fac,1,IF(1=life_fac,0.5,0))+Sens!J13731*0.5)/life_fac</f>
        <v>7.86563936186</v>
      </c>
      <c r="K13736" s="6" t="n">
        <f aca="false">(Sens!C13731*IF(8&lt;life_fac,1,IF(8=life_fac,0.5,0))+Sens!D13731*IF(7&lt;life_fac,1,IF(7=life_fac,0.5,0))+Sens!E13731*IF(6&lt;life_fac,1,IF(6=life_fac,0.5,0))+Sens!F13731*IF(5&lt;life_fac,1,IF(5=life_fac,0.5,0))+Sens!G13731*IF(4&lt;life_fac,1,IF(4=life_fac,0.5,0))+Sens!H13731*IF(3&lt;life_fac,1,IF(3=life_fac,0.5,0))+Sens!I13731*IF(2&lt;life_fac,1,IF(2=life_fac,0.5,0))+Sens!J13731*IF(1&lt;life_fac,1,IF(1=life_fac,0.5,0))+Sens!K13731*0.5)/life_fac</f>
        <v>8.3428177347858</v>
      </c>
    </row>
    <row r="13737" customFormat="false" ht="17.15" hidden="false" customHeight="false" outlineLevel="0" collapsed="false">
      <c r="A13737" s="0" t="s">
        <v>854</v>
      </c>
      <c r="B13737" s="0" t="s">
        <v>98</v>
      </c>
      <c r="E13737" s="6" t="n">
        <f aca="false">Sens!E13735+Sens!E13736</f>
        <v>16.3054059770833</v>
      </c>
      <c r="F13737" s="6" t="n">
        <f aca="false">Sens!F13735+Sens!F13736</f>
        <v>34.0498873809555</v>
      </c>
      <c r="G13737" s="6" t="n">
        <f aca="false">Sens!G13735+Sens!G13736</f>
        <v>59.1254371105111</v>
      </c>
      <c r="H13737" s="6" t="n">
        <f aca="false">Sens!H13735+Sens!H13736</f>
        <v>86.3610198433111</v>
      </c>
      <c r="I13737" s="6" t="n">
        <f aca="false">Sens!I13735+Sens!I13736</f>
        <v>110.605743832393</v>
      </c>
      <c r="J13737" s="6" t="n">
        <f aca="false">Sens!J13735+Sens!J13736</f>
        <v>127.998322852843</v>
      </c>
      <c r="K13737" s="6" t="n">
        <f aca="false">Sens!K13735+Sens!K13736</f>
        <v>139.131464044308</v>
      </c>
    </row>
    <row r="13738" customFormat="false" ht="17.15" hidden="false" customHeight="false" outlineLevel="0" collapsed="false">
      <c r="A13738" s="0" t="s">
        <v>855</v>
      </c>
      <c r="B13738" s="0" t="s">
        <v>98</v>
      </c>
      <c r="E13738" s="6" t="n">
        <f aca="false">Sens!E13726-Sens!E13725*Sens!E13737</f>
        <v>8.92707889977379</v>
      </c>
      <c r="F13738" s="6" t="n">
        <f aca="false">Sens!F13726-Sens!F13725*Sens!F13737</f>
        <v>-9.32533901850594</v>
      </c>
      <c r="G13738" s="6" t="n">
        <f aca="false">Sens!G13726-Sens!G13725*Sens!G13737</f>
        <v>-18.7545777371706</v>
      </c>
      <c r="H13738" s="6" t="n">
        <f aca="false">Sens!H13726-Sens!H13725*Sens!H13737</f>
        <v>-31.4032342405884</v>
      </c>
      <c r="I13738" s="6" t="n">
        <f aca="false">Sens!I13726-Sens!I13725*Sens!I13737</f>
        <v>-39.216955740349</v>
      </c>
      <c r="J13738" s="6" t="n">
        <f aca="false">Sens!J13726-Sens!J13725*Sens!J13737</f>
        <v>-44.7657670934203</v>
      </c>
      <c r="K13738" s="6" t="n">
        <f aca="false">Sens!K13726-Sens!K13725*Sens!K13737</f>
        <v>-47.9138402443698</v>
      </c>
    </row>
    <row r="13739" customFormat="false" ht="17.15" hidden="false" customHeight="false" outlineLevel="0" collapsed="false">
      <c r="A13739" s="3" t="s">
        <v>1610</v>
      </c>
    </row>
    <row r="13740" customFormat="false" ht="15" hidden="false" customHeight="false" outlineLevel="0" collapsed="false">
      <c r="A13740" s="4" t="s">
        <v>43</v>
      </c>
      <c r="B13740" s="4" t="s">
        <v>65</v>
      </c>
      <c r="C13740" s="20" t="s">
        <v>799</v>
      </c>
      <c r="D13740" s="20" t="s">
        <v>800</v>
      </c>
      <c r="E13740" s="20" t="s">
        <v>801</v>
      </c>
      <c r="F13740" s="20" t="s">
        <v>802</v>
      </c>
      <c r="G13740" s="20" t="s">
        <v>803</v>
      </c>
      <c r="H13740" s="20" t="s">
        <v>804</v>
      </c>
      <c r="I13740" s="20" t="s">
        <v>805</v>
      </c>
      <c r="J13740" s="20" t="s">
        <v>806</v>
      </c>
      <c r="K13740" s="20" t="s">
        <v>807</v>
      </c>
      <c r="L13740" s="4" t="s">
        <v>47</v>
      </c>
    </row>
    <row r="13741" customFormat="false" ht="17.15" hidden="false" customHeight="false" outlineLevel="0" collapsed="false">
      <c r="A13741" s="0" t="s">
        <v>874</v>
      </c>
      <c r="B13741" s="0" t="s">
        <v>98</v>
      </c>
      <c r="D13741" s="6" t="n">
        <f aca="false">Sens!D13720</f>
        <v>12.9359794422418</v>
      </c>
      <c r="E13741" s="6" t="n">
        <f aca="false">Sens!E13720</f>
        <v>27.8095064661409</v>
      </c>
      <c r="F13741" s="6" t="n">
        <f aca="false">Sens!F13720</f>
        <v>26.709159235832</v>
      </c>
      <c r="G13741" s="6" t="n">
        <f aca="false">Sens!G13720</f>
        <v>39.6184712903838</v>
      </c>
      <c r="H13741" s="6" t="n">
        <f aca="false">Sens!H13720</f>
        <v>50.0293634184132</v>
      </c>
      <c r="I13741" s="6" t="n">
        <f aca="false">Sens!I13720</f>
        <v>62.5823598067833</v>
      </c>
      <c r="J13741" s="6" t="n">
        <f aca="false">Sens!J13720</f>
        <v>71.4395282339966</v>
      </c>
      <c r="K13741" s="6" t="n">
        <f aca="false">Sens!K13720</f>
        <v>77.2401578124467</v>
      </c>
    </row>
    <row r="13742" customFormat="false" ht="17.15" hidden="false" customHeight="false" outlineLevel="0" collapsed="false">
      <c r="A13742" s="0" t="s">
        <v>875</v>
      </c>
      <c r="B13742" s="0" t="s">
        <v>98</v>
      </c>
      <c r="D13742" s="6" t="n">
        <f aca="false">Q!L6-Sens!D13741</f>
        <v>59.6740205577583</v>
      </c>
      <c r="E13742" s="6" t="n">
        <f aca="false">Q!M6-Sens!E13741</f>
        <v>74.1284935338591</v>
      </c>
      <c r="F13742" s="6" t="n">
        <f aca="false">Sens!E13742*(1+Sens!F13743)</f>
        <v>90.0799497373663</v>
      </c>
      <c r="G13742" s="6" t="n">
        <f aca="false">Sens!F13742*(1+Sens!G13743)</f>
        <v>107.02842520331</v>
      </c>
      <c r="H13742" s="6" t="n">
        <f aca="false">Sens!G13742*(1+Sens!H13743)</f>
        <v>124.271982585636</v>
      </c>
      <c r="I13742" s="6" t="n">
        <f aca="false">Sens!H13742*(1+Sens!I13743)</f>
        <v>140.933702381855</v>
      </c>
      <c r="J13742" s="6" t="n">
        <f aca="false">Sens!I13742*(1+Sens!J13743)</f>
        <v>156.018867314332</v>
      </c>
      <c r="K13742" s="6" t="n">
        <f aca="false">Sens!J13742*(1+Sens!K13743)</f>
        <v>168.500376699478</v>
      </c>
    </row>
    <row r="13743" customFormat="false" ht="15" hidden="false" customHeight="false" outlineLevel="0" collapsed="false">
      <c r="A13743" s="1" t="s">
        <v>876</v>
      </c>
      <c r="B13743" s="0" t="s">
        <v>129</v>
      </c>
      <c r="E13743" s="7" t="n">
        <f aca="false">Sens!E13742/Sens!D13742-1</f>
        <v>0.242223883039864</v>
      </c>
      <c r="F13743" s="7" t="n">
        <f aca="false">Sens!$E$13743+(glt_azo-Sens!$E$13743)*MIN(1,(Sens!F13703-base_fy)/n_conv)</f>
        <v>0.215186569199887</v>
      </c>
      <c r="G13743" s="7" t="n">
        <f aca="false">Sens!$E$13743+(glt_azo-Sens!$E$13743)*MIN(1,(Sens!G13703-base_fy)/n_conv)</f>
        <v>0.18814925535991</v>
      </c>
      <c r="H13743" s="7" t="n">
        <f aca="false">Sens!$E$13743+(glt_azo-Sens!$E$13743)*MIN(1,(Sens!H13703-base_fy)/n_conv)</f>
        <v>0.161111941519932</v>
      </c>
      <c r="I13743" s="7" t="n">
        <f aca="false">Sens!$E$13743+(glt_azo-Sens!$E$13743)*MIN(1,(Sens!I13703-base_fy)/n_conv)</f>
        <v>0.134074627679955</v>
      </c>
      <c r="J13743" s="7" t="n">
        <f aca="false">Sens!$E$13743+(glt_azo-Sens!$E$13743)*MIN(1,(Sens!J13703-base_fy)/n_conv)</f>
        <v>0.107037313839977</v>
      </c>
      <c r="K13743" s="7" t="n">
        <f aca="false">Sens!$E$13743+(glt_azo-Sens!$E$13743)*MIN(1,(Sens!K13703-base_fy)/n_conv)</f>
        <v>0.08</v>
      </c>
    </row>
    <row r="13744" customFormat="false" ht="15" hidden="false" customHeight="false" outlineLevel="0" collapsed="false">
      <c r="A13744" s="0" t="s">
        <v>877</v>
      </c>
      <c r="B13744" s="0" t="s">
        <v>98</v>
      </c>
      <c r="D13744" s="6" t="n">
        <f aca="false">Sens!D13741+Sens!D13742</f>
        <v>72.61</v>
      </c>
      <c r="E13744" s="6" t="n">
        <f aca="false">Sens!E13741+Sens!E13742</f>
        <v>101.938</v>
      </c>
      <c r="F13744" s="6" t="n">
        <f aca="false">Sens!F13741+Sens!F13742</f>
        <v>116.789108973198</v>
      </c>
      <c r="G13744" s="6" t="n">
        <f aca="false">Sens!G13741+Sens!G13742</f>
        <v>146.646896493694</v>
      </c>
      <c r="H13744" s="6" t="n">
        <f aca="false">Sens!H13741+Sens!H13742</f>
        <v>174.301346004049</v>
      </c>
      <c r="I13744" s="6" t="n">
        <f aca="false">Sens!I13741+Sens!I13742</f>
        <v>203.516062188638</v>
      </c>
      <c r="J13744" s="6" t="n">
        <f aca="false">Sens!J13741+Sens!J13742</f>
        <v>227.458395548328</v>
      </c>
      <c r="K13744" s="6" t="n">
        <f aca="false">Sens!K13741+Sens!K13742</f>
        <v>245.740534511925</v>
      </c>
    </row>
    <row r="13745" customFormat="false" ht="17.15" hidden="false" customHeight="false" outlineLevel="0" collapsed="false">
      <c r="A13745" s="0" t="s">
        <v>878</v>
      </c>
      <c r="B13745" s="1" t="s">
        <v>528</v>
      </c>
      <c r="C13745" s="29" t="n">
        <f aca="false">cop_s24</f>
        <v>1</v>
      </c>
      <c r="D13745" s="29" t="n">
        <f aca="false">cop_s25</f>
        <v>5</v>
      </c>
      <c r="E13745" s="29" t="n">
        <f aca="false">cop_s26</f>
        <v>30</v>
      </c>
      <c r="F13745" s="29" t="n">
        <f aca="false">Sens!E13745+cop_add_C</f>
        <v>40</v>
      </c>
      <c r="G13745" s="29" t="n">
        <f aca="false">Sens!F13745+cop_add_C</f>
        <v>50</v>
      </c>
      <c r="H13745" s="29" t="n">
        <f aca="false">Sens!G13745+cop_add_C</f>
        <v>60</v>
      </c>
      <c r="I13745" s="29" t="n">
        <f aca="false">Sens!H13745+cop_add_C*cop_tail</f>
        <v>65</v>
      </c>
      <c r="J13745" s="29" t="n">
        <f aca="false">Sens!I13745+cop_add_C*cop_tail</f>
        <v>70</v>
      </c>
      <c r="K13745" s="29" t="n">
        <f aca="false">Sens!J13745+cop_add_C*cop_tail</f>
        <v>75</v>
      </c>
      <c r="L13745" s="11" t="s">
        <v>879</v>
      </c>
    </row>
    <row r="13746" customFormat="false" ht="17.15" hidden="false" customHeight="false" outlineLevel="0" collapsed="false">
      <c r="A13746" s="0" t="s">
        <v>880</v>
      </c>
      <c r="B13746" s="0" t="s">
        <v>98</v>
      </c>
      <c r="D13746" s="6" t="n">
        <f aca="false">(Sens!C13745+Sens!D13745)/2*cop_px*12/1000</f>
        <v>0.9</v>
      </c>
      <c r="E13746" s="6" t="n">
        <f aca="false">(Sens!D13745+Sens!E13745)/2*cop_px*12/1000</f>
        <v>5.25</v>
      </c>
      <c r="F13746" s="6" t="n">
        <f aca="false">(Sens!E13745+Sens!F13745)/2*cop_px*12/1000</f>
        <v>10.5</v>
      </c>
      <c r="G13746" s="6" t="n">
        <f aca="false">(Sens!F13745+Sens!G13745)/2*cop_px*12/1000</f>
        <v>13.5</v>
      </c>
      <c r="H13746" s="6" t="n">
        <f aca="false">(Sens!G13745+Sens!H13745)/2*cop_px*12/1000</f>
        <v>16.5</v>
      </c>
      <c r="I13746" s="6" t="n">
        <f aca="false">(Sens!H13745+Sens!I13745)/2*cop_px*12/1000</f>
        <v>18.75</v>
      </c>
      <c r="J13746" s="6" t="n">
        <f aca="false">(Sens!I13745+Sens!J13745)/2*cop_px*12/1000</f>
        <v>20.25</v>
      </c>
      <c r="K13746" s="6" t="n">
        <f aca="false">(Sens!J13745+Sens!K13745)/2*cop_px*12/1000</f>
        <v>21.75</v>
      </c>
      <c r="L13746" s="1" t="s">
        <v>881</v>
      </c>
    </row>
    <row r="13747" customFormat="false" ht="17.15" hidden="false" customHeight="false" outlineLevel="0" collapsed="false">
      <c r="A13747" s="0" t="s">
        <v>882</v>
      </c>
      <c r="B13747" s="0" t="s">
        <v>98</v>
      </c>
      <c r="D13747" s="6" t="n">
        <f aca="false">Q!L7-Sens!D13746</f>
        <v>83.705</v>
      </c>
      <c r="E13747" s="6" t="n">
        <f aca="false">Q!M7-Sens!E13746</f>
        <v>95.049</v>
      </c>
      <c r="F13747" s="6" t="n">
        <f aca="false">Sens!E13747*(1+Sens!F13748)</f>
        <v>106.89238776686</v>
      </c>
      <c r="G13747" s="6" t="n">
        <f aca="false">Sens!F13747*(1+Sens!G13748)</f>
        <v>119.044168448684</v>
      </c>
      <c r="H13747" s="6" t="n">
        <f aca="false">Sens!G13747*(1+Sens!H13748)</f>
        <v>131.277359388781</v>
      </c>
      <c r="I13747" s="6" t="n">
        <f aca="false">Sens!H13747*(1+Sens!I13748)</f>
        <v>143.334028071957</v>
      </c>
      <c r="J13747" s="6" t="n">
        <f aca="false">Sens!I13747*(1+Sens!J13748)</f>
        <v>154.932702785465</v>
      </c>
      <c r="K13747" s="6" t="n">
        <f aca="false">Sens!J13747*(1+Sens!K13748)</f>
        <v>165.777991980448</v>
      </c>
    </row>
    <row r="13748" customFormat="false" ht="15" hidden="false" customHeight="false" outlineLevel="0" collapsed="false">
      <c r="A13748" s="1" t="s">
        <v>876</v>
      </c>
      <c r="B13748" s="0" t="s">
        <v>129</v>
      </c>
      <c r="E13748" s="7" t="n">
        <f aca="false">Sens!E13747/Sens!D13747-1</f>
        <v>0.135523564900544</v>
      </c>
      <c r="F13748" s="7" t="n">
        <f aca="false">Sens!$E$13748+(glt_m365b-Sens!$E$13748)*MIN(1,(Sens!F13703-base_fy)/n_conv)</f>
        <v>0.124602970750453</v>
      </c>
      <c r="G13748" s="7" t="n">
        <f aca="false">Sens!$E$13748+(glt_m365b-Sens!$E$13748)*MIN(1,(Sens!G13703-base_fy)/n_conv)</f>
        <v>0.113682376600363</v>
      </c>
      <c r="H13748" s="7" t="n">
        <f aca="false">Sens!$E$13748+(glt_m365b-Sens!$E$13748)*MIN(1,(Sens!H13703-base_fy)/n_conv)</f>
        <v>0.102761782450272</v>
      </c>
      <c r="I13748" s="7" t="n">
        <f aca="false">Sens!$E$13748+(glt_m365b-Sens!$E$13748)*MIN(1,(Sens!I13703-base_fy)/n_conv)</f>
        <v>0.0918411883001813</v>
      </c>
      <c r="J13748" s="7" t="n">
        <f aca="false">Sens!$E$13748+(glt_m365b-Sens!$E$13748)*MIN(1,(Sens!J13703-base_fy)/n_conv)</f>
        <v>0.0809205941500906</v>
      </c>
      <c r="K13748" s="7" t="n">
        <f aca="false">Sens!$E$13748+(glt_m365b-Sens!$E$13748)*MIN(1,(Sens!K13703-base_fy)/n_conv)</f>
        <v>0.07</v>
      </c>
    </row>
    <row r="13749" customFormat="false" ht="15" hidden="false" customHeight="false" outlineLevel="0" collapsed="false">
      <c r="A13749" s="0" t="s">
        <v>883</v>
      </c>
      <c r="B13749" s="0" t="s">
        <v>98</v>
      </c>
      <c r="D13749" s="6" t="n">
        <f aca="false">Sens!D13747+Sens!D13746</f>
        <v>84.605</v>
      </c>
      <c r="E13749" s="6" t="n">
        <f aca="false">Sens!E13747+Sens!E13746</f>
        <v>100.299</v>
      </c>
      <c r="F13749" s="6" t="n">
        <f aca="false">Sens!F13747+Sens!F13746</f>
        <v>117.39238776686</v>
      </c>
      <c r="G13749" s="6" t="n">
        <f aca="false">Sens!G13747+Sens!G13746</f>
        <v>132.544168448684</v>
      </c>
      <c r="H13749" s="6" t="n">
        <f aca="false">Sens!H13747+Sens!H13746</f>
        <v>147.777359388781</v>
      </c>
      <c r="I13749" s="6" t="n">
        <f aca="false">Sens!I13747+Sens!I13746</f>
        <v>162.084028071957</v>
      </c>
      <c r="J13749" s="6" t="n">
        <f aca="false">Sens!J13747+Sens!J13746</f>
        <v>175.182702785465</v>
      </c>
      <c r="K13749" s="6" t="n">
        <f aca="false">Sens!K13747+Sens!K13746</f>
        <v>187.527991980448</v>
      </c>
    </row>
    <row r="13750" customFormat="false" ht="15" hidden="false" customHeight="false" outlineLevel="0" collapsed="false">
      <c r="A13750" s="0" t="s">
        <v>884</v>
      </c>
      <c r="B13750" s="0" t="s">
        <v>98</v>
      </c>
      <c r="D13750" s="6" t="n">
        <f aca="false">Q!L8</f>
        <v>35.391</v>
      </c>
      <c r="E13750" s="6" t="n">
        <f aca="false">Q!M8</f>
        <v>37.285</v>
      </c>
      <c r="F13750" s="6" t="n">
        <f aca="false">Sens!E13750*(1+Sens!F13751)</f>
        <v>39.0720834331704</v>
      </c>
      <c r="G13750" s="6" t="n">
        <f aca="false">Sens!F13750*(1+Sens!G13751)</f>
        <v>40.726562953769</v>
      </c>
      <c r="H13750" s="6" t="n">
        <f aca="false">Sens!G13750*(1+Sens!H13751)</f>
        <v>42.2235987259198</v>
      </c>
      <c r="I13750" s="6" t="n">
        <f aca="false">Sens!H13750*(1+Sens!I13751)</f>
        <v>43.5397988077414</v>
      </c>
      <c r="J13750" s="6" t="n">
        <f aca="false">Sens!I13750*(1+Sens!J13751)</f>
        <v>44.653811225693</v>
      </c>
      <c r="K13750" s="6" t="n">
        <f aca="false">Sens!J13750*(1+Sens!K13751)</f>
        <v>45.5468874502068</v>
      </c>
    </row>
    <row r="13751" customFormat="false" ht="15" hidden="false" customHeight="false" outlineLevel="0" collapsed="false">
      <c r="A13751" s="1" t="s">
        <v>876</v>
      </c>
      <c r="B13751" s="0" t="s">
        <v>129</v>
      </c>
      <c r="E13751" s="7" t="n">
        <f aca="false">Sens!E13750/Sens!D13750-1</f>
        <v>0.0535164307309768</v>
      </c>
      <c r="F13751" s="7" t="n">
        <f aca="false">Sens!$E$13751+(glt_lic-Sens!$E$13751)*MIN(1,(Sens!F13703-base_fy)/n_conv)</f>
        <v>0.0479303589424807</v>
      </c>
      <c r="G13751" s="7" t="n">
        <f aca="false">Sens!$E$13751+(glt_lic-Sens!$E$13751)*MIN(1,(Sens!G13703-base_fy)/n_conv)</f>
        <v>0.0423442871539845</v>
      </c>
      <c r="H13751" s="7" t="n">
        <f aca="false">Sens!$E$13751+(glt_lic-Sens!$E$13751)*MIN(1,(Sens!H13703-base_fy)/n_conv)</f>
        <v>0.0367582153654884</v>
      </c>
      <c r="I13751" s="7" t="n">
        <f aca="false">Sens!$E$13751+(glt_lic-Sens!$E$13751)*MIN(1,(Sens!I13703-base_fy)/n_conv)</f>
        <v>0.0311721435769923</v>
      </c>
      <c r="J13751" s="7" t="n">
        <f aca="false">Sens!$E$13751+(glt_lic-Sens!$E$13751)*MIN(1,(Sens!J13703-base_fy)/n_conv)</f>
        <v>0.0255860717884961</v>
      </c>
      <c r="K13751" s="7" t="n">
        <f aca="false">Sens!$E$13751+(glt_lic-Sens!$E$13751)*MIN(1,(Sens!K13703-base_fy)/n_conv)</f>
        <v>0.02</v>
      </c>
    </row>
    <row r="13752" customFormat="false" ht="15" hidden="false" customHeight="false" outlineLevel="0" collapsed="false">
      <c r="A13752" s="0" t="s">
        <v>885</v>
      </c>
      <c r="B13752" s="0" t="s">
        <v>98</v>
      </c>
      <c r="D13752" s="6" t="n">
        <f aca="false">Q!L9</f>
        <v>18.417</v>
      </c>
      <c r="E13752" s="6" t="n">
        <f aca="false">Q!M9</f>
        <v>20.345</v>
      </c>
      <c r="F13752" s="6" t="n">
        <f aca="false">Sens!E13752*(1+Sens!F13753)</f>
        <v>22.3572203267814</v>
      </c>
      <c r="G13752" s="6" t="n">
        <f aca="false">Sens!F13752*(1+Sens!G13753)</f>
        <v>24.4392124437232</v>
      </c>
      <c r="H13752" s="6" t="n">
        <f aca="false">Sens!G13752*(1+Sens!H13753)</f>
        <v>26.5738052080665</v>
      </c>
      <c r="I13752" s="6" t="n">
        <f aca="false">Sens!H13752*(1+Sens!I13753)</f>
        <v>28.7412169166967</v>
      </c>
      <c r="J13752" s="6" t="n">
        <f aca="false">Sens!I13752*(1+Sens!J13753)</f>
        <v>30.9192545395413</v>
      </c>
      <c r="K13752" s="6" t="n">
        <f aca="false">Sens!J13752*(1+Sens!K13753)</f>
        <v>33.0836023573092</v>
      </c>
    </row>
    <row r="13753" customFormat="false" ht="15" hidden="false" customHeight="false" outlineLevel="0" collapsed="false">
      <c r="A13753" s="1" t="s">
        <v>876</v>
      </c>
      <c r="B13753" s="0" t="s">
        <v>129</v>
      </c>
      <c r="E13753" s="7" t="n">
        <f aca="false">Sens!E13752/Sens!D13752-1</f>
        <v>0.104685888038225</v>
      </c>
      <c r="F13753" s="7" t="n">
        <f aca="false">Sens!$E$13753+(glt_ind-Sens!$E$13753)*MIN(1,(Sens!F13703-base_fy)/n_conv)</f>
        <v>0.0989049066985211</v>
      </c>
      <c r="G13753" s="7" t="n">
        <f aca="false">Sens!$E$13753+(glt_ind-Sens!$E$13753)*MIN(1,(Sens!G13703-base_fy)/n_conv)</f>
        <v>0.0931239253588169</v>
      </c>
      <c r="H13753" s="7" t="n">
        <f aca="false">Sens!$E$13753+(glt_ind-Sens!$E$13753)*MIN(1,(Sens!H13703-base_fy)/n_conv)</f>
        <v>0.0873429440191127</v>
      </c>
      <c r="I13753" s="7" t="n">
        <f aca="false">Sens!$E$13753+(glt_ind-Sens!$E$13753)*MIN(1,(Sens!I13703-base_fy)/n_conv)</f>
        <v>0.0815619626794085</v>
      </c>
      <c r="J13753" s="7" t="n">
        <f aca="false">Sens!$E$13753+(glt_ind-Sens!$E$13753)*MIN(1,(Sens!J13703-base_fy)/n_conv)</f>
        <v>0.0757809813397042</v>
      </c>
      <c r="K13753" s="7" t="n">
        <f aca="false">Sens!$E$13753+(glt_ind-Sens!$E$13753)*MIN(1,(Sens!K13703-base_fy)/n_conv)</f>
        <v>0.07</v>
      </c>
    </row>
    <row r="13754" customFormat="false" ht="15" hidden="false" customHeight="false" outlineLevel="0" collapsed="false">
      <c r="A13754" s="0" t="s">
        <v>886</v>
      </c>
      <c r="B13754" s="0" t="s">
        <v>98</v>
      </c>
      <c r="D13754" s="6" t="n">
        <f aca="false">Q!L10</f>
        <v>7.76</v>
      </c>
      <c r="E13754" s="6" t="n">
        <f aca="false">Q!M10</f>
        <v>8.26</v>
      </c>
      <c r="F13754" s="6" t="n">
        <f aca="false">Sens!E13754*(1+Sens!F13755)</f>
        <v>8.79988041237113</v>
      </c>
      <c r="G13754" s="6" t="n">
        <f aca="false">Sens!F13754*(1+Sens!G13755)</f>
        <v>9.38321269125306</v>
      </c>
      <c r="H13754" s="6" t="n">
        <f aca="false">Sens!G13754*(1+Sens!H13755)</f>
        <v>10.0139193587476</v>
      </c>
      <c r="I13754" s="6" t="n">
        <f aca="false">Sens!H13754*(1+Sens!I13755)</f>
        <v>10.6963111830911</v>
      </c>
      <c r="J13754" s="6" t="n">
        <f aca="false">Sens!I13754*(1+Sens!J13755)</f>
        <v>11.4351285534696</v>
      </c>
      <c r="K13754" s="6" t="n">
        <f aca="false">Sens!J13754*(1+Sens!K13755)</f>
        <v>12.2355875522124</v>
      </c>
    </row>
    <row r="13755" customFormat="false" ht="15" hidden="false" customHeight="false" outlineLevel="0" collapsed="false">
      <c r="A13755" s="1" t="s">
        <v>876</v>
      </c>
      <c r="B13755" s="0" t="s">
        <v>129</v>
      </c>
      <c r="E13755" s="7" t="n">
        <f aca="false">Sens!E13754/Sens!D13754-1</f>
        <v>0.0644329896907216</v>
      </c>
      <c r="F13755" s="7" t="n">
        <f aca="false">Sens!$E$13755+(glt_fro-Sens!$E$13755)*MIN(1,(Sens!F13703-base_fy)/n_conv)</f>
        <v>0.065360824742268</v>
      </c>
      <c r="G13755" s="7" t="n">
        <f aca="false">Sens!$E$13755+(glt_fro-Sens!$E$13755)*MIN(1,(Sens!G13703-base_fy)/n_conv)</f>
        <v>0.0662886597938144</v>
      </c>
      <c r="H13755" s="7" t="n">
        <f aca="false">Sens!$E$13755+(glt_fro-Sens!$E$13755)*MIN(1,(Sens!H13703-base_fy)/n_conv)</f>
        <v>0.0672164948453608</v>
      </c>
      <c r="I13755" s="7" t="n">
        <f aca="false">Sens!$E$13755+(glt_fro-Sens!$E$13755)*MIN(1,(Sens!I13703-base_fy)/n_conv)</f>
        <v>0.0681443298969072</v>
      </c>
      <c r="J13755" s="7" t="n">
        <f aca="false">Sens!$E$13755+(glt_fro-Sens!$E$13755)*MIN(1,(Sens!J13703-base_fy)/n_conv)</f>
        <v>0.0690721649484536</v>
      </c>
      <c r="K13755" s="7" t="n">
        <f aca="false">Sens!$E$13755+(glt_fro-Sens!$E$13755)*MIN(1,(Sens!K13703-base_fy)/n_conv)</f>
        <v>0.07</v>
      </c>
    </row>
    <row r="13756" customFormat="false" ht="15" hidden="false" customHeight="false" outlineLevel="0" collapsed="false">
      <c r="A13756" s="0" t="s">
        <v>715</v>
      </c>
      <c r="B13756" s="0" t="s">
        <v>98</v>
      </c>
      <c r="D13756" s="6" t="n">
        <f aca="false">Sens!D13744+Sens!D13749+Sens!D13750+Sens!D13752+Sens!D13754</f>
        <v>218.783</v>
      </c>
      <c r="E13756" s="6" t="n">
        <f aca="false">Sens!E13744+Sens!E13749+Sens!E13750+Sens!E13752+Sens!E13754</f>
        <v>268.127</v>
      </c>
      <c r="F13756" s="6" t="n">
        <f aca="false">Sens!F13744+Sens!F13749+Sens!F13750+Sens!F13752+Sens!F13754</f>
        <v>304.410680912381</v>
      </c>
      <c r="G13756" s="6" t="n">
        <f aca="false">Sens!G13744+Sens!G13749+Sens!G13750+Sens!G13752+Sens!G13754</f>
        <v>353.740053031123</v>
      </c>
      <c r="H13756" s="6" t="n">
        <f aca="false">Sens!H13744+Sens!H13749+Sens!H13750+Sens!H13752+Sens!H13754</f>
        <v>400.890028685564</v>
      </c>
      <c r="I13756" s="6" t="n">
        <f aca="false">Sens!I13744+Sens!I13749+Sens!I13750+Sens!I13752+Sens!I13754</f>
        <v>448.577417168124</v>
      </c>
      <c r="J13756" s="6" t="n">
        <f aca="false">Sens!J13744+Sens!J13749+Sens!J13750+Sens!J13752+Sens!J13754</f>
        <v>489.649292652497</v>
      </c>
      <c r="K13756" s="6" t="n">
        <f aca="false">Sens!K13744+Sens!K13749+Sens!K13750+Sens!K13752+Sens!K13754</f>
        <v>524.134603852101</v>
      </c>
    </row>
    <row r="13757" customFormat="false" ht="15" hidden="false" customHeight="false" outlineLevel="0" collapsed="false">
      <c r="A13757" s="0" t="s">
        <v>887</v>
      </c>
      <c r="B13757" s="0" t="s">
        <v>98</v>
      </c>
      <c r="D13757" s="6" t="n">
        <f aca="false">Q!L13</f>
        <v>22.171</v>
      </c>
      <c r="E13757" s="6" t="n">
        <f aca="false">Q!M13</f>
        <v>24.835</v>
      </c>
      <c r="F13757" s="6" t="n">
        <f aca="false">Sens!E13757*(1+Sens!F13758)</f>
        <v>27.6114901218559</v>
      </c>
      <c r="G13757" s="6" t="n">
        <f aca="false">Sens!F13757*(1+Sens!G13758)</f>
        <v>30.4675667338515</v>
      </c>
      <c r="H13757" s="6" t="n">
        <f aca="false">Sens!G13757*(1+Sens!H13758)</f>
        <v>33.3643766955789</v>
      </c>
      <c r="I13757" s="6" t="n">
        <f aca="false">Sens!H13757*(1+Sens!I13758)</f>
        <v>36.2577016533691</v>
      </c>
      <c r="J13757" s="6" t="n">
        <f aca="false">Sens!I13757*(1+Sens!J13758)</f>
        <v>39.0988367952171</v>
      </c>
      <c r="K13757" s="6" t="n">
        <f aca="false">Sens!J13757*(1+Sens!K13758)</f>
        <v>41.8357553708823</v>
      </c>
    </row>
    <row r="13758" customFormat="false" ht="15" hidden="false" customHeight="false" outlineLevel="0" collapsed="false">
      <c r="A13758" s="1" t="s">
        <v>876</v>
      </c>
      <c r="B13758" s="0" t="s">
        <v>129</v>
      </c>
      <c r="E13758" s="7" t="n">
        <f aca="false">Sens!E13757/Sens!D13757-1</f>
        <v>0.120156961796942</v>
      </c>
      <c r="F13758" s="7" t="n">
        <f aca="false">Sens!$E$13758+(glt_srch-Sens!$E$13758)*MIN(1,(Sens!F13703-base_fy)/n_conv)</f>
        <v>0.111797468164118</v>
      </c>
      <c r="G13758" s="7" t="n">
        <f aca="false">Sens!$E$13758+(glt_srch-Sens!$E$13758)*MIN(1,(Sens!G13703-base_fy)/n_conv)</f>
        <v>0.103437974531295</v>
      </c>
      <c r="H13758" s="7" t="n">
        <f aca="false">Sens!$E$13758+(glt_srch-Sens!$E$13758)*MIN(1,(Sens!H13703-base_fy)/n_conv)</f>
        <v>0.095078480898471</v>
      </c>
      <c r="I13758" s="7" t="n">
        <f aca="false">Sens!$E$13758+(glt_srch-Sens!$E$13758)*MIN(1,(Sens!I13703-base_fy)/n_conv)</f>
        <v>0.0867189872656474</v>
      </c>
      <c r="J13758" s="7" t="n">
        <f aca="false">Sens!$E$13758+(glt_srch-Sens!$E$13758)*MIN(1,(Sens!J13703-base_fy)/n_conv)</f>
        <v>0.0783594936328237</v>
      </c>
      <c r="K13758" s="7" t="n">
        <f aca="false">Sens!$E$13758+(glt_srch-Sens!$E$13758)*MIN(1,(Sens!K13703-base_fy)/n_conv)</f>
        <v>0.07</v>
      </c>
    </row>
    <row r="13759" customFormat="false" ht="15" hidden="false" customHeight="false" outlineLevel="0" collapsed="false">
      <c r="A13759" s="0" t="s">
        <v>888</v>
      </c>
      <c r="B13759" s="0" t="s">
        <v>98</v>
      </c>
      <c r="D13759" s="6" t="n">
        <f aca="false">Q!L14</f>
        <v>23.455</v>
      </c>
      <c r="E13759" s="6" t="n">
        <f aca="false">Q!M14</f>
        <v>21.79</v>
      </c>
      <c r="F13759" s="6" t="n">
        <f aca="false">Sens!E13759*(1+Sens!F13760)</f>
        <v>20.5736277908051</v>
      </c>
      <c r="G13759" s="6" t="n">
        <f aca="false">Sens!F13759*(1+Sens!G13760)</f>
        <v>19.7371452817919</v>
      </c>
      <c r="H13759" s="6" t="n">
        <f aca="false">Sens!G13759*(1+Sens!H13760)</f>
        <v>19.2339764043138</v>
      </c>
      <c r="I13759" s="6" t="n">
        <f aca="false">Sens!H13759*(1+Sens!I13760)</f>
        <v>19.0353086852681</v>
      </c>
      <c r="J13759" s="6" t="n">
        <f aca="false">Sens!I13759*(1+Sens!J13760)</f>
        <v>19.1273539319129</v>
      </c>
      <c r="K13759" s="6" t="n">
        <f aca="false">Sens!J13759*(1+Sens!K13760)</f>
        <v>19.5099010105511</v>
      </c>
    </row>
    <row r="13760" customFormat="false" ht="15" hidden="false" customHeight="false" outlineLevel="0" collapsed="false">
      <c r="A13760" s="1" t="s">
        <v>876</v>
      </c>
      <c r="B13760" s="0" t="s">
        <v>129</v>
      </c>
      <c r="E13760" s="7" t="n">
        <f aca="false">Sens!E13759/Sens!D13759-1</f>
        <v>-0.0709869963760392</v>
      </c>
      <c r="F13760" s="7" t="n">
        <f aca="false">Sens!$E$13760+(glt_xbox-Sens!$E$13760)*MIN(1,(Sens!F13703-base_fy)/n_conv)</f>
        <v>-0.0558224969800327</v>
      </c>
      <c r="G13760" s="7" t="n">
        <f aca="false">Sens!$E$13760+(glt_xbox-Sens!$E$13760)*MIN(1,(Sens!G13703-base_fy)/n_conv)</f>
        <v>-0.0406579975840262</v>
      </c>
      <c r="H13760" s="7" t="n">
        <f aca="false">Sens!$E$13760+(glt_xbox-Sens!$E$13760)*MIN(1,(Sens!H13703-base_fy)/n_conv)</f>
        <v>-0.0254934981880196</v>
      </c>
      <c r="I13760" s="7" t="n">
        <f aca="false">Sens!$E$13760+(glt_xbox-Sens!$E$13760)*MIN(1,(Sens!I13703-base_fy)/n_conv)</f>
        <v>-0.0103289987920131</v>
      </c>
      <c r="J13760" s="7" t="n">
        <f aca="false">Sens!$E$13760+(glt_xbox-Sens!$E$13760)*MIN(1,(Sens!J13703-base_fy)/n_conv)</f>
        <v>0.00483550060399347</v>
      </c>
      <c r="K13760" s="7" t="n">
        <f aca="false">Sens!$E$13760+(glt_xbox-Sens!$E$13760)*MIN(1,(Sens!K13703-base_fy)/n_conv)</f>
        <v>0.02</v>
      </c>
    </row>
    <row r="13761" customFormat="false" ht="15" hidden="false" customHeight="false" outlineLevel="0" collapsed="false">
      <c r="A13761" s="0" t="s">
        <v>889</v>
      </c>
      <c r="B13761" s="0" t="s">
        <v>98</v>
      </c>
      <c r="D13761" s="6" t="n">
        <f aca="false">Q!L15</f>
        <v>17.315</v>
      </c>
      <c r="E13761" s="6" t="n">
        <f aca="false">Q!M15</f>
        <v>17.087</v>
      </c>
      <c r="F13761" s="6" t="n">
        <f aca="false">Sens!E13761*(1+Sens!F13762)</f>
        <v>16.9564585436519</v>
      </c>
      <c r="G13761" s="6" t="n">
        <f aca="false">Sens!F13761*(1+Sens!G13762)</f>
        <v>16.9206490624268</v>
      </c>
      <c r="H13761" s="6" t="n">
        <f aca="false">Sens!G13761*(1+Sens!H13762)</f>
        <v>16.9784519149849</v>
      </c>
      <c r="I13761" s="6" t="n">
        <f aca="false">Sens!H13761*(1+Sens!I13762)</f>
        <v>17.1303084701817</v>
      </c>
      <c r="J13761" s="6" t="n">
        <f aca="false">Sens!I13761*(1+Sens!J13762)</f>
        <v>17.3782189407267</v>
      </c>
      <c r="K13761" s="6" t="n">
        <f aca="false">Sens!J13761*(1+Sens!K13762)</f>
        <v>17.7257833195413</v>
      </c>
    </row>
    <row r="13762" customFormat="false" ht="15" hidden="false" customHeight="false" outlineLevel="0" collapsed="false">
      <c r="A13762" s="1" t="s">
        <v>876</v>
      </c>
      <c r="B13762" s="0" t="s">
        <v>129</v>
      </c>
      <c r="E13762" s="7" t="n">
        <f aca="false">Sens!E13761/Sens!D13761-1</f>
        <v>-0.0131677736066995</v>
      </c>
      <c r="F13762" s="7" t="n">
        <f aca="false">Sens!$E$13762+(glt_win-Sens!$E$13762)*MIN(1,(Sens!F13703-base_fy)/n_conv)</f>
        <v>-0.00763981133891627</v>
      </c>
      <c r="G13762" s="7" t="n">
        <f aca="false">Sens!$E$13762+(glt_win-Sens!$E$13762)*MIN(1,(Sens!G13703-base_fy)/n_conv)</f>
        <v>-0.00211184907113301</v>
      </c>
      <c r="H13762" s="7" t="n">
        <f aca="false">Sens!$E$13762+(glt_win-Sens!$E$13762)*MIN(1,(Sens!H13703-base_fy)/n_conv)</f>
        <v>0.00341611319665024</v>
      </c>
      <c r="I13762" s="7" t="n">
        <f aca="false">Sens!$E$13762+(glt_win-Sens!$E$13762)*MIN(1,(Sens!I13703-base_fy)/n_conv)</f>
        <v>0.00894407546443349</v>
      </c>
      <c r="J13762" s="7" t="n">
        <f aca="false">Sens!$E$13762+(glt_win-Sens!$E$13762)*MIN(1,(Sens!J13703-base_fy)/n_conv)</f>
        <v>0.0144720377322168</v>
      </c>
      <c r="K13762" s="7" t="n">
        <f aca="false">Sens!$E$13762+(glt_win-Sens!$E$13762)*MIN(1,(Sens!K13703-base_fy)/n_conv)</f>
        <v>0.02</v>
      </c>
    </row>
    <row r="13763" customFormat="false" ht="15" hidden="false" customHeight="false" outlineLevel="0" collapsed="false">
      <c r="A13763" s="0" t="s">
        <v>729</v>
      </c>
      <c r="B13763" s="0" t="s">
        <v>98</v>
      </c>
      <c r="D13763" s="6" t="n">
        <f aca="false">Sens!D13757+Sens!D13759+Sens!D13761</f>
        <v>62.941</v>
      </c>
      <c r="E13763" s="6" t="n">
        <f aca="false">Sens!E13757+Sens!E13759+Sens!E13761</f>
        <v>63.712</v>
      </c>
      <c r="F13763" s="6" t="n">
        <f aca="false">Sens!F13757+Sens!F13759+Sens!F13761</f>
        <v>65.1415764563129</v>
      </c>
      <c r="G13763" s="6" t="n">
        <f aca="false">Sens!G13757+Sens!G13759+Sens!G13761</f>
        <v>67.1253610780702</v>
      </c>
      <c r="H13763" s="6" t="n">
        <f aca="false">Sens!H13757+Sens!H13759+Sens!H13761</f>
        <v>69.5768050148776</v>
      </c>
      <c r="I13763" s="6" t="n">
        <f aca="false">Sens!I13757+Sens!I13759+Sens!I13761</f>
        <v>72.4233188088189</v>
      </c>
      <c r="J13763" s="6" t="n">
        <f aca="false">Sens!J13757+Sens!J13759+Sens!J13761</f>
        <v>75.6044096678567</v>
      </c>
      <c r="K13763" s="6" t="n">
        <f aca="false">Sens!K13757+Sens!K13759+Sens!K13761</f>
        <v>79.0714397009747</v>
      </c>
    </row>
    <row r="13764" customFormat="false" ht="15" hidden="false" customHeight="false" outlineLevel="0" collapsed="false">
      <c r="A13764" s="1" t="s">
        <v>890</v>
      </c>
      <c r="B13764" s="0" t="s">
        <v>98</v>
      </c>
      <c r="D13764" s="6" t="n">
        <f aca="false">Sens!D13756+Sens!D13763</f>
        <v>281.724</v>
      </c>
      <c r="E13764" s="6" t="n">
        <f aca="false">Sens!E13756+Sens!E13763</f>
        <v>331.839</v>
      </c>
      <c r="F13764" s="6" t="n">
        <f aca="false">Sens!F13756+Sens!F13763</f>
        <v>369.552257368694</v>
      </c>
      <c r="G13764" s="6" t="n">
        <f aca="false">Sens!G13756+Sens!G13763</f>
        <v>420.865414109193</v>
      </c>
      <c r="H13764" s="6" t="n">
        <f aca="false">Sens!H13756+Sens!H13763</f>
        <v>470.466833700442</v>
      </c>
      <c r="I13764" s="6" t="n">
        <f aca="false">Sens!I13756+Sens!I13763</f>
        <v>521.000735976943</v>
      </c>
      <c r="J13764" s="6" t="n">
        <f aca="false">Sens!J13756+Sens!J13763</f>
        <v>565.253702320354</v>
      </c>
      <c r="K13764" s="6" t="n">
        <f aca="false">Sens!K13756+Sens!K13763</f>
        <v>603.206043553076</v>
      </c>
    </row>
    <row r="13765" customFormat="false" ht="15" hidden="false" customHeight="false" outlineLevel="0" collapsed="false">
      <c r="A13765" s="23" t="s">
        <v>891</v>
      </c>
      <c r="B13765" s="30" t="s">
        <v>98</v>
      </c>
      <c r="C13765" s="30"/>
      <c r="D13765" s="24" t="n">
        <f aca="false">(Sens!D13744+Sens!D13749+Sens!D13750+Sens!D13752+Sens!D13754-Sens!D13756)+(Sens!D13757+Sens!D13759+Sens!D13761-Sens!D13763)+(Sens!D13756-Q!L5)+(Sens!D13763-Q!L12)+(Sens!D13744-Q!L6)+(Sens!D13749-Q!L7)</f>
        <v>0</v>
      </c>
      <c r="E13765" s="24" t="n">
        <f aca="false">(Sens!E13744+Sens!E13749+Sens!E13750+Sens!E13752+Sens!E13754-Sens!E13756)+(Sens!E13757+Sens!E13759+Sens!E13761-Sens!E13763)+(Sens!E13756-Q!M5)+(Sens!E13763-Q!M12)+(Sens!E13744-Q!M6)+(Sens!E13749-Q!M7)</f>
        <v>0</v>
      </c>
      <c r="F13765" s="24" t="n">
        <f aca="false">(Sens!F13744+Sens!F13749+Sens!F13750+Sens!F13752+Sens!F13754-Sens!F13756)+(Sens!F13757+Sens!F13759+Sens!F13761-Sens!F13763)</f>
        <v>0</v>
      </c>
      <c r="G13765" s="24" t="n">
        <f aca="false">(Sens!G13744+Sens!G13749+Sens!G13750+Sens!G13752+Sens!G13754-Sens!G13756)+(Sens!G13757+Sens!G13759+Sens!G13761-Sens!G13763)</f>
        <v>0</v>
      </c>
      <c r="H13765" s="24" t="n">
        <f aca="false">(Sens!H13744+Sens!H13749+Sens!H13750+Sens!H13752+Sens!H13754-Sens!H13756)+(Sens!H13757+Sens!H13759+Sens!H13761-Sens!H13763)</f>
        <v>0</v>
      </c>
      <c r="I13765" s="24" t="n">
        <f aca="false">(Sens!I13744+Sens!I13749+Sens!I13750+Sens!I13752+Sens!I13754-Sens!I13756)+(Sens!I13757+Sens!I13759+Sens!I13761-Sens!I13763)</f>
        <v>0</v>
      </c>
      <c r="J13765" s="24" t="n">
        <f aca="false">(Sens!J13744+Sens!J13749+Sens!J13750+Sens!J13752+Sens!J13754-Sens!J13756)+(Sens!J13757+Sens!J13759+Sens!J13761-Sens!J13763)</f>
        <v>0</v>
      </c>
      <c r="K13765" s="24" t="n">
        <f aca="false">(Sens!K13744+Sens!K13749+Sens!K13750+Sens!K13752+Sens!K13754-Sens!K13756)+(Sens!K13757+Sens!K13759+Sens!K13761-Sens!K13763)</f>
        <v>0</v>
      </c>
    </row>
    <row r="13766" customFormat="false" ht="17.15" hidden="false" customHeight="false" outlineLevel="0" collapsed="false">
      <c r="A13766" s="3" t="s">
        <v>1611</v>
      </c>
    </row>
    <row r="13767" customFormat="false" ht="15" hidden="false" customHeight="false" outlineLevel="0" collapsed="false">
      <c r="A13767" s="4" t="s">
        <v>43</v>
      </c>
      <c r="B13767" s="4" t="s">
        <v>65</v>
      </c>
      <c r="C13767" s="20" t="s">
        <v>799</v>
      </c>
      <c r="D13767" s="20" t="s">
        <v>800</v>
      </c>
      <c r="E13767" s="20" t="s">
        <v>801</v>
      </c>
      <c r="F13767" s="20" t="s">
        <v>802</v>
      </c>
      <c r="G13767" s="20" t="s">
        <v>803</v>
      </c>
      <c r="H13767" s="20" t="s">
        <v>804</v>
      </c>
      <c r="I13767" s="20" t="s">
        <v>805</v>
      </c>
      <c r="J13767" s="20" t="s">
        <v>806</v>
      </c>
      <c r="K13767" s="20" t="s">
        <v>807</v>
      </c>
      <c r="L13767" s="4" t="s">
        <v>47</v>
      </c>
    </row>
    <row r="13768" customFormat="false" ht="15" hidden="false" customHeight="false" outlineLevel="0" collapsed="false">
      <c r="A13768" s="0" t="s">
        <v>877</v>
      </c>
      <c r="B13768" s="0" t="s">
        <v>98</v>
      </c>
      <c r="D13768" s="6" t="n">
        <f aca="false">Sens!D13744</f>
        <v>72.61</v>
      </c>
      <c r="E13768" s="6" t="n">
        <f aca="false">Sens!E13744</f>
        <v>101.938</v>
      </c>
      <c r="F13768" s="6" t="n">
        <f aca="false">Sens!F13744</f>
        <v>116.789108973198</v>
      </c>
      <c r="G13768" s="6" t="n">
        <f aca="false">Sens!G13744</f>
        <v>146.646896493694</v>
      </c>
      <c r="H13768" s="6" t="n">
        <f aca="false">Sens!H13744</f>
        <v>174.301346004049</v>
      </c>
      <c r="I13768" s="6" t="n">
        <f aca="false">Sens!I13744</f>
        <v>203.516062188638</v>
      </c>
      <c r="J13768" s="6" t="n">
        <f aca="false">Sens!J13744</f>
        <v>227.458395548328</v>
      </c>
      <c r="K13768" s="6" t="n">
        <f aca="false">Sens!K13744</f>
        <v>245.740534511925</v>
      </c>
    </row>
    <row r="13769" customFormat="false" ht="17.15" hidden="false" customHeight="false" outlineLevel="0" collapsed="false">
      <c r="A13769" s="0" t="s">
        <v>874</v>
      </c>
      <c r="B13769" s="0" t="s">
        <v>98</v>
      </c>
      <c r="D13769" s="6" t="n">
        <f aca="false">Sens!D13741</f>
        <v>12.9359794422418</v>
      </c>
      <c r="E13769" s="6" t="n">
        <f aca="false">Sens!E13741</f>
        <v>27.8095064661409</v>
      </c>
      <c r="F13769" s="6" t="n">
        <f aca="false">Sens!F13741</f>
        <v>26.709159235832</v>
      </c>
      <c r="G13769" s="6" t="n">
        <f aca="false">Sens!G13741</f>
        <v>39.6184712903838</v>
      </c>
      <c r="H13769" s="6" t="n">
        <f aca="false">Sens!H13741</f>
        <v>50.0293634184132</v>
      </c>
      <c r="I13769" s="6" t="n">
        <f aca="false">Sens!I13741</f>
        <v>62.5823598067833</v>
      </c>
      <c r="J13769" s="6" t="n">
        <f aca="false">Sens!J13741</f>
        <v>71.4395282339966</v>
      </c>
      <c r="K13769" s="6" t="n">
        <f aca="false">Sens!K13741</f>
        <v>77.2401578124467</v>
      </c>
    </row>
    <row r="13770" customFormat="false" ht="17.15" hidden="false" customHeight="false" outlineLevel="0" collapsed="false">
      <c r="A13770" s="0" t="s">
        <v>902</v>
      </c>
      <c r="B13770" s="0" t="s">
        <v>98</v>
      </c>
      <c r="D13770" s="6" t="n">
        <f aca="false">Sens!D13742</f>
        <v>59.6740205577583</v>
      </c>
      <c r="E13770" s="6" t="n">
        <f aca="false">Sens!E13742</f>
        <v>74.1284935338591</v>
      </c>
      <c r="F13770" s="6" t="n">
        <f aca="false">Sens!F13742</f>
        <v>90.0799497373663</v>
      </c>
      <c r="G13770" s="6" t="n">
        <f aca="false">Sens!G13742</f>
        <v>107.02842520331</v>
      </c>
      <c r="H13770" s="6" t="n">
        <f aca="false">Sens!H13742</f>
        <v>124.271982585636</v>
      </c>
      <c r="I13770" s="6" t="n">
        <f aca="false">Sens!I13742</f>
        <v>140.933702381855</v>
      </c>
      <c r="J13770" s="6" t="n">
        <f aca="false">Sens!J13742</f>
        <v>156.018867314332</v>
      </c>
      <c r="K13770" s="6" t="n">
        <f aca="false">Sens!K13742</f>
        <v>168.500376699478</v>
      </c>
    </row>
    <row r="13771" customFormat="false" ht="15" hidden="false" customHeight="false" outlineLevel="0" collapsed="false">
      <c r="A13771" s="0" t="s">
        <v>883</v>
      </c>
      <c r="B13771" s="0" t="s">
        <v>98</v>
      </c>
      <c r="D13771" s="6" t="n">
        <f aca="false">Sens!D13749</f>
        <v>84.605</v>
      </c>
      <c r="E13771" s="6" t="n">
        <f aca="false">Sens!E13749</f>
        <v>100.299</v>
      </c>
      <c r="F13771" s="6" t="n">
        <f aca="false">Sens!F13749</f>
        <v>117.39238776686</v>
      </c>
      <c r="G13771" s="6" t="n">
        <f aca="false">Sens!G13749</f>
        <v>132.544168448684</v>
      </c>
      <c r="H13771" s="6" t="n">
        <f aca="false">Sens!H13749</f>
        <v>147.777359388781</v>
      </c>
      <c r="I13771" s="6" t="n">
        <f aca="false">Sens!I13749</f>
        <v>162.084028071957</v>
      </c>
      <c r="J13771" s="6" t="n">
        <f aca="false">Sens!J13749</f>
        <v>175.182702785465</v>
      </c>
      <c r="K13771" s="6" t="n">
        <f aca="false">Sens!K13749</f>
        <v>187.527991980448</v>
      </c>
    </row>
    <row r="13772" customFormat="false" ht="17.15" hidden="false" customHeight="false" outlineLevel="0" collapsed="false">
      <c r="A13772" s="0" t="s">
        <v>903</v>
      </c>
      <c r="B13772" s="0" t="s">
        <v>98</v>
      </c>
      <c r="D13772" s="6" t="n">
        <f aca="false">Sens!D13747</f>
        <v>83.705</v>
      </c>
      <c r="E13772" s="6" t="n">
        <f aca="false">Sens!E13747</f>
        <v>95.049</v>
      </c>
      <c r="F13772" s="6" t="n">
        <f aca="false">Sens!F13747</f>
        <v>106.89238776686</v>
      </c>
      <c r="G13772" s="6" t="n">
        <f aca="false">Sens!G13747</f>
        <v>119.044168448684</v>
      </c>
      <c r="H13772" s="6" t="n">
        <f aca="false">Sens!H13747</f>
        <v>131.277359388781</v>
      </c>
      <c r="I13772" s="6" t="n">
        <f aca="false">Sens!I13747</f>
        <v>143.334028071957</v>
      </c>
      <c r="J13772" s="6" t="n">
        <f aca="false">Sens!J13747</f>
        <v>154.932702785465</v>
      </c>
      <c r="K13772" s="6" t="n">
        <f aca="false">Sens!K13747</f>
        <v>165.777991980448</v>
      </c>
    </row>
    <row r="13773" customFormat="false" ht="17.15" hidden="false" customHeight="false" outlineLevel="0" collapsed="false">
      <c r="A13773" s="0" t="s">
        <v>904</v>
      </c>
      <c r="B13773" s="0" t="s">
        <v>98</v>
      </c>
      <c r="D13773" s="6" t="n">
        <f aca="false">Sens!D13746</f>
        <v>0.9</v>
      </c>
      <c r="E13773" s="6" t="n">
        <f aca="false">Sens!E13746</f>
        <v>5.25</v>
      </c>
      <c r="F13773" s="6" t="n">
        <f aca="false">Sens!F13746</f>
        <v>10.5</v>
      </c>
      <c r="G13773" s="6" t="n">
        <f aca="false">Sens!G13746</f>
        <v>13.5</v>
      </c>
      <c r="H13773" s="6" t="n">
        <f aca="false">Sens!H13746</f>
        <v>16.5</v>
      </c>
      <c r="I13773" s="6" t="n">
        <f aca="false">Sens!I13746</f>
        <v>18.75</v>
      </c>
      <c r="J13773" s="6" t="n">
        <f aca="false">Sens!J13746</f>
        <v>20.25</v>
      </c>
      <c r="K13773" s="6" t="n">
        <f aca="false">Sens!K13746</f>
        <v>21.75</v>
      </c>
    </row>
    <row r="13774" customFormat="false" ht="15" hidden="false" customHeight="false" outlineLevel="0" collapsed="false">
      <c r="A13774" s="0" t="s">
        <v>884</v>
      </c>
      <c r="B13774" s="0" t="s">
        <v>98</v>
      </c>
      <c r="D13774" s="6" t="n">
        <f aca="false">Sens!D13750</f>
        <v>35.391</v>
      </c>
      <c r="E13774" s="6" t="n">
        <f aca="false">Sens!E13750</f>
        <v>37.285</v>
      </c>
      <c r="F13774" s="6" t="n">
        <f aca="false">Sens!F13750</f>
        <v>39.0720834331704</v>
      </c>
      <c r="G13774" s="6" t="n">
        <f aca="false">Sens!G13750</f>
        <v>40.726562953769</v>
      </c>
      <c r="H13774" s="6" t="n">
        <f aca="false">Sens!H13750</f>
        <v>42.2235987259198</v>
      </c>
      <c r="I13774" s="6" t="n">
        <f aca="false">Sens!I13750</f>
        <v>43.5397988077414</v>
      </c>
      <c r="J13774" s="6" t="n">
        <f aca="false">Sens!J13750</f>
        <v>44.653811225693</v>
      </c>
      <c r="K13774" s="6" t="n">
        <f aca="false">Sens!K13750</f>
        <v>45.5468874502068</v>
      </c>
    </row>
    <row r="13775" customFormat="false" ht="15" hidden="false" customHeight="false" outlineLevel="0" collapsed="false">
      <c r="A13775" s="0" t="s">
        <v>885</v>
      </c>
      <c r="B13775" s="0" t="s">
        <v>98</v>
      </c>
      <c r="D13775" s="6" t="n">
        <f aca="false">Sens!D13752</f>
        <v>18.417</v>
      </c>
      <c r="E13775" s="6" t="n">
        <f aca="false">Sens!E13752</f>
        <v>20.345</v>
      </c>
      <c r="F13775" s="6" t="n">
        <f aca="false">Sens!F13752</f>
        <v>22.3572203267814</v>
      </c>
      <c r="G13775" s="6" t="n">
        <f aca="false">Sens!G13752</f>
        <v>24.4392124437232</v>
      </c>
      <c r="H13775" s="6" t="n">
        <f aca="false">Sens!H13752</f>
        <v>26.5738052080665</v>
      </c>
      <c r="I13775" s="6" t="n">
        <f aca="false">Sens!I13752</f>
        <v>28.7412169166967</v>
      </c>
      <c r="J13775" s="6" t="n">
        <f aca="false">Sens!J13752</f>
        <v>30.9192545395413</v>
      </c>
      <c r="K13775" s="6" t="n">
        <f aca="false">Sens!K13752</f>
        <v>33.0836023573092</v>
      </c>
    </row>
    <row r="13776" customFormat="false" ht="15" hidden="false" customHeight="false" outlineLevel="0" collapsed="false">
      <c r="A13776" s="0" t="s">
        <v>886</v>
      </c>
      <c r="B13776" s="0" t="s">
        <v>98</v>
      </c>
      <c r="D13776" s="6" t="n">
        <f aca="false">Sens!D13754</f>
        <v>7.76</v>
      </c>
      <c r="E13776" s="6" t="n">
        <f aca="false">Sens!E13754</f>
        <v>8.26</v>
      </c>
      <c r="F13776" s="6" t="n">
        <f aca="false">Sens!F13754</f>
        <v>8.79988041237113</v>
      </c>
      <c r="G13776" s="6" t="n">
        <f aca="false">Sens!G13754</f>
        <v>9.38321269125306</v>
      </c>
      <c r="H13776" s="6" t="n">
        <f aca="false">Sens!H13754</f>
        <v>10.0139193587476</v>
      </c>
      <c r="I13776" s="6" t="n">
        <f aca="false">Sens!I13754</f>
        <v>10.6963111830911</v>
      </c>
      <c r="J13776" s="6" t="n">
        <f aca="false">Sens!J13754</f>
        <v>11.4351285534696</v>
      </c>
      <c r="K13776" s="6" t="n">
        <f aca="false">Sens!K13754</f>
        <v>12.2355875522124</v>
      </c>
    </row>
    <row r="13777" customFormat="false" ht="15" hidden="false" customHeight="false" outlineLevel="0" collapsed="false">
      <c r="A13777" s="0" t="s">
        <v>715</v>
      </c>
      <c r="B13777" s="0" t="s">
        <v>98</v>
      </c>
      <c r="D13777" s="6" t="n">
        <f aca="false">Sens!D13756</f>
        <v>218.783</v>
      </c>
      <c r="E13777" s="6" t="n">
        <f aca="false">Sens!E13756</f>
        <v>268.127</v>
      </c>
      <c r="F13777" s="6" t="n">
        <f aca="false">Sens!F13756</f>
        <v>304.410680912381</v>
      </c>
      <c r="G13777" s="6" t="n">
        <f aca="false">Sens!G13756</f>
        <v>353.740053031123</v>
      </c>
      <c r="H13777" s="6" t="n">
        <f aca="false">Sens!H13756</f>
        <v>400.890028685564</v>
      </c>
      <c r="I13777" s="6" t="n">
        <f aca="false">Sens!I13756</f>
        <v>448.577417168124</v>
      </c>
      <c r="J13777" s="6" t="n">
        <f aca="false">Sens!J13756</f>
        <v>489.649292652497</v>
      </c>
      <c r="K13777" s="6" t="n">
        <f aca="false">Sens!K13756</f>
        <v>524.134603852101</v>
      </c>
    </row>
    <row r="13778" customFormat="false" ht="15" hidden="false" customHeight="false" outlineLevel="0" collapsed="false">
      <c r="A13778" s="0" t="s">
        <v>887</v>
      </c>
      <c r="B13778" s="0" t="s">
        <v>98</v>
      </c>
      <c r="D13778" s="6" t="n">
        <f aca="false">Sens!D13757</f>
        <v>22.171</v>
      </c>
      <c r="E13778" s="6" t="n">
        <f aca="false">Sens!E13757</f>
        <v>24.835</v>
      </c>
      <c r="F13778" s="6" t="n">
        <f aca="false">Sens!F13757</f>
        <v>27.6114901218559</v>
      </c>
      <c r="G13778" s="6" t="n">
        <f aca="false">Sens!G13757</f>
        <v>30.4675667338515</v>
      </c>
      <c r="H13778" s="6" t="n">
        <f aca="false">Sens!H13757</f>
        <v>33.3643766955789</v>
      </c>
      <c r="I13778" s="6" t="n">
        <f aca="false">Sens!I13757</f>
        <v>36.2577016533691</v>
      </c>
      <c r="J13778" s="6" t="n">
        <f aca="false">Sens!J13757</f>
        <v>39.0988367952171</v>
      </c>
      <c r="K13778" s="6" t="n">
        <f aca="false">Sens!K13757</f>
        <v>41.8357553708823</v>
      </c>
    </row>
    <row r="13779" customFormat="false" ht="15" hidden="false" customHeight="false" outlineLevel="0" collapsed="false">
      <c r="A13779" s="0" t="s">
        <v>888</v>
      </c>
      <c r="B13779" s="0" t="s">
        <v>98</v>
      </c>
      <c r="D13779" s="6" t="n">
        <f aca="false">Sens!D13759</f>
        <v>23.455</v>
      </c>
      <c r="E13779" s="6" t="n">
        <f aca="false">Sens!E13759</f>
        <v>21.79</v>
      </c>
      <c r="F13779" s="6" t="n">
        <f aca="false">Sens!F13759</f>
        <v>20.5736277908051</v>
      </c>
      <c r="G13779" s="6" t="n">
        <f aca="false">Sens!G13759</f>
        <v>19.7371452817919</v>
      </c>
      <c r="H13779" s="6" t="n">
        <f aca="false">Sens!H13759</f>
        <v>19.2339764043138</v>
      </c>
      <c r="I13779" s="6" t="n">
        <f aca="false">Sens!I13759</f>
        <v>19.0353086852681</v>
      </c>
      <c r="J13779" s="6" t="n">
        <f aca="false">Sens!J13759</f>
        <v>19.1273539319129</v>
      </c>
      <c r="K13779" s="6" t="n">
        <f aca="false">Sens!K13759</f>
        <v>19.5099010105511</v>
      </c>
    </row>
    <row r="13780" customFormat="false" ht="15" hidden="false" customHeight="false" outlineLevel="0" collapsed="false">
      <c r="A13780" s="0" t="s">
        <v>889</v>
      </c>
      <c r="B13780" s="0" t="s">
        <v>98</v>
      </c>
      <c r="D13780" s="6" t="n">
        <f aca="false">Sens!D13761</f>
        <v>17.315</v>
      </c>
      <c r="E13780" s="6" t="n">
        <f aca="false">Sens!E13761</f>
        <v>17.087</v>
      </c>
      <c r="F13780" s="6" t="n">
        <f aca="false">Sens!F13761</f>
        <v>16.9564585436519</v>
      </c>
      <c r="G13780" s="6" t="n">
        <f aca="false">Sens!G13761</f>
        <v>16.9206490624268</v>
      </c>
      <c r="H13780" s="6" t="n">
        <f aca="false">Sens!H13761</f>
        <v>16.9784519149849</v>
      </c>
      <c r="I13780" s="6" t="n">
        <f aca="false">Sens!I13761</f>
        <v>17.1303084701817</v>
      </c>
      <c r="J13780" s="6" t="n">
        <f aca="false">Sens!J13761</f>
        <v>17.3782189407267</v>
      </c>
      <c r="K13780" s="6" t="n">
        <f aca="false">Sens!K13761</f>
        <v>17.7257833195413</v>
      </c>
    </row>
    <row r="13781" customFormat="false" ht="15" hidden="false" customHeight="false" outlineLevel="0" collapsed="false">
      <c r="A13781" s="0" t="s">
        <v>729</v>
      </c>
      <c r="B13781" s="0" t="s">
        <v>98</v>
      </c>
      <c r="D13781" s="6" t="n">
        <f aca="false">Sens!D13763</f>
        <v>62.941</v>
      </c>
      <c r="E13781" s="6" t="n">
        <f aca="false">Sens!E13763</f>
        <v>63.712</v>
      </c>
      <c r="F13781" s="6" t="n">
        <f aca="false">Sens!F13763</f>
        <v>65.1415764563129</v>
      </c>
      <c r="G13781" s="6" t="n">
        <f aca="false">Sens!G13763</f>
        <v>67.1253610780702</v>
      </c>
      <c r="H13781" s="6" t="n">
        <f aca="false">Sens!H13763</f>
        <v>69.5768050148776</v>
      </c>
      <c r="I13781" s="6" t="n">
        <f aca="false">Sens!I13763</f>
        <v>72.4233188088189</v>
      </c>
      <c r="J13781" s="6" t="n">
        <f aca="false">Sens!J13763</f>
        <v>75.6044096678567</v>
      </c>
      <c r="K13781" s="6" t="n">
        <f aca="false">Sens!K13763</f>
        <v>79.0714397009747</v>
      </c>
    </row>
    <row r="13782" customFormat="false" ht="15" hidden="false" customHeight="false" outlineLevel="0" collapsed="false">
      <c r="A13782" s="1" t="s">
        <v>905</v>
      </c>
      <c r="B13782" s="0" t="s">
        <v>98</v>
      </c>
      <c r="D13782" s="6" t="n">
        <f aca="false">Sens!D13764</f>
        <v>281.724</v>
      </c>
      <c r="E13782" s="6" t="n">
        <f aca="false">Sens!E13764</f>
        <v>331.839</v>
      </c>
      <c r="F13782" s="6" t="n">
        <f aca="false">Sens!F13764</f>
        <v>369.552257368694</v>
      </c>
      <c r="G13782" s="6" t="n">
        <f aca="false">Sens!G13764</f>
        <v>420.865414109193</v>
      </c>
      <c r="H13782" s="6" t="n">
        <f aca="false">Sens!H13764</f>
        <v>470.466833700442</v>
      </c>
      <c r="I13782" s="6" t="n">
        <f aca="false">Sens!I13764</f>
        <v>521.000735976943</v>
      </c>
      <c r="J13782" s="6" t="n">
        <f aca="false">Sens!J13764</f>
        <v>565.253702320354</v>
      </c>
      <c r="K13782" s="6" t="n">
        <f aca="false">Sens!K13764</f>
        <v>603.206043553076</v>
      </c>
    </row>
    <row r="13783" customFormat="false" ht="15" hidden="false" customHeight="false" outlineLevel="0" collapsed="false">
      <c r="A13783" s="1" t="s">
        <v>906</v>
      </c>
      <c r="B13783" s="0" t="s">
        <v>129</v>
      </c>
      <c r="E13783" s="7" t="n">
        <f aca="false">Sens!E13782/Sens!D13782-1</f>
        <v>0.177886867998467</v>
      </c>
      <c r="F13783" s="7" t="n">
        <f aca="false">Sens!F13782/Sens!E13782-1</f>
        <v>0.113649261746492</v>
      </c>
      <c r="G13783" s="7" t="n">
        <f aca="false">Sens!G13782/Sens!F13782-1</f>
        <v>0.13885223460915</v>
      </c>
      <c r="H13783" s="7" t="n">
        <f aca="false">Sens!H13782/Sens!G13782-1</f>
        <v>0.117855775096739</v>
      </c>
      <c r="I13783" s="7" t="n">
        <f aca="false">Sens!I13782/Sens!H13782-1</f>
        <v>0.10741225237713</v>
      </c>
      <c r="J13783" s="7" t="n">
        <f aca="false">Sens!J13782/Sens!I13782-1</f>
        <v>0.0849383950685423</v>
      </c>
      <c r="K13783" s="7" t="n">
        <f aca="false">Sens!K13782/Sens!J13782-1</f>
        <v>0.0671421364900897</v>
      </c>
    </row>
    <row r="13784" customFormat="false" ht="17.15" hidden="false" customHeight="false" outlineLevel="0" collapsed="false">
      <c r="A13784" s="23" t="s">
        <v>907</v>
      </c>
      <c r="B13784" s="30" t="s">
        <v>98</v>
      </c>
      <c r="C13784" s="30"/>
      <c r="D13784" s="24" t="n">
        <f aca="false">(Sens!D13777+Sens!D13781-Sens!D13782)+(Sens!D13769+Sens!D13770-Sens!D13768)+(Sens!D13772+Sens!D13773-Sens!D13771)+(Sens!D13782-Q!L18)</f>
        <v>0</v>
      </c>
      <c r="E13784" s="24" t="n">
        <f aca="false">(Sens!E13777+Sens!E13781-Sens!E13782)+(Sens!E13769+Sens!E13770-Sens!E13768)+(Sens!E13772+Sens!E13773-Sens!E13771)+(Sens!E13782-Q!M18)</f>
        <v>0</v>
      </c>
      <c r="F13784" s="24" t="n">
        <f aca="false">(Sens!F13777+Sens!F13781-Sens!F13782)+(Sens!F13769+Sens!F13770-Sens!F13768)+(Sens!F13772+Sens!F13773-Sens!F13771)</f>
        <v>0</v>
      </c>
      <c r="G13784" s="24" t="n">
        <f aca="false">(Sens!G13777+Sens!G13781-Sens!G13782)+(Sens!G13769+Sens!G13770-Sens!G13768)+(Sens!G13772+Sens!G13773-Sens!G13771)</f>
        <v>0</v>
      </c>
      <c r="H13784" s="24" t="n">
        <f aca="false">(Sens!H13777+Sens!H13781-Sens!H13782)+(Sens!H13769+Sens!H13770-Sens!H13768)+(Sens!H13772+Sens!H13773-Sens!H13771)</f>
        <v>0</v>
      </c>
      <c r="I13784" s="24" t="n">
        <f aca="false">(Sens!I13777+Sens!I13781-Sens!I13782)+(Sens!I13769+Sens!I13770-Sens!I13768)+(Sens!I13772+Sens!I13773-Sens!I13771)</f>
        <v>0</v>
      </c>
      <c r="J13784" s="24" t="n">
        <f aca="false">(Sens!J13777+Sens!J13781-Sens!J13782)+(Sens!J13769+Sens!J13770-Sens!J13768)+(Sens!J13772+Sens!J13773-Sens!J13771)</f>
        <v>0</v>
      </c>
      <c r="K13784" s="24" t="n">
        <f aca="false">(Sens!K13777+Sens!K13781-Sens!K13782)+(Sens!K13769+Sens!K13770-Sens!K13768)+(Sens!K13772+Sens!K13773-Sens!K13771)</f>
        <v>0</v>
      </c>
    </row>
    <row r="13785" customFormat="false" ht="17.15" hidden="false" customHeight="false" outlineLevel="0" collapsed="false">
      <c r="A13785" s="0" t="s">
        <v>908</v>
      </c>
      <c r="B13785" s="0" t="s">
        <v>129</v>
      </c>
      <c r="E13785" s="7" t="n">
        <f aca="false">(Q!M21+Sens!E13722+Sens!E13723+Sens!E13724+Sens!E13737-Sens!E13720)/(Q!M5-Sens!E13720)</f>
        <v>0.570957350878296</v>
      </c>
      <c r="F13785" s="7" t="n">
        <f aca="false">Sens!$E$13785+dm_seg</f>
        <v>0.570957350878296</v>
      </c>
      <c r="G13785" s="7" t="n">
        <f aca="false">Sens!$E$13785+dm_seg</f>
        <v>0.570957350878296</v>
      </c>
      <c r="H13785" s="7" t="n">
        <f aca="false">Sens!$E$13785+dm_seg</f>
        <v>0.570957350878296</v>
      </c>
      <c r="I13785" s="7" t="n">
        <f aca="false">Sens!$E$13785+dm_seg</f>
        <v>0.570957350878296</v>
      </c>
      <c r="J13785" s="7" t="n">
        <f aca="false">Sens!$E$13785+dm_seg</f>
        <v>0.570957350878296</v>
      </c>
      <c r="K13785" s="7" t="n">
        <f aca="false">Sens!$E$13785+dm_seg</f>
        <v>0.570957350878296</v>
      </c>
      <c r="L13785" s="11" t="s">
        <v>909</v>
      </c>
    </row>
    <row r="13786" customFormat="false" ht="17.15" hidden="false" customHeight="false" outlineLevel="0" collapsed="false">
      <c r="A13786" s="0" t="s">
        <v>743</v>
      </c>
      <c r="B13786" s="0" t="s">
        <v>98</v>
      </c>
      <c r="D13786" s="6" t="n">
        <f aca="false">Q!L21</f>
        <v>110.814</v>
      </c>
      <c r="E13786" s="6" t="n">
        <f aca="false">Q!M21</f>
        <v>136.365</v>
      </c>
      <c r="F13786" s="6" t="n">
        <f aca="false">Sens!F13785*(Sens!F13756-Sens!F13720)+Sens!F13720-(Sens!F13722+Sens!F13723+Sens!F13724)-Sens!F13737-Sens!F13820</f>
        <v>128.233722940019</v>
      </c>
      <c r="G13786" s="6" t="n">
        <f aca="false">Sens!G13785*(Sens!G13756-Sens!G13720)+Sens!G13720-(Sens!G13722+Sens!G13723+Sens!G13724)-Sens!G13737-Sens!G13820</f>
        <v>125.401242487945</v>
      </c>
      <c r="H13786" s="6" t="n">
        <f aca="false">Sens!H13785*(Sens!H13756-Sens!H13720)+Sens!H13720-(Sens!H13722+Sens!H13723+Sens!H13724)-Sens!H13737-Sens!H13820</f>
        <v>118.43194335959</v>
      </c>
      <c r="I13786" s="6" t="n">
        <f aca="false">Sens!I13785*(Sens!I13756-Sens!I13720)+Sens!I13720-(Sens!I13722+Sens!I13723+Sens!I13724)-Sens!I13737-Sens!I13820</f>
        <v>117.168995362108</v>
      </c>
      <c r="J13786" s="6" t="n">
        <f aca="false">Sens!J13785*(Sens!J13756-Sens!J13720)+Sens!J13720-(Sens!J13722+Sens!J13723+Sens!J13724)-Sens!J13737-Sens!J13820</f>
        <v>120.470932683117</v>
      </c>
      <c r="K13786" s="6" t="n">
        <f aca="false">Sens!K13785*(Sens!K13756-Sens!K13720)+Sens!K13720-(Sens!K13722+Sens!K13723+Sens!K13724)-Sens!K13737-Sens!K13820</f>
        <v>127.790147796003</v>
      </c>
      <c r="L13786" s="1" t="s">
        <v>910</v>
      </c>
    </row>
    <row r="13787" customFormat="false" ht="17.15" hidden="false" customHeight="false" outlineLevel="0" collapsed="false">
      <c r="A13787" s="0" t="s">
        <v>911</v>
      </c>
      <c r="B13787" s="0" t="s">
        <v>129</v>
      </c>
      <c r="E13787" s="7" t="n">
        <f aca="false">Q!M22/Q!M12</f>
        <v>0.296207935710698</v>
      </c>
      <c r="F13787" s="7" t="n">
        <f aca="false">Sens!$E$13787+dm_seg</f>
        <v>0.296207935710698</v>
      </c>
      <c r="G13787" s="7" t="n">
        <f aca="false">Sens!$E$13787+dm_seg</f>
        <v>0.296207935710698</v>
      </c>
      <c r="H13787" s="7" t="n">
        <f aca="false">Sens!$E$13787+dm_seg</f>
        <v>0.296207935710698</v>
      </c>
      <c r="I13787" s="7" t="n">
        <f aca="false">Sens!$E$13787+dm_seg</f>
        <v>0.296207935710698</v>
      </c>
      <c r="J13787" s="7" t="n">
        <f aca="false">Sens!$E$13787+dm_seg</f>
        <v>0.296207935710698</v>
      </c>
      <c r="K13787" s="7" t="n">
        <f aca="false">Sens!$E$13787+dm_seg</f>
        <v>0.296207935710698</v>
      </c>
      <c r="L13787" s="11" t="s">
        <v>912</v>
      </c>
    </row>
    <row r="13788" customFormat="false" ht="17.15" hidden="false" customHeight="false" outlineLevel="0" collapsed="false">
      <c r="A13788" s="0" t="s">
        <v>745</v>
      </c>
      <c r="B13788" s="0" t="s">
        <v>98</v>
      </c>
      <c r="D13788" s="6" t="n">
        <f aca="false">Q!L22</f>
        <v>17.714</v>
      </c>
      <c r="E13788" s="6" t="n">
        <f aca="false">Q!M22</f>
        <v>18.872</v>
      </c>
      <c r="F13788" s="6" t="n">
        <f aca="false">Sens!F13763*Sens!F13787</f>
        <v>19.2954518910651</v>
      </c>
      <c r="G13788" s="6" t="n">
        <f aca="false">Sens!G13763*Sens!G13787</f>
        <v>19.8830646387704</v>
      </c>
      <c r="H13788" s="6" t="n">
        <f aca="false">Sens!H13763*Sens!H13787</f>
        <v>20.6092017868026</v>
      </c>
      <c r="I13788" s="6" t="n">
        <f aca="false">Sens!I13763*Sens!I13787</f>
        <v>21.452361761678</v>
      </c>
      <c r="J13788" s="6" t="n">
        <f aca="false">Sens!J13763*Sens!J13787</f>
        <v>22.3946261183418</v>
      </c>
      <c r="K13788" s="6" t="n">
        <f aca="false">Sens!K13763*Sens!K13787</f>
        <v>23.4215879274986</v>
      </c>
    </row>
    <row r="13789" customFormat="false" ht="15" hidden="false" customHeight="false" outlineLevel="0" collapsed="false">
      <c r="A13789" s="1" t="s">
        <v>913</v>
      </c>
      <c r="B13789" s="0" t="s">
        <v>98</v>
      </c>
      <c r="D13789" s="6" t="n">
        <f aca="false">Sens!D13786+Sens!D13788</f>
        <v>128.528</v>
      </c>
      <c r="E13789" s="6" t="n">
        <f aca="false">Sens!E13786+Sens!E13788</f>
        <v>155.237</v>
      </c>
      <c r="F13789" s="6" t="n">
        <f aca="false">Sens!F13786+Sens!F13788</f>
        <v>147.529174831084</v>
      </c>
      <c r="G13789" s="6" t="n">
        <f aca="false">Sens!G13786+Sens!G13788</f>
        <v>145.284307126715</v>
      </c>
      <c r="H13789" s="6" t="n">
        <f aca="false">Sens!H13786+Sens!H13788</f>
        <v>139.041145146392</v>
      </c>
      <c r="I13789" s="6" t="n">
        <f aca="false">Sens!I13786+Sens!I13788</f>
        <v>138.621357123786</v>
      </c>
      <c r="J13789" s="6" t="n">
        <f aca="false">Sens!J13786+Sens!J13788</f>
        <v>142.865558801459</v>
      </c>
      <c r="K13789" s="6" t="n">
        <f aca="false">Sens!K13786+Sens!K13788</f>
        <v>151.211735723502</v>
      </c>
    </row>
    <row r="13790" customFormat="false" ht="15" hidden="false" customHeight="false" outlineLevel="0" collapsed="false">
      <c r="A13790" s="23" t="s">
        <v>914</v>
      </c>
      <c r="B13790" s="30" t="s">
        <v>98</v>
      </c>
      <c r="C13790" s="30"/>
      <c r="D13790" s="24" t="n">
        <f aca="false">Sens!D13789-Q!L23</f>
        <v>0</v>
      </c>
      <c r="E13790" s="24" t="n">
        <f aca="false">Sens!E13789-Q!M23</f>
        <v>0</v>
      </c>
      <c r="F13790" s="30"/>
      <c r="G13790" s="30"/>
      <c r="H13790" s="30"/>
      <c r="I13790" s="30"/>
      <c r="J13790" s="30"/>
      <c r="K13790" s="30"/>
    </row>
    <row r="13791" customFormat="false" ht="15" hidden="false" customHeight="false" outlineLevel="0" collapsed="false">
      <c r="A13791" s="1" t="s">
        <v>915</v>
      </c>
      <c r="B13791" s="0" t="s">
        <v>129</v>
      </c>
      <c r="D13791" s="7" t="n">
        <f aca="false">Sens!D13789/Sens!D13782</f>
        <v>0.456219562408598</v>
      </c>
      <c r="E13791" s="7" t="n">
        <f aca="false">Sens!E13789/Sens!E13782</f>
        <v>0.467808184089272</v>
      </c>
      <c r="F13791" s="7" t="n">
        <f aca="false">Sens!F13789/Sens!F13782</f>
        <v>0.399210590354743</v>
      </c>
      <c r="G13791" s="7" t="n">
        <f aca="false">Sens!G13789/Sens!G13782</f>
        <v>0.345203721323182</v>
      </c>
      <c r="H13791" s="7" t="n">
        <f aca="false">Sens!H13789/Sens!H13782</f>
        <v>0.295538676026891</v>
      </c>
      <c r="I13791" s="7" t="n">
        <f aca="false">Sens!I13789/Sens!I13782</f>
        <v>0.266067488107965</v>
      </c>
      <c r="J13791" s="7" t="n">
        <f aca="false">Sens!J13789/Sens!J13782</f>
        <v>0.252745905449179</v>
      </c>
      <c r="K13791" s="7" t="n">
        <f aca="false">Sens!K13789/Sens!K13782</f>
        <v>0.2506800741465</v>
      </c>
    </row>
    <row r="13792" customFormat="false" ht="17.15" hidden="false" customHeight="false" outlineLevel="0" collapsed="false">
      <c r="A13792" s="1" t="s">
        <v>916</v>
      </c>
      <c r="B13792" s="0" t="s">
        <v>98</v>
      </c>
      <c r="F13792" s="6" t="n">
        <f aca="false">Sens!F13807</f>
        <v>10.1553565002727</v>
      </c>
      <c r="G13792" s="6" t="n">
        <f aca="false">Sens!G13807</f>
        <v>26.5039384396555</v>
      </c>
      <c r="H13792" s="6" t="n">
        <f aca="false">Sens!H13807</f>
        <v>44.38649932956</v>
      </c>
      <c r="I13792" s="6" t="n">
        <f aca="false">Sens!I13807</f>
        <v>60.5028524913745</v>
      </c>
      <c r="J13792" s="6" t="n">
        <f aca="false">Sens!J13807</f>
        <v>71.8788124586976</v>
      </c>
      <c r="K13792" s="6" t="n">
        <f aca="false">Sens!K13807</f>
        <v>78.7789222270768</v>
      </c>
      <c r="L13792" s="1" t="s">
        <v>917</v>
      </c>
    </row>
    <row r="13793" customFormat="false" ht="17.15" hidden="false" customHeight="false" outlineLevel="0" collapsed="false">
      <c r="A13793" s="1" t="s">
        <v>918</v>
      </c>
      <c r="B13793" s="0" t="s">
        <v>98</v>
      </c>
      <c r="D13793" s="6" t="n">
        <f aca="false">Sens!D13789</f>
        <v>128.528</v>
      </c>
      <c r="E13793" s="6" t="n">
        <f aca="false">Sens!E13789</f>
        <v>155.237</v>
      </c>
      <c r="F13793" s="6" t="n">
        <f aca="false">Sens!F13789+Sens!F13792</f>
        <v>157.684531331357</v>
      </c>
      <c r="G13793" s="6" t="n">
        <f aca="false">Sens!G13789+Sens!G13792</f>
        <v>171.788245566371</v>
      </c>
      <c r="H13793" s="6" t="n">
        <f aca="false">Sens!H13789+Sens!H13792</f>
        <v>183.427644475952</v>
      </c>
      <c r="I13793" s="6" t="n">
        <f aca="false">Sens!I13789+Sens!I13792</f>
        <v>199.124209615161</v>
      </c>
      <c r="J13793" s="6" t="n">
        <f aca="false">Sens!J13789+Sens!J13792</f>
        <v>214.744371260156</v>
      </c>
      <c r="K13793" s="6" t="n">
        <f aca="false">Sens!K13789+Sens!K13792</f>
        <v>229.990657950579</v>
      </c>
    </row>
    <row r="13794" customFormat="false" ht="17.15" hidden="false" customHeight="false" outlineLevel="0" collapsed="false">
      <c r="A13794" s="1" t="s">
        <v>919</v>
      </c>
      <c r="B13794" s="0" t="s">
        <v>98</v>
      </c>
      <c r="E13794" s="6" t="n">
        <f aca="false">Sens!E13737</f>
        <v>16.3054059770833</v>
      </c>
      <c r="F13794" s="6" t="n">
        <f aca="false">Sens!F13737</f>
        <v>34.0498873809555</v>
      </c>
      <c r="G13794" s="6" t="n">
        <f aca="false">Sens!G13737</f>
        <v>59.1254371105111</v>
      </c>
      <c r="H13794" s="6" t="n">
        <f aca="false">Sens!H13737</f>
        <v>86.3610198433111</v>
      </c>
      <c r="I13794" s="6" t="n">
        <f aca="false">Sens!I13737</f>
        <v>110.605743832393</v>
      </c>
      <c r="J13794" s="6" t="n">
        <f aca="false">Sens!J13737</f>
        <v>127.998322852843</v>
      </c>
      <c r="K13794" s="6" t="n">
        <f aca="false">Sens!K13737</f>
        <v>139.131464044308</v>
      </c>
    </row>
    <row r="13795" customFormat="false" ht="17.15" hidden="false" customHeight="false" outlineLevel="0" collapsed="false">
      <c r="A13795" s="1" t="s">
        <v>920</v>
      </c>
      <c r="B13795" s="0" t="s">
        <v>98</v>
      </c>
      <c r="E13795" s="6" t="n">
        <f aca="false">Sens!E13819</f>
        <v>22.2285940229167</v>
      </c>
      <c r="F13795" s="6" t="n">
        <f aca="false">Sens!F13819</f>
        <v>24.3924470334783</v>
      </c>
      <c r="G13795" s="6" t="n">
        <f aca="false">Sens!G13819</f>
        <v>26.0234916871694</v>
      </c>
      <c r="H13795" s="6" t="n">
        <f aca="false">Sens!H13819</f>
        <v>28.0272938828615</v>
      </c>
      <c r="I13795" s="6" t="n">
        <f aca="false">Sens!I13819</f>
        <v>30.3469045257397</v>
      </c>
      <c r="J13795" s="6" t="n">
        <f aca="false">Sens!J13819</f>
        <v>32.9078053982031</v>
      </c>
      <c r="K13795" s="6" t="n">
        <f aca="false">Sens!K13819</f>
        <v>35.6263951325822</v>
      </c>
    </row>
    <row r="13796" customFormat="false" ht="17.15" hidden="false" customHeight="false" outlineLevel="0" collapsed="false">
      <c r="A13796" s="1" t="s">
        <v>921</v>
      </c>
      <c r="B13796" s="0" t="s">
        <v>98</v>
      </c>
      <c r="D13796" s="6" t="n">
        <f aca="false">Q!L27</f>
        <v>-4.901</v>
      </c>
      <c r="E13796" s="6" t="n">
        <f aca="false">Q!M27</f>
        <v>10.697</v>
      </c>
      <c r="F13796" s="6" t="n">
        <f aca="false">oie_f</f>
        <v>-0.4</v>
      </c>
      <c r="G13796" s="6" t="n">
        <f aca="false">oie_f</f>
        <v>-0.4</v>
      </c>
      <c r="H13796" s="6" t="n">
        <f aca="false">oie_f</f>
        <v>-0.4</v>
      </c>
      <c r="I13796" s="6" t="n">
        <f aca="false">oie_f</f>
        <v>-0.4</v>
      </c>
      <c r="J13796" s="6" t="n">
        <f aca="false">oie_f</f>
        <v>-0.4</v>
      </c>
      <c r="K13796" s="6" t="n">
        <f aca="false">oie_f</f>
        <v>-0.4</v>
      </c>
      <c r="L13796" s="11" t="s">
        <v>922</v>
      </c>
    </row>
    <row r="13797" customFormat="false" ht="15" hidden="false" customHeight="false" outlineLevel="0" collapsed="false">
      <c r="A13797" s="1" t="s">
        <v>923</v>
      </c>
      <c r="B13797" s="0" t="s">
        <v>98</v>
      </c>
      <c r="D13797" s="6" t="n">
        <f aca="false">Sens!D13789+Sens!D13796</f>
        <v>123.627</v>
      </c>
      <c r="E13797" s="6" t="n">
        <f aca="false">Sens!E13789+Sens!E13796</f>
        <v>165.934</v>
      </c>
      <c r="F13797" s="6" t="n">
        <f aca="false">Sens!F13789+Sens!F13796</f>
        <v>147.129174831084</v>
      </c>
      <c r="G13797" s="6" t="n">
        <f aca="false">Sens!G13789+Sens!G13796</f>
        <v>144.884307126715</v>
      </c>
      <c r="H13797" s="6" t="n">
        <f aca="false">Sens!H13789+Sens!H13796</f>
        <v>138.641145146392</v>
      </c>
      <c r="I13797" s="6" t="n">
        <f aca="false">Sens!I13789+Sens!I13796</f>
        <v>138.221357123786</v>
      </c>
      <c r="J13797" s="6" t="n">
        <f aca="false">Sens!J13789+Sens!J13796</f>
        <v>142.465558801459</v>
      </c>
      <c r="K13797" s="6" t="n">
        <f aca="false">Sens!K13789+Sens!K13796</f>
        <v>150.811735723502</v>
      </c>
    </row>
    <row r="13798" customFormat="false" ht="15" hidden="false" customHeight="false" outlineLevel="0" collapsed="false">
      <c r="A13798" s="1" t="s">
        <v>924</v>
      </c>
      <c r="B13798" s="0" t="s">
        <v>98</v>
      </c>
      <c r="D13798" s="6" t="n">
        <f aca="false">Q!L29</f>
        <v>21.795</v>
      </c>
      <c r="E13798" s="6" t="n">
        <f aca="false">Q!M29</f>
        <v>32.185</v>
      </c>
      <c r="F13798" s="6" t="n">
        <f aca="false">Sens!F13797*tax_f</f>
        <v>29.4258349662168</v>
      </c>
      <c r="G13798" s="6" t="n">
        <f aca="false">Sens!G13797*tax_f</f>
        <v>28.9768614253431</v>
      </c>
      <c r="H13798" s="6" t="n">
        <f aca="false">Sens!H13797*tax_f</f>
        <v>27.7282290292785</v>
      </c>
      <c r="I13798" s="6" t="n">
        <f aca="false">Sens!I13797*tax_f</f>
        <v>27.6442714247573</v>
      </c>
      <c r="J13798" s="6" t="n">
        <f aca="false">Sens!J13797*tax_f</f>
        <v>28.4931117602918</v>
      </c>
      <c r="K13798" s="6" t="n">
        <f aca="false">Sens!K13797*tax_f</f>
        <v>30.1623471447004</v>
      </c>
    </row>
    <row r="13799" customFormat="false" ht="15" hidden="false" customHeight="false" outlineLevel="0" collapsed="false">
      <c r="A13799" s="1" t="s">
        <v>925</v>
      </c>
      <c r="B13799" s="0" t="s">
        <v>98</v>
      </c>
      <c r="D13799" s="6" t="n">
        <f aca="false">Sens!D13797-Sens!D13798</f>
        <v>101.832</v>
      </c>
      <c r="E13799" s="6" t="n">
        <f aca="false">Sens!E13797-Sens!E13798</f>
        <v>133.749</v>
      </c>
      <c r="F13799" s="6" t="n">
        <f aca="false">Sens!F13797-Sens!F13798</f>
        <v>117.703339864867</v>
      </c>
      <c r="G13799" s="6" t="n">
        <f aca="false">Sens!G13797-Sens!G13798</f>
        <v>115.907445701372</v>
      </c>
      <c r="H13799" s="6" t="n">
        <f aca="false">Sens!H13797-Sens!H13798</f>
        <v>110.912916117114</v>
      </c>
      <c r="I13799" s="6" t="n">
        <f aca="false">Sens!I13797-Sens!I13798</f>
        <v>110.577085699029</v>
      </c>
      <c r="J13799" s="6" t="n">
        <f aca="false">Sens!J13797-Sens!J13798</f>
        <v>113.972447041167</v>
      </c>
      <c r="K13799" s="6" t="n">
        <f aca="false">Sens!K13797-Sens!K13798</f>
        <v>120.649388578801</v>
      </c>
    </row>
    <row r="13800" customFormat="false" ht="17.15" hidden="false" customHeight="false" outlineLevel="0" collapsed="false">
      <c r="A13800" s="1" t="s">
        <v>926</v>
      </c>
      <c r="B13800" s="1" t="s">
        <v>81</v>
      </c>
      <c r="D13800" s="14" t="n">
        <f aca="false">Q!L31</f>
        <v>7.465</v>
      </c>
      <c r="E13800" s="14" t="n">
        <f aca="false">Q!M31</f>
        <v>7.453</v>
      </c>
      <c r="F13800" s="14" t="n">
        <f aca="false">Sens!F13843</f>
        <v>7.4735</v>
      </c>
      <c r="G13800" s="14" t="n">
        <f aca="false">Sens!G13843</f>
        <v>7.5185</v>
      </c>
      <c r="H13800" s="14" t="n">
        <f aca="false">Sens!H13843</f>
        <v>7.5635</v>
      </c>
      <c r="I13800" s="14" t="n">
        <f aca="false">Sens!I13843</f>
        <v>7.59755839883257</v>
      </c>
      <c r="J13800" s="14" t="n">
        <f aca="false">Sens!J13843</f>
        <v>7.61682906262565</v>
      </c>
      <c r="K13800" s="14" t="n">
        <f aca="false">Sens!K13843</f>
        <v>7.6333489803274</v>
      </c>
    </row>
    <row r="13801" customFormat="false" ht="17.15" hidden="false" customHeight="false" outlineLevel="0" collapsed="false">
      <c r="A13801" s="0" t="s">
        <v>927</v>
      </c>
      <c r="B13801" s="0" t="s">
        <v>75</v>
      </c>
      <c r="D13801" s="8" t="n">
        <f aca="false">Sens!D13799/Sens!D13800</f>
        <v>13.641259209645</v>
      </c>
      <c r="E13801" s="8" t="n">
        <f aca="false">Sens!E13799/Sens!E13800</f>
        <v>17.9456594659869</v>
      </c>
      <c r="F13801" s="8" t="n">
        <f aca="false">Sens!F13799/Sens!F13800</f>
        <v>15.7494266227159</v>
      </c>
      <c r="G13801" s="8" t="n">
        <f aca="false">Sens!G13799/Sens!G13800</f>
        <v>15.4162992221018</v>
      </c>
      <c r="H13801" s="8" t="n">
        <f aca="false">Sens!H13799/Sens!H13800</f>
        <v>14.6642316542756</v>
      </c>
      <c r="I13801" s="8" t="n">
        <f aca="false">Sens!I13799/Sens!I13800</f>
        <v>14.5542922994867</v>
      </c>
      <c r="J13801" s="8" t="n">
        <f aca="false">Sens!J13799/Sens!J13800</f>
        <v>14.9632407533482</v>
      </c>
      <c r="K13801" s="8" t="n">
        <f aca="false">Sens!K13799/Sens!K13800</f>
        <v>15.8055643584144</v>
      </c>
      <c r="L13801" s="1" t="s">
        <v>928</v>
      </c>
    </row>
    <row r="13802" customFormat="false" ht="17.15" hidden="false" customHeight="false" outlineLevel="0" collapsed="false">
      <c r="A13802" s="1" t="s">
        <v>929</v>
      </c>
      <c r="B13802" s="0" t="s">
        <v>98</v>
      </c>
      <c r="D13802" s="6" t="n">
        <f aca="false">Sens!D13799</f>
        <v>101.832</v>
      </c>
      <c r="E13802" s="6" t="n">
        <f aca="false">Sens!E13799</f>
        <v>133.749</v>
      </c>
      <c r="F13802" s="6" t="n">
        <f aca="false">Sens!F13799+Sens!F13792*(1-tax_f)</f>
        <v>125.827625065086</v>
      </c>
      <c r="G13802" s="6" t="n">
        <f aca="false">Sens!G13799+Sens!G13792*(1-tax_f)</f>
        <v>137.110596453097</v>
      </c>
      <c r="H13802" s="6" t="n">
        <f aca="false">Sens!H13799+Sens!H13792*(1-tax_f)</f>
        <v>146.422115580762</v>
      </c>
      <c r="I13802" s="6" t="n">
        <f aca="false">Sens!I13799+Sens!I13792*(1-tax_f)</f>
        <v>158.979367692129</v>
      </c>
      <c r="J13802" s="6" t="n">
        <f aca="false">Sens!J13799+Sens!J13792*(1-tax_f)</f>
        <v>171.475497008125</v>
      </c>
      <c r="K13802" s="6" t="n">
        <f aca="false">Sens!K13799+Sens!K13792*(1-tax_f)</f>
        <v>183.672526360463</v>
      </c>
    </row>
    <row r="13803" customFormat="false" ht="17.15" hidden="false" customHeight="false" outlineLevel="0" collapsed="false">
      <c r="A13803" s="0" t="s">
        <v>930</v>
      </c>
      <c r="B13803" s="0" t="s">
        <v>75</v>
      </c>
      <c r="D13803" s="8" t="n">
        <f aca="false">Sens!D13802/Sens!D13800</f>
        <v>13.641259209645</v>
      </c>
      <c r="E13803" s="8" t="n">
        <f aca="false">Sens!E13802/Sens!E13800</f>
        <v>17.9456594659869</v>
      </c>
      <c r="F13803" s="8" t="n">
        <f aca="false">Sens!F13802/Sens!F13800</f>
        <v>16.8365056620172</v>
      </c>
      <c r="G13803" s="8" t="n">
        <f aca="false">Sens!G13802/Sens!G13800</f>
        <v>18.2364296672337</v>
      </c>
      <c r="H13803" s="8" t="n">
        <f aca="false">Sens!H13802/Sens!H13800</f>
        <v>19.359042186919</v>
      </c>
      <c r="I13803" s="8" t="n">
        <f aca="false">Sens!I13802/Sens!I13800</f>
        <v>20.9250603083956</v>
      </c>
      <c r="J13803" s="8" t="n">
        <f aca="false">Sens!J13802/Sens!J13800</f>
        <v>22.5127143589874</v>
      </c>
      <c r="K13803" s="8" t="n">
        <f aca="false">Sens!K13802/Sens!K13800</f>
        <v>24.0618536940761</v>
      </c>
      <c r="L13803" s="1" t="s">
        <v>931</v>
      </c>
    </row>
    <row r="13804" customFormat="false" ht="17.15" hidden="false" customHeight="false" outlineLevel="0" collapsed="false">
      <c r="A13804" s="0" t="s">
        <v>932</v>
      </c>
      <c r="B13804" s="0" t="s">
        <v>129</v>
      </c>
      <c r="E13804" s="7" t="n">
        <f aca="false">Sens!E13803/Sens!D13803-1</f>
        <v>0.315542736208578</v>
      </c>
      <c r="F13804" s="7" t="n">
        <f aca="false">Sens!F13803/Sens!E13803-1</f>
        <v>-0.061806243792371</v>
      </c>
      <c r="G13804" s="7" t="n">
        <f aca="false">Sens!G13803/Sens!F13803-1</f>
        <v>0.0831481325946815</v>
      </c>
      <c r="H13804" s="7" t="n">
        <f aca="false">Sens!H13803/Sens!G13803-1</f>
        <v>0.0615587886538087</v>
      </c>
      <c r="I13804" s="7" t="n">
        <f aca="false">Sens!I13803/Sens!H13803-1</f>
        <v>0.0808933678823607</v>
      </c>
      <c r="J13804" s="7" t="n">
        <f aca="false">Sens!J13803/Sens!I13803-1</f>
        <v>0.0758733321286926</v>
      </c>
      <c r="K13804" s="7" t="n">
        <f aca="false">Sens!K13803/Sens!J13803-1</f>
        <v>0.0688117527893868</v>
      </c>
    </row>
    <row r="13805" customFormat="false" ht="17.15" hidden="false" customHeight="false" outlineLevel="0" collapsed="false">
      <c r="A13805" s="0" t="s">
        <v>856</v>
      </c>
      <c r="B13805" s="0" t="s">
        <v>98</v>
      </c>
      <c r="E13805" s="6" t="n">
        <f aca="false">Sens!E13746</f>
        <v>5.25</v>
      </c>
      <c r="F13805" s="6" t="n">
        <f aca="false">Sens!F13746</f>
        <v>10.5</v>
      </c>
      <c r="G13805" s="6" t="n">
        <f aca="false">Sens!G13746</f>
        <v>13.5</v>
      </c>
      <c r="H13805" s="6" t="n">
        <f aca="false">Sens!H13746</f>
        <v>16.5</v>
      </c>
      <c r="I13805" s="6" t="n">
        <f aca="false">Sens!I13746</f>
        <v>18.75</v>
      </c>
      <c r="J13805" s="6" t="n">
        <f aca="false">Sens!J13746</f>
        <v>20.25</v>
      </c>
      <c r="K13805" s="6" t="n">
        <f aca="false">Sens!K13746</f>
        <v>21.75</v>
      </c>
    </row>
    <row r="13806" customFormat="false" ht="17.15" hidden="false" customHeight="false" outlineLevel="0" collapsed="false">
      <c r="A13806" s="1" t="s">
        <v>857</v>
      </c>
      <c r="B13806" s="0" t="s">
        <v>98</v>
      </c>
      <c r="F13806" s="6" t="n">
        <f aca="false">MAX(0,((Sens!E13709+Sens!F13709)/2-(shadow_base*(Sens!$D$13709+Sens!$E$13709)/2+(1-shadow_base)*Sens!$E$13709))*Sens!F13717/1000-(Sens!F13805-Sens!$E$13805)*Sens!F13785)</f>
        <v>10.1553565002727</v>
      </c>
      <c r="G13806" s="6" t="n">
        <f aca="false">MAX(0,((Sens!F13709+Sens!G13709)/2-(shadow_base*(Sens!$D$13709+Sens!$E$13709)/2+(1-shadow_base)*Sens!$E$13709))*Sens!G13717/1000-(Sens!G13805-Sens!$E$13805)*Sens!G13785)</f>
        <v>26.5039384396555</v>
      </c>
      <c r="H13806" s="6" t="n">
        <f aca="false">MAX(0,((Sens!G13709+Sens!H13709)/2-(shadow_base*(Sens!$D$13709+Sens!$E$13709)/2+(1-shadow_base)*Sens!$E$13709))*Sens!H13717/1000-(Sens!H13805-Sens!$E$13805)*Sens!H13785)</f>
        <v>44.38649932956</v>
      </c>
      <c r="I13806" s="6" t="n">
        <f aca="false">MAX(0,((Sens!H13709+Sens!I13709)/2-(shadow_base*(Sens!$D$13709+Sens!$E$13709)/2+(1-shadow_base)*Sens!$E$13709))*Sens!I13717/1000-(Sens!I13805-Sens!$E$13805)*Sens!I13785)</f>
        <v>60.5028524913745</v>
      </c>
      <c r="J13806" s="6" t="n">
        <f aca="false">MAX(0,((Sens!I13709+Sens!J13709)/2-(shadow_base*(Sens!$D$13709+Sens!$E$13709)/2+(1-shadow_base)*Sens!$E$13709))*Sens!J13717/1000-(Sens!J13805-Sens!$E$13805)*Sens!J13785)</f>
        <v>71.8788124586976</v>
      </c>
      <c r="K13806" s="6" t="n">
        <f aca="false">MAX(0,((Sens!J13709+Sens!K13709)/2-(shadow_base*(Sens!$D$13709+Sens!$E$13709)/2+(1-shadow_base)*Sens!$E$13709))*Sens!K13717/1000-(Sens!K13805-Sens!$E$13805)*Sens!K13785)</f>
        <v>78.7789222270768</v>
      </c>
      <c r="L13806" s="1" t="s">
        <v>858</v>
      </c>
    </row>
    <row r="13807" customFormat="false" ht="17.15" hidden="false" customHeight="false" outlineLevel="0" collapsed="false">
      <c r="A13807" s="1" t="s">
        <v>859</v>
      </c>
      <c r="B13807" s="0" t="s">
        <v>98</v>
      </c>
      <c r="F13807" s="6" t="n">
        <f aca="false">IF(internal_ai_reading=2,1,0)*Sens!F13806</f>
        <v>10.1553565002727</v>
      </c>
      <c r="G13807" s="6" t="n">
        <f aca="false">IF(internal_ai_reading=2,1,0)*Sens!G13806</f>
        <v>26.5039384396555</v>
      </c>
      <c r="H13807" s="6" t="n">
        <f aca="false">IF(internal_ai_reading=2,1,0)*Sens!H13806</f>
        <v>44.38649932956</v>
      </c>
      <c r="I13807" s="6" t="n">
        <f aca="false">IF(internal_ai_reading=2,1,0)*Sens!I13806</f>
        <v>60.5028524913745</v>
      </c>
      <c r="J13807" s="6" t="n">
        <f aca="false">IF(internal_ai_reading=2,1,0)*Sens!J13806</f>
        <v>71.8788124586976</v>
      </c>
      <c r="K13807" s="6" t="n">
        <f aca="false">IF(internal_ai_reading=2,1,0)*Sens!K13806</f>
        <v>78.7789222270768</v>
      </c>
    </row>
    <row r="13808" customFormat="false" ht="17.15" hidden="false" customHeight="false" outlineLevel="0" collapsed="false">
      <c r="A13808" s="0" t="s">
        <v>860</v>
      </c>
      <c r="B13808" s="0" t="s">
        <v>98</v>
      </c>
      <c r="F13808" s="6" t="n">
        <f aca="false">Sens!F13726+Sens!F13805*Sens!F13785+Sens!F13807-Sens!F13727-Sens!F13737</f>
        <v>-13.3278158369031</v>
      </c>
      <c r="G13808" s="6" t="n">
        <f aca="false">Sens!G13726+Sens!G13805*Sens!G13785+Sens!G13807-Sens!G13727-Sens!G13737</f>
        <v>-18.9775210790277</v>
      </c>
      <c r="H13808" s="6" t="n">
        <f aca="false">Sens!H13726+Sens!H13805*Sens!H13785+Sens!H13807-Sens!H13727-Sens!H13737</f>
        <v>-27.4037770608709</v>
      </c>
      <c r="I13808" s="6" t="n">
        <f aca="false">Sens!I13726+Sens!I13805*Sens!I13785+Sens!I13807-Sens!I13727-Sens!I13737</f>
        <v>-31.3943032847612</v>
      </c>
      <c r="J13808" s="6" t="n">
        <f aca="false">Sens!J13726+Sens!J13805*Sens!J13785+Sens!J13807-Sens!J13727-Sens!J13737</f>
        <v>-34.3147051643818</v>
      </c>
      <c r="K13808" s="6" t="n">
        <f aca="false">Sens!K13726+Sens!K13805*Sens!K13785+Sens!K13807-Sens!K13727-Sens!K13737</f>
        <v>-35.6720343402344</v>
      </c>
    </row>
    <row r="13809" customFormat="false" ht="17.15" hidden="false" customHeight="false" outlineLevel="0" collapsed="false">
      <c r="A13809" s="0" t="s">
        <v>861</v>
      </c>
      <c r="B13809" s="0" t="s">
        <v>98</v>
      </c>
      <c r="E13809" s="6" t="n">
        <f aca="false">Sens!E13708*(cxit_open+self_build*tk_cxfac)/1000*ai_net_open</f>
        <v>126.6980382</v>
      </c>
      <c r="F13809" s="6" t="n">
        <f aca="false">Sens!E13809+Sens!F13734-Sens!F13737</f>
        <v>252.981026690511</v>
      </c>
      <c r="G13809" s="6" t="n">
        <f aca="false">Sens!F13809+Sens!G13734-Sens!G13737</f>
        <v>377.4297700632</v>
      </c>
      <c r="H13809" s="6" t="n">
        <f aca="false">Sens!G13809+Sens!H13734-Sens!H13737</f>
        <v>479.149036130289</v>
      </c>
      <c r="I13809" s="6" t="n">
        <f aca="false">Sens!H13809+Sens!I13734-Sens!I13737</f>
        <v>532.249961452141</v>
      </c>
      <c r="J13809" s="6" t="n">
        <f aca="false">Sens!I13809+Sens!J13734-Sens!J13737</f>
        <v>531.43307519354</v>
      </c>
      <c r="K13809" s="6" t="n">
        <f aca="false">Sens!J13809+Sens!K13734-Sens!K13737</f>
        <v>513.709026452823</v>
      </c>
      <c r="L13809" s="1" t="s">
        <v>862</v>
      </c>
    </row>
    <row r="13810" customFormat="false" ht="17.15" hidden="false" customHeight="false" outlineLevel="0" collapsed="false">
      <c r="A13810" s="0" t="s">
        <v>863</v>
      </c>
      <c r="B13810" s="0" t="s">
        <v>129</v>
      </c>
      <c r="F13810" s="7" t="n">
        <f aca="false">Sens!F13808*(1-tax_f)/((Sens!E13809+Sens!F13809)/2)</f>
        <v>-0.0561645539903402</v>
      </c>
      <c r="G13810" s="7" t="n">
        <f aca="false">Sens!G13808*(1-tax_f)/((Sens!F13809+Sens!G13809)/2)</f>
        <v>-0.0481654722330318</v>
      </c>
      <c r="H13810" s="7" t="n">
        <f aca="false">Sens!H13808*(1-tax_f)/((Sens!G13809+Sens!H13809)/2)</f>
        <v>-0.051187401533128</v>
      </c>
      <c r="I13810" s="7" t="n">
        <f aca="false">Sens!I13808*(1-tax_f)/((Sens!H13809+Sens!I13809)/2)</f>
        <v>-0.0496647568127771</v>
      </c>
      <c r="J13810" s="7" t="n">
        <f aca="false">Sens!J13808*(1-tax_f)/((Sens!I13809+Sens!J13809)/2)</f>
        <v>-0.0516164368251551</v>
      </c>
      <c r="K13810" s="7" t="n">
        <f aca="false">Sens!K13808*(1-tax_f)/((Sens!J13809+Sens!K13809)/2)</f>
        <v>-0.0546100428395977</v>
      </c>
    </row>
    <row r="13811" customFormat="false" ht="17.15" hidden="false" customHeight="false" outlineLevel="0" collapsed="false">
      <c r="A13811" s="1" t="s">
        <v>864</v>
      </c>
      <c r="B13811" s="0" t="s">
        <v>129</v>
      </c>
      <c r="F13811" s="7" t="n">
        <f aca="false">(Sens!F13808-Sens!F13807)*(1-tax_f)/((Sens!E13809+Sens!F13809)/2)</f>
        <v>-0.0989600934418555</v>
      </c>
      <c r="G13811" s="7" t="n">
        <f aca="false">(Sens!G13808-Sens!G13807)*(1-tax_f)/((Sens!F13809+Sens!G13809)/2)</f>
        <v>-0.115433199438561</v>
      </c>
      <c r="H13811" s="7" t="n">
        <f aca="false">(Sens!H13808-Sens!H13807)*(1-tax_f)/((Sens!G13809+Sens!H13809)/2)</f>
        <v>-0.134096759567436</v>
      </c>
      <c r="I13811" s="7" t="n">
        <f aca="false">(Sens!I13808-Sens!I13807)*(1-tax_f)/((Sens!H13809+Sens!I13809)/2)</f>
        <v>-0.145378282550486</v>
      </c>
      <c r="J13811" s="7" t="n">
        <f aca="false">(Sens!J13808-Sens!J13807)*(1-tax_f)/((Sens!I13809+Sens!J13809)/2)</f>
        <v>-0.159737085525718</v>
      </c>
      <c r="K13811" s="7" t="n">
        <f aca="false">(Sens!K13808-Sens!K13807)*(1-tax_f)/((Sens!J13809+Sens!K13809)/2)</f>
        <v>-0.175212088594685</v>
      </c>
    </row>
    <row r="13812" customFormat="false" ht="17.15" hidden="false" customHeight="false" outlineLevel="0" collapsed="false">
      <c r="A13812" s="1" t="s">
        <v>865</v>
      </c>
      <c r="B13812" s="0" t="s">
        <v>129</v>
      </c>
      <c r="F13812" s="7" t="n">
        <f aca="false">(Sens!F13808-Sens!F13807+Sens!F13806)*(1-tax_f)/((Sens!E13809+Sens!F13809)/2)</f>
        <v>-0.0561645539903402</v>
      </c>
      <c r="G13812" s="7" t="n">
        <f aca="false">(Sens!G13808-Sens!G13807+Sens!G13806)*(1-tax_f)/((Sens!F13809+Sens!G13809)/2)</f>
        <v>-0.0481654722330318</v>
      </c>
      <c r="H13812" s="7" t="n">
        <f aca="false">(Sens!H13808-Sens!H13807+Sens!H13806)*(1-tax_f)/((Sens!G13809+Sens!H13809)/2)</f>
        <v>-0.051187401533128</v>
      </c>
      <c r="I13812" s="7" t="n">
        <f aca="false">(Sens!I13808-Sens!I13807+Sens!I13806)*(1-tax_f)/((Sens!H13809+Sens!I13809)/2)</f>
        <v>-0.0496647568127771</v>
      </c>
      <c r="J13812" s="7" t="n">
        <f aca="false">(Sens!J13808-Sens!J13807+Sens!J13806)*(1-tax_f)/((Sens!I13809+Sens!J13809)/2)</f>
        <v>-0.0516164368251551</v>
      </c>
      <c r="K13812" s="7" t="n">
        <f aca="false">(Sens!K13808-Sens!K13807+Sens!K13806)*(1-tax_f)/((Sens!J13809+Sens!K13809)/2)</f>
        <v>-0.0546100428395977</v>
      </c>
    </row>
    <row r="13813" customFormat="false" ht="17.15" hidden="false" customHeight="false" outlineLevel="0" collapsed="false">
      <c r="A13813" s="1" t="s">
        <v>866</v>
      </c>
      <c r="B13813" s="0" t="s">
        <v>129</v>
      </c>
      <c r="F13813" s="7" t="n">
        <f aca="false">Sens!F13738*(1-tax_f)/(Sens!F13725*(Sens!E13809+Sens!F13809)/2)</f>
        <v>-0.0654962915144846</v>
      </c>
      <c r="G13813" s="7" t="n">
        <f aca="false">Sens!G13738*(1-tax_f)/(Sens!G13725*(Sens!F13809+Sens!G13809)/2)</f>
        <v>-0.0793327264644872</v>
      </c>
      <c r="H13813" s="7" t="n">
        <f aca="false">Sens!H13738*(1-tax_f)/(Sens!H13725*(Sens!G13809+Sens!H13809)/2)</f>
        <v>-0.0977632850234056</v>
      </c>
      <c r="I13813" s="7" t="n">
        <f aca="false">Sens!I13738*(1-tax_f)/(Sens!I13725*(Sens!H13809+Sens!I13809)/2)</f>
        <v>-0.103399893504845</v>
      </c>
      <c r="J13813" s="7" t="n">
        <f aca="false">Sens!J13738*(1-tax_f)/(Sens!J13725*(Sens!I13809+Sens!J13809)/2)</f>
        <v>-0.112228337580937</v>
      </c>
      <c r="K13813" s="7" t="n">
        <f aca="false">Sens!K13738*(1-tax_f)/(Sens!K13725*(Sens!J13809+Sens!K13809)/2)</f>
        <v>-0.122251548808896</v>
      </c>
    </row>
    <row r="13814" customFormat="false" ht="17.15" hidden="false" customHeight="false" outlineLevel="0" collapsed="false">
      <c r="A13814" s="0" t="s">
        <v>867</v>
      </c>
      <c r="B13814" s="0" t="s">
        <v>209</v>
      </c>
      <c r="F13814" s="7" t="n">
        <f aca="false">Sens!F13810-wacc</f>
        <v>-0.159098974083216</v>
      </c>
      <c r="G13814" s="7" t="n">
        <f aca="false">Sens!G13810-wacc</f>
        <v>-0.151099892325908</v>
      </c>
      <c r="H13814" s="7" t="n">
        <f aca="false">Sens!H13810-wacc</f>
        <v>-0.154121821626004</v>
      </c>
      <c r="I13814" s="7" t="n">
        <f aca="false">Sens!I13810-wacc</f>
        <v>-0.152599176905653</v>
      </c>
      <c r="J13814" s="7" t="n">
        <f aca="false">Sens!J13810-wacc</f>
        <v>-0.154550856918031</v>
      </c>
      <c r="K13814" s="7" t="n">
        <f aca="false">Sens!K13810-wacc</f>
        <v>-0.157544462932473</v>
      </c>
    </row>
    <row r="13815" customFormat="false" ht="17.15" hidden="false" customHeight="false" outlineLevel="0" collapsed="false">
      <c r="A13815" s="0" t="s">
        <v>868</v>
      </c>
      <c r="B13815" s="0" t="s">
        <v>98</v>
      </c>
      <c r="F13815" s="6" t="n">
        <f aca="false">Sens!F13808*(1-tax_f)-wacc*(Sens!E13809+Sens!F13809)/2</f>
        <v>-30.2032748524775</v>
      </c>
      <c r="G13815" s="6" t="n">
        <f aca="false">Sens!G13808*(1-tax_f)-wacc*(Sens!F13809+Sens!G13809)/2</f>
        <v>-47.6275017552877</v>
      </c>
      <c r="H13815" s="6" t="n">
        <f aca="false">Sens!H13808*(1-tax_f)-wacc*(Sens!G13809+Sens!H13809)/2</f>
        <v>-66.008742988384</v>
      </c>
      <c r="I13815" s="6" t="n">
        <f aca="false">Sens!I13808*(1-tax_f)-wacc*(Sens!H13809+Sens!I13809)/2</f>
        <v>-77.1693272771406</v>
      </c>
      <c r="J13815" s="6" t="n">
        <f aca="false">Sens!J13808*(1-tax_f)-wacc*(Sens!I13809+Sens!J13809)/2</f>
        <v>-82.1965624013816</v>
      </c>
      <c r="K13815" s="6" t="n">
        <f aca="false">Sens!K13808*(1-tax_f)-wacc*(Sens!J13809+Sens!K13809)/2</f>
        <v>-82.3281755459964</v>
      </c>
    </row>
    <row r="13816" customFormat="false" ht="17.15" hidden="false" customHeight="false" outlineLevel="0" collapsed="false">
      <c r="A13816" s="3" t="s">
        <v>1612</v>
      </c>
    </row>
    <row r="13817" customFormat="false" ht="15" hidden="false" customHeight="false" outlineLevel="0" collapsed="false">
      <c r="A13817" s="4" t="s">
        <v>43</v>
      </c>
      <c r="B13817" s="4" t="s">
        <v>65</v>
      </c>
      <c r="C13817" s="20" t="s">
        <v>799</v>
      </c>
      <c r="D13817" s="20" t="s">
        <v>800</v>
      </c>
      <c r="E13817" s="20" t="s">
        <v>801</v>
      </c>
      <c r="F13817" s="20" t="s">
        <v>802</v>
      </c>
      <c r="G13817" s="20" t="s">
        <v>803</v>
      </c>
      <c r="H13817" s="20" t="s">
        <v>804</v>
      </c>
      <c r="I13817" s="20" t="s">
        <v>805</v>
      </c>
      <c r="J13817" s="20" t="s">
        <v>806</v>
      </c>
      <c r="K13817" s="20" t="s">
        <v>807</v>
      </c>
      <c r="L13817" s="4" t="s">
        <v>47</v>
      </c>
    </row>
    <row r="13818" customFormat="false" ht="15" hidden="false" customHeight="false" outlineLevel="0" collapsed="false">
      <c r="A13818" s="1" t="s">
        <v>925</v>
      </c>
      <c r="B13818" s="0" t="s">
        <v>98</v>
      </c>
      <c r="F13818" s="6" t="n">
        <f aca="false">Sens!F13799</f>
        <v>117.703339864867</v>
      </c>
      <c r="G13818" s="6" t="n">
        <f aca="false">Sens!G13799</f>
        <v>115.907445701372</v>
      </c>
      <c r="H13818" s="6" t="n">
        <f aca="false">Sens!H13799</f>
        <v>110.912916117114</v>
      </c>
      <c r="I13818" s="6" t="n">
        <f aca="false">Sens!I13799</f>
        <v>110.577085699029</v>
      </c>
      <c r="J13818" s="6" t="n">
        <f aca="false">Sens!J13799</f>
        <v>113.972447041167</v>
      </c>
      <c r="K13818" s="6" t="n">
        <f aca="false">Sens!K13799</f>
        <v>120.649388578801</v>
      </c>
    </row>
    <row r="13819" customFormat="false" ht="17.15" hidden="false" customHeight="false" outlineLevel="0" collapsed="false">
      <c r="A13819" s="1" t="s">
        <v>947</v>
      </c>
      <c r="B13819" s="0" t="s">
        <v>98</v>
      </c>
      <c r="E13819" s="6" t="n">
        <f aca="false">Q!M38-Sens!E13737</f>
        <v>22.2285940229167</v>
      </c>
      <c r="F13819" s="6" t="n">
        <f aca="false">Sens!E13819*(1-1/life_nonai)+(Sens!F13826+Sens!F13827)/life_nonai</f>
        <v>24.3924470334783</v>
      </c>
      <c r="G13819" s="6" t="n">
        <f aca="false">Sens!F13819*(1-1/life_nonai)+(Sens!G13826)/life_nonai</f>
        <v>26.0234916871694</v>
      </c>
      <c r="H13819" s="6" t="n">
        <f aca="false">Sens!G13819*(1-1/life_nonai)+(Sens!H13826)/life_nonai</f>
        <v>28.0272938828615</v>
      </c>
      <c r="I13819" s="6" t="n">
        <f aca="false">Sens!H13819*(1-1/life_nonai)+(Sens!I13826)/life_nonai</f>
        <v>30.3469045257397</v>
      </c>
      <c r="J13819" s="6" t="n">
        <f aca="false">Sens!I13819*(1-1/life_nonai)+(Sens!J13826)/life_nonai</f>
        <v>32.9078053982031</v>
      </c>
      <c r="K13819" s="6" t="n">
        <f aca="false">Sens!J13819*(1-1/life_nonai)+(Sens!K13826)/life_nonai</f>
        <v>35.6263951325822</v>
      </c>
      <c r="L13819" s="11" t="s">
        <v>948</v>
      </c>
    </row>
    <row r="13820" customFormat="false" ht="17.15" hidden="false" customHeight="false" outlineLevel="0" collapsed="false">
      <c r="A13820" s="1" t="s">
        <v>949</v>
      </c>
      <c r="B13820" s="0" t="s">
        <v>98</v>
      </c>
      <c r="F13820" s="6" t="n">
        <f aca="false">Sens!$F$13827/life_nonai*(1-1/life_nonai)^(Sens!F13703-2027)</f>
        <v>0.843777689897088</v>
      </c>
      <c r="G13820" s="6" t="n">
        <f aca="false">Sens!$F$13827/life_nonai*(1-1/life_nonai)^(Sens!G13703-2027)</f>
        <v>0.759399920907379</v>
      </c>
      <c r="H13820" s="6" t="n">
        <f aca="false">Sens!$F$13827/life_nonai*(1-1/life_nonai)^(Sens!H13703-2027)</f>
        <v>0.683459928816641</v>
      </c>
      <c r="I13820" s="6" t="n">
        <f aca="false">Sens!$F$13827/life_nonai*(1-1/life_nonai)^(Sens!I13703-2027)</f>
        <v>0.615113935934977</v>
      </c>
      <c r="J13820" s="6" t="n">
        <f aca="false">Sens!$F$13827/life_nonai*(1-1/life_nonai)^(Sens!J13703-2027)</f>
        <v>0.55360254234148</v>
      </c>
      <c r="K13820" s="6" t="n">
        <f aca="false">Sens!$F$13827/life_nonai*(1-1/life_nonai)^(Sens!K13703-2027)</f>
        <v>0.498242288107332</v>
      </c>
      <c r="L13820" s="1" t="s">
        <v>950</v>
      </c>
    </row>
    <row r="13821" customFormat="false" ht="17.15" hidden="false" customHeight="false" outlineLevel="0" collapsed="false">
      <c r="A13821" s="1" t="s">
        <v>951</v>
      </c>
      <c r="B13821" s="0" t="s">
        <v>98</v>
      </c>
      <c r="E13821" s="6" t="n">
        <f aca="false">Sens!E13737+Sens!E13819</f>
        <v>38.534</v>
      </c>
      <c r="F13821" s="6" t="n">
        <f aca="false">Sens!F13737+Sens!F13819</f>
        <v>58.4423344144339</v>
      </c>
      <c r="G13821" s="6" t="n">
        <f aca="false">Sens!G13737+Sens!G13819</f>
        <v>85.1489287976805</v>
      </c>
      <c r="H13821" s="6" t="n">
        <f aca="false">Sens!H13737+Sens!H13819</f>
        <v>114.388313726173</v>
      </c>
      <c r="I13821" s="6" t="n">
        <f aca="false">Sens!I13737+Sens!I13819</f>
        <v>140.952648358132</v>
      </c>
      <c r="J13821" s="6" t="n">
        <f aca="false">Sens!J13737+Sens!J13819</f>
        <v>160.906128251046</v>
      </c>
      <c r="K13821" s="6" t="n">
        <f aca="false">Sens!K13737+Sens!K13819</f>
        <v>174.75785917689</v>
      </c>
    </row>
    <row r="13822" customFormat="false" ht="17.15" hidden="false" customHeight="false" outlineLevel="0" collapsed="false">
      <c r="A13822" s="1" t="s">
        <v>952</v>
      </c>
      <c r="B13822" s="0" t="s">
        <v>98</v>
      </c>
      <c r="F13822" s="6" t="n">
        <f aca="false">Sens!F13764*sbc_r</f>
        <v>13.8148190919652</v>
      </c>
      <c r="G13822" s="6" t="n">
        <f aca="false">Sens!G13764*sbc_r</f>
        <v>15.7330375936058</v>
      </c>
      <c r="H13822" s="6" t="n">
        <f aca="false">Sens!H13764*sbc_r</f>
        <v>17.5872669338263</v>
      </c>
      <c r="I13822" s="6" t="n">
        <f aca="false">Sens!I13764*sbc_r</f>
        <v>19.4763548883464</v>
      </c>
      <c r="J13822" s="6" t="n">
        <f aca="false">Sens!J13764*sbc_r</f>
        <v>21.1306452143479</v>
      </c>
      <c r="K13822" s="6" t="n">
        <f aca="false">Sens!K13764*sbc_r</f>
        <v>22.5494018794533</v>
      </c>
    </row>
    <row r="13823" customFormat="false" ht="17.15" hidden="false" customHeight="false" outlineLevel="0" collapsed="false">
      <c r="A13823" s="1" t="s">
        <v>953</v>
      </c>
      <c r="B13823" s="0" t="s">
        <v>98</v>
      </c>
      <c r="F13823" s="6" t="n">
        <f aca="false">wc27</f>
        <v>-4.895</v>
      </c>
      <c r="G13823" s="6" t="n">
        <f aca="false">wc_f</f>
        <v>0</v>
      </c>
      <c r="H13823" s="6" t="n">
        <f aca="false">wc_f</f>
        <v>0</v>
      </c>
      <c r="I13823" s="6" t="n">
        <f aca="false">wc_f</f>
        <v>0</v>
      </c>
      <c r="J13823" s="6" t="n">
        <f aca="false">wc_f</f>
        <v>0</v>
      </c>
      <c r="K13823" s="6" t="n">
        <f aca="false">wc_f</f>
        <v>0</v>
      </c>
      <c r="L13823" s="11" t="s">
        <v>954</v>
      </c>
    </row>
    <row r="13824" customFormat="false" ht="15" hidden="false" customHeight="false" outlineLevel="0" collapsed="false">
      <c r="A13824" s="1" t="s">
        <v>767</v>
      </c>
      <c r="B13824" s="0" t="s">
        <v>98</v>
      </c>
      <c r="E13824" s="6" t="n">
        <f aca="false">Q!M35</f>
        <v>182.935</v>
      </c>
      <c r="F13824" s="6" t="n">
        <f aca="false">Sens!F13818+Sens!F13821+Sens!F13822+Sens!F13823</f>
        <v>185.065493371266</v>
      </c>
      <c r="G13824" s="6" t="n">
        <f aca="false">Sens!G13818+Sens!G13821+Sens!G13822+Sens!G13823</f>
        <v>216.789412092659</v>
      </c>
      <c r="H13824" s="6" t="n">
        <f aca="false">Sens!H13818+Sens!H13821+Sens!H13822+Sens!H13823</f>
        <v>242.888496777113</v>
      </c>
      <c r="I13824" s="6" t="n">
        <f aca="false">Sens!I13818+Sens!I13821+Sens!I13822+Sens!I13823</f>
        <v>271.006088945508</v>
      </c>
      <c r="J13824" s="6" t="n">
        <f aca="false">Sens!J13818+Sens!J13821+Sens!J13822+Sens!J13823</f>
        <v>296.009220506561</v>
      </c>
      <c r="K13824" s="6" t="n">
        <f aca="false">Sens!K13818+Sens!K13821+Sens!K13822+Sens!K13823</f>
        <v>317.956649635145</v>
      </c>
    </row>
    <row r="13825" customFormat="false" ht="17.15" hidden="false" customHeight="false" outlineLevel="0" collapsed="false">
      <c r="A13825" s="0" t="s">
        <v>955</v>
      </c>
      <c r="B13825" s="0" t="s">
        <v>98</v>
      </c>
      <c r="F13825" s="6" t="n">
        <f aca="false">Sens!F13734</f>
        <v>160.332875871467</v>
      </c>
      <c r="G13825" s="6" t="n">
        <f aca="false">Sens!G13734</f>
        <v>183.5741804832</v>
      </c>
      <c r="H13825" s="6" t="n">
        <f aca="false">Sens!H13734</f>
        <v>188.0802859104</v>
      </c>
      <c r="I13825" s="6" t="n">
        <f aca="false">Sens!I13734</f>
        <v>163.706669154245</v>
      </c>
      <c r="J13825" s="6" t="n">
        <f aca="false">Sens!J13734</f>
        <v>127.181436594242</v>
      </c>
      <c r="K13825" s="6" t="n">
        <f aca="false">Sens!K13734</f>
        <v>121.407415303591</v>
      </c>
    </row>
    <row r="13826" customFormat="false" ht="17.15" hidden="false" customHeight="false" outlineLevel="0" collapsed="false">
      <c r="A13826" s="1" t="s">
        <v>956</v>
      </c>
      <c r="B13826" s="0" t="s">
        <v>98</v>
      </c>
      <c r="E13826" s="6" t="n">
        <f aca="false">Sens!E13742*cx_azo+Sens!E13749*cx_m365+Sens!E13750*cx_lic+(Sens!E13752+Sens!E13754)*cx_ind+Sens!E13757*cx_srch+(Sens!E13759+Sens!E13761)*cx_dev</f>
        <v>30.1846587067718</v>
      </c>
      <c r="F13826" s="6" t="n">
        <f aca="false">Sens!F13742*cx_azo+Sens!F13749*cx_m365+Sens!F13750*cx_lic+(Sens!F13752+Sens!F13754)*cx_ind+Sens!F13757*cx_srch+(Sens!F13759+Sens!F13761)*cx_dev</f>
        <v>35.4293472295625</v>
      </c>
      <c r="G13826" s="6" t="n">
        <f aca="false">Sens!G13742*cx_azo+Sens!G13749*cx_m365+Sens!G13750*cx_lic+(Sens!G13752+Sens!G13754)*cx_ind+Sens!G13757*cx_srch+(Sens!G13759+Sens!G13761)*cx_dev</f>
        <v>40.7028935703892</v>
      </c>
      <c r="H13826" s="6" t="n">
        <f aca="false">Sens!H13742*cx_azo+Sens!H13749*cx_m365+Sens!H13750*cx_lic+(Sens!H13752+Sens!H13754)*cx_ind+Sens!H13757*cx_srch+(Sens!H13759+Sens!H13761)*cx_dev</f>
        <v>46.0615136440897</v>
      </c>
      <c r="I13826" s="6" t="n">
        <f aca="false">Sens!I13742*cx_azo+Sens!I13749*cx_m365+Sens!I13750*cx_lic+(Sens!I13752+Sens!I13754)*cx_ind+Sens!I13757*cx_srch+(Sens!I13759+Sens!I13761)*cx_dev</f>
        <v>51.2234003116439</v>
      </c>
      <c r="J13826" s="6" t="n">
        <f aca="false">Sens!J13742*cx_azo+Sens!J13749*cx_m365+Sens!J13750*cx_lic+(Sens!J13752+Sens!J13754)*cx_ind+Sens!J13757*cx_srch+(Sens!J13759+Sens!J13761)*cx_dev</f>
        <v>55.9559132503738</v>
      </c>
      <c r="K13826" s="6" t="n">
        <f aca="false">Sens!K13742*cx_azo+Sens!K13749*cx_m365+Sens!K13750*cx_lic+(Sens!K13752+Sens!K13754)*cx_ind+Sens!K13757*cx_srch+(Sens!K13759+Sens!K13761)*cx_dev</f>
        <v>60.093702741994</v>
      </c>
    </row>
    <row r="13827" customFormat="false" ht="17.15" hidden="false" customHeight="false" outlineLevel="0" collapsed="false">
      <c r="A13827" s="0" t="s">
        <v>957</v>
      </c>
      <c r="B13827" s="0" t="s">
        <v>98</v>
      </c>
      <c r="F13827" s="6" t="n">
        <f aca="false">Sens!F13732</f>
        <v>8.43777689897088</v>
      </c>
      <c r="L13827" s="1" t="s">
        <v>958</v>
      </c>
    </row>
    <row r="13828" customFormat="false" ht="17.15" hidden="false" customHeight="false" outlineLevel="0" collapsed="false">
      <c r="A13828" s="1" t="s">
        <v>959</v>
      </c>
      <c r="B13828" s="0" t="s">
        <v>98</v>
      </c>
      <c r="E13828" s="6" t="n">
        <f aca="false">Q!M42</f>
        <v>145.3</v>
      </c>
      <c r="F13828" s="6" t="n">
        <f aca="false">Sens!F13825+Sens!F13826+Sens!F13827</f>
        <v>204.2</v>
      </c>
      <c r="G13828" s="6" t="n">
        <f aca="false">Sens!G13825+Sens!G13826</f>
        <v>224.277074053589</v>
      </c>
      <c r="H13828" s="6" t="n">
        <f aca="false">Sens!H13825+Sens!H13826</f>
        <v>234.14179955449</v>
      </c>
      <c r="I13828" s="6" t="n">
        <f aca="false">Sens!I13825+Sens!I13826</f>
        <v>214.930069465889</v>
      </c>
      <c r="J13828" s="6" t="n">
        <f aca="false">Sens!J13825+Sens!J13826</f>
        <v>183.137349844616</v>
      </c>
      <c r="K13828" s="6" t="n">
        <f aca="false">Sens!K13825+Sens!K13826</f>
        <v>181.501118045585</v>
      </c>
      <c r="L13828" s="1" t="s">
        <v>960</v>
      </c>
    </row>
    <row r="13829" customFormat="false" ht="15" hidden="false" customHeight="false" outlineLevel="0" collapsed="false">
      <c r="A13829" s="1" t="s">
        <v>961</v>
      </c>
      <c r="B13829" s="0" t="s">
        <v>98</v>
      </c>
      <c r="E13829" s="6" t="n">
        <f aca="false">fl_liab</f>
        <v>66.594</v>
      </c>
      <c r="F13829" s="6" t="n">
        <f aca="false">Sens!E13829-Sens!F13830</f>
        <v>62.46973</v>
      </c>
      <c r="G13829" s="6" t="n">
        <f aca="false">Sens!F13829-Sens!G13830</f>
        <v>57.98686785</v>
      </c>
      <c r="H13829" s="6" t="n">
        <f aca="false">Sens!G13829-Sens!H13830</f>
        <v>53.92827690325</v>
      </c>
      <c r="I13829" s="6" t="n">
        <f aca="false">Sens!H13829-Sens!I13830</f>
        <v>49.7850493638962</v>
      </c>
      <c r="J13829" s="6" t="n">
        <f aca="false">Sens!I13829-Sens!J13830</f>
        <v>45.4823765852716</v>
      </c>
      <c r="K13829" s="6" t="n">
        <f aca="false">Sens!J13829-Sens!K13830</f>
        <v>40.9860835316088</v>
      </c>
    </row>
    <row r="13830" customFormat="false" ht="15" hidden="false" customHeight="false" outlineLevel="0" collapsed="false">
      <c r="A13830" s="1" t="s">
        <v>962</v>
      </c>
      <c r="B13830" s="0" t="s">
        <v>98</v>
      </c>
      <c r="F13830" s="6" t="n">
        <f aca="false">fl_pay_27-Sens!E13829*fl_rate</f>
        <v>4.12427</v>
      </c>
      <c r="G13830" s="6" t="n">
        <f aca="false">fl_pay_28-Sens!F13829*fl_rate</f>
        <v>4.48286215</v>
      </c>
      <c r="H13830" s="6" t="n">
        <f aca="false">fl_pay_29-Sens!G13829*fl_rate</f>
        <v>4.05859094675</v>
      </c>
      <c r="I13830" s="6" t="n">
        <f aca="false">fl_pay_30-Sens!H13829*fl_rate</f>
        <v>4.14322753935375</v>
      </c>
      <c r="J13830" s="6" t="n">
        <f aca="false">fl_pay_31-Sens!I13829*fl_rate</f>
        <v>4.30267277862467</v>
      </c>
      <c r="K13830" s="6" t="n">
        <f aca="false">fl_pay_32-Sens!J13829*fl_rate</f>
        <v>4.49629305366278</v>
      </c>
    </row>
    <row r="13831" customFormat="false" ht="17.15" hidden="false" customHeight="false" outlineLevel="0" collapsed="false">
      <c r="A13831" s="1" t="s">
        <v>963</v>
      </c>
      <c r="B13831" s="0" t="s">
        <v>98</v>
      </c>
      <c r="E13831" s="6" t="n">
        <f aca="false">Q!M35-Q!M36-Q!M43</f>
        <v>63.886</v>
      </c>
      <c r="F13831" s="6" t="n">
        <f aca="false">Sens!F13824-Sens!F13828-Sens!F13830</f>
        <v>-23.2587766287335</v>
      </c>
      <c r="G13831" s="6" t="n">
        <f aca="false">Sens!G13824-Sens!G13828-Sens!G13830</f>
        <v>-11.9705241109307</v>
      </c>
      <c r="H13831" s="6" t="n">
        <f aca="false">Sens!H13824-Sens!H13828-Sens!H13830</f>
        <v>4.68810627587308</v>
      </c>
      <c r="I13831" s="6" t="n">
        <f aca="false">Sens!I13824-Sens!I13828-Sens!I13830</f>
        <v>51.9327919402648</v>
      </c>
      <c r="J13831" s="6" t="n">
        <f aca="false">Sens!J13824-Sens!J13828-Sens!J13830</f>
        <v>108.569197883321</v>
      </c>
      <c r="K13831" s="6" t="n">
        <f aca="false">Sens!K13824-Sens!K13828-Sens!K13830</f>
        <v>131.959238535898</v>
      </c>
      <c r="L13831" s="11" t="s">
        <v>964</v>
      </c>
    </row>
    <row r="13832" customFormat="false" ht="15" hidden="false" customHeight="false" outlineLevel="0" collapsed="false">
      <c r="A13832" s="1" t="s">
        <v>965</v>
      </c>
      <c r="B13832" s="0" t="s">
        <v>75</v>
      </c>
      <c r="F13832" s="8" t="n">
        <f aca="false">dps_27</f>
        <v>3.85</v>
      </c>
      <c r="G13832" s="8" t="n">
        <f aca="false">Sens!F13832*(1+dps_g)</f>
        <v>4.158</v>
      </c>
      <c r="H13832" s="8" t="n">
        <f aca="false">Sens!G13832*(1+dps_g)</f>
        <v>4.49064</v>
      </c>
      <c r="I13832" s="8" t="n">
        <f aca="false">Sens!H13832*(1+dps_g)</f>
        <v>4.8498912</v>
      </c>
      <c r="J13832" s="8" t="n">
        <f aca="false">Sens!I13832*(1+dps_g)</f>
        <v>5.237882496</v>
      </c>
      <c r="K13832" s="8" t="n">
        <f aca="false">Sens!J13832*(1+dps_g)</f>
        <v>5.65691309568</v>
      </c>
    </row>
    <row r="13833" customFormat="false" ht="17.15" hidden="false" customHeight="false" outlineLevel="0" collapsed="false">
      <c r="A13833" s="1" t="s">
        <v>966</v>
      </c>
      <c r="B13833" s="0" t="s">
        <v>98</v>
      </c>
      <c r="E13833" s="6" t="n">
        <f aca="false">Q!M41</f>
        <v>26.445</v>
      </c>
      <c r="F13833" s="6" t="n">
        <f aca="false">Sens!F13832*Sens!E13842</f>
        <v>28.59395</v>
      </c>
      <c r="G13833" s="6" t="n">
        <f aca="false">Sens!G13832*Sens!F13842</f>
        <v>31.068576</v>
      </c>
      <c r="H13833" s="6" t="n">
        <f aca="false">Sens!H13832*Sens!G13842</f>
        <v>33.75614088</v>
      </c>
      <c r="I13833" s="6" t="n">
        <f aca="false">Sens!I13832*Sens!H13842</f>
        <v>36.6748772544</v>
      </c>
      <c r="J13833" s="6" t="n">
        <f aca="false">Sens!J13832*Sens!I13842</f>
        <v>39.7299505046058</v>
      </c>
      <c r="K13833" s="6" t="n">
        <f aca="false">Sens!K13832*Sens!J13842</f>
        <v>42.9956017702793</v>
      </c>
      <c r="L13833" s="1" t="s">
        <v>967</v>
      </c>
    </row>
    <row r="13834" customFormat="false" ht="15" hidden="false" customHeight="false" outlineLevel="0" collapsed="false">
      <c r="A13834" s="1" t="s">
        <v>968</v>
      </c>
      <c r="B13834" s="0" t="s">
        <v>98</v>
      </c>
      <c r="E13834" s="6" t="n">
        <f aca="false">Sens!E13831-Sens!E13833</f>
        <v>37.441</v>
      </c>
      <c r="F13834" s="6" t="n">
        <f aca="false">Sens!F13831-Sens!F13833</f>
        <v>-51.8527266287335</v>
      </c>
      <c r="G13834" s="6" t="n">
        <f aca="false">Sens!G13831-Sens!G13833</f>
        <v>-43.0391001109307</v>
      </c>
      <c r="H13834" s="6" t="n">
        <f aca="false">Sens!H13831-Sens!H13833</f>
        <v>-29.0680346041269</v>
      </c>
      <c r="I13834" s="6" t="n">
        <f aca="false">Sens!I13831-Sens!I13833</f>
        <v>15.2579146858648</v>
      </c>
      <c r="J13834" s="6" t="n">
        <f aca="false">Sens!J13831-Sens!J13833</f>
        <v>68.839247378715</v>
      </c>
      <c r="K13834" s="6" t="n">
        <f aca="false">Sens!K13831-Sens!K13833</f>
        <v>88.9636367656184</v>
      </c>
    </row>
    <row r="13835" customFormat="false" ht="15" hidden="false" customHeight="false" outlineLevel="0" collapsed="false">
      <c r="A13835" s="1" t="s">
        <v>969</v>
      </c>
      <c r="B13835" s="0" t="s">
        <v>98</v>
      </c>
      <c r="F13835" s="6" t="n">
        <f aca="false">debt_mat_27</f>
        <v>9.25</v>
      </c>
      <c r="G13835" s="6" t="n">
        <f aca="false">debt_mat_28</f>
        <v>0</v>
      </c>
      <c r="H13835" s="6" t="n">
        <f aca="false">debt_mat_29</f>
        <v>2.001</v>
      </c>
      <c r="I13835" s="6" t="n">
        <f aca="false">debt_mat_30</f>
        <v>0</v>
      </c>
      <c r="J13835" s="6" t="n">
        <f aca="false">debt_mat_31</f>
        <v>0.5</v>
      </c>
      <c r="K13835" s="6" t="n">
        <f aca="false">debt_mat_32</f>
        <v>0</v>
      </c>
    </row>
    <row r="13836" customFormat="false" ht="15" hidden="false" customHeight="false" outlineLevel="0" collapsed="false">
      <c r="A13836" s="1" t="s">
        <v>970</v>
      </c>
      <c r="B13836" s="0" t="s">
        <v>98</v>
      </c>
      <c r="E13836" s="6" t="n">
        <f aca="false">Q!M40</f>
        <v>22.271</v>
      </c>
      <c r="F13836" s="6" t="n">
        <f aca="false">MAX(0,MIN(bb_target,Sens!E13838+Sens!F13834-Sens!F13835-min_cash))</f>
        <v>0</v>
      </c>
      <c r="G13836" s="6" t="n">
        <f aca="false">MAX(0,MIN(bb_target,Sens!F13838+Sens!G13834-Sens!G13835-min_cash))</f>
        <v>0</v>
      </c>
      <c r="H13836" s="6" t="n">
        <f aca="false">MAX(0,MIN(bb_target,Sens!G13838+Sens!H13834-Sens!H13835-min_cash))</f>
        <v>0</v>
      </c>
      <c r="I13836" s="6" t="n">
        <f aca="false">MAX(0,MIN(bb_target,Sens!H13838+Sens!I13834-Sens!I13835-min_cash))</f>
        <v>15.2579146858648</v>
      </c>
      <c r="J13836" s="6" t="n">
        <f aca="false">MAX(0,MIN(bb_target,Sens!I13838+Sens!J13834-Sens!J13835-min_cash))</f>
        <v>22.271</v>
      </c>
      <c r="K13836" s="6" t="n">
        <f aca="false">MAX(0,MIN(bb_target,Sens!J13838+Sens!K13834-Sens!K13835-min_cash))</f>
        <v>22.271</v>
      </c>
    </row>
    <row r="13837" customFormat="false" ht="15" hidden="false" customHeight="false" outlineLevel="0" collapsed="false">
      <c r="A13837" s="1" t="s">
        <v>971</v>
      </c>
      <c r="B13837" s="0" t="s">
        <v>98</v>
      </c>
      <c r="F13837" s="6" t="n">
        <f aca="false">MAX(0,min_cash-(Sens!E13838+Sens!F13834-Sens!F13835-Sens!F13836))</f>
        <v>34.2597266287335</v>
      </c>
      <c r="G13837" s="6" t="n">
        <f aca="false">MAX(0,min_cash-(Sens!F13838+Sens!G13834-Sens!G13835-Sens!G13836))</f>
        <v>43.0391001109307</v>
      </c>
      <c r="H13837" s="6" t="n">
        <f aca="false">MAX(0,min_cash-(Sens!G13838+Sens!H13834-Sens!H13835-Sens!H13836))</f>
        <v>31.0690346041269</v>
      </c>
      <c r="I13837" s="6" t="n">
        <f aca="false">MAX(0,min_cash-(Sens!H13838+Sens!I13834-Sens!I13835-Sens!I13836))</f>
        <v>0</v>
      </c>
      <c r="J13837" s="6" t="n">
        <f aca="false">MAX(0,min_cash-(Sens!I13838+Sens!J13834-Sens!J13835-Sens!J13836))</f>
        <v>0</v>
      </c>
      <c r="K13837" s="6" t="n">
        <f aca="false">MAX(0,min_cash-(Sens!J13838+Sens!K13834-Sens!K13835-Sens!K13836))</f>
        <v>0</v>
      </c>
    </row>
    <row r="13838" customFormat="false" ht="15" hidden="false" customHeight="false" outlineLevel="0" collapsed="false">
      <c r="A13838" s="1" t="s">
        <v>972</v>
      </c>
      <c r="B13838" s="0" t="s">
        <v>98</v>
      </c>
      <c r="E13838" s="6" t="n">
        <f aca="false">cash_open</f>
        <v>76.843</v>
      </c>
      <c r="F13838" s="6" t="n">
        <f aca="false">Sens!E13838+Sens!F13834-Sens!F13835-Sens!F13836+Sens!F13837</f>
        <v>50</v>
      </c>
      <c r="G13838" s="6" t="n">
        <f aca="false">Sens!F13838+Sens!G13834-Sens!G13835-Sens!G13836+Sens!G13837</f>
        <v>50</v>
      </c>
      <c r="H13838" s="6" t="n">
        <f aca="false">Sens!G13838+Sens!H13834-Sens!H13835-Sens!H13836+Sens!H13837</f>
        <v>50</v>
      </c>
      <c r="I13838" s="6" t="n">
        <f aca="false">Sens!H13838+Sens!I13834-Sens!I13835-Sens!I13836+Sens!I13837</f>
        <v>50</v>
      </c>
      <c r="J13838" s="6" t="n">
        <f aca="false">Sens!I13838+Sens!J13834-Sens!J13835-Sens!J13836+Sens!J13837</f>
        <v>96.068247378715</v>
      </c>
      <c r="K13838" s="6" t="n">
        <f aca="false">Sens!J13838+Sens!K13834-Sens!K13835-Sens!K13836+Sens!K13837</f>
        <v>162.760884144333</v>
      </c>
    </row>
    <row r="13839" customFormat="false" ht="15" hidden="false" customHeight="false" outlineLevel="0" collapsed="false">
      <c r="A13839" s="1" t="s">
        <v>973</v>
      </c>
      <c r="B13839" s="0" t="s">
        <v>98</v>
      </c>
      <c r="E13839" s="6" t="n">
        <f aca="false">debt_face</f>
        <v>46.136</v>
      </c>
      <c r="F13839" s="6" t="n">
        <f aca="false">Sens!E13839-Sens!F13835+Sens!F13837</f>
        <v>71.1457266287335</v>
      </c>
      <c r="G13839" s="6" t="n">
        <f aca="false">Sens!F13839-Sens!G13835+Sens!G13837</f>
        <v>114.184826739664</v>
      </c>
      <c r="H13839" s="6" t="n">
        <f aca="false">Sens!G13839-Sens!H13835+Sens!H13837</f>
        <v>143.252861343791</v>
      </c>
      <c r="I13839" s="6" t="n">
        <f aca="false">Sens!H13839-Sens!I13835+Sens!I13837</f>
        <v>143.252861343791</v>
      </c>
      <c r="J13839" s="6" t="n">
        <f aca="false">Sens!I13839-Sens!J13835+Sens!J13837</f>
        <v>142.752861343791</v>
      </c>
      <c r="K13839" s="6" t="n">
        <f aca="false">Sens!J13839-Sens!K13835+Sens!K13837</f>
        <v>142.752861343791</v>
      </c>
    </row>
    <row r="13840" customFormat="false" ht="15" hidden="false" customHeight="false" outlineLevel="0" collapsed="false">
      <c r="A13840" s="1" t="s">
        <v>974</v>
      </c>
      <c r="B13840" s="0" t="s">
        <v>98</v>
      </c>
      <c r="E13840" s="6" t="n">
        <f aca="false">Sens!E13838-Sens!E13839</f>
        <v>30.707</v>
      </c>
      <c r="F13840" s="6" t="n">
        <f aca="false">Sens!F13838-Sens!F13839</f>
        <v>-21.1457266287335</v>
      </c>
      <c r="G13840" s="6" t="n">
        <f aca="false">Sens!G13838-Sens!G13839</f>
        <v>-64.1848267396642</v>
      </c>
      <c r="H13840" s="6" t="n">
        <f aca="false">Sens!H13838-Sens!H13839</f>
        <v>-93.2528613437911</v>
      </c>
      <c r="I13840" s="6" t="n">
        <f aca="false">Sens!I13838-Sens!I13839</f>
        <v>-93.2528613437911</v>
      </c>
      <c r="J13840" s="6" t="n">
        <f aca="false">Sens!J13838-Sens!J13839</f>
        <v>-46.6846139650761</v>
      </c>
      <c r="K13840" s="6" t="n">
        <f aca="false">Sens!K13838-Sens!K13839</f>
        <v>20.0080228005422</v>
      </c>
    </row>
    <row r="13841" customFormat="false" ht="15" hidden="false" customHeight="false" outlineLevel="0" collapsed="false">
      <c r="A13841" s="1" t="s">
        <v>975</v>
      </c>
      <c r="B13841" s="0" t="s">
        <v>75</v>
      </c>
      <c r="F13841" s="29" t="n">
        <f aca="false">px*(1+bb_g)^(Sens!F13703-base_fy-mid_yr)</f>
        <v>553.494156066711</v>
      </c>
      <c r="G13841" s="29" t="n">
        <f aca="false">px*(1+bb_g)^(Sens!G13703-base_fy-mid_yr)</f>
        <v>597.773688552047</v>
      </c>
      <c r="H13841" s="29" t="n">
        <f aca="false">px*(1+bb_g)^(Sens!H13703-base_fy-mid_yr)</f>
        <v>645.595583636211</v>
      </c>
      <c r="I13841" s="29" t="n">
        <f aca="false">px*(1+bb_g)^(Sens!I13703-base_fy-mid_yr)</f>
        <v>697.243230327108</v>
      </c>
      <c r="J13841" s="29" t="n">
        <f aca="false">px*(1+bb_g)^(Sens!J13703-base_fy-mid_yr)</f>
        <v>753.022688753277</v>
      </c>
      <c r="K13841" s="29" t="n">
        <f aca="false">px*(1+bb_g)^(Sens!K13703-base_fy-mid_yr)</f>
        <v>813.264503853539</v>
      </c>
    </row>
    <row r="13842" customFormat="false" ht="15" hidden="false" customHeight="false" outlineLevel="0" collapsed="false">
      <c r="A13842" s="1" t="s">
        <v>976</v>
      </c>
      <c r="B13842" s="1" t="s">
        <v>81</v>
      </c>
      <c r="E13842" s="14" t="n">
        <f aca="false">sh_out26</f>
        <v>7.427</v>
      </c>
      <c r="F13842" s="14" t="n">
        <f aca="false">Sens!E13842+sh_iss-Sens!F13836/Sens!F13841</f>
        <v>7.472</v>
      </c>
      <c r="G13842" s="14" t="n">
        <f aca="false">Sens!F13842+sh_iss-Sens!G13836/Sens!G13841</f>
        <v>7.517</v>
      </c>
      <c r="H13842" s="14" t="n">
        <f aca="false">Sens!G13842+sh_iss-Sens!H13836/Sens!H13841</f>
        <v>7.562</v>
      </c>
      <c r="I13842" s="14" t="n">
        <f aca="false">Sens!H13842+sh_iss-Sens!I13836/Sens!I13841</f>
        <v>7.58511679766513</v>
      </c>
      <c r="J13842" s="14" t="n">
        <f aca="false">Sens!I13842+sh_iss-Sens!J13836/Sens!J13841</f>
        <v>7.60054132758617</v>
      </c>
      <c r="K13842" s="14" t="n">
        <f aca="false">Sens!J13842+sh_iss-Sens!K13836/Sens!K13841</f>
        <v>7.61815663306862</v>
      </c>
    </row>
    <row r="13843" customFormat="false" ht="15" hidden="false" customHeight="false" outlineLevel="0" collapsed="false">
      <c r="A13843" s="1" t="s">
        <v>977</v>
      </c>
      <c r="B13843" s="1" t="s">
        <v>81</v>
      </c>
      <c r="E13843" s="14" t="n">
        <f aca="false">sh_dil26</f>
        <v>7.453</v>
      </c>
      <c r="F13843" s="14" t="n">
        <f aca="false">(Sens!E13842+Sens!F13842)/2+dil_gap</f>
        <v>7.4735</v>
      </c>
      <c r="G13843" s="14" t="n">
        <f aca="false">(Sens!F13842+Sens!G13842)/2+dil_gap</f>
        <v>7.5185</v>
      </c>
      <c r="H13843" s="14" t="n">
        <f aca="false">(Sens!G13842+Sens!H13842)/2+dil_gap</f>
        <v>7.5635</v>
      </c>
      <c r="I13843" s="14" t="n">
        <f aca="false">(Sens!H13842+Sens!I13842)/2+dil_gap</f>
        <v>7.59755839883257</v>
      </c>
      <c r="J13843" s="14" t="n">
        <f aca="false">(Sens!I13842+Sens!J13842)/2+dil_gap</f>
        <v>7.61682906262565</v>
      </c>
      <c r="K13843" s="14" t="n">
        <f aca="false">(Sens!J13842+Sens!K13842)/2+dil_gap</f>
        <v>7.6333489803274</v>
      </c>
    </row>
    <row r="13844" customFormat="false" ht="17.15" hidden="false" customHeight="false" outlineLevel="0" collapsed="false">
      <c r="A13844" s="1" t="s">
        <v>978</v>
      </c>
      <c r="B13844" s="0" t="s">
        <v>98</v>
      </c>
      <c r="C13844" s="6" t="n">
        <f aca="false">SUM(Sens!F13834:J13834)</f>
        <v>-39.8626992792113</v>
      </c>
    </row>
    <row r="13845" customFormat="false" ht="15" hidden="false" customHeight="false" outlineLevel="0" collapsed="false">
      <c r="A13845" s="23" t="s">
        <v>945</v>
      </c>
      <c r="B13845" s="30" t="s">
        <v>98</v>
      </c>
      <c r="C13845" s="24" t="n">
        <f aca="false">Sens!$C$13844-(Sens!F13834+Sens!G13834+Sens!H13834+Sens!I13834+Sens!J13834)</f>
        <v>0</v>
      </c>
      <c r="D13845" s="30"/>
      <c r="E13845" s="30"/>
      <c r="F13845" s="30"/>
      <c r="G13845" s="30"/>
      <c r="H13845" s="30"/>
      <c r="I13845" s="30"/>
      <c r="J13845" s="30"/>
      <c r="K13845" s="30"/>
    </row>
    <row r="13846" customFormat="false" ht="17.15" hidden="false" customHeight="false" outlineLevel="0" collapsed="false">
      <c r="A13846" s="1" t="s">
        <v>939</v>
      </c>
      <c r="B13846" s="1" t="s">
        <v>979</v>
      </c>
      <c r="C13846" s="32" t="str">
        <f aca="false">IF(SUM(Sens!F13837:J13837)&gt;0.05,"需要舉債 "&amp;TEXT(SUM(Sens!F13837:J13837),"0.0")&amp;" 十億美元","不需舉債")&amp;"；"&amp;IF(SUM(Sens!F13836:J13836)&lt;COUNT(Sens!F13836:J13836)*bb_target-0.05,"回購較每年 "&amp;TEXT(bb_target,"0.0")&amp;" 的目標少 "&amp;TEXT(COUNT(Sens!F13836:J13836)*bb_target-SUM(Sens!F13836:J13836),"0.0")&amp;" 十億美元（"&amp;TEXT(COUNTIF(Sens!F13836:J13836,"&lt;"&amp;(bb_target-0.05)),"0")&amp;" 年減少）","回購不減")</f>
        <v>需要舉債 108.4 十億美元；回購較每年 22.3 的目標少 73.8 十億美元（4 年減少）</v>
      </c>
    </row>
    <row r="13847" customFormat="false" ht="17.15" hidden="false" customHeight="false" outlineLevel="0" collapsed="false">
      <c r="A13847" s="3" t="s">
        <v>1613</v>
      </c>
    </row>
    <row r="13848" customFormat="false" ht="15" hidden="false" customHeight="false" outlineLevel="0" collapsed="false">
      <c r="A13848" s="4" t="s">
        <v>43</v>
      </c>
      <c r="B13848" s="4" t="s">
        <v>65</v>
      </c>
      <c r="C13848" s="20" t="s">
        <v>799</v>
      </c>
      <c r="D13848" s="20" t="s">
        <v>800</v>
      </c>
      <c r="E13848" s="20" t="s">
        <v>801</v>
      </c>
      <c r="F13848" s="20" t="s">
        <v>802</v>
      </c>
      <c r="G13848" s="20" t="s">
        <v>803</v>
      </c>
      <c r="H13848" s="20" t="s">
        <v>804</v>
      </c>
      <c r="I13848" s="20" t="s">
        <v>805</v>
      </c>
      <c r="J13848" s="20" t="s">
        <v>806</v>
      </c>
      <c r="K13848" s="20" t="s">
        <v>807</v>
      </c>
      <c r="L13848" s="4" t="s">
        <v>47</v>
      </c>
    </row>
    <row r="13849" customFormat="false" ht="15" hidden="false" customHeight="false" outlineLevel="0" collapsed="false">
      <c r="A13849" s="1" t="s">
        <v>1057</v>
      </c>
      <c r="B13849" s="1" t="s">
        <v>235</v>
      </c>
      <c r="F13849" s="36" t="n">
        <f aca="false">Sens!F13703-base_fy-mid_yr</f>
        <v>0.5</v>
      </c>
      <c r="G13849" s="36" t="n">
        <f aca="false">Sens!G13703-base_fy-mid_yr</f>
        <v>1.5</v>
      </c>
      <c r="H13849" s="36" t="n">
        <f aca="false">Sens!H13703-base_fy-mid_yr</f>
        <v>2.5</v>
      </c>
      <c r="I13849" s="36" t="n">
        <f aca="false">Sens!I13703-base_fy-mid_yr</f>
        <v>3.5</v>
      </c>
      <c r="J13849" s="36" t="n">
        <f aca="false">Sens!J13703-base_fy-mid_yr</f>
        <v>4.5</v>
      </c>
      <c r="K13849" s="36" t="n">
        <f aca="false">Sens!K13703-base_fy-mid_yr</f>
        <v>5.5</v>
      </c>
    </row>
    <row r="13850" customFormat="false" ht="15" hidden="false" customHeight="false" outlineLevel="0" collapsed="false">
      <c r="A13850" s="1" t="s">
        <v>1058</v>
      </c>
      <c r="B13850" s="0" t="s">
        <v>185</v>
      </c>
      <c r="F13850" s="14" t="n">
        <f aca="false">1/(1+wacc)^Sens!F13849</f>
        <v>0.952193373608246</v>
      </c>
      <c r="G13850" s="14" t="n">
        <f aca="false">1/(1+wacc)^Sens!G13849</f>
        <v>0.863327280626589</v>
      </c>
      <c r="H13850" s="14" t="n">
        <f aca="false">1/(1+wacc)^Sens!H13849</f>
        <v>0.782754862754115</v>
      </c>
      <c r="I13850" s="14" t="n">
        <f aca="false">1/(1+wacc)^Sens!I13849</f>
        <v>0.709702089711011</v>
      </c>
      <c r="J13850" s="14" t="n">
        <f aca="false">1/(1+wacc)^Sens!J13849</f>
        <v>0.643467169744551</v>
      </c>
      <c r="K13850" s="14" t="n">
        <f aca="false">1/(1+wacc)^Sens!K13849</f>
        <v>0.583413807767797</v>
      </c>
    </row>
    <row r="13851" customFormat="false" ht="17.15" hidden="false" customHeight="false" outlineLevel="0" collapsed="false">
      <c r="A13851" s="1" t="s">
        <v>1059</v>
      </c>
      <c r="B13851" s="0" t="s">
        <v>98</v>
      </c>
      <c r="F13851" s="6" t="n">
        <f aca="false">Sens!F13824-Sens!F13822-Sens!F13828+Sens!F13807*(1-tax_f)</f>
        <v>-24.8250405204806</v>
      </c>
      <c r="G13851" s="6" t="n">
        <f aca="false">Sens!G13824-Sens!G13822-Sens!G13828+Sens!G13807*(1-tax_f)</f>
        <v>-2.01754880281204</v>
      </c>
      <c r="H13851" s="6" t="n">
        <f aca="false">Sens!H13824-Sens!H13822-Sens!H13828+Sens!H13807*(1-tax_f)</f>
        <v>26.6686297524448</v>
      </c>
      <c r="I13851" s="6" t="n">
        <f aca="false">Sens!I13824-Sens!I13822-Sens!I13828+Sens!I13807*(1-tax_f)</f>
        <v>85.0019465843718</v>
      </c>
      <c r="J13851" s="6" t="n">
        <f aca="false">Sens!J13824-Sens!J13822-Sens!J13828+Sens!J13807*(1-tax_f)</f>
        <v>149.244275414556</v>
      </c>
      <c r="K13851" s="6" t="n">
        <f aca="false">Sens!K13824-Sens!K13822-Sens!K13828+Sens!K13807*(1-tax_f)</f>
        <v>176.929267491769</v>
      </c>
      <c r="L13851" s="1" t="s">
        <v>1060</v>
      </c>
    </row>
    <row r="13852" customFormat="false" ht="15" hidden="false" customHeight="false" outlineLevel="0" collapsed="false">
      <c r="A13852" s="1" t="s">
        <v>1061</v>
      </c>
      <c r="B13852" s="0" t="s">
        <v>98</v>
      </c>
      <c r="F13852" s="6" t="n">
        <f aca="false">Sens!F13851*Sens!F13850</f>
        <v>-23.6382390831578</v>
      </c>
      <c r="G13852" s="6" t="n">
        <f aca="false">Sens!G13851*Sens!G13850</f>
        <v>-1.74180492146315</v>
      </c>
      <c r="H13852" s="6" t="n">
        <f aca="false">Sens!H13851*Sens!H13850</f>
        <v>20.8749996217152</v>
      </c>
      <c r="I13852" s="6" t="n">
        <f aca="false">Sens!I13851*Sens!I13850</f>
        <v>60.3260591204324</v>
      </c>
      <c r="J13852" s="6" t="n">
        <f aca="false">Sens!J13851*Sens!J13850</f>
        <v>96.0337915015804</v>
      </c>
      <c r="K13852" s="6" t="n">
        <f aca="false">Sens!K13851*Sens!K13850</f>
        <v>103.22297765294</v>
      </c>
    </row>
    <row r="13853" customFormat="false" ht="17.15" hidden="false" customHeight="false" outlineLevel="0" collapsed="false">
      <c r="A13853" s="1" t="s">
        <v>1062</v>
      </c>
      <c r="B13853" s="0" t="s">
        <v>98</v>
      </c>
      <c r="C13853" s="6" t="n">
        <f aca="false">SUM(Sens!F13852:K13852)</f>
        <v>255.077783892047</v>
      </c>
    </row>
    <row r="13854" customFormat="false" ht="17.15" hidden="false" customHeight="false" outlineLevel="0" collapsed="false">
      <c r="A13854" s="1" t="s">
        <v>1063</v>
      </c>
      <c r="B13854" s="0" t="s">
        <v>98</v>
      </c>
      <c r="C13854" s="6" t="n">
        <f aca="false">Sens!K13793*(1+g_tv)*(1-tax_f)</f>
        <v>189.512302151277</v>
      </c>
    </row>
    <row r="13855" customFormat="false" ht="17.15" hidden="false" customHeight="false" outlineLevel="0" collapsed="false">
      <c r="A13855" s="1" t="s">
        <v>1064</v>
      </c>
      <c r="B13855" s="0" t="s">
        <v>98</v>
      </c>
      <c r="C13855" s="6" t="n">
        <f aca="false">Sens!$C$13854*(1-g_tv/(wacc+ronic_prem))</f>
        <v>134.279377543468</v>
      </c>
    </row>
    <row r="13856" customFormat="false" ht="17.15" hidden="false" customHeight="false" outlineLevel="0" collapsed="false">
      <c r="A13856" s="1" t="s">
        <v>1065</v>
      </c>
      <c r="B13856" s="0" t="s">
        <v>98</v>
      </c>
      <c r="C13856" s="6" t="n">
        <f aca="false">Sens!$C$13855/(wacc-g_tv)</f>
        <v>1841.09748692695</v>
      </c>
    </row>
    <row r="13857" customFormat="false" ht="15" hidden="false" customHeight="false" outlineLevel="0" collapsed="false">
      <c r="A13857" s="1" t="s">
        <v>1066</v>
      </c>
      <c r="B13857" s="0" t="s">
        <v>98</v>
      </c>
      <c r="C13857" s="6" t="n">
        <f aca="false">Sens!$C$13856/(1+wacc)^(Sens!K13849+mid_yr)</f>
        <v>1022.77156073235</v>
      </c>
    </row>
    <row r="13858" customFormat="false" ht="17.15" hidden="false" customHeight="false" outlineLevel="0" collapsed="false">
      <c r="A13858" s="0" t="s">
        <v>986</v>
      </c>
      <c r="B13858" s="0" t="s">
        <v>98</v>
      </c>
      <c r="C13858" s="6" t="n">
        <f aca="false">Sens!$C$13853+Sens!$C$13857</f>
        <v>1277.84934462439</v>
      </c>
    </row>
    <row r="13859" customFormat="false" ht="15" hidden="false" customHeight="false" outlineLevel="0" collapsed="false">
      <c r="A13859" s="1" t="s">
        <v>987</v>
      </c>
      <c r="B13859" s="0" t="s">
        <v>129</v>
      </c>
      <c r="C13859" s="7" t="n">
        <f aca="false">Sens!$C$13857/Sens!$C$13858</f>
        <v>0.800385088457338</v>
      </c>
    </row>
    <row r="13860" customFormat="false" ht="17.15" hidden="false" customHeight="false" outlineLevel="0" collapsed="false">
      <c r="A13860" s="1" t="s">
        <v>1067</v>
      </c>
      <c r="B13860" s="0" t="s">
        <v>98</v>
      </c>
      <c r="C13860" s="6" t="n">
        <f aca="false">Sens!$C$13858+Sens!E13840-Sens!E13829+oai_v</f>
        <v>1412.36234462439</v>
      </c>
    </row>
    <row r="13861" customFormat="false" ht="17.15" hidden="false" customHeight="false" outlineLevel="0" collapsed="false">
      <c r="A13861" s="0" t="s">
        <v>994</v>
      </c>
      <c r="B13861" s="0" t="s">
        <v>75</v>
      </c>
      <c r="C13861" s="5" t="n">
        <f aca="false">Sens!$C$13860/sh_dil26</f>
        <v>189.502528461612</v>
      </c>
    </row>
    <row r="13862" customFormat="false" ht="15" hidden="false" customHeight="false" outlineLevel="0" collapsed="false">
      <c r="A13862" s="1" t="s">
        <v>1068</v>
      </c>
      <c r="B13862" s="0" t="s">
        <v>75</v>
      </c>
      <c r="C13862" s="8" t="n">
        <f aca="false">dps_27+Sens!G13832*roll_div_q/q_per_yr</f>
        <v>4.8895</v>
      </c>
    </row>
    <row r="13863" customFormat="false" ht="17.15" hidden="false" customHeight="false" outlineLevel="0" collapsed="false">
      <c r="A13863" s="0" t="s">
        <v>1069</v>
      </c>
      <c r="B13863" s="0" t="s">
        <v>75</v>
      </c>
      <c r="C13863" s="5" t="n">
        <f aca="false">Sens!$C$13861*(1+wacc)^t_roll-Sens!$C$13862</f>
        <v>210.90335655879</v>
      </c>
    </row>
    <row r="13864" customFormat="false" ht="17.15" hidden="false" customHeight="false" outlineLevel="0" collapsed="false">
      <c r="A13864" s="1" t="s">
        <v>1070</v>
      </c>
      <c r="B13864" s="0" t="s">
        <v>129</v>
      </c>
      <c r="F13864" s="7" t="n">
        <f aca="false">Sens!F13819/(Sens!F13764-Sens!F13720)</f>
        <v>0.0711475516535717</v>
      </c>
      <c r="G13864" s="7" t="n">
        <f aca="false">Sens!G13819/(Sens!G13764-Sens!G13720)</f>
        <v>0.0682588862083999</v>
      </c>
      <c r="H13864" s="7" t="n">
        <f aca="false">Sens!H13819/(Sens!H13764-Sens!H13720)</f>
        <v>0.0666622170094897</v>
      </c>
      <c r="I13864" s="7" t="n">
        <f aca="false">Sens!I13819/(Sens!I13764-Sens!I13720)</f>
        <v>0.0661991449367101</v>
      </c>
      <c r="J13864" s="7" t="n">
        <f aca="false">Sens!J13819/(Sens!J13764-Sens!J13720)</f>
        <v>0.0666400583966394</v>
      </c>
      <c r="K13864" s="7" t="n">
        <f aca="false">Sens!K13819/(Sens!K13764-Sens!K13720)</f>
        <v>0.0677351822588561</v>
      </c>
    </row>
    <row r="13865" customFormat="false" ht="17.15" hidden="false" customHeight="false" outlineLevel="0" collapsed="false">
      <c r="A13865" s="0" t="s">
        <v>1071</v>
      </c>
      <c r="B13865" s="0" t="s">
        <v>98</v>
      </c>
      <c r="F13865" s="6" t="n">
        <f aca="false">Sens!F13749*(al_m365+Sens!F13864+sbc_r)</f>
        <v>83.1760446796226</v>
      </c>
      <c r="G13865" s="6" t="n">
        <f aca="false">Sens!G13749*(al_m365+Sens!G13864+sbc_r)</f>
        <v>93.5286621744803</v>
      </c>
      <c r="H13865" s="6" t="n">
        <f aca="false">Sens!H13749*(al_m365+Sens!H13864+sbc_r)</f>
        <v>104.041881899886</v>
      </c>
      <c r="I13865" s="6" t="n">
        <f aca="false">Sens!I13749*(al_m365+Sens!I13864+sbc_r)</f>
        <v>114.039361049722</v>
      </c>
      <c r="J13865" s="6" t="n">
        <f aca="false">Sens!J13749*(al_m365+Sens!J13864+sbc_r)</f>
        <v>123.332589690985</v>
      </c>
      <c r="K13865" s="6" t="n">
        <f aca="false">Sens!K13749*(al_m365+Sens!K13864+sbc_r)</f>
        <v>132.229319216379</v>
      </c>
      <c r="L13865" s="11" t="s">
        <v>1072</v>
      </c>
    </row>
    <row r="13866" customFormat="false" ht="17.15" hidden="false" customHeight="false" outlineLevel="0" collapsed="false">
      <c r="A13866" s="0" t="s">
        <v>1073</v>
      </c>
      <c r="B13866" s="0" t="s">
        <v>98</v>
      </c>
      <c r="F13866" s="6" t="n">
        <f aca="false">Sens!F13750*(al_lic+Sens!F13864+sbc_r)</f>
        <v>33.5445611735131</v>
      </c>
      <c r="G13866" s="6" t="n">
        <f aca="false">Sens!G13750*(al_lic+Sens!G13864+sbc_r)</f>
        <v>34.8473362891936</v>
      </c>
      <c r="H13866" s="6" t="n">
        <f aca="false">Sens!H13750*(al_lic+Sens!H13864+sbc_r)</f>
        <v>36.0608450618725</v>
      </c>
      <c r="I13866" s="6" t="n">
        <f aca="false">Sens!I13750*(al_lic+Sens!I13864+sbc_r)</f>
        <v>37.1647768367666</v>
      </c>
      <c r="J13866" s="6" t="n">
        <f aca="false">Sens!J13750*(al_lic+Sens!J13864+sbc_r)</f>
        <v>38.1353659513221</v>
      </c>
      <c r="K13866" s="6" t="n">
        <f aca="false">Sens!K13750*(al_lic+Sens!K13864+sbc_r)</f>
        <v>38.9479527536449</v>
      </c>
    </row>
    <row r="13867" customFormat="false" ht="17.15" hidden="false" customHeight="false" outlineLevel="0" collapsed="false">
      <c r="A13867" s="0" t="s">
        <v>1074</v>
      </c>
      <c r="B13867" s="0" t="s">
        <v>98</v>
      </c>
      <c r="F13867" s="6" t="n">
        <f aca="false">Sens!F13752*(al_ind+Sens!F13864+sbc_r)</f>
        <v>9.13359830063899</v>
      </c>
      <c r="G13867" s="6" t="n">
        <f aca="false">Sens!G13752*(al_ind+Sens!G13864+sbc_r)</f>
        <v>9.91355811855172</v>
      </c>
      <c r="H13867" s="6" t="n">
        <f aca="false">Sens!H13752*(al_ind+Sens!H13864+sbc_r)</f>
        <v>10.737007894057</v>
      </c>
      <c r="I13867" s="6" t="n">
        <f aca="false">Sens!I13752*(al_ind+Sens!I13864+sbc_r)</f>
        <v>11.5994300763088</v>
      </c>
      <c r="J13867" s="6" t="n">
        <f aca="false">Sens!J13752*(al_ind+Sens!J13864+sbc_r)</f>
        <v>12.4920789859702</v>
      </c>
      <c r="K13867" s="6" t="n">
        <f aca="false">Sens!K13752*(al_ind+Sens!K13864+sbc_r)</f>
        <v>13.4027551573777</v>
      </c>
    </row>
    <row r="13868" customFormat="false" ht="17.15" hidden="false" customHeight="false" outlineLevel="0" collapsed="false">
      <c r="A13868" s="0" t="s">
        <v>1075</v>
      </c>
      <c r="B13868" s="0" t="s">
        <v>98</v>
      </c>
      <c r="F13868" s="6" t="n">
        <f aca="false">Sens!F13754*(al_fro+Sens!F13864+sbc_r)</f>
        <v>3.59501635737694</v>
      </c>
      <c r="G13868" s="6" t="n">
        <f aca="false">Sens!G13754*(al_fro+Sens!G13864+sbc_r)</f>
        <v>3.80622021137838</v>
      </c>
      <c r="H13868" s="6" t="n">
        <f aca="false">Sens!H13754*(al_fro+Sens!H13864+sbc_r)</f>
        <v>4.04607207599632</v>
      </c>
      <c r="I13868" s="6" t="n">
        <f aca="false">Sens!I13754*(al_fro+Sens!I13864+sbc_r)</f>
        <v>4.31683578333903</v>
      </c>
      <c r="J13868" s="6" t="n">
        <f aca="false">Sens!J13754*(al_fro+Sens!J13864+sbc_r)</f>
        <v>4.62005087871645</v>
      </c>
      <c r="K13868" s="6" t="n">
        <f aca="false">Sens!K13754*(al_fro+Sens!K13864+sbc_r)</f>
        <v>4.95685392412327</v>
      </c>
    </row>
    <row r="13869" customFormat="false" ht="17.15" hidden="false" customHeight="false" outlineLevel="0" collapsed="false">
      <c r="A13869" s="0" t="s">
        <v>1076</v>
      </c>
      <c r="B13869" s="0" t="s">
        <v>98</v>
      </c>
      <c r="F13869" s="6" t="n">
        <f aca="false">Sens!F13757*(al_srch+Sens!F13864+sbc_r)</f>
        <v>11.2801258639919</v>
      </c>
      <c r="G13869" s="6" t="n">
        <f aca="false">Sens!G13757*(al_srch+Sens!G13864+sbc_r)</f>
        <v>12.3589086285988</v>
      </c>
      <c r="H13869" s="6" t="n">
        <f aca="false">Sens!H13757*(al_srch+Sens!H13864+sbc_r)</f>
        <v>13.4807030139583</v>
      </c>
      <c r="I13869" s="6" t="n">
        <f aca="false">Sens!I13757*(al_srch+Sens!I13864+sbc_r)</f>
        <v>14.6329459978989</v>
      </c>
      <c r="J13869" s="6" t="n">
        <f aca="false">Sens!J13757*(al_srch+Sens!J13864+sbc_r)</f>
        <v>15.7968154400613</v>
      </c>
      <c r="K13869" s="6" t="n">
        <f aca="false">Sens!K13757*(al_srch+Sens!K13864+sbc_r)</f>
        <v>16.9484078548661</v>
      </c>
    </row>
    <row r="13870" customFormat="false" ht="17.15" hidden="false" customHeight="false" outlineLevel="0" collapsed="false">
      <c r="A13870" s="0" t="s">
        <v>1077</v>
      </c>
      <c r="B13870" s="0" t="s">
        <v>98</v>
      </c>
      <c r="F13870" s="6" t="n">
        <f aca="false">Sens!F13726-Sens!F13727+Sens!F13807</f>
        <v>14.7270193598303</v>
      </c>
      <c r="G13870" s="6" t="n">
        <f aca="false">Sens!G13726-Sens!G13727+Sens!G13807</f>
        <v>32.4399917946264</v>
      </c>
      <c r="H13870" s="6" t="n">
        <f aca="false">Sens!H13726-Sens!H13727+Sens!H13807</f>
        <v>49.5364464929483</v>
      </c>
      <c r="I13870" s="6" t="n">
        <f aca="false">Sens!I13726-Sens!I13727+Sens!I13807</f>
        <v>68.5059902186635</v>
      </c>
      <c r="J13870" s="6" t="n">
        <f aca="false">Sens!J13726-Sens!J13727+Sens!J13807</f>
        <v>82.121731333176</v>
      </c>
      <c r="K13870" s="6" t="n">
        <f aca="false">Sens!K13726-Sens!K13727+Sens!K13807</f>
        <v>91.0411073224707</v>
      </c>
    </row>
    <row r="13871" customFormat="false" ht="17.15" hidden="false" customHeight="false" outlineLevel="0" collapsed="false">
      <c r="A13871" s="0" t="s">
        <v>1078</v>
      </c>
      <c r="B13871" s="0" t="s">
        <v>98</v>
      </c>
      <c r="F13871" s="6" t="n">
        <f aca="false">Sens!F13786+Sens!F13807+Sens!F13737+Sens!F13864*(Sens!F13756-Sens!F13720)+sbc_r*Sens!F13756</f>
        <v>203.576408678211</v>
      </c>
      <c r="G13871" s="6" t="n">
        <f aca="false">Sens!G13786+Sens!G13807+Sens!G13737+Sens!G13864*(Sens!G13756-Sens!G13720)+sbc_r*Sens!G13756</f>
        <v>245.695925343109</v>
      </c>
      <c r="H13871" s="6" t="n">
        <f aca="false">Sens!H13786+Sens!H13807+Sens!H13737+Sens!H13864*(Sens!H13756-Sens!H13720)+sbc_r*Sens!H13756</f>
        <v>287.554918368048</v>
      </c>
      <c r="I13871" s="6" t="n">
        <f aca="false">Sens!I13786+Sens!I13807+Sens!I13737+Sens!I13864*(Sens!I13756-Sens!I13720)+sbc_r*Sens!I13756</f>
        <v>330.599118367885</v>
      </c>
      <c r="J13871" s="6" t="n">
        <f aca="false">Sens!J13786+Sens!J13807+Sens!J13737+Sens!J13864*(Sens!J13756-Sens!J13720)+sbc_r*Sens!J13756</f>
        <v>366.521947975408</v>
      </c>
      <c r="K13871" s="6" t="n">
        <f aca="false">Sens!K13786+Sens!K13807+Sens!K13737+Sens!K13864*(Sens!K13756-Sens!K13720)+sbc_r*Sens!K13756</f>
        <v>395.564517794476</v>
      </c>
    </row>
    <row r="13872" customFormat="false" ht="17.15" hidden="false" customHeight="false" outlineLevel="0" collapsed="false">
      <c r="A13872" s="0" t="s">
        <v>1079</v>
      </c>
      <c r="B13872" s="0" t="s">
        <v>98</v>
      </c>
      <c r="F13872" s="6" t="n">
        <f aca="false">Sens!F13871-Sens!F13865-Sens!F13866-Sens!F13867-Sens!F13868-Sens!F13870</f>
        <v>59.4001688072294</v>
      </c>
      <c r="G13872" s="6" t="n">
        <f aca="false">Sens!G13871-Sens!G13865-Sens!G13866-Sens!G13867-Sens!G13868-Sens!G13870</f>
        <v>71.1601567548782</v>
      </c>
      <c r="H13872" s="6" t="n">
        <f aca="false">Sens!H13871-Sens!H13865-Sens!H13866-Sens!H13867-Sens!H13868-Sens!H13870</f>
        <v>83.1326649432882</v>
      </c>
      <c r="I13872" s="6" t="n">
        <f aca="false">Sens!I13871-Sens!I13865-Sens!I13866-Sens!I13867-Sens!I13868-Sens!I13870</f>
        <v>94.9727244030846</v>
      </c>
      <c r="J13872" s="6" t="n">
        <f aca="false">Sens!J13871-Sens!J13865-Sens!J13866-Sens!J13867-Sens!J13868-Sens!J13870</f>
        <v>105.820131135239</v>
      </c>
      <c r="K13872" s="6" t="n">
        <f aca="false">Sens!K13871-Sens!K13865-Sens!K13866-Sens!K13867-Sens!K13868-Sens!K13870</f>
        <v>114.98652942048</v>
      </c>
    </row>
    <row r="13873" customFormat="false" ht="17.15" hidden="false" customHeight="false" outlineLevel="0" collapsed="false">
      <c r="A13873" s="0" t="s">
        <v>1080</v>
      </c>
      <c r="B13873" s="0" t="s">
        <v>98</v>
      </c>
      <c r="F13873" s="6" t="n">
        <f aca="false">Sens!F13788+Sens!F13864*Sens!F13763+sbc_r*Sens!F13763</f>
        <v>26.3652761595447</v>
      </c>
      <c r="G13873" s="6" t="n">
        <f aca="false">Sens!G13788+Sens!G13864*Sens!G13763+sbc_r*Sens!G13763</f>
        <v>26.9742866145486</v>
      </c>
      <c r="H13873" s="6" t="n">
        <f aca="false">Sens!H13788+Sens!H13864*Sens!H13763+sbc_r*Sens!H13763</f>
        <v>27.8483067679033</v>
      </c>
      <c r="I13873" s="6" t="n">
        <f aca="false">Sens!I13788+Sens!I13864*Sens!I13763+sbc_r*Sens!I13763</f>
        <v>28.9540944937551</v>
      </c>
      <c r="J13873" s="6" t="n">
        <f aca="false">Sens!J13788+Sens!J13864*Sens!J13763+sbc_r*Sens!J13763</f>
        <v>30.2591967501426</v>
      </c>
      <c r="K13873" s="6" t="n">
        <f aca="false">Sens!K13788+Sens!K13864*Sens!K13763+sbc_r*Sens!K13763</f>
        <v>31.7334012124467</v>
      </c>
    </row>
    <row r="13874" customFormat="false" ht="17.15" hidden="false" customHeight="false" outlineLevel="0" collapsed="false">
      <c r="A13874" s="0" t="s">
        <v>1081</v>
      </c>
      <c r="B13874" s="0" t="s">
        <v>98</v>
      </c>
      <c r="F13874" s="6" t="n">
        <f aca="false">(Sens!F13873-Sens!F13869)*Sens!F13759/(Sens!F13759+Sens!F13761)</f>
        <v>8.26953246478712</v>
      </c>
      <c r="G13874" s="6" t="n">
        <f aca="false">(Sens!G13873-Sens!G13869)*Sens!G13759/(Sens!G13759+Sens!G13761)</f>
        <v>7.8691542635731</v>
      </c>
      <c r="H13874" s="6" t="n">
        <f aca="false">(Sens!H13873-Sens!H13869)*Sens!H13759/(Sens!H13759+Sens!H13761)</f>
        <v>7.63125160105973</v>
      </c>
      <c r="I13874" s="6" t="n">
        <f aca="false">(Sens!I13873-Sens!I13869)*Sens!I13759/(Sens!I13759+Sens!I13761)</f>
        <v>7.53775281020212</v>
      </c>
      <c r="J13874" s="6" t="n">
        <f aca="false">(Sens!J13873-Sens!J13869)*Sens!J13759/(Sens!J13759+Sens!J13761)</f>
        <v>7.57766730524412</v>
      </c>
      <c r="K13874" s="6" t="n">
        <f aca="false">(Sens!K13873-Sens!K13869)*Sens!K13759/(Sens!K13759+Sens!K13761)</f>
        <v>7.74670217662516</v>
      </c>
    </row>
    <row r="13875" customFormat="false" ht="17.15" hidden="false" customHeight="false" outlineLevel="0" collapsed="false">
      <c r="A13875" s="0" t="s">
        <v>1082</v>
      </c>
      <c r="B13875" s="0" t="s">
        <v>98</v>
      </c>
      <c r="F13875" s="6" t="n">
        <f aca="false">Sens!F13873-Sens!F13869-Sens!F13874</f>
        <v>6.81561783076564</v>
      </c>
      <c r="G13875" s="6" t="n">
        <f aca="false">Sens!G13873-Sens!G13869-Sens!G13874</f>
        <v>6.74622372237672</v>
      </c>
      <c r="H13875" s="6" t="n">
        <f aca="false">Sens!H13873-Sens!H13869-Sens!H13874</f>
        <v>6.73635215288526</v>
      </c>
      <c r="I13875" s="6" t="n">
        <f aca="false">Sens!I13873-Sens!I13869-Sens!I13874</f>
        <v>6.78339568565411</v>
      </c>
      <c r="J13875" s="6" t="n">
        <f aca="false">Sens!J13873-Sens!J13869-Sens!J13874</f>
        <v>6.88471400483723</v>
      </c>
      <c r="K13875" s="6" t="n">
        <f aca="false">Sens!K13873-Sens!K13869-Sens!K13874</f>
        <v>7.03829118095546</v>
      </c>
    </row>
    <row r="13876" customFormat="false" ht="17.15" hidden="false" customHeight="false" outlineLevel="0" collapsed="false">
      <c r="A13876" s="0" t="s">
        <v>1083</v>
      </c>
      <c r="B13876" s="0" t="s">
        <v>98</v>
      </c>
      <c r="F13876" s="6" t="n">
        <f aca="false">Sens!F13870-tax_f*(Sens!F13870-Sens!F13737)-Sens!F13734</f>
        <v>-141.741282907411</v>
      </c>
      <c r="G13876" s="6" t="n">
        <f aca="false">Sens!G13870-tax_f*(Sens!G13870-Sens!G13737)-Sens!G13734</f>
        <v>-145.797099625397</v>
      </c>
      <c r="H13876" s="6" t="n">
        <f aca="false">Sens!H13870-tax_f*(Sens!H13870-Sens!H13737)-Sens!H13734</f>
        <v>-131.178924747379</v>
      </c>
      <c r="I13876" s="6" t="n">
        <f aca="false">Sens!I13870-tax_f*(Sens!I13870-Sens!I13737)-Sens!I13734</f>
        <v>-86.7807282128361</v>
      </c>
      <c r="J13876" s="6" t="n">
        <f aca="false">Sens!J13870-tax_f*(Sens!J13870-Sens!J13737)-Sens!J13734</f>
        <v>-35.8843869571327</v>
      </c>
      <c r="K13876" s="6" t="n">
        <f aca="false">Sens!K13870-tax_f*(Sens!K13870-Sens!K13737)-Sens!K13734</f>
        <v>-20.7482366367525</v>
      </c>
    </row>
    <row r="13877" customFormat="false" ht="17.15" hidden="false" customHeight="false" outlineLevel="0" collapsed="false">
      <c r="A13877" s="0" t="s">
        <v>1084</v>
      </c>
      <c r="B13877" s="0" t="s">
        <v>98</v>
      </c>
      <c r="G13877" s="6" t="n">
        <f aca="false">Sens!G13876/(1+wacc)^(Sens!G13849-(Sens!F13849+mid_yr))</f>
        <v>-138.827032154604</v>
      </c>
      <c r="H13877" s="6" t="n">
        <f aca="false">Sens!H13876/(1+wacc)^(Sens!H13849-(Sens!F13849+mid_yr))</f>
        <v>-113.250344377675</v>
      </c>
      <c r="I13877" s="6" t="n">
        <f aca="false">Sens!I13876/(1+wacc)^(Sens!I13849-(Sens!F13849+mid_yr))</f>
        <v>-67.9280370019407</v>
      </c>
      <c r="J13877" s="6" t="n">
        <f aca="false">Sens!J13876/(1+wacc)^(Sens!J13849-(Sens!F13849+mid_yr))</f>
        <v>-25.4672244114756</v>
      </c>
      <c r="K13877" s="6" t="n">
        <f aca="false">Sens!K13876/(1+wacc)^(Sens!K13849-(Sens!F13849+mid_yr))</f>
        <v>-13.3508091058413</v>
      </c>
      <c r="L13877" s="1" t="s">
        <v>1085</v>
      </c>
    </row>
    <row r="13878" customFormat="false" ht="17.15" hidden="false" customHeight="false" outlineLevel="0" collapsed="false">
      <c r="A13878" s="0" t="s">
        <v>1086</v>
      </c>
      <c r="B13878" s="0" t="s">
        <v>98</v>
      </c>
      <c r="C13878" s="6" t="n">
        <f aca="false">(Sens!K13870-Sens!K13737)*(1-tax_f)*(1+g_tv)*(1-g_tv/(wacc+ronic_prem))/(wacc-g_tv)/(1+wacc)^(Sens!K13849+mid_yr-(Sens!F13849+mid_yr))</f>
        <v>-235.871862685371</v>
      </c>
    </row>
    <row r="13879" customFormat="false" ht="17.15" hidden="false" customHeight="false" outlineLevel="0" collapsed="false">
      <c r="A13879" s="1" t="s">
        <v>1087</v>
      </c>
      <c r="B13879" s="0" t="s">
        <v>98</v>
      </c>
      <c r="C13879" s="6" t="n">
        <f aca="false">(SUM(Sens!G13877:K13877)+Sens!$C$13878)*(1+wacc)^(t_roll-(Sens!F13849+mid_yr))</f>
        <v>-613.997889135371</v>
      </c>
      <c r="L13879" s="11" t="s">
        <v>1088</v>
      </c>
    </row>
    <row r="13880" customFormat="false" ht="17.15" hidden="false" customHeight="false" outlineLevel="0" collapsed="false">
      <c r="A13880" s="1" t="s">
        <v>1089</v>
      </c>
      <c r="B13880" s="0" t="s">
        <v>98</v>
      </c>
      <c r="C13880" s="6" t="n">
        <f aca="false">(w_ntm28*Sens!G13726+(1-w_ntm28)*Sens!H13726)*m_ai</f>
        <v>107.486920162415</v>
      </c>
    </row>
    <row r="13881" customFormat="false" ht="17.15" hidden="false" customHeight="false" outlineLevel="0" collapsed="false">
      <c r="A13881" s="1" t="s">
        <v>1090</v>
      </c>
      <c r="B13881" s="0" t="s">
        <v>98</v>
      </c>
      <c r="C13881" s="6" t="n">
        <f aca="false">(w_ntm28*Sens!G13872+(1-w_ntm28)*Sens!H13872)*m_cloud</f>
        <v>1036.92456485469</v>
      </c>
    </row>
    <row r="13882" customFormat="false" ht="17.15" hidden="false" customHeight="false" outlineLevel="0" collapsed="false">
      <c r="A13882" s="1" t="s">
        <v>1091</v>
      </c>
      <c r="B13882" s="0" t="s">
        <v>98</v>
      </c>
      <c r="C13882" s="6" t="n">
        <f aca="false">(w_ntm28*Sens!G13865+(1-w_ntm28)*Sens!H13865)*m_sw</f>
        <v>1046.81653016399</v>
      </c>
    </row>
    <row r="13883" customFormat="false" ht="17.15" hidden="false" customHeight="false" outlineLevel="0" collapsed="false">
      <c r="A13883" s="1" t="s">
        <v>1092</v>
      </c>
      <c r="B13883" s="0" t="s">
        <v>98</v>
      </c>
      <c r="C13883" s="6" t="n">
        <f aca="false">(w_ntm28*Sens!G13866+(1-w_ntm28)*Sens!H13866)*m_sw</f>
        <v>380.588206114803</v>
      </c>
    </row>
    <row r="13884" customFormat="false" ht="17.15" hidden="false" customHeight="false" outlineLevel="0" collapsed="false">
      <c r="A13884" s="1" t="s">
        <v>1093</v>
      </c>
      <c r="B13884" s="0" t="s">
        <v>98</v>
      </c>
      <c r="C13884" s="6" t="n">
        <f aca="false">(w_ntm28*Sens!G13867+(1-w_ntm28)*Sens!H13867)*m_sw</f>
        <v>109.941508211602</v>
      </c>
    </row>
    <row r="13885" customFormat="false" ht="17.15" hidden="false" customHeight="false" outlineLevel="0" collapsed="false">
      <c r="A13885" s="1" t="s">
        <v>1094</v>
      </c>
      <c r="B13885" s="0" t="s">
        <v>98</v>
      </c>
      <c r="C13885" s="6" t="n">
        <f aca="false">(w_ntm28*Sens!G13868+(1-w_ntm28)*Sens!H13868)*m_sw</f>
        <v>41.944622711021</v>
      </c>
    </row>
    <row r="13886" customFormat="false" ht="17.15" hidden="false" customHeight="false" outlineLevel="0" collapsed="false">
      <c r="A13886" s="1" t="s">
        <v>1095</v>
      </c>
      <c r="B13886" s="0" t="s">
        <v>98</v>
      </c>
      <c r="C13886" s="6" t="n">
        <f aca="false">(w_ntm28*Sens!G13869+(1-w_ntm28)*Sens!H13869)*m_ads</f>
        <v>115.893511108929</v>
      </c>
    </row>
    <row r="13887" customFormat="false" ht="17.15" hidden="false" customHeight="false" outlineLevel="0" collapsed="false">
      <c r="A13887" s="1" t="s">
        <v>1096</v>
      </c>
      <c r="B13887" s="0" t="s">
        <v>98</v>
      </c>
      <c r="C13887" s="6" t="n">
        <f aca="false">(w_ntm28*Sens!G13874+(1-w_ntm28)*Sens!H13874)*m_game</f>
        <v>98.416032447421</v>
      </c>
    </row>
    <row r="13888" customFormat="false" ht="17.15" hidden="false" customHeight="false" outlineLevel="0" collapsed="false">
      <c r="A13888" s="1" t="s">
        <v>1097</v>
      </c>
      <c r="B13888" s="0" t="s">
        <v>98</v>
      </c>
      <c r="C13888" s="6" t="n">
        <f aca="false">(w_ntm28*Sens!G13875+(1-w_ntm28)*Sens!H13875)*m_pc</f>
        <v>97.5716783311641</v>
      </c>
    </row>
    <row r="13889" customFormat="false" ht="17.15" hidden="false" customHeight="false" outlineLevel="0" collapsed="false">
      <c r="A13889" s="1" t="s">
        <v>1098</v>
      </c>
      <c r="B13889" s="0" t="s">
        <v>98</v>
      </c>
      <c r="C13889" s="6" t="n">
        <f aca="false">Sens!$C$13879+Sens!$C$13881+Sens!$C$13882+Sens!$C$13883+Sens!$C$13884+Sens!$C$13885+Sens!$C$13886+Sens!$C$13887+Sens!$C$13888</f>
        <v>2314.09876480826</v>
      </c>
    </row>
    <row r="13890" customFormat="false" ht="17.15" hidden="false" customHeight="false" outlineLevel="0" collapsed="false">
      <c r="A13890" s="1" t="s">
        <v>1099</v>
      </c>
      <c r="B13890" s="0" t="s">
        <v>98</v>
      </c>
      <c r="C13890" s="6" t="n">
        <f aca="false">(Sens!G13851-Sens!G13876)*t_stub</f>
        <v>46.8760727339385</v>
      </c>
      <c r="L13890" s="1" t="s">
        <v>1100</v>
      </c>
    </row>
    <row r="13891" customFormat="false" ht="17.15" hidden="false" customHeight="false" outlineLevel="0" collapsed="false">
      <c r="A13891" s="1" t="s">
        <v>1014</v>
      </c>
      <c r="B13891" s="0" t="s">
        <v>98</v>
      </c>
      <c r="C13891" s="6" t="n">
        <f aca="false">Sens!F13840+oai_v-Sens!F13829+Sens!$C$13890</f>
        <v>133.660616105205</v>
      </c>
      <c r="L13891" s="1" t="s">
        <v>1101</v>
      </c>
    </row>
    <row r="13892" customFormat="false" ht="17.15" hidden="false" customHeight="false" outlineLevel="0" collapsed="false">
      <c r="A13892" s="1" t="s">
        <v>1102</v>
      </c>
      <c r="B13892" s="0" t="s">
        <v>75</v>
      </c>
      <c r="C13892" s="5" t="n">
        <f aca="false">(Sens!$C$13889+Sens!$C$13891)/(Sens!F13842+dil_gap)-Sens!G13832*roll_div_q/q_per_yr</f>
        <v>325.502573227517</v>
      </c>
      <c r="L13892" s="1" t="s">
        <v>1103</v>
      </c>
    </row>
    <row r="13893" customFormat="false" ht="17.15" hidden="false" customHeight="false" outlineLevel="0" collapsed="false">
      <c r="A13893" s="1" t="s">
        <v>1104</v>
      </c>
      <c r="B13893" s="0" t="s">
        <v>75</v>
      </c>
      <c r="C13893" s="5" t="n">
        <f aca="false">w_dcf*Sens!$C$13863+(1-w_dcf)*Sens!$C$13892</f>
        <v>268.202964893153</v>
      </c>
    </row>
    <row r="13894" customFormat="false" ht="17.15" hidden="false" customHeight="false" outlineLevel="0" collapsed="false">
      <c r="A13894" s="3" t="s">
        <v>1614</v>
      </c>
    </row>
    <row r="13895" customFormat="false" ht="15" hidden="false" customHeight="false" outlineLevel="0" collapsed="false">
      <c r="A13895" s="4" t="s">
        <v>43</v>
      </c>
      <c r="B13895" s="4" t="s">
        <v>65</v>
      </c>
      <c r="C13895" s="20" t="s">
        <v>799</v>
      </c>
      <c r="D13895" s="20" t="s">
        <v>800</v>
      </c>
      <c r="E13895" s="20" t="s">
        <v>801</v>
      </c>
      <c r="F13895" s="20" t="s">
        <v>802</v>
      </c>
      <c r="G13895" s="20" t="s">
        <v>803</v>
      </c>
      <c r="H13895" s="20" t="s">
        <v>804</v>
      </c>
      <c r="I13895" s="20" t="s">
        <v>805</v>
      </c>
      <c r="J13895" s="20" t="s">
        <v>806</v>
      </c>
      <c r="K13895" s="20" t="s">
        <v>807</v>
      </c>
      <c r="L13895" s="4" t="s">
        <v>47</v>
      </c>
    </row>
    <row r="13896" customFormat="false" ht="15" hidden="false" customHeight="false" outlineLevel="0" collapsed="false">
      <c r="A13896" s="1" t="s">
        <v>1057</v>
      </c>
      <c r="B13896" s="1" t="s">
        <v>235</v>
      </c>
      <c r="F13896" s="36" t="n">
        <f aca="false">Thesis!F6-base_fy-mid_yr</f>
        <v>0.5</v>
      </c>
      <c r="G13896" s="36" t="n">
        <f aca="false">Thesis!G6-base_fy-mid_yr</f>
        <v>1.5</v>
      </c>
      <c r="H13896" s="36" t="n">
        <f aca="false">Thesis!H6-base_fy-mid_yr</f>
        <v>2.5</v>
      </c>
      <c r="I13896" s="36" t="n">
        <f aca="false">Thesis!I6-base_fy-mid_yr</f>
        <v>3.5</v>
      </c>
      <c r="J13896" s="36" t="n">
        <f aca="false">Thesis!J6-base_fy-mid_yr</f>
        <v>4.5</v>
      </c>
      <c r="K13896" s="36" t="n">
        <f aca="false">Thesis!K6-base_fy-mid_yr</f>
        <v>5.5</v>
      </c>
    </row>
    <row r="13897" customFormat="false" ht="15" hidden="false" customHeight="false" outlineLevel="0" collapsed="false">
      <c r="A13897" s="1" t="s">
        <v>1058</v>
      </c>
      <c r="B13897" s="0" t="s">
        <v>185</v>
      </c>
      <c r="F13897" s="14" t="n">
        <f aca="false">1/(1+wacc)^Sens!F13896</f>
        <v>0.952193373608246</v>
      </c>
      <c r="G13897" s="14" t="n">
        <f aca="false">1/(1+wacc)^Sens!G13896</f>
        <v>0.863327280626589</v>
      </c>
      <c r="H13897" s="14" t="n">
        <f aca="false">1/(1+wacc)^Sens!H13896</f>
        <v>0.782754862754115</v>
      </c>
      <c r="I13897" s="14" t="n">
        <f aca="false">1/(1+wacc)^Sens!I13896</f>
        <v>0.709702089711011</v>
      </c>
      <c r="J13897" s="14" t="n">
        <f aca="false">1/(1+wacc)^Sens!J13896</f>
        <v>0.643467169744551</v>
      </c>
      <c r="K13897" s="14" t="n">
        <f aca="false">1/(1+wacc)^Sens!K13896</f>
        <v>0.583413807767797</v>
      </c>
    </row>
    <row r="13898" customFormat="false" ht="17.15" hidden="false" customHeight="false" outlineLevel="0" collapsed="false">
      <c r="A13898" s="1" t="s">
        <v>1059</v>
      </c>
      <c r="B13898" s="0" t="s">
        <v>98</v>
      </c>
      <c r="F13898" s="6" t="n">
        <f aca="false">CF!F22-CF!F20-CF!F26+Thesis!F44*(1-tax_f)</f>
        <v>0.8175674752552</v>
      </c>
      <c r="G13898" s="6" t="n">
        <f aca="false">CF!G22-CF!G20-CF!G26+Thesis!G44*(1-tax_f)</f>
        <v>46.5945454778033</v>
      </c>
      <c r="H13898" s="6" t="n">
        <f aca="false">CF!H22-CF!H20-CF!H26+Thesis!H44*(1-tax_f)</f>
        <v>105.224067029101</v>
      </c>
      <c r="I13898" s="6" t="n">
        <f aca="false">CF!I22-CF!I20-CF!I26+Thesis!I44*(1-tax_f)</f>
        <v>183.301417205555</v>
      </c>
      <c r="J13898" s="6" t="n">
        <f aca="false">CF!J22-CF!J20-CF!J26+Thesis!J44*(1-tax_f)</f>
        <v>261.555335183242</v>
      </c>
      <c r="K13898" s="6" t="n">
        <f aca="false">CF!K22-CF!K20-CF!K26+Thesis!K44*(1-tax_f)</f>
        <v>298.387942209483</v>
      </c>
      <c r="L13898" s="1" t="s">
        <v>1060</v>
      </c>
    </row>
    <row r="13899" customFormat="false" ht="15" hidden="false" customHeight="false" outlineLevel="0" collapsed="false">
      <c r="A13899" s="1" t="s">
        <v>1061</v>
      </c>
      <c r="B13899" s="0" t="s">
        <v>98</v>
      </c>
      <c r="F13899" s="6" t="n">
        <f aca="false">Sens!F13898*Sens!F13897</f>
        <v>0.778482332415625</v>
      </c>
      <c r="G13899" s="6" t="n">
        <f aca="false">Sens!G13898*Sens!G13897</f>
        <v>40.2263422393839</v>
      </c>
      <c r="H13899" s="6" t="n">
        <f aca="false">Sens!H13898*Sens!H13897</f>
        <v>82.364650145794</v>
      </c>
      <c r="I13899" s="6" t="n">
        <f aca="false">Sens!I13898*Sens!I13897</f>
        <v>130.089398837772</v>
      </c>
      <c r="J13899" s="6" t="n">
        <f aca="false">Sens!J13898*Sens!J13897</f>
        <v>168.302271261948</v>
      </c>
      <c r="K13899" s="6" t="n">
        <f aca="false">Sens!K13898*Sens!K13897</f>
        <v>174.083645556432</v>
      </c>
    </row>
    <row r="13900" customFormat="false" ht="17.15" hidden="false" customHeight="false" outlineLevel="0" collapsed="false">
      <c r="A13900" s="1" t="s">
        <v>1062</v>
      </c>
      <c r="B13900" s="0" t="s">
        <v>98</v>
      </c>
      <c r="C13900" s="6" t="n">
        <f aca="false">SUM(Sens!F13899:K13899)</f>
        <v>595.844790373745</v>
      </c>
    </row>
    <row r="13901" customFormat="false" ht="17.15" hidden="false" customHeight="false" outlineLevel="0" collapsed="false">
      <c r="A13901" s="1" t="s">
        <v>1063</v>
      </c>
      <c r="B13901" s="0" t="s">
        <v>98</v>
      </c>
      <c r="C13901" s="6" t="n">
        <f aca="false">PL!K39*(1+g_tv)*(1-tax_f)</f>
        <v>316.433872640522</v>
      </c>
    </row>
    <row r="13902" customFormat="false" ht="17.15" hidden="false" customHeight="false" outlineLevel="0" collapsed="false">
      <c r="A13902" s="1" t="s">
        <v>1615</v>
      </c>
      <c r="B13902" s="0" t="s">
        <v>98</v>
      </c>
      <c r="C13902" s="6" t="n">
        <f aca="false">Val!K74*(1+g_tv)</f>
        <v>307.339580475767</v>
      </c>
    </row>
    <row r="13903" customFormat="false" ht="17.15" hidden="false" customHeight="false" outlineLevel="0" collapsed="false">
      <c r="A13903" s="1" t="s">
        <v>1065</v>
      </c>
      <c r="B13903" s="0" t="s">
        <v>98</v>
      </c>
      <c r="C13903" s="6" t="n">
        <f aca="false">Sens!$C$13902/(wacc-g_tv)</f>
        <v>4213.91683219523</v>
      </c>
    </row>
    <row r="13904" customFormat="false" ht="15" hidden="false" customHeight="false" outlineLevel="0" collapsed="false">
      <c r="A13904" s="1" t="s">
        <v>1066</v>
      </c>
      <c r="B13904" s="0" t="s">
        <v>98</v>
      </c>
      <c r="C13904" s="6" t="n">
        <f aca="false">Sens!$C$13903/(1+wacc)^(Sens!K13896+mid_yr)</f>
        <v>2340.92671673481</v>
      </c>
    </row>
    <row r="13905" customFormat="false" ht="17.15" hidden="false" customHeight="false" outlineLevel="0" collapsed="false">
      <c r="A13905" s="0" t="s">
        <v>986</v>
      </c>
      <c r="B13905" s="0" t="s">
        <v>98</v>
      </c>
      <c r="C13905" s="6" t="n">
        <f aca="false">Sens!$C$13900+Sens!$C$13904</f>
        <v>2936.77150710855</v>
      </c>
    </row>
    <row r="13906" customFormat="false" ht="15" hidden="false" customHeight="false" outlineLevel="0" collapsed="false">
      <c r="A13906" s="1" t="s">
        <v>987</v>
      </c>
      <c r="B13906" s="0" t="s">
        <v>129</v>
      </c>
      <c r="C13906" s="7" t="n">
        <f aca="false">Sens!$C$13904/Sens!$C$13905</f>
        <v>0.797108903797424</v>
      </c>
    </row>
    <row r="13907" customFormat="false" ht="17.15" hidden="false" customHeight="false" outlineLevel="0" collapsed="false">
      <c r="A13907" s="1" t="s">
        <v>1067</v>
      </c>
      <c r="B13907" s="0" t="s">
        <v>98</v>
      </c>
      <c r="C13907" s="6" t="n">
        <f aca="false">Sens!$C$13905+CF!E38-CF!E27+oai_v</f>
        <v>3071.28450710855</v>
      </c>
    </row>
    <row r="13908" customFormat="false" ht="17.15" hidden="false" customHeight="false" outlineLevel="0" collapsed="false">
      <c r="A13908" s="0" t="s">
        <v>994</v>
      </c>
      <c r="B13908" s="0" t="s">
        <v>75</v>
      </c>
      <c r="C13908" s="5" t="n">
        <f aca="false">Sens!$C$13907/sh_dil26</f>
        <v>412.087012895284</v>
      </c>
    </row>
    <row r="13909" customFormat="false" ht="15" hidden="false" customHeight="false" outlineLevel="0" collapsed="false">
      <c r="A13909" s="1" t="s">
        <v>1068</v>
      </c>
      <c r="B13909" s="0" t="s">
        <v>75</v>
      </c>
      <c r="C13909" s="8" t="n">
        <f aca="false">dps_27+CF!G30*roll_div_q/q_per_yr</f>
        <v>4.8895</v>
      </c>
    </row>
    <row r="13910" customFormat="false" ht="17.15" hidden="false" customHeight="false" outlineLevel="0" collapsed="false">
      <c r="A13910" s="0" t="s">
        <v>1069</v>
      </c>
      <c r="B13910" s="0" t="s">
        <v>75</v>
      </c>
      <c r="C13910" s="5" t="n">
        <f aca="false">Sens!$C$13908*(1+wacc)^t_roll-Sens!$C$13909</f>
        <v>464.367740973785</v>
      </c>
    </row>
    <row r="13911" customFormat="false" ht="17.15" hidden="false" customHeight="false" outlineLevel="0" collapsed="false">
      <c r="A13911" s="1" t="s">
        <v>1070</v>
      </c>
      <c r="B13911" s="0" t="s">
        <v>129</v>
      </c>
      <c r="F13911" s="7" t="n">
        <f aca="false">CF!F17/(Seg!F29-Thesis!F23)</f>
        <v>0.0705303854989974</v>
      </c>
      <c r="G13911" s="7" t="n">
        <f aca="false">CF!G17/(Seg!G29-Thesis!G23)</f>
        <v>0.0669153011130541</v>
      </c>
      <c r="H13911" s="7" t="n">
        <f aca="false">CF!H17/(Seg!H29-Thesis!H23)</f>
        <v>0.0648963302688647</v>
      </c>
      <c r="I13911" s="7" t="n">
        <f aca="false">CF!I17/(Seg!I29-Thesis!I23)</f>
        <v>0.0643411219550834</v>
      </c>
      <c r="J13911" s="7" t="n">
        <f aca="false">CF!J17/(Seg!J29-Thesis!J23)</f>
        <v>0.0648740961982593</v>
      </c>
      <c r="K13911" s="7" t="n">
        <f aca="false">CF!K17/(Seg!K29-Thesis!K23)</f>
        <v>0.0660244723636577</v>
      </c>
    </row>
    <row r="13912" customFormat="false" ht="17.15" hidden="false" customHeight="false" outlineLevel="0" collapsed="false">
      <c r="A13912" s="0" t="s">
        <v>1071</v>
      </c>
      <c r="B13912" s="0" t="s">
        <v>98</v>
      </c>
      <c r="F13912" s="6" t="n">
        <f aca="false">Seg!F14*(al_m365+Sens!F13911+sbc_r)</f>
        <v>85.2273329859862</v>
      </c>
      <c r="G13912" s="6" t="n">
        <f aca="false">Seg!G14*(al_m365+Sens!G13911+sbc_r)</f>
        <v>99.6892587904979</v>
      </c>
      <c r="H13912" s="6" t="n">
        <f aca="false">Seg!H14*(al_m365+Sens!H13911+sbc_r)</f>
        <v>114.315107566414</v>
      </c>
      <c r="I13912" s="6" t="n">
        <f aca="false">Seg!I14*(al_m365+Sens!I13911+sbc_r)</f>
        <v>127.42181750834</v>
      </c>
      <c r="J13912" s="6" t="n">
        <f aca="false">Seg!J14*(al_m365+Sens!J13911+sbc_r)</f>
        <v>138.823999012523</v>
      </c>
      <c r="K13912" s="6" t="n">
        <f aca="false">Seg!K14*(al_m365+Sens!K13911+sbc_r)</f>
        <v>149.845393216552</v>
      </c>
      <c r="L13912" s="11" t="s">
        <v>1072</v>
      </c>
    </row>
    <row r="13913" customFormat="false" ht="17.15" hidden="false" customHeight="false" outlineLevel="0" collapsed="false">
      <c r="A13913" s="0" t="s">
        <v>1073</v>
      </c>
      <c r="B13913" s="0" t="s">
        <v>98</v>
      </c>
      <c r="F13913" s="6" t="n">
        <f aca="false">Seg!F15*(al_lic+Sens!F13911+sbc_r)</f>
        <v>33.5204472060294</v>
      </c>
      <c r="G13913" s="6" t="n">
        <f aca="false">Seg!G15*(al_lic+Sens!G13911+sbc_r)</f>
        <v>34.7926166862242</v>
      </c>
      <c r="H13913" s="6" t="n">
        <f aca="false">Seg!H15*(al_lic+Sens!H13911+sbc_r)</f>
        <v>35.9862829687409</v>
      </c>
      <c r="I13913" s="6" t="n">
        <f aca="false">Seg!I15*(al_lic+Sens!I13911+sbc_r)</f>
        <v>37.0838788899664</v>
      </c>
      <c r="J13913" s="6" t="n">
        <f aca="false">Seg!J15*(al_lic+Sens!J13911+sbc_r)</f>
        <v>38.0565090086839</v>
      </c>
      <c r="K13913" s="6" t="n">
        <f aca="false">Seg!K15*(al_lic+Sens!K13911+sbc_r)</f>
        <v>38.8700352425884</v>
      </c>
    </row>
    <row r="13914" customFormat="false" ht="17.15" hidden="false" customHeight="false" outlineLevel="0" collapsed="false">
      <c r="A13914" s="0" t="s">
        <v>1074</v>
      </c>
      <c r="B13914" s="0" t="s">
        <v>98</v>
      </c>
      <c r="F13914" s="6" t="n">
        <f aca="false">Seg!F17*(al_ind+Sens!F13911+sbc_r)</f>
        <v>9.11980018094294</v>
      </c>
      <c r="G13914" s="6" t="n">
        <f aca="false">Seg!G17*(al_ind+Sens!G13911+sbc_r)</f>
        <v>9.88072195697034</v>
      </c>
      <c r="H13914" s="6" t="n">
        <f aca="false">Seg!H17*(al_ind+Sens!H13911+sbc_r)</f>
        <v>10.6900815637922</v>
      </c>
      <c r="I13914" s="6" t="n">
        <f aca="false">Seg!I17*(al_ind+Sens!I13911+sbc_r)</f>
        <v>11.5460282347577</v>
      </c>
      <c r="J13914" s="6" t="n">
        <f aca="false">Seg!J17*(al_ind+Sens!J13911+sbc_r)</f>
        <v>12.4374767512513</v>
      </c>
      <c r="K13914" s="6" t="n">
        <f aca="false">Seg!K17*(al_ind+Sens!K13911+sbc_r)</f>
        <v>13.3461587114563</v>
      </c>
    </row>
    <row r="13915" customFormat="false" ht="17.15" hidden="false" customHeight="false" outlineLevel="0" collapsed="false">
      <c r="A13915" s="0" t="s">
        <v>1075</v>
      </c>
      <c r="B13915" s="0" t="s">
        <v>98</v>
      </c>
      <c r="F13915" s="6" t="n">
        <f aca="false">Seg!F19*(al_fro+Sens!F13911+sbc_r)</f>
        <v>3.58958536902212</v>
      </c>
      <c r="G13915" s="6" t="n">
        <f aca="false">Seg!G19*(al_fro+Sens!G13911+sbc_r)</f>
        <v>3.79361306665995</v>
      </c>
      <c r="H13915" s="6" t="n">
        <f aca="false">Seg!H19*(al_fro+Sens!H13911+sbc_r)</f>
        <v>4.02838862857902</v>
      </c>
      <c r="I13915" s="6" t="n">
        <f aca="false">Seg!I19*(al_fro+Sens!I13911+sbc_r)</f>
        <v>4.29696179134221</v>
      </c>
      <c r="J13915" s="6" t="n">
        <f aca="false">Seg!J19*(al_fro+Sens!J13911+sbc_r)</f>
        <v>4.59985687395741</v>
      </c>
      <c r="K13915" s="6" t="n">
        <f aca="false">Seg!K19*(al_fro+Sens!K13911+sbc_r)</f>
        <v>4.93592238342414</v>
      </c>
    </row>
    <row r="13916" customFormat="false" ht="17.15" hidden="false" customHeight="false" outlineLevel="0" collapsed="false">
      <c r="A13916" s="0" t="s">
        <v>1076</v>
      </c>
      <c r="B13916" s="0" t="s">
        <v>98</v>
      </c>
      <c r="F13916" s="6" t="n">
        <f aca="false">Seg!F22*(al_srch+Sens!F13911+sbc_r)</f>
        <v>11.2630849868114</v>
      </c>
      <c r="G13916" s="6" t="n">
        <f aca="false">Seg!G22*(al_srch+Sens!G13911+sbc_r)</f>
        <v>12.3179728600437</v>
      </c>
      <c r="H13916" s="6" t="n">
        <f aca="false">Seg!H22*(al_srch+Sens!H13911+sbc_r)</f>
        <v>13.4217853035424</v>
      </c>
      <c r="I13916" s="6" t="n">
        <f aca="false">Seg!I22*(al_srch+Sens!I13911+sbc_r)</f>
        <v>14.565578354966</v>
      </c>
      <c r="J13916" s="6" t="n">
        <f aca="false">Seg!J22*(al_srch+Sens!J13911+sbc_r)</f>
        <v>15.7277683722803</v>
      </c>
      <c r="K13916" s="6" t="n">
        <f aca="false">Seg!K22*(al_srch+Sens!K13911+sbc_r)</f>
        <v>16.87683901418</v>
      </c>
    </row>
    <row r="13917" customFormat="false" ht="17.15" hidden="false" customHeight="false" outlineLevel="0" collapsed="false">
      <c r="A13917" s="0" t="s">
        <v>1077</v>
      </c>
      <c r="B13917" s="0" t="s">
        <v>98</v>
      </c>
      <c r="F13917" s="6" t="n">
        <f aca="false">Thesis!F29-Thesis!F30+Thesis!F44</f>
        <v>45.0374073018652</v>
      </c>
      <c r="G13917" s="6" t="n">
        <f aca="false">Thesis!G29-Thesis!G30+Thesis!G44</f>
        <v>89.051993487491</v>
      </c>
      <c r="H13917" s="6" t="n">
        <f aca="false">Thesis!H29-Thesis!H30+Thesis!H44</f>
        <v>140.728332825594</v>
      </c>
      <c r="I13917" s="6" t="n">
        <f aca="false">Thesis!I29-Thesis!I30+Thesis!I44</f>
        <v>182.158665153016</v>
      </c>
      <c r="J13917" s="6" t="n">
        <f aca="false">Thesis!J29-Thesis!J30+Thesis!J44</f>
        <v>211.722320149272</v>
      </c>
      <c r="K13917" s="6" t="n">
        <f aca="false">Thesis!K29-Thesis!K30+Thesis!K44</f>
        <v>230.495012322217</v>
      </c>
    </row>
    <row r="13918" customFormat="false" ht="17.15" hidden="false" customHeight="false" outlineLevel="0" collapsed="false">
      <c r="A13918" s="0" t="s">
        <v>1078</v>
      </c>
      <c r="B13918" s="0" t="s">
        <v>98</v>
      </c>
      <c r="F13918" s="6" t="n">
        <f aca="false">PL!F32+Thesis!F44+Thesis!F40+Sens!F13911*(Seg!F21-Thesis!F23)+sbc_r*Seg!F21</f>
        <v>236.979131882557</v>
      </c>
      <c r="G13918" s="6" t="n">
        <f aca="false">PL!G32+Thesis!G44+Thesis!G40+Sens!G13911*(Seg!G21-Thesis!G23)+sbc_r*Seg!G21</f>
        <v>310.298572894356</v>
      </c>
      <c r="H13918" s="6" t="n">
        <f aca="false">PL!H32+Thesis!H44+Thesis!H40+Sens!H13911*(Seg!H21-Thesis!H23)+sbc_r*Seg!H21</f>
        <v>391.97921499404</v>
      </c>
      <c r="I13918" s="6" t="n">
        <f aca="false">PL!I32+Thesis!I44+Thesis!I40+Sens!I13911*(Seg!I21-Thesis!I23)+sbc_r*Seg!I21</f>
        <v>461.338592490557</v>
      </c>
      <c r="J13918" s="6" t="n">
        <f aca="false">PL!J32+Thesis!J44+Thesis!J40+Sens!J13911*(Seg!J21-Thesis!J23)+sbc_r*Seg!J21</f>
        <v>515.876034980991</v>
      </c>
      <c r="K13918" s="6" t="n">
        <f aca="false">PL!K32+Thesis!K44+Thesis!K40+Sens!K13911*(Seg!K21-Thesis!K23)+sbc_r*Seg!K21</f>
        <v>557.225339287545</v>
      </c>
    </row>
    <row r="13919" customFormat="false" ht="17.15" hidden="false" customHeight="false" outlineLevel="0" collapsed="false">
      <c r="A13919" s="0" t="s">
        <v>1079</v>
      </c>
      <c r="B13919" s="0" t="s">
        <v>98</v>
      </c>
      <c r="F13919" s="6" t="n">
        <f aca="false">Sens!F13918-Sens!F13912-Sens!F13913-Sens!F13914-Sens!F13915-Sens!F13917</f>
        <v>60.4845588387112</v>
      </c>
      <c r="G13919" s="6" t="n">
        <f aca="false">Sens!G13918-Sens!G13912-Sens!G13913-Sens!G13914-Sens!G13915-Sens!G13917</f>
        <v>73.090368906513</v>
      </c>
      <c r="H13919" s="6" t="n">
        <f aca="false">Sens!H13918-Sens!H13912-Sens!H13913-Sens!H13914-Sens!H13915-Sens!H13917</f>
        <v>86.23102144092</v>
      </c>
      <c r="I13919" s="6" t="n">
        <f aca="false">Sens!I13918-Sens!I13912-Sens!I13913-Sens!I13914-Sens!I13915-Sens!I13917</f>
        <v>98.8312409131349</v>
      </c>
      <c r="J13919" s="6" t="n">
        <f aca="false">Sens!J13918-Sens!J13912-Sens!J13913-Sens!J13914-Sens!J13915-Sens!J13917</f>
        <v>110.235873185303</v>
      </c>
      <c r="K13919" s="6" t="n">
        <f aca="false">Sens!K13918-Sens!K13912-Sens!K13913-Sens!K13914-Sens!K13915-Sens!K13917</f>
        <v>119.732817411307</v>
      </c>
    </row>
    <row r="13920" customFormat="false" ht="17.15" hidden="false" customHeight="false" outlineLevel="0" collapsed="false">
      <c r="A13920" s="0" t="s">
        <v>1080</v>
      </c>
      <c r="B13920" s="0" t="s">
        <v>98</v>
      </c>
      <c r="F13920" s="6" t="n">
        <f aca="false">PL!F34+Sens!F13911*Seg!F28+sbc_r*Seg!F28</f>
        <v>26.3250729833002</v>
      </c>
      <c r="G13920" s="6" t="n">
        <f aca="false">PL!G34+Sens!G13911*Seg!G28+sbc_r*Seg!G28</f>
        <v>26.8840979798844</v>
      </c>
      <c r="H13920" s="6" t="n">
        <f aca="false">PL!H34+Sens!H13911*Seg!H28+sbc_r*Seg!H28</f>
        <v>27.7254420104725</v>
      </c>
      <c r="I13920" s="6" t="n">
        <f aca="false">PL!I34+Sens!I13911*Seg!I28+sbc_r*Seg!I28</f>
        <v>28.8195303030026</v>
      </c>
      <c r="J13920" s="6" t="n">
        <f aca="false">PL!J34+Sens!J13911*Seg!J28+sbc_r*Seg!J28</f>
        <v>30.1256822206383</v>
      </c>
      <c r="K13920" s="6" t="n">
        <f aca="false">PL!K34+Sens!K13911*Seg!K28+sbc_r*Seg!K28</f>
        <v>31.5981329181227</v>
      </c>
    </row>
    <row r="13921" customFormat="false" ht="17.15" hidden="false" customHeight="false" outlineLevel="0" collapsed="false">
      <c r="A13921" s="0" t="s">
        <v>1081</v>
      </c>
      <c r="B13921" s="0" t="s">
        <v>98</v>
      </c>
      <c r="F13921" s="6" t="n">
        <f aca="false">(Sens!F13920-Sens!F13916)*Seg!F24/(Seg!F24+Seg!F26)</f>
        <v>8.25683511803782</v>
      </c>
      <c r="G13921" s="6" t="n">
        <f aca="false">(Sens!G13920-Sens!G13916)*Seg!G24/(Seg!G24+Seg!G26)</f>
        <v>7.84263572934781</v>
      </c>
      <c r="H13921" s="6" t="n">
        <f aca="false">(Sens!H13920-Sens!H13916)*Seg!H24/(Seg!H24+Seg!H26)</f>
        <v>7.59728657715786</v>
      </c>
      <c r="I13921" s="6" t="n">
        <f aca="false">(Sens!I13920-Sens!I13916)*Seg!I24/(Seg!I24+Seg!I26)</f>
        <v>7.50238476920254</v>
      </c>
      <c r="J13921" s="6" t="n">
        <f aca="false">(Sens!J13920-Sens!J13916)*Seg!J24/(Seg!J24+Seg!J26)</f>
        <v>7.54388912124533</v>
      </c>
      <c r="K13921" s="6" t="n">
        <f aca="false">(Sens!K13920-Sens!K13916)*Seg!K24/(Seg!K24+Seg!K26)</f>
        <v>7.71332639591206</v>
      </c>
    </row>
    <row r="13922" customFormat="false" ht="17.15" hidden="false" customHeight="false" outlineLevel="0" collapsed="false">
      <c r="A13922" s="0" t="s">
        <v>1082</v>
      </c>
      <c r="B13922" s="0" t="s">
        <v>98</v>
      </c>
      <c r="F13922" s="6" t="n">
        <f aca="false">Sens!F13920-Sens!F13916-Sens!F13921</f>
        <v>6.80515287845105</v>
      </c>
      <c r="G13922" s="6" t="n">
        <f aca="false">Sens!G13920-Sens!G13916-Sens!G13921</f>
        <v>6.72348939049287</v>
      </c>
      <c r="H13922" s="6" t="n">
        <f aca="false">Sens!H13920-Sens!H13916-Sens!H13921</f>
        <v>6.70637012977225</v>
      </c>
      <c r="I13922" s="6" t="n">
        <f aca="false">Sens!I13920-Sens!I13916-Sens!I13921</f>
        <v>6.75156717883416</v>
      </c>
      <c r="J13922" s="6" t="n">
        <f aca="false">Sens!J13920-Sens!J13916-Sens!J13921</f>
        <v>6.85402472711273</v>
      </c>
      <c r="K13922" s="6" t="n">
        <f aca="false">Sens!K13920-Sens!K13916-Sens!K13921</f>
        <v>7.00796750803058</v>
      </c>
    </row>
    <row r="13923" customFormat="false" ht="17.15" hidden="false" customHeight="false" outlineLevel="0" collapsed="false">
      <c r="A13923" s="0" t="s">
        <v>1083</v>
      </c>
      <c r="B13923" s="0" t="s">
        <v>98</v>
      </c>
      <c r="F13923" s="6" t="n">
        <f aca="false">Sens!F13917-tax_f*(Sens!F13917-Thesis!F40)-Thesis!F37</f>
        <v>-117.492972553783</v>
      </c>
      <c r="G13923" s="6" t="n">
        <f aca="false">Sens!G13917-tax_f*(Sens!G13917-Thesis!G40)-Thesis!G37</f>
        <v>-100.507498271105</v>
      </c>
      <c r="H13923" s="6" t="n">
        <f aca="false">Sens!H13917-tax_f*(Sens!H13917-Thesis!H40)-Thesis!H37</f>
        <v>-58.2254156812621</v>
      </c>
      <c r="I13923" s="6" t="n">
        <f aca="false">Sens!I13917-tax_f*(Sens!I13917-Thesis!I40)-Thesis!I37</f>
        <v>4.14141173464586</v>
      </c>
      <c r="J13923" s="6" t="n">
        <f aca="false">Sens!J13917-tax_f*(Sens!J13917-Thesis!J40)-Thesis!J37</f>
        <v>67.7960840957439</v>
      </c>
      <c r="K13923" s="6" t="n">
        <f aca="false">Sens!K13917-tax_f*(Sens!K13917-Thesis!K40)-Thesis!K37</f>
        <v>90.8148873630444</v>
      </c>
    </row>
    <row r="13924" customFormat="false" ht="17.15" hidden="false" customHeight="false" outlineLevel="0" collapsed="false">
      <c r="A13924" s="0" t="s">
        <v>1084</v>
      </c>
      <c r="B13924" s="0" t="s">
        <v>98</v>
      </c>
      <c r="G13924" s="6" t="n">
        <f aca="false">Sens!G13923/(1+wacc)^(Sens!G13896-(Sens!F13896+mid_yr))</f>
        <v>-95.7025738516884</v>
      </c>
      <c r="H13924" s="6" t="n">
        <f aca="false">Sens!H13923/(1+wacc)^(Sens!H13896-(Sens!F13896+mid_yr))</f>
        <v>-50.2675897834568</v>
      </c>
      <c r="I13924" s="6" t="n">
        <f aca="false">Sens!I13923/(1+wacc)^(Sens!I13896-(Sens!F13896+mid_yr))</f>
        <v>3.241710173961</v>
      </c>
      <c r="J13924" s="6" t="n">
        <f aca="false">Sens!J13923/(1+wacc)^(Sens!J13896-(Sens!F13896+mid_yr))</f>
        <v>48.1150225569729</v>
      </c>
      <c r="K13924" s="6" t="n">
        <f aca="false">Sens!K13923/(1+wacc)^(Sens!K13896-(Sens!F13896+mid_yr))</f>
        <v>58.4363985421684</v>
      </c>
      <c r="L13924" s="1" t="s">
        <v>1085</v>
      </c>
    </row>
    <row r="13925" customFormat="false" ht="17.15" hidden="false" customHeight="false" outlineLevel="0" collapsed="false">
      <c r="A13925" s="0" t="s">
        <v>1086</v>
      </c>
      <c r="B13925" s="0" t="s">
        <v>98</v>
      </c>
      <c r="C13925" s="6" t="n">
        <f aca="false">(Sens!K13917-Thesis!K40)*(1-tax_f)*(1+g_tv)*(1-g_tv/(wacc+0))/(wacc-g_tv)/(1+wacc)^(Sens!K13896+mid_yr-(Sens!F13896+mid_yr))</f>
        <v>448.116665852667</v>
      </c>
    </row>
    <row r="13926" customFormat="false" ht="17.15" hidden="false" customHeight="false" outlineLevel="0" collapsed="false">
      <c r="A13926" s="1" t="s">
        <v>1087</v>
      </c>
      <c r="B13926" s="0" t="s">
        <v>98</v>
      </c>
      <c r="C13926" s="6" t="n">
        <f aca="false">(SUM(Sens!G13924:K13924)+Sens!$C$13925)*(1+wacc)^(t_roll-(Sens!F13896+mid_yr))</f>
        <v>425.310341738423</v>
      </c>
      <c r="L13926" s="11" t="s">
        <v>1088</v>
      </c>
    </row>
    <row r="13927" customFormat="false" ht="17.15" hidden="false" customHeight="false" outlineLevel="0" collapsed="false">
      <c r="A13927" s="1" t="s">
        <v>1089</v>
      </c>
      <c r="B13927" s="0" t="s">
        <v>98</v>
      </c>
      <c r="C13927" s="6" t="n">
        <f aca="false">(w_ntm28*Thesis!G29+(1-w_ntm28)*Thesis!H29)*m_ai</f>
        <v>551.711134531404</v>
      </c>
    </row>
    <row r="13928" customFormat="false" ht="17.15" hidden="false" customHeight="false" outlineLevel="0" collapsed="false">
      <c r="A13928" s="1" t="s">
        <v>1090</v>
      </c>
      <c r="B13928" s="0" t="s">
        <v>98</v>
      </c>
      <c r="C13928" s="6" t="n">
        <f aca="false">(w_ntm28*Sens!G13919+(1-w_ntm28)*Sens!H13919)*m_cloud</f>
        <v>1068.81917370447</v>
      </c>
    </row>
    <row r="13929" customFormat="false" ht="17.15" hidden="false" customHeight="false" outlineLevel="0" collapsed="false">
      <c r="A13929" s="1" t="s">
        <v>1091</v>
      </c>
      <c r="B13929" s="0" t="s">
        <v>98</v>
      </c>
      <c r="C13929" s="6" t="n">
        <f aca="false">(w_ntm28*Sens!G13912+(1-w_ntm28)*Sens!H13912)*m_sw</f>
        <v>1127.71024611553</v>
      </c>
    </row>
    <row r="13930" customFormat="false" ht="17.15" hidden="false" customHeight="false" outlineLevel="0" collapsed="false">
      <c r="A13930" s="1" t="s">
        <v>1092</v>
      </c>
      <c r="B13930" s="0" t="s">
        <v>98</v>
      </c>
      <c r="C13930" s="6" t="n">
        <f aca="false">(w_ntm28*Sens!G13913+(1-w_ntm28)*Sens!H13913)*m_sw</f>
        <v>379.927954212425</v>
      </c>
    </row>
    <row r="13931" customFormat="false" ht="17.15" hidden="false" customHeight="false" outlineLevel="0" collapsed="false">
      <c r="A13931" s="1" t="s">
        <v>1093</v>
      </c>
      <c r="B13931" s="0" t="s">
        <v>98</v>
      </c>
      <c r="C13931" s="6" t="n">
        <f aca="false">(w_ntm28*Sens!G13914+(1-w_ntm28)*Sens!H13914)*m_sw</f>
        <v>109.537681746057</v>
      </c>
    </row>
    <row r="13932" customFormat="false" ht="17.15" hidden="false" customHeight="false" outlineLevel="0" collapsed="false">
      <c r="A13932" s="1" t="s">
        <v>1094</v>
      </c>
      <c r="B13932" s="0" t="s">
        <v>98</v>
      </c>
      <c r="C13932" s="6" t="n">
        <f aca="false">(w_ntm28*Sens!G13915+(1-w_ntm28)*Sens!H13915)*m_sw</f>
        <v>41.7907416024197</v>
      </c>
    </row>
    <row r="13933" customFormat="false" ht="17.15" hidden="false" customHeight="false" outlineLevel="0" collapsed="false">
      <c r="A13933" s="1" t="s">
        <v>1095</v>
      </c>
      <c r="B13933" s="0" t="s">
        <v>98</v>
      </c>
      <c r="C13933" s="6" t="n">
        <f aca="false">(w_ntm28*Sens!G13916+(1-w_ntm28)*Sens!H13916)*m_ads</f>
        <v>115.467626729004</v>
      </c>
    </row>
    <row r="13934" customFormat="false" ht="17.15" hidden="false" customHeight="false" outlineLevel="0" collapsed="false">
      <c r="A13934" s="1" t="s">
        <v>1096</v>
      </c>
      <c r="B13934" s="0" t="s">
        <v>98</v>
      </c>
      <c r="C13934" s="6" t="n">
        <f aca="false">(w_ntm28*Sens!G13921+(1-w_ntm28)*Sens!H13921)*m_game</f>
        <v>98.0506984247457</v>
      </c>
    </row>
    <row r="13935" customFormat="false" ht="17.15" hidden="false" customHeight="false" outlineLevel="0" collapsed="false">
      <c r="A13935" s="1" t="s">
        <v>1097</v>
      </c>
      <c r="B13935" s="0" t="s">
        <v>98</v>
      </c>
      <c r="C13935" s="6" t="n">
        <f aca="false">(w_ntm28*Sens!G13922+(1-w_ntm28)*Sens!H13922)*m_pc</f>
        <v>97.2088080478016</v>
      </c>
    </row>
    <row r="13936" customFormat="false" ht="17.15" hidden="false" customHeight="false" outlineLevel="0" collapsed="false">
      <c r="A13936" s="1" t="s">
        <v>1098</v>
      </c>
      <c r="B13936" s="0" t="s">
        <v>98</v>
      </c>
      <c r="C13936" s="6" t="n">
        <f aca="false">Sens!$C$13926+Sens!$C$13928+Sens!$C$13929+Sens!$C$13930+Sens!$C$13931+Sens!$C$13932+Sens!$C$13933+Sens!$C$13934+Sens!$C$13935</f>
        <v>3463.82327232088</v>
      </c>
    </row>
    <row r="13937" customFormat="false" ht="17.15" hidden="false" customHeight="false" outlineLevel="0" collapsed="false">
      <c r="A13937" s="1" t="s">
        <v>1099</v>
      </c>
      <c r="B13937" s="0" t="s">
        <v>98</v>
      </c>
      <c r="C13937" s="6" t="n">
        <f aca="false">(Sens!G13898-Sens!G13923)*t_stub</f>
        <v>47.9592964551235</v>
      </c>
      <c r="L13937" s="1" t="s">
        <v>1100</v>
      </c>
    </row>
    <row r="13938" customFormat="false" ht="17.15" hidden="false" customHeight="false" outlineLevel="0" collapsed="false">
      <c r="A13938" s="1" t="s">
        <v>1014</v>
      </c>
      <c r="B13938" s="0" t="s">
        <v>98</v>
      </c>
      <c r="C13938" s="6" t="n">
        <f aca="false">CF!F38+oai_v-CF!F27+Sens!$C$13937</f>
        <v>163.066005497665</v>
      </c>
      <c r="L13938" s="1" t="s">
        <v>1101</v>
      </c>
    </row>
    <row r="13939" customFormat="false" ht="17.15" hidden="false" customHeight="false" outlineLevel="0" collapsed="false">
      <c r="A13939" s="1" t="s">
        <v>1102</v>
      </c>
      <c r="B13939" s="0" t="s">
        <v>75</v>
      </c>
      <c r="C13939" s="5" t="n">
        <f aca="false">(Sens!$C$13936+Sens!$C$13938)/(CF!F40+dil_gap)-CF!G30*roll_div_q/q_per_yr</f>
        <v>482.803786795431</v>
      </c>
      <c r="L13939" s="1" t="s">
        <v>1103</v>
      </c>
    </row>
    <row r="13940" customFormat="false" ht="17.15" hidden="false" customHeight="false" outlineLevel="0" collapsed="false">
      <c r="A13940" s="1" t="s">
        <v>1104</v>
      </c>
      <c r="B13940" s="0" t="s">
        <v>75</v>
      </c>
      <c r="C13940" s="5" t="n">
        <f aca="false">w_dcf*Sens!$C$13910+(1-w_dcf)*Sens!$C$13939</f>
        <v>473.585763884608</v>
      </c>
    </row>
    <row r="13941" customFormat="false" ht="17.15" hidden="false" customHeight="false" outlineLevel="0" collapsed="false">
      <c r="A13941" s="3" t="s">
        <v>1616</v>
      </c>
    </row>
    <row r="13942" customFormat="false" ht="15" hidden="false" customHeight="false" outlineLevel="0" collapsed="false">
      <c r="A13942" s="4" t="s">
        <v>43</v>
      </c>
      <c r="B13942" s="4" t="s">
        <v>65</v>
      </c>
      <c r="C13942" s="20" t="s">
        <v>799</v>
      </c>
      <c r="D13942" s="20" t="s">
        <v>800</v>
      </c>
      <c r="E13942" s="20" t="s">
        <v>801</v>
      </c>
      <c r="F13942" s="20" t="s">
        <v>802</v>
      </c>
      <c r="G13942" s="20" t="s">
        <v>803</v>
      </c>
      <c r="H13942" s="20" t="s">
        <v>804</v>
      </c>
      <c r="I13942" s="20" t="s">
        <v>805</v>
      </c>
      <c r="J13942" s="20" t="s">
        <v>806</v>
      </c>
      <c r="K13942" s="20" t="s">
        <v>807</v>
      </c>
      <c r="L13942" s="4" t="s">
        <v>47</v>
      </c>
    </row>
    <row r="13943" customFormat="false" ht="15" hidden="false" customHeight="false" outlineLevel="0" collapsed="false">
      <c r="A13943" s="1" t="s">
        <v>1057</v>
      </c>
      <c r="B13943" s="1" t="s">
        <v>235</v>
      </c>
      <c r="F13943" s="36" t="n">
        <f aca="false">Thesis!F55-base_fy-mid_yr</f>
        <v>0.5</v>
      </c>
      <c r="G13943" s="36" t="n">
        <f aca="false">Thesis!G55-base_fy-mid_yr</f>
        <v>1.5</v>
      </c>
      <c r="H13943" s="36" t="n">
        <f aca="false">Thesis!H55-base_fy-mid_yr</f>
        <v>2.5</v>
      </c>
      <c r="I13943" s="36" t="n">
        <f aca="false">Thesis!I55-base_fy-mid_yr</f>
        <v>3.5</v>
      </c>
      <c r="J13943" s="36" t="n">
        <f aca="false">Thesis!J55-base_fy-mid_yr</f>
        <v>4.5</v>
      </c>
      <c r="K13943" s="36" t="n">
        <f aca="false">Thesis!K55-base_fy-mid_yr</f>
        <v>5.5</v>
      </c>
    </row>
    <row r="13944" customFormat="false" ht="15" hidden="false" customHeight="false" outlineLevel="0" collapsed="false">
      <c r="A13944" s="1" t="s">
        <v>1058</v>
      </c>
      <c r="B13944" s="0" t="s">
        <v>185</v>
      </c>
      <c r="F13944" s="14" t="n">
        <f aca="false">1/(1+wacc)^Sens!F13943</f>
        <v>0.952193373608246</v>
      </c>
      <c r="G13944" s="14" t="n">
        <f aca="false">1/(1+wacc)^Sens!G13943</f>
        <v>0.863327280626589</v>
      </c>
      <c r="H13944" s="14" t="n">
        <f aca="false">1/(1+wacc)^Sens!H13943</f>
        <v>0.782754862754115</v>
      </c>
      <c r="I13944" s="14" t="n">
        <f aca="false">1/(1+wacc)^Sens!I13943</f>
        <v>0.709702089711011</v>
      </c>
      <c r="J13944" s="14" t="n">
        <f aca="false">1/(1+wacc)^Sens!J13943</f>
        <v>0.643467169744551</v>
      </c>
      <c r="K13944" s="14" t="n">
        <f aca="false">1/(1+wacc)^Sens!K13943</f>
        <v>0.583413807767797</v>
      </c>
    </row>
    <row r="13945" customFormat="false" ht="17.15" hidden="false" customHeight="false" outlineLevel="0" collapsed="false">
      <c r="A13945" s="1" t="s">
        <v>1059</v>
      </c>
      <c r="B13945" s="0" t="s">
        <v>98</v>
      </c>
      <c r="F13945" s="6" t="n">
        <f aca="false">CF!F53-CF!F51-CF!F57+Thesis!F93*(1-tax_f)</f>
        <v>-2.12916264917943</v>
      </c>
      <c r="G13945" s="6" t="n">
        <f aca="false">CF!G53-CF!G51-CF!G57+Thesis!G93*(1-tax_f)</f>
        <v>37.4539072201241</v>
      </c>
      <c r="H13945" s="6" t="n">
        <f aca="false">CF!H53-CF!H51-CF!H57+Thesis!H93*(1-tax_f)</f>
        <v>85.8888636072133</v>
      </c>
      <c r="I13945" s="6" t="n">
        <f aca="false">CF!I53-CF!I51-CF!I57+Thesis!I93*(1-tax_f)</f>
        <v>159.098024951333</v>
      </c>
      <c r="J13945" s="6" t="n">
        <f aca="false">CF!J53-CF!J51-CF!J57+Thesis!J93*(1-tax_f)</f>
        <v>233.876759261847</v>
      </c>
      <c r="K13945" s="6" t="n">
        <f aca="false">CF!K53-CF!K51-CF!K57+Thesis!K93*(1-tax_f)</f>
        <v>268.447783789649</v>
      </c>
      <c r="L13945" s="1" t="s">
        <v>1060</v>
      </c>
    </row>
    <row r="13946" customFormat="false" ht="15" hidden="false" customHeight="false" outlineLevel="0" collapsed="false">
      <c r="A13946" s="1" t="s">
        <v>1061</v>
      </c>
      <c r="B13946" s="0" t="s">
        <v>98</v>
      </c>
      <c r="F13946" s="6" t="n">
        <f aca="false">Sens!F13945*Sens!F13944</f>
        <v>-2.02737456588283</v>
      </c>
      <c r="G13946" s="6" t="n">
        <f aca="false">Sens!G13945*Sens!G13944</f>
        <v>32.3349798691903</v>
      </c>
      <c r="H13946" s="6" t="n">
        <f aca="false">Sens!H13945*Sens!H13944</f>
        <v>67.2299256449712</v>
      </c>
      <c r="I13946" s="6" t="n">
        <f aca="false">Sens!I13945*Sens!I13944</f>
        <v>112.912200776856</v>
      </c>
      <c r="J13946" s="6" t="n">
        <f aca="false">Sens!J13945*Sens!J13944</f>
        <v>150.492016351249</v>
      </c>
      <c r="K13946" s="6" t="n">
        <f aca="false">Sens!K13945*Sens!K13944</f>
        <v>156.616143727545</v>
      </c>
    </row>
    <row r="13947" customFormat="false" ht="17.15" hidden="false" customHeight="false" outlineLevel="0" collapsed="false">
      <c r="A13947" s="1" t="s">
        <v>1062</v>
      </c>
      <c r="B13947" s="0" t="s">
        <v>98</v>
      </c>
      <c r="C13947" s="6" t="n">
        <f aca="false">SUM(Sens!F13946:K13946)</f>
        <v>517.557891803928</v>
      </c>
    </row>
    <row r="13948" customFormat="false" ht="17.15" hidden="false" customHeight="false" outlineLevel="0" collapsed="false">
      <c r="A13948" s="1" t="s">
        <v>1063</v>
      </c>
      <c r="B13948" s="0" t="s">
        <v>98</v>
      </c>
      <c r="C13948" s="6" t="n">
        <f aca="false">PL!K78*(1+g_tv)*(1-tax_f)</f>
        <v>284.685941703094</v>
      </c>
    </row>
    <row r="13949" customFormat="false" ht="17.15" hidden="false" customHeight="false" outlineLevel="0" collapsed="false">
      <c r="A13949" s="1" t="s">
        <v>1615</v>
      </c>
      <c r="B13949" s="0" t="s">
        <v>98</v>
      </c>
      <c r="C13949" s="6" t="n">
        <f aca="false">Val!K121*(1+g_tv)</f>
        <v>276.501217303339</v>
      </c>
    </row>
    <row r="13950" customFormat="false" ht="17.15" hidden="false" customHeight="false" outlineLevel="0" collapsed="false">
      <c r="A13950" s="1" t="s">
        <v>1065</v>
      </c>
      <c r="B13950" s="0" t="s">
        <v>98</v>
      </c>
      <c r="C13950" s="6" t="n">
        <f aca="false">Sens!$C$13949/(wacc-g_tv)</f>
        <v>3791.09365579706</v>
      </c>
    </row>
    <row r="13951" customFormat="false" ht="15" hidden="false" customHeight="false" outlineLevel="0" collapsed="false">
      <c r="A13951" s="1" t="s">
        <v>1066</v>
      </c>
      <c r="B13951" s="0" t="s">
        <v>98</v>
      </c>
      <c r="C13951" s="6" t="n">
        <f aca="false">Sens!$C$13950/(1+wacc)^(Sens!K13943+mid_yr)</f>
        <v>2106.03881801719</v>
      </c>
    </row>
    <row r="13952" customFormat="false" ht="17.15" hidden="false" customHeight="false" outlineLevel="0" collapsed="false">
      <c r="A13952" s="0" t="s">
        <v>986</v>
      </c>
      <c r="B13952" s="0" t="s">
        <v>98</v>
      </c>
      <c r="C13952" s="6" t="n">
        <f aca="false">Sens!$C$13947+Sens!$C$13951</f>
        <v>2623.59670982111</v>
      </c>
    </row>
    <row r="13953" customFormat="false" ht="15" hidden="false" customHeight="false" outlineLevel="0" collapsed="false">
      <c r="A13953" s="1" t="s">
        <v>987</v>
      </c>
      <c r="B13953" s="0" t="s">
        <v>129</v>
      </c>
      <c r="C13953" s="7" t="n">
        <f aca="false">Sens!$C$13951/Sens!$C$13952</f>
        <v>0.802729630714007</v>
      </c>
    </row>
    <row r="13954" customFormat="false" ht="17.15" hidden="false" customHeight="false" outlineLevel="0" collapsed="false">
      <c r="A13954" s="1" t="s">
        <v>1067</v>
      </c>
      <c r="B13954" s="0" t="s">
        <v>98</v>
      </c>
      <c r="C13954" s="6" t="n">
        <f aca="false">Sens!$C$13952+CF!E69-CF!E58+oai_v</f>
        <v>2758.10970982111</v>
      </c>
    </row>
    <row r="13955" customFormat="false" ht="17.15" hidden="false" customHeight="false" outlineLevel="0" collapsed="false">
      <c r="A13955" s="0" t="s">
        <v>994</v>
      </c>
      <c r="B13955" s="0" t="s">
        <v>75</v>
      </c>
      <c r="C13955" s="5" t="n">
        <f aca="false">Sens!$C$13954/sh_dil26</f>
        <v>370.067048144521</v>
      </c>
    </row>
    <row r="13956" customFormat="false" ht="15" hidden="false" customHeight="false" outlineLevel="0" collapsed="false">
      <c r="A13956" s="1" t="s">
        <v>1068</v>
      </c>
      <c r="B13956" s="0" t="s">
        <v>75</v>
      </c>
      <c r="C13956" s="8" t="n">
        <f aca="false">dps_27+CF!G61*roll_div_q/q_per_yr</f>
        <v>4.8895</v>
      </c>
    </row>
    <row r="13957" customFormat="false" ht="17.15" hidden="false" customHeight="false" outlineLevel="0" collapsed="false">
      <c r="A13957" s="0" t="s">
        <v>1069</v>
      </c>
      <c r="B13957" s="0" t="s">
        <v>75</v>
      </c>
      <c r="C13957" s="5" t="n">
        <f aca="false">Sens!$C$13955*(1+wacc)^t_roll-Sens!$C$13956</f>
        <v>416.518204085397</v>
      </c>
    </row>
    <row r="13958" customFormat="false" ht="17.15" hidden="false" customHeight="false" outlineLevel="0" collapsed="false">
      <c r="A13958" s="1" t="s">
        <v>1070</v>
      </c>
      <c r="B13958" s="0" t="s">
        <v>129</v>
      </c>
      <c r="F13958" s="7" t="n">
        <f aca="false">CF!F48/(Seg!F56-Thesis!F72)</f>
        <v>0.0708376243512414</v>
      </c>
      <c r="G13958" s="7" t="n">
        <f aca="false">CF!G48/(Seg!G56-Thesis!G72)</f>
        <v>0.0675792567445289</v>
      </c>
      <c r="H13958" s="7" t="n">
        <f aca="false">CF!H48/(Seg!H56-Thesis!H72)</f>
        <v>0.0657637992399081</v>
      </c>
      <c r="I13958" s="7" t="n">
        <f aca="false">CF!I48/(Seg!I56-Thesis!I72)</f>
        <v>0.0652507860006261</v>
      </c>
      <c r="J13958" s="7" t="n">
        <f aca="false">CF!J48/(Seg!J56-Thesis!J72)</f>
        <v>0.0657374094257698</v>
      </c>
      <c r="K13958" s="7" t="n">
        <f aca="false">CF!K48/(Seg!K56-Thesis!K72)</f>
        <v>0.0668595832904836</v>
      </c>
    </row>
    <row r="13959" customFormat="false" ht="17.15" hidden="false" customHeight="false" outlineLevel="0" collapsed="false">
      <c r="A13959" s="0" t="s">
        <v>1071</v>
      </c>
      <c r="B13959" s="0" t="s">
        <v>98</v>
      </c>
      <c r="F13959" s="6" t="n">
        <f aca="false">Seg!F41*(al_m365+Sens!F13958+sbc_r)</f>
        <v>84.2019918892952</v>
      </c>
      <c r="G13959" s="6" t="n">
        <f aca="false">Seg!G41*(al_m365+Sens!G13958+sbc_r)</f>
        <v>96.61090954529</v>
      </c>
      <c r="H13959" s="6" t="n">
        <f aca="false">Seg!H41*(al_m365+Sens!H13958+sbc_r)</f>
        <v>109.18271398457</v>
      </c>
      <c r="I13959" s="6" t="n">
        <f aca="false">Seg!I41*(al_m365+Sens!I13958+sbc_r)</f>
        <v>120.736322591613</v>
      </c>
      <c r="J13959" s="6" t="n">
        <f aca="false">Seg!J41*(al_m365+Sens!J13958+sbc_r)</f>
        <v>131.084561154645</v>
      </c>
      <c r="K13959" s="6" t="n">
        <f aca="false">Seg!K41*(al_m365+Sens!K13958+sbc_r)</f>
        <v>141.044207560217</v>
      </c>
      <c r="L13959" s="11" t="s">
        <v>1072</v>
      </c>
    </row>
    <row r="13960" customFormat="false" ht="17.15" hidden="false" customHeight="false" outlineLevel="0" collapsed="false">
      <c r="A13960" s="0" t="s">
        <v>1073</v>
      </c>
      <c r="B13960" s="0" t="s">
        <v>98</v>
      </c>
      <c r="F13960" s="6" t="n">
        <f aca="false">Seg!F42*(al_lic+Sens!F13958+sbc_r)</f>
        <v>33.5324516680982</v>
      </c>
      <c r="G13960" s="6" t="n">
        <f aca="false">Seg!G42*(al_lic+Sens!G13958+sbc_r)</f>
        <v>34.819657317048</v>
      </c>
      <c r="H13960" s="6" t="n">
        <f aca="false">Seg!H42*(al_lic+Sens!H13958+sbc_r)</f>
        <v>36.0229106304815</v>
      </c>
      <c r="I13960" s="6" t="n">
        <f aca="false">Seg!I42*(al_lic+Sens!I13958+sbc_r)</f>
        <v>37.1234854794919</v>
      </c>
      <c r="J13960" s="6" t="n">
        <f aca="false">Seg!J42*(al_lic+Sens!J13958+sbc_r)</f>
        <v>38.0950592345738</v>
      </c>
      <c r="K13960" s="6" t="n">
        <f aca="false">Seg!K42*(al_lic+Sens!K13958+sbc_r)</f>
        <v>38.9080719459809</v>
      </c>
    </row>
    <row r="13961" customFormat="false" ht="17.15" hidden="false" customHeight="false" outlineLevel="0" collapsed="false">
      <c r="A13961" s="0" t="s">
        <v>1074</v>
      </c>
      <c r="B13961" s="0" t="s">
        <v>98</v>
      </c>
      <c r="F13961" s="6" t="n">
        <f aca="false">Seg!F44*(al_ind+Sens!F13958+sbc_r)</f>
        <v>9.12666918765551</v>
      </c>
      <c r="G13961" s="6" t="n">
        <f aca="false">Seg!G44*(al_ind+Sens!G13958+sbc_r)</f>
        <v>9.89694850970116</v>
      </c>
      <c r="H13961" s="6" t="n">
        <f aca="false">Seg!H44*(al_ind+Sens!H13958+sbc_r)</f>
        <v>10.7131335152527</v>
      </c>
      <c r="I13961" s="6" t="n">
        <f aca="false">Seg!I44*(al_ind+Sens!I13958+sbc_r)</f>
        <v>11.5721730864119</v>
      </c>
      <c r="J13961" s="6" t="n">
        <f aca="false">Seg!J44*(al_ind+Sens!J13958+sbc_r)</f>
        <v>12.4641697526801</v>
      </c>
      <c r="K13961" s="6" t="n">
        <f aca="false">Seg!K44*(al_ind+Sens!K13958+sbc_r)</f>
        <v>13.3737871892836</v>
      </c>
    </row>
    <row r="13962" customFormat="false" ht="17.15" hidden="false" customHeight="false" outlineLevel="0" collapsed="false">
      <c r="A13962" s="0" t="s">
        <v>1075</v>
      </c>
      <c r="B13962" s="0" t="s">
        <v>98</v>
      </c>
      <c r="F13962" s="6" t="n">
        <f aca="false">Seg!F46*(al_fro+Sens!F13958+sbc_r)</f>
        <v>3.5922890341799</v>
      </c>
      <c r="G13962" s="6" t="n">
        <f aca="false">Seg!G46*(al_fro+Sens!G13958+sbc_r)</f>
        <v>3.79984310356763</v>
      </c>
      <c r="H13962" s="6" t="n">
        <f aca="false">Seg!H46*(al_fro+Sens!H13958+sbc_r)</f>
        <v>4.03707539290126</v>
      </c>
      <c r="I13962" s="6" t="n">
        <f aca="false">Seg!I46*(al_fro+Sens!I13958+sbc_r)</f>
        <v>4.30669184104541</v>
      </c>
      <c r="J13962" s="6" t="n">
        <f aca="false">Seg!J46*(al_fro+Sens!J13958+sbc_r)</f>
        <v>4.6097289716959</v>
      </c>
      <c r="K13962" s="6" t="n">
        <f aca="false">Seg!K46*(al_fro+Sens!K13958+sbc_r)</f>
        <v>4.94614045628512</v>
      </c>
    </row>
    <row r="13963" customFormat="false" ht="17.15" hidden="false" customHeight="false" outlineLevel="0" collapsed="false">
      <c r="A13963" s="0" t="s">
        <v>1076</v>
      </c>
      <c r="B13963" s="0" t="s">
        <v>98</v>
      </c>
      <c r="F13963" s="6" t="n">
        <f aca="false">Seg!F49*(al_srch+Sens!F13958+sbc_r)</f>
        <v>11.2715683093452</v>
      </c>
      <c r="G13963" s="6" t="n">
        <f aca="false">Seg!G49*(al_srch+Sens!G13958+sbc_r)</f>
        <v>12.338201972554</v>
      </c>
      <c r="H13963" s="6" t="n">
        <f aca="false">Seg!H49*(al_srch+Sens!H13958+sbc_r)</f>
        <v>13.450727865064</v>
      </c>
      <c r="I13963" s="6" t="n">
        <f aca="false">Seg!I49*(al_srch+Sens!I13958+sbc_r)</f>
        <v>14.598560682534</v>
      </c>
      <c r="J13963" s="6" t="n">
        <f aca="false">Seg!J49*(al_srch+Sens!J13958+sbc_r)</f>
        <v>15.7615229152659</v>
      </c>
      <c r="K13963" s="6" t="n">
        <f aca="false">Seg!K49*(al_srch+Sens!K13958+sbc_r)</f>
        <v>16.9117765106222</v>
      </c>
    </row>
    <row r="13964" customFormat="false" ht="17.15" hidden="false" customHeight="false" outlineLevel="0" collapsed="false">
      <c r="A13964" s="0" t="s">
        <v>1077</v>
      </c>
      <c r="B13964" s="0" t="s">
        <v>98</v>
      </c>
      <c r="F13964" s="6" t="n">
        <f aca="false">Thesis!F78-Thesis!F79+Thesis!F93</f>
        <v>42.2254306726393</v>
      </c>
      <c r="G13964" s="6" t="n">
        <f aca="false">Thesis!G78-Thesis!G79+Thesis!G93</f>
        <v>79.7027537443441</v>
      </c>
      <c r="H13964" s="6" t="n">
        <f aca="false">Thesis!H78-Thesis!H79+Thesis!H93</f>
        <v>120.060533679822</v>
      </c>
      <c r="I13964" s="6" t="n">
        <f aca="false">Thesis!I78-Thesis!I79+Thesis!I93</f>
        <v>156.515256506302</v>
      </c>
      <c r="J13964" s="6" t="n">
        <f aca="false">Thesis!J78-Thesis!J79+Thesis!J93</f>
        <v>182.51821819491</v>
      </c>
      <c r="K13964" s="6" t="n">
        <f aca="false">Thesis!K78-Thesis!K79+Thesis!K93</f>
        <v>199.254533496123</v>
      </c>
    </row>
    <row r="13965" customFormat="false" ht="17.15" hidden="false" customHeight="false" outlineLevel="0" collapsed="false">
      <c r="A13965" s="0" t="s">
        <v>1078</v>
      </c>
      <c r="B13965" s="0" t="s">
        <v>98</v>
      </c>
      <c r="F13965" s="6" t="n">
        <f aca="false">PL!F71+Thesis!F93+Thesis!F89+Sens!F13958*(Seg!F48-Thesis!F72)+sbc_r*Seg!F48</f>
        <v>233.08249657256</v>
      </c>
      <c r="G13965" s="6" t="n">
        <f aca="false">PL!G71+Thesis!G93+Thesis!G89+Sens!G13958*(Seg!G48-Thesis!G72)+sbc_r*Seg!G48</f>
        <v>297.663189032606</v>
      </c>
      <c r="H13965" s="6" t="n">
        <f aca="false">PL!H71+Thesis!H93+Thesis!H89+Sens!H13958*(Seg!H48-Thesis!H72)+sbc_r*Seg!H48</f>
        <v>365.628165851855</v>
      </c>
      <c r="I13965" s="6" t="n">
        <f aca="false">PL!I71+Thesis!I93+Thesis!I89+Sens!I13958*(Seg!I48-Thesis!I72)+sbc_r*Seg!I48</f>
        <v>428.31888397841</v>
      </c>
      <c r="J13965" s="6" t="n">
        <f aca="false">PL!J71+Thesis!J93+Thesis!J89+Sens!J13958*(Seg!J48-Thesis!J72)+sbc_r*Seg!J48</f>
        <v>478.127348640143</v>
      </c>
      <c r="K13965" s="6" t="n">
        <f aca="false">PL!K71+Thesis!K93+Thesis!K89+Sens!K13958*(Seg!K48-Thesis!K72)+sbc_r*Seg!K48</f>
        <v>516.321726855748</v>
      </c>
    </row>
    <row r="13966" customFormat="false" ht="17.15" hidden="false" customHeight="false" outlineLevel="0" collapsed="false">
      <c r="A13966" s="0" t="s">
        <v>1079</v>
      </c>
      <c r="B13966" s="0" t="s">
        <v>98</v>
      </c>
      <c r="F13966" s="6" t="n">
        <f aca="false">Sens!F13965-Sens!F13959-Sens!F13960-Sens!F13961-Sens!F13962-Sens!F13964</f>
        <v>60.4036641206917</v>
      </c>
      <c r="G13966" s="6" t="n">
        <f aca="false">Sens!G13965-Sens!G13959-Sens!G13960-Sens!G13961-Sens!G13962-Sens!G13964</f>
        <v>72.8330768126549</v>
      </c>
      <c r="H13966" s="6" t="n">
        <f aca="false">Sens!H13965-Sens!H13959-Sens!H13960-Sens!H13961-Sens!H13962-Sens!H13964</f>
        <v>85.6117986488275</v>
      </c>
      <c r="I13966" s="6" t="n">
        <f aca="false">Sens!I13965-Sens!I13959-Sens!I13960-Sens!I13961-Sens!I13962-Sens!I13964</f>
        <v>98.0649544735462</v>
      </c>
      <c r="J13966" s="6" t="n">
        <f aca="false">Sens!J13965-Sens!J13959-Sens!J13960-Sens!J13961-Sens!J13962-Sens!J13964</f>
        <v>109.355611331638</v>
      </c>
      <c r="K13966" s="6" t="n">
        <f aca="false">Sens!K13965-Sens!K13959-Sens!K13960-Sens!K13961-Sens!K13962-Sens!K13964</f>
        <v>118.794986207857</v>
      </c>
    </row>
    <row r="13967" customFormat="false" ht="17.15" hidden="false" customHeight="false" outlineLevel="0" collapsed="false">
      <c r="A13967" s="0" t="s">
        <v>1080</v>
      </c>
      <c r="B13967" s="0" t="s">
        <v>98</v>
      </c>
      <c r="F13967" s="6" t="n">
        <f aca="false">PL!F73+Sens!F13958*Seg!F55+sbc_r*Seg!F55</f>
        <v>26.345087006484</v>
      </c>
      <c r="G13967" s="6" t="n">
        <f aca="false">PL!G73+Sens!G13958*Seg!G55+sbc_r*Seg!G55</f>
        <v>26.928666241387</v>
      </c>
      <c r="H13967" s="6" t="n">
        <f aca="false">PL!H73+Sens!H13958*Seg!H55+sbc_r*Seg!H55</f>
        <v>27.7857977299272</v>
      </c>
      <c r="I13967" s="6" t="n">
        <f aca="false">PL!I73+Sens!I13958*Seg!I55+sbc_r*Seg!I55</f>
        <v>28.8854111921819</v>
      </c>
      <c r="J13967" s="6" t="n">
        <f aca="false">PL!J73+Sens!J13958*Seg!J55+sbc_r*Seg!J55</f>
        <v>30.1909525075627</v>
      </c>
      <c r="K13967" s="6" t="n">
        <f aca="false">PL!K73+Sens!K13958*Seg!K55+sbc_r*Seg!K55</f>
        <v>31.6641663414168</v>
      </c>
    </row>
    <row r="13968" customFormat="false" ht="17.15" hidden="false" customHeight="false" outlineLevel="0" collapsed="false">
      <c r="A13968" s="0" t="s">
        <v>1081</v>
      </c>
      <c r="B13968" s="0" t="s">
        <v>98</v>
      </c>
      <c r="F13968" s="6" t="n">
        <f aca="false">(Sens!F13967-Sens!F13963)*Seg!F51/(Seg!F51+Seg!F53)</f>
        <v>8.26315613582677</v>
      </c>
      <c r="G13968" s="6" t="n">
        <f aca="false">(Sens!G13967-Sens!G13963)*Seg!G51/(Seg!G51+Seg!G53)</f>
        <v>7.85574031810689</v>
      </c>
      <c r="H13968" s="6" t="n">
        <f aca="false">(Sens!H13967-Sens!H13963)*Seg!H51/(Seg!H51+Seg!H53)</f>
        <v>7.61397145487838</v>
      </c>
      <c r="I13968" s="6" t="n">
        <f aca="false">(Sens!I13967-Sens!I13963)*Seg!I51/(Seg!I51+Seg!I53)</f>
        <v>7.51970050510933</v>
      </c>
      <c r="J13968" s="6" t="n">
        <f aca="false">(Sens!J13967-Sens!J13963)*Seg!J51/(Seg!J51+Seg!J53)</f>
        <v>7.56040201890202</v>
      </c>
      <c r="K13968" s="6" t="n">
        <f aca="false">(Sens!K13967-Sens!K13963)*Seg!K51/(Seg!K51+Seg!K53)</f>
        <v>7.72961932742727</v>
      </c>
    </row>
    <row r="13969" customFormat="false" ht="17.15" hidden="false" customHeight="false" outlineLevel="0" collapsed="false">
      <c r="A13969" s="0" t="s">
        <v>1082</v>
      </c>
      <c r="B13969" s="0" t="s">
        <v>98</v>
      </c>
      <c r="F13969" s="6" t="n">
        <f aca="false">Sens!F13967-Sens!F13963-Sens!F13968</f>
        <v>6.81036256131213</v>
      </c>
      <c r="G13969" s="6" t="n">
        <f aca="false">Sens!G13967-Sens!G13963-Sens!G13968</f>
        <v>6.73472395072608</v>
      </c>
      <c r="H13969" s="6" t="n">
        <f aca="false">Sens!H13967-Sens!H13963-Sens!H13968</f>
        <v>6.72109840998485</v>
      </c>
      <c r="I13969" s="6" t="n">
        <f aca="false">Sens!I13967-Sens!I13963-Sens!I13968</f>
        <v>6.76715000453853</v>
      </c>
      <c r="J13969" s="6" t="n">
        <f aca="false">Sens!J13967-Sens!J13963-Sens!J13968</f>
        <v>6.86902757339483</v>
      </c>
      <c r="K13969" s="6" t="n">
        <f aca="false">Sens!K13967-Sens!K13963-Sens!K13968</f>
        <v>7.02277050336727</v>
      </c>
    </row>
    <row r="13970" customFormat="false" ht="17.15" hidden="false" customHeight="false" outlineLevel="0" collapsed="false">
      <c r="A13970" s="0" t="s">
        <v>1083</v>
      </c>
      <c r="B13970" s="0" t="s">
        <v>98</v>
      </c>
      <c r="F13970" s="6" t="n">
        <f aca="false">Sens!F13964-tax_f*(Sens!F13964-Thesis!F89)-Thesis!F86</f>
        <v>-119.742553857164</v>
      </c>
      <c r="G13970" s="6" t="n">
        <f aca="false">Sens!G13964-tax_f*(Sens!G13964-Thesis!G89)-Thesis!G86</f>
        <v>-107.986890065622</v>
      </c>
      <c r="H13970" s="6" t="n">
        <f aca="false">Sens!H13964-tax_f*(Sens!H13964-Thesis!H89)-Thesis!H86</f>
        <v>-74.7596549978803</v>
      </c>
      <c r="I13970" s="6" t="n">
        <f aca="false">Sens!I13964-tax_f*(Sens!I13964-Thesis!I89)-Thesis!I86</f>
        <v>-16.3733151827256</v>
      </c>
      <c r="J13970" s="6" t="n">
        <f aca="false">Sens!J13964-tax_f*(Sens!J13964-Thesis!J89)-Thesis!J86</f>
        <v>44.4328025322546</v>
      </c>
      <c r="K13970" s="6" t="n">
        <f aca="false">Sens!K13964-tax_f*(Sens!K13964-Thesis!K89)-Thesis!K86</f>
        <v>65.8225043021697</v>
      </c>
    </row>
    <row r="13971" customFormat="false" ht="17.15" hidden="false" customHeight="false" outlineLevel="0" collapsed="false">
      <c r="A13971" s="0" t="s">
        <v>1084</v>
      </c>
      <c r="B13971" s="0" t="s">
        <v>98</v>
      </c>
      <c r="G13971" s="6" t="n">
        <f aca="false">Sens!G13970/(1+wacc)^(Sens!G13943-(Sens!F13943+mid_yr))</f>
        <v>-102.824401157048</v>
      </c>
      <c r="H13971" s="6" t="n">
        <f aca="false">Sens!H13970/(1+wacc)^(Sens!H13943-(Sens!F13943+mid_yr))</f>
        <v>-64.5420496499019</v>
      </c>
      <c r="I13971" s="6" t="n">
        <f aca="false">Sens!I13970/(1+wacc)^(Sens!I13943-(Sens!F13943+mid_yr))</f>
        <v>-12.8162920786843</v>
      </c>
      <c r="J13971" s="6" t="n">
        <f aca="false">Sens!J13970/(1+wacc)^(Sens!J13943-(Sens!F13943+mid_yr))</f>
        <v>31.5340528088578</v>
      </c>
      <c r="K13971" s="6" t="n">
        <f aca="false">Sens!K13970/(1+wacc)^(Sens!K13943-(Sens!F13943+mid_yr))</f>
        <v>42.3546205488157</v>
      </c>
      <c r="L13971" s="1" t="s">
        <v>1085</v>
      </c>
    </row>
    <row r="13972" customFormat="false" ht="17.15" hidden="false" customHeight="false" outlineLevel="0" collapsed="false">
      <c r="A13972" s="0" t="s">
        <v>1086</v>
      </c>
      <c r="B13972" s="0" t="s">
        <v>98</v>
      </c>
      <c r="C13972" s="6" t="n">
        <f aca="false">(Sens!K13964-Thesis!K89)*(1-tax_f)*(1+g_tv)*(1-g_tv/(wacc+0))/(wacc-g_tv)/(1+wacc)^(Sens!K13943+mid_yr-(Sens!F13943+mid_yr))</f>
        <v>294.889481980532</v>
      </c>
    </row>
    <row r="13973" customFormat="false" ht="17.15" hidden="false" customHeight="false" outlineLevel="0" collapsed="false">
      <c r="A13973" s="1" t="s">
        <v>1087</v>
      </c>
      <c r="B13973" s="0" t="s">
        <v>98</v>
      </c>
      <c r="C13973" s="6" t="n">
        <f aca="false">(SUM(Sens!G13971:K13971)+Sens!$C$13972)*(1+wacc)^(t_roll-(Sens!F13943+mid_yr))</f>
        <v>194.716829358755</v>
      </c>
      <c r="L13973" s="11" t="s">
        <v>1088</v>
      </c>
    </row>
    <row r="13974" customFormat="false" ht="17.15" hidden="false" customHeight="false" outlineLevel="0" collapsed="false">
      <c r="A13974" s="1" t="s">
        <v>1089</v>
      </c>
      <c r="B13974" s="0" t="s">
        <v>98</v>
      </c>
      <c r="C13974" s="6" t="n">
        <f aca="false">(w_ntm28*Thesis!G78+(1-w_ntm28)*Thesis!H78)*m_ai</f>
        <v>454.922440830797</v>
      </c>
    </row>
    <row r="13975" customFormat="false" ht="17.15" hidden="false" customHeight="false" outlineLevel="0" collapsed="false">
      <c r="A13975" s="1" t="s">
        <v>1090</v>
      </c>
      <c r="B13975" s="0" t="s">
        <v>98</v>
      </c>
      <c r="C13975" s="6" t="n">
        <f aca="false">(w_ntm28*Sens!G13966+(1-w_ntm28)*Sens!H13966)*m_cloud</f>
        <v>1063.6463501031</v>
      </c>
    </row>
    <row r="13976" customFormat="false" ht="17.15" hidden="false" customHeight="false" outlineLevel="0" collapsed="false">
      <c r="A13976" s="1" t="s">
        <v>1091</v>
      </c>
      <c r="B13976" s="0" t="s">
        <v>98</v>
      </c>
      <c r="C13976" s="6" t="n">
        <f aca="false">(w_ntm28*Sens!G13959+(1-w_ntm28)*Sens!H13959)*m_sw</f>
        <v>1087.29236439713</v>
      </c>
    </row>
    <row r="13977" customFormat="false" ht="17.15" hidden="false" customHeight="false" outlineLevel="0" collapsed="false">
      <c r="A13977" s="1" t="s">
        <v>1092</v>
      </c>
      <c r="B13977" s="0" t="s">
        <v>98</v>
      </c>
      <c r="C13977" s="6" t="n">
        <f aca="false">(w_ntm28*Sens!G13960+(1-w_ntm28)*Sens!H13960)*m_sw</f>
        <v>380.253466209432</v>
      </c>
    </row>
    <row r="13978" customFormat="false" ht="17.15" hidden="false" customHeight="false" outlineLevel="0" collapsed="false">
      <c r="A13978" s="1" t="s">
        <v>1093</v>
      </c>
      <c r="B13978" s="0" t="s">
        <v>98</v>
      </c>
      <c r="C13978" s="6" t="n">
        <f aca="false">(w_ntm28*Sens!G13961+(1-w_ntm28)*Sens!H13961)*m_sw</f>
        <v>109.736759441964</v>
      </c>
    </row>
    <row r="13979" customFormat="false" ht="17.15" hidden="false" customHeight="false" outlineLevel="0" collapsed="false">
      <c r="A13979" s="1" t="s">
        <v>1094</v>
      </c>
      <c r="B13979" s="0" t="s">
        <v>98</v>
      </c>
      <c r="C13979" s="6" t="n">
        <f aca="false">(w_ntm28*Sens!G13962+(1-w_ntm28)*Sens!H13962)*m_sw</f>
        <v>41.8666036816175</v>
      </c>
    </row>
    <row r="13980" customFormat="false" ht="17.15" hidden="false" customHeight="false" outlineLevel="0" collapsed="false">
      <c r="A13980" s="1" t="s">
        <v>1095</v>
      </c>
      <c r="B13980" s="0" t="s">
        <v>98</v>
      </c>
      <c r="C13980" s="6" t="n">
        <f aca="false">(w_ntm28*Sens!G13963+(1-w_ntm28)*Sens!H13963)*m_ads</f>
        <v>115.677576364297</v>
      </c>
    </row>
    <row r="13981" customFormat="false" ht="17.15" hidden="false" customHeight="false" outlineLevel="0" collapsed="false">
      <c r="A13981" s="1" t="s">
        <v>1096</v>
      </c>
      <c r="B13981" s="0" t="s">
        <v>98</v>
      </c>
      <c r="C13981" s="6" t="n">
        <f aca="false">(w_ntm28*Sens!G13968+(1-w_ntm28)*Sens!H13968)*m_game</f>
        <v>98.230828142008</v>
      </c>
    </row>
    <row r="13982" customFormat="false" ht="17.15" hidden="false" customHeight="false" outlineLevel="0" collapsed="false">
      <c r="A13982" s="1" t="s">
        <v>1097</v>
      </c>
      <c r="B13982" s="0" t="s">
        <v>98</v>
      </c>
      <c r="C13982" s="6" t="n">
        <f aca="false">(w_ntm28*Sens!G13969+(1-w_ntm28)*Sens!H13969)*m_pc</f>
        <v>97.3877156607214</v>
      </c>
    </row>
    <row r="13983" customFormat="false" ht="17.15" hidden="false" customHeight="false" outlineLevel="0" collapsed="false">
      <c r="A13983" s="1" t="s">
        <v>1098</v>
      </c>
      <c r="B13983" s="0" t="s">
        <v>98</v>
      </c>
      <c r="C13983" s="6" t="n">
        <f aca="false">Sens!$C$13973+Sens!$C$13975+Sens!$C$13976+Sens!$C$13977+Sens!$C$13978+Sens!$C$13979+Sens!$C$13980+Sens!$C$13981+Sens!$C$13982</f>
        <v>3188.80849335903</v>
      </c>
    </row>
    <row r="13984" customFormat="false" ht="17.15" hidden="false" customHeight="false" outlineLevel="0" collapsed="false">
      <c r="A13984" s="1" t="s">
        <v>1099</v>
      </c>
      <c r="B13984" s="0" t="s">
        <v>98</v>
      </c>
      <c r="C13984" s="6" t="n">
        <f aca="false">(Sens!G13945-Sens!G13970)*t_stub</f>
        <v>47.417684594531</v>
      </c>
      <c r="L13984" s="1" t="s">
        <v>1100</v>
      </c>
    </row>
    <row r="13985" customFormat="false" ht="17.15" hidden="false" customHeight="false" outlineLevel="0" collapsed="false">
      <c r="A13985" s="1" t="s">
        <v>1014</v>
      </c>
      <c r="B13985" s="0" t="s">
        <v>98</v>
      </c>
      <c r="C13985" s="6" t="n">
        <f aca="false">CF!F69+oai_v-CF!F58+Sens!$C$13984</f>
        <v>158.699306060314</v>
      </c>
      <c r="L13985" s="1" t="s">
        <v>1101</v>
      </c>
    </row>
    <row r="13986" customFormat="false" ht="17.15" hidden="false" customHeight="false" outlineLevel="0" collapsed="false">
      <c r="A13986" s="1" t="s">
        <v>1102</v>
      </c>
      <c r="B13986" s="0" t="s">
        <v>75</v>
      </c>
      <c r="C13986" s="5" t="n">
        <f aca="false">(Sens!$C$13983+Sens!$C$13985)/(CF!F71+dil_gap)-CF!G61*roll_div_q/q_per_yr</f>
        <v>445.533045280061</v>
      </c>
      <c r="L13986" s="1" t="s">
        <v>1103</v>
      </c>
    </row>
    <row r="13987" customFormat="false" ht="17.15" hidden="false" customHeight="false" outlineLevel="0" collapsed="false">
      <c r="A13987" s="1" t="s">
        <v>1104</v>
      </c>
      <c r="B13987" s="0" t="s">
        <v>75</v>
      </c>
      <c r="C13987" s="5" t="n">
        <f aca="false">w_dcf*Sens!$C$13957+(1-w_dcf)*Sens!$C$13986</f>
        <v>431.025624682729</v>
      </c>
    </row>
    <row r="13988" customFormat="false" ht="17.15" hidden="false" customHeight="false" outlineLevel="0" collapsed="false">
      <c r="A13988" s="3" t="s">
        <v>1617</v>
      </c>
    </row>
    <row r="13989" customFormat="false" ht="15" hidden="false" customHeight="false" outlineLevel="0" collapsed="false">
      <c r="A13989" s="4" t="s">
        <v>43</v>
      </c>
      <c r="B13989" s="4" t="s">
        <v>65</v>
      </c>
      <c r="C13989" s="20" t="s">
        <v>799</v>
      </c>
      <c r="D13989" s="20" t="s">
        <v>800</v>
      </c>
      <c r="E13989" s="20" t="s">
        <v>801</v>
      </c>
      <c r="F13989" s="20" t="s">
        <v>802</v>
      </c>
      <c r="G13989" s="20" t="s">
        <v>803</v>
      </c>
      <c r="H13989" s="20" t="s">
        <v>804</v>
      </c>
      <c r="I13989" s="20" t="s">
        <v>805</v>
      </c>
      <c r="J13989" s="20" t="s">
        <v>806</v>
      </c>
      <c r="K13989" s="20" t="s">
        <v>807</v>
      </c>
      <c r="L13989" s="4" t="s">
        <v>47</v>
      </c>
    </row>
    <row r="13990" customFormat="false" ht="15" hidden="false" customHeight="false" outlineLevel="0" collapsed="false">
      <c r="A13990" s="1" t="s">
        <v>1057</v>
      </c>
      <c r="B13990" s="1" t="s">
        <v>235</v>
      </c>
      <c r="F13990" s="36" t="n">
        <f aca="false">Thesis!F104-base_fy-mid_yr</f>
        <v>0.5</v>
      </c>
      <c r="G13990" s="36" t="n">
        <f aca="false">Thesis!G104-base_fy-mid_yr</f>
        <v>1.5</v>
      </c>
      <c r="H13990" s="36" t="n">
        <f aca="false">Thesis!H104-base_fy-mid_yr</f>
        <v>2.5</v>
      </c>
      <c r="I13990" s="36" t="n">
        <f aca="false">Thesis!I104-base_fy-mid_yr</f>
        <v>3.5</v>
      </c>
      <c r="J13990" s="36" t="n">
        <f aca="false">Thesis!J104-base_fy-mid_yr</f>
        <v>4.5</v>
      </c>
      <c r="K13990" s="36" t="n">
        <f aca="false">Thesis!K104-base_fy-mid_yr</f>
        <v>5.5</v>
      </c>
    </row>
    <row r="13991" customFormat="false" ht="15" hidden="false" customHeight="false" outlineLevel="0" collapsed="false">
      <c r="A13991" s="1" t="s">
        <v>1058</v>
      </c>
      <c r="B13991" s="0" t="s">
        <v>185</v>
      </c>
      <c r="F13991" s="14" t="n">
        <f aca="false">1/(1+wacc)^Sens!F13990</f>
        <v>0.952193373608246</v>
      </c>
      <c r="G13991" s="14" t="n">
        <f aca="false">1/(1+wacc)^Sens!G13990</f>
        <v>0.863327280626589</v>
      </c>
      <c r="H13991" s="14" t="n">
        <f aca="false">1/(1+wacc)^Sens!H13990</f>
        <v>0.782754862754115</v>
      </c>
      <c r="I13991" s="14" t="n">
        <f aca="false">1/(1+wacc)^Sens!I13990</f>
        <v>0.709702089711011</v>
      </c>
      <c r="J13991" s="14" t="n">
        <f aca="false">1/(1+wacc)^Sens!J13990</f>
        <v>0.643467169744551</v>
      </c>
      <c r="K13991" s="14" t="n">
        <f aca="false">1/(1+wacc)^Sens!K13990</f>
        <v>0.583413807767797</v>
      </c>
    </row>
    <row r="13992" customFormat="false" ht="17.15" hidden="false" customHeight="false" outlineLevel="0" collapsed="false">
      <c r="A13992" s="1" t="s">
        <v>1059</v>
      </c>
      <c r="B13992" s="0" t="s">
        <v>98</v>
      </c>
      <c r="F13992" s="6" t="n">
        <f aca="false">CF!F84-CF!F82-CF!F88+Thesis!F142*(1-tax_f)</f>
        <v>-5.66283879850096</v>
      </c>
      <c r="G13992" s="6" t="n">
        <f aca="false">CF!G84-CF!G82-CF!G88+Thesis!G142*(1-tax_f)</f>
        <v>26.4063013109088</v>
      </c>
      <c r="H13992" s="6" t="n">
        <f aca="false">CF!H84-CF!H82-CF!H88+Thesis!H142*(1-tax_f)</f>
        <v>62.5616635009479</v>
      </c>
      <c r="I13992" s="6" t="n">
        <f aca="false">CF!I84-CF!I82-CF!I88+Thesis!I142*(1-tax_f)</f>
        <v>129.900993846266</v>
      </c>
      <c r="J13992" s="6" t="n">
        <f aca="false">CF!J84-CF!J82-CF!J88+Thesis!J142*(1-tax_f)</f>
        <v>200.497803796175</v>
      </c>
      <c r="K13992" s="6" t="n">
        <f aca="false">CF!K84-CF!K82-CF!K88+Thesis!K142*(1-tax_f)</f>
        <v>232.344395761849</v>
      </c>
      <c r="L13992" s="1" t="s">
        <v>1060</v>
      </c>
    </row>
    <row r="13993" customFormat="false" ht="15" hidden="false" customHeight="false" outlineLevel="0" collapsed="false">
      <c r="A13993" s="1" t="s">
        <v>1061</v>
      </c>
      <c r="B13993" s="0" t="s">
        <v>98</v>
      </c>
      <c r="F13993" s="6" t="n">
        <f aca="false">Sens!F13992*Sens!F13991</f>
        <v>-5.3921175797443</v>
      </c>
      <c r="G13993" s="6" t="n">
        <f aca="false">Sens!G13992*Sens!G13991</f>
        <v>22.7972803021532</v>
      </c>
      <c r="H13993" s="6" t="n">
        <f aca="false">Sens!H13992*Sens!H13991</f>
        <v>48.9704463273536</v>
      </c>
      <c r="I13993" s="6" t="n">
        <f aca="false">Sens!I13992*Sens!I13991</f>
        <v>92.1910067882323</v>
      </c>
      <c r="J13993" s="6" t="n">
        <f aca="false">Sens!J13992*Sens!J13991</f>
        <v>129.013754348723</v>
      </c>
      <c r="K13993" s="6" t="n">
        <f aca="false">Sens!K13992*Sens!K13991</f>
        <v>135.552928644928</v>
      </c>
    </row>
    <row r="13994" customFormat="false" ht="17.15" hidden="false" customHeight="false" outlineLevel="0" collapsed="false">
      <c r="A13994" s="1" t="s">
        <v>1062</v>
      </c>
      <c r="B13994" s="0" t="s">
        <v>98</v>
      </c>
      <c r="C13994" s="6" t="n">
        <f aca="false">SUM(Sens!F13993:K13993)</f>
        <v>423.133298831646</v>
      </c>
    </row>
    <row r="13995" customFormat="false" ht="17.15" hidden="false" customHeight="false" outlineLevel="0" collapsed="false">
      <c r="A13995" s="1" t="s">
        <v>1063</v>
      </c>
      <c r="B13995" s="0" t="s">
        <v>98</v>
      </c>
      <c r="C13995" s="6" t="n">
        <f aca="false">PL!K117*(1+g_tv)*(1-tax_f)</f>
        <v>246.58988426946</v>
      </c>
    </row>
    <row r="13996" customFormat="false" ht="17.15" hidden="false" customHeight="false" outlineLevel="0" collapsed="false">
      <c r="A13996" s="1" t="s">
        <v>1615</v>
      </c>
      <c r="B13996" s="0" t="s">
        <v>98</v>
      </c>
      <c r="C13996" s="6" t="n">
        <f aca="false">Val!K168*(1+g_tv)</f>
        <v>239.314727634705</v>
      </c>
    </row>
    <row r="13997" customFormat="false" ht="17.15" hidden="false" customHeight="false" outlineLevel="0" collapsed="false">
      <c r="A13997" s="1" t="s">
        <v>1065</v>
      </c>
      <c r="B13997" s="0" t="s">
        <v>98</v>
      </c>
      <c r="C13997" s="6" t="n">
        <f aca="false">Sens!$C$13996/(wacc-g_tv)</f>
        <v>3281.231650707</v>
      </c>
    </row>
    <row r="13998" customFormat="false" ht="15" hidden="false" customHeight="false" outlineLevel="0" collapsed="false">
      <c r="A13998" s="1" t="s">
        <v>1066</v>
      </c>
      <c r="B13998" s="0" t="s">
        <v>98</v>
      </c>
      <c r="C13998" s="6" t="n">
        <f aca="false">Sens!$C$13997/(1+wacc)^(Sens!K13990+mid_yr)</f>
        <v>1822.79886879837</v>
      </c>
    </row>
    <row r="13999" customFormat="false" ht="17.15" hidden="false" customHeight="false" outlineLevel="0" collapsed="false">
      <c r="A13999" s="0" t="s">
        <v>986</v>
      </c>
      <c r="B13999" s="0" t="s">
        <v>98</v>
      </c>
      <c r="C13999" s="6" t="n">
        <f aca="false">Sens!$C$13994+Sens!$C$13998</f>
        <v>2245.93216763002</v>
      </c>
    </row>
    <row r="14000" customFormat="false" ht="15" hidden="false" customHeight="false" outlineLevel="0" collapsed="false">
      <c r="A14000" s="1" t="s">
        <v>987</v>
      </c>
      <c r="B14000" s="0" t="s">
        <v>129</v>
      </c>
      <c r="C14000" s="7" t="n">
        <f aca="false">Sens!$C$13998/Sens!$C$13999</f>
        <v>0.811600143169885</v>
      </c>
    </row>
    <row r="14001" customFormat="false" ht="17.15" hidden="false" customHeight="false" outlineLevel="0" collapsed="false">
      <c r="A14001" s="1" t="s">
        <v>1067</v>
      </c>
      <c r="B14001" s="0" t="s">
        <v>98</v>
      </c>
      <c r="C14001" s="6" t="n">
        <f aca="false">Sens!$C$13999+CF!E100-CF!E89+oai_v</f>
        <v>2380.44516763002</v>
      </c>
    </row>
    <row r="14002" customFormat="false" ht="17.15" hidden="false" customHeight="false" outlineLevel="0" collapsed="false">
      <c r="A14002" s="0" t="s">
        <v>994</v>
      </c>
      <c r="B14002" s="0" t="s">
        <v>75</v>
      </c>
      <c r="C14002" s="5" t="n">
        <f aca="false">Sens!$C$14001/sh_dil26</f>
        <v>319.394226167988</v>
      </c>
    </row>
    <row r="14003" customFormat="false" ht="15" hidden="false" customHeight="false" outlineLevel="0" collapsed="false">
      <c r="A14003" s="1" t="s">
        <v>1068</v>
      </c>
      <c r="B14003" s="0" t="s">
        <v>75</v>
      </c>
      <c r="C14003" s="8" t="n">
        <f aca="false">dps_27+CF!G92*roll_div_q/q_per_yr</f>
        <v>4.8895</v>
      </c>
    </row>
    <row r="14004" customFormat="false" ht="17.15" hidden="false" customHeight="false" outlineLevel="0" collapsed="false">
      <c r="A14004" s="0" t="s">
        <v>1069</v>
      </c>
      <c r="B14004" s="0" t="s">
        <v>75</v>
      </c>
      <c r="C14004" s="5" t="n">
        <f aca="false">Sens!$C$14002*(1+wacc)^t_roll-Sens!$C$14003</f>
        <v>358.815369759225</v>
      </c>
    </row>
    <row r="14005" customFormat="false" ht="17.15" hidden="false" customHeight="false" outlineLevel="0" collapsed="false">
      <c r="A14005" s="1" t="s">
        <v>1070</v>
      </c>
      <c r="B14005" s="0" t="s">
        <v>129</v>
      </c>
      <c r="F14005" s="7" t="n">
        <f aca="false">CF!F79/(Seg!F83-Thesis!F121)</f>
        <v>0.0711475516535717</v>
      </c>
      <c r="G14005" s="7" t="n">
        <f aca="false">CF!G79/(Seg!G83-Thesis!G121)</f>
        <v>0.0682588862083999</v>
      </c>
      <c r="H14005" s="7" t="n">
        <f aca="false">CF!H79/(Seg!H83-Thesis!H121)</f>
        <v>0.0666622170094897</v>
      </c>
      <c r="I14005" s="7" t="n">
        <f aca="false">CF!I79/(Seg!I83-Thesis!I121)</f>
        <v>0.0661991449367101</v>
      </c>
      <c r="J14005" s="7" t="n">
        <f aca="false">CF!J79/(Seg!J83-Thesis!J121)</f>
        <v>0.0666400583966394</v>
      </c>
      <c r="K14005" s="7" t="n">
        <f aca="false">CF!K79/(Seg!K83-Thesis!K121)</f>
        <v>0.0677351822588561</v>
      </c>
    </row>
    <row r="14006" customFormat="false" ht="17.15" hidden="false" customHeight="false" outlineLevel="0" collapsed="false">
      <c r="A14006" s="0" t="s">
        <v>1071</v>
      </c>
      <c r="B14006" s="0" t="s">
        <v>98</v>
      </c>
      <c r="F14006" s="6" t="n">
        <f aca="false">Seg!F68*(al_m365+Sens!F14005+sbc_r)</f>
        <v>83.1760446796226</v>
      </c>
      <c r="G14006" s="6" t="n">
        <f aca="false">Seg!G68*(al_m365+Sens!G14005+sbc_r)</f>
        <v>93.5286621744803</v>
      </c>
      <c r="H14006" s="6" t="n">
        <f aca="false">Seg!H68*(al_m365+Sens!H14005+sbc_r)</f>
        <v>104.041881899886</v>
      </c>
      <c r="I14006" s="6" t="n">
        <f aca="false">Seg!I68*(al_m365+Sens!I14005+sbc_r)</f>
        <v>114.039361049722</v>
      </c>
      <c r="J14006" s="6" t="n">
        <f aca="false">Seg!J68*(al_m365+Sens!J14005+sbc_r)</f>
        <v>123.332589690985</v>
      </c>
      <c r="K14006" s="6" t="n">
        <f aca="false">Seg!K68*(al_m365+Sens!K14005+sbc_r)</f>
        <v>132.229319216379</v>
      </c>
      <c r="L14006" s="11" t="s">
        <v>1072</v>
      </c>
    </row>
    <row r="14007" customFormat="false" ht="17.15" hidden="false" customHeight="false" outlineLevel="0" collapsed="false">
      <c r="A14007" s="0" t="s">
        <v>1073</v>
      </c>
      <c r="B14007" s="0" t="s">
        <v>98</v>
      </c>
      <c r="F14007" s="6" t="n">
        <f aca="false">Seg!F69*(al_lic+Sens!F14005+sbc_r)</f>
        <v>33.5445611735131</v>
      </c>
      <c r="G14007" s="6" t="n">
        <f aca="false">Seg!G69*(al_lic+Sens!G14005+sbc_r)</f>
        <v>34.8473362891936</v>
      </c>
      <c r="H14007" s="6" t="n">
        <f aca="false">Seg!H69*(al_lic+Sens!H14005+sbc_r)</f>
        <v>36.0608450618725</v>
      </c>
      <c r="I14007" s="6" t="n">
        <f aca="false">Seg!I69*(al_lic+Sens!I14005+sbc_r)</f>
        <v>37.1647768367666</v>
      </c>
      <c r="J14007" s="6" t="n">
        <f aca="false">Seg!J69*(al_lic+Sens!J14005+sbc_r)</f>
        <v>38.1353659513221</v>
      </c>
      <c r="K14007" s="6" t="n">
        <f aca="false">Seg!K69*(al_lic+Sens!K14005+sbc_r)</f>
        <v>38.9479527536449</v>
      </c>
    </row>
    <row r="14008" customFormat="false" ht="17.15" hidden="false" customHeight="false" outlineLevel="0" collapsed="false">
      <c r="A14008" s="0" t="s">
        <v>1074</v>
      </c>
      <c r="B14008" s="0" t="s">
        <v>98</v>
      </c>
      <c r="F14008" s="6" t="n">
        <f aca="false">Seg!F71*(al_ind+Sens!F14005+sbc_r)</f>
        <v>9.13359830063899</v>
      </c>
      <c r="G14008" s="6" t="n">
        <f aca="false">Seg!G71*(al_ind+Sens!G14005+sbc_r)</f>
        <v>9.91355811855172</v>
      </c>
      <c r="H14008" s="6" t="n">
        <f aca="false">Seg!H71*(al_ind+Sens!H14005+sbc_r)</f>
        <v>10.737007894057</v>
      </c>
      <c r="I14008" s="6" t="n">
        <f aca="false">Seg!I71*(al_ind+Sens!I14005+sbc_r)</f>
        <v>11.5994300763088</v>
      </c>
      <c r="J14008" s="6" t="n">
        <f aca="false">Seg!J71*(al_ind+Sens!J14005+sbc_r)</f>
        <v>12.4920789859702</v>
      </c>
      <c r="K14008" s="6" t="n">
        <f aca="false">Seg!K71*(al_ind+Sens!K14005+sbc_r)</f>
        <v>13.4027551573777</v>
      </c>
    </row>
    <row r="14009" customFormat="false" ht="17.15" hidden="false" customHeight="false" outlineLevel="0" collapsed="false">
      <c r="A14009" s="0" t="s">
        <v>1075</v>
      </c>
      <c r="B14009" s="0" t="s">
        <v>98</v>
      </c>
      <c r="F14009" s="6" t="n">
        <f aca="false">Seg!F73*(al_fro+Sens!F14005+sbc_r)</f>
        <v>3.59501635737694</v>
      </c>
      <c r="G14009" s="6" t="n">
        <f aca="false">Seg!G73*(al_fro+Sens!G14005+sbc_r)</f>
        <v>3.80622021137838</v>
      </c>
      <c r="H14009" s="6" t="n">
        <f aca="false">Seg!H73*(al_fro+Sens!H14005+sbc_r)</f>
        <v>4.04607207599632</v>
      </c>
      <c r="I14009" s="6" t="n">
        <f aca="false">Seg!I73*(al_fro+Sens!I14005+sbc_r)</f>
        <v>4.31683578333903</v>
      </c>
      <c r="J14009" s="6" t="n">
        <f aca="false">Seg!J73*(al_fro+Sens!J14005+sbc_r)</f>
        <v>4.62005087871645</v>
      </c>
      <c r="K14009" s="6" t="n">
        <f aca="false">Seg!K73*(al_fro+Sens!K14005+sbc_r)</f>
        <v>4.95685392412327</v>
      </c>
    </row>
    <row r="14010" customFormat="false" ht="17.15" hidden="false" customHeight="false" outlineLevel="0" collapsed="false">
      <c r="A14010" s="0" t="s">
        <v>1076</v>
      </c>
      <c r="B14010" s="0" t="s">
        <v>98</v>
      </c>
      <c r="F14010" s="6" t="n">
        <f aca="false">Seg!F76*(al_srch+Sens!F14005+sbc_r)</f>
        <v>11.2801258639919</v>
      </c>
      <c r="G14010" s="6" t="n">
        <f aca="false">Seg!G76*(al_srch+Sens!G14005+sbc_r)</f>
        <v>12.3589086285988</v>
      </c>
      <c r="H14010" s="6" t="n">
        <f aca="false">Seg!H76*(al_srch+Sens!H14005+sbc_r)</f>
        <v>13.4807030139583</v>
      </c>
      <c r="I14010" s="6" t="n">
        <f aca="false">Seg!I76*(al_srch+Sens!I14005+sbc_r)</f>
        <v>14.6329459978989</v>
      </c>
      <c r="J14010" s="6" t="n">
        <f aca="false">Seg!J76*(al_srch+Sens!J14005+sbc_r)</f>
        <v>15.7968154400613</v>
      </c>
      <c r="K14010" s="6" t="n">
        <f aca="false">Seg!K76*(al_srch+Sens!K14005+sbc_r)</f>
        <v>16.9484078548661</v>
      </c>
    </row>
    <row r="14011" customFormat="false" ht="17.15" hidden="false" customHeight="false" outlineLevel="0" collapsed="false">
      <c r="A14011" s="0" t="s">
        <v>1077</v>
      </c>
      <c r="B14011" s="0" t="s">
        <v>98</v>
      </c>
      <c r="F14011" s="6" t="n">
        <f aca="false">Thesis!F127-Thesis!F128+Thesis!F142</f>
        <v>38.6797715123049</v>
      </c>
      <c r="G14011" s="6" t="n">
        <f aca="false">Thesis!G127-Thesis!G128+Thesis!G142</f>
        <v>67.9698044367775</v>
      </c>
      <c r="H14011" s="6" t="n">
        <f aca="false">Thesis!H127-Thesis!H128+Thesis!H142</f>
        <v>94.4027386785771</v>
      </c>
      <c r="I14011" s="6" t="n">
        <f aca="false">Thesis!I127-Thesis!I128+Thesis!I142</f>
        <v>124.629799296032</v>
      </c>
      <c r="J14011" s="6" t="n">
        <f aca="false">Thesis!J127-Thesis!J128+Thesis!J142</f>
        <v>146.1886418102</v>
      </c>
      <c r="K14011" s="6" t="n">
        <f aca="false">Thesis!K127-Thesis!K128+Thesis!K142</f>
        <v>160.310017660072</v>
      </c>
    </row>
    <row r="14012" customFormat="false" ht="17.15" hidden="false" customHeight="false" outlineLevel="0" collapsed="false">
      <c r="A14012" s="0" t="s">
        <v>1078</v>
      </c>
      <c r="B14012" s="0" t="s">
        <v>98</v>
      </c>
      <c r="F14012" s="6" t="n">
        <f aca="false">PL!F110+Thesis!F142+Thesis!F138+Sens!F14005*(Seg!F75-Thesis!F121)+sbc_r*Seg!F75</f>
        <v>228.424576651163</v>
      </c>
      <c r="G14012" s="6" t="n">
        <f aca="false">PL!G110+Thesis!G142+Thesis!G138+Sens!G14005*(Seg!G75-Thesis!G121)+sbc_r*Seg!G75</f>
        <v>282.553934266667</v>
      </c>
      <c r="H14012" s="6" t="n">
        <f aca="false">PL!H110+Thesis!H142+Thesis!H138+Sens!H14005*(Seg!H75-Thesis!H121)+sbc_r*Seg!H75</f>
        <v>334.098428585803</v>
      </c>
      <c r="I14012" s="6" t="n">
        <f aca="false">PL!I110+Thesis!I142+Thesis!I138+Sens!I14005*(Seg!I75-Thesis!I121)+sbc_r*Seg!I75</f>
        <v>388.820980572235</v>
      </c>
      <c r="J14012" s="6" t="n">
        <f aca="false">PL!J110+Thesis!J142+Thesis!J138+Sens!J14005*(Seg!J75-Thesis!J121)+sbc_r*Seg!J75</f>
        <v>432.983845251655</v>
      </c>
      <c r="K14012" s="6" t="n">
        <f aca="false">PL!K110+Thesis!K142+Thesis!K138+Sens!K14005*(Seg!K75-Thesis!K121)+sbc_r*Seg!K75</f>
        <v>467.422879139155</v>
      </c>
    </row>
    <row r="14013" customFormat="false" ht="17.15" hidden="false" customHeight="false" outlineLevel="0" collapsed="false">
      <c r="A14013" s="0" t="s">
        <v>1079</v>
      </c>
      <c r="B14013" s="0" t="s">
        <v>98</v>
      </c>
      <c r="F14013" s="6" t="n">
        <f aca="false">Sens!F14012-Sens!F14006-Sens!F14007-Sens!F14008-Sens!F14009-Sens!F14011</f>
        <v>60.2955846277069</v>
      </c>
      <c r="G14013" s="6" t="n">
        <f aca="false">Sens!G14012-Sens!G14006-Sens!G14007-Sens!G14008-Sens!G14009-Sens!G14011</f>
        <v>72.4883530362854</v>
      </c>
      <c r="H14013" s="6" t="n">
        <f aca="false">Sens!H14012-Sens!H14006-Sens!H14007-Sens!H14008-Sens!H14009-Sens!H14011</f>
        <v>84.8098829754144</v>
      </c>
      <c r="I14013" s="6" t="n">
        <f aca="false">Sens!I14012-Sens!I14006-Sens!I14007-Sens!I14008-Sens!I14009-Sens!I14011</f>
        <v>97.0707775300671</v>
      </c>
      <c r="J14013" s="6" t="n">
        <f aca="false">Sens!J14012-Sens!J14006-Sens!J14007-Sens!J14008-Sens!J14009-Sens!J14011</f>
        <v>108.215117934462</v>
      </c>
      <c r="K14013" s="6" t="n">
        <f aca="false">Sens!K14012-Sens!K14006-Sens!K14007-Sens!K14008-Sens!K14009-Sens!K14011</f>
        <v>117.575980427559</v>
      </c>
    </row>
    <row r="14014" customFormat="false" ht="17.15" hidden="false" customHeight="false" outlineLevel="0" collapsed="false">
      <c r="A14014" s="0" t="s">
        <v>1080</v>
      </c>
      <c r="B14014" s="0" t="s">
        <v>98</v>
      </c>
      <c r="F14014" s="6" t="n">
        <f aca="false">PL!F112+Sens!F14005*Seg!F82+sbc_r*Seg!F82</f>
        <v>26.3652761595447</v>
      </c>
      <c r="G14014" s="6" t="n">
        <f aca="false">PL!G112+Sens!G14005*Seg!G82+sbc_r*Seg!G82</f>
        <v>26.9742866145486</v>
      </c>
      <c r="H14014" s="6" t="n">
        <f aca="false">PL!H112+Sens!H14005*Seg!H82+sbc_r*Seg!H82</f>
        <v>27.8483067679033</v>
      </c>
      <c r="I14014" s="6" t="n">
        <f aca="false">PL!I112+Sens!I14005*Seg!I82+sbc_r*Seg!I82</f>
        <v>28.9540944937551</v>
      </c>
      <c r="J14014" s="6" t="n">
        <f aca="false">PL!J112+Sens!J14005*Seg!J82+sbc_r*Seg!J82</f>
        <v>30.2591967501426</v>
      </c>
      <c r="K14014" s="6" t="n">
        <f aca="false">PL!K112+Sens!K14005*Seg!K82+sbc_r*Seg!K82</f>
        <v>31.7334012124467</v>
      </c>
    </row>
    <row r="14015" customFormat="false" ht="17.15" hidden="false" customHeight="false" outlineLevel="0" collapsed="false">
      <c r="A14015" s="0" t="s">
        <v>1081</v>
      </c>
      <c r="B14015" s="0" t="s">
        <v>98</v>
      </c>
      <c r="F14015" s="6" t="n">
        <f aca="false">(Sens!F14014-Sens!F14010)*Seg!F78/(Seg!F78+Seg!F80)</f>
        <v>8.26953246478712</v>
      </c>
      <c r="G14015" s="6" t="n">
        <f aca="false">(Sens!G14014-Sens!G14010)*Seg!G78/(Seg!G78+Seg!G80)</f>
        <v>7.8691542635731</v>
      </c>
      <c r="H14015" s="6" t="n">
        <f aca="false">(Sens!H14014-Sens!H14010)*Seg!H78/(Seg!H78+Seg!H80)</f>
        <v>7.63125160105973</v>
      </c>
      <c r="I14015" s="6" t="n">
        <f aca="false">(Sens!I14014-Sens!I14010)*Seg!I78/(Seg!I78+Seg!I80)</f>
        <v>7.53775281020212</v>
      </c>
      <c r="J14015" s="6" t="n">
        <f aca="false">(Sens!J14014-Sens!J14010)*Seg!J78/(Seg!J78+Seg!J80)</f>
        <v>7.57766730524412</v>
      </c>
      <c r="K14015" s="6" t="n">
        <f aca="false">(Sens!K14014-Sens!K14010)*Seg!K78/(Seg!K78+Seg!K80)</f>
        <v>7.74670217662515</v>
      </c>
    </row>
    <row r="14016" customFormat="false" ht="17.15" hidden="false" customHeight="false" outlineLevel="0" collapsed="false">
      <c r="A14016" s="0" t="s">
        <v>1082</v>
      </c>
      <c r="B14016" s="0" t="s">
        <v>98</v>
      </c>
      <c r="F14016" s="6" t="n">
        <f aca="false">Sens!F14014-Sens!F14010-Sens!F14015</f>
        <v>6.81561783076564</v>
      </c>
      <c r="G14016" s="6" t="n">
        <f aca="false">Sens!G14014-Sens!G14010-Sens!G14015</f>
        <v>6.74622372237672</v>
      </c>
      <c r="H14016" s="6" t="n">
        <f aca="false">Sens!H14014-Sens!H14010-Sens!H14015</f>
        <v>6.73635215288526</v>
      </c>
      <c r="I14016" s="6" t="n">
        <f aca="false">Sens!I14014-Sens!I14010-Sens!I14015</f>
        <v>6.78339568565411</v>
      </c>
      <c r="J14016" s="6" t="n">
        <f aca="false">Sens!J14014-Sens!J14010-Sens!J14015</f>
        <v>6.88471400483723</v>
      </c>
      <c r="K14016" s="6" t="n">
        <f aca="false">Sens!K14014-Sens!K14010-Sens!K14015</f>
        <v>7.03829118095546</v>
      </c>
    </row>
    <row r="14017" customFormat="false" ht="17.15" hidden="false" customHeight="false" outlineLevel="0" collapsed="false">
      <c r="A14017" s="0" t="s">
        <v>1083</v>
      </c>
      <c r="B14017" s="0" t="s">
        <v>98</v>
      </c>
      <c r="F14017" s="6" t="n">
        <f aca="false">Sens!F14011-tax_f*(Sens!F14011-Thesis!F138)-Thesis!F135</f>
        <v>-122.579081185432</v>
      </c>
      <c r="G14017" s="6" t="n">
        <f aca="false">Sens!G14011-tax_f*(Sens!G14011-Thesis!G138)-Thesis!G135</f>
        <v>-117.373249511676</v>
      </c>
      <c r="H14017" s="6" t="n">
        <f aca="false">Sens!H14011-tax_f*(Sens!H14011-Thesis!H138)-Thesis!H135</f>
        <v>-95.285890998876</v>
      </c>
      <c r="I14017" s="6" t="n">
        <f aca="false">Sens!I14011-tax_f*(Sens!I14011-Thesis!I138)-Thesis!I135</f>
        <v>-41.8816809509416</v>
      </c>
      <c r="J14017" s="6" t="n">
        <f aca="false">Sens!J14011-tax_f*(Sens!J14011-Thesis!J138)-Thesis!J135</f>
        <v>15.3691414244864</v>
      </c>
      <c r="K14017" s="6" t="n">
        <f aca="false">Sens!K14011-tax_f*(Sens!K14011-Thesis!K138)-Thesis!K135</f>
        <v>34.6668916333283</v>
      </c>
    </row>
    <row r="14018" customFormat="false" ht="17.15" hidden="false" customHeight="false" outlineLevel="0" collapsed="false">
      <c r="A14018" s="0" t="s">
        <v>1084</v>
      </c>
      <c r="B14018" s="0" t="s">
        <v>98</v>
      </c>
      <c r="G14018" s="6" t="n">
        <f aca="false">Sens!G14017/(1+wacc)^(Sens!G13990-(Sens!F13990+mid_yr))</f>
        <v>-111.762030423885</v>
      </c>
      <c r="H14018" s="6" t="n">
        <f aca="false">Sens!H14017/(1+wacc)^(Sens!H13990-(Sens!F13990+mid_yr))</f>
        <v>-82.2629091581412</v>
      </c>
      <c r="I14018" s="6" t="n">
        <f aca="false">Sens!I14017/(1+wacc)^(Sens!I13990-(Sens!F13990+mid_yr))</f>
        <v>-32.7830894246659</v>
      </c>
      <c r="J14018" s="6" t="n">
        <f aca="false">Sens!J14017/(1+wacc)^(Sens!J13990-(Sens!F13990+mid_yr))</f>
        <v>10.907511786022</v>
      </c>
      <c r="K14018" s="6" t="n">
        <f aca="false">Sens!K14017/(1+wacc)^(Sens!K13990-(Sens!F13990+mid_yr))</f>
        <v>22.3070066431388</v>
      </c>
      <c r="L14018" s="1" t="s">
        <v>1085</v>
      </c>
    </row>
    <row r="14019" customFormat="false" ht="17.15" hidden="false" customHeight="false" outlineLevel="0" collapsed="false">
      <c r="A14019" s="0" t="s">
        <v>1086</v>
      </c>
      <c r="B14019" s="0" t="s">
        <v>98</v>
      </c>
      <c r="C14019" s="6" t="n">
        <f aca="false">(Sens!K14011-Thesis!K138)*(1-tax_f)*(1+g_tv)*(1-g_tv/(wacc+0))/(wacc-g_tv)/(1+wacc)^(Sens!K13990+mid_yr-(Sens!F13990+mid_yr))</f>
        <v>103.875812758606</v>
      </c>
    </row>
    <row r="14020" customFormat="false" ht="17.15" hidden="false" customHeight="false" outlineLevel="0" collapsed="false">
      <c r="A14020" s="1" t="s">
        <v>1087</v>
      </c>
      <c r="B14020" s="0" t="s">
        <v>98</v>
      </c>
      <c r="C14020" s="6" t="n">
        <f aca="false">(SUM(Sens!G14018:K14018)+Sens!$C$14019)*(1+wacc)^(t_roll-(Sens!F13990+mid_yr))</f>
        <v>-92.6297486746201</v>
      </c>
      <c r="L14020" s="11" t="s">
        <v>1088</v>
      </c>
    </row>
    <row r="14021" customFormat="false" ht="17.15" hidden="false" customHeight="false" outlineLevel="0" collapsed="false">
      <c r="A14021" s="1" t="s">
        <v>1089</v>
      </c>
      <c r="B14021" s="0" t="s">
        <v>98</v>
      </c>
      <c r="C14021" s="6" t="n">
        <f aca="false">(w_ntm28*Thesis!G127+(1-w_ntm28)*Thesis!H127)*m_ai</f>
        <v>338.776008390068</v>
      </c>
    </row>
    <row r="14022" customFormat="false" ht="17.15" hidden="false" customHeight="false" outlineLevel="0" collapsed="false">
      <c r="A14022" s="1" t="s">
        <v>1090</v>
      </c>
      <c r="B14022" s="0" t="s">
        <v>98</v>
      </c>
      <c r="C14022" s="6" t="n">
        <f aca="false">(w_ntm28*Sens!G14013+(1-w_ntm28)*Sens!H14013)*m_cloud</f>
        <v>1056.83960927252</v>
      </c>
    </row>
    <row r="14023" customFormat="false" ht="17.15" hidden="false" customHeight="false" outlineLevel="0" collapsed="false">
      <c r="A14023" s="1" t="s">
        <v>1091</v>
      </c>
      <c r="B14023" s="0" t="s">
        <v>98</v>
      </c>
      <c r="C14023" s="6" t="n">
        <f aca="false">(w_ntm28*Sens!G14006+(1-w_ntm28)*Sens!H14006)*m_sw</f>
        <v>1046.81653016399</v>
      </c>
    </row>
    <row r="14024" customFormat="false" ht="17.15" hidden="false" customHeight="false" outlineLevel="0" collapsed="false">
      <c r="A14024" s="1" t="s">
        <v>1092</v>
      </c>
      <c r="B14024" s="0" t="s">
        <v>98</v>
      </c>
      <c r="C14024" s="6" t="n">
        <f aca="false">(w_ntm28*Sens!G14007+(1-w_ntm28)*Sens!H14007)*m_sw</f>
        <v>380.588206114803</v>
      </c>
    </row>
    <row r="14025" customFormat="false" ht="17.15" hidden="false" customHeight="false" outlineLevel="0" collapsed="false">
      <c r="A14025" s="1" t="s">
        <v>1093</v>
      </c>
      <c r="B14025" s="0" t="s">
        <v>98</v>
      </c>
      <c r="C14025" s="6" t="n">
        <f aca="false">(w_ntm28*Sens!G14008+(1-w_ntm28)*Sens!H14008)*m_sw</f>
        <v>109.941508211602</v>
      </c>
    </row>
    <row r="14026" customFormat="false" ht="17.15" hidden="false" customHeight="false" outlineLevel="0" collapsed="false">
      <c r="A14026" s="1" t="s">
        <v>1094</v>
      </c>
      <c r="B14026" s="0" t="s">
        <v>98</v>
      </c>
      <c r="C14026" s="6" t="n">
        <f aca="false">(w_ntm28*Sens!G14009+(1-w_ntm28)*Sens!H14009)*m_sw</f>
        <v>41.944622711021</v>
      </c>
    </row>
    <row r="14027" customFormat="false" ht="17.15" hidden="false" customHeight="false" outlineLevel="0" collapsed="false">
      <c r="A14027" s="1" t="s">
        <v>1095</v>
      </c>
      <c r="B14027" s="0" t="s">
        <v>98</v>
      </c>
      <c r="C14027" s="6" t="n">
        <f aca="false">(w_ntm28*Sens!G14010+(1-w_ntm28)*Sens!H14010)*m_ads</f>
        <v>115.893511108929</v>
      </c>
    </row>
    <row r="14028" customFormat="false" ht="17.15" hidden="false" customHeight="false" outlineLevel="0" collapsed="false">
      <c r="A14028" s="1" t="s">
        <v>1096</v>
      </c>
      <c r="B14028" s="0" t="s">
        <v>98</v>
      </c>
      <c r="C14028" s="6" t="n">
        <f aca="false">(w_ntm28*Sens!G14015+(1-w_ntm28)*Sens!H14015)*m_game</f>
        <v>98.416032447421</v>
      </c>
    </row>
    <row r="14029" customFormat="false" ht="17.15" hidden="false" customHeight="false" outlineLevel="0" collapsed="false">
      <c r="A14029" s="1" t="s">
        <v>1097</v>
      </c>
      <c r="B14029" s="0" t="s">
        <v>98</v>
      </c>
      <c r="C14029" s="6" t="n">
        <f aca="false">(w_ntm28*Sens!G14016+(1-w_ntm28)*Sens!H14016)*m_pc</f>
        <v>97.5716783311641</v>
      </c>
    </row>
    <row r="14030" customFormat="false" ht="17.15" hidden="false" customHeight="false" outlineLevel="0" collapsed="false">
      <c r="A14030" s="1" t="s">
        <v>1098</v>
      </c>
      <c r="B14030" s="0" t="s">
        <v>98</v>
      </c>
      <c r="C14030" s="6" t="n">
        <f aca="false">Sens!$C$14020+Sens!$C$14022+Sens!$C$14023+Sens!$C$14024+Sens!$C$14025+Sens!$C$14026+Sens!$C$14027+Sens!$C$14028+Sens!$C$14029</f>
        <v>2855.38194968683</v>
      </c>
    </row>
    <row r="14031" customFormat="false" ht="17.15" hidden="false" customHeight="false" outlineLevel="0" collapsed="false">
      <c r="A14031" s="1" t="s">
        <v>1099</v>
      </c>
      <c r="B14031" s="0" t="s">
        <v>98</v>
      </c>
      <c r="C14031" s="6" t="n">
        <f aca="false">(Sens!G13992-Sens!G14017)*t_stub</f>
        <v>46.8760727339385</v>
      </c>
      <c r="L14031" s="1" t="s">
        <v>1100</v>
      </c>
    </row>
    <row r="14032" customFormat="false" ht="17.15" hidden="false" customHeight="false" outlineLevel="0" collapsed="false">
      <c r="A14032" s="1" t="s">
        <v>1014</v>
      </c>
      <c r="B14032" s="0" t="s">
        <v>98</v>
      </c>
      <c r="C14032" s="6" t="n">
        <f aca="false">CF!F100+oai_v-CF!F89+Sens!$C$14031</f>
        <v>153.718233647662</v>
      </c>
      <c r="L14032" s="1" t="s">
        <v>1101</v>
      </c>
    </row>
    <row r="14033" customFormat="false" ht="17.15" hidden="false" customHeight="false" outlineLevel="0" collapsed="false">
      <c r="A14033" s="1" t="s">
        <v>1102</v>
      </c>
      <c r="B14033" s="0" t="s">
        <v>75</v>
      </c>
      <c r="C14033" s="5" t="n">
        <f aca="false">(Sens!$C$14030+Sens!$C$14032)/(CF!F102+dil_gap)-CF!G92*roll_div_q/q_per_yr</f>
        <v>400.387952419223</v>
      </c>
      <c r="L14033" s="1" t="s">
        <v>1103</v>
      </c>
    </row>
    <row r="14034" customFormat="false" ht="17.15" hidden="false" customHeight="false" outlineLevel="0" collapsed="false">
      <c r="A14034" s="1" t="s">
        <v>1104</v>
      </c>
      <c r="B14034" s="0" t="s">
        <v>75</v>
      </c>
      <c r="C14034" s="5" t="n">
        <f aca="false">w_dcf*Sens!$C$14004+(1-w_dcf)*Sens!$C$14033</f>
        <v>379.601661089224</v>
      </c>
    </row>
    <row r="14035" customFormat="false" ht="17.15" hidden="false" customHeight="false" outlineLevel="0" collapsed="false">
      <c r="A14035" s="3" t="s">
        <v>1618</v>
      </c>
    </row>
    <row r="14036" customFormat="false" ht="15" hidden="false" customHeight="false" outlineLevel="0" collapsed="false">
      <c r="A14036" s="4" t="s">
        <v>43</v>
      </c>
      <c r="B14036" s="4" t="s">
        <v>65</v>
      </c>
      <c r="C14036" s="20" t="s">
        <v>799</v>
      </c>
      <c r="D14036" s="20" t="s">
        <v>800</v>
      </c>
      <c r="E14036" s="20" t="s">
        <v>801</v>
      </c>
      <c r="F14036" s="20" t="s">
        <v>802</v>
      </c>
      <c r="G14036" s="20" t="s">
        <v>803</v>
      </c>
      <c r="H14036" s="20" t="s">
        <v>804</v>
      </c>
      <c r="I14036" s="20" t="s">
        <v>805</v>
      </c>
      <c r="J14036" s="20" t="s">
        <v>806</v>
      </c>
      <c r="K14036" s="20" t="s">
        <v>807</v>
      </c>
      <c r="L14036" s="4" t="s">
        <v>47</v>
      </c>
    </row>
    <row r="14037" customFormat="false" ht="15" hidden="false" customHeight="false" outlineLevel="0" collapsed="false">
      <c r="A14037" s="1" t="s">
        <v>1057</v>
      </c>
      <c r="B14037" s="1" t="s">
        <v>235</v>
      </c>
      <c r="F14037" s="36" t="n">
        <f aca="false">Thesis!F6-base_fy-mid_yr</f>
        <v>0.5</v>
      </c>
      <c r="G14037" s="36" t="n">
        <f aca="false">Thesis!G6-base_fy-mid_yr</f>
        <v>1.5</v>
      </c>
      <c r="H14037" s="36" t="n">
        <f aca="false">Thesis!H6-base_fy-mid_yr</f>
        <v>2.5</v>
      </c>
      <c r="I14037" s="36" t="n">
        <f aca="false">Thesis!I6-base_fy-mid_yr</f>
        <v>3.5</v>
      </c>
      <c r="J14037" s="36" t="n">
        <f aca="false">Thesis!J6-base_fy-mid_yr</f>
        <v>4.5</v>
      </c>
      <c r="K14037" s="36" t="n">
        <f aca="false">Thesis!K6-base_fy-mid_yr</f>
        <v>5.5</v>
      </c>
    </row>
    <row r="14038" customFormat="false" ht="15" hidden="false" customHeight="false" outlineLevel="0" collapsed="false">
      <c r="A14038" s="1" t="s">
        <v>1058</v>
      </c>
      <c r="B14038" s="0" t="s">
        <v>185</v>
      </c>
      <c r="F14038" s="14" t="n">
        <f aca="false">1/(1+wacc)^Sens!F14037</f>
        <v>0.952193373608246</v>
      </c>
      <c r="G14038" s="14" t="n">
        <f aca="false">1/(1+wacc)^Sens!G14037</f>
        <v>0.863327280626589</v>
      </c>
      <c r="H14038" s="14" t="n">
        <f aca="false">1/(1+wacc)^Sens!H14037</f>
        <v>0.782754862754115</v>
      </c>
      <c r="I14038" s="14" t="n">
        <f aca="false">1/(1+wacc)^Sens!I14037</f>
        <v>0.709702089711011</v>
      </c>
      <c r="J14038" s="14" t="n">
        <f aca="false">1/(1+wacc)^Sens!J14037</f>
        <v>0.643467169744551</v>
      </c>
      <c r="K14038" s="14" t="n">
        <f aca="false">1/(1+wacc)^Sens!K14037</f>
        <v>0.583413807767797</v>
      </c>
    </row>
    <row r="14039" customFormat="false" ht="17.15" hidden="false" customHeight="false" outlineLevel="0" collapsed="false">
      <c r="A14039" s="1" t="s">
        <v>1059</v>
      </c>
      <c r="B14039" s="0" t="s">
        <v>98</v>
      </c>
      <c r="F14039" s="6" t="n">
        <f aca="false">CF!F22-CF!F20-CF!F26+Thesis!F44*(1-tax_f)</f>
        <v>0.8175674752552</v>
      </c>
      <c r="G14039" s="6" t="n">
        <f aca="false">CF!G22-CF!G20-CF!G26+Thesis!G44*(1-tax_f)</f>
        <v>46.5945454778033</v>
      </c>
      <c r="H14039" s="6" t="n">
        <f aca="false">CF!H22-CF!H20-CF!H26+Thesis!H44*(1-tax_f)</f>
        <v>105.224067029101</v>
      </c>
      <c r="I14039" s="6" t="n">
        <f aca="false">CF!I22-CF!I20-CF!I26+Thesis!I44*(1-tax_f)</f>
        <v>183.301417205555</v>
      </c>
      <c r="J14039" s="6" t="n">
        <f aca="false">CF!J22-CF!J20-CF!J26+Thesis!J44*(1-tax_f)</f>
        <v>261.555335183242</v>
      </c>
      <c r="K14039" s="6" t="n">
        <f aca="false">CF!K22-CF!K20-CF!K26+Thesis!K44*(1-tax_f)</f>
        <v>298.387942209483</v>
      </c>
      <c r="L14039" s="1" t="s">
        <v>1060</v>
      </c>
    </row>
    <row r="14040" customFormat="false" ht="15" hidden="false" customHeight="false" outlineLevel="0" collapsed="false">
      <c r="A14040" s="1" t="s">
        <v>1061</v>
      </c>
      <c r="B14040" s="0" t="s">
        <v>98</v>
      </c>
      <c r="F14040" s="6" t="n">
        <f aca="false">Sens!F14039*Sens!F14038</f>
        <v>0.778482332415625</v>
      </c>
      <c r="G14040" s="6" t="n">
        <f aca="false">Sens!G14039*Sens!G14038</f>
        <v>40.2263422393839</v>
      </c>
      <c r="H14040" s="6" t="n">
        <f aca="false">Sens!H14039*Sens!H14038</f>
        <v>82.364650145794</v>
      </c>
      <c r="I14040" s="6" t="n">
        <f aca="false">Sens!I14039*Sens!I14038</f>
        <v>130.089398837772</v>
      </c>
      <c r="J14040" s="6" t="n">
        <f aca="false">Sens!J14039*Sens!J14038</f>
        <v>168.302271261948</v>
      </c>
      <c r="K14040" s="6" t="n">
        <f aca="false">Sens!K14039*Sens!K14038</f>
        <v>174.083645556432</v>
      </c>
    </row>
    <row r="14041" customFormat="false" ht="17.15" hidden="false" customHeight="false" outlineLevel="0" collapsed="false">
      <c r="A14041" s="1" t="s">
        <v>1062</v>
      </c>
      <c r="B14041" s="0" t="s">
        <v>98</v>
      </c>
      <c r="C14041" s="6" t="n">
        <f aca="false">SUM(Sens!F14040:K14040)</f>
        <v>595.844790373745</v>
      </c>
    </row>
    <row r="14042" customFormat="false" ht="17.15" hidden="false" customHeight="false" outlineLevel="0" collapsed="false">
      <c r="A14042" s="1" t="s">
        <v>1063</v>
      </c>
      <c r="B14042" s="0" t="s">
        <v>98</v>
      </c>
      <c r="C14042" s="6" t="n">
        <f aca="false">PL!K39*(1+g_tv)*(1-tax_f)</f>
        <v>316.433872640522</v>
      </c>
    </row>
    <row r="14043" customFormat="false" ht="17.15" hidden="false" customHeight="false" outlineLevel="0" collapsed="false">
      <c r="A14043" s="1" t="s">
        <v>1064</v>
      </c>
      <c r="B14043" s="0" t="s">
        <v>98</v>
      </c>
      <c r="C14043" s="6" t="n">
        <f aca="false">Sens!$C$14042*(1-g_tv/(wacc+ronic_prem))</f>
        <v>224.209948217085</v>
      </c>
    </row>
    <row r="14044" customFormat="false" ht="17.15" hidden="false" customHeight="false" outlineLevel="0" collapsed="false">
      <c r="A14044" s="1" t="s">
        <v>1065</v>
      </c>
      <c r="B14044" s="0" t="s">
        <v>98</v>
      </c>
      <c r="C14044" s="6" t="n">
        <f aca="false">Sens!$C$14043/(wacc-g_tv)</f>
        <v>3074.13081411456</v>
      </c>
    </row>
    <row r="14045" customFormat="false" ht="15" hidden="false" customHeight="false" outlineLevel="0" collapsed="false">
      <c r="A14045" s="1" t="s">
        <v>1066</v>
      </c>
      <c r="B14045" s="0" t="s">
        <v>98</v>
      </c>
      <c r="C14045" s="6" t="n">
        <f aca="false">Sens!$C$14044/(1+wacc)^(Sens!K14037+mid_yr)</f>
        <v>1707.74964007764</v>
      </c>
    </row>
    <row r="14046" customFormat="false" ht="17.15" hidden="false" customHeight="false" outlineLevel="0" collapsed="false">
      <c r="A14046" s="0" t="s">
        <v>986</v>
      </c>
      <c r="B14046" s="0" t="s">
        <v>98</v>
      </c>
      <c r="C14046" s="6" t="n">
        <f aca="false">Sens!$C$14041+Sens!$C$14045</f>
        <v>2303.59443045138</v>
      </c>
    </row>
    <row r="14047" customFormat="false" ht="15" hidden="false" customHeight="false" outlineLevel="0" collapsed="false">
      <c r="A14047" s="1" t="s">
        <v>987</v>
      </c>
      <c r="B14047" s="0" t="s">
        <v>129</v>
      </c>
      <c r="C14047" s="7" t="n">
        <f aca="false">Sens!$C$14045/Sens!$C$14046</f>
        <v>0.741341278439803</v>
      </c>
    </row>
    <row r="14048" customFormat="false" ht="17.15" hidden="false" customHeight="false" outlineLevel="0" collapsed="false">
      <c r="A14048" s="1" t="s">
        <v>1067</v>
      </c>
      <c r="B14048" s="0" t="s">
        <v>98</v>
      </c>
      <c r="C14048" s="6" t="n">
        <f aca="false">Sens!$C$14046+CF!E38-CF!E27+oai_v</f>
        <v>2438.10743045138</v>
      </c>
    </row>
    <row r="14049" customFormat="false" ht="17.15" hidden="false" customHeight="false" outlineLevel="0" collapsed="false">
      <c r="A14049" s="0" t="s">
        <v>994</v>
      </c>
      <c r="B14049" s="0" t="s">
        <v>75</v>
      </c>
      <c r="C14049" s="5" t="n">
        <f aca="false">Sens!$C$14048/sh_dil26</f>
        <v>327.131011733715</v>
      </c>
    </row>
    <row r="14050" customFormat="false" ht="15" hidden="false" customHeight="false" outlineLevel="0" collapsed="false">
      <c r="A14050" s="1" t="s">
        <v>1068</v>
      </c>
      <c r="B14050" s="0" t="s">
        <v>75</v>
      </c>
      <c r="C14050" s="8" t="n">
        <f aca="false">dps_27+CF!G30*roll_div_q/q_per_yr</f>
        <v>4.8895</v>
      </c>
    </row>
    <row r="14051" customFormat="false" ht="17.15" hidden="false" customHeight="false" outlineLevel="0" collapsed="false">
      <c r="A14051" s="0" t="s">
        <v>1069</v>
      </c>
      <c r="B14051" s="0" t="s">
        <v>75</v>
      </c>
      <c r="C14051" s="5" t="n">
        <f aca="false">Sens!$C$14049*(1+wacc)^t_roll-Sens!$C$14050</f>
        <v>367.625505810519</v>
      </c>
    </row>
    <row r="14052" customFormat="false" ht="17.15" hidden="false" customHeight="false" outlineLevel="0" collapsed="false">
      <c r="A14052" s="1" t="s">
        <v>1070</v>
      </c>
      <c r="B14052" s="0" t="s">
        <v>129</v>
      </c>
      <c r="F14052" s="7" t="n">
        <f aca="false">CF!F17/(Seg!F29-Thesis!F23)</f>
        <v>0.0705303854989974</v>
      </c>
      <c r="G14052" s="7" t="n">
        <f aca="false">CF!G17/(Seg!G29-Thesis!G23)</f>
        <v>0.0669153011130541</v>
      </c>
      <c r="H14052" s="7" t="n">
        <f aca="false">CF!H17/(Seg!H29-Thesis!H23)</f>
        <v>0.0648963302688647</v>
      </c>
      <c r="I14052" s="7" t="n">
        <f aca="false">CF!I17/(Seg!I29-Thesis!I23)</f>
        <v>0.0643411219550834</v>
      </c>
      <c r="J14052" s="7" t="n">
        <f aca="false">CF!J17/(Seg!J29-Thesis!J23)</f>
        <v>0.0648740961982593</v>
      </c>
      <c r="K14052" s="7" t="n">
        <f aca="false">CF!K17/(Seg!K29-Thesis!K23)</f>
        <v>0.0660244723636577</v>
      </c>
    </row>
    <row r="14053" customFormat="false" ht="17.15" hidden="false" customHeight="false" outlineLevel="0" collapsed="false">
      <c r="A14053" s="0" t="s">
        <v>1071</v>
      </c>
      <c r="B14053" s="0" t="s">
        <v>98</v>
      </c>
      <c r="F14053" s="6" t="n">
        <f aca="false">Seg!F14*(al_m365+Sens!F14052+sbc_r)</f>
        <v>85.2273329859862</v>
      </c>
      <c r="G14053" s="6" t="n">
        <f aca="false">Seg!G14*(al_m365+Sens!G14052+sbc_r)</f>
        <v>99.6892587904979</v>
      </c>
      <c r="H14053" s="6" t="n">
        <f aca="false">Seg!H14*(al_m365+Sens!H14052+sbc_r)</f>
        <v>114.315107566414</v>
      </c>
      <c r="I14053" s="6" t="n">
        <f aca="false">Seg!I14*(al_m365+Sens!I14052+sbc_r)</f>
        <v>127.42181750834</v>
      </c>
      <c r="J14053" s="6" t="n">
        <f aca="false">Seg!J14*(al_m365+Sens!J14052+sbc_r)</f>
        <v>138.823999012523</v>
      </c>
      <c r="K14053" s="6" t="n">
        <f aca="false">Seg!K14*(al_m365+Sens!K14052+sbc_r)</f>
        <v>149.845393216552</v>
      </c>
      <c r="L14053" s="11" t="s">
        <v>1072</v>
      </c>
    </row>
    <row r="14054" customFormat="false" ht="17.15" hidden="false" customHeight="false" outlineLevel="0" collapsed="false">
      <c r="A14054" s="0" t="s">
        <v>1073</v>
      </c>
      <c r="B14054" s="0" t="s">
        <v>98</v>
      </c>
      <c r="F14054" s="6" t="n">
        <f aca="false">Seg!F15*(al_lic+Sens!F14052+sbc_r)</f>
        <v>33.5204472060294</v>
      </c>
      <c r="G14054" s="6" t="n">
        <f aca="false">Seg!G15*(al_lic+Sens!G14052+sbc_r)</f>
        <v>34.7926166862242</v>
      </c>
      <c r="H14054" s="6" t="n">
        <f aca="false">Seg!H15*(al_lic+Sens!H14052+sbc_r)</f>
        <v>35.9862829687409</v>
      </c>
      <c r="I14054" s="6" t="n">
        <f aca="false">Seg!I15*(al_lic+Sens!I14052+sbc_r)</f>
        <v>37.0838788899664</v>
      </c>
      <c r="J14054" s="6" t="n">
        <f aca="false">Seg!J15*(al_lic+Sens!J14052+sbc_r)</f>
        <v>38.0565090086839</v>
      </c>
      <c r="K14054" s="6" t="n">
        <f aca="false">Seg!K15*(al_lic+Sens!K14052+sbc_r)</f>
        <v>38.8700352425884</v>
      </c>
    </row>
    <row r="14055" customFormat="false" ht="17.15" hidden="false" customHeight="false" outlineLevel="0" collapsed="false">
      <c r="A14055" s="0" t="s">
        <v>1074</v>
      </c>
      <c r="B14055" s="0" t="s">
        <v>98</v>
      </c>
      <c r="F14055" s="6" t="n">
        <f aca="false">Seg!F17*(al_ind+Sens!F14052+sbc_r)</f>
        <v>9.11980018094294</v>
      </c>
      <c r="G14055" s="6" t="n">
        <f aca="false">Seg!G17*(al_ind+Sens!G14052+sbc_r)</f>
        <v>9.88072195697034</v>
      </c>
      <c r="H14055" s="6" t="n">
        <f aca="false">Seg!H17*(al_ind+Sens!H14052+sbc_r)</f>
        <v>10.6900815637922</v>
      </c>
      <c r="I14055" s="6" t="n">
        <f aca="false">Seg!I17*(al_ind+Sens!I14052+sbc_r)</f>
        <v>11.5460282347577</v>
      </c>
      <c r="J14055" s="6" t="n">
        <f aca="false">Seg!J17*(al_ind+Sens!J14052+sbc_r)</f>
        <v>12.4374767512513</v>
      </c>
      <c r="K14055" s="6" t="n">
        <f aca="false">Seg!K17*(al_ind+Sens!K14052+sbc_r)</f>
        <v>13.3461587114563</v>
      </c>
    </row>
    <row r="14056" customFormat="false" ht="17.15" hidden="false" customHeight="false" outlineLevel="0" collapsed="false">
      <c r="A14056" s="0" t="s">
        <v>1075</v>
      </c>
      <c r="B14056" s="0" t="s">
        <v>98</v>
      </c>
      <c r="F14056" s="6" t="n">
        <f aca="false">Seg!F19*(al_fro+Sens!F14052+sbc_r)</f>
        <v>3.58958536902212</v>
      </c>
      <c r="G14056" s="6" t="n">
        <f aca="false">Seg!G19*(al_fro+Sens!G14052+sbc_r)</f>
        <v>3.79361306665995</v>
      </c>
      <c r="H14056" s="6" t="n">
        <f aca="false">Seg!H19*(al_fro+Sens!H14052+sbc_r)</f>
        <v>4.02838862857902</v>
      </c>
      <c r="I14056" s="6" t="n">
        <f aca="false">Seg!I19*(al_fro+Sens!I14052+sbc_r)</f>
        <v>4.29696179134221</v>
      </c>
      <c r="J14056" s="6" t="n">
        <f aca="false">Seg!J19*(al_fro+Sens!J14052+sbc_r)</f>
        <v>4.59985687395741</v>
      </c>
      <c r="K14056" s="6" t="n">
        <f aca="false">Seg!K19*(al_fro+Sens!K14052+sbc_r)</f>
        <v>4.93592238342414</v>
      </c>
    </row>
    <row r="14057" customFormat="false" ht="17.15" hidden="false" customHeight="false" outlineLevel="0" collapsed="false">
      <c r="A14057" s="0" t="s">
        <v>1076</v>
      </c>
      <c r="B14057" s="0" t="s">
        <v>98</v>
      </c>
      <c r="F14057" s="6" t="n">
        <f aca="false">Seg!F22*(al_srch+Sens!F14052+sbc_r)</f>
        <v>11.2630849868114</v>
      </c>
      <c r="G14057" s="6" t="n">
        <f aca="false">Seg!G22*(al_srch+Sens!G14052+sbc_r)</f>
        <v>12.3179728600437</v>
      </c>
      <c r="H14057" s="6" t="n">
        <f aca="false">Seg!H22*(al_srch+Sens!H14052+sbc_r)</f>
        <v>13.4217853035424</v>
      </c>
      <c r="I14057" s="6" t="n">
        <f aca="false">Seg!I22*(al_srch+Sens!I14052+sbc_r)</f>
        <v>14.565578354966</v>
      </c>
      <c r="J14057" s="6" t="n">
        <f aca="false">Seg!J22*(al_srch+Sens!J14052+sbc_r)</f>
        <v>15.7277683722803</v>
      </c>
      <c r="K14057" s="6" t="n">
        <f aca="false">Seg!K22*(al_srch+Sens!K14052+sbc_r)</f>
        <v>16.87683901418</v>
      </c>
    </row>
    <row r="14058" customFormat="false" ht="17.15" hidden="false" customHeight="false" outlineLevel="0" collapsed="false">
      <c r="A14058" s="0" t="s">
        <v>1077</v>
      </c>
      <c r="B14058" s="0" t="s">
        <v>98</v>
      </c>
      <c r="F14058" s="6" t="n">
        <f aca="false">Thesis!F29-Thesis!F30+Thesis!F44</f>
        <v>45.0374073018652</v>
      </c>
      <c r="G14058" s="6" t="n">
        <f aca="false">Thesis!G29-Thesis!G30+Thesis!G44</f>
        <v>89.051993487491</v>
      </c>
      <c r="H14058" s="6" t="n">
        <f aca="false">Thesis!H29-Thesis!H30+Thesis!H44</f>
        <v>140.728332825594</v>
      </c>
      <c r="I14058" s="6" t="n">
        <f aca="false">Thesis!I29-Thesis!I30+Thesis!I44</f>
        <v>182.158665153016</v>
      </c>
      <c r="J14058" s="6" t="n">
        <f aca="false">Thesis!J29-Thesis!J30+Thesis!J44</f>
        <v>211.722320149272</v>
      </c>
      <c r="K14058" s="6" t="n">
        <f aca="false">Thesis!K29-Thesis!K30+Thesis!K44</f>
        <v>230.495012322217</v>
      </c>
    </row>
    <row r="14059" customFormat="false" ht="17.15" hidden="false" customHeight="false" outlineLevel="0" collapsed="false">
      <c r="A14059" s="0" t="s">
        <v>1078</v>
      </c>
      <c r="B14059" s="0" t="s">
        <v>98</v>
      </c>
      <c r="F14059" s="6" t="n">
        <f aca="false">PL!F32+Thesis!F44+Thesis!F40+Sens!F14052*(Seg!F21-Thesis!F23)+sbc_r*Seg!F21</f>
        <v>236.979131882557</v>
      </c>
      <c r="G14059" s="6" t="n">
        <f aca="false">PL!G32+Thesis!G44+Thesis!G40+Sens!G14052*(Seg!G21-Thesis!G23)+sbc_r*Seg!G21</f>
        <v>310.298572894356</v>
      </c>
      <c r="H14059" s="6" t="n">
        <f aca="false">PL!H32+Thesis!H44+Thesis!H40+Sens!H14052*(Seg!H21-Thesis!H23)+sbc_r*Seg!H21</f>
        <v>391.97921499404</v>
      </c>
      <c r="I14059" s="6" t="n">
        <f aca="false">PL!I32+Thesis!I44+Thesis!I40+Sens!I14052*(Seg!I21-Thesis!I23)+sbc_r*Seg!I21</f>
        <v>461.338592490557</v>
      </c>
      <c r="J14059" s="6" t="n">
        <f aca="false">PL!J32+Thesis!J44+Thesis!J40+Sens!J14052*(Seg!J21-Thesis!J23)+sbc_r*Seg!J21</f>
        <v>515.876034980991</v>
      </c>
      <c r="K14059" s="6" t="n">
        <f aca="false">PL!K32+Thesis!K44+Thesis!K40+Sens!K14052*(Seg!K21-Thesis!K23)+sbc_r*Seg!K21</f>
        <v>557.225339287545</v>
      </c>
    </row>
    <row r="14060" customFormat="false" ht="17.15" hidden="false" customHeight="false" outlineLevel="0" collapsed="false">
      <c r="A14060" s="0" t="s">
        <v>1079</v>
      </c>
      <c r="B14060" s="0" t="s">
        <v>98</v>
      </c>
      <c r="F14060" s="6" t="n">
        <f aca="false">Sens!F14059-Sens!F14053-Sens!F14054-Sens!F14055-Sens!F14056-Sens!F14058</f>
        <v>60.4845588387112</v>
      </c>
      <c r="G14060" s="6" t="n">
        <f aca="false">Sens!G14059-Sens!G14053-Sens!G14054-Sens!G14055-Sens!G14056-Sens!G14058</f>
        <v>73.090368906513</v>
      </c>
      <c r="H14060" s="6" t="n">
        <f aca="false">Sens!H14059-Sens!H14053-Sens!H14054-Sens!H14055-Sens!H14056-Sens!H14058</f>
        <v>86.23102144092</v>
      </c>
      <c r="I14060" s="6" t="n">
        <f aca="false">Sens!I14059-Sens!I14053-Sens!I14054-Sens!I14055-Sens!I14056-Sens!I14058</f>
        <v>98.8312409131349</v>
      </c>
      <c r="J14060" s="6" t="n">
        <f aca="false">Sens!J14059-Sens!J14053-Sens!J14054-Sens!J14055-Sens!J14056-Sens!J14058</f>
        <v>110.235873185303</v>
      </c>
      <c r="K14060" s="6" t="n">
        <f aca="false">Sens!K14059-Sens!K14053-Sens!K14054-Sens!K14055-Sens!K14056-Sens!K14058</f>
        <v>119.732817411307</v>
      </c>
    </row>
    <row r="14061" customFormat="false" ht="17.15" hidden="false" customHeight="false" outlineLevel="0" collapsed="false">
      <c r="A14061" s="0" t="s">
        <v>1080</v>
      </c>
      <c r="B14061" s="0" t="s">
        <v>98</v>
      </c>
      <c r="F14061" s="6" t="n">
        <f aca="false">PL!F34+Sens!F14052*Seg!F28+sbc_r*Seg!F28</f>
        <v>26.3250729833002</v>
      </c>
      <c r="G14061" s="6" t="n">
        <f aca="false">PL!G34+Sens!G14052*Seg!G28+sbc_r*Seg!G28</f>
        <v>26.8840979798844</v>
      </c>
      <c r="H14061" s="6" t="n">
        <f aca="false">PL!H34+Sens!H14052*Seg!H28+sbc_r*Seg!H28</f>
        <v>27.7254420104725</v>
      </c>
      <c r="I14061" s="6" t="n">
        <f aca="false">PL!I34+Sens!I14052*Seg!I28+sbc_r*Seg!I28</f>
        <v>28.8195303030026</v>
      </c>
      <c r="J14061" s="6" t="n">
        <f aca="false">PL!J34+Sens!J14052*Seg!J28+sbc_r*Seg!J28</f>
        <v>30.1256822206383</v>
      </c>
      <c r="K14061" s="6" t="n">
        <f aca="false">PL!K34+Sens!K14052*Seg!K28+sbc_r*Seg!K28</f>
        <v>31.5981329181227</v>
      </c>
    </row>
    <row r="14062" customFormat="false" ht="17.15" hidden="false" customHeight="false" outlineLevel="0" collapsed="false">
      <c r="A14062" s="0" t="s">
        <v>1081</v>
      </c>
      <c r="B14062" s="0" t="s">
        <v>98</v>
      </c>
      <c r="F14062" s="6" t="n">
        <f aca="false">(Sens!F14061-Sens!F14057)*Seg!F24/(Seg!F24+Seg!F26)</f>
        <v>8.25683511803782</v>
      </c>
      <c r="G14062" s="6" t="n">
        <f aca="false">(Sens!G14061-Sens!G14057)*Seg!G24/(Seg!G24+Seg!G26)</f>
        <v>7.84263572934781</v>
      </c>
      <c r="H14062" s="6" t="n">
        <f aca="false">(Sens!H14061-Sens!H14057)*Seg!H24/(Seg!H24+Seg!H26)</f>
        <v>7.59728657715786</v>
      </c>
      <c r="I14062" s="6" t="n">
        <f aca="false">(Sens!I14061-Sens!I14057)*Seg!I24/(Seg!I24+Seg!I26)</f>
        <v>7.50238476920254</v>
      </c>
      <c r="J14062" s="6" t="n">
        <f aca="false">(Sens!J14061-Sens!J14057)*Seg!J24/(Seg!J24+Seg!J26)</f>
        <v>7.54388912124533</v>
      </c>
      <c r="K14062" s="6" t="n">
        <f aca="false">(Sens!K14061-Sens!K14057)*Seg!K24/(Seg!K24+Seg!K26)</f>
        <v>7.71332639591206</v>
      </c>
    </row>
    <row r="14063" customFormat="false" ht="17.15" hidden="false" customHeight="false" outlineLevel="0" collapsed="false">
      <c r="A14063" s="0" t="s">
        <v>1082</v>
      </c>
      <c r="B14063" s="0" t="s">
        <v>98</v>
      </c>
      <c r="F14063" s="6" t="n">
        <f aca="false">Sens!F14061-Sens!F14057-Sens!F14062</f>
        <v>6.80515287845105</v>
      </c>
      <c r="G14063" s="6" t="n">
        <f aca="false">Sens!G14061-Sens!G14057-Sens!G14062</f>
        <v>6.72348939049287</v>
      </c>
      <c r="H14063" s="6" t="n">
        <f aca="false">Sens!H14061-Sens!H14057-Sens!H14062</f>
        <v>6.70637012977225</v>
      </c>
      <c r="I14063" s="6" t="n">
        <f aca="false">Sens!I14061-Sens!I14057-Sens!I14062</f>
        <v>6.75156717883416</v>
      </c>
      <c r="J14063" s="6" t="n">
        <f aca="false">Sens!J14061-Sens!J14057-Sens!J14062</f>
        <v>6.85402472711273</v>
      </c>
      <c r="K14063" s="6" t="n">
        <f aca="false">Sens!K14061-Sens!K14057-Sens!K14062</f>
        <v>7.00796750803058</v>
      </c>
    </row>
    <row r="14064" customFormat="false" ht="17.15" hidden="false" customHeight="false" outlineLevel="0" collapsed="false">
      <c r="A14064" s="0" t="s">
        <v>1083</v>
      </c>
      <c r="B14064" s="0" t="s">
        <v>98</v>
      </c>
      <c r="F14064" s="6" t="n">
        <f aca="false">Sens!F14058-tax_f*(Sens!F14058-Thesis!F40)-Thesis!F37</f>
        <v>-117.492972553783</v>
      </c>
      <c r="G14064" s="6" t="n">
        <f aca="false">Sens!G14058-tax_f*(Sens!G14058-Thesis!G40)-Thesis!G37</f>
        <v>-100.507498271105</v>
      </c>
      <c r="H14064" s="6" t="n">
        <f aca="false">Sens!H14058-tax_f*(Sens!H14058-Thesis!H40)-Thesis!H37</f>
        <v>-58.2254156812621</v>
      </c>
      <c r="I14064" s="6" t="n">
        <f aca="false">Sens!I14058-tax_f*(Sens!I14058-Thesis!I40)-Thesis!I37</f>
        <v>4.14141173464586</v>
      </c>
      <c r="J14064" s="6" t="n">
        <f aca="false">Sens!J14058-tax_f*(Sens!J14058-Thesis!J40)-Thesis!J37</f>
        <v>67.7960840957439</v>
      </c>
      <c r="K14064" s="6" t="n">
        <f aca="false">Sens!K14058-tax_f*(Sens!K14058-Thesis!K40)-Thesis!K37</f>
        <v>90.8148873630444</v>
      </c>
    </row>
    <row r="14065" customFormat="false" ht="17.15" hidden="false" customHeight="false" outlineLevel="0" collapsed="false">
      <c r="A14065" s="0" t="s">
        <v>1084</v>
      </c>
      <c r="B14065" s="0" t="s">
        <v>98</v>
      </c>
      <c r="G14065" s="6" t="n">
        <f aca="false">Sens!G14064/(1+wacc)^(Sens!G14037-(Sens!F14037+mid_yr))</f>
        <v>-95.7025738516884</v>
      </c>
      <c r="H14065" s="6" t="n">
        <f aca="false">Sens!H14064/(1+wacc)^(Sens!H14037-(Sens!F14037+mid_yr))</f>
        <v>-50.2675897834568</v>
      </c>
      <c r="I14065" s="6" t="n">
        <f aca="false">Sens!I14064/(1+wacc)^(Sens!I14037-(Sens!F14037+mid_yr))</f>
        <v>3.241710173961</v>
      </c>
      <c r="J14065" s="6" t="n">
        <f aca="false">Sens!J14064/(1+wacc)^(Sens!J14037-(Sens!F14037+mid_yr))</f>
        <v>48.1150225569729</v>
      </c>
      <c r="K14065" s="6" t="n">
        <f aca="false">Sens!K14064/(1+wacc)^(Sens!K14037-(Sens!F14037+mid_yr))</f>
        <v>58.4363985421684</v>
      </c>
      <c r="L14065" s="1" t="s">
        <v>1085</v>
      </c>
    </row>
    <row r="14066" customFormat="false" ht="17.15" hidden="false" customHeight="false" outlineLevel="0" collapsed="false">
      <c r="A14066" s="0" t="s">
        <v>1086</v>
      </c>
      <c r="B14066" s="0" t="s">
        <v>98</v>
      </c>
      <c r="C14066" s="6" t="n">
        <f aca="false">(Sens!K14058-Thesis!K40)*(1-tax_f)*(1+g_tv)*(1-g_tv/(wacc+ronic_prem))/(wacc-g_tv)/(1+wacc)^(Sens!K14037+mid_yr-(Sens!F14037+mid_yr))</f>
        <v>448.116665852667</v>
      </c>
    </row>
    <row r="14067" customFormat="false" ht="17.15" hidden="false" customHeight="false" outlineLevel="0" collapsed="false">
      <c r="A14067" s="1" t="s">
        <v>1087</v>
      </c>
      <c r="B14067" s="0" t="s">
        <v>98</v>
      </c>
      <c r="C14067" s="6" t="n">
        <f aca="false">(SUM(Sens!G14065:K14065)+Sens!$C$14066)*(1+wacc)^(t_roll-(Sens!F14037+mid_yr))</f>
        <v>425.310341738423</v>
      </c>
      <c r="L14067" s="11" t="s">
        <v>1088</v>
      </c>
    </row>
    <row r="14068" customFormat="false" ht="17.15" hidden="false" customHeight="false" outlineLevel="0" collapsed="false">
      <c r="A14068" s="1" t="s">
        <v>1089</v>
      </c>
      <c r="B14068" s="0" t="s">
        <v>98</v>
      </c>
      <c r="C14068" s="6" t="n">
        <f aca="false">(w_ntm28*Thesis!G29+(1-w_ntm28)*Thesis!H29)*m_ai</f>
        <v>551.711134531404</v>
      </c>
    </row>
    <row r="14069" customFormat="false" ht="17.15" hidden="false" customHeight="false" outlineLevel="0" collapsed="false">
      <c r="A14069" s="1" t="s">
        <v>1090</v>
      </c>
      <c r="B14069" s="0" t="s">
        <v>98</v>
      </c>
      <c r="C14069" s="6" t="n">
        <f aca="false">(w_ntm28*Sens!G14060+(1-w_ntm28)*Sens!H14060)*m_own</f>
        <v>1211.89554645073</v>
      </c>
    </row>
    <row r="14070" customFormat="false" ht="17.15" hidden="false" customHeight="false" outlineLevel="0" collapsed="false">
      <c r="A14070" s="1" t="s">
        <v>1091</v>
      </c>
      <c r="B14070" s="0" t="s">
        <v>98</v>
      </c>
      <c r="C14070" s="6" t="n">
        <f aca="false">(w_ntm28*Sens!G14053+(1-w_ntm28)*Sens!H14053)*m_own</f>
        <v>1636.22403302133</v>
      </c>
    </row>
    <row r="14071" customFormat="false" ht="17.15" hidden="false" customHeight="false" outlineLevel="0" collapsed="false">
      <c r="A14071" s="1" t="s">
        <v>1092</v>
      </c>
      <c r="B14071" s="0" t="s">
        <v>98</v>
      </c>
      <c r="C14071" s="6" t="n">
        <f aca="false">(w_ntm28*Sens!G14054+(1-w_ntm28)*Sens!H14054)*m_own</f>
        <v>551.247318750806</v>
      </c>
    </row>
    <row r="14072" customFormat="false" ht="17.15" hidden="false" customHeight="false" outlineLevel="0" collapsed="false">
      <c r="A14072" s="1" t="s">
        <v>1093</v>
      </c>
      <c r="B14072" s="0" t="s">
        <v>98</v>
      </c>
      <c r="C14072" s="6" t="n">
        <f aca="false">(w_ntm28*Sens!G14055+(1-w_ntm28)*Sens!H14055)*m_own</f>
        <v>158.931062311177</v>
      </c>
    </row>
    <row r="14073" customFormat="false" ht="17.15" hidden="false" customHeight="false" outlineLevel="0" collapsed="false">
      <c r="A14073" s="1" t="s">
        <v>1094</v>
      </c>
      <c r="B14073" s="0" t="s">
        <v>98</v>
      </c>
      <c r="C14073" s="6" t="n">
        <f aca="false">(w_ntm28*Sens!G14056+(1-w_ntm28)*Sens!H14056)*m_own</f>
        <v>60.6352704546219</v>
      </c>
    </row>
    <row r="14074" customFormat="false" ht="17.15" hidden="false" customHeight="false" outlineLevel="0" collapsed="false">
      <c r="A14074" s="1" t="s">
        <v>1095</v>
      </c>
      <c r="B14074" s="0" t="s">
        <v>98</v>
      </c>
      <c r="C14074" s="6" t="n">
        <f aca="false">(w_ntm28*Sens!G14057+(1-w_ntm28)*Sens!H14057)*m_own</f>
        <v>198.614457831339</v>
      </c>
    </row>
    <row r="14075" customFormat="false" ht="17.15" hidden="false" customHeight="false" outlineLevel="0" collapsed="false">
      <c r="A14075" s="1" t="s">
        <v>1096</v>
      </c>
      <c r="B14075" s="0" t="s">
        <v>98</v>
      </c>
      <c r="C14075" s="6" t="n">
        <f aca="false">(w_ntm28*Sens!G14062+(1-w_ntm28)*Sens!H14062)*m_own</f>
        <v>121.65118323957</v>
      </c>
    </row>
    <row r="14076" customFormat="false" ht="17.15" hidden="false" customHeight="false" outlineLevel="0" collapsed="false">
      <c r="A14076" s="1" t="s">
        <v>1097</v>
      </c>
      <c r="B14076" s="0" t="s">
        <v>98</v>
      </c>
      <c r="C14076" s="6" t="n">
        <f aca="false">(w_ntm28*Sens!G14063+(1-w_ntm28)*Sens!H14063)*m_own</f>
        <v>105.270353981275</v>
      </c>
    </row>
    <row r="14077" customFormat="false" ht="17.15" hidden="false" customHeight="false" outlineLevel="0" collapsed="false">
      <c r="A14077" s="1" t="s">
        <v>1098</v>
      </c>
      <c r="B14077" s="0" t="s">
        <v>98</v>
      </c>
      <c r="C14077" s="6" t="n">
        <f aca="false">Sens!$C$14067+Sens!$C$14069+Sens!$C$14070+Sens!$C$14071+Sens!$C$14072+Sens!$C$14073+Sens!$C$14074+Sens!$C$14075+Sens!$C$14076</f>
        <v>4469.77956777928</v>
      </c>
    </row>
    <row r="14078" customFormat="false" ht="17.15" hidden="false" customHeight="false" outlineLevel="0" collapsed="false">
      <c r="A14078" s="1" t="s">
        <v>1099</v>
      </c>
      <c r="B14078" s="0" t="s">
        <v>98</v>
      </c>
      <c r="C14078" s="6" t="n">
        <f aca="false">(Sens!G14039-Sens!G14064)*t_stub</f>
        <v>47.9592964551235</v>
      </c>
      <c r="L14078" s="1" t="s">
        <v>1100</v>
      </c>
    </row>
    <row r="14079" customFormat="false" ht="17.15" hidden="false" customHeight="false" outlineLevel="0" collapsed="false">
      <c r="A14079" s="1" t="s">
        <v>1014</v>
      </c>
      <c r="B14079" s="0" t="s">
        <v>98</v>
      </c>
      <c r="C14079" s="6" t="n">
        <f aca="false">CF!F38+oai_v-CF!F27+Sens!$C$14078</f>
        <v>163.066005497665</v>
      </c>
      <c r="L14079" s="1" t="s">
        <v>1101</v>
      </c>
    </row>
    <row r="14080" customFormat="false" ht="17.15" hidden="false" customHeight="false" outlineLevel="0" collapsed="false">
      <c r="A14080" s="1" t="s">
        <v>1102</v>
      </c>
      <c r="B14080" s="0" t="s">
        <v>75</v>
      </c>
      <c r="C14080" s="5" t="n">
        <f aca="false">(Sens!$C$14077+Sens!$C$14079)/(CF!F40+dil_gap)-CF!G30*roll_div_q/q_per_yr</f>
        <v>617.002865698632</v>
      </c>
      <c r="L14080" s="1" t="s">
        <v>1103</v>
      </c>
    </row>
    <row r="14081" customFormat="false" ht="17.15" hidden="false" customHeight="false" outlineLevel="0" collapsed="false">
      <c r="A14081" s="1" t="s">
        <v>1104</v>
      </c>
      <c r="B14081" s="0" t="s">
        <v>75</v>
      </c>
      <c r="C14081" s="5" t="n">
        <f aca="false">w_dcf*Sens!$C$14051+(1-w_dcf)*Sens!$C$14080</f>
        <v>492.314185754576</v>
      </c>
    </row>
    <row r="14082" customFormat="false" ht="17.15" hidden="false" customHeight="false" outlineLevel="0" collapsed="false">
      <c r="A14082" s="3" t="s">
        <v>1619</v>
      </c>
    </row>
    <row r="14083" customFormat="false" ht="15" hidden="false" customHeight="false" outlineLevel="0" collapsed="false">
      <c r="A14083" s="4" t="s">
        <v>43</v>
      </c>
      <c r="B14083" s="4" t="s">
        <v>65</v>
      </c>
      <c r="C14083" s="20" t="s">
        <v>799</v>
      </c>
      <c r="D14083" s="20" t="s">
        <v>800</v>
      </c>
      <c r="E14083" s="20" t="s">
        <v>801</v>
      </c>
      <c r="F14083" s="20" t="s">
        <v>802</v>
      </c>
      <c r="G14083" s="20" t="s">
        <v>803</v>
      </c>
      <c r="H14083" s="20" t="s">
        <v>804</v>
      </c>
      <c r="I14083" s="20" t="s">
        <v>805</v>
      </c>
      <c r="J14083" s="20" t="s">
        <v>806</v>
      </c>
      <c r="K14083" s="20" t="s">
        <v>807</v>
      </c>
      <c r="L14083" s="4" t="s">
        <v>47</v>
      </c>
    </row>
    <row r="14084" customFormat="false" ht="15" hidden="false" customHeight="false" outlineLevel="0" collapsed="false">
      <c r="A14084" s="1" t="s">
        <v>1057</v>
      </c>
      <c r="B14084" s="1" t="s">
        <v>235</v>
      </c>
      <c r="F14084" s="36" t="n">
        <f aca="false">Thesis!F55-base_fy-mid_yr</f>
        <v>0.5</v>
      </c>
      <c r="G14084" s="36" t="n">
        <f aca="false">Thesis!G55-base_fy-mid_yr</f>
        <v>1.5</v>
      </c>
      <c r="H14084" s="36" t="n">
        <f aca="false">Thesis!H55-base_fy-mid_yr</f>
        <v>2.5</v>
      </c>
      <c r="I14084" s="36" t="n">
        <f aca="false">Thesis!I55-base_fy-mid_yr</f>
        <v>3.5</v>
      </c>
      <c r="J14084" s="36" t="n">
        <f aca="false">Thesis!J55-base_fy-mid_yr</f>
        <v>4.5</v>
      </c>
      <c r="K14084" s="36" t="n">
        <f aca="false">Thesis!K55-base_fy-mid_yr</f>
        <v>5.5</v>
      </c>
    </row>
    <row r="14085" customFormat="false" ht="15" hidden="false" customHeight="false" outlineLevel="0" collapsed="false">
      <c r="A14085" s="1" t="s">
        <v>1058</v>
      </c>
      <c r="B14085" s="0" t="s">
        <v>185</v>
      </c>
      <c r="F14085" s="14" t="n">
        <f aca="false">1/(1+wacc)^Sens!F14084</f>
        <v>0.952193373608246</v>
      </c>
      <c r="G14085" s="14" t="n">
        <f aca="false">1/(1+wacc)^Sens!G14084</f>
        <v>0.863327280626589</v>
      </c>
      <c r="H14085" s="14" t="n">
        <f aca="false">1/(1+wacc)^Sens!H14084</f>
        <v>0.782754862754115</v>
      </c>
      <c r="I14085" s="14" t="n">
        <f aca="false">1/(1+wacc)^Sens!I14084</f>
        <v>0.709702089711011</v>
      </c>
      <c r="J14085" s="14" t="n">
        <f aca="false">1/(1+wacc)^Sens!J14084</f>
        <v>0.643467169744551</v>
      </c>
      <c r="K14085" s="14" t="n">
        <f aca="false">1/(1+wacc)^Sens!K14084</f>
        <v>0.583413807767797</v>
      </c>
    </row>
    <row r="14086" customFormat="false" ht="17.15" hidden="false" customHeight="false" outlineLevel="0" collapsed="false">
      <c r="A14086" s="1" t="s">
        <v>1059</v>
      </c>
      <c r="B14086" s="0" t="s">
        <v>98</v>
      </c>
      <c r="F14086" s="6" t="n">
        <f aca="false">CF!F53-CF!F51-CF!F57+Thesis!F93*(1-tax_f)</f>
        <v>-2.12916264917943</v>
      </c>
      <c r="G14086" s="6" t="n">
        <f aca="false">CF!G53-CF!G51-CF!G57+Thesis!G93*(1-tax_f)</f>
        <v>37.4539072201241</v>
      </c>
      <c r="H14086" s="6" t="n">
        <f aca="false">CF!H53-CF!H51-CF!H57+Thesis!H93*(1-tax_f)</f>
        <v>85.8888636072133</v>
      </c>
      <c r="I14086" s="6" t="n">
        <f aca="false">CF!I53-CF!I51-CF!I57+Thesis!I93*(1-tax_f)</f>
        <v>159.098024951333</v>
      </c>
      <c r="J14086" s="6" t="n">
        <f aca="false">CF!J53-CF!J51-CF!J57+Thesis!J93*(1-tax_f)</f>
        <v>233.876759261847</v>
      </c>
      <c r="K14086" s="6" t="n">
        <f aca="false">CF!K53-CF!K51-CF!K57+Thesis!K93*(1-tax_f)</f>
        <v>268.447783789649</v>
      </c>
      <c r="L14086" s="1" t="s">
        <v>1060</v>
      </c>
    </row>
    <row r="14087" customFormat="false" ht="15" hidden="false" customHeight="false" outlineLevel="0" collapsed="false">
      <c r="A14087" s="1" t="s">
        <v>1061</v>
      </c>
      <c r="B14087" s="0" t="s">
        <v>98</v>
      </c>
      <c r="F14087" s="6" t="n">
        <f aca="false">Sens!F14086*Sens!F14085</f>
        <v>-2.02737456588283</v>
      </c>
      <c r="G14087" s="6" t="n">
        <f aca="false">Sens!G14086*Sens!G14085</f>
        <v>32.3349798691903</v>
      </c>
      <c r="H14087" s="6" t="n">
        <f aca="false">Sens!H14086*Sens!H14085</f>
        <v>67.2299256449712</v>
      </c>
      <c r="I14087" s="6" t="n">
        <f aca="false">Sens!I14086*Sens!I14085</f>
        <v>112.912200776856</v>
      </c>
      <c r="J14087" s="6" t="n">
        <f aca="false">Sens!J14086*Sens!J14085</f>
        <v>150.492016351249</v>
      </c>
      <c r="K14087" s="6" t="n">
        <f aca="false">Sens!K14086*Sens!K14085</f>
        <v>156.616143727545</v>
      </c>
    </row>
    <row r="14088" customFormat="false" ht="17.15" hidden="false" customHeight="false" outlineLevel="0" collapsed="false">
      <c r="A14088" s="1" t="s">
        <v>1062</v>
      </c>
      <c r="B14088" s="0" t="s">
        <v>98</v>
      </c>
      <c r="C14088" s="6" t="n">
        <f aca="false">SUM(Sens!F14087:K14087)</f>
        <v>517.557891803928</v>
      </c>
    </row>
    <row r="14089" customFormat="false" ht="17.15" hidden="false" customHeight="false" outlineLevel="0" collapsed="false">
      <c r="A14089" s="1" t="s">
        <v>1063</v>
      </c>
      <c r="B14089" s="0" t="s">
        <v>98</v>
      </c>
      <c r="C14089" s="6" t="n">
        <f aca="false">PL!K78*(1+g_tv)*(1-tax_f)</f>
        <v>284.685941703094</v>
      </c>
    </row>
    <row r="14090" customFormat="false" ht="17.15" hidden="false" customHeight="false" outlineLevel="0" collapsed="false">
      <c r="A14090" s="1" t="s">
        <v>1064</v>
      </c>
      <c r="B14090" s="0" t="s">
        <v>98</v>
      </c>
      <c r="C14090" s="6" t="n">
        <f aca="false">Sens!$C$14089*(1-g_tv/(wacc+ronic_prem))</f>
        <v>201.714878735169</v>
      </c>
    </row>
    <row r="14091" customFormat="false" ht="17.15" hidden="false" customHeight="false" outlineLevel="0" collapsed="false">
      <c r="A14091" s="1" t="s">
        <v>1065</v>
      </c>
      <c r="B14091" s="0" t="s">
        <v>98</v>
      </c>
      <c r="C14091" s="6" t="n">
        <f aca="false">Sens!$C$14090/(wacc-g_tv)</f>
        <v>2765.70209893083</v>
      </c>
    </row>
    <row r="14092" customFormat="false" ht="15" hidden="false" customHeight="false" outlineLevel="0" collapsed="false">
      <c r="A14092" s="1" t="s">
        <v>1066</v>
      </c>
      <c r="B14092" s="0" t="s">
        <v>98</v>
      </c>
      <c r="C14092" s="6" t="n">
        <f aca="false">Sens!$C$14091/(1+wacc)^(Sens!K14084+mid_yr)</f>
        <v>1536.41046839169</v>
      </c>
    </row>
    <row r="14093" customFormat="false" ht="17.15" hidden="false" customHeight="false" outlineLevel="0" collapsed="false">
      <c r="A14093" s="0" t="s">
        <v>986</v>
      </c>
      <c r="B14093" s="0" t="s">
        <v>98</v>
      </c>
      <c r="C14093" s="6" t="n">
        <f aca="false">Sens!$C$14088+Sens!$C$14092</f>
        <v>2053.96836019562</v>
      </c>
    </row>
    <row r="14094" customFormat="false" ht="15" hidden="false" customHeight="false" outlineLevel="0" collapsed="false">
      <c r="A14094" s="1" t="s">
        <v>987</v>
      </c>
      <c r="B14094" s="0" t="s">
        <v>129</v>
      </c>
      <c r="C14094" s="7" t="n">
        <f aca="false">Sens!$C$14092/Sens!$C$14093</f>
        <v>0.748020513931073</v>
      </c>
    </row>
    <row r="14095" customFormat="false" ht="17.15" hidden="false" customHeight="false" outlineLevel="0" collapsed="false">
      <c r="A14095" s="1" t="s">
        <v>1067</v>
      </c>
      <c r="B14095" s="0" t="s">
        <v>98</v>
      </c>
      <c r="C14095" s="6" t="n">
        <f aca="false">Sens!$C$14093+CF!E69-CF!E58+oai_v</f>
        <v>2188.48136019562</v>
      </c>
    </row>
    <row r="14096" customFormat="false" ht="17.15" hidden="false" customHeight="false" outlineLevel="0" collapsed="false">
      <c r="A14096" s="0" t="s">
        <v>994</v>
      </c>
      <c r="B14096" s="0" t="s">
        <v>75</v>
      </c>
      <c r="C14096" s="5" t="n">
        <f aca="false">Sens!$C$14095/sh_dil26</f>
        <v>293.637643928032</v>
      </c>
    </row>
    <row r="14097" customFormat="false" ht="15" hidden="false" customHeight="false" outlineLevel="0" collapsed="false">
      <c r="A14097" s="1" t="s">
        <v>1068</v>
      </c>
      <c r="B14097" s="0" t="s">
        <v>75</v>
      </c>
      <c r="C14097" s="8" t="n">
        <f aca="false">dps_27+CF!G61*roll_div_q/q_per_yr</f>
        <v>4.8895</v>
      </c>
    </row>
    <row r="14098" customFormat="false" ht="17.15" hidden="false" customHeight="false" outlineLevel="0" collapsed="false">
      <c r="A14098" s="0" t="s">
        <v>1069</v>
      </c>
      <c r="B14098" s="0" t="s">
        <v>75</v>
      </c>
      <c r="C14098" s="5" t="n">
        <f aca="false">Sens!$C$14096*(1+wacc)^t_roll-Sens!$C$14097</f>
        <v>329.485489562521</v>
      </c>
    </row>
    <row r="14099" customFormat="false" ht="17.15" hidden="false" customHeight="false" outlineLevel="0" collapsed="false">
      <c r="A14099" s="1" t="s">
        <v>1070</v>
      </c>
      <c r="B14099" s="0" t="s">
        <v>129</v>
      </c>
      <c r="F14099" s="7" t="n">
        <f aca="false">CF!F48/(Seg!F56-Thesis!F72)</f>
        <v>0.0708376243512414</v>
      </c>
      <c r="G14099" s="7" t="n">
        <f aca="false">CF!G48/(Seg!G56-Thesis!G72)</f>
        <v>0.0675792567445289</v>
      </c>
      <c r="H14099" s="7" t="n">
        <f aca="false">CF!H48/(Seg!H56-Thesis!H72)</f>
        <v>0.0657637992399081</v>
      </c>
      <c r="I14099" s="7" t="n">
        <f aca="false">CF!I48/(Seg!I56-Thesis!I72)</f>
        <v>0.0652507860006261</v>
      </c>
      <c r="J14099" s="7" t="n">
        <f aca="false">CF!J48/(Seg!J56-Thesis!J72)</f>
        <v>0.0657374094257698</v>
      </c>
      <c r="K14099" s="7" t="n">
        <f aca="false">CF!K48/(Seg!K56-Thesis!K72)</f>
        <v>0.0668595832904836</v>
      </c>
    </row>
    <row r="14100" customFormat="false" ht="17.15" hidden="false" customHeight="false" outlineLevel="0" collapsed="false">
      <c r="A14100" s="0" t="s">
        <v>1071</v>
      </c>
      <c r="B14100" s="0" t="s">
        <v>98</v>
      </c>
      <c r="F14100" s="6" t="n">
        <f aca="false">Seg!F41*(al_m365+Sens!F14099+sbc_r)</f>
        <v>84.2019918892952</v>
      </c>
      <c r="G14100" s="6" t="n">
        <f aca="false">Seg!G41*(al_m365+Sens!G14099+sbc_r)</f>
        <v>96.61090954529</v>
      </c>
      <c r="H14100" s="6" t="n">
        <f aca="false">Seg!H41*(al_m365+Sens!H14099+sbc_r)</f>
        <v>109.18271398457</v>
      </c>
      <c r="I14100" s="6" t="n">
        <f aca="false">Seg!I41*(al_m365+Sens!I14099+sbc_r)</f>
        <v>120.736322591613</v>
      </c>
      <c r="J14100" s="6" t="n">
        <f aca="false">Seg!J41*(al_m365+Sens!J14099+sbc_r)</f>
        <v>131.084561154645</v>
      </c>
      <c r="K14100" s="6" t="n">
        <f aca="false">Seg!K41*(al_m365+Sens!K14099+sbc_r)</f>
        <v>141.044207560217</v>
      </c>
      <c r="L14100" s="11" t="s">
        <v>1072</v>
      </c>
    </row>
    <row r="14101" customFormat="false" ht="17.15" hidden="false" customHeight="false" outlineLevel="0" collapsed="false">
      <c r="A14101" s="0" t="s">
        <v>1073</v>
      </c>
      <c r="B14101" s="0" t="s">
        <v>98</v>
      </c>
      <c r="F14101" s="6" t="n">
        <f aca="false">Seg!F42*(al_lic+Sens!F14099+sbc_r)</f>
        <v>33.5324516680982</v>
      </c>
      <c r="G14101" s="6" t="n">
        <f aca="false">Seg!G42*(al_lic+Sens!G14099+sbc_r)</f>
        <v>34.819657317048</v>
      </c>
      <c r="H14101" s="6" t="n">
        <f aca="false">Seg!H42*(al_lic+Sens!H14099+sbc_r)</f>
        <v>36.0229106304815</v>
      </c>
      <c r="I14101" s="6" t="n">
        <f aca="false">Seg!I42*(al_lic+Sens!I14099+sbc_r)</f>
        <v>37.1234854794919</v>
      </c>
      <c r="J14101" s="6" t="n">
        <f aca="false">Seg!J42*(al_lic+Sens!J14099+sbc_r)</f>
        <v>38.0950592345738</v>
      </c>
      <c r="K14101" s="6" t="n">
        <f aca="false">Seg!K42*(al_lic+Sens!K14099+sbc_r)</f>
        <v>38.9080719459809</v>
      </c>
    </row>
    <row r="14102" customFormat="false" ht="17.15" hidden="false" customHeight="false" outlineLevel="0" collapsed="false">
      <c r="A14102" s="0" t="s">
        <v>1074</v>
      </c>
      <c r="B14102" s="0" t="s">
        <v>98</v>
      </c>
      <c r="F14102" s="6" t="n">
        <f aca="false">Seg!F44*(al_ind+Sens!F14099+sbc_r)</f>
        <v>9.12666918765551</v>
      </c>
      <c r="G14102" s="6" t="n">
        <f aca="false">Seg!G44*(al_ind+Sens!G14099+sbc_r)</f>
        <v>9.89694850970116</v>
      </c>
      <c r="H14102" s="6" t="n">
        <f aca="false">Seg!H44*(al_ind+Sens!H14099+sbc_r)</f>
        <v>10.7131335152527</v>
      </c>
      <c r="I14102" s="6" t="n">
        <f aca="false">Seg!I44*(al_ind+Sens!I14099+sbc_r)</f>
        <v>11.5721730864119</v>
      </c>
      <c r="J14102" s="6" t="n">
        <f aca="false">Seg!J44*(al_ind+Sens!J14099+sbc_r)</f>
        <v>12.4641697526801</v>
      </c>
      <c r="K14102" s="6" t="n">
        <f aca="false">Seg!K44*(al_ind+Sens!K14099+sbc_r)</f>
        <v>13.3737871892836</v>
      </c>
    </row>
    <row r="14103" customFormat="false" ht="17.15" hidden="false" customHeight="false" outlineLevel="0" collapsed="false">
      <c r="A14103" s="0" t="s">
        <v>1075</v>
      </c>
      <c r="B14103" s="0" t="s">
        <v>98</v>
      </c>
      <c r="F14103" s="6" t="n">
        <f aca="false">Seg!F46*(al_fro+Sens!F14099+sbc_r)</f>
        <v>3.5922890341799</v>
      </c>
      <c r="G14103" s="6" t="n">
        <f aca="false">Seg!G46*(al_fro+Sens!G14099+sbc_r)</f>
        <v>3.79984310356763</v>
      </c>
      <c r="H14103" s="6" t="n">
        <f aca="false">Seg!H46*(al_fro+Sens!H14099+sbc_r)</f>
        <v>4.03707539290126</v>
      </c>
      <c r="I14103" s="6" t="n">
        <f aca="false">Seg!I46*(al_fro+Sens!I14099+sbc_r)</f>
        <v>4.30669184104541</v>
      </c>
      <c r="J14103" s="6" t="n">
        <f aca="false">Seg!J46*(al_fro+Sens!J14099+sbc_r)</f>
        <v>4.6097289716959</v>
      </c>
      <c r="K14103" s="6" t="n">
        <f aca="false">Seg!K46*(al_fro+Sens!K14099+sbc_r)</f>
        <v>4.94614045628512</v>
      </c>
    </row>
    <row r="14104" customFormat="false" ht="17.15" hidden="false" customHeight="false" outlineLevel="0" collapsed="false">
      <c r="A14104" s="0" t="s">
        <v>1076</v>
      </c>
      <c r="B14104" s="0" t="s">
        <v>98</v>
      </c>
      <c r="F14104" s="6" t="n">
        <f aca="false">Seg!F49*(al_srch+Sens!F14099+sbc_r)</f>
        <v>11.2715683093452</v>
      </c>
      <c r="G14104" s="6" t="n">
        <f aca="false">Seg!G49*(al_srch+Sens!G14099+sbc_r)</f>
        <v>12.338201972554</v>
      </c>
      <c r="H14104" s="6" t="n">
        <f aca="false">Seg!H49*(al_srch+Sens!H14099+sbc_r)</f>
        <v>13.450727865064</v>
      </c>
      <c r="I14104" s="6" t="n">
        <f aca="false">Seg!I49*(al_srch+Sens!I14099+sbc_r)</f>
        <v>14.598560682534</v>
      </c>
      <c r="J14104" s="6" t="n">
        <f aca="false">Seg!J49*(al_srch+Sens!J14099+sbc_r)</f>
        <v>15.7615229152659</v>
      </c>
      <c r="K14104" s="6" t="n">
        <f aca="false">Seg!K49*(al_srch+Sens!K14099+sbc_r)</f>
        <v>16.9117765106222</v>
      </c>
    </row>
    <row r="14105" customFormat="false" ht="17.15" hidden="false" customHeight="false" outlineLevel="0" collapsed="false">
      <c r="A14105" s="0" t="s">
        <v>1077</v>
      </c>
      <c r="B14105" s="0" t="s">
        <v>98</v>
      </c>
      <c r="F14105" s="6" t="n">
        <f aca="false">Thesis!F78-Thesis!F79+Thesis!F93</f>
        <v>42.2254306726393</v>
      </c>
      <c r="G14105" s="6" t="n">
        <f aca="false">Thesis!G78-Thesis!G79+Thesis!G93</f>
        <v>79.7027537443441</v>
      </c>
      <c r="H14105" s="6" t="n">
        <f aca="false">Thesis!H78-Thesis!H79+Thesis!H93</f>
        <v>120.060533679822</v>
      </c>
      <c r="I14105" s="6" t="n">
        <f aca="false">Thesis!I78-Thesis!I79+Thesis!I93</f>
        <v>156.515256506302</v>
      </c>
      <c r="J14105" s="6" t="n">
        <f aca="false">Thesis!J78-Thesis!J79+Thesis!J93</f>
        <v>182.51821819491</v>
      </c>
      <c r="K14105" s="6" t="n">
        <f aca="false">Thesis!K78-Thesis!K79+Thesis!K93</f>
        <v>199.254533496123</v>
      </c>
    </row>
    <row r="14106" customFormat="false" ht="17.15" hidden="false" customHeight="false" outlineLevel="0" collapsed="false">
      <c r="A14106" s="0" t="s">
        <v>1078</v>
      </c>
      <c r="B14106" s="0" t="s">
        <v>98</v>
      </c>
      <c r="F14106" s="6" t="n">
        <f aca="false">PL!F71+Thesis!F93+Thesis!F89+Sens!F14099*(Seg!F48-Thesis!F72)+sbc_r*Seg!F48</f>
        <v>233.08249657256</v>
      </c>
      <c r="G14106" s="6" t="n">
        <f aca="false">PL!G71+Thesis!G93+Thesis!G89+Sens!G14099*(Seg!G48-Thesis!G72)+sbc_r*Seg!G48</f>
        <v>297.663189032606</v>
      </c>
      <c r="H14106" s="6" t="n">
        <f aca="false">PL!H71+Thesis!H93+Thesis!H89+Sens!H14099*(Seg!H48-Thesis!H72)+sbc_r*Seg!H48</f>
        <v>365.628165851855</v>
      </c>
      <c r="I14106" s="6" t="n">
        <f aca="false">PL!I71+Thesis!I93+Thesis!I89+Sens!I14099*(Seg!I48-Thesis!I72)+sbc_r*Seg!I48</f>
        <v>428.31888397841</v>
      </c>
      <c r="J14106" s="6" t="n">
        <f aca="false">PL!J71+Thesis!J93+Thesis!J89+Sens!J14099*(Seg!J48-Thesis!J72)+sbc_r*Seg!J48</f>
        <v>478.127348640143</v>
      </c>
      <c r="K14106" s="6" t="n">
        <f aca="false">PL!K71+Thesis!K93+Thesis!K89+Sens!K14099*(Seg!K48-Thesis!K72)+sbc_r*Seg!K48</f>
        <v>516.321726855748</v>
      </c>
    </row>
    <row r="14107" customFormat="false" ht="17.15" hidden="false" customHeight="false" outlineLevel="0" collapsed="false">
      <c r="A14107" s="0" t="s">
        <v>1079</v>
      </c>
      <c r="B14107" s="0" t="s">
        <v>98</v>
      </c>
      <c r="F14107" s="6" t="n">
        <f aca="false">Sens!F14106-Sens!F14100-Sens!F14101-Sens!F14102-Sens!F14103-Sens!F14105</f>
        <v>60.4036641206917</v>
      </c>
      <c r="G14107" s="6" t="n">
        <f aca="false">Sens!G14106-Sens!G14100-Sens!G14101-Sens!G14102-Sens!G14103-Sens!G14105</f>
        <v>72.8330768126549</v>
      </c>
      <c r="H14107" s="6" t="n">
        <f aca="false">Sens!H14106-Sens!H14100-Sens!H14101-Sens!H14102-Sens!H14103-Sens!H14105</f>
        <v>85.6117986488275</v>
      </c>
      <c r="I14107" s="6" t="n">
        <f aca="false">Sens!I14106-Sens!I14100-Sens!I14101-Sens!I14102-Sens!I14103-Sens!I14105</f>
        <v>98.0649544735462</v>
      </c>
      <c r="J14107" s="6" t="n">
        <f aca="false">Sens!J14106-Sens!J14100-Sens!J14101-Sens!J14102-Sens!J14103-Sens!J14105</f>
        <v>109.355611331638</v>
      </c>
      <c r="K14107" s="6" t="n">
        <f aca="false">Sens!K14106-Sens!K14100-Sens!K14101-Sens!K14102-Sens!K14103-Sens!K14105</f>
        <v>118.794986207857</v>
      </c>
    </row>
    <row r="14108" customFormat="false" ht="17.15" hidden="false" customHeight="false" outlineLevel="0" collapsed="false">
      <c r="A14108" s="0" t="s">
        <v>1080</v>
      </c>
      <c r="B14108" s="0" t="s">
        <v>98</v>
      </c>
      <c r="F14108" s="6" t="n">
        <f aca="false">PL!F73+Sens!F14099*Seg!F55+sbc_r*Seg!F55</f>
        <v>26.345087006484</v>
      </c>
      <c r="G14108" s="6" t="n">
        <f aca="false">PL!G73+Sens!G14099*Seg!G55+sbc_r*Seg!G55</f>
        <v>26.928666241387</v>
      </c>
      <c r="H14108" s="6" t="n">
        <f aca="false">PL!H73+Sens!H14099*Seg!H55+sbc_r*Seg!H55</f>
        <v>27.7857977299272</v>
      </c>
      <c r="I14108" s="6" t="n">
        <f aca="false">PL!I73+Sens!I14099*Seg!I55+sbc_r*Seg!I55</f>
        <v>28.8854111921819</v>
      </c>
      <c r="J14108" s="6" t="n">
        <f aca="false">PL!J73+Sens!J14099*Seg!J55+sbc_r*Seg!J55</f>
        <v>30.1909525075627</v>
      </c>
      <c r="K14108" s="6" t="n">
        <f aca="false">PL!K73+Sens!K14099*Seg!K55+sbc_r*Seg!K55</f>
        <v>31.6641663414168</v>
      </c>
    </row>
    <row r="14109" customFormat="false" ht="17.15" hidden="false" customHeight="false" outlineLevel="0" collapsed="false">
      <c r="A14109" s="0" t="s">
        <v>1081</v>
      </c>
      <c r="B14109" s="0" t="s">
        <v>98</v>
      </c>
      <c r="F14109" s="6" t="n">
        <f aca="false">(Sens!F14108-Sens!F14104)*Seg!F51/(Seg!F51+Seg!F53)</f>
        <v>8.26315613582677</v>
      </c>
      <c r="G14109" s="6" t="n">
        <f aca="false">(Sens!G14108-Sens!G14104)*Seg!G51/(Seg!G51+Seg!G53)</f>
        <v>7.85574031810689</v>
      </c>
      <c r="H14109" s="6" t="n">
        <f aca="false">(Sens!H14108-Sens!H14104)*Seg!H51/(Seg!H51+Seg!H53)</f>
        <v>7.61397145487838</v>
      </c>
      <c r="I14109" s="6" t="n">
        <f aca="false">(Sens!I14108-Sens!I14104)*Seg!I51/(Seg!I51+Seg!I53)</f>
        <v>7.51970050510933</v>
      </c>
      <c r="J14109" s="6" t="n">
        <f aca="false">(Sens!J14108-Sens!J14104)*Seg!J51/(Seg!J51+Seg!J53)</f>
        <v>7.56040201890202</v>
      </c>
      <c r="K14109" s="6" t="n">
        <f aca="false">(Sens!K14108-Sens!K14104)*Seg!K51/(Seg!K51+Seg!K53)</f>
        <v>7.72961932742727</v>
      </c>
    </row>
    <row r="14110" customFormat="false" ht="17.15" hidden="false" customHeight="false" outlineLevel="0" collapsed="false">
      <c r="A14110" s="0" t="s">
        <v>1082</v>
      </c>
      <c r="B14110" s="0" t="s">
        <v>98</v>
      </c>
      <c r="F14110" s="6" t="n">
        <f aca="false">Sens!F14108-Sens!F14104-Sens!F14109</f>
        <v>6.81036256131213</v>
      </c>
      <c r="G14110" s="6" t="n">
        <f aca="false">Sens!G14108-Sens!G14104-Sens!G14109</f>
        <v>6.73472395072608</v>
      </c>
      <c r="H14110" s="6" t="n">
        <f aca="false">Sens!H14108-Sens!H14104-Sens!H14109</f>
        <v>6.72109840998485</v>
      </c>
      <c r="I14110" s="6" t="n">
        <f aca="false">Sens!I14108-Sens!I14104-Sens!I14109</f>
        <v>6.76715000453853</v>
      </c>
      <c r="J14110" s="6" t="n">
        <f aca="false">Sens!J14108-Sens!J14104-Sens!J14109</f>
        <v>6.86902757339483</v>
      </c>
      <c r="K14110" s="6" t="n">
        <f aca="false">Sens!K14108-Sens!K14104-Sens!K14109</f>
        <v>7.02277050336727</v>
      </c>
    </row>
    <row r="14111" customFormat="false" ht="17.15" hidden="false" customHeight="false" outlineLevel="0" collapsed="false">
      <c r="A14111" s="0" t="s">
        <v>1083</v>
      </c>
      <c r="B14111" s="0" t="s">
        <v>98</v>
      </c>
      <c r="F14111" s="6" t="n">
        <f aca="false">Sens!F14105-tax_f*(Sens!F14105-Thesis!F89)-Thesis!F86</f>
        <v>-119.742553857164</v>
      </c>
      <c r="G14111" s="6" t="n">
        <f aca="false">Sens!G14105-tax_f*(Sens!G14105-Thesis!G89)-Thesis!G86</f>
        <v>-107.986890065622</v>
      </c>
      <c r="H14111" s="6" t="n">
        <f aca="false">Sens!H14105-tax_f*(Sens!H14105-Thesis!H89)-Thesis!H86</f>
        <v>-74.7596549978803</v>
      </c>
      <c r="I14111" s="6" t="n">
        <f aca="false">Sens!I14105-tax_f*(Sens!I14105-Thesis!I89)-Thesis!I86</f>
        <v>-16.3733151827256</v>
      </c>
      <c r="J14111" s="6" t="n">
        <f aca="false">Sens!J14105-tax_f*(Sens!J14105-Thesis!J89)-Thesis!J86</f>
        <v>44.4328025322546</v>
      </c>
      <c r="K14111" s="6" t="n">
        <f aca="false">Sens!K14105-tax_f*(Sens!K14105-Thesis!K89)-Thesis!K86</f>
        <v>65.8225043021697</v>
      </c>
    </row>
    <row r="14112" customFormat="false" ht="17.15" hidden="false" customHeight="false" outlineLevel="0" collapsed="false">
      <c r="A14112" s="0" t="s">
        <v>1084</v>
      </c>
      <c r="B14112" s="0" t="s">
        <v>98</v>
      </c>
      <c r="G14112" s="6" t="n">
        <f aca="false">Sens!G14111/(1+wacc)^(Sens!G14084-(Sens!F14084+mid_yr))</f>
        <v>-102.824401157048</v>
      </c>
      <c r="H14112" s="6" t="n">
        <f aca="false">Sens!H14111/(1+wacc)^(Sens!H14084-(Sens!F14084+mid_yr))</f>
        <v>-64.5420496499019</v>
      </c>
      <c r="I14112" s="6" t="n">
        <f aca="false">Sens!I14111/(1+wacc)^(Sens!I14084-(Sens!F14084+mid_yr))</f>
        <v>-12.8162920786843</v>
      </c>
      <c r="J14112" s="6" t="n">
        <f aca="false">Sens!J14111/(1+wacc)^(Sens!J14084-(Sens!F14084+mid_yr))</f>
        <v>31.5340528088578</v>
      </c>
      <c r="K14112" s="6" t="n">
        <f aca="false">Sens!K14111/(1+wacc)^(Sens!K14084-(Sens!F14084+mid_yr))</f>
        <v>42.3546205488157</v>
      </c>
      <c r="L14112" s="1" t="s">
        <v>1085</v>
      </c>
    </row>
    <row r="14113" customFormat="false" ht="17.15" hidden="false" customHeight="false" outlineLevel="0" collapsed="false">
      <c r="A14113" s="0" t="s">
        <v>1086</v>
      </c>
      <c r="B14113" s="0" t="s">
        <v>98</v>
      </c>
      <c r="C14113" s="6" t="n">
        <f aca="false">(Sens!K14105-Thesis!K89)*(1-tax_f)*(1+g_tv)*(1-g_tv/(wacc+ronic_prem))/(wacc-g_tv)/(1+wacc)^(Sens!K14084+mid_yr-(Sens!F14084+mid_yr))</f>
        <v>294.889481980532</v>
      </c>
    </row>
    <row r="14114" customFormat="false" ht="17.15" hidden="false" customHeight="false" outlineLevel="0" collapsed="false">
      <c r="A14114" s="1" t="s">
        <v>1087</v>
      </c>
      <c r="B14114" s="0" t="s">
        <v>98</v>
      </c>
      <c r="C14114" s="6" t="n">
        <f aca="false">(SUM(Sens!G14112:K14112)+Sens!$C$14113)*(1+wacc)^(t_roll-(Sens!F14084+mid_yr))</f>
        <v>194.716829358755</v>
      </c>
      <c r="L14114" s="11" t="s">
        <v>1088</v>
      </c>
    </row>
    <row r="14115" customFormat="false" ht="17.15" hidden="false" customHeight="false" outlineLevel="0" collapsed="false">
      <c r="A14115" s="1" t="s">
        <v>1089</v>
      </c>
      <c r="B14115" s="0" t="s">
        <v>98</v>
      </c>
      <c r="C14115" s="6" t="n">
        <f aca="false">(w_ntm28*Thesis!G78+(1-w_ntm28)*Thesis!H78)*m_ai</f>
        <v>454.922440830797</v>
      </c>
    </row>
    <row r="14116" customFormat="false" ht="17.15" hidden="false" customHeight="false" outlineLevel="0" collapsed="false">
      <c r="A14116" s="1" t="s">
        <v>1090</v>
      </c>
      <c r="B14116" s="0" t="s">
        <v>98</v>
      </c>
      <c r="C14116" s="6" t="n">
        <f aca="false">(w_ntm28*Sens!G14107+(1-w_ntm28)*Sens!H14107)*m_own</f>
        <v>1206.03026817045</v>
      </c>
    </row>
    <row r="14117" customFormat="false" ht="17.15" hidden="false" customHeight="false" outlineLevel="0" collapsed="false">
      <c r="A14117" s="1" t="s">
        <v>1091</v>
      </c>
      <c r="B14117" s="0" t="s">
        <v>98</v>
      </c>
      <c r="C14117" s="6" t="n">
        <f aca="false">(w_ntm28*Sens!G14100+(1-w_ntm28)*Sens!H14100)*m_own</f>
        <v>1577.58068056509</v>
      </c>
    </row>
    <row r="14118" customFormat="false" ht="17.15" hidden="false" customHeight="false" outlineLevel="0" collapsed="false">
      <c r="A14118" s="1" t="s">
        <v>1092</v>
      </c>
      <c r="B14118" s="0" t="s">
        <v>98</v>
      </c>
      <c r="C14118" s="6" t="n">
        <f aca="false">(w_ntm28*Sens!G14101+(1-w_ntm28)*Sens!H14101)*m_own</f>
        <v>551.719612546463</v>
      </c>
    </row>
    <row r="14119" customFormat="false" ht="17.15" hidden="false" customHeight="false" outlineLevel="0" collapsed="false">
      <c r="A14119" s="1" t="s">
        <v>1093</v>
      </c>
      <c r="B14119" s="0" t="s">
        <v>98</v>
      </c>
      <c r="C14119" s="6" t="n">
        <f aca="false">(w_ntm28*Sens!G14102+(1-w_ntm28)*Sens!H14102)*m_own</f>
        <v>159.219909301442</v>
      </c>
    </row>
    <row r="14120" customFormat="false" ht="17.15" hidden="false" customHeight="false" outlineLevel="0" collapsed="false">
      <c r="A14120" s="1" t="s">
        <v>1094</v>
      </c>
      <c r="B14120" s="0" t="s">
        <v>98</v>
      </c>
      <c r="C14120" s="6" t="n">
        <f aca="false">(w_ntm28*Sens!G14103+(1-w_ntm28)*Sens!H14103)*m_own</f>
        <v>60.7453407121246</v>
      </c>
    </row>
    <row r="14121" customFormat="false" ht="17.15" hidden="false" customHeight="false" outlineLevel="0" collapsed="false">
      <c r="A14121" s="1" t="s">
        <v>1095</v>
      </c>
      <c r="B14121" s="0" t="s">
        <v>98</v>
      </c>
      <c r="C14121" s="6" t="n">
        <f aca="false">(w_ntm28*Sens!G14104+(1-w_ntm28)*Sens!H14104)*m_own</f>
        <v>198.975589640893</v>
      </c>
    </row>
    <row r="14122" customFormat="false" ht="17.15" hidden="false" customHeight="false" outlineLevel="0" collapsed="false">
      <c r="A14122" s="1" t="s">
        <v>1096</v>
      </c>
      <c r="B14122" s="0" t="s">
        <v>98</v>
      </c>
      <c r="C14122" s="6" t="n">
        <f aca="false">(w_ntm28*Sens!G14109+(1-w_ntm28)*Sens!H14109)*m_own</f>
        <v>121.874669595033</v>
      </c>
    </row>
    <row r="14123" customFormat="false" ht="17.15" hidden="false" customHeight="false" outlineLevel="0" collapsed="false">
      <c r="A14123" s="1" t="s">
        <v>1097</v>
      </c>
      <c r="B14123" s="0" t="s">
        <v>98</v>
      </c>
      <c r="C14123" s="6" t="n">
        <f aca="false">(w_ntm28*Sens!G14110+(1-w_ntm28)*Sens!H14110)*m_own</f>
        <v>105.46409843839</v>
      </c>
    </row>
    <row r="14124" customFormat="false" ht="17.15" hidden="false" customHeight="false" outlineLevel="0" collapsed="false">
      <c r="A14124" s="1" t="s">
        <v>1098</v>
      </c>
      <c r="B14124" s="0" t="s">
        <v>98</v>
      </c>
      <c r="C14124" s="6" t="n">
        <f aca="false">Sens!$C$14114+Sens!$C$14116+Sens!$C$14117+Sens!$C$14118+Sens!$C$14119+Sens!$C$14120+Sens!$C$14121+Sens!$C$14122+Sens!$C$14123</f>
        <v>4176.32699832864</v>
      </c>
    </row>
    <row r="14125" customFormat="false" ht="17.15" hidden="false" customHeight="false" outlineLevel="0" collapsed="false">
      <c r="A14125" s="1" t="s">
        <v>1099</v>
      </c>
      <c r="B14125" s="0" t="s">
        <v>98</v>
      </c>
      <c r="C14125" s="6" t="n">
        <f aca="false">(Sens!G14086-Sens!G14111)*t_stub</f>
        <v>47.417684594531</v>
      </c>
      <c r="L14125" s="1" t="s">
        <v>1100</v>
      </c>
    </row>
    <row r="14126" customFormat="false" ht="17.15" hidden="false" customHeight="false" outlineLevel="0" collapsed="false">
      <c r="A14126" s="1" t="s">
        <v>1014</v>
      </c>
      <c r="B14126" s="0" t="s">
        <v>98</v>
      </c>
      <c r="C14126" s="6" t="n">
        <f aca="false">CF!F69+oai_v-CF!F58+Sens!$C$14125</f>
        <v>158.699306060314</v>
      </c>
      <c r="L14126" s="1" t="s">
        <v>1101</v>
      </c>
    </row>
    <row r="14127" customFormat="false" ht="17.15" hidden="false" customHeight="false" outlineLevel="0" collapsed="false">
      <c r="A14127" s="1" t="s">
        <v>1102</v>
      </c>
      <c r="B14127" s="0" t="s">
        <v>75</v>
      </c>
      <c r="C14127" s="5" t="n">
        <f aca="false">(Sens!$C$14124+Sens!$C$14126)/(CF!F71+dil_gap)-CF!G61*roll_div_q/q_per_yr</f>
        <v>577.272440286681</v>
      </c>
      <c r="L14127" s="1" t="s">
        <v>1103</v>
      </c>
    </row>
    <row r="14128" customFormat="false" ht="17.15" hidden="false" customHeight="false" outlineLevel="0" collapsed="false">
      <c r="A14128" s="1" t="s">
        <v>1104</v>
      </c>
      <c r="B14128" s="0" t="s">
        <v>75</v>
      </c>
      <c r="C14128" s="5" t="n">
        <f aca="false">w_dcf*Sens!$C$14098+(1-w_dcf)*Sens!$C$14127</f>
        <v>453.378964924601</v>
      </c>
    </row>
    <row r="14129" customFormat="false" ht="17.15" hidden="false" customHeight="false" outlineLevel="0" collapsed="false">
      <c r="A14129" s="3" t="s">
        <v>1620</v>
      </c>
    </row>
    <row r="14130" customFormat="false" ht="15" hidden="false" customHeight="false" outlineLevel="0" collapsed="false">
      <c r="A14130" s="4" t="s">
        <v>43</v>
      </c>
      <c r="B14130" s="4" t="s">
        <v>65</v>
      </c>
      <c r="C14130" s="20" t="s">
        <v>799</v>
      </c>
      <c r="D14130" s="20" t="s">
        <v>800</v>
      </c>
      <c r="E14130" s="20" t="s">
        <v>801</v>
      </c>
      <c r="F14130" s="20" t="s">
        <v>802</v>
      </c>
      <c r="G14130" s="20" t="s">
        <v>803</v>
      </c>
      <c r="H14130" s="20" t="s">
        <v>804</v>
      </c>
      <c r="I14130" s="20" t="s">
        <v>805</v>
      </c>
      <c r="J14130" s="20" t="s">
        <v>806</v>
      </c>
      <c r="K14130" s="20" t="s">
        <v>807</v>
      </c>
      <c r="L14130" s="4" t="s">
        <v>47</v>
      </c>
    </row>
    <row r="14131" customFormat="false" ht="15" hidden="false" customHeight="false" outlineLevel="0" collapsed="false">
      <c r="A14131" s="1" t="s">
        <v>1057</v>
      </c>
      <c r="B14131" s="1" t="s">
        <v>235</v>
      </c>
      <c r="F14131" s="36" t="n">
        <f aca="false">Thesis!F104-base_fy-mid_yr</f>
        <v>0.5</v>
      </c>
      <c r="G14131" s="36" t="n">
        <f aca="false">Thesis!G104-base_fy-mid_yr</f>
        <v>1.5</v>
      </c>
      <c r="H14131" s="36" t="n">
        <f aca="false">Thesis!H104-base_fy-mid_yr</f>
        <v>2.5</v>
      </c>
      <c r="I14131" s="36" t="n">
        <f aca="false">Thesis!I104-base_fy-mid_yr</f>
        <v>3.5</v>
      </c>
      <c r="J14131" s="36" t="n">
        <f aca="false">Thesis!J104-base_fy-mid_yr</f>
        <v>4.5</v>
      </c>
      <c r="K14131" s="36" t="n">
        <f aca="false">Thesis!K104-base_fy-mid_yr</f>
        <v>5.5</v>
      </c>
    </row>
    <row r="14132" customFormat="false" ht="15" hidden="false" customHeight="false" outlineLevel="0" collapsed="false">
      <c r="A14132" s="1" t="s">
        <v>1058</v>
      </c>
      <c r="B14132" s="0" t="s">
        <v>185</v>
      </c>
      <c r="F14132" s="14" t="n">
        <f aca="false">1/(1+wacc)^Sens!F14131</f>
        <v>0.952193373608246</v>
      </c>
      <c r="G14132" s="14" t="n">
        <f aca="false">1/(1+wacc)^Sens!G14131</f>
        <v>0.863327280626589</v>
      </c>
      <c r="H14132" s="14" t="n">
        <f aca="false">1/(1+wacc)^Sens!H14131</f>
        <v>0.782754862754115</v>
      </c>
      <c r="I14132" s="14" t="n">
        <f aca="false">1/(1+wacc)^Sens!I14131</f>
        <v>0.709702089711011</v>
      </c>
      <c r="J14132" s="14" t="n">
        <f aca="false">1/(1+wacc)^Sens!J14131</f>
        <v>0.643467169744551</v>
      </c>
      <c r="K14132" s="14" t="n">
        <f aca="false">1/(1+wacc)^Sens!K14131</f>
        <v>0.583413807767797</v>
      </c>
    </row>
    <row r="14133" customFormat="false" ht="17.15" hidden="false" customHeight="false" outlineLevel="0" collapsed="false">
      <c r="A14133" s="1" t="s">
        <v>1059</v>
      </c>
      <c r="B14133" s="0" t="s">
        <v>98</v>
      </c>
      <c r="F14133" s="6" t="n">
        <f aca="false">CF!F84-CF!F82-CF!F88+Thesis!F142*(1-tax_f)</f>
        <v>-5.66283879850096</v>
      </c>
      <c r="G14133" s="6" t="n">
        <f aca="false">CF!G84-CF!G82-CF!G88+Thesis!G142*(1-tax_f)</f>
        <v>26.4063013109088</v>
      </c>
      <c r="H14133" s="6" t="n">
        <f aca="false">CF!H84-CF!H82-CF!H88+Thesis!H142*(1-tax_f)</f>
        <v>62.5616635009479</v>
      </c>
      <c r="I14133" s="6" t="n">
        <f aca="false">CF!I84-CF!I82-CF!I88+Thesis!I142*(1-tax_f)</f>
        <v>129.900993846266</v>
      </c>
      <c r="J14133" s="6" t="n">
        <f aca="false">CF!J84-CF!J82-CF!J88+Thesis!J142*(1-tax_f)</f>
        <v>200.497803796175</v>
      </c>
      <c r="K14133" s="6" t="n">
        <f aca="false">CF!K84-CF!K82-CF!K88+Thesis!K142*(1-tax_f)</f>
        <v>232.344395761849</v>
      </c>
      <c r="L14133" s="1" t="s">
        <v>1060</v>
      </c>
    </row>
    <row r="14134" customFormat="false" ht="15" hidden="false" customHeight="false" outlineLevel="0" collapsed="false">
      <c r="A14134" s="1" t="s">
        <v>1061</v>
      </c>
      <c r="B14134" s="0" t="s">
        <v>98</v>
      </c>
      <c r="F14134" s="6" t="n">
        <f aca="false">Sens!F14133*Sens!F14132</f>
        <v>-5.3921175797443</v>
      </c>
      <c r="G14134" s="6" t="n">
        <f aca="false">Sens!G14133*Sens!G14132</f>
        <v>22.7972803021532</v>
      </c>
      <c r="H14134" s="6" t="n">
        <f aca="false">Sens!H14133*Sens!H14132</f>
        <v>48.9704463273536</v>
      </c>
      <c r="I14134" s="6" t="n">
        <f aca="false">Sens!I14133*Sens!I14132</f>
        <v>92.1910067882323</v>
      </c>
      <c r="J14134" s="6" t="n">
        <f aca="false">Sens!J14133*Sens!J14132</f>
        <v>129.013754348723</v>
      </c>
      <c r="K14134" s="6" t="n">
        <f aca="false">Sens!K14133*Sens!K14132</f>
        <v>135.552928644928</v>
      </c>
    </row>
    <row r="14135" customFormat="false" ht="17.15" hidden="false" customHeight="false" outlineLevel="0" collapsed="false">
      <c r="A14135" s="1" t="s">
        <v>1062</v>
      </c>
      <c r="B14135" s="0" t="s">
        <v>98</v>
      </c>
      <c r="C14135" s="6" t="n">
        <f aca="false">SUM(Sens!F14134:K14134)</f>
        <v>423.133298831646</v>
      </c>
    </row>
    <row r="14136" customFormat="false" ht="17.15" hidden="false" customHeight="false" outlineLevel="0" collapsed="false">
      <c r="A14136" s="1" t="s">
        <v>1063</v>
      </c>
      <c r="B14136" s="0" t="s">
        <v>98</v>
      </c>
      <c r="C14136" s="6" t="n">
        <f aca="false">PL!K117*(1+g_tv)*(1-tax_f)</f>
        <v>246.58988426946</v>
      </c>
    </row>
    <row r="14137" customFormat="false" ht="17.15" hidden="false" customHeight="false" outlineLevel="0" collapsed="false">
      <c r="A14137" s="1" t="s">
        <v>1064</v>
      </c>
      <c r="B14137" s="0" t="s">
        <v>98</v>
      </c>
      <c r="C14137" s="6" t="n">
        <f aca="false">Sens!$C$14136*(1-g_tv/(wacc+ronic_prem))</f>
        <v>174.721829624483</v>
      </c>
    </row>
    <row r="14138" customFormat="false" ht="17.15" hidden="false" customHeight="false" outlineLevel="0" collapsed="false">
      <c r="A14138" s="1" t="s">
        <v>1065</v>
      </c>
      <c r="B14138" s="0" t="s">
        <v>98</v>
      </c>
      <c r="C14138" s="6" t="n">
        <f aca="false">Sens!$C$14137/(wacc-g_tv)</f>
        <v>2395.60182149923</v>
      </c>
    </row>
    <row r="14139" customFormat="false" ht="15" hidden="false" customHeight="false" outlineLevel="0" collapsed="false">
      <c r="A14139" s="1" t="s">
        <v>1066</v>
      </c>
      <c r="B14139" s="0" t="s">
        <v>98</v>
      </c>
      <c r="C14139" s="6" t="n">
        <f aca="false">Sens!$C$14138/(1+wacc)^(Sens!K14131+mid_yr)</f>
        <v>1330.81134011956</v>
      </c>
    </row>
    <row r="14140" customFormat="false" ht="17.15" hidden="false" customHeight="false" outlineLevel="0" collapsed="false">
      <c r="A14140" s="0" t="s">
        <v>986</v>
      </c>
      <c r="B14140" s="0" t="s">
        <v>98</v>
      </c>
      <c r="C14140" s="6" t="n">
        <f aca="false">Sens!$C$14135+Sens!$C$14139</f>
        <v>1753.94463895121</v>
      </c>
    </row>
    <row r="14141" customFormat="false" ht="15" hidden="false" customHeight="false" outlineLevel="0" collapsed="false">
      <c r="A14141" s="1" t="s">
        <v>987</v>
      </c>
      <c r="B14141" s="0" t="s">
        <v>129</v>
      </c>
      <c r="C14141" s="7" t="n">
        <f aca="false">Sens!$C$14139/Sens!$C$14140</f>
        <v>0.758753332668092</v>
      </c>
    </row>
    <row r="14142" customFormat="false" ht="17.15" hidden="false" customHeight="false" outlineLevel="0" collapsed="false">
      <c r="A14142" s="1" t="s">
        <v>1067</v>
      </c>
      <c r="B14142" s="0" t="s">
        <v>98</v>
      </c>
      <c r="C14142" s="6" t="n">
        <f aca="false">Sens!$C$14140+CF!E100-CF!E89+oai_v</f>
        <v>1888.45763895121</v>
      </c>
    </row>
    <row r="14143" customFormat="false" ht="17.15" hidden="false" customHeight="false" outlineLevel="0" collapsed="false">
      <c r="A14143" s="0" t="s">
        <v>994</v>
      </c>
      <c r="B14143" s="0" t="s">
        <v>75</v>
      </c>
      <c r="C14143" s="5" t="n">
        <f aca="false">Sens!$C$14142/sh_dil26</f>
        <v>253.382213732887</v>
      </c>
    </row>
    <row r="14144" customFormat="false" ht="15" hidden="false" customHeight="false" outlineLevel="0" collapsed="false">
      <c r="A14144" s="1" t="s">
        <v>1068</v>
      </c>
      <c r="B14144" s="0" t="s">
        <v>75</v>
      </c>
      <c r="C14144" s="8" t="n">
        <f aca="false">dps_27+CF!G92*roll_div_q/q_per_yr</f>
        <v>4.8895</v>
      </c>
    </row>
    <row r="14145" customFormat="false" ht="17.15" hidden="false" customHeight="false" outlineLevel="0" collapsed="false">
      <c r="A14145" s="0" t="s">
        <v>1069</v>
      </c>
      <c r="B14145" s="0" t="s">
        <v>75</v>
      </c>
      <c r="C14145" s="5" t="n">
        <f aca="false">Sens!$C$14143*(1+wacc)^t_roll-Sens!$C$14144</f>
        <v>283.645287089587</v>
      </c>
    </row>
    <row r="14146" customFormat="false" ht="17.15" hidden="false" customHeight="false" outlineLevel="0" collapsed="false">
      <c r="A14146" s="1" t="s">
        <v>1070</v>
      </c>
      <c r="B14146" s="0" t="s">
        <v>129</v>
      </c>
      <c r="F14146" s="7" t="n">
        <f aca="false">CF!F79/(Seg!F83-Thesis!F121)</f>
        <v>0.0711475516535717</v>
      </c>
      <c r="G14146" s="7" t="n">
        <f aca="false">CF!G79/(Seg!G83-Thesis!G121)</f>
        <v>0.0682588862083999</v>
      </c>
      <c r="H14146" s="7" t="n">
        <f aca="false">CF!H79/(Seg!H83-Thesis!H121)</f>
        <v>0.0666622170094897</v>
      </c>
      <c r="I14146" s="7" t="n">
        <f aca="false">CF!I79/(Seg!I83-Thesis!I121)</f>
        <v>0.0661991449367101</v>
      </c>
      <c r="J14146" s="7" t="n">
        <f aca="false">CF!J79/(Seg!J83-Thesis!J121)</f>
        <v>0.0666400583966394</v>
      </c>
      <c r="K14146" s="7" t="n">
        <f aca="false">CF!K79/(Seg!K83-Thesis!K121)</f>
        <v>0.0677351822588561</v>
      </c>
    </row>
    <row r="14147" customFormat="false" ht="17.15" hidden="false" customHeight="false" outlineLevel="0" collapsed="false">
      <c r="A14147" s="0" t="s">
        <v>1071</v>
      </c>
      <c r="B14147" s="0" t="s">
        <v>98</v>
      </c>
      <c r="F14147" s="6" t="n">
        <f aca="false">Seg!F68*(al_m365+Sens!F14146+sbc_r)</f>
        <v>83.1760446796226</v>
      </c>
      <c r="G14147" s="6" t="n">
        <f aca="false">Seg!G68*(al_m365+Sens!G14146+sbc_r)</f>
        <v>93.5286621744803</v>
      </c>
      <c r="H14147" s="6" t="n">
        <f aca="false">Seg!H68*(al_m365+Sens!H14146+sbc_r)</f>
        <v>104.041881899886</v>
      </c>
      <c r="I14147" s="6" t="n">
        <f aca="false">Seg!I68*(al_m365+Sens!I14146+sbc_r)</f>
        <v>114.039361049722</v>
      </c>
      <c r="J14147" s="6" t="n">
        <f aca="false">Seg!J68*(al_m365+Sens!J14146+sbc_r)</f>
        <v>123.332589690985</v>
      </c>
      <c r="K14147" s="6" t="n">
        <f aca="false">Seg!K68*(al_m365+Sens!K14146+sbc_r)</f>
        <v>132.229319216379</v>
      </c>
      <c r="L14147" s="11" t="s">
        <v>1072</v>
      </c>
    </row>
    <row r="14148" customFormat="false" ht="17.15" hidden="false" customHeight="false" outlineLevel="0" collapsed="false">
      <c r="A14148" s="0" t="s">
        <v>1073</v>
      </c>
      <c r="B14148" s="0" t="s">
        <v>98</v>
      </c>
      <c r="F14148" s="6" t="n">
        <f aca="false">Seg!F69*(al_lic+Sens!F14146+sbc_r)</f>
        <v>33.5445611735131</v>
      </c>
      <c r="G14148" s="6" t="n">
        <f aca="false">Seg!G69*(al_lic+Sens!G14146+sbc_r)</f>
        <v>34.8473362891936</v>
      </c>
      <c r="H14148" s="6" t="n">
        <f aca="false">Seg!H69*(al_lic+Sens!H14146+sbc_r)</f>
        <v>36.0608450618725</v>
      </c>
      <c r="I14148" s="6" t="n">
        <f aca="false">Seg!I69*(al_lic+Sens!I14146+sbc_r)</f>
        <v>37.1647768367666</v>
      </c>
      <c r="J14148" s="6" t="n">
        <f aca="false">Seg!J69*(al_lic+Sens!J14146+sbc_r)</f>
        <v>38.1353659513221</v>
      </c>
      <c r="K14148" s="6" t="n">
        <f aca="false">Seg!K69*(al_lic+Sens!K14146+sbc_r)</f>
        <v>38.9479527536449</v>
      </c>
    </row>
    <row r="14149" customFormat="false" ht="17.15" hidden="false" customHeight="false" outlineLevel="0" collapsed="false">
      <c r="A14149" s="0" t="s">
        <v>1074</v>
      </c>
      <c r="B14149" s="0" t="s">
        <v>98</v>
      </c>
      <c r="F14149" s="6" t="n">
        <f aca="false">Seg!F71*(al_ind+Sens!F14146+sbc_r)</f>
        <v>9.13359830063899</v>
      </c>
      <c r="G14149" s="6" t="n">
        <f aca="false">Seg!G71*(al_ind+Sens!G14146+sbc_r)</f>
        <v>9.91355811855172</v>
      </c>
      <c r="H14149" s="6" t="n">
        <f aca="false">Seg!H71*(al_ind+Sens!H14146+sbc_r)</f>
        <v>10.737007894057</v>
      </c>
      <c r="I14149" s="6" t="n">
        <f aca="false">Seg!I71*(al_ind+Sens!I14146+sbc_r)</f>
        <v>11.5994300763088</v>
      </c>
      <c r="J14149" s="6" t="n">
        <f aca="false">Seg!J71*(al_ind+Sens!J14146+sbc_r)</f>
        <v>12.4920789859702</v>
      </c>
      <c r="K14149" s="6" t="n">
        <f aca="false">Seg!K71*(al_ind+Sens!K14146+sbc_r)</f>
        <v>13.4027551573777</v>
      </c>
    </row>
    <row r="14150" customFormat="false" ht="17.15" hidden="false" customHeight="false" outlineLevel="0" collapsed="false">
      <c r="A14150" s="0" t="s">
        <v>1075</v>
      </c>
      <c r="B14150" s="0" t="s">
        <v>98</v>
      </c>
      <c r="F14150" s="6" t="n">
        <f aca="false">Seg!F73*(al_fro+Sens!F14146+sbc_r)</f>
        <v>3.59501635737694</v>
      </c>
      <c r="G14150" s="6" t="n">
        <f aca="false">Seg!G73*(al_fro+Sens!G14146+sbc_r)</f>
        <v>3.80622021137838</v>
      </c>
      <c r="H14150" s="6" t="n">
        <f aca="false">Seg!H73*(al_fro+Sens!H14146+sbc_r)</f>
        <v>4.04607207599632</v>
      </c>
      <c r="I14150" s="6" t="n">
        <f aca="false">Seg!I73*(al_fro+Sens!I14146+sbc_r)</f>
        <v>4.31683578333903</v>
      </c>
      <c r="J14150" s="6" t="n">
        <f aca="false">Seg!J73*(al_fro+Sens!J14146+sbc_r)</f>
        <v>4.62005087871645</v>
      </c>
      <c r="K14150" s="6" t="n">
        <f aca="false">Seg!K73*(al_fro+Sens!K14146+sbc_r)</f>
        <v>4.95685392412327</v>
      </c>
    </row>
    <row r="14151" customFormat="false" ht="17.15" hidden="false" customHeight="false" outlineLevel="0" collapsed="false">
      <c r="A14151" s="0" t="s">
        <v>1076</v>
      </c>
      <c r="B14151" s="0" t="s">
        <v>98</v>
      </c>
      <c r="F14151" s="6" t="n">
        <f aca="false">Seg!F76*(al_srch+Sens!F14146+sbc_r)</f>
        <v>11.2801258639919</v>
      </c>
      <c r="G14151" s="6" t="n">
        <f aca="false">Seg!G76*(al_srch+Sens!G14146+sbc_r)</f>
        <v>12.3589086285988</v>
      </c>
      <c r="H14151" s="6" t="n">
        <f aca="false">Seg!H76*(al_srch+Sens!H14146+sbc_r)</f>
        <v>13.4807030139583</v>
      </c>
      <c r="I14151" s="6" t="n">
        <f aca="false">Seg!I76*(al_srch+Sens!I14146+sbc_r)</f>
        <v>14.6329459978989</v>
      </c>
      <c r="J14151" s="6" t="n">
        <f aca="false">Seg!J76*(al_srch+Sens!J14146+sbc_r)</f>
        <v>15.7968154400613</v>
      </c>
      <c r="K14151" s="6" t="n">
        <f aca="false">Seg!K76*(al_srch+Sens!K14146+sbc_r)</f>
        <v>16.9484078548661</v>
      </c>
    </row>
    <row r="14152" customFormat="false" ht="17.15" hidden="false" customHeight="false" outlineLevel="0" collapsed="false">
      <c r="A14152" s="0" t="s">
        <v>1077</v>
      </c>
      <c r="B14152" s="0" t="s">
        <v>98</v>
      </c>
      <c r="F14152" s="6" t="n">
        <f aca="false">Thesis!F127-Thesis!F128+Thesis!F142</f>
        <v>38.6797715123049</v>
      </c>
      <c r="G14152" s="6" t="n">
        <f aca="false">Thesis!G127-Thesis!G128+Thesis!G142</f>
        <v>67.9698044367775</v>
      </c>
      <c r="H14152" s="6" t="n">
        <f aca="false">Thesis!H127-Thesis!H128+Thesis!H142</f>
        <v>94.4027386785771</v>
      </c>
      <c r="I14152" s="6" t="n">
        <f aca="false">Thesis!I127-Thesis!I128+Thesis!I142</f>
        <v>124.629799296032</v>
      </c>
      <c r="J14152" s="6" t="n">
        <f aca="false">Thesis!J127-Thesis!J128+Thesis!J142</f>
        <v>146.1886418102</v>
      </c>
      <c r="K14152" s="6" t="n">
        <f aca="false">Thesis!K127-Thesis!K128+Thesis!K142</f>
        <v>160.310017660072</v>
      </c>
    </row>
    <row r="14153" customFormat="false" ht="17.15" hidden="false" customHeight="false" outlineLevel="0" collapsed="false">
      <c r="A14153" s="0" t="s">
        <v>1078</v>
      </c>
      <c r="B14153" s="0" t="s">
        <v>98</v>
      </c>
      <c r="F14153" s="6" t="n">
        <f aca="false">PL!F110+Thesis!F142+Thesis!F138+Sens!F14146*(Seg!F75-Thesis!F121)+sbc_r*Seg!F75</f>
        <v>228.424576651163</v>
      </c>
      <c r="G14153" s="6" t="n">
        <f aca="false">PL!G110+Thesis!G142+Thesis!G138+Sens!G14146*(Seg!G75-Thesis!G121)+sbc_r*Seg!G75</f>
        <v>282.553934266667</v>
      </c>
      <c r="H14153" s="6" t="n">
        <f aca="false">PL!H110+Thesis!H142+Thesis!H138+Sens!H14146*(Seg!H75-Thesis!H121)+sbc_r*Seg!H75</f>
        <v>334.098428585803</v>
      </c>
      <c r="I14153" s="6" t="n">
        <f aca="false">PL!I110+Thesis!I142+Thesis!I138+Sens!I14146*(Seg!I75-Thesis!I121)+sbc_r*Seg!I75</f>
        <v>388.820980572235</v>
      </c>
      <c r="J14153" s="6" t="n">
        <f aca="false">PL!J110+Thesis!J142+Thesis!J138+Sens!J14146*(Seg!J75-Thesis!J121)+sbc_r*Seg!J75</f>
        <v>432.983845251655</v>
      </c>
      <c r="K14153" s="6" t="n">
        <f aca="false">PL!K110+Thesis!K142+Thesis!K138+Sens!K14146*(Seg!K75-Thesis!K121)+sbc_r*Seg!K75</f>
        <v>467.422879139155</v>
      </c>
    </row>
    <row r="14154" customFormat="false" ht="17.15" hidden="false" customHeight="false" outlineLevel="0" collapsed="false">
      <c r="A14154" s="0" t="s">
        <v>1079</v>
      </c>
      <c r="B14154" s="0" t="s">
        <v>98</v>
      </c>
      <c r="F14154" s="6" t="n">
        <f aca="false">Sens!F14153-Sens!F14147-Sens!F14148-Sens!F14149-Sens!F14150-Sens!F14152</f>
        <v>60.2955846277069</v>
      </c>
      <c r="G14154" s="6" t="n">
        <f aca="false">Sens!G14153-Sens!G14147-Sens!G14148-Sens!G14149-Sens!G14150-Sens!G14152</f>
        <v>72.4883530362854</v>
      </c>
      <c r="H14154" s="6" t="n">
        <f aca="false">Sens!H14153-Sens!H14147-Sens!H14148-Sens!H14149-Sens!H14150-Sens!H14152</f>
        <v>84.8098829754144</v>
      </c>
      <c r="I14154" s="6" t="n">
        <f aca="false">Sens!I14153-Sens!I14147-Sens!I14148-Sens!I14149-Sens!I14150-Sens!I14152</f>
        <v>97.0707775300671</v>
      </c>
      <c r="J14154" s="6" t="n">
        <f aca="false">Sens!J14153-Sens!J14147-Sens!J14148-Sens!J14149-Sens!J14150-Sens!J14152</f>
        <v>108.215117934462</v>
      </c>
      <c r="K14154" s="6" t="n">
        <f aca="false">Sens!K14153-Sens!K14147-Sens!K14148-Sens!K14149-Sens!K14150-Sens!K14152</f>
        <v>117.575980427559</v>
      </c>
    </row>
    <row r="14155" customFormat="false" ht="17.15" hidden="false" customHeight="false" outlineLevel="0" collapsed="false">
      <c r="A14155" s="0" t="s">
        <v>1080</v>
      </c>
      <c r="B14155" s="0" t="s">
        <v>98</v>
      </c>
      <c r="F14155" s="6" t="n">
        <f aca="false">PL!F112+Sens!F14146*Seg!F82+sbc_r*Seg!F82</f>
        <v>26.3652761595447</v>
      </c>
      <c r="G14155" s="6" t="n">
        <f aca="false">PL!G112+Sens!G14146*Seg!G82+sbc_r*Seg!G82</f>
        <v>26.9742866145486</v>
      </c>
      <c r="H14155" s="6" t="n">
        <f aca="false">PL!H112+Sens!H14146*Seg!H82+sbc_r*Seg!H82</f>
        <v>27.8483067679033</v>
      </c>
      <c r="I14155" s="6" t="n">
        <f aca="false">PL!I112+Sens!I14146*Seg!I82+sbc_r*Seg!I82</f>
        <v>28.9540944937551</v>
      </c>
      <c r="J14155" s="6" t="n">
        <f aca="false">PL!J112+Sens!J14146*Seg!J82+sbc_r*Seg!J82</f>
        <v>30.2591967501426</v>
      </c>
      <c r="K14155" s="6" t="n">
        <f aca="false">PL!K112+Sens!K14146*Seg!K82+sbc_r*Seg!K82</f>
        <v>31.7334012124467</v>
      </c>
    </row>
    <row r="14156" customFormat="false" ht="17.15" hidden="false" customHeight="false" outlineLevel="0" collapsed="false">
      <c r="A14156" s="0" t="s">
        <v>1081</v>
      </c>
      <c r="B14156" s="0" t="s">
        <v>98</v>
      </c>
      <c r="F14156" s="6" t="n">
        <f aca="false">(Sens!F14155-Sens!F14151)*Seg!F78/(Seg!F78+Seg!F80)</f>
        <v>8.26953246478712</v>
      </c>
      <c r="G14156" s="6" t="n">
        <f aca="false">(Sens!G14155-Sens!G14151)*Seg!G78/(Seg!G78+Seg!G80)</f>
        <v>7.8691542635731</v>
      </c>
      <c r="H14156" s="6" t="n">
        <f aca="false">(Sens!H14155-Sens!H14151)*Seg!H78/(Seg!H78+Seg!H80)</f>
        <v>7.63125160105973</v>
      </c>
      <c r="I14156" s="6" t="n">
        <f aca="false">(Sens!I14155-Sens!I14151)*Seg!I78/(Seg!I78+Seg!I80)</f>
        <v>7.53775281020212</v>
      </c>
      <c r="J14156" s="6" t="n">
        <f aca="false">(Sens!J14155-Sens!J14151)*Seg!J78/(Seg!J78+Seg!J80)</f>
        <v>7.57766730524412</v>
      </c>
      <c r="K14156" s="6" t="n">
        <f aca="false">(Sens!K14155-Sens!K14151)*Seg!K78/(Seg!K78+Seg!K80)</f>
        <v>7.74670217662515</v>
      </c>
    </row>
    <row r="14157" customFormat="false" ht="17.15" hidden="false" customHeight="false" outlineLevel="0" collapsed="false">
      <c r="A14157" s="0" t="s">
        <v>1082</v>
      </c>
      <c r="B14157" s="0" t="s">
        <v>98</v>
      </c>
      <c r="F14157" s="6" t="n">
        <f aca="false">Sens!F14155-Sens!F14151-Sens!F14156</f>
        <v>6.81561783076564</v>
      </c>
      <c r="G14157" s="6" t="n">
        <f aca="false">Sens!G14155-Sens!G14151-Sens!G14156</f>
        <v>6.74622372237672</v>
      </c>
      <c r="H14157" s="6" t="n">
        <f aca="false">Sens!H14155-Sens!H14151-Sens!H14156</f>
        <v>6.73635215288526</v>
      </c>
      <c r="I14157" s="6" t="n">
        <f aca="false">Sens!I14155-Sens!I14151-Sens!I14156</f>
        <v>6.78339568565411</v>
      </c>
      <c r="J14157" s="6" t="n">
        <f aca="false">Sens!J14155-Sens!J14151-Sens!J14156</f>
        <v>6.88471400483723</v>
      </c>
      <c r="K14157" s="6" t="n">
        <f aca="false">Sens!K14155-Sens!K14151-Sens!K14156</f>
        <v>7.03829118095546</v>
      </c>
    </row>
    <row r="14158" customFormat="false" ht="17.15" hidden="false" customHeight="false" outlineLevel="0" collapsed="false">
      <c r="A14158" s="0" t="s">
        <v>1083</v>
      </c>
      <c r="B14158" s="0" t="s">
        <v>98</v>
      </c>
      <c r="F14158" s="6" t="n">
        <f aca="false">Sens!F14152-tax_f*(Sens!F14152-Thesis!F138)-Thesis!F135</f>
        <v>-122.579081185432</v>
      </c>
      <c r="G14158" s="6" t="n">
        <f aca="false">Sens!G14152-tax_f*(Sens!G14152-Thesis!G138)-Thesis!G135</f>
        <v>-117.373249511676</v>
      </c>
      <c r="H14158" s="6" t="n">
        <f aca="false">Sens!H14152-tax_f*(Sens!H14152-Thesis!H138)-Thesis!H135</f>
        <v>-95.285890998876</v>
      </c>
      <c r="I14158" s="6" t="n">
        <f aca="false">Sens!I14152-tax_f*(Sens!I14152-Thesis!I138)-Thesis!I135</f>
        <v>-41.8816809509416</v>
      </c>
      <c r="J14158" s="6" t="n">
        <f aca="false">Sens!J14152-tax_f*(Sens!J14152-Thesis!J138)-Thesis!J135</f>
        <v>15.3691414244864</v>
      </c>
      <c r="K14158" s="6" t="n">
        <f aca="false">Sens!K14152-tax_f*(Sens!K14152-Thesis!K138)-Thesis!K135</f>
        <v>34.6668916333283</v>
      </c>
    </row>
    <row r="14159" customFormat="false" ht="17.15" hidden="false" customHeight="false" outlineLevel="0" collapsed="false">
      <c r="A14159" s="0" t="s">
        <v>1084</v>
      </c>
      <c r="B14159" s="0" t="s">
        <v>98</v>
      </c>
      <c r="G14159" s="6" t="n">
        <f aca="false">Sens!G14158/(1+wacc)^(Sens!G14131-(Sens!F14131+mid_yr))</f>
        <v>-111.762030423885</v>
      </c>
      <c r="H14159" s="6" t="n">
        <f aca="false">Sens!H14158/(1+wacc)^(Sens!H14131-(Sens!F14131+mid_yr))</f>
        <v>-82.2629091581412</v>
      </c>
      <c r="I14159" s="6" t="n">
        <f aca="false">Sens!I14158/(1+wacc)^(Sens!I14131-(Sens!F14131+mid_yr))</f>
        <v>-32.7830894246659</v>
      </c>
      <c r="J14159" s="6" t="n">
        <f aca="false">Sens!J14158/(1+wacc)^(Sens!J14131-(Sens!F14131+mid_yr))</f>
        <v>10.907511786022</v>
      </c>
      <c r="K14159" s="6" t="n">
        <f aca="false">Sens!K14158/(1+wacc)^(Sens!K14131-(Sens!F14131+mid_yr))</f>
        <v>22.3070066431388</v>
      </c>
      <c r="L14159" s="1" t="s">
        <v>1085</v>
      </c>
    </row>
    <row r="14160" customFormat="false" ht="17.15" hidden="false" customHeight="false" outlineLevel="0" collapsed="false">
      <c r="A14160" s="0" t="s">
        <v>1086</v>
      </c>
      <c r="B14160" s="0" t="s">
        <v>98</v>
      </c>
      <c r="C14160" s="6" t="n">
        <f aca="false">(Sens!K14152-Thesis!K138)*(1-tax_f)*(1+g_tv)*(1-g_tv/(wacc+ronic_prem))/(wacc-g_tv)/(1+wacc)^(Sens!K14131+mid_yr-(Sens!F14131+mid_yr))</f>
        <v>103.875812758606</v>
      </c>
    </row>
    <row r="14161" customFormat="false" ht="17.15" hidden="false" customHeight="false" outlineLevel="0" collapsed="false">
      <c r="A14161" s="1" t="s">
        <v>1087</v>
      </c>
      <c r="B14161" s="0" t="s">
        <v>98</v>
      </c>
      <c r="C14161" s="6" t="n">
        <f aca="false">(SUM(Sens!G14159:K14159)+Sens!$C$14160)*(1+wacc)^(t_roll-(Sens!F14131+mid_yr))</f>
        <v>-92.6297486746201</v>
      </c>
      <c r="L14161" s="11" t="s">
        <v>1088</v>
      </c>
    </row>
    <row r="14162" customFormat="false" ht="17.15" hidden="false" customHeight="false" outlineLevel="0" collapsed="false">
      <c r="A14162" s="1" t="s">
        <v>1089</v>
      </c>
      <c r="B14162" s="0" t="s">
        <v>98</v>
      </c>
      <c r="C14162" s="6" t="n">
        <f aca="false">(w_ntm28*Thesis!G127+(1-w_ntm28)*Thesis!H127)*m_ai</f>
        <v>338.776008390068</v>
      </c>
    </row>
    <row r="14163" customFormat="false" ht="17.15" hidden="false" customHeight="false" outlineLevel="0" collapsed="false">
      <c r="A14163" s="1" t="s">
        <v>1090</v>
      </c>
      <c r="B14163" s="0" t="s">
        <v>98</v>
      </c>
      <c r="C14163" s="6" t="n">
        <f aca="false">(w_ntm28*Sens!G14154+(1-w_ntm28)*Sens!H14154)*m_own</f>
        <v>1198.31235002173</v>
      </c>
    </row>
    <row r="14164" customFormat="false" ht="17.15" hidden="false" customHeight="false" outlineLevel="0" collapsed="false">
      <c r="A14164" s="1" t="s">
        <v>1091</v>
      </c>
      <c r="B14164" s="0" t="s">
        <v>98</v>
      </c>
      <c r="C14164" s="6" t="n">
        <f aca="false">(w_ntm28*Sens!G14147+(1-w_ntm28)*Sens!H14147)*m_own</f>
        <v>1518.85324330276</v>
      </c>
    </row>
    <row r="14165" customFormat="false" ht="17.15" hidden="false" customHeight="false" outlineLevel="0" collapsed="false">
      <c r="A14165" s="1" t="s">
        <v>1092</v>
      </c>
      <c r="B14165" s="0" t="s">
        <v>98</v>
      </c>
      <c r="C14165" s="6" t="n">
        <f aca="false">(w_ntm28*Sens!G14148+(1-w_ntm28)*Sens!H14148)*m_own</f>
        <v>552.205295353608</v>
      </c>
    </row>
    <row r="14166" customFormat="false" ht="17.15" hidden="false" customHeight="false" outlineLevel="0" collapsed="false">
      <c r="A14166" s="1" t="s">
        <v>1093</v>
      </c>
      <c r="B14166" s="0" t="s">
        <v>98</v>
      </c>
      <c r="C14166" s="6" t="n">
        <f aca="false">(w_ntm28*Sens!G14149+(1-w_ntm28)*Sens!H14149)*m_own</f>
        <v>159.516984599612</v>
      </c>
    </row>
    <row r="14167" customFormat="false" ht="17.15" hidden="false" customHeight="false" outlineLevel="0" collapsed="false">
      <c r="A14167" s="1" t="s">
        <v>1094</v>
      </c>
      <c r="B14167" s="0" t="s">
        <v>98</v>
      </c>
      <c r="C14167" s="6" t="n">
        <f aca="false">(w_ntm28*Sens!G14150+(1-w_ntm28)*Sens!H14150)*m_own</f>
        <v>60.8585405446018</v>
      </c>
    </row>
    <row r="14168" customFormat="false" ht="17.15" hidden="false" customHeight="false" outlineLevel="0" collapsed="false">
      <c r="A14168" s="1" t="s">
        <v>1095</v>
      </c>
      <c r="B14168" s="0" t="s">
        <v>98</v>
      </c>
      <c r="C14168" s="6" t="n">
        <f aca="false">(w_ntm28*Sens!G14151+(1-w_ntm28)*Sens!H14151)*m_own</f>
        <v>199.347016364096</v>
      </c>
    </row>
    <row r="14169" customFormat="false" ht="17.15" hidden="false" customHeight="false" outlineLevel="0" collapsed="false">
      <c r="A14169" s="1" t="s">
        <v>1096</v>
      </c>
      <c r="B14169" s="0" t="s">
        <v>98</v>
      </c>
      <c r="C14169" s="6" t="n">
        <f aca="false">(w_ntm28*Sens!G14156+(1-w_ntm28)*Sens!H14156)*m_own</f>
        <v>122.104451975541</v>
      </c>
    </row>
    <row r="14170" customFormat="false" ht="17.15" hidden="false" customHeight="false" outlineLevel="0" collapsed="false">
      <c r="A14170" s="1" t="s">
        <v>1097</v>
      </c>
      <c r="B14170" s="0" t="s">
        <v>98</v>
      </c>
      <c r="C14170" s="6" t="n">
        <f aca="false">(w_ntm28*Sens!G14157+(1-w_ntm28)*Sens!H14157)*m_own</f>
        <v>105.663317169961</v>
      </c>
    </row>
    <row r="14171" customFormat="false" ht="17.15" hidden="false" customHeight="false" outlineLevel="0" collapsed="false">
      <c r="A14171" s="1" t="s">
        <v>1098</v>
      </c>
      <c r="B14171" s="0" t="s">
        <v>98</v>
      </c>
      <c r="C14171" s="6" t="n">
        <f aca="false">Sens!$C$14161+Sens!$C$14163+Sens!$C$14164+Sens!$C$14165+Sens!$C$14166+Sens!$C$14167+Sens!$C$14168+Sens!$C$14169+Sens!$C$14170</f>
        <v>3824.23145065729</v>
      </c>
    </row>
    <row r="14172" customFormat="false" ht="17.15" hidden="false" customHeight="false" outlineLevel="0" collapsed="false">
      <c r="A14172" s="1" t="s">
        <v>1099</v>
      </c>
      <c r="B14172" s="0" t="s">
        <v>98</v>
      </c>
      <c r="C14172" s="6" t="n">
        <f aca="false">(Sens!G14133-Sens!G14158)*t_stub</f>
        <v>46.8760727339385</v>
      </c>
      <c r="L14172" s="1" t="s">
        <v>1100</v>
      </c>
    </row>
    <row r="14173" customFormat="false" ht="17.15" hidden="false" customHeight="false" outlineLevel="0" collapsed="false">
      <c r="A14173" s="1" t="s">
        <v>1014</v>
      </c>
      <c r="B14173" s="0" t="s">
        <v>98</v>
      </c>
      <c r="C14173" s="6" t="n">
        <f aca="false">CF!F100+oai_v-CF!F89+Sens!$C$14172</f>
        <v>153.718233647662</v>
      </c>
      <c r="L14173" s="1" t="s">
        <v>1101</v>
      </c>
    </row>
    <row r="14174" customFormat="false" ht="17.15" hidden="false" customHeight="false" outlineLevel="0" collapsed="false">
      <c r="A14174" s="1" t="s">
        <v>1102</v>
      </c>
      <c r="B14174" s="0" t="s">
        <v>75</v>
      </c>
      <c r="C14174" s="5" t="n">
        <f aca="false">(Sens!$C$14171+Sens!$C$14173)/(CF!F102+dil_gap)-CF!G92*roll_div_q/q_per_yr</f>
        <v>529.636818610586</v>
      </c>
      <c r="L14174" s="1" t="s">
        <v>1103</v>
      </c>
    </row>
    <row r="14175" customFormat="false" ht="17.15" hidden="false" customHeight="false" outlineLevel="0" collapsed="false">
      <c r="A14175" s="1" t="s">
        <v>1104</v>
      </c>
      <c r="B14175" s="0" t="s">
        <v>75</v>
      </c>
      <c r="C14175" s="5" t="n">
        <f aca="false">w_dcf*Sens!$C$14145+(1-w_dcf)*Sens!$C$14174</f>
        <v>406.641052850086</v>
      </c>
    </row>
    <row r="14176" customFormat="false" ht="17.15" hidden="false" customHeight="false" outlineLevel="0" collapsed="false">
      <c r="A14176" s="3" t="s">
        <v>1621</v>
      </c>
    </row>
    <row r="14177" customFormat="false" ht="15" hidden="false" customHeight="false" outlineLevel="0" collapsed="false">
      <c r="A14177" s="4" t="s">
        <v>43</v>
      </c>
      <c r="B14177" s="4" t="s">
        <v>65</v>
      </c>
      <c r="C14177" s="20" t="s">
        <v>799</v>
      </c>
      <c r="D14177" s="20" t="s">
        <v>800</v>
      </c>
      <c r="E14177" s="20" t="s">
        <v>801</v>
      </c>
      <c r="F14177" s="20" t="s">
        <v>802</v>
      </c>
      <c r="G14177" s="20" t="s">
        <v>803</v>
      </c>
      <c r="H14177" s="20" t="s">
        <v>804</v>
      </c>
      <c r="I14177" s="20" t="s">
        <v>805</v>
      </c>
      <c r="J14177" s="20" t="s">
        <v>806</v>
      </c>
      <c r="K14177" s="20" t="s">
        <v>807</v>
      </c>
      <c r="L14177" s="4" t="s">
        <v>47</v>
      </c>
    </row>
    <row r="14178" customFormat="false" ht="17.15" hidden="false" customHeight="false" outlineLevel="0" collapsed="false">
      <c r="A14178" s="1" t="s">
        <v>808</v>
      </c>
      <c r="B14178" s="1" t="s">
        <v>235</v>
      </c>
      <c r="C14178" s="28" t="n">
        <v>2024</v>
      </c>
      <c r="D14178" s="28" t="n">
        <v>2025</v>
      </c>
      <c r="E14178" s="28" t="n">
        <v>2026</v>
      </c>
      <c r="F14178" s="28" t="n">
        <v>2027</v>
      </c>
      <c r="G14178" s="28" t="n">
        <v>2028</v>
      </c>
      <c r="H14178" s="28" t="n">
        <v>2029</v>
      </c>
      <c r="I14178" s="28" t="n">
        <v>2030</v>
      </c>
      <c r="J14178" s="28" t="n">
        <v>2031</v>
      </c>
      <c r="K14178" s="28" t="n">
        <v>2032</v>
      </c>
    </row>
    <row r="14179" customFormat="false" ht="17.15" hidden="false" customHeight="false" outlineLevel="0" collapsed="false">
      <c r="A14179" s="1" t="s">
        <v>809</v>
      </c>
      <c r="B14179" s="0" t="s">
        <v>399</v>
      </c>
      <c r="F14179" s="29" t="n">
        <f aca="false">pace_epoch</f>
        <v>650</v>
      </c>
      <c r="G14179" s="29" t="n">
        <f aca="false">pace_epoch</f>
        <v>650</v>
      </c>
      <c r="H14179" s="29" t="n">
        <f aca="false">pace_epoch</f>
        <v>650</v>
      </c>
      <c r="I14179" s="29" t="n">
        <f aca="false">pace_epoch+(g_tv*Sens!H14180-pace_epoch)*MIN(1,(Sens!I14178-pace_y0)/(pace_y1-pace_y0))</f>
        <v>477.193333333333</v>
      </c>
      <c r="J14179" s="29" t="n">
        <f aca="false">pace_epoch+(g_tv*Sens!I14180-pace_epoch)*MIN(1,(Sens!J14178-pace_y0)/(pace_y1-pace_y0))</f>
        <v>304.386666666667</v>
      </c>
      <c r="K14179" s="29" t="n">
        <f aca="false">pace_epoch+(g_tv*Sens!J14180-pace_epoch)*MIN(1,(Sens!K14178-pace_y0)/(pace_y1-pace_y0))</f>
        <v>131.58</v>
      </c>
      <c r="L14179" s="11" t="s">
        <v>810</v>
      </c>
    </row>
    <row r="14180" customFormat="false" ht="17.15" hidden="false" customHeight="false" outlineLevel="0" collapsed="false">
      <c r="A14180" s="1" t="s">
        <v>811</v>
      </c>
      <c r="B14180" s="0" t="s">
        <v>399</v>
      </c>
      <c r="C14180" s="29" t="n">
        <f aca="false">mw_ext_24</f>
        <v>640</v>
      </c>
      <c r="D14180" s="29" t="n">
        <f aca="false">mw_ext_25</f>
        <v>1630</v>
      </c>
      <c r="E14180" s="29" t="n">
        <f aca="false">mw_ext_26</f>
        <v>3250</v>
      </c>
      <c r="F14180" s="29" t="n">
        <f aca="false">MIN(cap_epoch,Sens!E14180+Sens!F14179)</f>
        <v>3900</v>
      </c>
      <c r="G14180" s="29" t="n">
        <f aca="false">MIN(cap_epoch,Sens!F14180+Sens!G14179)</f>
        <v>4386</v>
      </c>
      <c r="H14180" s="29" t="n">
        <f aca="false">MIN(cap_epoch,Sens!G14180+Sens!H14179)</f>
        <v>4386</v>
      </c>
      <c r="I14180" s="29" t="n">
        <f aca="false">MIN(cap_epoch,Sens!H14180+Sens!I14179)</f>
        <v>4386</v>
      </c>
      <c r="J14180" s="29" t="n">
        <f aca="false">MIN(cap_epoch,Sens!I14180+Sens!J14179)</f>
        <v>4386</v>
      </c>
      <c r="K14180" s="29" t="n">
        <f aca="false">MIN(cap_epoch,Sens!J14180+Sens!K14179)</f>
        <v>4386</v>
      </c>
      <c r="L14180" s="1" t="s">
        <v>812</v>
      </c>
    </row>
    <row r="14181" customFormat="false" ht="17.15" hidden="false" customHeight="false" outlineLevel="0" collapsed="false">
      <c r="A14181" s="1" t="s">
        <v>813</v>
      </c>
      <c r="B14181" s="0" t="s">
        <v>399</v>
      </c>
      <c r="C14181" s="29" t="n">
        <f aca="false">rent_ext_24</f>
        <v>150</v>
      </c>
      <c r="D14181" s="29" t="n">
        <f aca="false">rent_ext_25</f>
        <v>400</v>
      </c>
      <c r="E14181" s="29" t="n">
        <f aca="false">rent_ext_26</f>
        <v>550</v>
      </c>
      <c r="F14181" s="29" t="n">
        <f aca="false">rent_ext_f</f>
        <v>756</v>
      </c>
      <c r="G14181" s="29" t="n">
        <f aca="false">rent_ext_f</f>
        <v>756</v>
      </c>
      <c r="H14181" s="29" t="n">
        <f aca="false">rent_ext_f</f>
        <v>756</v>
      </c>
      <c r="I14181" s="29" t="n">
        <f aca="false">rent_ext_f</f>
        <v>756</v>
      </c>
      <c r="J14181" s="29" t="n">
        <f aca="false">rent_ext_f</f>
        <v>756</v>
      </c>
      <c r="K14181" s="29" t="n">
        <f aca="false">rent_ext_f</f>
        <v>756</v>
      </c>
      <c r="L14181" s="1" t="s">
        <v>814</v>
      </c>
    </row>
    <row r="14182" customFormat="false" ht="17.15" hidden="false" customHeight="false" outlineLevel="0" collapsed="false">
      <c r="A14182" s="1" t="s">
        <v>815</v>
      </c>
      <c r="B14182" s="0" t="s">
        <v>399</v>
      </c>
      <c r="C14182" s="29" t="n">
        <f aca="false">Sens!C14180-Sens!C14181</f>
        <v>490</v>
      </c>
      <c r="D14182" s="29" t="n">
        <f aca="false">Sens!D14180-Sens!D14181</f>
        <v>1230</v>
      </c>
      <c r="E14182" s="29" t="n">
        <f aca="false">Sens!E14180-Sens!E14181</f>
        <v>2700</v>
      </c>
      <c r="F14182" s="29" t="n">
        <f aca="false">Sens!F14180-Sens!F14181</f>
        <v>3144</v>
      </c>
      <c r="G14182" s="29" t="n">
        <f aca="false">Sens!G14180-Sens!G14181</f>
        <v>3630</v>
      </c>
      <c r="H14182" s="29" t="n">
        <f aca="false">Sens!H14180-Sens!H14181</f>
        <v>3630</v>
      </c>
      <c r="I14182" s="29" t="n">
        <f aca="false">Sens!I14180-Sens!I14181</f>
        <v>3630</v>
      </c>
      <c r="J14182" s="29" t="n">
        <f aca="false">Sens!J14180-Sens!J14181</f>
        <v>3630</v>
      </c>
      <c r="K14182" s="29" t="n">
        <f aca="false">Sens!K14180-Sens!K14181</f>
        <v>3630</v>
      </c>
    </row>
    <row r="14183" customFormat="false" ht="17.15" hidden="false" customHeight="false" outlineLevel="0" collapsed="false">
      <c r="A14183" s="1" t="s">
        <v>816</v>
      </c>
      <c r="B14183" s="0" t="s">
        <v>399</v>
      </c>
      <c r="C14183" s="29" t="n">
        <f aca="false">Sens!C14182/ext_sh</f>
        <v>816.666666666667</v>
      </c>
      <c r="D14183" s="29" t="n">
        <f aca="false">Sens!D14182/ext_sh</f>
        <v>2050</v>
      </c>
      <c r="E14183" s="29" t="n">
        <f aca="false">Sens!E14182/ext_sh</f>
        <v>4500</v>
      </c>
      <c r="F14183" s="29" t="n">
        <f aca="false">Sens!F14182/ext_sh</f>
        <v>5240</v>
      </c>
      <c r="G14183" s="29" t="n">
        <f aca="false">Sens!G14182/ext_sh</f>
        <v>6050</v>
      </c>
      <c r="H14183" s="29" t="n">
        <f aca="false">Sens!H14182/ext_sh</f>
        <v>6050</v>
      </c>
      <c r="I14183" s="29" t="n">
        <f aca="false">Sens!I14182/ext_sh</f>
        <v>6050</v>
      </c>
      <c r="J14183" s="29" t="n">
        <f aca="false">Sens!J14182/ext_sh</f>
        <v>6050</v>
      </c>
      <c r="K14183" s="29" t="n">
        <f aca="false">Sens!K14182/ext_sh</f>
        <v>6050</v>
      </c>
      <c r="L14183" s="1" t="s">
        <v>817</v>
      </c>
    </row>
    <row r="14184" customFormat="false" ht="17.15" hidden="false" customHeight="false" outlineLevel="0" collapsed="false">
      <c r="A14184" s="1" t="s">
        <v>818</v>
      </c>
      <c r="B14184" s="0" t="s">
        <v>399</v>
      </c>
      <c r="C14184" s="29" t="n">
        <f aca="false">Sens!C14183-Sens!C14182</f>
        <v>326.666666666667</v>
      </c>
      <c r="D14184" s="29" t="n">
        <f aca="false">Sens!D14183-Sens!D14182</f>
        <v>820</v>
      </c>
      <c r="E14184" s="29" t="n">
        <f aca="false">Sens!E14183-Sens!E14182</f>
        <v>1800</v>
      </c>
      <c r="F14184" s="29" t="n">
        <f aca="false">Sens!F14183-Sens!F14182</f>
        <v>2096</v>
      </c>
      <c r="G14184" s="29" t="n">
        <f aca="false">Sens!G14183-Sens!G14182</f>
        <v>2420</v>
      </c>
      <c r="H14184" s="29" t="n">
        <f aca="false">Sens!H14183-Sens!H14182</f>
        <v>2420</v>
      </c>
      <c r="I14184" s="29" t="n">
        <f aca="false">Sens!I14183-Sens!I14182</f>
        <v>2420</v>
      </c>
      <c r="J14184" s="29" t="n">
        <f aca="false">Sens!J14183-Sens!J14182</f>
        <v>2420</v>
      </c>
      <c r="K14184" s="29" t="n">
        <f aca="false">Sens!K14183-Sens!K14182</f>
        <v>2420</v>
      </c>
    </row>
    <row r="14185" customFormat="false" ht="17.15" hidden="false" customHeight="false" outlineLevel="0" collapsed="false">
      <c r="A14185" s="1" t="s">
        <v>819</v>
      </c>
      <c r="B14185" s="0" t="s">
        <v>399</v>
      </c>
      <c r="C14185" s="29" t="n">
        <f aca="false">Sens!C14183</f>
        <v>816.666666666667</v>
      </c>
      <c r="D14185" s="29" t="n">
        <f aca="false">Sens!D14183-Sens!C14183</f>
        <v>1233.33333333333</v>
      </c>
      <c r="E14185" s="29" t="n">
        <f aca="false">Sens!E14183-Sens!D14183</f>
        <v>2450</v>
      </c>
      <c r="F14185" s="29" t="n">
        <f aca="false">Sens!F14183-Sens!E14183</f>
        <v>740</v>
      </c>
      <c r="G14185" s="29" t="n">
        <f aca="false">Sens!G14183-Sens!F14183</f>
        <v>810</v>
      </c>
      <c r="H14185" s="29" t="n">
        <f aca="false">Sens!H14183-Sens!G14183</f>
        <v>0</v>
      </c>
      <c r="I14185" s="29" t="n">
        <f aca="false">Sens!I14183-Sens!H14183</f>
        <v>0</v>
      </c>
      <c r="J14185" s="29" t="n">
        <f aca="false">Sens!J14183-Sens!I14183</f>
        <v>0</v>
      </c>
      <c r="K14185" s="29" t="n">
        <f aca="false">Sens!K14183-Sens!J14183</f>
        <v>0</v>
      </c>
    </row>
    <row r="14186" customFormat="false" ht="17.15" hidden="false" customHeight="false" outlineLevel="0" collapsed="false">
      <c r="A14186" s="1" t="s">
        <v>820</v>
      </c>
      <c r="B14186" s="0" t="s">
        <v>399</v>
      </c>
      <c r="D14186" s="29" t="n">
        <f aca="false">Sens!D14180-Sens!C14180</f>
        <v>990</v>
      </c>
      <c r="E14186" s="29" t="n">
        <f aca="false">Sens!E14180-Sens!D14180</f>
        <v>1620</v>
      </c>
      <c r="F14186" s="29" t="n">
        <f aca="false">Sens!F14180-Sens!E14180</f>
        <v>650</v>
      </c>
      <c r="G14186" s="29" t="n">
        <f aca="false">Sens!G14180-Sens!F14180</f>
        <v>486</v>
      </c>
      <c r="H14186" s="29" t="n">
        <f aca="false">Sens!H14180-Sens!G14180</f>
        <v>0</v>
      </c>
      <c r="I14186" s="29" t="n">
        <f aca="false">Sens!I14180-Sens!H14180</f>
        <v>0</v>
      </c>
      <c r="J14186" s="29" t="n">
        <f aca="false">Sens!J14180-Sens!I14180</f>
        <v>0</v>
      </c>
      <c r="K14186" s="29" t="n">
        <f aca="false">Sens!K14180-Sens!J14180</f>
        <v>0</v>
      </c>
    </row>
    <row r="14187" customFormat="false" ht="17.15" hidden="false" customHeight="false" outlineLevel="0" collapsed="false">
      <c r="A14187" s="1" t="s">
        <v>821</v>
      </c>
      <c r="B14187" s="0" t="s">
        <v>399</v>
      </c>
      <c r="F14187" s="29" t="n">
        <f aca="false">Sens!F14204*ext_sh</f>
        <v>0</v>
      </c>
      <c r="G14187" s="29" t="n">
        <f aca="false">Sens!G14204*ext_sh</f>
        <v>0</v>
      </c>
      <c r="H14187" s="29" t="n">
        <f aca="false">Sens!H14204*ext_sh</f>
        <v>0</v>
      </c>
      <c r="I14187" s="29" t="n">
        <f aca="false">Sens!I14204*ext_sh</f>
        <v>490</v>
      </c>
      <c r="J14187" s="29" t="n">
        <f aca="false">Sens!J14204*ext_sh</f>
        <v>740</v>
      </c>
      <c r="K14187" s="29" t="n">
        <f aca="false">Sens!K14204*ext_sh</f>
        <v>1470</v>
      </c>
      <c r="L14187" s="1" t="s">
        <v>822</v>
      </c>
    </row>
    <row r="14188" customFormat="false" ht="17.15" hidden="false" customHeight="false" outlineLevel="0" collapsed="false">
      <c r="A14188" s="1" t="s">
        <v>823</v>
      </c>
      <c r="B14188" s="0" t="s">
        <v>399</v>
      </c>
      <c r="C14188" s="29" t="n">
        <f aca="false">mix_h*Sens!C14180</f>
        <v>128</v>
      </c>
      <c r="D14188" s="29" t="n">
        <f aca="false">mix_h*Sens!D14180</f>
        <v>326</v>
      </c>
      <c r="E14188" s="29" t="n">
        <f aca="false">mix_h*Sens!E14180</f>
        <v>650</v>
      </c>
      <c r="F14188" s="29" t="n">
        <f aca="false">Sens!E14188-Sens!F14187*mix_h</f>
        <v>650</v>
      </c>
      <c r="G14188" s="29" t="n">
        <f aca="false">Sens!F14188-Sens!G14187*mix_h</f>
        <v>650</v>
      </c>
      <c r="H14188" s="29" t="n">
        <f aca="false">Sens!G14188-Sens!H14187*mix_h</f>
        <v>650</v>
      </c>
      <c r="I14188" s="29" t="n">
        <f aca="false">Sens!H14188-Sens!I14187*mix_h</f>
        <v>552</v>
      </c>
      <c r="J14188" s="29" t="n">
        <f aca="false">Sens!I14188-Sens!J14187*mix_h</f>
        <v>404</v>
      </c>
      <c r="K14188" s="29" t="n">
        <f aca="false">Sens!J14188-Sens!K14187*mix_h</f>
        <v>110</v>
      </c>
    </row>
    <row r="14189" customFormat="false" ht="17.15" hidden="false" customHeight="false" outlineLevel="0" collapsed="false">
      <c r="A14189" s="1" t="s">
        <v>824</v>
      </c>
      <c r="B14189" s="0" t="s">
        <v>399</v>
      </c>
      <c r="C14189" s="29" t="n">
        <f aca="false">mix_g2*Sens!C14180</f>
        <v>288</v>
      </c>
      <c r="D14189" s="29" t="n">
        <f aca="false">mix_g2*Sens!D14180</f>
        <v>733.5</v>
      </c>
      <c r="E14189" s="29" t="n">
        <f aca="false">mix_g2*Sens!E14180</f>
        <v>1462.5</v>
      </c>
      <c r="F14189" s="29" t="n">
        <f aca="false">Sens!E14189-Sens!F14187*mix_g2</f>
        <v>1462.5</v>
      </c>
      <c r="G14189" s="29" t="n">
        <f aca="false">Sens!F14189-Sens!G14187*mix_g2</f>
        <v>1462.5</v>
      </c>
      <c r="H14189" s="29" t="n">
        <f aca="false">Sens!G14189-Sens!H14187*mix_g2</f>
        <v>1462.5</v>
      </c>
      <c r="I14189" s="29" t="n">
        <f aca="false">Sens!H14189-Sens!I14187*mix_g2</f>
        <v>1242</v>
      </c>
      <c r="J14189" s="29" t="n">
        <f aca="false">Sens!I14189-Sens!J14187*mix_g2</f>
        <v>909</v>
      </c>
      <c r="K14189" s="29" t="n">
        <f aca="false">Sens!J14189-Sens!K14187*mix_g2</f>
        <v>247.5</v>
      </c>
    </row>
    <row r="14190" customFormat="false" ht="17.15" hidden="false" customHeight="false" outlineLevel="0" collapsed="false">
      <c r="A14190" s="1" t="s">
        <v>825</v>
      </c>
      <c r="B14190" s="0" t="s">
        <v>399</v>
      </c>
      <c r="C14190" s="29" t="n">
        <f aca="false">mix_g3*Sens!C14180</f>
        <v>224</v>
      </c>
      <c r="D14190" s="29" t="n">
        <f aca="false">mix_g3*Sens!D14180</f>
        <v>570.5</v>
      </c>
      <c r="E14190" s="29" t="n">
        <f aca="false">mix_g3*Sens!E14180</f>
        <v>1137.5</v>
      </c>
      <c r="F14190" s="29" t="n">
        <f aca="false">Sens!E14190+(Sens!F14186+Sens!F14187)*a_g3_27-Sens!F14187*mix_g3</f>
        <v>1592.5</v>
      </c>
      <c r="G14190" s="29" t="n">
        <f aca="false">Sens!F14190+(Sens!G14186+Sens!G14187)*a_g3_28-Sens!G14187*mix_g3</f>
        <v>1738.3</v>
      </c>
      <c r="H14190" s="29" t="n">
        <f aca="false">Sens!G14190+(Sens!H14186+Sens!H14187)*a_g3_29-Sens!H14187*mix_g3</f>
        <v>1738.3</v>
      </c>
      <c r="I14190" s="29" t="n">
        <f aca="false">Sens!H14190+(Sens!I14186+Sens!I14187)*a_g3_29-Sens!I14187*mix_g3</f>
        <v>1615.8</v>
      </c>
      <c r="J14190" s="29" t="n">
        <f aca="false">Sens!I14190+(Sens!J14186+Sens!J14187)*a_g3_29-Sens!J14187*mix_g3</f>
        <v>1430.8</v>
      </c>
      <c r="K14190" s="29" t="n">
        <f aca="false">Sens!J14190+(Sens!K14186+Sens!K14187)*a_g3_29-Sens!K14187*mix_g3</f>
        <v>1063.3</v>
      </c>
    </row>
    <row r="14191" customFormat="false" ht="17.15" hidden="false" customHeight="false" outlineLevel="0" collapsed="false">
      <c r="A14191" s="1" t="s">
        <v>826</v>
      </c>
      <c r="B14191" s="0" t="s">
        <v>399</v>
      </c>
      <c r="C14191" s="29" t="n">
        <v>0</v>
      </c>
      <c r="D14191" s="29" t="n">
        <v>0</v>
      </c>
      <c r="E14191" s="29" t="n">
        <v>0</v>
      </c>
      <c r="F14191" s="29" t="n">
        <f aca="false">Sens!E14191+(Sens!F14186+Sens!F14187)*(1-a_g3_27)</f>
        <v>195</v>
      </c>
      <c r="G14191" s="29" t="n">
        <f aca="false">Sens!F14191+(Sens!G14186+Sens!G14187)*(1-a_g3_28)</f>
        <v>535.2</v>
      </c>
      <c r="H14191" s="29" t="n">
        <f aca="false">Sens!G14191+(Sens!H14186+Sens!H14187)*(1-a_g3_29)</f>
        <v>535.2</v>
      </c>
      <c r="I14191" s="29" t="n">
        <f aca="false">Sens!H14191+(Sens!I14186+Sens!I14187)*(1-a_g3_29)</f>
        <v>976.2</v>
      </c>
      <c r="J14191" s="29" t="n">
        <f aca="false">Sens!I14191+(Sens!J14186+Sens!J14187)*(1-a_g3_29)</f>
        <v>1642.2</v>
      </c>
      <c r="K14191" s="29" t="n">
        <f aca="false">Sens!J14191+(Sens!K14186+Sens!K14187)*(1-a_g3_29)</f>
        <v>2965.2</v>
      </c>
    </row>
    <row r="14192" customFormat="false" ht="17.15" hidden="false" customHeight="false" outlineLevel="0" collapsed="false">
      <c r="A14192" s="1" t="s">
        <v>827</v>
      </c>
      <c r="B14192" s="0" t="s">
        <v>346</v>
      </c>
      <c r="C14192" s="14" t="n">
        <f aca="false">(Sens!C14188*tk_hold_h100+Sens!C14189*tk_hold_gb200+Sens!C14190*tk_hold_gb300+Sens!C14191*tk_hold_vr200)/Sens!C14180</f>
        <v>9.7235358126469</v>
      </c>
      <c r="D14192" s="14" t="n">
        <f aca="false">(Sens!D14188*tk_hold_h100+Sens!D14189*tk_hold_gb200+Sens!D14190*tk_hold_gb300+Sens!D14191*tk_hold_vr200)/Sens!D14180</f>
        <v>9.7235358126469</v>
      </c>
      <c r="E14192" s="14" t="n">
        <f aca="false">(Sens!E14188*tk_hold_h100+Sens!E14189*tk_hold_gb200+Sens!E14190*tk_hold_gb300+Sens!E14191*tk_hold_vr200)/Sens!E14180</f>
        <v>9.7235358126469</v>
      </c>
      <c r="F14192" s="14" t="n">
        <f aca="false">(Sens!F14188*tk_hold_h100+Sens!F14189*tk_hold_gb200+Sens!F14190*tk_hold_gb300+Sens!F14191*tk_hold_vr200)/Sens!F14180</f>
        <v>9.9843013443478</v>
      </c>
      <c r="G14192" s="14" t="n">
        <f aca="false">(Sens!G14188*tk_hold_h100+Sens!G14189*tk_hold_gb200+Sens!G14190*tk_hold_gb300+Sens!G14191*tk_hold_vr200)/Sens!G14180</f>
        <v>10.1881256732384</v>
      </c>
      <c r="H14192" s="14" t="n">
        <f aca="false">(Sens!H14188*tk_hold_h100+Sens!H14189*tk_hold_gb200+Sens!H14190*tk_hold_gb300+Sens!H14191*tk_hold_vr200)/Sens!H14180</f>
        <v>10.1881256732384</v>
      </c>
      <c r="I14192" s="14" t="n">
        <f aca="false">(Sens!I14188*tk_hold_h100+Sens!I14189*tk_hold_gb200+Sens!I14190*tk_hold_gb300+Sens!I14191*tk_hold_vr200)/Sens!I14180</f>
        <v>10.4526797781011</v>
      </c>
      <c r="J14192" s="14" t="n">
        <f aca="false">(Sens!J14188*tk_hold_h100+Sens!J14189*tk_hold_gb200+Sens!J14190*tk_hold_gb300+Sens!J14191*tk_hold_vr200)/Sens!J14180</f>
        <v>10.8522104670775</v>
      </c>
      <c r="K14192" s="14" t="n">
        <f aca="false">(Sens!K14188*tk_hold_h100+Sens!K14189*tk_hold_gb200+Sens!K14190*tk_hold_gb300+Sens!K14191*tk_hold_vr200)/Sens!K14180</f>
        <v>11.6458727816658</v>
      </c>
    </row>
    <row r="14193" customFormat="false" ht="17.15" hidden="false" customHeight="false" outlineLevel="0" collapsed="false">
      <c r="A14193" s="0" t="s">
        <v>828</v>
      </c>
      <c r="B14193" s="0" t="s">
        <v>185</v>
      </c>
      <c r="C14193" s="14" t="n">
        <f aca="false">k_B</f>
        <v>1.17213932619116</v>
      </c>
      <c r="D14193" s="14" t="n">
        <f aca="false">k_B</f>
        <v>1.17213932619116</v>
      </c>
      <c r="E14193" s="14" t="n">
        <f aca="false">k_B</f>
        <v>1.17213932619116</v>
      </c>
      <c r="F14193" s="14" t="n">
        <f aca="false">(k_B+((ls_A*k_long+(1-ls_A)*k_spot)-k_B)*MIN(1,(Sens!F14178-base_fy)/k_ramp))</f>
        <v>1.25022828131298</v>
      </c>
      <c r="G14193" s="14" t="n">
        <f aca="false">(k_B+((ls_A*k_long+(1-ls_A)*k_spot)-k_B)*MIN(1,(Sens!G14178-base_fy)/k_ramp))</f>
        <v>1.3283172364348</v>
      </c>
      <c r="H14193" s="14" t="n">
        <f aca="false">(k_B+((ls_A*k_long+(1-ls_A)*k_spot)-k_B)*MIN(1,(Sens!H14178-base_fy)/k_ramp))</f>
        <v>1.40640619155662</v>
      </c>
      <c r="I14193" s="14" t="n">
        <f aca="false">(k_B+((ls_A*k_long+(1-ls_A)*k_spot)-k_B)*MIN(1,(Sens!I14178-base_fy)/k_ramp))</f>
        <v>1.40640619155662</v>
      </c>
      <c r="J14193" s="14" t="n">
        <f aca="false">(k_B+((ls_A*k_long+(1-ls_A)*k_spot)-k_B)*MIN(1,(Sens!J14178-base_fy)/k_ramp))</f>
        <v>1.40640619155662</v>
      </c>
      <c r="K14193" s="14" t="n">
        <f aca="false">(k_B+((ls_A*k_long+(1-ls_A)*k_spot)-k_B)*MIN(1,(Sens!K14178-base_fy)/k_ramp))</f>
        <v>1.40640619155662</v>
      </c>
      <c r="L14193" s="1" t="s">
        <v>829</v>
      </c>
    </row>
    <row r="14194" customFormat="false" ht="17.15" hidden="false" customHeight="false" outlineLevel="0" collapsed="false">
      <c r="A14194" s="1" t="s">
        <v>830</v>
      </c>
      <c r="B14194" s="0" t="s">
        <v>346</v>
      </c>
      <c r="C14194" s="14" t="n">
        <f aca="false">Sens!C14192*Sens!C14193*chip_f</f>
        <v>11.3973387156315</v>
      </c>
      <c r="D14194" s="14" t="n">
        <f aca="false">Sens!D14192*Sens!D14193*chip_f</f>
        <v>11.3973387156315</v>
      </c>
      <c r="E14194" s="14" t="n">
        <f aca="false">Sens!E14192*Sens!E14193*chip_f</f>
        <v>11.3973387156315</v>
      </c>
      <c r="F14194" s="14" t="n">
        <f aca="false">Sens!F14192*Sens!F14193*chip_f</f>
        <v>12.4826559098548</v>
      </c>
      <c r="G14194" s="14" t="n">
        <f aca="false">Sens!G14192*Sens!G14193*chip_f</f>
        <v>13.5330629387264</v>
      </c>
      <c r="H14194" s="14" t="n">
        <f aca="false">Sens!H14192*Sens!H14193*chip_f</f>
        <v>14.3286430271994</v>
      </c>
      <c r="I14194" s="14" t="n">
        <f aca="false">Sens!I14192*Sens!I14193*chip_f</f>
        <v>14.7007135582801</v>
      </c>
      <c r="J14194" s="14" t="n">
        <f aca="false">Sens!J14192*Sens!J14193*chip_f</f>
        <v>15.2626159929734</v>
      </c>
      <c r="K14194" s="14" t="n">
        <f aca="false">Sens!K14192*Sens!K14193*chip_f</f>
        <v>16.3788275862154</v>
      </c>
      <c r="L14194" s="1" t="s">
        <v>831</v>
      </c>
    </row>
    <row r="14195" customFormat="false" ht="17.15" hidden="false" customHeight="false" outlineLevel="0" collapsed="false">
      <c r="A14195" s="0" t="s">
        <v>832</v>
      </c>
      <c r="B14195" s="0" t="s">
        <v>98</v>
      </c>
      <c r="D14195" s="6" t="n">
        <f aca="false">(Sens!C14180+Sens!D14180)/2*Sens!D14194/1000</f>
        <v>12.9359794422418</v>
      </c>
      <c r="E14195" s="6" t="n">
        <f aca="false">(Sens!D14180+Sens!E14180)/2*Sens!E14194/1000</f>
        <v>27.8095064661409</v>
      </c>
      <c r="F14195" s="6" t="n">
        <f aca="false">(Sens!E14180+Sens!F14180)/2*Sens!F14194/1000</f>
        <v>44.6254948777308</v>
      </c>
      <c r="G14195" s="6" t="n">
        <f aca="false">(Sens!F14180+Sens!G14180)/2*Sens!G14194/1000</f>
        <v>56.0674797551436</v>
      </c>
      <c r="H14195" s="6" t="n">
        <f aca="false">(Sens!G14180+Sens!H14180)/2*Sens!H14194/1000</f>
        <v>62.8454283172966</v>
      </c>
      <c r="I14195" s="6" t="n">
        <f aca="false">(Sens!H14180+Sens!I14180)/2*Sens!I14194/1000</f>
        <v>64.4773296666165</v>
      </c>
      <c r="J14195" s="6" t="n">
        <f aca="false">(Sens!I14180+Sens!J14180)/2*Sens!J14194/1000</f>
        <v>66.9418337451812</v>
      </c>
      <c r="K14195" s="6" t="n">
        <f aca="false">(Sens!J14180+Sens!K14180)/2*Sens!K14194/1000</f>
        <v>71.8375377931408</v>
      </c>
      <c r="L14195" s="11" t="s">
        <v>833</v>
      </c>
    </row>
    <row r="14196" customFormat="false" ht="17.15" hidden="false" customHeight="false" outlineLevel="0" collapsed="false">
      <c r="A14196" s="1" t="s">
        <v>834</v>
      </c>
      <c r="B14196" s="0" t="s">
        <v>346</v>
      </c>
      <c r="C14196" s="14" t="n">
        <f aca="false">(Sens!C14188*tk_opex_h100+Sens!C14189*tk_opex_gb200+Sens!C14190*tk_opex_gb300+Sens!C14191*tk_opex_vr200)/Sens!C14180</f>
        <v>1.88636041306092</v>
      </c>
      <c r="D14196" s="14" t="n">
        <f aca="false">(Sens!D14188*tk_opex_h100+Sens!D14189*tk_opex_gb200+Sens!D14190*tk_opex_gb300+Sens!D14191*tk_opex_vr200)/Sens!D14180</f>
        <v>1.88636041306092</v>
      </c>
      <c r="E14196" s="14" t="n">
        <f aca="false">(Sens!E14188*tk_opex_h100+Sens!E14189*tk_opex_gb200+Sens!E14190*tk_opex_gb300+Sens!E14191*tk_opex_vr200)/Sens!E14180</f>
        <v>1.88636041306092</v>
      </c>
      <c r="F14196" s="14" t="n">
        <f aca="false">(Sens!F14188*tk_opex_h100+Sens!F14189*tk_opex_gb200+Sens!F14190*tk_opex_gb300+Sens!F14191*tk_opex_vr200)/Sens!F14180</f>
        <v>1.90794918316667</v>
      </c>
      <c r="G14196" s="14" t="n">
        <f aca="false">(Sens!G14188*tk_opex_h100+Sens!G14189*tk_opex_gb200+Sens!G14190*tk_opex_gb300+Sens!G14191*tk_opex_vr200)/Sens!G14180</f>
        <v>1.92482379289624</v>
      </c>
      <c r="H14196" s="14" t="n">
        <f aca="false">(Sens!H14188*tk_opex_h100+Sens!H14189*tk_opex_gb200+Sens!H14190*tk_opex_gb300+Sens!H14191*tk_opex_vr200)/Sens!H14180</f>
        <v>1.92482379289624</v>
      </c>
      <c r="I14196" s="14" t="n">
        <f aca="false">(Sens!I14188*tk_opex_h100+Sens!I14189*tk_opex_gb200+Sens!I14190*tk_opex_gb300+Sens!I14191*tk_opex_vr200)/Sens!I14180</f>
        <v>1.946726218854</v>
      </c>
      <c r="J14196" s="14" t="n">
        <f aca="false">(Sens!J14188*tk_opex_h100+Sens!J14189*tk_opex_gb200+Sens!J14190*tk_opex_gb300+Sens!J14191*tk_opex_vr200)/Sens!J14180</f>
        <v>1.97980335193306</v>
      </c>
      <c r="K14196" s="14" t="n">
        <f aca="false">(Sens!K14188*tk_opex_h100+Sens!K14189*tk_opex_gb200+Sens!K14190*tk_opex_gb300+Sens!K14191*tk_opex_vr200)/Sens!K14180</f>
        <v>2.04551062980633</v>
      </c>
    </row>
    <row r="14197" customFormat="false" ht="17.15" hidden="false" customHeight="false" outlineLevel="0" collapsed="false">
      <c r="A14197" s="0" t="s">
        <v>835</v>
      </c>
      <c r="B14197" s="0" t="s">
        <v>98</v>
      </c>
      <c r="D14197" s="6" t="n">
        <f aca="false">(Sens!C14183+Sens!D14183)/2*Sens!D14196/1000</f>
        <v>2.70378325872065</v>
      </c>
      <c r="E14197" s="6" t="n">
        <f aca="false">(Sens!D14183+Sens!E14183)/2*Sens!E14196/1000</f>
        <v>6.17783035277451</v>
      </c>
      <c r="F14197" s="6" t="n">
        <f aca="false">(Sens!E14183+Sens!F14183)/2*Sens!F14196/1000</f>
        <v>9.29171252202166</v>
      </c>
      <c r="G14197" s="6" t="n">
        <f aca="false">(Sens!F14183+Sens!G14183)/2*Sens!G14196/1000</f>
        <v>10.8656303108993</v>
      </c>
      <c r="H14197" s="6" t="n">
        <f aca="false">(Sens!G14183+Sens!H14183)/2*Sens!H14196/1000</f>
        <v>11.6451839470223</v>
      </c>
      <c r="I14197" s="6" t="n">
        <f aca="false">(Sens!H14183+Sens!I14183)/2*Sens!I14196/1000</f>
        <v>11.7776936240667</v>
      </c>
      <c r="J14197" s="6" t="n">
        <f aca="false">(Sens!I14183+Sens!J14183)/2*Sens!J14196/1000</f>
        <v>11.977810279195</v>
      </c>
      <c r="K14197" s="6" t="n">
        <f aca="false">(Sens!J14183+Sens!K14183)/2*Sens!K14196/1000</f>
        <v>12.3753393103283</v>
      </c>
    </row>
    <row r="14198" customFormat="false" ht="17.15" hidden="false" customHeight="false" outlineLevel="0" collapsed="false">
      <c r="A14198" s="0" t="s">
        <v>836</v>
      </c>
      <c r="B14198" s="0" t="s">
        <v>98</v>
      </c>
      <c r="D14198" s="6" t="n">
        <f aca="false">(Sens!C14181+Sens!D14181)/2*rent_mw/1000</f>
        <v>2.44475</v>
      </c>
      <c r="E14198" s="6" t="n">
        <f aca="false">(Sens!D14181+Sens!E14181)/2*rent_mw/1000</f>
        <v>4.22275</v>
      </c>
      <c r="F14198" s="6" t="n">
        <f aca="false">(Sens!E14181+Sens!F14181)/2*rent_mw/1000</f>
        <v>5.80517</v>
      </c>
      <c r="G14198" s="6" t="n">
        <f aca="false">(Sens!F14181+Sens!G14181)/2*rent_mw/1000</f>
        <v>6.72084</v>
      </c>
      <c r="H14198" s="6" t="n">
        <f aca="false">(Sens!G14181+Sens!H14181)/2*rent_mw/1000</f>
        <v>6.72084</v>
      </c>
      <c r="I14198" s="6" t="n">
        <f aca="false">(Sens!H14181+Sens!I14181)/2*rent_mw/1000</f>
        <v>6.72084</v>
      </c>
      <c r="J14198" s="6" t="n">
        <f aca="false">(Sens!I14181+Sens!J14181)/2*rent_mw/1000</f>
        <v>6.72084</v>
      </c>
      <c r="K14198" s="6" t="n">
        <f aca="false">(Sens!J14181+Sens!K14181)/2*rent_mw/1000</f>
        <v>6.72084</v>
      </c>
    </row>
    <row r="14199" customFormat="false" ht="17.15" hidden="false" customHeight="false" outlineLevel="0" collapsed="false">
      <c r="A14199" s="0" t="s">
        <v>837</v>
      </c>
      <c r="B14199" s="0" t="s">
        <v>98</v>
      </c>
      <c r="D14199" s="6" t="n">
        <f aca="false">(Sens!C14183+Sens!D14183)/2*(1-self_build)*fac_rent/1000</f>
        <v>0.853242375631075</v>
      </c>
      <c r="E14199" s="6" t="n">
        <f aca="false">(Sens!D14183+Sens!E14183)/2*(1-self_build)*fac_rent/1000</f>
        <v>1.94955961408728</v>
      </c>
      <c r="F14199" s="6" t="n">
        <f aca="false">(Sens!E14183+Sens!F14183)/2*(1-self_build)*fac_rent/1000</f>
        <v>2.89903979255117</v>
      </c>
      <c r="G14199" s="6" t="n">
        <f aca="false">(Sens!F14183+Sens!G14183)/2*(1-self_build)*fac_rent/1000</f>
        <v>3.36038596077029</v>
      </c>
      <c r="H14199" s="6" t="n">
        <f aca="false">(Sens!G14183+Sens!H14183)/2*(1-self_build)*fac_rent/1000</f>
        <v>3.60147653900094</v>
      </c>
      <c r="I14199" s="6" t="n">
        <f aca="false">(Sens!H14183+Sens!I14183)/2*(1-self_build)*fac_rent/1000</f>
        <v>3.60147653900094</v>
      </c>
      <c r="J14199" s="6" t="n">
        <f aca="false">(Sens!I14183+Sens!J14183)/2*(1-self_build)*fac_rent/1000</f>
        <v>3.60147653900094</v>
      </c>
      <c r="K14199" s="6" t="n">
        <f aca="false">(Sens!J14183+Sens!K14183)/2*(1-self_build)*fac_rent/1000</f>
        <v>3.60147653900094</v>
      </c>
      <c r="L14199" s="11" t="s">
        <v>838</v>
      </c>
    </row>
    <row r="14200" customFormat="false" ht="17.15" hidden="false" customHeight="false" outlineLevel="0" collapsed="false">
      <c r="A14200" s="1" t="s">
        <v>839</v>
      </c>
      <c r="B14200" s="0" t="s">
        <v>129</v>
      </c>
      <c r="D14200" s="7" t="n">
        <f aca="false">(Sens!C14182+Sens!D14182)/(Sens!C14183+Sens!D14183)</f>
        <v>0.6</v>
      </c>
      <c r="E14200" s="7" t="n">
        <f aca="false">(Sens!D14182+Sens!E14182)/(Sens!D14183+Sens!E14183)</f>
        <v>0.6</v>
      </c>
      <c r="F14200" s="7" t="n">
        <f aca="false">(Sens!E14182+Sens!F14182)/(Sens!E14183+Sens!F14183)</f>
        <v>0.6</v>
      </c>
      <c r="G14200" s="7" t="n">
        <f aca="false">(Sens!F14182+Sens!G14182)/(Sens!F14183+Sens!G14183)</f>
        <v>0.6</v>
      </c>
      <c r="H14200" s="7" t="n">
        <f aca="false">(Sens!G14182+Sens!H14182)/(Sens!G14183+Sens!H14183)</f>
        <v>0.6</v>
      </c>
      <c r="I14200" s="7" t="n">
        <f aca="false">(Sens!H14182+Sens!I14182)/(Sens!H14183+Sens!I14183)</f>
        <v>0.6</v>
      </c>
      <c r="J14200" s="7" t="n">
        <f aca="false">(Sens!I14182+Sens!J14182)/(Sens!I14183+Sens!J14183)</f>
        <v>0.6</v>
      </c>
      <c r="K14200" s="7" t="n">
        <f aca="false">(Sens!J14182+Sens!K14182)/(Sens!J14183+Sens!K14183)</f>
        <v>0.6</v>
      </c>
    </row>
    <row r="14201" customFormat="false" ht="17.15" hidden="false" customHeight="false" outlineLevel="0" collapsed="false">
      <c r="A14201" s="0" t="s">
        <v>840</v>
      </c>
      <c r="B14201" s="0" t="s">
        <v>98</v>
      </c>
      <c r="D14201" s="6" t="n">
        <f aca="false">Sens!D14195-Sens!D14200*(Sens!D14197+Sens!D14199)-Sens!D14198</f>
        <v>8.35701406163072</v>
      </c>
      <c r="E14201" s="6" t="n">
        <f aca="false">Sens!E14195-Sens!E14200*(Sens!E14197+Sens!E14199)-Sens!E14198</f>
        <v>18.7103224860238</v>
      </c>
      <c r="F14201" s="6" t="n">
        <f aca="false">Sens!F14195-Sens!F14200*(Sens!F14197+Sens!F14199)-Sens!F14198</f>
        <v>31.5058734889871</v>
      </c>
      <c r="G14201" s="6" t="n">
        <f aca="false">Sens!G14195-Sens!G14200*(Sens!G14197+Sens!G14199)-Sens!G14198</f>
        <v>40.8110299921418</v>
      </c>
      <c r="H14201" s="6" t="n">
        <f aca="false">Sens!H14195-Sens!H14200*(Sens!H14197+Sens!H14199)-Sens!H14198</f>
        <v>46.9765920256827</v>
      </c>
      <c r="I14201" s="6" t="n">
        <f aca="false">Sens!I14195-Sens!I14200*(Sens!I14197+Sens!I14199)-Sens!I14198</f>
        <v>48.5289875687759</v>
      </c>
      <c r="J14201" s="6" t="n">
        <f aca="false">Sens!J14195-Sens!J14200*(Sens!J14197+Sens!J14199)-Sens!J14198</f>
        <v>50.8734216542636</v>
      </c>
      <c r="K14201" s="6" t="n">
        <f aca="false">Sens!K14195-Sens!K14200*(Sens!K14197+Sens!K14199)-Sens!K14198</f>
        <v>55.5306082835433</v>
      </c>
    </row>
    <row r="14202" customFormat="false" ht="17.15" hidden="false" customHeight="false" outlineLevel="0" collapsed="false">
      <c r="A14202" s="1" t="s">
        <v>841</v>
      </c>
      <c r="B14202" s="0" t="s">
        <v>98</v>
      </c>
      <c r="D14202" s="6" t="n">
        <f aca="false">(1-Sens!D14200)*(Sens!D14197+Sens!D14199)</f>
        <v>1.42281025374069</v>
      </c>
      <c r="E14202" s="6" t="n">
        <f aca="false">(1-Sens!E14200)*(Sens!E14197+Sens!E14199)</f>
        <v>3.25095598674472</v>
      </c>
      <c r="F14202" s="6" t="n">
        <f aca="false">(1-Sens!F14200)*(Sens!F14197+Sens!F14199)</f>
        <v>4.87630092582913</v>
      </c>
      <c r="G14202" s="6" t="n">
        <f aca="false">(1-Sens!G14200)*(Sens!G14197+Sens!G14199)</f>
        <v>5.69040650866783</v>
      </c>
      <c r="H14202" s="6" t="n">
        <f aca="false">(1-Sens!H14200)*(Sens!H14197+Sens!H14199)</f>
        <v>6.09866419440928</v>
      </c>
      <c r="I14202" s="6" t="n">
        <f aca="false">(1-Sens!I14200)*(Sens!I14197+Sens!I14199)</f>
        <v>6.15166806522705</v>
      </c>
      <c r="J14202" s="6" t="n">
        <f aca="false">(1-Sens!J14200)*(Sens!J14197+Sens!J14199)</f>
        <v>6.23171472727838</v>
      </c>
      <c r="K14202" s="6" t="n">
        <f aca="false">(1-Sens!K14200)*(Sens!K14197+Sens!K14199)</f>
        <v>6.39072633973169</v>
      </c>
    </row>
    <row r="14203" customFormat="false" ht="17.15" hidden="false" customHeight="false" outlineLevel="0" collapsed="false">
      <c r="A14203" s="1" t="s">
        <v>842</v>
      </c>
      <c r="B14203" s="0" t="s">
        <v>357</v>
      </c>
      <c r="C14203" s="8" t="n">
        <f aca="false">cxit_open</f>
        <v>27.5918995</v>
      </c>
      <c r="D14203" s="8" t="n">
        <f aca="false">cxit_open</f>
        <v>27.5918995</v>
      </c>
      <c r="E14203" s="8" t="n">
        <f aca="false">cxit_open</f>
        <v>27.5918995</v>
      </c>
      <c r="F14203" s="8" t="n">
        <f aca="false">(a_g3_27*tk_cxit_gb300+(1-a_g3_27)*tk_cxit_vr200)</f>
        <v>33.8419624</v>
      </c>
      <c r="G14203" s="8" t="n">
        <f aca="false">(a_g3_28*tk_cxit_gb300+(1-a_g3_28)*tk_cxit_vr200)</f>
        <v>35.9816136</v>
      </c>
      <c r="H14203" s="8" t="n">
        <f aca="false">(a_g3_29*tk_cxit_gb300+(1-a_g3_29)*tk_cxit_vr200)</f>
        <v>37.0514392</v>
      </c>
      <c r="I14203" s="8" t="n">
        <f aca="false">(a_g3_29*tk_cxit_gb300+(1-a_g3_29)*tk_cxit_vr200)</f>
        <v>37.0514392</v>
      </c>
      <c r="J14203" s="8" t="n">
        <f aca="false">(a_g3_29*tk_cxit_gb300+(1-a_g3_29)*tk_cxit_vr200)</f>
        <v>37.0514392</v>
      </c>
      <c r="K14203" s="8" t="n">
        <f aca="false">(a_g3_29*tk_cxit_gb300+(1-a_g3_29)*tk_cxit_vr200)</f>
        <v>37.0514392</v>
      </c>
      <c r="L14203" s="11" t="s">
        <v>843</v>
      </c>
    </row>
    <row r="14204" customFormat="false" ht="17.15" hidden="false" customHeight="false" outlineLevel="0" collapsed="false">
      <c r="A14204" s="0" t="s">
        <v>844</v>
      </c>
      <c r="B14204" s="0" t="s">
        <v>399</v>
      </c>
      <c r="F14204" s="29" t="n">
        <f aca="false">Sens!C14185*IF(Sens!F14178-Sens!C14178=life_it,1,0)+Sens!D14185*IF(Sens!F14178-Sens!D14178=life_it,1,0)+Sens!E14185*IF(Sens!F14178-Sens!E14178=life_it,1,0)</f>
        <v>0</v>
      </c>
      <c r="G14204" s="29" t="n">
        <f aca="false">Sens!C14185*IF(Sens!G14178-Sens!C14178=life_it,1,0)+Sens!D14185*IF(Sens!G14178-Sens!D14178=life_it,1,0)+Sens!E14185*IF(Sens!G14178-Sens!E14178=life_it,1,0)+Sens!F14185*IF(Sens!G14178-Sens!F14178=life_it,1,0)</f>
        <v>0</v>
      </c>
      <c r="H14204" s="29" t="n">
        <f aca="false">Sens!C14185*IF(Sens!H14178-Sens!C14178=life_it,1,0)+Sens!D14185*IF(Sens!H14178-Sens!D14178=life_it,1,0)+Sens!E14185*IF(Sens!H14178-Sens!E14178=life_it,1,0)+Sens!F14185*IF(Sens!H14178-Sens!F14178=life_it,1,0)+Sens!G14185*IF(Sens!H14178-Sens!G14178=life_it,1,0)</f>
        <v>0</v>
      </c>
      <c r="I14204" s="29" t="n">
        <f aca="false">Sens!C14185*IF(Sens!I14178-Sens!C14178=life_it,1,0)+Sens!D14185*IF(Sens!I14178-Sens!D14178=life_it,1,0)+Sens!E14185*IF(Sens!I14178-Sens!E14178=life_it,1,0)+Sens!F14185*IF(Sens!I14178-Sens!F14178=life_it,1,0)+Sens!G14185*IF(Sens!I14178-Sens!G14178=life_it,1,0)+Sens!H14185*IF(Sens!I14178-Sens!H14178=life_it,1,0)</f>
        <v>816.666666666667</v>
      </c>
      <c r="J14204" s="29" t="n">
        <f aca="false">Sens!C14185*IF(Sens!J14178-Sens!C14178=life_it,1,0)+Sens!D14185*IF(Sens!J14178-Sens!D14178=life_it,1,0)+Sens!E14185*IF(Sens!J14178-Sens!E14178=life_it,1,0)+Sens!F14185*IF(Sens!J14178-Sens!F14178=life_it,1,0)+Sens!G14185*IF(Sens!J14178-Sens!G14178=life_it,1,0)+Sens!H14185*IF(Sens!J14178-Sens!H14178=life_it,1,0)+Sens!I14185*IF(Sens!J14178-Sens!I14178=life_it,1,0)</f>
        <v>1233.33333333333</v>
      </c>
      <c r="K14204" s="29" t="n">
        <f aca="false">Sens!C14185*IF(Sens!K14178-Sens!C14178=life_it,1,0)+Sens!D14185*IF(Sens!K14178-Sens!D14178=life_it,1,0)+Sens!E14185*IF(Sens!K14178-Sens!E14178=life_it,1,0)+Sens!F14185*IF(Sens!K14178-Sens!F14178=life_it,1,0)+Sens!G14185*IF(Sens!K14178-Sens!G14178=life_it,1,0)+Sens!H14185*IF(Sens!K14178-Sens!H14178=life_it,1,0)+Sens!I14185*IF(Sens!K14178-Sens!I14178=life_it,1,0)+Sens!J14185*IF(Sens!K14178-Sens!J14178=life_it,1,0)</f>
        <v>2450</v>
      </c>
      <c r="L14204" s="1" t="s">
        <v>845</v>
      </c>
    </row>
    <row r="14205" customFormat="false" ht="17.15" hidden="false" customHeight="false" outlineLevel="0" collapsed="false">
      <c r="A14205" s="0" t="s">
        <v>846</v>
      </c>
      <c r="B14205" s="0" t="s">
        <v>98</v>
      </c>
      <c r="C14205" s="6" t="n">
        <f aca="false">Sens!C14185*Sens!C14203/1000</f>
        <v>22.5333845916667</v>
      </c>
      <c r="D14205" s="6" t="n">
        <f aca="false">Sens!D14185*Sens!D14203/1000</f>
        <v>34.0300093833333</v>
      </c>
      <c r="E14205" s="6" t="n">
        <f aca="false">Sens!E14185*Sens!E14203/1000</f>
        <v>67.600153775</v>
      </c>
      <c r="F14205" s="6" t="n">
        <f aca="false">(Sens!F14185+Sens!F14204)*Sens!F14203/1000</f>
        <v>25.043052176</v>
      </c>
      <c r="G14205" s="6" t="n">
        <f aca="false">(Sens!G14185+Sens!G14204)*Sens!G14203/1000</f>
        <v>29.145107016</v>
      </c>
      <c r="H14205" s="6" t="n">
        <f aca="false">(Sens!H14185+Sens!H14204)*Sens!H14203/1000</f>
        <v>0</v>
      </c>
      <c r="I14205" s="6" t="n">
        <f aca="false">(Sens!I14185+Sens!I14204)*Sens!I14203/1000</f>
        <v>30.2586753466667</v>
      </c>
      <c r="J14205" s="6" t="n">
        <f aca="false">(Sens!J14185+Sens!J14204)*Sens!J14203/1000</f>
        <v>45.6967750133333</v>
      </c>
      <c r="K14205" s="6" t="n">
        <f aca="false">(Sens!K14185+Sens!K14204)*Sens!K14203/1000</f>
        <v>90.77602604</v>
      </c>
    </row>
    <row r="14206" customFormat="false" ht="17.15" hidden="false" customHeight="false" outlineLevel="0" collapsed="false">
      <c r="A14206" s="0" t="s">
        <v>847</v>
      </c>
      <c r="B14206" s="0" t="s">
        <v>98</v>
      </c>
      <c r="C14206" s="6" t="n">
        <f aca="false">Sens!C14185*self_build*tk_cxfac/1000</f>
        <v>6.2083</v>
      </c>
      <c r="D14206" s="6" t="n">
        <f aca="false">Sens!D14185*self_build*tk_cxfac/1000</f>
        <v>9.3758</v>
      </c>
      <c r="E14206" s="6" t="n">
        <f aca="false">Sens!E14185*self_build*tk_cxfac/1000</f>
        <v>18.6249</v>
      </c>
      <c r="F14206" s="6" t="n">
        <f aca="false">Sens!F14185*self_build*tk_cxfac/1000</f>
        <v>5.62548</v>
      </c>
      <c r="G14206" s="6" t="n">
        <f aca="false">Sens!G14185*self_build*tk_cxfac/1000</f>
        <v>6.15762</v>
      </c>
      <c r="H14206" s="6" t="n">
        <f aca="false">Sens!H14185*self_build*tk_cxfac/1000</f>
        <v>0</v>
      </c>
      <c r="I14206" s="6" t="n">
        <f aca="false">Sens!I14185*self_build*tk_cxfac/1000</f>
        <v>0</v>
      </c>
      <c r="J14206" s="6" t="n">
        <f aca="false">Sens!J14185*self_build*tk_cxfac/1000</f>
        <v>0</v>
      </c>
      <c r="K14206" s="6" t="n">
        <f aca="false">Sens!K14185*self_build*tk_cxfac/1000</f>
        <v>0</v>
      </c>
    </row>
    <row r="14207" customFormat="false" ht="17.15" hidden="false" customHeight="false" outlineLevel="0" collapsed="false">
      <c r="A14207" s="0" t="s">
        <v>848</v>
      </c>
      <c r="B14207" s="0" t="s">
        <v>98</v>
      </c>
      <c r="F14207" s="6" t="n">
        <f aca="false">MAX(0,capex_floor27-Sens!F14205-Sens!F14206-Sens!F14301)</f>
        <v>137.802120594438</v>
      </c>
    </row>
    <row r="14208" customFormat="false" ht="17.15" hidden="false" customHeight="false" outlineLevel="0" collapsed="false">
      <c r="A14208" s="0" t="s">
        <v>849</v>
      </c>
      <c r="B14208" s="0" t="s">
        <v>98</v>
      </c>
      <c r="C14208" s="6" t="n">
        <f aca="false">Sens!C14205</f>
        <v>22.5333845916667</v>
      </c>
      <c r="D14208" s="6" t="n">
        <f aca="false">Sens!D14205</f>
        <v>34.0300093833333</v>
      </c>
      <c r="E14208" s="6" t="n">
        <f aca="false">Sens!E14205</f>
        <v>67.600153775</v>
      </c>
      <c r="F14208" s="6" t="n">
        <f aca="false">Sens!F14205</f>
        <v>25.043052176</v>
      </c>
      <c r="G14208" s="6" t="n">
        <f aca="false">Sens!G14205</f>
        <v>29.145107016</v>
      </c>
      <c r="H14208" s="6" t="n">
        <f aca="false">Sens!H14205</f>
        <v>0</v>
      </c>
      <c r="I14208" s="6" t="n">
        <f aca="false">Sens!I14205</f>
        <v>30.2586753466667</v>
      </c>
      <c r="J14208" s="6" t="n">
        <f aca="false">Sens!J14205</f>
        <v>45.6967750133333</v>
      </c>
      <c r="K14208" s="6" t="n">
        <f aca="false">Sens!K14205</f>
        <v>90.77602604</v>
      </c>
    </row>
    <row r="14209" customFormat="false" ht="17.15" hidden="false" customHeight="false" outlineLevel="0" collapsed="false">
      <c r="A14209" s="0" t="s">
        <v>850</v>
      </c>
      <c r="B14209" s="0" t="s">
        <v>98</v>
      </c>
      <c r="C14209" s="6" t="n">
        <f aca="false">Sens!C14208+Sens!C14206</f>
        <v>28.7416845916667</v>
      </c>
      <c r="D14209" s="6" t="n">
        <f aca="false">Sens!D14208+Sens!D14206</f>
        <v>43.4058093833333</v>
      </c>
      <c r="E14209" s="6" t="n">
        <f aca="false">Sens!E14208+Sens!E14206</f>
        <v>86.225053775</v>
      </c>
      <c r="F14209" s="6" t="n">
        <f aca="false">Sens!F14208+Sens!F14206</f>
        <v>30.668532176</v>
      </c>
      <c r="G14209" s="6" t="n">
        <f aca="false">Sens!G14208+Sens!G14206</f>
        <v>35.302727016</v>
      </c>
      <c r="H14209" s="6" t="n">
        <f aca="false">Sens!H14208+Sens!H14206</f>
        <v>0</v>
      </c>
      <c r="I14209" s="6" t="n">
        <f aca="false">Sens!I14208+Sens!I14206</f>
        <v>30.2586753466667</v>
      </c>
      <c r="J14209" s="6" t="n">
        <f aca="false">Sens!J14208+Sens!J14206</f>
        <v>45.6967750133333</v>
      </c>
      <c r="K14209" s="6" t="n">
        <f aca="false">Sens!K14208+Sens!K14206</f>
        <v>90.77602604</v>
      </c>
      <c r="L14209" s="11" t="s">
        <v>851</v>
      </c>
    </row>
    <row r="14210" customFormat="false" ht="17.15" hidden="false" customHeight="false" outlineLevel="0" collapsed="false">
      <c r="A14210" s="0" t="s">
        <v>852</v>
      </c>
      <c r="B14210" s="0" t="s">
        <v>98</v>
      </c>
      <c r="E14210" s="6" t="n">
        <f aca="false">(Sens!C14208*IF(2&lt;life_it,1,IF(2=life_it,0.5,0))+Sens!D14208*IF(1&lt;life_it,1,IF(1=life_it,0.5,0))+Sens!E14208*0.5)/life_it</f>
        <v>15.0605784770833</v>
      </c>
      <c r="F14210" s="6" t="n">
        <f aca="false">(Sens!C14208*IF(3&lt;life_it,1,IF(3=life_it,0.5,0))+Sens!D14208*IF(2&lt;life_it,1,IF(2=life_it,0.5,0))+Sens!E14208*IF(1&lt;life_it,1,IF(1=life_it,0.5,0))+Sens!F14208*0.5)/life_it</f>
        <v>22.7808456396667</v>
      </c>
      <c r="G14210" s="6" t="n">
        <f aca="false">(Sens!C14208*IF(4&lt;life_it,1,IF(4=life_it,0.5,0))+Sens!D14208*IF(3&lt;life_it,1,IF(3=life_it,0.5,0))+Sens!E14208*IF(2&lt;life_it,1,IF(2=life_it,0.5,0))+Sens!F14208*IF(1&lt;life_it,1,IF(1=life_it,0.5,0))+Sens!G14208*0.5)/life_it</f>
        <v>27.2965255723333</v>
      </c>
      <c r="H14210" s="6" t="n">
        <f aca="false">(Sens!C14208*IF(5&lt;life_it,1,IF(5=life_it,0.5,0))+Sens!D14208*IF(4&lt;life_it,1,IF(4=life_it,0.5,0))+Sens!E14208*IF(3&lt;life_it,1,IF(3=life_it,0.5,0))+Sens!F14208*IF(2&lt;life_it,1,IF(2=life_it,0.5,0))+Sens!G14208*IF(1&lt;life_it,1,IF(1=life_it,0.5,0))+Sens!H14208*0.5)/life_it</f>
        <v>29.7252844903333</v>
      </c>
      <c r="I14210" s="6" t="n">
        <f aca="false">(Sens!C14208*IF(6&lt;life_it,1,IF(6=life_it,0.5,0))+Sens!D14208*IF(5&lt;life_it,1,IF(5=life_it,0.5,0))+Sens!E14208*IF(4&lt;life_it,1,IF(4=life_it,0.5,0))+Sens!F14208*IF(3&lt;life_it,1,IF(3=life_it,0.5,0))+Sens!G14208*IF(2&lt;life_it,1,IF(2=life_it,0.5,0))+Sens!H14208*IF(1&lt;life_it,1,IF(1=life_it,0.5,0))+Sens!I14208*0.5)/life_it</f>
        <v>30.3690587199167</v>
      </c>
      <c r="J14210" s="6" t="n">
        <f aca="false">(Sens!C14208*IF(7&lt;life_it,1,IF(7=life_it,0.5,0))+Sens!D14208*IF(6&lt;life_it,1,IF(6=life_it,0.5,0))+Sens!E14208*IF(5&lt;life_it,1,IF(5=life_it,0.5,0))+Sens!F14208*IF(4&lt;life_it,1,IF(4=life_it,0.5,0))+Sens!G14208*IF(3&lt;life_it,1,IF(3=life_it,0.5,0))+Sens!H14208*IF(2&lt;life_it,1,IF(2=life_it,0.5,0))+Sens!I14208*IF(1&lt;life_it,1,IF(1=life_it,0.5,0))+Sens!J14208*0.5)/life_it</f>
        <v>31.9850634186667</v>
      </c>
      <c r="K14210" s="6" t="n">
        <f aca="false">(Sens!C14208*IF(8&lt;life_it,1,IF(8=life_it,0.5,0))+Sens!D14208*IF(7&lt;life_it,1,IF(7=life_it,0.5,0))+Sens!E14208*IF(6&lt;life_it,1,IF(6=life_it,0.5,0))+Sens!F14208*IF(5&lt;life_it,1,IF(5=life_it,0.5,0))+Sens!G14208*IF(4&lt;life_it,1,IF(4=life_it,0.5,0))+Sens!H14208*IF(3&lt;life_it,1,IF(3=life_it,0.5,0))+Sens!I14208*IF(2&lt;life_it,1,IF(2=life_it,0.5,0))+Sens!J14208*IF(1&lt;life_it,1,IF(1=life_it,0.5,0))+Sens!K14208*0.5)/life_it</f>
        <v>34.8886165765833</v>
      </c>
    </row>
    <row r="14211" customFormat="false" ht="17.15" hidden="false" customHeight="false" outlineLevel="0" collapsed="false">
      <c r="A14211" s="0" t="s">
        <v>853</v>
      </c>
      <c r="B14211" s="0" t="s">
        <v>98</v>
      </c>
      <c r="E14211" s="6" t="n">
        <f aca="false">(Sens!C14206*IF(2&lt;life_fac,1,IF(2=life_fac,0.5,0))+Sens!D14206*IF(1&lt;life_fac,1,IF(1=life_fac,0.5,0))+Sens!E14206*0.5)/life_fac</f>
        <v>1.2448275</v>
      </c>
      <c r="F14211" s="6" t="n">
        <f aca="false">(Sens!C14206*IF(3&lt;life_fac,1,IF(3=life_fac,0.5,0))+Sens!D14206*IF(2&lt;life_fac,1,IF(2=life_fac,0.5,0))+Sens!E14206*IF(1&lt;life_fac,1,IF(1=life_fac,0.5,0))+Sens!F14206*0.5)/life_fac</f>
        <v>1.851087</v>
      </c>
      <c r="G14211" s="6" t="n">
        <f aca="false">(Sens!C14206*IF(4&lt;life_fac,1,IF(4=life_fac,0.5,0))+Sens!D14206*IF(3&lt;life_fac,1,IF(3=life_fac,0.5,0))+Sens!E14206*IF(2&lt;life_fac,1,IF(2=life_fac,0.5,0))+Sens!F14206*IF(1&lt;life_fac,1,IF(1=life_fac,0.5,0))+Sens!G14206*0.5)/life_fac</f>
        <v>2.1456645</v>
      </c>
      <c r="H14211" s="6" t="n">
        <f aca="false">(Sens!C14206*IF(5&lt;life_fac,1,IF(5=life_fac,0.5,0))+Sens!D14206*IF(4&lt;life_fac,1,IF(4=life_fac,0.5,0))+Sens!E14206*IF(3&lt;life_fac,1,IF(3=life_fac,0.5,0))+Sens!F14206*IF(2&lt;life_fac,1,IF(2=life_fac,0.5,0))+Sens!G14206*IF(1&lt;life_fac,1,IF(1=life_fac,0.5,0))+Sens!H14206*0.5)/life_fac</f>
        <v>2.299605</v>
      </c>
      <c r="I14211" s="6" t="n">
        <f aca="false">(Sens!C14206*IF(6&lt;life_fac,1,IF(6=life_fac,0.5,0))+Sens!D14206*IF(5&lt;life_fac,1,IF(5=life_fac,0.5,0))+Sens!E14206*IF(4&lt;life_fac,1,IF(4=life_fac,0.5,0))+Sens!F14206*IF(3&lt;life_fac,1,IF(3=life_fac,0.5,0))+Sens!G14206*IF(2&lt;life_fac,1,IF(2=life_fac,0.5,0))+Sens!H14206*IF(1&lt;life_fac,1,IF(1=life_fac,0.5,0))+Sens!I14206*0.5)/life_fac</f>
        <v>2.299605</v>
      </c>
      <c r="J14211" s="6" t="n">
        <f aca="false">(Sens!C14206*IF(7&lt;life_fac,1,IF(7=life_fac,0.5,0))+Sens!D14206*IF(6&lt;life_fac,1,IF(6=life_fac,0.5,0))+Sens!E14206*IF(5&lt;life_fac,1,IF(5=life_fac,0.5,0))+Sens!F14206*IF(4&lt;life_fac,1,IF(4=life_fac,0.5,0))+Sens!G14206*IF(3&lt;life_fac,1,IF(3=life_fac,0.5,0))+Sens!H14206*IF(2&lt;life_fac,1,IF(2=life_fac,0.5,0))+Sens!I14206*IF(1&lt;life_fac,1,IF(1=life_fac,0.5,0))+Sens!J14206*0.5)/life_fac</f>
        <v>2.299605</v>
      </c>
      <c r="K14211" s="6" t="n">
        <f aca="false">(Sens!C14206*IF(8&lt;life_fac,1,IF(8=life_fac,0.5,0))+Sens!D14206*IF(7&lt;life_fac,1,IF(7=life_fac,0.5,0))+Sens!E14206*IF(6&lt;life_fac,1,IF(6=life_fac,0.5,0))+Sens!F14206*IF(5&lt;life_fac,1,IF(5=life_fac,0.5,0))+Sens!G14206*IF(4&lt;life_fac,1,IF(4=life_fac,0.5,0))+Sens!H14206*IF(3&lt;life_fac,1,IF(3=life_fac,0.5,0))+Sens!I14206*IF(2&lt;life_fac,1,IF(2=life_fac,0.5,0))+Sens!J14206*IF(1&lt;life_fac,1,IF(1=life_fac,0.5,0))+Sens!K14206*0.5)/life_fac</f>
        <v>2.299605</v>
      </c>
    </row>
    <row r="14212" customFormat="false" ht="17.15" hidden="false" customHeight="false" outlineLevel="0" collapsed="false">
      <c r="A14212" s="0" t="s">
        <v>854</v>
      </c>
      <c r="B14212" s="0" t="s">
        <v>98</v>
      </c>
      <c r="E14212" s="6" t="n">
        <f aca="false">Sens!E14210+Sens!E14211</f>
        <v>16.3054059770833</v>
      </c>
      <c r="F14212" s="6" t="n">
        <f aca="false">Sens!F14210+Sens!F14211</f>
        <v>24.6319326396667</v>
      </c>
      <c r="G14212" s="6" t="n">
        <f aca="false">Sens!G14210+Sens!G14211</f>
        <v>29.4421900723333</v>
      </c>
      <c r="H14212" s="6" t="n">
        <f aca="false">Sens!H14210+Sens!H14211</f>
        <v>32.0248894903333</v>
      </c>
      <c r="I14212" s="6" t="n">
        <f aca="false">Sens!I14210+Sens!I14211</f>
        <v>32.6686637199167</v>
      </c>
      <c r="J14212" s="6" t="n">
        <f aca="false">Sens!J14210+Sens!J14211</f>
        <v>34.2846684186667</v>
      </c>
      <c r="K14212" s="6" t="n">
        <f aca="false">Sens!K14210+Sens!K14211</f>
        <v>37.1882215765833</v>
      </c>
    </row>
    <row r="14213" customFormat="false" ht="17.15" hidden="false" customHeight="false" outlineLevel="0" collapsed="false">
      <c r="A14213" s="0" t="s">
        <v>855</v>
      </c>
      <c r="B14213" s="0" t="s">
        <v>98</v>
      </c>
      <c r="E14213" s="6" t="n">
        <f aca="false">Sens!E14201-Sens!E14200*Sens!E14212</f>
        <v>8.92707889977379</v>
      </c>
      <c r="F14213" s="6" t="n">
        <f aca="false">Sens!F14201-Sens!F14200*Sens!F14212</f>
        <v>16.7267139051871</v>
      </c>
      <c r="G14213" s="6" t="n">
        <f aca="false">Sens!G14201-Sens!G14200*Sens!G14212</f>
        <v>23.1457159487418</v>
      </c>
      <c r="H14213" s="6" t="n">
        <f aca="false">Sens!H14201-Sens!H14200*Sens!H14212</f>
        <v>27.7616583314827</v>
      </c>
      <c r="I14213" s="6" t="n">
        <f aca="false">Sens!I14201-Sens!I14200*Sens!I14212</f>
        <v>28.9277893368259</v>
      </c>
      <c r="J14213" s="6" t="n">
        <f aca="false">Sens!J14201-Sens!J14200*Sens!J14212</f>
        <v>30.3026206030636</v>
      </c>
      <c r="K14213" s="6" t="n">
        <f aca="false">Sens!K14201-Sens!K14200*Sens!K14212</f>
        <v>33.2176753375933</v>
      </c>
    </row>
    <row r="14214" customFormat="false" ht="17.15" hidden="false" customHeight="false" outlineLevel="0" collapsed="false">
      <c r="A14214" s="3" t="s">
        <v>1622</v>
      </c>
    </row>
    <row r="14215" customFormat="false" ht="15" hidden="false" customHeight="false" outlineLevel="0" collapsed="false">
      <c r="A14215" s="4" t="s">
        <v>43</v>
      </c>
      <c r="B14215" s="4" t="s">
        <v>65</v>
      </c>
      <c r="C14215" s="20" t="s">
        <v>799</v>
      </c>
      <c r="D14215" s="20" t="s">
        <v>800</v>
      </c>
      <c r="E14215" s="20" t="s">
        <v>801</v>
      </c>
      <c r="F14215" s="20" t="s">
        <v>802</v>
      </c>
      <c r="G14215" s="20" t="s">
        <v>803</v>
      </c>
      <c r="H14215" s="20" t="s">
        <v>804</v>
      </c>
      <c r="I14215" s="20" t="s">
        <v>805</v>
      </c>
      <c r="J14215" s="20" t="s">
        <v>806</v>
      </c>
      <c r="K14215" s="20" t="s">
        <v>807</v>
      </c>
      <c r="L14215" s="4" t="s">
        <v>47</v>
      </c>
    </row>
    <row r="14216" customFormat="false" ht="17.15" hidden="false" customHeight="false" outlineLevel="0" collapsed="false">
      <c r="A14216" s="0" t="s">
        <v>874</v>
      </c>
      <c r="B14216" s="0" t="s">
        <v>98</v>
      </c>
      <c r="D14216" s="6" t="n">
        <f aca="false">Sens!D14195</f>
        <v>12.9359794422418</v>
      </c>
      <c r="E14216" s="6" t="n">
        <f aca="false">Sens!E14195</f>
        <v>27.8095064661409</v>
      </c>
      <c r="F14216" s="6" t="n">
        <f aca="false">Sens!F14195</f>
        <v>44.6254948777308</v>
      </c>
      <c r="G14216" s="6" t="n">
        <f aca="false">Sens!G14195</f>
        <v>56.0674797551436</v>
      </c>
      <c r="H14216" s="6" t="n">
        <f aca="false">Sens!H14195</f>
        <v>62.8454283172966</v>
      </c>
      <c r="I14216" s="6" t="n">
        <f aca="false">Sens!I14195</f>
        <v>64.4773296666165</v>
      </c>
      <c r="J14216" s="6" t="n">
        <f aca="false">Sens!J14195</f>
        <v>66.9418337451812</v>
      </c>
      <c r="K14216" s="6" t="n">
        <f aca="false">Sens!K14195</f>
        <v>71.8375377931408</v>
      </c>
    </row>
    <row r="14217" customFormat="false" ht="17.15" hidden="false" customHeight="false" outlineLevel="0" collapsed="false">
      <c r="A14217" s="0" t="s">
        <v>875</v>
      </c>
      <c r="B14217" s="0" t="s">
        <v>98</v>
      </c>
      <c r="D14217" s="6" t="n">
        <f aca="false">Q!L6-Sens!D14216</f>
        <v>59.6740205577583</v>
      </c>
      <c r="E14217" s="6" t="n">
        <f aca="false">Q!M6-Sens!E14216</f>
        <v>74.1284935338591</v>
      </c>
      <c r="F14217" s="6" t="n">
        <f aca="false">Sens!E14217*(1+Sens!F14218)</f>
        <v>90.0799497373663</v>
      </c>
      <c r="G14217" s="6" t="n">
        <f aca="false">Sens!F14217*(1+Sens!G14218)</f>
        <v>107.02842520331</v>
      </c>
      <c r="H14217" s="6" t="n">
        <f aca="false">Sens!G14217*(1+Sens!H14218)</f>
        <v>124.271982585636</v>
      </c>
      <c r="I14217" s="6" t="n">
        <f aca="false">Sens!H14217*(1+Sens!I14218)</f>
        <v>140.933702381855</v>
      </c>
      <c r="J14217" s="6" t="n">
        <f aca="false">Sens!I14217*(1+Sens!J14218)</f>
        <v>156.018867314332</v>
      </c>
      <c r="K14217" s="6" t="n">
        <f aca="false">Sens!J14217*(1+Sens!K14218)</f>
        <v>168.500376699478</v>
      </c>
    </row>
    <row r="14218" customFormat="false" ht="15" hidden="false" customHeight="false" outlineLevel="0" collapsed="false">
      <c r="A14218" s="1" t="s">
        <v>876</v>
      </c>
      <c r="B14218" s="0" t="s">
        <v>129</v>
      </c>
      <c r="E14218" s="7" t="n">
        <f aca="false">Sens!E14217/Sens!D14217-1</f>
        <v>0.242223883039864</v>
      </c>
      <c r="F14218" s="7" t="n">
        <f aca="false">Sens!$E$14218+(glt_azo-Sens!$E$14218)*MIN(1,(Sens!F14178-base_fy)/n_conv)</f>
        <v>0.215186569199887</v>
      </c>
      <c r="G14218" s="7" t="n">
        <f aca="false">Sens!$E$14218+(glt_azo-Sens!$E$14218)*MIN(1,(Sens!G14178-base_fy)/n_conv)</f>
        <v>0.18814925535991</v>
      </c>
      <c r="H14218" s="7" t="n">
        <f aca="false">Sens!$E$14218+(glt_azo-Sens!$E$14218)*MIN(1,(Sens!H14178-base_fy)/n_conv)</f>
        <v>0.161111941519932</v>
      </c>
      <c r="I14218" s="7" t="n">
        <f aca="false">Sens!$E$14218+(glt_azo-Sens!$E$14218)*MIN(1,(Sens!I14178-base_fy)/n_conv)</f>
        <v>0.134074627679955</v>
      </c>
      <c r="J14218" s="7" t="n">
        <f aca="false">Sens!$E$14218+(glt_azo-Sens!$E$14218)*MIN(1,(Sens!J14178-base_fy)/n_conv)</f>
        <v>0.107037313839977</v>
      </c>
      <c r="K14218" s="7" t="n">
        <f aca="false">Sens!$E$14218+(glt_azo-Sens!$E$14218)*MIN(1,(Sens!K14178-base_fy)/n_conv)</f>
        <v>0.08</v>
      </c>
    </row>
    <row r="14219" customFormat="false" ht="15" hidden="false" customHeight="false" outlineLevel="0" collapsed="false">
      <c r="A14219" s="0" t="s">
        <v>877</v>
      </c>
      <c r="B14219" s="0" t="s">
        <v>98</v>
      </c>
      <c r="D14219" s="6" t="n">
        <f aca="false">Sens!D14216+Sens!D14217</f>
        <v>72.61</v>
      </c>
      <c r="E14219" s="6" t="n">
        <f aca="false">Sens!E14216+Sens!E14217</f>
        <v>101.938</v>
      </c>
      <c r="F14219" s="6" t="n">
        <f aca="false">Sens!F14216+Sens!F14217</f>
        <v>134.705444615097</v>
      </c>
      <c r="G14219" s="6" t="n">
        <f aca="false">Sens!G14216+Sens!G14217</f>
        <v>163.095904958453</v>
      </c>
      <c r="H14219" s="6" t="n">
        <f aca="false">Sens!H14216+Sens!H14217</f>
        <v>187.117410902933</v>
      </c>
      <c r="I14219" s="6" t="n">
        <f aca="false">Sens!I14216+Sens!I14217</f>
        <v>205.411032048471</v>
      </c>
      <c r="J14219" s="6" t="n">
        <f aca="false">Sens!J14216+Sens!J14217</f>
        <v>222.960701059513</v>
      </c>
      <c r="K14219" s="6" t="n">
        <f aca="false">Sens!K14216+Sens!K14217</f>
        <v>240.337914492619</v>
      </c>
    </row>
    <row r="14220" customFormat="false" ht="17.15" hidden="false" customHeight="false" outlineLevel="0" collapsed="false">
      <c r="A14220" s="0" t="s">
        <v>878</v>
      </c>
      <c r="B14220" s="1" t="s">
        <v>528</v>
      </c>
      <c r="C14220" s="29" t="n">
        <f aca="false">cop_s24</f>
        <v>1</v>
      </c>
      <c r="D14220" s="29" t="n">
        <f aca="false">cop_s25</f>
        <v>5</v>
      </c>
      <c r="E14220" s="29" t="n">
        <f aca="false">cop_s26</f>
        <v>30</v>
      </c>
      <c r="F14220" s="29" t="n">
        <f aca="false">Sens!E14220+cop_add_A</f>
        <v>60</v>
      </c>
      <c r="G14220" s="29" t="n">
        <f aca="false">Sens!F14220+cop_add_A</f>
        <v>90</v>
      </c>
      <c r="H14220" s="29" t="n">
        <f aca="false">Sens!G14220+cop_add_A</f>
        <v>120</v>
      </c>
      <c r="I14220" s="29" t="n">
        <f aca="false">Sens!H14220+cop_add_A*cop_tail</f>
        <v>135</v>
      </c>
      <c r="J14220" s="29" t="n">
        <f aca="false">Sens!I14220+cop_add_A*cop_tail</f>
        <v>150</v>
      </c>
      <c r="K14220" s="29" t="n">
        <f aca="false">Sens!J14220+cop_add_A*cop_tail</f>
        <v>165</v>
      </c>
      <c r="L14220" s="11" t="s">
        <v>879</v>
      </c>
    </row>
    <row r="14221" customFormat="false" ht="17.15" hidden="false" customHeight="false" outlineLevel="0" collapsed="false">
      <c r="A14221" s="0" t="s">
        <v>880</v>
      </c>
      <c r="B14221" s="0" t="s">
        <v>98</v>
      </c>
      <c r="D14221" s="6" t="n">
        <f aca="false">(Sens!C14220+Sens!D14220)/2*cop_px*12/1000</f>
        <v>0.9</v>
      </c>
      <c r="E14221" s="6" t="n">
        <f aca="false">(Sens!D14220+Sens!E14220)/2*cop_px*12/1000</f>
        <v>5.25</v>
      </c>
      <c r="F14221" s="6" t="n">
        <f aca="false">(Sens!E14220+Sens!F14220)/2*cop_px*12/1000</f>
        <v>13.5</v>
      </c>
      <c r="G14221" s="6" t="n">
        <f aca="false">(Sens!F14220+Sens!G14220)/2*cop_px*12/1000</f>
        <v>22.5</v>
      </c>
      <c r="H14221" s="6" t="n">
        <f aca="false">(Sens!G14220+Sens!H14220)/2*cop_px*12/1000</f>
        <v>31.5</v>
      </c>
      <c r="I14221" s="6" t="n">
        <f aca="false">(Sens!H14220+Sens!I14220)/2*cop_px*12/1000</f>
        <v>38.25</v>
      </c>
      <c r="J14221" s="6" t="n">
        <f aca="false">(Sens!I14220+Sens!J14220)/2*cop_px*12/1000</f>
        <v>42.75</v>
      </c>
      <c r="K14221" s="6" t="n">
        <f aca="false">(Sens!J14220+Sens!K14220)/2*cop_px*12/1000</f>
        <v>47.25</v>
      </c>
      <c r="L14221" s="1" t="s">
        <v>881</v>
      </c>
    </row>
    <row r="14222" customFormat="false" ht="17.15" hidden="false" customHeight="false" outlineLevel="0" collapsed="false">
      <c r="A14222" s="0" t="s">
        <v>882</v>
      </c>
      <c r="B14222" s="0" t="s">
        <v>98</v>
      </c>
      <c r="D14222" s="6" t="n">
        <f aca="false">Q!L7-Sens!D14221</f>
        <v>83.705</v>
      </c>
      <c r="E14222" s="6" t="n">
        <f aca="false">Q!M7-Sens!E14221</f>
        <v>95.049</v>
      </c>
      <c r="F14222" s="6" t="n">
        <f aca="false">Sens!E14222*(1+Sens!F14223)</f>
        <v>106.89238776686</v>
      </c>
      <c r="G14222" s="6" t="n">
        <f aca="false">Sens!F14222*(1+Sens!G14223)</f>
        <v>119.044168448684</v>
      </c>
      <c r="H14222" s="6" t="n">
        <f aca="false">Sens!G14222*(1+Sens!H14223)</f>
        <v>131.277359388781</v>
      </c>
      <c r="I14222" s="6" t="n">
        <f aca="false">Sens!H14222*(1+Sens!I14223)</f>
        <v>143.334028071957</v>
      </c>
      <c r="J14222" s="6" t="n">
        <f aca="false">Sens!I14222*(1+Sens!J14223)</f>
        <v>154.932702785465</v>
      </c>
      <c r="K14222" s="6" t="n">
        <f aca="false">Sens!J14222*(1+Sens!K14223)</f>
        <v>165.777991980448</v>
      </c>
    </row>
    <row r="14223" customFormat="false" ht="15" hidden="false" customHeight="false" outlineLevel="0" collapsed="false">
      <c r="A14223" s="1" t="s">
        <v>876</v>
      </c>
      <c r="B14223" s="0" t="s">
        <v>129</v>
      </c>
      <c r="E14223" s="7" t="n">
        <f aca="false">Sens!E14222/Sens!D14222-1</f>
        <v>0.135523564900544</v>
      </c>
      <c r="F14223" s="7" t="n">
        <f aca="false">Sens!$E$14223+(glt_m365b-Sens!$E$14223)*MIN(1,(Sens!F14178-base_fy)/n_conv)</f>
        <v>0.124602970750453</v>
      </c>
      <c r="G14223" s="7" t="n">
        <f aca="false">Sens!$E$14223+(glt_m365b-Sens!$E$14223)*MIN(1,(Sens!G14178-base_fy)/n_conv)</f>
        <v>0.113682376600363</v>
      </c>
      <c r="H14223" s="7" t="n">
        <f aca="false">Sens!$E$14223+(glt_m365b-Sens!$E$14223)*MIN(1,(Sens!H14178-base_fy)/n_conv)</f>
        <v>0.102761782450272</v>
      </c>
      <c r="I14223" s="7" t="n">
        <f aca="false">Sens!$E$14223+(glt_m365b-Sens!$E$14223)*MIN(1,(Sens!I14178-base_fy)/n_conv)</f>
        <v>0.0918411883001813</v>
      </c>
      <c r="J14223" s="7" t="n">
        <f aca="false">Sens!$E$14223+(glt_m365b-Sens!$E$14223)*MIN(1,(Sens!J14178-base_fy)/n_conv)</f>
        <v>0.0809205941500906</v>
      </c>
      <c r="K14223" s="7" t="n">
        <f aca="false">Sens!$E$14223+(glt_m365b-Sens!$E$14223)*MIN(1,(Sens!K14178-base_fy)/n_conv)</f>
        <v>0.07</v>
      </c>
    </row>
    <row r="14224" customFormat="false" ht="15" hidden="false" customHeight="false" outlineLevel="0" collapsed="false">
      <c r="A14224" s="0" t="s">
        <v>883</v>
      </c>
      <c r="B14224" s="0" t="s">
        <v>98</v>
      </c>
      <c r="D14224" s="6" t="n">
        <f aca="false">Sens!D14222+Sens!D14221</f>
        <v>84.605</v>
      </c>
      <c r="E14224" s="6" t="n">
        <f aca="false">Sens!E14222+Sens!E14221</f>
        <v>100.299</v>
      </c>
      <c r="F14224" s="6" t="n">
        <f aca="false">Sens!F14222+Sens!F14221</f>
        <v>120.39238776686</v>
      </c>
      <c r="G14224" s="6" t="n">
        <f aca="false">Sens!G14222+Sens!G14221</f>
        <v>141.544168448684</v>
      </c>
      <c r="H14224" s="6" t="n">
        <f aca="false">Sens!H14222+Sens!H14221</f>
        <v>162.777359388781</v>
      </c>
      <c r="I14224" s="6" t="n">
        <f aca="false">Sens!I14222+Sens!I14221</f>
        <v>181.584028071957</v>
      </c>
      <c r="J14224" s="6" t="n">
        <f aca="false">Sens!J14222+Sens!J14221</f>
        <v>197.682702785465</v>
      </c>
      <c r="K14224" s="6" t="n">
        <f aca="false">Sens!K14222+Sens!K14221</f>
        <v>213.027991980448</v>
      </c>
    </row>
    <row r="14225" customFormat="false" ht="15" hidden="false" customHeight="false" outlineLevel="0" collapsed="false">
      <c r="A14225" s="0" t="s">
        <v>884</v>
      </c>
      <c r="B14225" s="0" t="s">
        <v>98</v>
      </c>
      <c r="D14225" s="6" t="n">
        <f aca="false">Q!L8</f>
        <v>35.391</v>
      </c>
      <c r="E14225" s="6" t="n">
        <f aca="false">Q!M8</f>
        <v>37.285</v>
      </c>
      <c r="F14225" s="6" t="n">
        <f aca="false">Sens!E14225*(1+Sens!F14226)</f>
        <v>39.0720834331704</v>
      </c>
      <c r="G14225" s="6" t="n">
        <f aca="false">Sens!F14225*(1+Sens!G14226)</f>
        <v>40.726562953769</v>
      </c>
      <c r="H14225" s="6" t="n">
        <f aca="false">Sens!G14225*(1+Sens!H14226)</f>
        <v>42.2235987259198</v>
      </c>
      <c r="I14225" s="6" t="n">
        <f aca="false">Sens!H14225*(1+Sens!I14226)</f>
        <v>43.5397988077414</v>
      </c>
      <c r="J14225" s="6" t="n">
        <f aca="false">Sens!I14225*(1+Sens!J14226)</f>
        <v>44.653811225693</v>
      </c>
      <c r="K14225" s="6" t="n">
        <f aca="false">Sens!J14225*(1+Sens!K14226)</f>
        <v>45.5468874502068</v>
      </c>
    </row>
    <row r="14226" customFormat="false" ht="15" hidden="false" customHeight="false" outlineLevel="0" collapsed="false">
      <c r="A14226" s="1" t="s">
        <v>876</v>
      </c>
      <c r="B14226" s="0" t="s">
        <v>129</v>
      </c>
      <c r="E14226" s="7" t="n">
        <f aca="false">Sens!E14225/Sens!D14225-1</f>
        <v>0.0535164307309768</v>
      </c>
      <c r="F14226" s="7" t="n">
        <f aca="false">Sens!$E$14226+(glt_lic-Sens!$E$14226)*MIN(1,(Sens!F14178-base_fy)/n_conv)</f>
        <v>0.0479303589424807</v>
      </c>
      <c r="G14226" s="7" t="n">
        <f aca="false">Sens!$E$14226+(glt_lic-Sens!$E$14226)*MIN(1,(Sens!G14178-base_fy)/n_conv)</f>
        <v>0.0423442871539845</v>
      </c>
      <c r="H14226" s="7" t="n">
        <f aca="false">Sens!$E$14226+(glt_lic-Sens!$E$14226)*MIN(1,(Sens!H14178-base_fy)/n_conv)</f>
        <v>0.0367582153654884</v>
      </c>
      <c r="I14226" s="7" t="n">
        <f aca="false">Sens!$E$14226+(glt_lic-Sens!$E$14226)*MIN(1,(Sens!I14178-base_fy)/n_conv)</f>
        <v>0.0311721435769923</v>
      </c>
      <c r="J14226" s="7" t="n">
        <f aca="false">Sens!$E$14226+(glt_lic-Sens!$E$14226)*MIN(1,(Sens!J14178-base_fy)/n_conv)</f>
        <v>0.0255860717884961</v>
      </c>
      <c r="K14226" s="7" t="n">
        <f aca="false">Sens!$E$14226+(glt_lic-Sens!$E$14226)*MIN(1,(Sens!K14178-base_fy)/n_conv)</f>
        <v>0.02</v>
      </c>
    </row>
    <row r="14227" customFormat="false" ht="15" hidden="false" customHeight="false" outlineLevel="0" collapsed="false">
      <c r="A14227" s="0" t="s">
        <v>885</v>
      </c>
      <c r="B14227" s="0" t="s">
        <v>98</v>
      </c>
      <c r="D14227" s="6" t="n">
        <f aca="false">Q!L9</f>
        <v>18.417</v>
      </c>
      <c r="E14227" s="6" t="n">
        <f aca="false">Q!M9</f>
        <v>20.345</v>
      </c>
      <c r="F14227" s="6" t="n">
        <f aca="false">Sens!E14227*(1+Sens!F14228)</f>
        <v>22.3572203267814</v>
      </c>
      <c r="G14227" s="6" t="n">
        <f aca="false">Sens!F14227*(1+Sens!G14228)</f>
        <v>24.4392124437232</v>
      </c>
      <c r="H14227" s="6" t="n">
        <f aca="false">Sens!G14227*(1+Sens!H14228)</f>
        <v>26.5738052080665</v>
      </c>
      <c r="I14227" s="6" t="n">
        <f aca="false">Sens!H14227*(1+Sens!I14228)</f>
        <v>28.7412169166967</v>
      </c>
      <c r="J14227" s="6" t="n">
        <f aca="false">Sens!I14227*(1+Sens!J14228)</f>
        <v>30.9192545395413</v>
      </c>
      <c r="K14227" s="6" t="n">
        <f aca="false">Sens!J14227*(1+Sens!K14228)</f>
        <v>33.0836023573092</v>
      </c>
    </row>
    <row r="14228" customFormat="false" ht="15" hidden="false" customHeight="false" outlineLevel="0" collapsed="false">
      <c r="A14228" s="1" t="s">
        <v>876</v>
      </c>
      <c r="B14228" s="0" t="s">
        <v>129</v>
      </c>
      <c r="E14228" s="7" t="n">
        <f aca="false">Sens!E14227/Sens!D14227-1</f>
        <v>0.104685888038225</v>
      </c>
      <c r="F14228" s="7" t="n">
        <f aca="false">Sens!$E$14228+(glt_ind-Sens!$E$14228)*MIN(1,(Sens!F14178-base_fy)/n_conv)</f>
        <v>0.0989049066985211</v>
      </c>
      <c r="G14228" s="7" t="n">
        <f aca="false">Sens!$E$14228+(glt_ind-Sens!$E$14228)*MIN(1,(Sens!G14178-base_fy)/n_conv)</f>
        <v>0.0931239253588169</v>
      </c>
      <c r="H14228" s="7" t="n">
        <f aca="false">Sens!$E$14228+(glt_ind-Sens!$E$14228)*MIN(1,(Sens!H14178-base_fy)/n_conv)</f>
        <v>0.0873429440191127</v>
      </c>
      <c r="I14228" s="7" t="n">
        <f aca="false">Sens!$E$14228+(glt_ind-Sens!$E$14228)*MIN(1,(Sens!I14178-base_fy)/n_conv)</f>
        <v>0.0815619626794085</v>
      </c>
      <c r="J14228" s="7" t="n">
        <f aca="false">Sens!$E$14228+(glt_ind-Sens!$E$14228)*MIN(1,(Sens!J14178-base_fy)/n_conv)</f>
        <v>0.0757809813397042</v>
      </c>
      <c r="K14228" s="7" t="n">
        <f aca="false">Sens!$E$14228+(glt_ind-Sens!$E$14228)*MIN(1,(Sens!K14178-base_fy)/n_conv)</f>
        <v>0.07</v>
      </c>
    </row>
    <row r="14229" customFormat="false" ht="15" hidden="false" customHeight="false" outlineLevel="0" collapsed="false">
      <c r="A14229" s="0" t="s">
        <v>886</v>
      </c>
      <c r="B14229" s="0" t="s">
        <v>98</v>
      </c>
      <c r="D14229" s="6" t="n">
        <f aca="false">Q!L10</f>
        <v>7.76</v>
      </c>
      <c r="E14229" s="6" t="n">
        <f aca="false">Q!M10</f>
        <v>8.26</v>
      </c>
      <c r="F14229" s="6" t="n">
        <f aca="false">Sens!E14229*(1+Sens!F14230)</f>
        <v>8.79988041237113</v>
      </c>
      <c r="G14229" s="6" t="n">
        <f aca="false">Sens!F14229*(1+Sens!G14230)</f>
        <v>9.38321269125306</v>
      </c>
      <c r="H14229" s="6" t="n">
        <f aca="false">Sens!G14229*(1+Sens!H14230)</f>
        <v>10.0139193587476</v>
      </c>
      <c r="I14229" s="6" t="n">
        <f aca="false">Sens!H14229*(1+Sens!I14230)</f>
        <v>10.6963111830911</v>
      </c>
      <c r="J14229" s="6" t="n">
        <f aca="false">Sens!I14229*(1+Sens!J14230)</f>
        <v>11.4351285534696</v>
      </c>
      <c r="K14229" s="6" t="n">
        <f aca="false">Sens!J14229*(1+Sens!K14230)</f>
        <v>12.2355875522124</v>
      </c>
    </row>
    <row r="14230" customFormat="false" ht="15" hidden="false" customHeight="false" outlineLevel="0" collapsed="false">
      <c r="A14230" s="1" t="s">
        <v>876</v>
      </c>
      <c r="B14230" s="0" t="s">
        <v>129</v>
      </c>
      <c r="E14230" s="7" t="n">
        <f aca="false">Sens!E14229/Sens!D14229-1</f>
        <v>0.0644329896907216</v>
      </c>
      <c r="F14230" s="7" t="n">
        <f aca="false">Sens!$E$14230+(glt_fro-Sens!$E$14230)*MIN(1,(Sens!F14178-base_fy)/n_conv)</f>
        <v>0.065360824742268</v>
      </c>
      <c r="G14230" s="7" t="n">
        <f aca="false">Sens!$E$14230+(glt_fro-Sens!$E$14230)*MIN(1,(Sens!G14178-base_fy)/n_conv)</f>
        <v>0.0662886597938144</v>
      </c>
      <c r="H14230" s="7" t="n">
        <f aca="false">Sens!$E$14230+(glt_fro-Sens!$E$14230)*MIN(1,(Sens!H14178-base_fy)/n_conv)</f>
        <v>0.0672164948453608</v>
      </c>
      <c r="I14230" s="7" t="n">
        <f aca="false">Sens!$E$14230+(glt_fro-Sens!$E$14230)*MIN(1,(Sens!I14178-base_fy)/n_conv)</f>
        <v>0.0681443298969072</v>
      </c>
      <c r="J14230" s="7" t="n">
        <f aca="false">Sens!$E$14230+(glt_fro-Sens!$E$14230)*MIN(1,(Sens!J14178-base_fy)/n_conv)</f>
        <v>0.0690721649484536</v>
      </c>
      <c r="K14230" s="7" t="n">
        <f aca="false">Sens!$E$14230+(glt_fro-Sens!$E$14230)*MIN(1,(Sens!K14178-base_fy)/n_conv)</f>
        <v>0.07</v>
      </c>
    </row>
    <row r="14231" customFormat="false" ht="15" hidden="false" customHeight="false" outlineLevel="0" collapsed="false">
      <c r="A14231" s="0" t="s">
        <v>715</v>
      </c>
      <c r="B14231" s="0" t="s">
        <v>98</v>
      </c>
      <c r="D14231" s="6" t="n">
        <f aca="false">Sens!D14219+Sens!D14224+Sens!D14225+Sens!D14227+Sens!D14229</f>
        <v>218.783</v>
      </c>
      <c r="E14231" s="6" t="n">
        <f aca="false">Sens!E14219+Sens!E14224+Sens!E14225+Sens!E14227+Sens!E14229</f>
        <v>268.127</v>
      </c>
      <c r="F14231" s="6" t="n">
        <f aca="false">Sens!F14219+Sens!F14224+Sens!F14225+Sens!F14227+Sens!F14229</f>
        <v>325.32701655428</v>
      </c>
      <c r="G14231" s="6" t="n">
        <f aca="false">Sens!G14219+Sens!G14224+Sens!G14225+Sens!G14227+Sens!G14229</f>
        <v>379.189061495883</v>
      </c>
      <c r="H14231" s="6" t="n">
        <f aca="false">Sens!H14219+Sens!H14224+Sens!H14225+Sens!H14227+Sens!H14229</f>
        <v>428.706093584448</v>
      </c>
      <c r="I14231" s="6" t="n">
        <f aca="false">Sens!I14219+Sens!I14224+Sens!I14225+Sens!I14227+Sens!I14229</f>
        <v>469.972387027957</v>
      </c>
      <c r="J14231" s="6" t="n">
        <f aca="false">Sens!J14219+Sens!J14224+Sens!J14225+Sens!J14227+Sens!J14229</f>
        <v>507.651598163682</v>
      </c>
      <c r="K14231" s="6" t="n">
        <f aca="false">Sens!K14219+Sens!K14224+Sens!K14225+Sens!K14227+Sens!K14229</f>
        <v>544.231983832795</v>
      </c>
    </row>
    <row r="14232" customFormat="false" ht="15" hidden="false" customHeight="false" outlineLevel="0" collapsed="false">
      <c r="A14232" s="0" t="s">
        <v>887</v>
      </c>
      <c r="B14232" s="0" t="s">
        <v>98</v>
      </c>
      <c r="D14232" s="6" t="n">
        <f aca="false">Q!L13</f>
        <v>22.171</v>
      </c>
      <c r="E14232" s="6" t="n">
        <f aca="false">Q!M13</f>
        <v>24.835</v>
      </c>
      <c r="F14232" s="6" t="n">
        <f aca="false">Sens!E14232*(1+Sens!F14233)</f>
        <v>27.6114901218559</v>
      </c>
      <c r="G14232" s="6" t="n">
        <f aca="false">Sens!F14232*(1+Sens!G14233)</f>
        <v>30.4675667338515</v>
      </c>
      <c r="H14232" s="6" t="n">
        <f aca="false">Sens!G14232*(1+Sens!H14233)</f>
        <v>33.3643766955789</v>
      </c>
      <c r="I14232" s="6" t="n">
        <f aca="false">Sens!H14232*(1+Sens!I14233)</f>
        <v>36.2577016533691</v>
      </c>
      <c r="J14232" s="6" t="n">
        <f aca="false">Sens!I14232*(1+Sens!J14233)</f>
        <v>39.0988367952171</v>
      </c>
      <c r="K14232" s="6" t="n">
        <f aca="false">Sens!J14232*(1+Sens!K14233)</f>
        <v>41.8357553708823</v>
      </c>
    </row>
    <row r="14233" customFormat="false" ht="15" hidden="false" customHeight="false" outlineLevel="0" collapsed="false">
      <c r="A14233" s="1" t="s">
        <v>876</v>
      </c>
      <c r="B14233" s="0" t="s">
        <v>129</v>
      </c>
      <c r="E14233" s="7" t="n">
        <f aca="false">Sens!E14232/Sens!D14232-1</f>
        <v>0.120156961796942</v>
      </c>
      <c r="F14233" s="7" t="n">
        <f aca="false">Sens!$E$14233+(glt_srch-Sens!$E$14233)*MIN(1,(Sens!F14178-base_fy)/n_conv)</f>
        <v>0.111797468164118</v>
      </c>
      <c r="G14233" s="7" t="n">
        <f aca="false">Sens!$E$14233+(glt_srch-Sens!$E$14233)*MIN(1,(Sens!G14178-base_fy)/n_conv)</f>
        <v>0.103437974531295</v>
      </c>
      <c r="H14233" s="7" t="n">
        <f aca="false">Sens!$E$14233+(glt_srch-Sens!$E$14233)*MIN(1,(Sens!H14178-base_fy)/n_conv)</f>
        <v>0.095078480898471</v>
      </c>
      <c r="I14233" s="7" t="n">
        <f aca="false">Sens!$E$14233+(glt_srch-Sens!$E$14233)*MIN(1,(Sens!I14178-base_fy)/n_conv)</f>
        <v>0.0867189872656474</v>
      </c>
      <c r="J14233" s="7" t="n">
        <f aca="false">Sens!$E$14233+(glt_srch-Sens!$E$14233)*MIN(1,(Sens!J14178-base_fy)/n_conv)</f>
        <v>0.0783594936328237</v>
      </c>
      <c r="K14233" s="7" t="n">
        <f aca="false">Sens!$E$14233+(glt_srch-Sens!$E$14233)*MIN(1,(Sens!K14178-base_fy)/n_conv)</f>
        <v>0.07</v>
      </c>
    </row>
    <row r="14234" customFormat="false" ht="15" hidden="false" customHeight="false" outlineLevel="0" collapsed="false">
      <c r="A14234" s="0" t="s">
        <v>888</v>
      </c>
      <c r="B14234" s="0" t="s">
        <v>98</v>
      </c>
      <c r="D14234" s="6" t="n">
        <f aca="false">Q!L14</f>
        <v>23.455</v>
      </c>
      <c r="E14234" s="6" t="n">
        <f aca="false">Q!M14</f>
        <v>21.79</v>
      </c>
      <c r="F14234" s="6" t="n">
        <f aca="false">Sens!E14234*(1+Sens!F14235)</f>
        <v>20.5736277908051</v>
      </c>
      <c r="G14234" s="6" t="n">
        <f aca="false">Sens!F14234*(1+Sens!G14235)</f>
        <v>19.7371452817919</v>
      </c>
      <c r="H14234" s="6" t="n">
        <f aca="false">Sens!G14234*(1+Sens!H14235)</f>
        <v>19.2339764043138</v>
      </c>
      <c r="I14234" s="6" t="n">
        <f aca="false">Sens!H14234*(1+Sens!I14235)</f>
        <v>19.0353086852681</v>
      </c>
      <c r="J14234" s="6" t="n">
        <f aca="false">Sens!I14234*(1+Sens!J14235)</f>
        <v>19.1273539319129</v>
      </c>
      <c r="K14234" s="6" t="n">
        <f aca="false">Sens!J14234*(1+Sens!K14235)</f>
        <v>19.5099010105511</v>
      </c>
    </row>
    <row r="14235" customFormat="false" ht="15" hidden="false" customHeight="false" outlineLevel="0" collapsed="false">
      <c r="A14235" s="1" t="s">
        <v>876</v>
      </c>
      <c r="B14235" s="0" t="s">
        <v>129</v>
      </c>
      <c r="E14235" s="7" t="n">
        <f aca="false">Sens!E14234/Sens!D14234-1</f>
        <v>-0.0709869963760392</v>
      </c>
      <c r="F14235" s="7" t="n">
        <f aca="false">Sens!$E$14235+(glt_xbox-Sens!$E$14235)*MIN(1,(Sens!F14178-base_fy)/n_conv)</f>
        <v>-0.0558224969800327</v>
      </c>
      <c r="G14235" s="7" t="n">
        <f aca="false">Sens!$E$14235+(glt_xbox-Sens!$E$14235)*MIN(1,(Sens!G14178-base_fy)/n_conv)</f>
        <v>-0.0406579975840262</v>
      </c>
      <c r="H14235" s="7" t="n">
        <f aca="false">Sens!$E$14235+(glt_xbox-Sens!$E$14235)*MIN(1,(Sens!H14178-base_fy)/n_conv)</f>
        <v>-0.0254934981880196</v>
      </c>
      <c r="I14235" s="7" t="n">
        <f aca="false">Sens!$E$14235+(glt_xbox-Sens!$E$14235)*MIN(1,(Sens!I14178-base_fy)/n_conv)</f>
        <v>-0.0103289987920131</v>
      </c>
      <c r="J14235" s="7" t="n">
        <f aca="false">Sens!$E$14235+(glt_xbox-Sens!$E$14235)*MIN(1,(Sens!J14178-base_fy)/n_conv)</f>
        <v>0.00483550060399347</v>
      </c>
      <c r="K14235" s="7" t="n">
        <f aca="false">Sens!$E$14235+(glt_xbox-Sens!$E$14235)*MIN(1,(Sens!K14178-base_fy)/n_conv)</f>
        <v>0.02</v>
      </c>
    </row>
    <row r="14236" customFormat="false" ht="15" hidden="false" customHeight="false" outlineLevel="0" collapsed="false">
      <c r="A14236" s="0" t="s">
        <v>889</v>
      </c>
      <c r="B14236" s="0" t="s">
        <v>98</v>
      </c>
      <c r="D14236" s="6" t="n">
        <f aca="false">Q!L15</f>
        <v>17.315</v>
      </c>
      <c r="E14236" s="6" t="n">
        <f aca="false">Q!M15</f>
        <v>17.087</v>
      </c>
      <c r="F14236" s="6" t="n">
        <f aca="false">Sens!E14236*(1+Sens!F14237)</f>
        <v>16.9564585436519</v>
      </c>
      <c r="G14236" s="6" t="n">
        <f aca="false">Sens!F14236*(1+Sens!G14237)</f>
        <v>16.9206490624268</v>
      </c>
      <c r="H14236" s="6" t="n">
        <f aca="false">Sens!G14236*(1+Sens!H14237)</f>
        <v>16.9784519149849</v>
      </c>
      <c r="I14236" s="6" t="n">
        <f aca="false">Sens!H14236*(1+Sens!I14237)</f>
        <v>17.1303084701817</v>
      </c>
      <c r="J14236" s="6" t="n">
        <f aca="false">Sens!I14236*(1+Sens!J14237)</f>
        <v>17.3782189407267</v>
      </c>
      <c r="K14236" s="6" t="n">
        <f aca="false">Sens!J14236*(1+Sens!K14237)</f>
        <v>17.7257833195413</v>
      </c>
    </row>
    <row r="14237" customFormat="false" ht="15" hidden="false" customHeight="false" outlineLevel="0" collapsed="false">
      <c r="A14237" s="1" t="s">
        <v>876</v>
      </c>
      <c r="B14237" s="0" t="s">
        <v>129</v>
      </c>
      <c r="E14237" s="7" t="n">
        <f aca="false">Sens!E14236/Sens!D14236-1</f>
        <v>-0.0131677736066995</v>
      </c>
      <c r="F14237" s="7" t="n">
        <f aca="false">Sens!$E$14237+(glt_win-Sens!$E$14237)*MIN(1,(Sens!F14178-base_fy)/n_conv)</f>
        <v>-0.00763981133891627</v>
      </c>
      <c r="G14237" s="7" t="n">
        <f aca="false">Sens!$E$14237+(glt_win-Sens!$E$14237)*MIN(1,(Sens!G14178-base_fy)/n_conv)</f>
        <v>-0.00211184907113301</v>
      </c>
      <c r="H14237" s="7" t="n">
        <f aca="false">Sens!$E$14237+(glt_win-Sens!$E$14237)*MIN(1,(Sens!H14178-base_fy)/n_conv)</f>
        <v>0.00341611319665024</v>
      </c>
      <c r="I14237" s="7" t="n">
        <f aca="false">Sens!$E$14237+(glt_win-Sens!$E$14237)*MIN(1,(Sens!I14178-base_fy)/n_conv)</f>
        <v>0.00894407546443349</v>
      </c>
      <c r="J14237" s="7" t="n">
        <f aca="false">Sens!$E$14237+(glt_win-Sens!$E$14237)*MIN(1,(Sens!J14178-base_fy)/n_conv)</f>
        <v>0.0144720377322168</v>
      </c>
      <c r="K14237" s="7" t="n">
        <f aca="false">Sens!$E$14237+(glt_win-Sens!$E$14237)*MIN(1,(Sens!K14178-base_fy)/n_conv)</f>
        <v>0.02</v>
      </c>
    </row>
    <row r="14238" customFormat="false" ht="15" hidden="false" customHeight="false" outlineLevel="0" collapsed="false">
      <c r="A14238" s="0" t="s">
        <v>729</v>
      </c>
      <c r="B14238" s="0" t="s">
        <v>98</v>
      </c>
      <c r="D14238" s="6" t="n">
        <f aca="false">Sens!D14232+Sens!D14234+Sens!D14236</f>
        <v>62.941</v>
      </c>
      <c r="E14238" s="6" t="n">
        <f aca="false">Sens!E14232+Sens!E14234+Sens!E14236</f>
        <v>63.712</v>
      </c>
      <c r="F14238" s="6" t="n">
        <f aca="false">Sens!F14232+Sens!F14234+Sens!F14236</f>
        <v>65.1415764563129</v>
      </c>
      <c r="G14238" s="6" t="n">
        <f aca="false">Sens!G14232+Sens!G14234+Sens!G14236</f>
        <v>67.1253610780702</v>
      </c>
      <c r="H14238" s="6" t="n">
        <f aca="false">Sens!H14232+Sens!H14234+Sens!H14236</f>
        <v>69.5768050148776</v>
      </c>
      <c r="I14238" s="6" t="n">
        <f aca="false">Sens!I14232+Sens!I14234+Sens!I14236</f>
        <v>72.4233188088189</v>
      </c>
      <c r="J14238" s="6" t="n">
        <f aca="false">Sens!J14232+Sens!J14234+Sens!J14236</f>
        <v>75.6044096678567</v>
      </c>
      <c r="K14238" s="6" t="n">
        <f aca="false">Sens!K14232+Sens!K14234+Sens!K14236</f>
        <v>79.0714397009747</v>
      </c>
    </row>
    <row r="14239" customFormat="false" ht="15" hidden="false" customHeight="false" outlineLevel="0" collapsed="false">
      <c r="A14239" s="1" t="s">
        <v>890</v>
      </c>
      <c r="B14239" s="0" t="s">
        <v>98</v>
      </c>
      <c r="D14239" s="6" t="n">
        <f aca="false">Sens!D14231+Sens!D14238</f>
        <v>281.724</v>
      </c>
      <c r="E14239" s="6" t="n">
        <f aca="false">Sens!E14231+Sens!E14238</f>
        <v>331.839</v>
      </c>
      <c r="F14239" s="6" t="n">
        <f aca="false">Sens!F14231+Sens!F14238</f>
        <v>390.468593010593</v>
      </c>
      <c r="G14239" s="6" t="n">
        <f aca="false">Sens!G14231+Sens!G14238</f>
        <v>446.314422573953</v>
      </c>
      <c r="H14239" s="6" t="n">
        <f aca="false">Sens!H14231+Sens!H14238</f>
        <v>498.282898599325</v>
      </c>
      <c r="I14239" s="6" t="n">
        <f aca="false">Sens!I14231+Sens!I14238</f>
        <v>542.395705836776</v>
      </c>
      <c r="J14239" s="6" t="n">
        <f aca="false">Sens!J14231+Sens!J14238</f>
        <v>583.256007831539</v>
      </c>
      <c r="K14239" s="6" t="n">
        <f aca="false">Sens!K14231+Sens!K14238</f>
        <v>623.30342353377</v>
      </c>
    </row>
    <row r="14240" customFormat="false" ht="15" hidden="false" customHeight="false" outlineLevel="0" collapsed="false">
      <c r="A14240" s="23" t="s">
        <v>891</v>
      </c>
      <c r="B14240" s="30" t="s">
        <v>98</v>
      </c>
      <c r="C14240" s="30"/>
      <c r="D14240" s="24" t="n">
        <f aca="false">(Sens!D14219+Sens!D14224+Sens!D14225+Sens!D14227+Sens!D14229-Sens!D14231)+(Sens!D14232+Sens!D14234+Sens!D14236-Sens!D14238)+(Sens!D14231-Q!L5)+(Sens!D14238-Q!L12)+(Sens!D14219-Q!L6)+(Sens!D14224-Q!L7)</f>
        <v>0</v>
      </c>
      <c r="E14240" s="24" t="n">
        <f aca="false">(Sens!E14219+Sens!E14224+Sens!E14225+Sens!E14227+Sens!E14229-Sens!E14231)+(Sens!E14232+Sens!E14234+Sens!E14236-Sens!E14238)+(Sens!E14231-Q!M5)+(Sens!E14238-Q!M12)+(Sens!E14219-Q!M6)+(Sens!E14224-Q!M7)</f>
        <v>0</v>
      </c>
      <c r="F14240" s="24" t="n">
        <f aca="false">(Sens!F14219+Sens!F14224+Sens!F14225+Sens!F14227+Sens!F14229-Sens!F14231)+(Sens!F14232+Sens!F14234+Sens!F14236-Sens!F14238)</f>
        <v>0</v>
      </c>
      <c r="G14240" s="24" t="n">
        <f aca="false">(Sens!G14219+Sens!G14224+Sens!G14225+Sens!G14227+Sens!G14229-Sens!G14231)+(Sens!G14232+Sens!G14234+Sens!G14236-Sens!G14238)</f>
        <v>0</v>
      </c>
      <c r="H14240" s="24" t="n">
        <f aca="false">(Sens!H14219+Sens!H14224+Sens!H14225+Sens!H14227+Sens!H14229-Sens!H14231)+(Sens!H14232+Sens!H14234+Sens!H14236-Sens!H14238)</f>
        <v>0</v>
      </c>
      <c r="I14240" s="24" t="n">
        <f aca="false">(Sens!I14219+Sens!I14224+Sens!I14225+Sens!I14227+Sens!I14229-Sens!I14231)+(Sens!I14232+Sens!I14234+Sens!I14236-Sens!I14238)</f>
        <v>0</v>
      </c>
      <c r="J14240" s="24" t="n">
        <f aca="false">(Sens!J14219+Sens!J14224+Sens!J14225+Sens!J14227+Sens!J14229-Sens!J14231)+(Sens!J14232+Sens!J14234+Sens!J14236-Sens!J14238)</f>
        <v>0</v>
      </c>
      <c r="K14240" s="24" t="n">
        <f aca="false">(Sens!K14219+Sens!K14224+Sens!K14225+Sens!K14227+Sens!K14229-Sens!K14231)+(Sens!K14232+Sens!K14234+Sens!K14236-Sens!K14238)</f>
        <v>0</v>
      </c>
    </row>
    <row r="14241" customFormat="false" ht="17.15" hidden="false" customHeight="false" outlineLevel="0" collapsed="false">
      <c r="A14241" s="3" t="s">
        <v>1623</v>
      </c>
    </row>
    <row r="14242" customFormat="false" ht="15" hidden="false" customHeight="false" outlineLevel="0" collapsed="false">
      <c r="A14242" s="4" t="s">
        <v>43</v>
      </c>
      <c r="B14242" s="4" t="s">
        <v>65</v>
      </c>
      <c r="C14242" s="20" t="s">
        <v>799</v>
      </c>
      <c r="D14242" s="20" t="s">
        <v>800</v>
      </c>
      <c r="E14242" s="20" t="s">
        <v>801</v>
      </c>
      <c r="F14242" s="20" t="s">
        <v>802</v>
      </c>
      <c r="G14242" s="20" t="s">
        <v>803</v>
      </c>
      <c r="H14242" s="20" t="s">
        <v>804</v>
      </c>
      <c r="I14242" s="20" t="s">
        <v>805</v>
      </c>
      <c r="J14242" s="20" t="s">
        <v>806</v>
      </c>
      <c r="K14242" s="20" t="s">
        <v>807</v>
      </c>
      <c r="L14242" s="4" t="s">
        <v>47</v>
      </c>
    </row>
    <row r="14243" customFormat="false" ht="15" hidden="false" customHeight="false" outlineLevel="0" collapsed="false">
      <c r="A14243" s="0" t="s">
        <v>877</v>
      </c>
      <c r="B14243" s="0" t="s">
        <v>98</v>
      </c>
      <c r="D14243" s="6" t="n">
        <f aca="false">Sens!D14219</f>
        <v>72.61</v>
      </c>
      <c r="E14243" s="6" t="n">
        <f aca="false">Sens!E14219</f>
        <v>101.938</v>
      </c>
      <c r="F14243" s="6" t="n">
        <f aca="false">Sens!F14219</f>
        <v>134.705444615097</v>
      </c>
      <c r="G14243" s="6" t="n">
        <f aca="false">Sens!G14219</f>
        <v>163.095904958453</v>
      </c>
      <c r="H14243" s="6" t="n">
        <f aca="false">Sens!H14219</f>
        <v>187.117410902933</v>
      </c>
      <c r="I14243" s="6" t="n">
        <f aca="false">Sens!I14219</f>
        <v>205.411032048471</v>
      </c>
      <c r="J14243" s="6" t="n">
        <f aca="false">Sens!J14219</f>
        <v>222.960701059513</v>
      </c>
      <c r="K14243" s="6" t="n">
        <f aca="false">Sens!K14219</f>
        <v>240.337914492619</v>
      </c>
    </row>
    <row r="14244" customFormat="false" ht="17.15" hidden="false" customHeight="false" outlineLevel="0" collapsed="false">
      <c r="A14244" s="0" t="s">
        <v>874</v>
      </c>
      <c r="B14244" s="0" t="s">
        <v>98</v>
      </c>
      <c r="D14244" s="6" t="n">
        <f aca="false">Sens!D14216</f>
        <v>12.9359794422418</v>
      </c>
      <c r="E14244" s="6" t="n">
        <f aca="false">Sens!E14216</f>
        <v>27.8095064661409</v>
      </c>
      <c r="F14244" s="6" t="n">
        <f aca="false">Sens!F14216</f>
        <v>44.6254948777308</v>
      </c>
      <c r="G14244" s="6" t="n">
        <f aca="false">Sens!G14216</f>
        <v>56.0674797551436</v>
      </c>
      <c r="H14244" s="6" t="n">
        <f aca="false">Sens!H14216</f>
        <v>62.8454283172966</v>
      </c>
      <c r="I14244" s="6" t="n">
        <f aca="false">Sens!I14216</f>
        <v>64.4773296666165</v>
      </c>
      <c r="J14244" s="6" t="n">
        <f aca="false">Sens!J14216</f>
        <v>66.9418337451812</v>
      </c>
      <c r="K14244" s="6" t="n">
        <f aca="false">Sens!K14216</f>
        <v>71.8375377931408</v>
      </c>
    </row>
    <row r="14245" customFormat="false" ht="17.15" hidden="false" customHeight="false" outlineLevel="0" collapsed="false">
      <c r="A14245" s="0" t="s">
        <v>902</v>
      </c>
      <c r="B14245" s="0" t="s">
        <v>98</v>
      </c>
      <c r="D14245" s="6" t="n">
        <f aca="false">Sens!D14217</f>
        <v>59.6740205577583</v>
      </c>
      <c r="E14245" s="6" t="n">
        <f aca="false">Sens!E14217</f>
        <v>74.1284935338591</v>
      </c>
      <c r="F14245" s="6" t="n">
        <f aca="false">Sens!F14217</f>
        <v>90.0799497373663</v>
      </c>
      <c r="G14245" s="6" t="n">
        <f aca="false">Sens!G14217</f>
        <v>107.02842520331</v>
      </c>
      <c r="H14245" s="6" t="n">
        <f aca="false">Sens!H14217</f>
        <v>124.271982585636</v>
      </c>
      <c r="I14245" s="6" t="n">
        <f aca="false">Sens!I14217</f>
        <v>140.933702381855</v>
      </c>
      <c r="J14245" s="6" t="n">
        <f aca="false">Sens!J14217</f>
        <v>156.018867314332</v>
      </c>
      <c r="K14245" s="6" t="n">
        <f aca="false">Sens!K14217</f>
        <v>168.500376699478</v>
      </c>
    </row>
    <row r="14246" customFormat="false" ht="15" hidden="false" customHeight="false" outlineLevel="0" collapsed="false">
      <c r="A14246" s="0" t="s">
        <v>883</v>
      </c>
      <c r="B14246" s="0" t="s">
        <v>98</v>
      </c>
      <c r="D14246" s="6" t="n">
        <f aca="false">Sens!D14224</f>
        <v>84.605</v>
      </c>
      <c r="E14246" s="6" t="n">
        <f aca="false">Sens!E14224</f>
        <v>100.299</v>
      </c>
      <c r="F14246" s="6" t="n">
        <f aca="false">Sens!F14224</f>
        <v>120.39238776686</v>
      </c>
      <c r="G14246" s="6" t="n">
        <f aca="false">Sens!G14224</f>
        <v>141.544168448684</v>
      </c>
      <c r="H14246" s="6" t="n">
        <f aca="false">Sens!H14224</f>
        <v>162.777359388781</v>
      </c>
      <c r="I14246" s="6" t="n">
        <f aca="false">Sens!I14224</f>
        <v>181.584028071957</v>
      </c>
      <c r="J14246" s="6" t="n">
        <f aca="false">Sens!J14224</f>
        <v>197.682702785465</v>
      </c>
      <c r="K14246" s="6" t="n">
        <f aca="false">Sens!K14224</f>
        <v>213.027991980448</v>
      </c>
    </row>
    <row r="14247" customFormat="false" ht="17.15" hidden="false" customHeight="false" outlineLevel="0" collapsed="false">
      <c r="A14247" s="0" t="s">
        <v>903</v>
      </c>
      <c r="B14247" s="0" t="s">
        <v>98</v>
      </c>
      <c r="D14247" s="6" t="n">
        <f aca="false">Sens!D14222</f>
        <v>83.705</v>
      </c>
      <c r="E14247" s="6" t="n">
        <f aca="false">Sens!E14222</f>
        <v>95.049</v>
      </c>
      <c r="F14247" s="6" t="n">
        <f aca="false">Sens!F14222</f>
        <v>106.89238776686</v>
      </c>
      <c r="G14247" s="6" t="n">
        <f aca="false">Sens!G14222</f>
        <v>119.044168448684</v>
      </c>
      <c r="H14247" s="6" t="n">
        <f aca="false">Sens!H14222</f>
        <v>131.277359388781</v>
      </c>
      <c r="I14247" s="6" t="n">
        <f aca="false">Sens!I14222</f>
        <v>143.334028071957</v>
      </c>
      <c r="J14247" s="6" t="n">
        <f aca="false">Sens!J14222</f>
        <v>154.932702785465</v>
      </c>
      <c r="K14247" s="6" t="n">
        <f aca="false">Sens!K14222</f>
        <v>165.777991980448</v>
      </c>
    </row>
    <row r="14248" customFormat="false" ht="17.15" hidden="false" customHeight="false" outlineLevel="0" collapsed="false">
      <c r="A14248" s="0" t="s">
        <v>904</v>
      </c>
      <c r="B14248" s="0" t="s">
        <v>98</v>
      </c>
      <c r="D14248" s="6" t="n">
        <f aca="false">Sens!D14221</f>
        <v>0.9</v>
      </c>
      <c r="E14248" s="6" t="n">
        <f aca="false">Sens!E14221</f>
        <v>5.25</v>
      </c>
      <c r="F14248" s="6" t="n">
        <f aca="false">Sens!F14221</f>
        <v>13.5</v>
      </c>
      <c r="G14248" s="6" t="n">
        <f aca="false">Sens!G14221</f>
        <v>22.5</v>
      </c>
      <c r="H14248" s="6" t="n">
        <f aca="false">Sens!H14221</f>
        <v>31.5</v>
      </c>
      <c r="I14248" s="6" t="n">
        <f aca="false">Sens!I14221</f>
        <v>38.25</v>
      </c>
      <c r="J14248" s="6" t="n">
        <f aca="false">Sens!J14221</f>
        <v>42.75</v>
      </c>
      <c r="K14248" s="6" t="n">
        <f aca="false">Sens!K14221</f>
        <v>47.25</v>
      </c>
    </row>
    <row r="14249" customFormat="false" ht="15" hidden="false" customHeight="false" outlineLevel="0" collapsed="false">
      <c r="A14249" s="0" t="s">
        <v>884</v>
      </c>
      <c r="B14249" s="0" t="s">
        <v>98</v>
      </c>
      <c r="D14249" s="6" t="n">
        <f aca="false">Sens!D14225</f>
        <v>35.391</v>
      </c>
      <c r="E14249" s="6" t="n">
        <f aca="false">Sens!E14225</f>
        <v>37.285</v>
      </c>
      <c r="F14249" s="6" t="n">
        <f aca="false">Sens!F14225</f>
        <v>39.0720834331704</v>
      </c>
      <c r="G14249" s="6" t="n">
        <f aca="false">Sens!G14225</f>
        <v>40.726562953769</v>
      </c>
      <c r="H14249" s="6" t="n">
        <f aca="false">Sens!H14225</f>
        <v>42.2235987259198</v>
      </c>
      <c r="I14249" s="6" t="n">
        <f aca="false">Sens!I14225</f>
        <v>43.5397988077414</v>
      </c>
      <c r="J14249" s="6" t="n">
        <f aca="false">Sens!J14225</f>
        <v>44.653811225693</v>
      </c>
      <c r="K14249" s="6" t="n">
        <f aca="false">Sens!K14225</f>
        <v>45.5468874502068</v>
      </c>
    </row>
    <row r="14250" customFormat="false" ht="15" hidden="false" customHeight="false" outlineLevel="0" collapsed="false">
      <c r="A14250" s="0" t="s">
        <v>885</v>
      </c>
      <c r="B14250" s="0" t="s">
        <v>98</v>
      </c>
      <c r="D14250" s="6" t="n">
        <f aca="false">Sens!D14227</f>
        <v>18.417</v>
      </c>
      <c r="E14250" s="6" t="n">
        <f aca="false">Sens!E14227</f>
        <v>20.345</v>
      </c>
      <c r="F14250" s="6" t="n">
        <f aca="false">Sens!F14227</f>
        <v>22.3572203267814</v>
      </c>
      <c r="G14250" s="6" t="n">
        <f aca="false">Sens!G14227</f>
        <v>24.4392124437232</v>
      </c>
      <c r="H14250" s="6" t="n">
        <f aca="false">Sens!H14227</f>
        <v>26.5738052080665</v>
      </c>
      <c r="I14250" s="6" t="n">
        <f aca="false">Sens!I14227</f>
        <v>28.7412169166967</v>
      </c>
      <c r="J14250" s="6" t="n">
        <f aca="false">Sens!J14227</f>
        <v>30.9192545395413</v>
      </c>
      <c r="K14250" s="6" t="n">
        <f aca="false">Sens!K14227</f>
        <v>33.0836023573092</v>
      </c>
    </row>
    <row r="14251" customFormat="false" ht="15" hidden="false" customHeight="false" outlineLevel="0" collapsed="false">
      <c r="A14251" s="0" t="s">
        <v>886</v>
      </c>
      <c r="B14251" s="0" t="s">
        <v>98</v>
      </c>
      <c r="D14251" s="6" t="n">
        <f aca="false">Sens!D14229</f>
        <v>7.76</v>
      </c>
      <c r="E14251" s="6" t="n">
        <f aca="false">Sens!E14229</f>
        <v>8.26</v>
      </c>
      <c r="F14251" s="6" t="n">
        <f aca="false">Sens!F14229</f>
        <v>8.79988041237113</v>
      </c>
      <c r="G14251" s="6" t="n">
        <f aca="false">Sens!G14229</f>
        <v>9.38321269125306</v>
      </c>
      <c r="H14251" s="6" t="n">
        <f aca="false">Sens!H14229</f>
        <v>10.0139193587476</v>
      </c>
      <c r="I14251" s="6" t="n">
        <f aca="false">Sens!I14229</f>
        <v>10.6963111830911</v>
      </c>
      <c r="J14251" s="6" t="n">
        <f aca="false">Sens!J14229</f>
        <v>11.4351285534696</v>
      </c>
      <c r="K14251" s="6" t="n">
        <f aca="false">Sens!K14229</f>
        <v>12.2355875522124</v>
      </c>
    </row>
    <row r="14252" customFormat="false" ht="15" hidden="false" customHeight="false" outlineLevel="0" collapsed="false">
      <c r="A14252" s="0" t="s">
        <v>715</v>
      </c>
      <c r="B14252" s="0" t="s">
        <v>98</v>
      </c>
      <c r="D14252" s="6" t="n">
        <f aca="false">Sens!D14231</f>
        <v>218.783</v>
      </c>
      <c r="E14252" s="6" t="n">
        <f aca="false">Sens!E14231</f>
        <v>268.127</v>
      </c>
      <c r="F14252" s="6" t="n">
        <f aca="false">Sens!F14231</f>
        <v>325.32701655428</v>
      </c>
      <c r="G14252" s="6" t="n">
        <f aca="false">Sens!G14231</f>
        <v>379.189061495883</v>
      </c>
      <c r="H14252" s="6" t="n">
        <f aca="false">Sens!H14231</f>
        <v>428.706093584448</v>
      </c>
      <c r="I14252" s="6" t="n">
        <f aca="false">Sens!I14231</f>
        <v>469.972387027957</v>
      </c>
      <c r="J14252" s="6" t="n">
        <f aca="false">Sens!J14231</f>
        <v>507.651598163682</v>
      </c>
      <c r="K14252" s="6" t="n">
        <f aca="false">Sens!K14231</f>
        <v>544.231983832795</v>
      </c>
    </row>
    <row r="14253" customFormat="false" ht="15" hidden="false" customHeight="false" outlineLevel="0" collapsed="false">
      <c r="A14253" s="0" t="s">
        <v>887</v>
      </c>
      <c r="B14253" s="0" t="s">
        <v>98</v>
      </c>
      <c r="D14253" s="6" t="n">
        <f aca="false">Sens!D14232</f>
        <v>22.171</v>
      </c>
      <c r="E14253" s="6" t="n">
        <f aca="false">Sens!E14232</f>
        <v>24.835</v>
      </c>
      <c r="F14253" s="6" t="n">
        <f aca="false">Sens!F14232</f>
        <v>27.6114901218559</v>
      </c>
      <c r="G14253" s="6" t="n">
        <f aca="false">Sens!G14232</f>
        <v>30.4675667338515</v>
      </c>
      <c r="H14253" s="6" t="n">
        <f aca="false">Sens!H14232</f>
        <v>33.3643766955789</v>
      </c>
      <c r="I14253" s="6" t="n">
        <f aca="false">Sens!I14232</f>
        <v>36.2577016533691</v>
      </c>
      <c r="J14253" s="6" t="n">
        <f aca="false">Sens!J14232</f>
        <v>39.0988367952171</v>
      </c>
      <c r="K14253" s="6" t="n">
        <f aca="false">Sens!K14232</f>
        <v>41.8357553708823</v>
      </c>
    </row>
    <row r="14254" customFormat="false" ht="15" hidden="false" customHeight="false" outlineLevel="0" collapsed="false">
      <c r="A14254" s="0" t="s">
        <v>888</v>
      </c>
      <c r="B14254" s="0" t="s">
        <v>98</v>
      </c>
      <c r="D14254" s="6" t="n">
        <f aca="false">Sens!D14234</f>
        <v>23.455</v>
      </c>
      <c r="E14254" s="6" t="n">
        <f aca="false">Sens!E14234</f>
        <v>21.79</v>
      </c>
      <c r="F14254" s="6" t="n">
        <f aca="false">Sens!F14234</f>
        <v>20.5736277908051</v>
      </c>
      <c r="G14254" s="6" t="n">
        <f aca="false">Sens!G14234</f>
        <v>19.7371452817919</v>
      </c>
      <c r="H14254" s="6" t="n">
        <f aca="false">Sens!H14234</f>
        <v>19.2339764043138</v>
      </c>
      <c r="I14254" s="6" t="n">
        <f aca="false">Sens!I14234</f>
        <v>19.0353086852681</v>
      </c>
      <c r="J14254" s="6" t="n">
        <f aca="false">Sens!J14234</f>
        <v>19.1273539319129</v>
      </c>
      <c r="K14254" s="6" t="n">
        <f aca="false">Sens!K14234</f>
        <v>19.5099010105511</v>
      </c>
    </row>
    <row r="14255" customFormat="false" ht="15" hidden="false" customHeight="false" outlineLevel="0" collapsed="false">
      <c r="A14255" s="0" t="s">
        <v>889</v>
      </c>
      <c r="B14255" s="0" t="s">
        <v>98</v>
      </c>
      <c r="D14255" s="6" t="n">
        <f aca="false">Sens!D14236</f>
        <v>17.315</v>
      </c>
      <c r="E14255" s="6" t="n">
        <f aca="false">Sens!E14236</f>
        <v>17.087</v>
      </c>
      <c r="F14255" s="6" t="n">
        <f aca="false">Sens!F14236</f>
        <v>16.9564585436519</v>
      </c>
      <c r="G14255" s="6" t="n">
        <f aca="false">Sens!G14236</f>
        <v>16.9206490624268</v>
      </c>
      <c r="H14255" s="6" t="n">
        <f aca="false">Sens!H14236</f>
        <v>16.9784519149849</v>
      </c>
      <c r="I14255" s="6" t="n">
        <f aca="false">Sens!I14236</f>
        <v>17.1303084701817</v>
      </c>
      <c r="J14255" s="6" t="n">
        <f aca="false">Sens!J14236</f>
        <v>17.3782189407267</v>
      </c>
      <c r="K14255" s="6" t="n">
        <f aca="false">Sens!K14236</f>
        <v>17.7257833195413</v>
      </c>
    </row>
    <row r="14256" customFormat="false" ht="15" hidden="false" customHeight="false" outlineLevel="0" collapsed="false">
      <c r="A14256" s="0" t="s">
        <v>729</v>
      </c>
      <c r="B14256" s="0" t="s">
        <v>98</v>
      </c>
      <c r="D14256" s="6" t="n">
        <f aca="false">Sens!D14238</f>
        <v>62.941</v>
      </c>
      <c r="E14256" s="6" t="n">
        <f aca="false">Sens!E14238</f>
        <v>63.712</v>
      </c>
      <c r="F14256" s="6" t="n">
        <f aca="false">Sens!F14238</f>
        <v>65.1415764563129</v>
      </c>
      <c r="G14256" s="6" t="n">
        <f aca="false">Sens!G14238</f>
        <v>67.1253610780702</v>
      </c>
      <c r="H14256" s="6" t="n">
        <f aca="false">Sens!H14238</f>
        <v>69.5768050148776</v>
      </c>
      <c r="I14256" s="6" t="n">
        <f aca="false">Sens!I14238</f>
        <v>72.4233188088189</v>
      </c>
      <c r="J14256" s="6" t="n">
        <f aca="false">Sens!J14238</f>
        <v>75.6044096678567</v>
      </c>
      <c r="K14256" s="6" t="n">
        <f aca="false">Sens!K14238</f>
        <v>79.0714397009747</v>
      </c>
    </row>
    <row r="14257" customFormat="false" ht="15" hidden="false" customHeight="false" outlineLevel="0" collapsed="false">
      <c r="A14257" s="1" t="s">
        <v>905</v>
      </c>
      <c r="B14257" s="0" t="s">
        <v>98</v>
      </c>
      <c r="D14257" s="6" t="n">
        <f aca="false">Sens!D14239</f>
        <v>281.724</v>
      </c>
      <c r="E14257" s="6" t="n">
        <f aca="false">Sens!E14239</f>
        <v>331.839</v>
      </c>
      <c r="F14257" s="6" t="n">
        <f aca="false">Sens!F14239</f>
        <v>390.468593010593</v>
      </c>
      <c r="G14257" s="6" t="n">
        <f aca="false">Sens!G14239</f>
        <v>446.314422573953</v>
      </c>
      <c r="H14257" s="6" t="n">
        <f aca="false">Sens!H14239</f>
        <v>498.282898599325</v>
      </c>
      <c r="I14257" s="6" t="n">
        <f aca="false">Sens!I14239</f>
        <v>542.395705836776</v>
      </c>
      <c r="J14257" s="6" t="n">
        <f aca="false">Sens!J14239</f>
        <v>583.256007831539</v>
      </c>
      <c r="K14257" s="6" t="n">
        <f aca="false">Sens!K14239</f>
        <v>623.30342353377</v>
      </c>
    </row>
    <row r="14258" customFormat="false" ht="15" hidden="false" customHeight="false" outlineLevel="0" collapsed="false">
      <c r="A14258" s="1" t="s">
        <v>906</v>
      </c>
      <c r="B14258" s="0" t="s">
        <v>129</v>
      </c>
      <c r="E14258" s="7" t="n">
        <f aca="false">Sens!E14257/Sens!D14257-1</f>
        <v>0.177886867998467</v>
      </c>
      <c r="F14258" s="7" t="n">
        <f aca="false">Sens!F14257/Sens!E14257-1</f>
        <v>0.176680839234065</v>
      </c>
      <c r="G14258" s="7" t="n">
        <f aca="false">Sens!G14257/Sens!F14257-1</f>
        <v>0.143022590198042</v>
      </c>
      <c r="H14258" s="7" t="n">
        <f aca="false">Sens!H14257/Sens!G14257-1</f>
        <v>0.116439159025298</v>
      </c>
      <c r="I14258" s="7" t="n">
        <f aca="false">Sens!I14257/Sens!H14257-1</f>
        <v>0.0885296432236631</v>
      </c>
      <c r="J14258" s="7" t="n">
        <f aca="false">Sens!J14257/Sens!I14257-1</f>
        <v>0.0753330115910955</v>
      </c>
      <c r="K14258" s="7" t="n">
        <f aca="false">Sens!K14257/Sens!J14257-1</f>
        <v>0.0686618143053885</v>
      </c>
    </row>
    <row r="14259" customFormat="false" ht="17.15" hidden="false" customHeight="false" outlineLevel="0" collapsed="false">
      <c r="A14259" s="23" t="s">
        <v>907</v>
      </c>
      <c r="B14259" s="30" t="s">
        <v>98</v>
      </c>
      <c r="C14259" s="30"/>
      <c r="D14259" s="24" t="n">
        <f aca="false">(Sens!D14252+Sens!D14256-Sens!D14257)+(Sens!D14244+Sens!D14245-Sens!D14243)+(Sens!D14247+Sens!D14248-Sens!D14246)+(Sens!D14257-Q!L18)</f>
        <v>0</v>
      </c>
      <c r="E14259" s="24" t="n">
        <f aca="false">(Sens!E14252+Sens!E14256-Sens!E14257)+(Sens!E14244+Sens!E14245-Sens!E14243)+(Sens!E14247+Sens!E14248-Sens!E14246)+(Sens!E14257-Q!M18)</f>
        <v>0</v>
      </c>
      <c r="F14259" s="24" t="n">
        <f aca="false">(Sens!F14252+Sens!F14256-Sens!F14257)+(Sens!F14244+Sens!F14245-Sens!F14243)+(Sens!F14247+Sens!F14248-Sens!F14246)</f>
        <v>0</v>
      </c>
      <c r="G14259" s="24" t="n">
        <f aca="false">(Sens!G14252+Sens!G14256-Sens!G14257)+(Sens!G14244+Sens!G14245-Sens!G14243)+(Sens!G14247+Sens!G14248-Sens!G14246)</f>
        <v>0</v>
      </c>
      <c r="H14259" s="24" t="n">
        <f aca="false">(Sens!H14252+Sens!H14256-Sens!H14257)+(Sens!H14244+Sens!H14245-Sens!H14243)+(Sens!H14247+Sens!H14248-Sens!H14246)</f>
        <v>0</v>
      </c>
      <c r="I14259" s="24" t="n">
        <f aca="false">(Sens!I14252+Sens!I14256-Sens!I14257)+(Sens!I14244+Sens!I14245-Sens!I14243)+(Sens!I14247+Sens!I14248-Sens!I14246)</f>
        <v>0</v>
      </c>
      <c r="J14259" s="24" t="n">
        <f aca="false">(Sens!J14252+Sens!J14256-Sens!J14257)+(Sens!J14244+Sens!J14245-Sens!J14243)+(Sens!J14247+Sens!J14248-Sens!J14246)</f>
        <v>0</v>
      </c>
      <c r="K14259" s="24" t="n">
        <f aca="false">(Sens!K14252+Sens!K14256-Sens!K14257)+(Sens!K14244+Sens!K14245-Sens!K14243)+(Sens!K14247+Sens!K14248-Sens!K14246)</f>
        <v>0</v>
      </c>
    </row>
    <row r="14260" customFormat="false" ht="17.15" hidden="false" customHeight="false" outlineLevel="0" collapsed="false">
      <c r="A14260" s="0" t="s">
        <v>908</v>
      </c>
      <c r="B14260" s="0" t="s">
        <v>129</v>
      </c>
      <c r="E14260" s="7" t="n">
        <f aca="false">(Q!M21+Sens!E14197+Sens!E14198+Sens!E14199+Sens!E14212-Sens!E14195)/(Q!M5-Sens!E14195)</f>
        <v>0.570957350878296</v>
      </c>
      <c r="F14260" s="7" t="n">
        <f aca="false">Sens!$E$14260+dm_seg</f>
        <v>0.570957350878296</v>
      </c>
      <c r="G14260" s="7" t="n">
        <f aca="false">Sens!$E$14260+dm_seg</f>
        <v>0.570957350878296</v>
      </c>
      <c r="H14260" s="7" t="n">
        <f aca="false">Sens!$E$14260+dm_seg</f>
        <v>0.570957350878296</v>
      </c>
      <c r="I14260" s="7" t="n">
        <f aca="false">Sens!$E$14260+dm_seg</f>
        <v>0.570957350878296</v>
      </c>
      <c r="J14260" s="7" t="n">
        <f aca="false">Sens!$E$14260+dm_seg</f>
        <v>0.570957350878296</v>
      </c>
      <c r="K14260" s="7" t="n">
        <f aca="false">Sens!$E$14260+dm_seg</f>
        <v>0.570957350878296</v>
      </c>
      <c r="L14260" s="11" t="s">
        <v>909</v>
      </c>
    </row>
    <row r="14261" customFormat="false" ht="17.15" hidden="false" customHeight="false" outlineLevel="0" collapsed="false">
      <c r="A14261" s="0" t="s">
        <v>743</v>
      </c>
      <c r="B14261" s="0" t="s">
        <v>98</v>
      </c>
      <c r="D14261" s="6" t="n">
        <f aca="false">Q!L21</f>
        <v>110.814</v>
      </c>
      <c r="E14261" s="6" t="n">
        <f aca="false">Q!M21</f>
        <v>136.365</v>
      </c>
      <c r="F14261" s="6" t="n">
        <f aca="false">Sens!F14260*(Sens!F14231-Sens!F14195)+Sens!F14195-(Sens!F14197+Sens!F14198+Sens!F14199)-Sens!F14212-Sens!F14295</f>
        <v>148.486025067997</v>
      </c>
      <c r="G14261" s="6" t="n">
        <f aca="false">Sens!G14260*(Sens!G14231-Sens!G14195)+Sens!G14195-(Sens!G14197+Sens!G14198+Sens!G14199)-Sens!G14212-Sens!G14295</f>
        <v>177.764884879938</v>
      </c>
      <c r="H14261" s="6" t="n">
        <f aca="false">Sens!H14260*(Sens!H14231-Sens!H14195)+Sens!H14195-(Sens!H14197+Sens!H14198+Sens!H14199)-Sens!H14212-Sens!H14295</f>
        <v>206.581902804294</v>
      </c>
      <c r="I14261" s="6" t="n">
        <f aca="false">Sens!I14260*(Sens!I14231-Sens!I14195)+Sens!I14195-(Sens!I14197+Sens!I14198+Sens!I14199)-Sens!I14212-Sens!I14295</f>
        <v>231.183264937572</v>
      </c>
      <c r="J14261" s="6" t="n">
        <f aca="false">Sens!J14260*(Sens!J14231-Sens!J14195)+Sens!J14195-(Sens!J14197+Sens!J14198+Sens!J14199)-Sens!J14212-Sens!J14295</f>
        <v>252.942320974703</v>
      </c>
      <c r="K14261" s="6" t="n">
        <f aca="false">Sens!K14260*(Sens!K14231-Sens!K14195)+Sens!K14195-(Sens!K14197+Sens!K14198+Sens!K14199)-Sens!K14212-Sens!K14295</f>
        <v>273.531664428669</v>
      </c>
      <c r="L14261" s="1" t="s">
        <v>910</v>
      </c>
    </row>
    <row r="14262" customFormat="false" ht="17.15" hidden="false" customHeight="false" outlineLevel="0" collapsed="false">
      <c r="A14262" s="0" t="s">
        <v>911</v>
      </c>
      <c r="B14262" s="0" t="s">
        <v>129</v>
      </c>
      <c r="E14262" s="7" t="n">
        <f aca="false">Q!M22/Q!M12</f>
        <v>0.296207935710698</v>
      </c>
      <c r="F14262" s="7" t="n">
        <f aca="false">Sens!$E$14262+dm_seg</f>
        <v>0.296207935710698</v>
      </c>
      <c r="G14262" s="7" t="n">
        <f aca="false">Sens!$E$14262+dm_seg</f>
        <v>0.296207935710698</v>
      </c>
      <c r="H14262" s="7" t="n">
        <f aca="false">Sens!$E$14262+dm_seg</f>
        <v>0.296207935710698</v>
      </c>
      <c r="I14262" s="7" t="n">
        <f aca="false">Sens!$E$14262+dm_seg</f>
        <v>0.296207935710698</v>
      </c>
      <c r="J14262" s="7" t="n">
        <f aca="false">Sens!$E$14262+dm_seg</f>
        <v>0.296207935710698</v>
      </c>
      <c r="K14262" s="7" t="n">
        <f aca="false">Sens!$E$14262+dm_seg</f>
        <v>0.296207935710698</v>
      </c>
      <c r="L14262" s="11" t="s">
        <v>912</v>
      </c>
    </row>
    <row r="14263" customFormat="false" ht="17.15" hidden="false" customHeight="false" outlineLevel="0" collapsed="false">
      <c r="A14263" s="0" t="s">
        <v>745</v>
      </c>
      <c r="B14263" s="0" t="s">
        <v>98</v>
      </c>
      <c r="D14263" s="6" t="n">
        <f aca="false">Q!L22</f>
        <v>17.714</v>
      </c>
      <c r="E14263" s="6" t="n">
        <f aca="false">Q!M22</f>
        <v>18.872</v>
      </c>
      <c r="F14263" s="6" t="n">
        <f aca="false">Sens!F14238*Sens!F14262</f>
        <v>19.2954518910651</v>
      </c>
      <c r="G14263" s="6" t="n">
        <f aca="false">Sens!G14238*Sens!G14262</f>
        <v>19.8830646387704</v>
      </c>
      <c r="H14263" s="6" t="n">
        <f aca="false">Sens!H14238*Sens!H14262</f>
        <v>20.6092017868026</v>
      </c>
      <c r="I14263" s="6" t="n">
        <f aca="false">Sens!I14238*Sens!I14262</f>
        <v>21.452361761678</v>
      </c>
      <c r="J14263" s="6" t="n">
        <f aca="false">Sens!J14238*Sens!J14262</f>
        <v>22.3946261183418</v>
      </c>
      <c r="K14263" s="6" t="n">
        <f aca="false">Sens!K14238*Sens!K14262</f>
        <v>23.4215879274986</v>
      </c>
    </row>
    <row r="14264" customFormat="false" ht="15" hidden="false" customHeight="false" outlineLevel="0" collapsed="false">
      <c r="A14264" s="1" t="s">
        <v>913</v>
      </c>
      <c r="B14264" s="0" t="s">
        <v>98</v>
      </c>
      <c r="D14264" s="6" t="n">
        <f aca="false">Sens!D14261+Sens!D14263</f>
        <v>128.528</v>
      </c>
      <c r="E14264" s="6" t="n">
        <f aca="false">Sens!E14261+Sens!E14263</f>
        <v>155.237</v>
      </c>
      <c r="F14264" s="6" t="n">
        <f aca="false">Sens!F14261+Sens!F14263</f>
        <v>167.781476959062</v>
      </c>
      <c r="G14264" s="6" t="n">
        <f aca="false">Sens!G14261+Sens!G14263</f>
        <v>197.647949518709</v>
      </c>
      <c r="H14264" s="6" t="n">
        <f aca="false">Sens!H14261+Sens!H14263</f>
        <v>227.191104591097</v>
      </c>
      <c r="I14264" s="6" t="n">
        <f aca="false">Sens!I14261+Sens!I14263</f>
        <v>252.63562669925</v>
      </c>
      <c r="J14264" s="6" t="n">
        <f aca="false">Sens!J14261+Sens!J14263</f>
        <v>275.336947093044</v>
      </c>
      <c r="K14264" s="6" t="n">
        <f aca="false">Sens!K14261+Sens!K14263</f>
        <v>296.953252356167</v>
      </c>
    </row>
    <row r="14265" customFormat="false" ht="15" hidden="false" customHeight="false" outlineLevel="0" collapsed="false">
      <c r="A14265" s="23" t="s">
        <v>914</v>
      </c>
      <c r="B14265" s="30" t="s">
        <v>98</v>
      </c>
      <c r="C14265" s="30"/>
      <c r="D14265" s="24" t="n">
        <f aca="false">Sens!D14264-Q!L23</f>
        <v>0</v>
      </c>
      <c r="E14265" s="24" t="n">
        <f aca="false">Sens!E14264-Q!M23</f>
        <v>0</v>
      </c>
      <c r="F14265" s="30"/>
      <c r="G14265" s="30"/>
      <c r="H14265" s="30"/>
      <c r="I14265" s="30"/>
      <c r="J14265" s="30"/>
      <c r="K14265" s="30"/>
    </row>
    <row r="14266" customFormat="false" ht="15" hidden="false" customHeight="false" outlineLevel="0" collapsed="false">
      <c r="A14266" s="1" t="s">
        <v>915</v>
      </c>
      <c r="B14266" s="0" t="s">
        <v>129</v>
      </c>
      <c r="D14266" s="7" t="n">
        <f aca="false">Sens!D14264/Sens!D14257</f>
        <v>0.456219562408598</v>
      </c>
      <c r="E14266" s="7" t="n">
        <f aca="false">Sens!E14264/Sens!E14257</f>
        <v>0.467808184089272</v>
      </c>
      <c r="F14266" s="7" t="n">
        <f aca="false">Sens!F14264/Sens!F14257</f>
        <v>0.429692630757911</v>
      </c>
      <c r="G14266" s="7" t="n">
        <f aca="false">Sens!G14264/Sens!G14257</f>
        <v>0.442844639388635</v>
      </c>
      <c r="H14266" s="7" t="n">
        <f aca="false">Sens!H14264/Sens!H14257</f>
        <v>0.455948027174386</v>
      </c>
      <c r="I14266" s="7" t="n">
        <f aca="false">Sens!I14264/Sens!I14257</f>
        <v>0.465777335588412</v>
      </c>
      <c r="J14266" s="7" t="n">
        <f aca="false">Sens!J14264/Sens!J14257</f>
        <v>0.472068771510314</v>
      </c>
      <c r="K14266" s="7" t="n">
        <f aca="false">Sens!K14264/Sens!K14257</f>
        <v>0.47641845230468</v>
      </c>
    </row>
    <row r="14267" customFormat="false" ht="17.15" hidden="false" customHeight="false" outlineLevel="0" collapsed="false">
      <c r="A14267" s="1" t="s">
        <v>916</v>
      </c>
      <c r="B14267" s="0" t="s">
        <v>98</v>
      </c>
      <c r="F14267" s="6" t="n">
        <f aca="false">Sens!F14282</f>
        <v>0</v>
      </c>
      <c r="G14267" s="6" t="n">
        <f aca="false">Sens!G14282</f>
        <v>0</v>
      </c>
      <c r="H14267" s="6" t="n">
        <f aca="false">Sens!H14282</f>
        <v>0</v>
      </c>
      <c r="I14267" s="6" t="n">
        <f aca="false">Sens!I14282</f>
        <v>0</v>
      </c>
      <c r="J14267" s="6" t="n">
        <f aca="false">Sens!J14282</f>
        <v>0</v>
      </c>
      <c r="K14267" s="6" t="n">
        <f aca="false">Sens!K14282</f>
        <v>0</v>
      </c>
      <c r="L14267" s="1" t="s">
        <v>917</v>
      </c>
    </row>
    <row r="14268" customFormat="false" ht="17.15" hidden="false" customHeight="false" outlineLevel="0" collapsed="false">
      <c r="A14268" s="1" t="s">
        <v>918</v>
      </c>
      <c r="B14268" s="0" t="s">
        <v>98</v>
      </c>
      <c r="D14268" s="6" t="n">
        <f aca="false">Sens!D14264</f>
        <v>128.528</v>
      </c>
      <c r="E14268" s="6" t="n">
        <f aca="false">Sens!E14264</f>
        <v>155.237</v>
      </c>
      <c r="F14268" s="6" t="n">
        <f aca="false">Sens!F14264+Sens!F14267</f>
        <v>167.781476959062</v>
      </c>
      <c r="G14268" s="6" t="n">
        <f aca="false">Sens!G14264+Sens!G14267</f>
        <v>197.647949518709</v>
      </c>
      <c r="H14268" s="6" t="n">
        <f aca="false">Sens!H14264+Sens!H14267</f>
        <v>227.191104591097</v>
      </c>
      <c r="I14268" s="6" t="n">
        <f aca="false">Sens!I14264+Sens!I14267</f>
        <v>252.63562669925</v>
      </c>
      <c r="J14268" s="6" t="n">
        <f aca="false">Sens!J14264+Sens!J14267</f>
        <v>275.336947093044</v>
      </c>
      <c r="K14268" s="6" t="n">
        <f aca="false">Sens!K14264+Sens!K14267</f>
        <v>296.953252356167</v>
      </c>
    </row>
    <row r="14269" customFormat="false" ht="17.15" hidden="false" customHeight="false" outlineLevel="0" collapsed="false">
      <c r="A14269" s="1" t="s">
        <v>919</v>
      </c>
      <c r="B14269" s="0" t="s">
        <v>98</v>
      </c>
      <c r="E14269" s="6" t="n">
        <f aca="false">Sens!E14212</f>
        <v>16.3054059770833</v>
      </c>
      <c r="F14269" s="6" t="n">
        <f aca="false">Sens!F14212</f>
        <v>24.6319326396667</v>
      </c>
      <c r="G14269" s="6" t="n">
        <f aca="false">Sens!G14212</f>
        <v>29.4421900723333</v>
      </c>
      <c r="H14269" s="6" t="n">
        <f aca="false">Sens!H14212</f>
        <v>32.0248894903333</v>
      </c>
      <c r="I14269" s="6" t="n">
        <f aca="false">Sens!I14212</f>
        <v>32.6686637199167</v>
      </c>
      <c r="J14269" s="6" t="n">
        <f aca="false">Sens!J14212</f>
        <v>34.2846684186667</v>
      </c>
      <c r="K14269" s="6" t="n">
        <f aca="false">Sens!K14212</f>
        <v>37.1882215765833</v>
      </c>
    </row>
    <row r="14270" customFormat="false" ht="17.15" hidden="false" customHeight="false" outlineLevel="0" collapsed="false">
      <c r="A14270" s="1" t="s">
        <v>920</v>
      </c>
      <c r="B14270" s="0" t="s">
        <v>98</v>
      </c>
      <c r="E14270" s="6" t="n">
        <f aca="false">Sens!E14294</f>
        <v>22.2285940229167</v>
      </c>
      <c r="F14270" s="6" t="n">
        <f aca="false">Sens!F14294</f>
        <v>37.358881403025</v>
      </c>
      <c r="G14270" s="6" t="n">
        <f aca="false">Sens!G14294</f>
        <v>37.7832826197614</v>
      </c>
      <c r="H14270" s="6" t="n">
        <f aca="false">Sens!H14294</f>
        <v>38.7611057221943</v>
      </c>
      <c r="I14270" s="6" t="n">
        <f aca="false">Sens!I14294</f>
        <v>40.2023351811392</v>
      </c>
      <c r="J14270" s="6" t="n">
        <f aca="false">Sens!J14294</f>
        <v>42.0026929880627</v>
      </c>
      <c r="K14270" s="6" t="n">
        <f aca="false">Sens!K14294</f>
        <v>44.0667939634558</v>
      </c>
    </row>
    <row r="14271" customFormat="false" ht="17.15" hidden="false" customHeight="false" outlineLevel="0" collapsed="false">
      <c r="A14271" s="1" t="s">
        <v>921</v>
      </c>
      <c r="B14271" s="0" t="s">
        <v>98</v>
      </c>
      <c r="D14271" s="6" t="n">
        <f aca="false">Q!L27</f>
        <v>-4.901</v>
      </c>
      <c r="E14271" s="6" t="n">
        <f aca="false">Q!M27</f>
        <v>10.697</v>
      </c>
      <c r="F14271" s="6" t="n">
        <f aca="false">oie_f</f>
        <v>-0.4</v>
      </c>
      <c r="G14271" s="6" t="n">
        <f aca="false">oie_f</f>
        <v>-0.4</v>
      </c>
      <c r="H14271" s="6" t="n">
        <f aca="false">oie_f</f>
        <v>-0.4</v>
      </c>
      <c r="I14271" s="6" t="n">
        <f aca="false">oie_f</f>
        <v>-0.4</v>
      </c>
      <c r="J14271" s="6" t="n">
        <f aca="false">oie_f</f>
        <v>-0.4</v>
      </c>
      <c r="K14271" s="6" t="n">
        <f aca="false">oie_f</f>
        <v>-0.4</v>
      </c>
      <c r="L14271" s="11" t="s">
        <v>922</v>
      </c>
    </row>
    <row r="14272" customFormat="false" ht="15" hidden="false" customHeight="false" outlineLevel="0" collapsed="false">
      <c r="A14272" s="1" t="s">
        <v>923</v>
      </c>
      <c r="B14272" s="0" t="s">
        <v>98</v>
      </c>
      <c r="D14272" s="6" t="n">
        <f aca="false">Sens!D14264+Sens!D14271</f>
        <v>123.627</v>
      </c>
      <c r="E14272" s="6" t="n">
        <f aca="false">Sens!E14264+Sens!E14271</f>
        <v>165.934</v>
      </c>
      <c r="F14272" s="6" t="n">
        <f aca="false">Sens!F14264+Sens!F14271</f>
        <v>167.381476959062</v>
      </c>
      <c r="G14272" s="6" t="n">
        <f aca="false">Sens!G14264+Sens!G14271</f>
        <v>197.247949518709</v>
      </c>
      <c r="H14272" s="6" t="n">
        <f aca="false">Sens!H14264+Sens!H14271</f>
        <v>226.791104591097</v>
      </c>
      <c r="I14272" s="6" t="n">
        <f aca="false">Sens!I14264+Sens!I14271</f>
        <v>252.23562669925</v>
      </c>
      <c r="J14272" s="6" t="n">
        <f aca="false">Sens!J14264+Sens!J14271</f>
        <v>274.936947093044</v>
      </c>
      <c r="K14272" s="6" t="n">
        <f aca="false">Sens!K14264+Sens!K14271</f>
        <v>296.553252356167</v>
      </c>
    </row>
    <row r="14273" customFormat="false" ht="15" hidden="false" customHeight="false" outlineLevel="0" collapsed="false">
      <c r="A14273" s="1" t="s">
        <v>924</v>
      </c>
      <c r="B14273" s="0" t="s">
        <v>98</v>
      </c>
      <c r="D14273" s="6" t="n">
        <f aca="false">Q!L29</f>
        <v>21.795</v>
      </c>
      <c r="E14273" s="6" t="n">
        <f aca="false">Q!M29</f>
        <v>32.185</v>
      </c>
      <c r="F14273" s="6" t="n">
        <f aca="false">Sens!F14272*tax_f</f>
        <v>33.4762953918123</v>
      </c>
      <c r="G14273" s="6" t="n">
        <f aca="false">Sens!G14272*tax_f</f>
        <v>39.4495899037418</v>
      </c>
      <c r="H14273" s="6" t="n">
        <f aca="false">Sens!H14272*tax_f</f>
        <v>45.3582209182194</v>
      </c>
      <c r="I14273" s="6" t="n">
        <f aca="false">Sens!I14272*tax_f</f>
        <v>50.4471253398499</v>
      </c>
      <c r="J14273" s="6" t="n">
        <f aca="false">Sens!J14272*tax_f</f>
        <v>54.9873894186089</v>
      </c>
      <c r="K14273" s="6" t="n">
        <f aca="false">Sens!K14272*tax_f</f>
        <v>59.3106504712334</v>
      </c>
    </row>
    <row r="14274" customFormat="false" ht="15" hidden="false" customHeight="false" outlineLevel="0" collapsed="false">
      <c r="A14274" s="1" t="s">
        <v>925</v>
      </c>
      <c r="B14274" s="0" t="s">
        <v>98</v>
      </c>
      <c r="D14274" s="6" t="n">
        <f aca="false">Sens!D14272-Sens!D14273</f>
        <v>101.832</v>
      </c>
      <c r="E14274" s="6" t="n">
        <f aca="false">Sens!E14272-Sens!E14273</f>
        <v>133.749</v>
      </c>
      <c r="F14274" s="6" t="n">
        <f aca="false">Sens!F14272-Sens!F14273</f>
        <v>133.905181567249</v>
      </c>
      <c r="G14274" s="6" t="n">
        <f aca="false">Sens!G14272-Sens!G14273</f>
        <v>157.798359614967</v>
      </c>
      <c r="H14274" s="6" t="n">
        <f aca="false">Sens!H14272-Sens!H14273</f>
        <v>181.432883672877</v>
      </c>
      <c r="I14274" s="6" t="n">
        <f aca="false">Sens!I14272-Sens!I14273</f>
        <v>201.7885013594</v>
      </c>
      <c r="J14274" s="6" t="n">
        <f aca="false">Sens!J14272-Sens!J14273</f>
        <v>219.949557674435</v>
      </c>
      <c r="K14274" s="6" t="n">
        <f aca="false">Sens!K14272-Sens!K14273</f>
        <v>237.242601884934</v>
      </c>
    </row>
    <row r="14275" customFormat="false" ht="17.15" hidden="false" customHeight="false" outlineLevel="0" collapsed="false">
      <c r="A14275" s="1" t="s">
        <v>926</v>
      </c>
      <c r="B14275" s="1" t="s">
        <v>81</v>
      </c>
      <c r="D14275" s="14" t="n">
        <f aca="false">Q!L31</f>
        <v>7.465</v>
      </c>
      <c r="E14275" s="14" t="n">
        <f aca="false">Q!M31</f>
        <v>7.453</v>
      </c>
      <c r="F14275" s="14" t="n">
        <f aca="false">Sens!F14318</f>
        <v>7.4735</v>
      </c>
      <c r="G14275" s="14" t="n">
        <f aca="false">Sens!G14318</f>
        <v>7.49987171271795</v>
      </c>
      <c r="H14275" s="14" t="n">
        <f aca="false">Sens!H14318</f>
        <v>7.50899501128585</v>
      </c>
      <c r="I14275" s="14" t="n">
        <f aca="false">Sens!I14318</f>
        <v>7.52077584329316</v>
      </c>
      <c r="J14275" s="14" t="n">
        <f aca="false">Sens!J14318</f>
        <v>7.53501735441104</v>
      </c>
      <c r="K14275" s="14" t="n">
        <f aca="false">Sens!K14318</f>
        <v>7.55153727211278</v>
      </c>
    </row>
    <row r="14276" customFormat="false" ht="17.15" hidden="false" customHeight="false" outlineLevel="0" collapsed="false">
      <c r="A14276" s="0" t="s">
        <v>927</v>
      </c>
      <c r="B14276" s="0" t="s">
        <v>75</v>
      </c>
      <c r="D14276" s="8" t="n">
        <f aca="false">Sens!D14274/Sens!D14275</f>
        <v>13.641259209645</v>
      </c>
      <c r="E14276" s="8" t="n">
        <f aca="false">Sens!E14274/Sens!E14275</f>
        <v>17.9456594659869</v>
      </c>
      <c r="F14276" s="8" t="n">
        <f aca="false">Sens!F14274/Sens!F14275</f>
        <v>17.9173321157757</v>
      </c>
      <c r="G14276" s="8" t="n">
        <f aca="false">Sens!G14274/Sens!G14275</f>
        <v>21.040141172999</v>
      </c>
      <c r="H14276" s="8" t="n">
        <f aca="false">Sens!H14274/Sens!H14275</f>
        <v>24.1620727407846</v>
      </c>
      <c r="I14276" s="8" t="n">
        <f aca="false">Sens!I14274/Sens!I14275</f>
        <v>26.8308091563917</v>
      </c>
      <c r="J14276" s="8" t="n">
        <f aca="false">Sens!J14274/Sens!J14275</f>
        <v>29.1903186587455</v>
      </c>
      <c r="K14276" s="8" t="n">
        <f aca="false">Sens!K14274/Sens!K14275</f>
        <v>31.4164644013679</v>
      </c>
      <c r="L14276" s="1" t="s">
        <v>928</v>
      </c>
    </row>
    <row r="14277" customFormat="false" ht="17.15" hidden="false" customHeight="false" outlineLevel="0" collapsed="false">
      <c r="A14277" s="1" t="s">
        <v>929</v>
      </c>
      <c r="B14277" s="0" t="s">
        <v>98</v>
      </c>
      <c r="D14277" s="6" t="n">
        <f aca="false">Sens!D14274</f>
        <v>101.832</v>
      </c>
      <c r="E14277" s="6" t="n">
        <f aca="false">Sens!E14274</f>
        <v>133.749</v>
      </c>
      <c r="F14277" s="6" t="n">
        <f aca="false">Sens!F14274+Sens!F14267*(1-tax_f)</f>
        <v>133.905181567249</v>
      </c>
      <c r="G14277" s="6" t="n">
        <f aca="false">Sens!G14274+Sens!G14267*(1-tax_f)</f>
        <v>157.798359614967</v>
      </c>
      <c r="H14277" s="6" t="n">
        <f aca="false">Sens!H14274+Sens!H14267*(1-tax_f)</f>
        <v>181.432883672877</v>
      </c>
      <c r="I14277" s="6" t="n">
        <f aca="false">Sens!I14274+Sens!I14267*(1-tax_f)</f>
        <v>201.7885013594</v>
      </c>
      <c r="J14277" s="6" t="n">
        <f aca="false">Sens!J14274+Sens!J14267*(1-tax_f)</f>
        <v>219.949557674435</v>
      </c>
      <c r="K14277" s="6" t="n">
        <f aca="false">Sens!K14274+Sens!K14267*(1-tax_f)</f>
        <v>237.242601884934</v>
      </c>
    </row>
    <row r="14278" customFormat="false" ht="17.15" hidden="false" customHeight="false" outlineLevel="0" collapsed="false">
      <c r="A14278" s="0" t="s">
        <v>930</v>
      </c>
      <c r="B14278" s="0" t="s">
        <v>75</v>
      </c>
      <c r="D14278" s="8" t="n">
        <f aca="false">Sens!D14277/Sens!D14275</f>
        <v>13.641259209645</v>
      </c>
      <c r="E14278" s="8" t="n">
        <f aca="false">Sens!E14277/Sens!E14275</f>
        <v>17.9456594659869</v>
      </c>
      <c r="F14278" s="8" t="n">
        <f aca="false">Sens!F14277/Sens!F14275</f>
        <v>17.9173321157757</v>
      </c>
      <c r="G14278" s="8" t="n">
        <f aca="false">Sens!G14277/Sens!G14275</f>
        <v>21.040141172999</v>
      </c>
      <c r="H14278" s="8" t="n">
        <f aca="false">Sens!H14277/Sens!H14275</f>
        <v>24.1620727407846</v>
      </c>
      <c r="I14278" s="8" t="n">
        <f aca="false">Sens!I14277/Sens!I14275</f>
        <v>26.8308091563917</v>
      </c>
      <c r="J14278" s="8" t="n">
        <f aca="false">Sens!J14277/Sens!J14275</f>
        <v>29.1903186587455</v>
      </c>
      <c r="K14278" s="8" t="n">
        <f aca="false">Sens!K14277/Sens!K14275</f>
        <v>31.4164644013679</v>
      </c>
      <c r="L14278" s="1" t="s">
        <v>931</v>
      </c>
    </row>
    <row r="14279" customFormat="false" ht="17.15" hidden="false" customHeight="false" outlineLevel="0" collapsed="false">
      <c r="A14279" s="0" t="s">
        <v>932</v>
      </c>
      <c r="B14279" s="0" t="s">
        <v>129</v>
      </c>
      <c r="E14279" s="7" t="n">
        <f aca="false">Sens!E14278/Sens!D14278-1</f>
        <v>0.315542736208578</v>
      </c>
      <c r="F14279" s="7" t="n">
        <f aca="false">Sens!F14278/Sens!E14278-1</f>
        <v>-0.00157850706266249</v>
      </c>
      <c r="G14279" s="7" t="n">
        <f aca="false">Sens!G14278/Sens!F14278-1</f>
        <v>0.174289846113516</v>
      </c>
      <c r="H14279" s="7" t="n">
        <f aca="false">Sens!H14278/Sens!G14278-1</f>
        <v>0.148379782346331</v>
      </c>
      <c r="I14279" s="7" t="n">
        <f aca="false">Sens!I14278/Sens!H14278-1</f>
        <v>0.11045146847449</v>
      </c>
      <c r="J14279" s="7" t="n">
        <f aca="false">Sens!J14278/Sens!I14278-1</f>
        <v>0.0879403035741713</v>
      </c>
      <c r="K14279" s="7" t="n">
        <f aca="false">Sens!K14278/Sens!J14278-1</f>
        <v>0.0762631531586737</v>
      </c>
    </row>
    <row r="14280" customFormat="false" ht="17.15" hidden="false" customHeight="false" outlineLevel="0" collapsed="false">
      <c r="A14280" s="0" t="s">
        <v>856</v>
      </c>
      <c r="B14280" s="0" t="s">
        <v>98</v>
      </c>
      <c r="E14280" s="6" t="n">
        <f aca="false">Sens!E14221</f>
        <v>5.25</v>
      </c>
      <c r="F14280" s="6" t="n">
        <f aca="false">Sens!F14221</f>
        <v>13.5</v>
      </c>
      <c r="G14280" s="6" t="n">
        <f aca="false">Sens!G14221</f>
        <v>22.5</v>
      </c>
      <c r="H14280" s="6" t="n">
        <f aca="false">Sens!H14221</f>
        <v>31.5</v>
      </c>
      <c r="I14280" s="6" t="n">
        <f aca="false">Sens!I14221</f>
        <v>38.25</v>
      </c>
      <c r="J14280" s="6" t="n">
        <f aca="false">Sens!J14221</f>
        <v>42.75</v>
      </c>
      <c r="K14280" s="6" t="n">
        <f aca="false">Sens!K14221</f>
        <v>47.25</v>
      </c>
    </row>
    <row r="14281" customFormat="false" ht="17.15" hidden="false" customHeight="false" outlineLevel="0" collapsed="false">
      <c r="A14281" s="1" t="s">
        <v>857</v>
      </c>
      <c r="B14281" s="0" t="s">
        <v>98</v>
      </c>
      <c r="F14281" s="6" t="n">
        <f aca="false">MAX(0,((Sens!E14184+Sens!F14184)/2-(shadow_base*(Sens!$D$14184+Sens!$E$14184)/2+(1-shadow_base)*Sens!$E$14184))*Sens!F14192/1000-(Sens!F14280-Sens!$E$14280)*Sens!F14260)</f>
        <v>1.65958611294795</v>
      </c>
      <c r="G14281" s="6" t="n">
        <f aca="false">MAX(0,((Sens!F14184+Sens!G14184)/2-(shadow_base*(Sens!$D$14184+Sens!$E$14184)/2+(1-shadow_base)*Sens!$E$14184))*Sens!G14192/1000-(Sens!G14280-Sens!$E$14280)*Sens!G14260)</f>
        <v>0</v>
      </c>
      <c r="H14281" s="6" t="n">
        <f aca="false">MAX(0,((Sens!G14184+Sens!H14184)/2-(shadow_base*(Sens!$D$14184+Sens!$E$14184)/2+(1-shadow_base)*Sens!$E$14184))*Sens!H14192/1000-(Sens!H14280-Sens!$E$14280)*Sens!H14260)</f>
        <v>0</v>
      </c>
      <c r="I14281" s="6" t="n">
        <f aca="false">MAX(0,((Sens!H14184+Sens!I14184)/2-(shadow_base*(Sens!$D$14184+Sens!$E$14184)/2+(1-shadow_base)*Sens!$E$14184))*Sens!I14192/1000-(Sens!I14280-Sens!$E$14280)*Sens!I14260)</f>
        <v>0</v>
      </c>
      <c r="J14281" s="6" t="n">
        <f aca="false">MAX(0,((Sens!I14184+Sens!J14184)/2-(shadow_base*(Sens!$D$14184+Sens!$E$14184)/2+(1-shadow_base)*Sens!$E$14184))*Sens!J14192/1000-(Sens!J14280-Sens!$E$14280)*Sens!J14260)</f>
        <v>0</v>
      </c>
      <c r="K14281" s="6" t="n">
        <f aca="false">MAX(0,((Sens!J14184+Sens!K14184)/2-(shadow_base*(Sens!$D$14184+Sens!$E$14184)/2+(1-shadow_base)*Sens!$E$14184))*Sens!K14192/1000-(Sens!K14280-Sens!$E$14280)*Sens!K14260)</f>
        <v>0</v>
      </c>
      <c r="L14281" s="1" t="s">
        <v>858</v>
      </c>
    </row>
    <row r="14282" customFormat="false" ht="17.15" hidden="false" customHeight="false" outlineLevel="0" collapsed="false">
      <c r="A14282" s="1" t="s">
        <v>859</v>
      </c>
      <c r="B14282" s="0" t="s">
        <v>98</v>
      </c>
      <c r="F14282" s="6" t="n">
        <f aca="false">IF(1=2,1,0)*Sens!F14281</f>
        <v>0</v>
      </c>
      <c r="G14282" s="6" t="n">
        <f aca="false">IF(1=2,1,0)*Sens!G14281</f>
        <v>0</v>
      </c>
      <c r="H14282" s="6" t="n">
        <f aca="false">IF(1=2,1,0)*Sens!H14281</f>
        <v>0</v>
      </c>
      <c r="I14282" s="6" t="n">
        <f aca="false">IF(1=2,1,0)*Sens!I14281</f>
        <v>0</v>
      </c>
      <c r="J14282" s="6" t="n">
        <f aca="false">IF(1=2,1,0)*Sens!J14281</f>
        <v>0</v>
      </c>
      <c r="K14282" s="6" t="n">
        <f aca="false">IF(1=2,1,0)*Sens!K14281</f>
        <v>0</v>
      </c>
    </row>
    <row r="14283" customFormat="false" ht="17.15" hidden="false" customHeight="false" outlineLevel="0" collapsed="false">
      <c r="A14283" s="0" t="s">
        <v>860</v>
      </c>
      <c r="B14283" s="0" t="s">
        <v>98</v>
      </c>
      <c r="F14283" s="6" t="n">
        <f aca="false">Sens!F14201+Sens!F14280*Sens!F14260+Sens!F14282-Sens!F14202-Sens!F14212</f>
        <v>9.70556416034835</v>
      </c>
      <c r="G14283" s="6" t="n">
        <f aca="false">Sens!G14201+Sens!G14280*Sens!G14260+Sens!G14282-Sens!G14202-Sens!G14212</f>
        <v>18.5249738059023</v>
      </c>
      <c r="H14283" s="6" t="n">
        <f aca="false">Sens!H14201+Sens!H14280*Sens!H14260+Sens!H14282-Sens!H14202-Sens!H14212</f>
        <v>26.8381948936064</v>
      </c>
      <c r="I14283" s="6" t="n">
        <f aca="false">Sens!I14201+Sens!I14280*Sens!I14260+Sens!I14282-Sens!I14202-Sens!I14212</f>
        <v>31.547774454727</v>
      </c>
      <c r="J14283" s="6" t="n">
        <f aca="false">Sens!J14201+Sens!J14280*Sens!J14260+Sens!J14282-Sens!J14202-Sens!J14212</f>
        <v>34.7654652583657</v>
      </c>
      <c r="K14283" s="6" t="n">
        <f aca="false">Sens!K14201+Sens!K14280*Sens!K14260+Sens!K14282-Sens!K14202-Sens!K14212</f>
        <v>38.9293951962278</v>
      </c>
    </row>
    <row r="14284" customFormat="false" ht="17.15" hidden="false" customHeight="false" outlineLevel="0" collapsed="false">
      <c r="A14284" s="0" t="s">
        <v>861</v>
      </c>
      <c r="B14284" s="0" t="s">
        <v>98</v>
      </c>
      <c r="E14284" s="6" t="n">
        <f aca="false">Sens!E14183*(cxit_open+self_build*tk_cxfac)/1000*ai_net_open</f>
        <v>126.6980382</v>
      </c>
      <c r="F14284" s="6" t="n">
        <f aca="false">Sens!E14284+Sens!F14209-Sens!F14212</f>
        <v>132.734637736333</v>
      </c>
      <c r="G14284" s="6" t="n">
        <f aca="false">Sens!F14284+Sens!G14209-Sens!G14212</f>
        <v>138.59517468</v>
      </c>
      <c r="H14284" s="6" t="n">
        <f aca="false">Sens!G14284+Sens!H14209-Sens!H14212</f>
        <v>106.570285189667</v>
      </c>
      <c r="I14284" s="6" t="n">
        <f aca="false">Sens!H14284+Sens!I14209-Sens!I14212</f>
        <v>104.160296816417</v>
      </c>
      <c r="J14284" s="6" t="n">
        <f aca="false">Sens!I14284+Sens!J14209-Sens!J14212</f>
        <v>115.572403411083</v>
      </c>
      <c r="K14284" s="6" t="n">
        <f aca="false">Sens!J14284+Sens!K14209-Sens!K14212</f>
        <v>169.1602078745</v>
      </c>
      <c r="L14284" s="1" t="s">
        <v>862</v>
      </c>
    </row>
    <row r="14285" customFormat="false" ht="17.15" hidden="false" customHeight="false" outlineLevel="0" collapsed="false">
      <c r="A14285" s="0" t="s">
        <v>863</v>
      </c>
      <c r="B14285" s="0" t="s">
        <v>129</v>
      </c>
      <c r="F14285" s="7" t="n">
        <f aca="false">Sens!F14283*(1-tax_f)/((Sens!E14284+Sens!F14284)/2)</f>
        <v>0.0598571579332137</v>
      </c>
      <c r="G14285" s="7" t="n">
        <f aca="false">Sens!G14283*(1-tax_f)/((Sens!F14284+Sens!G14284)/2)</f>
        <v>0.109239592308285</v>
      </c>
      <c r="H14285" s="7" t="n">
        <f aca="false">Sens!H14283*(1-tax_f)/((Sens!G14284+Sens!H14284)/2)</f>
        <v>0.175151556228999</v>
      </c>
      <c r="I14285" s="7" t="n">
        <f aca="false">Sens!I14283*(1-tax_f)/((Sens!H14284+Sens!I14284)/2)</f>
        <v>0.239530677735736</v>
      </c>
      <c r="J14285" s="7" t="n">
        <f aca="false">Sens!J14283*(1-tax_f)/((Sens!I14284+Sens!J14284)/2)</f>
        <v>0.253147321066888</v>
      </c>
      <c r="K14285" s="7" t="n">
        <f aca="false">Sens!K14283*(1-tax_f)/((Sens!J14284+Sens!K14284)/2)</f>
        <v>0.218756228985275</v>
      </c>
    </row>
    <row r="14286" customFormat="false" ht="17.15" hidden="false" customHeight="false" outlineLevel="0" collapsed="false">
      <c r="A14286" s="1" t="s">
        <v>864</v>
      </c>
      <c r="B14286" s="0" t="s">
        <v>129</v>
      </c>
      <c r="F14286" s="7" t="n">
        <f aca="false">(Sens!F14283-Sens!F14282)*(1-tax_f)/((Sens!E14284+Sens!F14284)/2)</f>
        <v>0.0598571579332137</v>
      </c>
      <c r="G14286" s="7" t="n">
        <f aca="false">(Sens!G14283-Sens!G14282)*(1-tax_f)/((Sens!F14284+Sens!G14284)/2)</f>
        <v>0.109239592308285</v>
      </c>
      <c r="H14286" s="7" t="n">
        <f aca="false">(Sens!H14283-Sens!H14282)*(1-tax_f)/((Sens!G14284+Sens!H14284)/2)</f>
        <v>0.175151556228999</v>
      </c>
      <c r="I14286" s="7" t="n">
        <f aca="false">(Sens!I14283-Sens!I14282)*(1-tax_f)/((Sens!H14284+Sens!I14284)/2)</f>
        <v>0.239530677735736</v>
      </c>
      <c r="J14286" s="7" t="n">
        <f aca="false">(Sens!J14283-Sens!J14282)*(1-tax_f)/((Sens!I14284+Sens!J14284)/2)</f>
        <v>0.253147321066888</v>
      </c>
      <c r="K14286" s="7" t="n">
        <f aca="false">(Sens!K14283-Sens!K14282)*(1-tax_f)/((Sens!J14284+Sens!K14284)/2)</f>
        <v>0.218756228985275</v>
      </c>
    </row>
    <row r="14287" customFormat="false" ht="17.15" hidden="false" customHeight="false" outlineLevel="0" collapsed="false">
      <c r="A14287" s="1" t="s">
        <v>865</v>
      </c>
      <c r="B14287" s="0" t="s">
        <v>129</v>
      </c>
      <c r="F14287" s="7" t="n">
        <f aca="false">(Sens!F14283-Sens!F14282+Sens!F14281)*(1-tax_f)/((Sens!E14284+Sens!F14284)/2)</f>
        <v>0.0700923288542752</v>
      </c>
      <c r="G14287" s="7" t="n">
        <f aca="false">(Sens!G14283-Sens!G14282+Sens!G14281)*(1-tax_f)/((Sens!F14284+Sens!G14284)/2)</f>
        <v>0.109239592308285</v>
      </c>
      <c r="H14287" s="7" t="n">
        <f aca="false">(Sens!H14283-Sens!H14282+Sens!H14281)*(1-tax_f)/((Sens!G14284+Sens!H14284)/2)</f>
        <v>0.175151556228999</v>
      </c>
      <c r="I14287" s="7" t="n">
        <f aca="false">(Sens!I14283-Sens!I14282+Sens!I14281)*(1-tax_f)/((Sens!H14284+Sens!I14284)/2)</f>
        <v>0.239530677735736</v>
      </c>
      <c r="J14287" s="7" t="n">
        <f aca="false">(Sens!J14283-Sens!J14282+Sens!J14281)*(1-tax_f)/((Sens!I14284+Sens!J14284)/2)</f>
        <v>0.253147321066888</v>
      </c>
      <c r="K14287" s="7" t="n">
        <f aca="false">(Sens!K14283-Sens!K14282+Sens!K14281)*(1-tax_f)/((Sens!J14284+Sens!K14284)/2)</f>
        <v>0.218756228985275</v>
      </c>
    </row>
    <row r="14288" customFormat="false" ht="17.15" hidden="false" customHeight="false" outlineLevel="0" collapsed="false">
      <c r="A14288" s="1" t="s">
        <v>866</v>
      </c>
      <c r="B14288" s="0" t="s">
        <v>129</v>
      </c>
      <c r="F14288" s="7" t="n">
        <f aca="false">Sens!F14213*(1-tax_f)/(Sens!F14200*(Sens!E14284+Sens!F14284)/2)</f>
        <v>0.171931196611404</v>
      </c>
      <c r="G14288" s="7" t="n">
        <f aca="false">Sens!G14213*(1-tax_f)/(Sens!G14200*(Sens!F14284+Sens!G14284)/2)</f>
        <v>0.227479275671844</v>
      </c>
      <c r="H14288" s="7" t="n">
        <f aca="false">Sens!H14213*(1-tax_f)/(Sens!H14200*(Sens!G14284+Sens!H14284)/2)</f>
        <v>0.301963779576902</v>
      </c>
      <c r="I14288" s="7" t="n">
        <f aca="false">Sens!I14213*(1-tax_f)/(Sens!I14200*(Sens!H14284+Sens!I14284)/2)</f>
        <v>0.366063486516837</v>
      </c>
      <c r="J14288" s="7" t="n">
        <f aca="false">Sens!J14213*(1-tax_f)/(Sens!J14200*(Sens!I14284+Sens!J14284)/2)</f>
        <v>0.367751309619246</v>
      </c>
      <c r="K14288" s="7" t="n">
        <f aca="false">Sens!K14213*(1-tax_f)/(Sens!K14200*(Sens!J14284+Sens!K14284)/2)</f>
        <v>0.311100534522441</v>
      </c>
    </row>
    <row r="14289" customFormat="false" ht="17.15" hidden="false" customHeight="false" outlineLevel="0" collapsed="false">
      <c r="A14289" s="0" t="s">
        <v>867</v>
      </c>
      <c r="B14289" s="0" t="s">
        <v>209</v>
      </c>
      <c r="F14289" s="7" t="n">
        <f aca="false">Sens!F14285-wacc</f>
        <v>-0.043077262159662</v>
      </c>
      <c r="G14289" s="7" t="n">
        <f aca="false">Sens!G14285-wacc</f>
        <v>0.00630517221540933</v>
      </c>
      <c r="H14289" s="7" t="n">
        <f aca="false">Sens!H14285-wacc</f>
        <v>0.072217136136123</v>
      </c>
      <c r="I14289" s="7" t="n">
        <f aca="false">Sens!I14285-wacc</f>
        <v>0.13659625764286</v>
      </c>
      <c r="J14289" s="7" t="n">
        <f aca="false">Sens!J14285-wacc</f>
        <v>0.150212900974012</v>
      </c>
      <c r="K14289" s="7" t="n">
        <f aca="false">Sens!K14285-wacc</f>
        <v>0.1158218088924</v>
      </c>
    </row>
    <row r="14290" customFormat="false" ht="17.15" hidden="false" customHeight="false" outlineLevel="0" collapsed="false">
      <c r="A14290" s="0" t="s">
        <v>868</v>
      </c>
      <c r="B14290" s="0" t="s">
        <v>98</v>
      </c>
      <c r="F14290" s="6" t="n">
        <f aca="false">Sens!F14283*(1-tax_f)-wacc*(Sens!E14284+Sens!F14284)/2</f>
        <v>-5.58782469704604</v>
      </c>
      <c r="G14290" s="6" t="n">
        <f aca="false">Sens!G14283*(1-tax_f)-wacc*(Sens!F14284+Sens!G14284)/2</f>
        <v>0.855390597229844</v>
      </c>
      <c r="H14290" s="6" t="n">
        <f aca="false">Sens!H14283*(1-tax_f)-wacc*(Sens!G14284+Sens!H14284)/2</f>
        <v>8.85257369564146</v>
      </c>
      <c r="I14290" s="6" t="n">
        <f aca="false">Sens!I14283*(1-tax_f)-wacc*(Sens!H14284+Sens!I14284)/2</f>
        <v>14.3925044364664</v>
      </c>
      <c r="J14290" s="6" t="n">
        <f aca="false">Sens!J14283*(1-tax_f)-wacc*(Sens!I14284+Sens!J14284)/2</f>
        <v>16.5033431700129</v>
      </c>
      <c r="K14290" s="6" t="n">
        <f aca="false">Sens!K14283*(1-tax_f)-wacc*(Sens!J14284+Sens!K14284)/2</f>
        <v>16.4891230448764</v>
      </c>
    </row>
    <row r="14291" customFormat="false" ht="17.15" hidden="false" customHeight="false" outlineLevel="0" collapsed="false">
      <c r="A14291" s="3" t="s">
        <v>1624</v>
      </c>
    </row>
    <row r="14292" customFormat="false" ht="15" hidden="false" customHeight="false" outlineLevel="0" collapsed="false">
      <c r="A14292" s="4" t="s">
        <v>43</v>
      </c>
      <c r="B14292" s="4" t="s">
        <v>65</v>
      </c>
      <c r="C14292" s="20" t="s">
        <v>799</v>
      </c>
      <c r="D14292" s="20" t="s">
        <v>800</v>
      </c>
      <c r="E14292" s="20" t="s">
        <v>801</v>
      </c>
      <c r="F14292" s="20" t="s">
        <v>802</v>
      </c>
      <c r="G14292" s="20" t="s">
        <v>803</v>
      </c>
      <c r="H14292" s="20" t="s">
        <v>804</v>
      </c>
      <c r="I14292" s="20" t="s">
        <v>805</v>
      </c>
      <c r="J14292" s="20" t="s">
        <v>806</v>
      </c>
      <c r="K14292" s="20" t="s">
        <v>807</v>
      </c>
      <c r="L14292" s="4" t="s">
        <v>47</v>
      </c>
    </row>
    <row r="14293" customFormat="false" ht="15" hidden="false" customHeight="false" outlineLevel="0" collapsed="false">
      <c r="A14293" s="1" t="s">
        <v>925</v>
      </c>
      <c r="B14293" s="0" t="s">
        <v>98</v>
      </c>
      <c r="F14293" s="6" t="n">
        <f aca="false">Sens!F14274</f>
        <v>133.905181567249</v>
      </c>
      <c r="G14293" s="6" t="n">
        <f aca="false">Sens!G14274</f>
        <v>157.798359614967</v>
      </c>
      <c r="H14293" s="6" t="n">
        <f aca="false">Sens!H14274</f>
        <v>181.432883672877</v>
      </c>
      <c r="I14293" s="6" t="n">
        <f aca="false">Sens!I14274</f>
        <v>201.7885013594</v>
      </c>
      <c r="J14293" s="6" t="n">
        <f aca="false">Sens!J14274</f>
        <v>219.949557674435</v>
      </c>
      <c r="K14293" s="6" t="n">
        <f aca="false">Sens!K14274</f>
        <v>237.242601884934</v>
      </c>
    </row>
    <row r="14294" customFormat="false" ht="17.15" hidden="false" customHeight="false" outlineLevel="0" collapsed="false">
      <c r="A14294" s="1" t="s">
        <v>947</v>
      </c>
      <c r="B14294" s="0" t="s">
        <v>98</v>
      </c>
      <c r="E14294" s="6" t="n">
        <f aca="false">Q!M38-Sens!E14212</f>
        <v>22.2285940229167</v>
      </c>
      <c r="F14294" s="6" t="n">
        <f aca="false">Sens!E14294*(1-1/life_nonai)+(Sens!F14301+Sens!F14302)/life_nonai</f>
        <v>37.358881403025</v>
      </c>
      <c r="G14294" s="6" t="n">
        <f aca="false">Sens!F14294*(1-1/life_nonai)+(Sens!G14301)/life_nonai</f>
        <v>37.7832826197614</v>
      </c>
      <c r="H14294" s="6" t="n">
        <f aca="false">Sens!G14294*(1-1/life_nonai)+(Sens!H14301)/life_nonai</f>
        <v>38.7611057221943</v>
      </c>
      <c r="I14294" s="6" t="n">
        <f aca="false">Sens!H14294*(1-1/life_nonai)+(Sens!I14301)/life_nonai</f>
        <v>40.2023351811392</v>
      </c>
      <c r="J14294" s="6" t="n">
        <f aca="false">Sens!I14294*(1-1/life_nonai)+(Sens!J14301)/life_nonai</f>
        <v>42.0026929880627</v>
      </c>
      <c r="K14294" s="6" t="n">
        <f aca="false">Sens!J14294*(1-1/life_nonai)+(Sens!K14301)/life_nonai</f>
        <v>44.0667939634558</v>
      </c>
      <c r="L14294" s="11" t="s">
        <v>948</v>
      </c>
    </row>
    <row r="14295" customFormat="false" ht="17.15" hidden="false" customHeight="false" outlineLevel="0" collapsed="false">
      <c r="A14295" s="1" t="s">
        <v>949</v>
      </c>
      <c r="B14295" s="0" t="s">
        <v>98</v>
      </c>
      <c r="F14295" s="6" t="n">
        <f aca="false">Sens!$F$14302/life_nonai*(1-1/life_nonai)^(Sens!F14178-2027)</f>
        <v>13.7802120594438</v>
      </c>
      <c r="G14295" s="6" t="n">
        <f aca="false">Sens!$F$14302/life_nonai*(1-1/life_nonai)^(Sens!G14178-2027)</f>
        <v>12.4021908534994</v>
      </c>
      <c r="H14295" s="6" t="n">
        <f aca="false">Sens!$F$14302/life_nonai*(1-1/life_nonai)^(Sens!H14178-2027)</f>
        <v>11.1619717681494</v>
      </c>
      <c r="I14295" s="6" t="n">
        <f aca="false">Sens!$F$14302/life_nonai*(1-1/life_nonai)^(Sens!I14178-2027)</f>
        <v>10.0457745913345</v>
      </c>
      <c r="J14295" s="6" t="n">
        <f aca="false">Sens!$F$14302/life_nonai*(1-1/life_nonai)^(Sens!J14178-2027)</f>
        <v>9.04119713220105</v>
      </c>
      <c r="K14295" s="6" t="n">
        <f aca="false">Sens!$F$14302/life_nonai*(1-1/life_nonai)^(Sens!K14178-2027)</f>
        <v>8.13707741898094</v>
      </c>
      <c r="L14295" s="1" t="s">
        <v>950</v>
      </c>
    </row>
    <row r="14296" customFormat="false" ht="17.15" hidden="false" customHeight="false" outlineLevel="0" collapsed="false">
      <c r="A14296" s="1" t="s">
        <v>951</v>
      </c>
      <c r="B14296" s="0" t="s">
        <v>98</v>
      </c>
      <c r="E14296" s="6" t="n">
        <f aca="false">Sens!E14212+Sens!E14294</f>
        <v>38.534</v>
      </c>
      <c r="F14296" s="6" t="n">
        <f aca="false">Sens!F14212+Sens!F14294</f>
        <v>61.9908140426917</v>
      </c>
      <c r="G14296" s="6" t="n">
        <f aca="false">Sens!G14212+Sens!G14294</f>
        <v>67.2254726920948</v>
      </c>
      <c r="H14296" s="6" t="n">
        <f aca="false">Sens!H14212+Sens!H14294</f>
        <v>70.7859952125276</v>
      </c>
      <c r="I14296" s="6" t="n">
        <f aca="false">Sens!I14212+Sens!I14294</f>
        <v>72.8709989010559</v>
      </c>
      <c r="J14296" s="6" t="n">
        <f aca="false">Sens!J14212+Sens!J14294</f>
        <v>76.2873614067294</v>
      </c>
      <c r="K14296" s="6" t="n">
        <f aca="false">Sens!K14212+Sens!K14294</f>
        <v>81.2550155400391</v>
      </c>
    </row>
    <row r="14297" customFormat="false" ht="17.15" hidden="false" customHeight="false" outlineLevel="0" collapsed="false">
      <c r="A14297" s="1" t="s">
        <v>952</v>
      </c>
      <c r="B14297" s="0" t="s">
        <v>98</v>
      </c>
      <c r="F14297" s="6" t="n">
        <f aca="false">Sens!F14239*sbc_r</f>
        <v>14.5967258106986</v>
      </c>
      <c r="G14297" s="6" t="n">
        <f aca="false">Sens!G14239*sbc_r</f>
        <v>16.6843873445553</v>
      </c>
      <c r="H14297" s="6" t="n">
        <f aca="false">Sens!H14239*sbc_r</f>
        <v>18.6271033758076</v>
      </c>
      <c r="I14297" s="6" t="n">
        <f aca="false">Sens!I14239*sbc_r</f>
        <v>20.2761541919582</v>
      </c>
      <c r="J14297" s="6" t="n">
        <f aca="false">Sens!J14239*sbc_r</f>
        <v>21.8036179507238</v>
      </c>
      <c r="K14297" s="6" t="n">
        <f aca="false">Sens!K14239*sbc_r</f>
        <v>23.300693917642</v>
      </c>
    </row>
    <row r="14298" customFormat="false" ht="17.15" hidden="false" customHeight="false" outlineLevel="0" collapsed="false">
      <c r="A14298" s="1" t="s">
        <v>953</v>
      </c>
      <c r="B14298" s="0" t="s">
        <v>98</v>
      </c>
      <c r="F14298" s="6" t="n">
        <f aca="false">wc27</f>
        <v>-4.895</v>
      </c>
      <c r="G14298" s="6" t="n">
        <f aca="false">wc_f</f>
        <v>0</v>
      </c>
      <c r="H14298" s="6" t="n">
        <f aca="false">wc_f</f>
        <v>0</v>
      </c>
      <c r="I14298" s="6" t="n">
        <f aca="false">wc_f</f>
        <v>0</v>
      </c>
      <c r="J14298" s="6" t="n">
        <f aca="false">wc_f</f>
        <v>0</v>
      </c>
      <c r="K14298" s="6" t="n">
        <f aca="false">wc_f</f>
        <v>0</v>
      </c>
      <c r="L14298" s="11" t="s">
        <v>954</v>
      </c>
    </row>
    <row r="14299" customFormat="false" ht="15" hidden="false" customHeight="false" outlineLevel="0" collapsed="false">
      <c r="A14299" s="1" t="s">
        <v>767</v>
      </c>
      <c r="B14299" s="0" t="s">
        <v>98</v>
      </c>
      <c r="E14299" s="6" t="n">
        <f aca="false">Q!M35</f>
        <v>182.935</v>
      </c>
      <c r="F14299" s="6" t="n">
        <f aca="false">Sens!F14293+Sens!F14296+Sens!F14297+Sens!F14298</f>
        <v>205.59772142064</v>
      </c>
      <c r="G14299" s="6" t="n">
        <f aca="false">Sens!G14293+Sens!G14296+Sens!G14297+Sens!G14298</f>
        <v>241.708219651617</v>
      </c>
      <c r="H14299" s="6" t="n">
        <f aca="false">Sens!H14293+Sens!H14296+Sens!H14297+Sens!H14298</f>
        <v>270.845982261213</v>
      </c>
      <c r="I14299" s="6" t="n">
        <f aca="false">Sens!I14293+Sens!I14296+Sens!I14297+Sens!I14298</f>
        <v>294.935654452414</v>
      </c>
      <c r="J14299" s="6" t="n">
        <f aca="false">Sens!J14293+Sens!J14296+Sens!J14297+Sens!J14298</f>
        <v>318.040537031889</v>
      </c>
      <c r="K14299" s="6" t="n">
        <f aca="false">Sens!K14293+Sens!K14296+Sens!K14297+Sens!K14298</f>
        <v>341.798311342615</v>
      </c>
    </row>
    <row r="14300" customFormat="false" ht="17.15" hidden="false" customHeight="false" outlineLevel="0" collapsed="false">
      <c r="A14300" s="0" t="s">
        <v>955</v>
      </c>
      <c r="B14300" s="0" t="s">
        <v>98</v>
      </c>
      <c r="F14300" s="6" t="n">
        <f aca="false">Sens!F14209</f>
        <v>30.668532176</v>
      </c>
      <c r="G14300" s="6" t="n">
        <f aca="false">Sens!G14209</f>
        <v>35.302727016</v>
      </c>
      <c r="H14300" s="6" t="n">
        <f aca="false">Sens!H14209</f>
        <v>0</v>
      </c>
      <c r="I14300" s="6" t="n">
        <f aca="false">Sens!I14209</f>
        <v>30.2586753466667</v>
      </c>
      <c r="J14300" s="6" t="n">
        <f aca="false">Sens!J14209</f>
        <v>45.6967750133333</v>
      </c>
      <c r="K14300" s="6" t="n">
        <f aca="false">Sens!K14209</f>
        <v>90.77602604</v>
      </c>
    </row>
    <row r="14301" customFormat="false" ht="17.15" hidden="false" customHeight="false" outlineLevel="0" collapsed="false">
      <c r="A14301" s="1" t="s">
        <v>956</v>
      </c>
      <c r="B14301" s="0" t="s">
        <v>98</v>
      </c>
      <c r="E14301" s="6" t="n">
        <f aca="false">Sens!E14217*cx_azo+Sens!E14224*cx_m365+Sens!E14225*cx_lic+(Sens!E14227+Sens!E14229)*cx_ind+Sens!E14232*cx_srch+(Sens!E14234+Sens!E14236)*cx_dev</f>
        <v>30.1846587067718</v>
      </c>
      <c r="F14301" s="6" t="n">
        <f aca="false">Sens!F14217*cx_azo+Sens!F14224*cx_m365+Sens!F14225*cx_lic+(Sens!F14227+Sens!F14229)*cx_ind+Sens!F14232*cx_srch+(Sens!F14234+Sens!F14236)*cx_dev</f>
        <v>35.7293472295625</v>
      </c>
      <c r="G14301" s="6" t="n">
        <f aca="false">Sens!G14217*cx_azo+Sens!G14224*cx_m365+Sens!G14225*cx_lic+(Sens!G14227+Sens!G14229)*cx_ind+Sens!G14232*cx_srch+(Sens!G14234+Sens!G14236)*cx_dev</f>
        <v>41.6028935703892</v>
      </c>
      <c r="H14301" s="6" t="n">
        <f aca="false">Sens!H14217*cx_azo+Sens!H14224*cx_m365+Sens!H14225*cx_lic+(Sens!H14227+Sens!H14229)*cx_ind+Sens!H14232*cx_srch+(Sens!H14234+Sens!H14236)*cx_dev</f>
        <v>47.5615136440897</v>
      </c>
      <c r="I14301" s="6" t="n">
        <f aca="false">Sens!I14217*cx_azo+Sens!I14224*cx_m365+Sens!I14225*cx_lic+(Sens!I14227+Sens!I14229)*cx_ind+Sens!I14232*cx_srch+(Sens!I14234+Sens!I14236)*cx_dev</f>
        <v>53.1734003116439</v>
      </c>
      <c r="J14301" s="6" t="n">
        <f aca="false">Sens!J14217*cx_azo+Sens!J14224*cx_m365+Sens!J14225*cx_lic+(Sens!J14227+Sens!J14229)*cx_ind+Sens!J14232*cx_srch+(Sens!J14234+Sens!J14236)*cx_dev</f>
        <v>58.2059132503738</v>
      </c>
      <c r="K14301" s="6" t="n">
        <f aca="false">Sens!K14217*cx_azo+Sens!K14224*cx_m365+Sens!K14225*cx_lic+(Sens!K14227+Sens!K14229)*cx_ind+Sens!K14232*cx_srch+(Sens!K14234+Sens!K14236)*cx_dev</f>
        <v>62.643702741994</v>
      </c>
    </row>
    <row r="14302" customFormat="false" ht="17.15" hidden="false" customHeight="false" outlineLevel="0" collapsed="false">
      <c r="A14302" s="0" t="s">
        <v>957</v>
      </c>
      <c r="B14302" s="0" t="s">
        <v>98</v>
      </c>
      <c r="F14302" s="6" t="n">
        <f aca="false">Sens!F14207</f>
        <v>137.802120594438</v>
      </c>
      <c r="L14302" s="1" t="s">
        <v>958</v>
      </c>
    </row>
    <row r="14303" customFormat="false" ht="17.15" hidden="false" customHeight="false" outlineLevel="0" collapsed="false">
      <c r="A14303" s="1" t="s">
        <v>959</v>
      </c>
      <c r="B14303" s="0" t="s">
        <v>98</v>
      </c>
      <c r="E14303" s="6" t="n">
        <f aca="false">Q!M42</f>
        <v>145.3</v>
      </c>
      <c r="F14303" s="6" t="n">
        <f aca="false">Sens!F14300+Sens!F14301+Sens!F14302</f>
        <v>204.2</v>
      </c>
      <c r="G14303" s="6" t="n">
        <f aca="false">Sens!G14300+Sens!G14301</f>
        <v>76.9056205863892</v>
      </c>
      <c r="H14303" s="6" t="n">
        <f aca="false">Sens!H14300+Sens!H14301</f>
        <v>47.5615136440897</v>
      </c>
      <c r="I14303" s="6" t="n">
        <f aca="false">Sens!I14300+Sens!I14301</f>
        <v>83.4320756583106</v>
      </c>
      <c r="J14303" s="6" t="n">
        <f aca="false">Sens!J14300+Sens!J14301</f>
        <v>103.902688263707</v>
      </c>
      <c r="K14303" s="6" t="n">
        <f aca="false">Sens!K14300+Sens!K14301</f>
        <v>153.419728781994</v>
      </c>
      <c r="L14303" s="1" t="s">
        <v>960</v>
      </c>
    </row>
    <row r="14304" customFormat="false" ht="15" hidden="false" customHeight="false" outlineLevel="0" collapsed="false">
      <c r="A14304" s="1" t="s">
        <v>961</v>
      </c>
      <c r="B14304" s="0" t="s">
        <v>98</v>
      </c>
      <c r="E14304" s="6" t="n">
        <f aca="false">fl_liab</f>
        <v>66.594</v>
      </c>
      <c r="F14304" s="6" t="n">
        <f aca="false">Sens!E14304-Sens!F14305</f>
        <v>62.46973</v>
      </c>
      <c r="G14304" s="6" t="n">
        <f aca="false">Sens!F14304-Sens!G14305</f>
        <v>57.98686785</v>
      </c>
      <c r="H14304" s="6" t="n">
        <f aca="false">Sens!G14304-Sens!H14305</f>
        <v>53.92827690325</v>
      </c>
      <c r="I14304" s="6" t="n">
        <f aca="false">Sens!H14304-Sens!I14305</f>
        <v>49.7850493638962</v>
      </c>
      <c r="J14304" s="6" t="n">
        <f aca="false">Sens!I14304-Sens!J14305</f>
        <v>45.4823765852716</v>
      </c>
      <c r="K14304" s="6" t="n">
        <f aca="false">Sens!J14304-Sens!K14305</f>
        <v>40.9860835316088</v>
      </c>
    </row>
    <row r="14305" customFormat="false" ht="15" hidden="false" customHeight="false" outlineLevel="0" collapsed="false">
      <c r="A14305" s="1" t="s">
        <v>962</v>
      </c>
      <c r="B14305" s="0" t="s">
        <v>98</v>
      </c>
      <c r="F14305" s="6" t="n">
        <f aca="false">fl_pay_27-Sens!E14304*fl_rate</f>
        <v>4.12427</v>
      </c>
      <c r="G14305" s="6" t="n">
        <f aca="false">fl_pay_28-Sens!F14304*fl_rate</f>
        <v>4.48286215</v>
      </c>
      <c r="H14305" s="6" t="n">
        <f aca="false">fl_pay_29-Sens!G14304*fl_rate</f>
        <v>4.05859094675</v>
      </c>
      <c r="I14305" s="6" t="n">
        <f aca="false">fl_pay_30-Sens!H14304*fl_rate</f>
        <v>4.14322753935375</v>
      </c>
      <c r="J14305" s="6" t="n">
        <f aca="false">fl_pay_31-Sens!I14304*fl_rate</f>
        <v>4.30267277862467</v>
      </c>
      <c r="K14305" s="6" t="n">
        <f aca="false">fl_pay_32-Sens!J14304*fl_rate</f>
        <v>4.49629305366278</v>
      </c>
    </row>
    <row r="14306" customFormat="false" ht="17.15" hidden="false" customHeight="false" outlineLevel="0" collapsed="false">
      <c r="A14306" s="1" t="s">
        <v>963</v>
      </c>
      <c r="B14306" s="0" t="s">
        <v>98</v>
      </c>
      <c r="E14306" s="6" t="n">
        <f aca="false">Q!M35-Q!M36-Q!M43</f>
        <v>63.886</v>
      </c>
      <c r="F14306" s="6" t="n">
        <f aca="false">Sens!F14299-Sens!F14303-Sens!F14305</f>
        <v>-2.72654857936036</v>
      </c>
      <c r="G14306" s="6" t="n">
        <f aca="false">Sens!G14299-Sens!G14303-Sens!G14305</f>
        <v>160.319736915228</v>
      </c>
      <c r="H14306" s="6" t="n">
        <f aca="false">Sens!H14299-Sens!H14303-Sens!H14305</f>
        <v>219.225877670373</v>
      </c>
      <c r="I14306" s="6" t="n">
        <f aca="false">Sens!I14299-Sens!I14303-Sens!I14305</f>
        <v>207.360351254749</v>
      </c>
      <c r="J14306" s="6" t="n">
        <f aca="false">Sens!J14299-Sens!J14303-Sens!J14305</f>
        <v>209.835175989557</v>
      </c>
      <c r="K14306" s="6" t="n">
        <f aca="false">Sens!K14299-Sens!K14303-Sens!K14305</f>
        <v>183.882289506958</v>
      </c>
      <c r="L14306" s="11" t="s">
        <v>964</v>
      </c>
    </row>
    <row r="14307" customFormat="false" ht="15" hidden="false" customHeight="false" outlineLevel="0" collapsed="false">
      <c r="A14307" s="1" t="s">
        <v>965</v>
      </c>
      <c r="B14307" s="0" t="s">
        <v>75</v>
      </c>
      <c r="F14307" s="8" t="n">
        <f aca="false">dps_27</f>
        <v>3.85</v>
      </c>
      <c r="G14307" s="8" t="n">
        <f aca="false">Sens!F14307*(1+dps_g)</f>
        <v>4.158</v>
      </c>
      <c r="H14307" s="8" t="n">
        <f aca="false">Sens!G14307*(1+dps_g)</f>
        <v>4.49064</v>
      </c>
      <c r="I14307" s="8" t="n">
        <f aca="false">Sens!H14307*(1+dps_g)</f>
        <v>4.8498912</v>
      </c>
      <c r="J14307" s="8" t="n">
        <f aca="false">Sens!I14307*(1+dps_g)</f>
        <v>5.237882496</v>
      </c>
      <c r="K14307" s="8" t="n">
        <f aca="false">Sens!J14307*(1+dps_g)</f>
        <v>5.65691309568</v>
      </c>
    </row>
    <row r="14308" customFormat="false" ht="17.15" hidden="false" customHeight="false" outlineLevel="0" collapsed="false">
      <c r="A14308" s="1" t="s">
        <v>966</v>
      </c>
      <c r="B14308" s="0" t="s">
        <v>98</v>
      </c>
      <c r="E14308" s="6" t="n">
        <f aca="false">Q!M41</f>
        <v>26.445</v>
      </c>
      <c r="F14308" s="6" t="n">
        <f aca="false">Sens!F14307*Sens!E14317</f>
        <v>28.59395</v>
      </c>
      <c r="G14308" s="6" t="n">
        <f aca="false">Sens!G14307*Sens!F14317</f>
        <v>31.068576</v>
      </c>
      <c r="H14308" s="6" t="n">
        <f aca="false">Sens!H14307*Sens!G14317</f>
        <v>33.5888350159995</v>
      </c>
      <c r="I14308" s="6" t="n">
        <f aca="false">Sens!I14307*Sens!H14317</f>
        <v>36.3268810572789</v>
      </c>
      <c r="J14308" s="6" t="n">
        <f aca="false">Sens!J14307*Sens!I14317</f>
        <v>39.3014303901806</v>
      </c>
      <c r="K14308" s="6" t="n">
        <f aca="false">Sens!K14307*Sens!J14317</f>
        <v>42.5328000467001</v>
      </c>
      <c r="L14308" s="1" t="s">
        <v>967</v>
      </c>
    </row>
    <row r="14309" customFormat="false" ht="15" hidden="false" customHeight="false" outlineLevel="0" collapsed="false">
      <c r="A14309" s="1" t="s">
        <v>968</v>
      </c>
      <c r="B14309" s="0" t="s">
        <v>98</v>
      </c>
      <c r="E14309" s="6" t="n">
        <f aca="false">Sens!E14306-Sens!E14308</f>
        <v>37.441</v>
      </c>
      <c r="F14309" s="6" t="n">
        <f aca="false">Sens!F14306-Sens!F14308</f>
        <v>-31.3204985793604</v>
      </c>
      <c r="G14309" s="6" t="n">
        <f aca="false">Sens!G14306-Sens!G14308</f>
        <v>129.251160915228</v>
      </c>
      <c r="H14309" s="6" t="n">
        <f aca="false">Sens!H14306-Sens!H14308</f>
        <v>185.637042654374</v>
      </c>
      <c r="I14309" s="6" t="n">
        <f aca="false">Sens!I14306-Sens!I14308</f>
        <v>171.033470197471</v>
      </c>
      <c r="J14309" s="6" t="n">
        <f aca="false">Sens!J14306-Sens!J14308</f>
        <v>170.533745599376</v>
      </c>
      <c r="K14309" s="6" t="n">
        <f aca="false">Sens!K14306-Sens!K14308</f>
        <v>141.349489460258</v>
      </c>
    </row>
    <row r="14310" customFormat="false" ht="15" hidden="false" customHeight="false" outlineLevel="0" collapsed="false">
      <c r="A14310" s="1" t="s">
        <v>969</v>
      </c>
      <c r="B14310" s="0" t="s">
        <v>98</v>
      </c>
      <c r="F14310" s="6" t="n">
        <f aca="false">debt_mat_27</f>
        <v>9.25</v>
      </c>
      <c r="G14310" s="6" t="n">
        <f aca="false">debt_mat_28</f>
        <v>0</v>
      </c>
      <c r="H14310" s="6" t="n">
        <f aca="false">debt_mat_29</f>
        <v>2.001</v>
      </c>
      <c r="I14310" s="6" t="n">
        <f aca="false">debt_mat_30</f>
        <v>0</v>
      </c>
      <c r="J14310" s="6" t="n">
        <f aca="false">debt_mat_31</f>
        <v>0.5</v>
      </c>
      <c r="K14310" s="6" t="n">
        <f aca="false">debt_mat_32</f>
        <v>0</v>
      </c>
    </row>
    <row r="14311" customFormat="false" ht="15" hidden="false" customHeight="false" outlineLevel="0" collapsed="false">
      <c r="A14311" s="1" t="s">
        <v>970</v>
      </c>
      <c r="B14311" s="0" t="s">
        <v>98</v>
      </c>
      <c r="E14311" s="6" t="n">
        <f aca="false">Q!M40</f>
        <v>22.271</v>
      </c>
      <c r="F14311" s="6" t="n">
        <f aca="false">MAX(0,MIN(bb_target,Sens!E14313+Sens!F14309-Sens!F14310-min_cash))</f>
        <v>0</v>
      </c>
      <c r="G14311" s="6" t="n">
        <f aca="false">MAX(0,MIN(bb_target,Sens!F14313+Sens!G14309-Sens!G14310-min_cash))</f>
        <v>22.271</v>
      </c>
      <c r="H14311" s="6" t="n">
        <f aca="false">MAX(0,MIN(bb_target,Sens!G14313+Sens!H14309-Sens!H14310-min_cash))</f>
        <v>22.271</v>
      </c>
      <c r="I14311" s="6" t="n">
        <f aca="false">MAX(0,MIN(bb_target,Sens!H14313+Sens!I14309-Sens!I14310-min_cash))</f>
        <v>22.271</v>
      </c>
      <c r="J14311" s="6" t="n">
        <f aca="false">MAX(0,MIN(bb_target,Sens!I14313+Sens!J14309-Sens!J14310-min_cash))</f>
        <v>22.271</v>
      </c>
      <c r="K14311" s="6" t="n">
        <f aca="false">MAX(0,MIN(bb_target,Sens!J14313+Sens!K14309-Sens!K14310-min_cash))</f>
        <v>22.271</v>
      </c>
    </row>
    <row r="14312" customFormat="false" ht="15" hidden="false" customHeight="false" outlineLevel="0" collapsed="false">
      <c r="A14312" s="1" t="s">
        <v>971</v>
      </c>
      <c r="B14312" s="0" t="s">
        <v>98</v>
      </c>
      <c r="F14312" s="6" t="n">
        <f aca="false">MAX(0,min_cash-(Sens!E14313+Sens!F14309-Sens!F14310-Sens!F14311))</f>
        <v>13.7274985793604</v>
      </c>
      <c r="G14312" s="6" t="n">
        <f aca="false">MAX(0,min_cash-(Sens!F14313+Sens!G14309-Sens!G14310-Sens!G14311))</f>
        <v>0</v>
      </c>
      <c r="H14312" s="6" t="n">
        <f aca="false">MAX(0,min_cash-(Sens!G14313+Sens!H14309-Sens!H14310-Sens!H14311))</f>
        <v>0</v>
      </c>
      <c r="I14312" s="6" t="n">
        <f aca="false">MAX(0,min_cash-(Sens!H14313+Sens!I14309-Sens!I14310-Sens!I14311))</f>
        <v>0</v>
      </c>
      <c r="J14312" s="6" t="n">
        <f aca="false">MAX(0,min_cash-(Sens!I14313+Sens!J14309-Sens!J14310-Sens!J14311))</f>
        <v>0</v>
      </c>
      <c r="K14312" s="6" t="n">
        <f aca="false">MAX(0,min_cash-(Sens!J14313+Sens!K14309-Sens!K14310-Sens!K14311))</f>
        <v>0</v>
      </c>
    </row>
    <row r="14313" customFormat="false" ht="15" hidden="false" customHeight="false" outlineLevel="0" collapsed="false">
      <c r="A14313" s="1" t="s">
        <v>972</v>
      </c>
      <c r="B14313" s="0" t="s">
        <v>98</v>
      </c>
      <c r="E14313" s="6" t="n">
        <f aca="false">cash_open</f>
        <v>76.843</v>
      </c>
      <c r="F14313" s="6" t="n">
        <f aca="false">Sens!E14313+Sens!F14309-Sens!F14310-Sens!F14311+Sens!F14312</f>
        <v>50</v>
      </c>
      <c r="G14313" s="6" t="n">
        <f aca="false">Sens!F14313+Sens!G14309-Sens!G14310-Sens!G14311+Sens!G14312</f>
        <v>156.980160915228</v>
      </c>
      <c r="H14313" s="6" t="n">
        <f aca="false">Sens!G14313+Sens!H14309-Sens!H14310-Sens!H14311+Sens!H14312</f>
        <v>318.345203569601</v>
      </c>
      <c r="I14313" s="6" t="n">
        <f aca="false">Sens!H14313+Sens!I14309-Sens!I14310-Sens!I14311+Sens!I14312</f>
        <v>467.107673767072</v>
      </c>
      <c r="J14313" s="6" t="n">
        <f aca="false">Sens!I14313+Sens!J14309-Sens!J14310-Sens!J14311+Sens!J14312</f>
        <v>614.870419366448</v>
      </c>
      <c r="K14313" s="6" t="n">
        <f aca="false">Sens!J14313+Sens!K14309-Sens!K14310-Sens!K14311+Sens!K14312</f>
        <v>733.948908826706</v>
      </c>
    </row>
    <row r="14314" customFormat="false" ht="15" hidden="false" customHeight="false" outlineLevel="0" collapsed="false">
      <c r="A14314" s="1" t="s">
        <v>973</v>
      </c>
      <c r="B14314" s="0" t="s">
        <v>98</v>
      </c>
      <c r="E14314" s="6" t="n">
        <f aca="false">debt_face</f>
        <v>46.136</v>
      </c>
      <c r="F14314" s="6" t="n">
        <f aca="false">Sens!E14314-Sens!F14310+Sens!F14312</f>
        <v>50.6134985793604</v>
      </c>
      <c r="G14314" s="6" t="n">
        <f aca="false">Sens!F14314-Sens!G14310+Sens!G14312</f>
        <v>50.6134985793604</v>
      </c>
      <c r="H14314" s="6" t="n">
        <f aca="false">Sens!G14314-Sens!H14310+Sens!H14312</f>
        <v>48.6124985793604</v>
      </c>
      <c r="I14314" s="6" t="n">
        <f aca="false">Sens!H14314-Sens!I14310+Sens!I14312</f>
        <v>48.6124985793604</v>
      </c>
      <c r="J14314" s="6" t="n">
        <f aca="false">Sens!I14314-Sens!J14310+Sens!J14312</f>
        <v>48.1124985793604</v>
      </c>
      <c r="K14314" s="6" t="n">
        <f aca="false">Sens!J14314-Sens!K14310+Sens!K14312</f>
        <v>48.1124985793604</v>
      </c>
    </row>
    <row r="14315" customFormat="false" ht="15" hidden="false" customHeight="false" outlineLevel="0" collapsed="false">
      <c r="A14315" s="1" t="s">
        <v>974</v>
      </c>
      <c r="B14315" s="0" t="s">
        <v>98</v>
      </c>
      <c r="E14315" s="6" t="n">
        <f aca="false">Sens!E14313-Sens!E14314</f>
        <v>30.707</v>
      </c>
      <c r="F14315" s="6" t="n">
        <f aca="false">Sens!F14313-Sens!F14314</f>
        <v>-0.613498579360361</v>
      </c>
      <c r="G14315" s="6" t="n">
        <f aca="false">Sens!G14313-Sens!G14314</f>
        <v>106.366662335868</v>
      </c>
      <c r="H14315" s="6" t="n">
        <f aca="false">Sens!H14313-Sens!H14314</f>
        <v>269.732704990241</v>
      </c>
      <c r="I14315" s="6" t="n">
        <f aca="false">Sens!I14313-Sens!I14314</f>
        <v>418.495175187712</v>
      </c>
      <c r="J14315" s="6" t="n">
        <f aca="false">Sens!J14313-Sens!J14314</f>
        <v>566.757920787088</v>
      </c>
      <c r="K14315" s="6" t="n">
        <f aca="false">Sens!K14313-Sens!K14314</f>
        <v>685.836410247346</v>
      </c>
    </row>
    <row r="14316" customFormat="false" ht="15" hidden="false" customHeight="false" outlineLevel="0" collapsed="false">
      <c r="A14316" s="1" t="s">
        <v>975</v>
      </c>
      <c r="B14316" s="0" t="s">
        <v>75</v>
      </c>
      <c r="F14316" s="29" t="n">
        <f aca="false">px*(1+bb_g)^(Sens!F14178-base_fy-mid_yr)</f>
        <v>553.494156066711</v>
      </c>
      <c r="G14316" s="29" t="n">
        <f aca="false">px*(1+bb_g)^(Sens!G14178-base_fy-mid_yr)</f>
        <v>597.773688552047</v>
      </c>
      <c r="H14316" s="29" t="n">
        <f aca="false">px*(1+bb_g)^(Sens!H14178-base_fy-mid_yr)</f>
        <v>645.595583636211</v>
      </c>
      <c r="I14316" s="29" t="n">
        <f aca="false">px*(1+bb_g)^(Sens!I14178-base_fy-mid_yr)</f>
        <v>697.243230327108</v>
      </c>
      <c r="J14316" s="29" t="n">
        <f aca="false">px*(1+bb_g)^(Sens!J14178-base_fy-mid_yr)</f>
        <v>753.022688753277</v>
      </c>
      <c r="K14316" s="29" t="n">
        <f aca="false">px*(1+bb_g)^(Sens!K14178-base_fy-mid_yr)</f>
        <v>813.264503853539</v>
      </c>
    </row>
    <row r="14317" customFormat="false" ht="15" hidden="false" customHeight="false" outlineLevel="0" collapsed="false">
      <c r="A14317" s="1" t="s">
        <v>976</v>
      </c>
      <c r="B14317" s="1" t="s">
        <v>81</v>
      </c>
      <c r="E14317" s="14" t="n">
        <f aca="false">sh_out26</f>
        <v>7.427</v>
      </c>
      <c r="F14317" s="14" t="n">
        <f aca="false">Sens!E14317+sh_iss-Sens!F14311/Sens!F14316</f>
        <v>7.472</v>
      </c>
      <c r="G14317" s="14" t="n">
        <f aca="false">Sens!F14317+sh_iss-Sens!G14311/Sens!G14316</f>
        <v>7.47974342543589</v>
      </c>
      <c r="H14317" s="14" t="n">
        <f aca="false">Sens!G14317+sh_iss-Sens!H14311/Sens!H14316</f>
        <v>7.4902465971358</v>
      </c>
      <c r="I14317" s="14" t="n">
        <f aca="false">Sens!H14317+sh_iss-Sens!I14311/Sens!I14316</f>
        <v>7.50330508945052</v>
      </c>
      <c r="J14317" s="14" t="n">
        <f aca="false">Sens!I14317+sh_iss-Sens!J14311/Sens!J14316</f>
        <v>7.51872961937156</v>
      </c>
      <c r="K14317" s="14" t="n">
        <f aca="false">Sens!J14317+sh_iss-Sens!K14311/Sens!K14316</f>
        <v>7.53634492485401</v>
      </c>
    </row>
    <row r="14318" customFormat="false" ht="15" hidden="false" customHeight="false" outlineLevel="0" collapsed="false">
      <c r="A14318" s="1" t="s">
        <v>977</v>
      </c>
      <c r="B14318" s="1" t="s">
        <v>81</v>
      </c>
      <c r="E14318" s="14" t="n">
        <f aca="false">sh_dil26</f>
        <v>7.453</v>
      </c>
      <c r="F14318" s="14" t="n">
        <f aca="false">(Sens!E14317+Sens!F14317)/2+dil_gap</f>
        <v>7.4735</v>
      </c>
      <c r="G14318" s="14" t="n">
        <f aca="false">(Sens!F14317+Sens!G14317)/2+dil_gap</f>
        <v>7.49987171271795</v>
      </c>
      <c r="H14318" s="14" t="n">
        <f aca="false">(Sens!G14317+Sens!H14317)/2+dil_gap</f>
        <v>7.50899501128585</v>
      </c>
      <c r="I14318" s="14" t="n">
        <f aca="false">(Sens!H14317+Sens!I14317)/2+dil_gap</f>
        <v>7.52077584329316</v>
      </c>
      <c r="J14318" s="14" t="n">
        <f aca="false">(Sens!I14317+Sens!J14317)/2+dil_gap</f>
        <v>7.53501735441104</v>
      </c>
      <c r="K14318" s="14" t="n">
        <f aca="false">(Sens!J14317+Sens!K14317)/2+dil_gap</f>
        <v>7.55153727211278</v>
      </c>
    </row>
    <row r="14319" customFormat="false" ht="17.15" hidden="false" customHeight="false" outlineLevel="0" collapsed="false">
      <c r="A14319" s="1" t="s">
        <v>978</v>
      </c>
      <c r="B14319" s="0" t="s">
        <v>98</v>
      </c>
      <c r="C14319" s="6" t="n">
        <f aca="false">SUM(Sens!F14309:J14309)</f>
        <v>625.134920787088</v>
      </c>
    </row>
    <row r="14320" customFormat="false" ht="15" hidden="false" customHeight="false" outlineLevel="0" collapsed="false">
      <c r="A14320" s="23" t="s">
        <v>945</v>
      </c>
      <c r="B14320" s="30" t="s">
        <v>98</v>
      </c>
      <c r="C14320" s="24" t="n">
        <f aca="false">Sens!$C$14319-(Sens!F14309+Sens!G14309+Sens!H14309+Sens!I14309+Sens!J14309)</f>
        <v>0</v>
      </c>
      <c r="D14320" s="30"/>
      <c r="E14320" s="30"/>
      <c r="F14320" s="30"/>
      <c r="G14320" s="30"/>
      <c r="H14320" s="30"/>
      <c r="I14320" s="30"/>
      <c r="J14320" s="30"/>
      <c r="K14320" s="30"/>
    </row>
    <row r="14321" customFormat="false" ht="17.15" hidden="false" customHeight="false" outlineLevel="0" collapsed="false">
      <c r="A14321" s="1" t="s">
        <v>939</v>
      </c>
      <c r="B14321" s="1" t="s">
        <v>979</v>
      </c>
      <c r="C14321" s="32" t="str">
        <f aca="false">IF(SUM(Sens!F14312:J14312)&gt;0.05,"需要舉債 "&amp;TEXT(SUM(Sens!F14312:J14312),"0.0")&amp;" 十億美元","不需舉債")&amp;"；"&amp;IF(SUM(Sens!F14311:J14311)&lt;COUNT(Sens!F14311:J14311)*bb_target-0.05,"回購較每年 "&amp;TEXT(bb_target,"0.0")&amp;" 的目標少 "&amp;TEXT(COUNT(Sens!F14311:J14311)*bb_target-SUM(Sens!F14311:J14311),"0.0")&amp;" 十億美元（"&amp;TEXT(COUNTIF(Sens!F14311:J14311,"&lt;"&amp;(bb_target-0.05)),"0")&amp;" 年減少）","回購不減")</f>
        <v>需要舉債 13.7 十億美元；回購較每年 22.3 的目標少 22.3 十億美元（1 年減少）</v>
      </c>
    </row>
    <row r="14322" customFormat="false" ht="17.15" hidden="false" customHeight="false" outlineLevel="0" collapsed="false">
      <c r="A14322" s="3" t="s">
        <v>1625</v>
      </c>
    </row>
    <row r="14323" customFormat="false" ht="15" hidden="false" customHeight="false" outlineLevel="0" collapsed="false">
      <c r="A14323" s="4" t="s">
        <v>43</v>
      </c>
      <c r="B14323" s="4" t="s">
        <v>65</v>
      </c>
      <c r="C14323" s="20" t="s">
        <v>799</v>
      </c>
      <c r="D14323" s="20" t="s">
        <v>800</v>
      </c>
      <c r="E14323" s="20" t="s">
        <v>801</v>
      </c>
      <c r="F14323" s="20" t="s">
        <v>802</v>
      </c>
      <c r="G14323" s="20" t="s">
        <v>803</v>
      </c>
      <c r="H14323" s="20" t="s">
        <v>804</v>
      </c>
      <c r="I14323" s="20" t="s">
        <v>805</v>
      </c>
      <c r="J14323" s="20" t="s">
        <v>806</v>
      </c>
      <c r="K14323" s="20" t="s">
        <v>807</v>
      </c>
      <c r="L14323" s="4" t="s">
        <v>47</v>
      </c>
    </row>
    <row r="14324" customFormat="false" ht="15" hidden="false" customHeight="false" outlineLevel="0" collapsed="false">
      <c r="A14324" s="1" t="s">
        <v>1057</v>
      </c>
      <c r="B14324" s="1" t="s">
        <v>235</v>
      </c>
      <c r="F14324" s="36" t="n">
        <f aca="false">Sens!F14178-base_fy-mid_yr</f>
        <v>0.5</v>
      </c>
      <c r="G14324" s="36" t="n">
        <f aca="false">Sens!G14178-base_fy-mid_yr</f>
        <v>1.5</v>
      </c>
      <c r="H14324" s="36" t="n">
        <f aca="false">Sens!H14178-base_fy-mid_yr</f>
        <v>2.5</v>
      </c>
      <c r="I14324" s="36" t="n">
        <f aca="false">Sens!I14178-base_fy-mid_yr</f>
        <v>3.5</v>
      </c>
      <c r="J14324" s="36" t="n">
        <f aca="false">Sens!J14178-base_fy-mid_yr</f>
        <v>4.5</v>
      </c>
      <c r="K14324" s="36" t="n">
        <f aca="false">Sens!K14178-base_fy-mid_yr</f>
        <v>5.5</v>
      </c>
    </row>
    <row r="14325" customFormat="false" ht="15" hidden="false" customHeight="false" outlineLevel="0" collapsed="false">
      <c r="A14325" s="1" t="s">
        <v>1058</v>
      </c>
      <c r="B14325" s="0" t="s">
        <v>185</v>
      </c>
      <c r="F14325" s="14" t="n">
        <f aca="false">1/(1+wacc)^Sens!F14324</f>
        <v>0.952193373608246</v>
      </c>
      <c r="G14325" s="14" t="n">
        <f aca="false">1/(1+wacc)^Sens!G14324</f>
        <v>0.863327280626589</v>
      </c>
      <c r="H14325" s="14" t="n">
        <f aca="false">1/(1+wacc)^Sens!H14324</f>
        <v>0.782754862754115</v>
      </c>
      <c r="I14325" s="14" t="n">
        <f aca="false">1/(1+wacc)^Sens!I14324</f>
        <v>0.709702089711011</v>
      </c>
      <c r="J14325" s="14" t="n">
        <f aca="false">1/(1+wacc)^Sens!J14324</f>
        <v>0.643467169744551</v>
      </c>
      <c r="K14325" s="14" t="n">
        <f aca="false">1/(1+wacc)^Sens!K14324</f>
        <v>0.583413807767797</v>
      </c>
    </row>
    <row r="14326" customFormat="false" ht="17.15" hidden="false" customHeight="false" outlineLevel="0" collapsed="false">
      <c r="A14326" s="1" t="s">
        <v>1059</v>
      </c>
      <c r="B14326" s="0" t="s">
        <v>98</v>
      </c>
      <c r="F14326" s="6" t="n">
        <f aca="false">Sens!F14299-Sens!F14297-Sens!F14303+Sens!F14282*(1-tax_f)</f>
        <v>-13.1990043900589</v>
      </c>
      <c r="G14326" s="6" t="n">
        <f aca="false">Sens!G14299-Sens!G14297-Sens!G14303+Sens!G14282*(1-tax_f)</f>
        <v>148.118211720673</v>
      </c>
      <c r="H14326" s="6" t="n">
        <f aca="false">Sens!H14299-Sens!H14297-Sens!H14303+Sens!H14282*(1-tax_f)</f>
        <v>204.657365241315</v>
      </c>
      <c r="I14326" s="6" t="n">
        <f aca="false">Sens!I14299-Sens!I14297-Sens!I14303+Sens!I14282*(1-tax_f)</f>
        <v>191.227424602145</v>
      </c>
      <c r="J14326" s="6" t="n">
        <f aca="false">Sens!J14299-Sens!J14297-Sens!J14303+Sens!J14282*(1-tax_f)</f>
        <v>192.334230817458</v>
      </c>
      <c r="K14326" s="6" t="n">
        <f aca="false">Sens!K14299-Sens!K14297-Sens!K14303+Sens!K14282*(1-tax_f)</f>
        <v>165.077888642979</v>
      </c>
      <c r="L14326" s="1" t="s">
        <v>1060</v>
      </c>
    </row>
    <row r="14327" customFormat="false" ht="15" hidden="false" customHeight="false" outlineLevel="0" collapsed="false">
      <c r="A14327" s="1" t="s">
        <v>1061</v>
      </c>
      <c r="B14327" s="0" t="s">
        <v>98</v>
      </c>
      <c r="F14327" s="6" t="n">
        <f aca="false">Sens!F14326*Sens!F14325</f>
        <v>-12.5680045184403</v>
      </c>
      <c r="G14327" s="6" t="n">
        <f aca="false">Sens!G14326*Sens!G14325</f>
        <v>127.874492936082</v>
      </c>
      <c r="H14327" s="6" t="n">
        <f aca="false">Sens!H14326*Sens!H14325</f>
        <v>160.196547841085</v>
      </c>
      <c r="I14327" s="6" t="n">
        <f aca="false">Sens!I14326*Sens!I14325</f>
        <v>135.714502850197</v>
      </c>
      <c r="J14327" s="6" t="n">
        <f aca="false">Sens!J14326*Sens!J14325</f>
        <v>123.760763149105</v>
      </c>
      <c r="K14327" s="6" t="n">
        <f aca="false">Sens!K14326*Sens!K14325</f>
        <v>96.3087195914686</v>
      </c>
    </row>
    <row r="14328" customFormat="false" ht="17.15" hidden="false" customHeight="false" outlineLevel="0" collapsed="false">
      <c r="A14328" s="1" t="s">
        <v>1062</v>
      </c>
      <c r="B14328" s="0" t="s">
        <v>98</v>
      </c>
      <c r="C14328" s="6" t="n">
        <f aca="false">SUM(Sens!F14327:K14327)</f>
        <v>631.287021849496</v>
      </c>
    </row>
    <row r="14329" customFormat="false" ht="17.15" hidden="false" customHeight="false" outlineLevel="0" collapsed="false">
      <c r="A14329" s="1" t="s">
        <v>1063</v>
      </c>
      <c r="B14329" s="0" t="s">
        <v>98</v>
      </c>
      <c r="C14329" s="6" t="n">
        <f aca="false">Sens!K14268*(1+g_tv)*(1-tax_f)</f>
        <v>244.689479941482</v>
      </c>
    </row>
    <row r="14330" customFormat="false" ht="17.15" hidden="false" customHeight="false" outlineLevel="0" collapsed="false">
      <c r="A14330" s="1" t="s">
        <v>1064</v>
      </c>
      <c r="B14330" s="0" t="s">
        <v>98</v>
      </c>
      <c r="C14330" s="6" t="n">
        <f aca="false">Sens!$C$14329*(1-g_tv/(wacc+ronic_prem))</f>
        <v>173.375293767206</v>
      </c>
    </row>
    <row r="14331" customFormat="false" ht="17.15" hidden="false" customHeight="false" outlineLevel="0" collapsed="false">
      <c r="A14331" s="1" t="s">
        <v>1065</v>
      </c>
      <c r="B14331" s="0" t="s">
        <v>98</v>
      </c>
      <c r="C14331" s="6" t="n">
        <f aca="false">Sens!$C$14330/(wacc-g_tv)</f>
        <v>2377.13953914253</v>
      </c>
    </row>
    <row r="14332" customFormat="false" ht="15" hidden="false" customHeight="false" outlineLevel="0" collapsed="false">
      <c r="A14332" s="1" t="s">
        <v>1066</v>
      </c>
      <c r="B14332" s="0" t="s">
        <v>98</v>
      </c>
      <c r="C14332" s="6" t="n">
        <f aca="false">Sens!$C$14331/(1+wacc)^(Sens!K14324+mid_yr)</f>
        <v>1320.55512203512</v>
      </c>
    </row>
    <row r="14333" customFormat="false" ht="17.15" hidden="false" customHeight="false" outlineLevel="0" collapsed="false">
      <c r="A14333" s="0" t="s">
        <v>986</v>
      </c>
      <c r="B14333" s="0" t="s">
        <v>98</v>
      </c>
      <c r="C14333" s="6" t="n">
        <f aca="false">Sens!$C$14328+Sens!$C$14332</f>
        <v>1951.84214388461</v>
      </c>
    </row>
    <row r="14334" customFormat="false" ht="15" hidden="false" customHeight="false" outlineLevel="0" collapsed="false">
      <c r="A14334" s="1" t="s">
        <v>987</v>
      </c>
      <c r="B14334" s="0" t="s">
        <v>129</v>
      </c>
      <c r="C14334" s="7" t="n">
        <f aca="false">Sens!$C$14332/Sens!$C$14333</f>
        <v>0.676568607852123</v>
      </c>
    </row>
    <row r="14335" customFormat="false" ht="17.15" hidden="false" customHeight="false" outlineLevel="0" collapsed="false">
      <c r="A14335" s="1" t="s">
        <v>1067</v>
      </c>
      <c r="B14335" s="0" t="s">
        <v>98</v>
      </c>
      <c r="C14335" s="6" t="n">
        <f aca="false">Sens!$C$14333+Sens!E14315-Sens!E14304+oai_v</f>
        <v>2086.35514388461</v>
      </c>
    </row>
    <row r="14336" customFormat="false" ht="17.15" hidden="false" customHeight="false" outlineLevel="0" collapsed="false">
      <c r="A14336" s="0" t="s">
        <v>994</v>
      </c>
      <c r="B14336" s="0" t="s">
        <v>75</v>
      </c>
      <c r="C14336" s="5" t="n">
        <f aca="false">Sens!$C$14335/sh_dil26</f>
        <v>279.934944838939</v>
      </c>
    </row>
    <row r="14337" customFormat="false" ht="15" hidden="false" customHeight="false" outlineLevel="0" collapsed="false">
      <c r="A14337" s="1" t="s">
        <v>1068</v>
      </c>
      <c r="B14337" s="0" t="s">
        <v>75</v>
      </c>
      <c r="C14337" s="8" t="n">
        <f aca="false">dps_27+Sens!G14307*roll_div_q/q_per_yr</f>
        <v>4.8895</v>
      </c>
    </row>
    <row r="14338" customFormat="false" ht="17.15" hidden="false" customHeight="false" outlineLevel="0" collapsed="false">
      <c r="A14338" s="0" t="s">
        <v>1069</v>
      </c>
      <c r="B14338" s="0" t="s">
        <v>75</v>
      </c>
      <c r="C14338" s="5" t="n">
        <f aca="false">Sens!$C$14336*(1+wacc)^t_roll-Sens!$C$14337</f>
        <v>313.881768583147</v>
      </c>
    </row>
    <row r="14339" customFormat="false" ht="17.15" hidden="false" customHeight="false" outlineLevel="0" collapsed="false">
      <c r="A14339" s="1" t="s">
        <v>1070</v>
      </c>
      <c r="B14339" s="0" t="s">
        <v>129</v>
      </c>
      <c r="F14339" s="7" t="n">
        <f aca="false">Sens!F14294/(Sens!F14239-Sens!F14195)</f>
        <v>0.108022631085363</v>
      </c>
      <c r="G14339" s="7" t="n">
        <f aca="false">Sens!G14294/(Sens!G14239-Sens!G14195)</f>
        <v>0.096818907399626</v>
      </c>
      <c r="H14339" s="7" t="n">
        <f aca="false">Sens!H14294/(Sens!H14239-Sens!H14195)</f>
        <v>0.0890164681902296</v>
      </c>
      <c r="I14339" s="7" t="n">
        <f aca="false">Sens!I14294/(Sens!I14239-Sens!I14195)</f>
        <v>0.0841196680975193</v>
      </c>
      <c r="J14339" s="7" t="n">
        <f aca="false">Sens!J14294/(Sens!J14239-Sens!J14195)</f>
        <v>0.0813510360477484</v>
      </c>
      <c r="K14339" s="7" t="n">
        <f aca="false">Sens!K14294/(Sens!K14239-Sens!K14195)</f>
        <v>0.07990846778178</v>
      </c>
    </row>
    <row r="14340" customFormat="false" ht="17.15" hidden="false" customHeight="false" outlineLevel="0" collapsed="false">
      <c r="A14340" s="0" t="s">
        <v>1071</v>
      </c>
      <c r="B14340" s="0" t="s">
        <v>98</v>
      </c>
      <c r="F14340" s="6" t="n">
        <f aca="false">Sens!F14224*(al_m365+Sens!F14339+sbc_r)</f>
        <v>89.7411139548702</v>
      </c>
      <c r="G14340" s="6" t="n">
        <f aca="false">Sens!G14224*(al_m365+Sens!G14339+sbc_r)</f>
        <v>103.921939875948</v>
      </c>
      <c r="H14340" s="6" t="n">
        <f aca="false">Sens!H14224*(al_m365+Sens!H14339+sbc_r)</f>
        <v>118.241319925347</v>
      </c>
      <c r="I14340" s="6" t="n">
        <f aca="false">Sens!I14224*(al_m365+Sens!I14339+sbc_r)</f>
        <v>131.01328558629</v>
      </c>
      <c r="J14340" s="6" t="n">
        <f aca="false">Sens!J14224*(al_m365+Sens!J14339+sbc_r)</f>
        <v>142.081205015604</v>
      </c>
      <c r="K14340" s="6" t="n">
        <f aca="false">Sens!K14224*(al_m365+Sens!K14339+sbc_r)</f>
        <v>152.80307288114</v>
      </c>
      <c r="L14340" s="11" t="s">
        <v>1072</v>
      </c>
    </row>
    <row r="14341" customFormat="false" ht="17.15" hidden="false" customHeight="false" outlineLevel="0" collapsed="false">
      <c r="A14341" s="0" t="s">
        <v>1073</v>
      </c>
      <c r="B14341" s="0" t="s">
        <v>98</v>
      </c>
      <c r="F14341" s="6" t="n">
        <f aca="false">Sens!F14225*(al_lic+Sens!F14339+sbc_r)</f>
        <v>34.9853473536768</v>
      </c>
      <c r="G14341" s="6" t="n">
        <f aca="false">Sens!G14225*(al_lic+Sens!G14339+sbc_r)</f>
        <v>36.010487790199</v>
      </c>
      <c r="H14341" s="6" t="n">
        <f aca="false">Sens!H14225*(al_lic+Sens!H14339+sbc_r)</f>
        <v>37.0047219935465</v>
      </c>
      <c r="I14341" s="6" t="n">
        <f aca="false">Sens!I14225*(al_lic+Sens!I14339+sbc_r)</f>
        <v>37.9450328097177</v>
      </c>
      <c r="J14341" s="6" t="n">
        <f aca="false">Sens!J14225*(al_lic+Sens!J14339+sbc_r)</f>
        <v>38.7922671703001</v>
      </c>
      <c r="K14341" s="6" t="n">
        <f aca="false">Sens!K14225*(al_lic+Sens!K14339+sbc_r)</f>
        <v>39.5024080192568</v>
      </c>
    </row>
    <row r="14342" customFormat="false" ht="17.15" hidden="false" customHeight="false" outlineLevel="0" collapsed="false">
      <c r="A14342" s="0" t="s">
        <v>1074</v>
      </c>
      <c r="B14342" s="0" t="s">
        <v>98</v>
      </c>
      <c r="F14342" s="6" t="n">
        <f aca="false">Sens!F14227*(al_ind+Sens!F14339+sbc_r)</f>
        <v>9.95802257606311</v>
      </c>
      <c r="G14342" s="6" t="n">
        <f aca="false">Sens!G14227*(al_ind+Sens!G14339+sbc_r)</f>
        <v>10.6115425438413</v>
      </c>
      <c r="H14342" s="6" t="n">
        <f aca="false">Sens!H14227*(al_ind+Sens!H14339+sbc_r)</f>
        <v>11.3310454105062</v>
      </c>
      <c r="I14342" s="6" t="n">
        <f aca="false">Sens!I14227*(al_ind+Sens!I14339+sbc_r)</f>
        <v>12.1144877197343</v>
      </c>
      <c r="J14342" s="6" t="n">
        <f aca="false">Sens!J14227*(al_ind+Sens!J14339+sbc_r)</f>
        <v>12.9469314484904</v>
      </c>
      <c r="K14342" s="6" t="n">
        <f aca="false">Sens!K14227*(al_ind+Sens!K14339+sbc_r)</f>
        <v>13.8054912950001</v>
      </c>
    </row>
    <row r="14343" customFormat="false" ht="17.15" hidden="false" customHeight="false" outlineLevel="0" collapsed="false">
      <c r="A14343" s="0" t="s">
        <v>1075</v>
      </c>
      <c r="B14343" s="0" t="s">
        <v>98</v>
      </c>
      <c r="F14343" s="6" t="n">
        <f aca="false">Sens!F14229*(al_fro+Sens!F14339+sbc_r)</f>
        <v>3.91951264657339</v>
      </c>
      <c r="G14343" s="6" t="n">
        <f aca="false">Sens!G14229*(al_fro+Sens!G14339+sbc_r)</f>
        <v>4.07420496468235</v>
      </c>
      <c r="H14343" s="6" t="n">
        <f aca="false">Sens!H14229*(al_fro+Sens!H14339+sbc_r)</f>
        <v>4.26992574464544</v>
      </c>
      <c r="I14343" s="6" t="n">
        <f aca="false">Sens!I14229*(al_fro+Sens!I14339+sbc_r)</f>
        <v>4.50851927563083</v>
      </c>
      <c r="J14343" s="6" t="n">
        <f aca="false">Sens!J14229*(al_fro+Sens!J14339+sbc_r)</f>
        <v>4.7882727993041</v>
      </c>
      <c r="K14343" s="6" t="n">
        <f aca="false">Sens!K14229*(al_fro+Sens!K14339+sbc_r)</f>
        <v>5.10580122493709</v>
      </c>
    </row>
    <row r="14344" customFormat="false" ht="17.15" hidden="false" customHeight="false" outlineLevel="0" collapsed="false">
      <c r="A14344" s="0" t="s">
        <v>1076</v>
      </c>
      <c r="B14344" s="0" t="s">
        <v>98</v>
      </c>
      <c r="F14344" s="6" t="n">
        <f aca="false">Sens!F14232*(al_srch+Sens!F14339+sbc_r)</f>
        <v>12.2983017554655</v>
      </c>
      <c r="G14344" s="6" t="n">
        <f aca="false">Sens!G14232*(al_srch+Sens!G14339+sbc_r)</f>
        <v>13.2290629801627</v>
      </c>
      <c r="H14344" s="6" t="n">
        <f aca="false">Sens!H14232*(al_srch+Sens!H14339+sbc_r)</f>
        <v>14.2265386711001</v>
      </c>
      <c r="I14344" s="6" t="n">
        <f aca="false">Sens!I14232*(al_srch+Sens!I14339+sbc_r)</f>
        <v>15.2827029801358</v>
      </c>
      <c r="J14344" s="6" t="n">
        <f aca="false">Sens!J14232*(al_srch+Sens!J14339+sbc_r)</f>
        <v>16.3719975543401</v>
      </c>
      <c r="K14344" s="6" t="n">
        <f aca="false">Sens!K14232*(al_srch+Sens!K14339+sbc_r)</f>
        <v>17.457686450063</v>
      </c>
    </row>
    <row r="14345" customFormat="false" ht="17.15" hidden="false" customHeight="false" outlineLevel="0" collapsed="false">
      <c r="A14345" s="0" t="s">
        <v>1077</v>
      </c>
      <c r="B14345" s="0" t="s">
        <v>98</v>
      </c>
      <c r="F14345" s="6" t="n">
        <f aca="false">Sens!F14201-Sens!F14202+Sens!F14282</f>
        <v>26.629572563158</v>
      </c>
      <c r="G14345" s="6" t="n">
        <f aca="false">Sens!G14201-Sens!G14202+Sens!G14282</f>
        <v>35.120623483474</v>
      </c>
      <c r="H14345" s="6" t="n">
        <f aca="false">Sens!H14201-Sens!H14202+Sens!H14282</f>
        <v>40.8779278312734</v>
      </c>
      <c r="I14345" s="6" t="n">
        <f aca="false">Sens!I14201-Sens!I14202+Sens!I14282</f>
        <v>42.3773195035489</v>
      </c>
      <c r="J14345" s="6" t="n">
        <f aca="false">Sens!J14201-Sens!J14202+Sens!J14282</f>
        <v>44.6417069269853</v>
      </c>
      <c r="K14345" s="6" t="n">
        <f aca="false">Sens!K14201-Sens!K14202+Sens!K14282</f>
        <v>49.1398819438116</v>
      </c>
    </row>
    <row r="14346" customFormat="false" ht="17.15" hidden="false" customHeight="false" outlineLevel="0" collapsed="false">
      <c r="A14346" s="0" t="s">
        <v>1078</v>
      </c>
      <c r="B14346" s="0" t="s">
        <v>98</v>
      </c>
      <c r="F14346" s="6" t="n">
        <f aca="false">Sens!F14261+Sens!F14282+Sens!F14212+Sens!F14339*(Sens!F14231-Sens!F14195)+sbc_r*Sens!F14231</f>
        <v>215.601639846769</v>
      </c>
      <c r="G14346" s="6" t="n">
        <f aca="false">Sens!G14261+Sens!G14282+Sens!G14212+Sens!G14339*(Sens!G14231-Sens!G14195)+sbc_r*Sens!G14231</f>
        <v>252.666421205952</v>
      </c>
      <c r="H14346" s="6" t="n">
        <f aca="false">Sens!H14261+Sens!H14282+Sens!H14212+Sens!H14339*(Sens!H14231-Sens!H14195)+sbc_r*Sens!H14231</f>
        <v>287.200559035873</v>
      </c>
      <c r="I14346" s="6" t="n">
        <f aca="false">Sens!I14261+Sens!I14282+Sens!I14212+Sens!I14339*(Sens!I14231-Sens!I14195)+sbc_r*Sens!I14231</f>
        <v>315.530821536412</v>
      </c>
      <c r="J14346" s="6" t="n">
        <f aca="false">Sens!J14261+Sens!J14282+Sens!J14212+Sens!J14339*(Sens!J14231-Sens!J14195)+sbc_r*Sens!J14231</f>
        <v>342.056514919406</v>
      </c>
      <c r="K14346" s="6" t="n">
        <f aca="false">Sens!K14261+Sens!K14282+Sens!K14212+Sens!K14339*(Sens!K14231-Sens!K14195)+sbc_r*Sens!K14231</f>
        <v>368.813001389213</v>
      </c>
    </row>
    <row r="14347" customFormat="false" ht="17.15" hidden="false" customHeight="false" outlineLevel="0" collapsed="false">
      <c r="A14347" s="0" t="s">
        <v>1079</v>
      </c>
      <c r="B14347" s="0" t="s">
        <v>98</v>
      </c>
      <c r="F14347" s="6" t="n">
        <f aca="false">Sens!F14346-Sens!F14340-Sens!F14341-Sens!F14342-Sens!F14343-Sens!F14345</f>
        <v>50.3680707524271</v>
      </c>
      <c r="G14347" s="6" t="n">
        <f aca="false">Sens!G14346-Sens!G14340-Sens!G14341-Sens!G14342-Sens!G14343-Sens!G14345</f>
        <v>62.9276225478078</v>
      </c>
      <c r="H14347" s="6" t="n">
        <f aca="false">Sens!H14346-Sens!H14340-Sens!H14341-Sens!H14342-Sens!H14343-Sens!H14345</f>
        <v>75.4756181305545</v>
      </c>
      <c r="I14347" s="6" t="n">
        <f aca="false">Sens!I14346-Sens!I14340-Sens!I14341-Sens!I14342-Sens!I14343-Sens!I14345</f>
        <v>87.5721766414904</v>
      </c>
      <c r="J14347" s="6" t="n">
        <f aca="false">Sens!J14346-Sens!J14340-Sens!J14341-Sens!J14342-Sens!J14343-Sens!J14345</f>
        <v>98.8061315587222</v>
      </c>
      <c r="K14347" s="6" t="n">
        <f aca="false">Sens!K14346-Sens!K14340-Sens!K14341-Sens!K14342-Sens!K14343-Sens!K14345</f>
        <v>108.456346025067</v>
      </c>
    </row>
    <row r="14348" customFormat="false" ht="17.15" hidden="false" customHeight="false" outlineLevel="0" collapsed="false">
      <c r="A14348" s="0" t="s">
        <v>1080</v>
      </c>
      <c r="B14348" s="0" t="s">
        <v>98</v>
      </c>
      <c r="F14348" s="6" t="n">
        <f aca="false">Sens!F14263+Sens!F14339*Sens!F14238+sbc_r*Sens!F14238</f>
        <v>28.7673769656833</v>
      </c>
      <c r="G14348" s="6" t="n">
        <f aca="false">Sens!G14263+Sens!G14339*Sens!G14238+sbc_r*Sens!G14238</f>
        <v>28.891388349407</v>
      </c>
      <c r="H14348" s="6" t="n">
        <f aca="false">Sens!H14263+Sens!H14339*Sens!H14238+sbc_r*Sens!H14238</f>
        <v>29.4036441435592</v>
      </c>
      <c r="I14348" s="6" t="n">
        <f aca="false">Sens!I14263+Sens!I14339*Sens!I14238+sbc_r*Sens!I14238</f>
        <v>30.2519582558512</v>
      </c>
      <c r="J14348" s="6" t="n">
        <f aca="false">Sens!J14263+Sens!J14339*Sens!J14238+sbc_r*Sens!J14238</f>
        <v>31.3714115310918</v>
      </c>
      <c r="K14348" s="6" t="n">
        <f aca="false">Sens!K14263+Sens!K14339*Sens!K14238+sbc_r*Sens!K14238</f>
        <v>32.6959604246353</v>
      </c>
    </row>
    <row r="14349" customFormat="false" ht="17.15" hidden="false" customHeight="false" outlineLevel="0" collapsed="false">
      <c r="A14349" s="0" t="s">
        <v>1081</v>
      </c>
      <c r="B14349" s="0" t="s">
        <v>98</v>
      </c>
      <c r="F14349" s="6" t="n">
        <f aca="false">(Sens!F14348-Sens!F14344)*Sens!F14234/(Sens!F14234+Sens!F14236)</f>
        <v>9.02818662377316</v>
      </c>
      <c r="G14349" s="6" t="n">
        <f aca="false">(Sens!G14348-Sens!G14344)*Sens!G14234/(Sens!G14234+Sens!G14236)</f>
        <v>8.43284755107539</v>
      </c>
      <c r="H14349" s="6" t="n">
        <f aca="false">(Sens!H14348-Sens!H14344)*Sens!H14234/(Sens!H14234+Sens!H14236)</f>
        <v>8.06121274080619</v>
      </c>
      <c r="I14349" s="6" t="n">
        <f aca="false">(Sens!I14348-Sens!I14344)*Sens!I14234/(Sens!I14234+Sens!I14236)</f>
        <v>7.87887550036962</v>
      </c>
      <c r="J14349" s="6" t="n">
        <f aca="false">(Sens!J14348-Sens!J14344)*Sens!J14234/(Sens!J14234+Sens!J14236)</f>
        <v>7.85904938146135</v>
      </c>
      <c r="K14349" s="6" t="n">
        <f aca="false">(Sens!K14348-Sens!K14344)*Sens!K14234/(Sens!K14234+Sens!K14236)</f>
        <v>7.98420177215058</v>
      </c>
    </row>
    <row r="14350" customFormat="false" ht="17.15" hidden="false" customHeight="false" outlineLevel="0" collapsed="false">
      <c r="A14350" s="0" t="s">
        <v>1082</v>
      </c>
      <c r="B14350" s="0" t="s">
        <v>98</v>
      </c>
      <c r="F14350" s="6" t="n">
        <f aca="false">Sens!F14348-Sens!F14344-Sens!F14349</f>
        <v>7.44088858644467</v>
      </c>
      <c r="G14350" s="6" t="n">
        <f aca="false">Sens!G14348-Sens!G14344-Sens!G14349</f>
        <v>7.22947781816893</v>
      </c>
      <c r="H14350" s="6" t="n">
        <f aca="false">Sens!H14348-Sens!H14344-Sens!H14349</f>
        <v>7.11589273165295</v>
      </c>
      <c r="I14350" s="6" t="n">
        <f aca="false">Sens!I14348-Sens!I14344-Sens!I14349</f>
        <v>7.0903797753458</v>
      </c>
      <c r="J14350" s="6" t="n">
        <f aca="false">Sens!J14348-Sens!J14344-Sens!J14349</f>
        <v>7.14036459529034</v>
      </c>
      <c r="K14350" s="6" t="n">
        <f aca="false">Sens!K14348-Sens!K14344-Sens!K14349</f>
        <v>7.25407220242172</v>
      </c>
    </row>
    <row r="14351" customFormat="false" ht="17.15" hidden="false" customHeight="false" outlineLevel="0" collapsed="false">
      <c r="A14351" s="0" t="s">
        <v>1083</v>
      </c>
      <c r="B14351" s="0" t="s">
        <v>98</v>
      </c>
      <c r="F14351" s="6" t="n">
        <f aca="false">Sens!F14345-tax_f*(Sens!F14345-Sens!F14212)-Sens!F14209</f>
        <v>-4.43848759754026</v>
      </c>
      <c r="G14351" s="6" t="n">
        <f aca="false">Sens!G14345-tax_f*(Sens!G14345-Sens!G14212)-Sens!G14209</f>
        <v>-1.31779021475414</v>
      </c>
      <c r="H14351" s="6" t="n">
        <f aca="false">Sens!H14345-tax_f*(Sens!H14345-Sens!H14212)-Sens!H14209</f>
        <v>39.1073201630854</v>
      </c>
      <c r="I14351" s="6" t="n">
        <f aca="false">Sens!I14345-tax_f*(Sens!I14345-Sens!I14212)-Sens!I14209</f>
        <v>10.1769130001557</v>
      </c>
      <c r="J14351" s="6" t="n">
        <f aca="false">Sens!J14345-tax_f*(Sens!J14345-Sens!J14212)-Sens!J14209</f>
        <v>-3.12647578801178</v>
      </c>
      <c r="K14351" s="6" t="n">
        <f aca="false">Sens!K14345-tax_f*(Sens!K14345-Sens!K14212)-Sens!K14209</f>
        <v>-44.026476169634</v>
      </c>
    </row>
    <row r="14352" customFormat="false" ht="17.15" hidden="false" customHeight="false" outlineLevel="0" collapsed="false">
      <c r="A14352" s="0" t="s">
        <v>1084</v>
      </c>
      <c r="B14352" s="0" t="s">
        <v>98</v>
      </c>
      <c r="G14352" s="6" t="n">
        <f aca="false">Sens!G14351/(1+wacc)^(Sens!G14324-(Sens!F14324+mid_yr))</f>
        <v>-1.25479111029468</v>
      </c>
      <c r="H14352" s="6" t="n">
        <f aca="false">Sens!H14351/(1+wacc)^(Sens!H14324-(Sens!F14324+mid_yr))</f>
        <v>33.7624163689899</v>
      </c>
      <c r="I14352" s="6" t="n">
        <f aca="false">Sens!I14351/(1+wacc)^(Sens!I14324-(Sens!F14324+mid_yr))</f>
        <v>7.96602813869749</v>
      </c>
      <c r="J14352" s="6" t="n">
        <f aca="false">Sens!J14351/(1+wacc)^(Sens!J14324-(Sens!F14324+mid_yr))</f>
        <v>-2.21886640018284</v>
      </c>
      <c r="K14352" s="6" t="n">
        <f aca="false">Sens!K14351/(1+wacc)^(Sens!K14324-(Sens!F14324+mid_yr))</f>
        <v>-28.3295920147003</v>
      </c>
      <c r="L14352" s="1" t="s">
        <v>1085</v>
      </c>
    </row>
    <row r="14353" customFormat="false" ht="17.15" hidden="false" customHeight="false" outlineLevel="0" collapsed="false">
      <c r="A14353" s="0" t="s">
        <v>1086</v>
      </c>
      <c r="B14353" s="0" t="s">
        <v>98</v>
      </c>
      <c r="C14353" s="6" t="n">
        <f aca="false">(Sens!K14345-Sens!K14212)*(1-tax_f)*(1+g_tv)*(1-g_tv/(wacc+ronic_prem))/(wacc-g_tv)/(1+wacc)^(Sens!K14324+mid_yr-(Sens!F14324+mid_yr))</f>
        <v>58.6200765635193</v>
      </c>
    </row>
    <row r="14354" customFormat="false" ht="17.15" hidden="false" customHeight="false" outlineLevel="0" collapsed="false">
      <c r="A14354" s="1" t="s">
        <v>1087</v>
      </c>
      <c r="B14354" s="0" t="s">
        <v>98</v>
      </c>
      <c r="C14354" s="6" t="n">
        <f aca="false">(SUM(Sens!G14352:K14352)+Sens!$C$14353)*(1+wacc)^(t_roll-(Sens!F14324+mid_yr))</f>
        <v>70.770109248199</v>
      </c>
      <c r="L14354" s="11" t="s">
        <v>1088</v>
      </c>
    </row>
    <row r="14355" customFormat="false" ht="17.15" hidden="false" customHeight="false" outlineLevel="0" collapsed="false">
      <c r="A14355" s="1" t="s">
        <v>1089</v>
      </c>
      <c r="B14355" s="0" t="s">
        <v>98</v>
      </c>
      <c r="C14355" s="6" t="n">
        <f aca="false">(w_ntm28*Sens!G14201+(1-w_ntm28)*Sens!H14201)*m_ai</f>
        <v>256.825681102843</v>
      </c>
    </row>
    <row r="14356" customFormat="false" ht="17.15" hidden="false" customHeight="false" outlineLevel="0" collapsed="false">
      <c r="A14356" s="1" t="s">
        <v>1090</v>
      </c>
      <c r="B14356" s="0" t="s">
        <v>98</v>
      </c>
      <c r="C14356" s="6" t="n">
        <f aca="false">(w_ntm28*Sens!G14347+(1-w_ntm28)*Sens!H14347)*m_cloud</f>
        <v>925.72212519021</v>
      </c>
    </row>
    <row r="14357" customFormat="false" ht="17.15" hidden="false" customHeight="false" outlineLevel="0" collapsed="false">
      <c r="A14357" s="1" t="s">
        <v>1091</v>
      </c>
      <c r="B14357" s="0" t="s">
        <v>98</v>
      </c>
      <c r="C14357" s="6" t="n">
        <f aca="false">(w_ntm28*Sens!G14340+(1-w_ntm28)*Sens!H14340)*m_sw</f>
        <v>1172.35316418066</v>
      </c>
    </row>
    <row r="14358" customFormat="false" ht="17.15" hidden="false" customHeight="false" outlineLevel="0" collapsed="false">
      <c r="A14358" s="1" t="s">
        <v>1092</v>
      </c>
      <c r="B14358" s="0" t="s">
        <v>98</v>
      </c>
      <c r="C14358" s="6" t="n">
        <f aca="false">(w_ntm28*Sens!G14341+(1-w_ntm28)*Sens!H14341)*m_sw</f>
        <v>392.38464366496</v>
      </c>
    </row>
    <row r="14359" customFormat="false" ht="17.15" hidden="false" customHeight="false" outlineLevel="0" collapsed="false">
      <c r="A14359" s="1" t="s">
        <v>1093</v>
      </c>
      <c r="B14359" s="0" t="s">
        <v>98</v>
      </c>
      <c r="C14359" s="6" t="n">
        <f aca="false">(w_ntm28*Sens!G14342+(1-w_ntm28)*Sens!H14342)*m_sw</f>
        <v>117.116808660549</v>
      </c>
    </row>
    <row r="14360" customFormat="false" ht="17.15" hidden="false" customHeight="false" outlineLevel="0" collapsed="false">
      <c r="A14360" s="1" t="s">
        <v>1094</v>
      </c>
      <c r="B14360" s="0" t="s">
        <v>98</v>
      </c>
      <c r="C14360" s="6" t="n">
        <f aca="false">(w_ntm28*Sens!G14343+(1-w_ntm28)*Sens!H14343)*m_sw</f>
        <v>44.6847740623638</v>
      </c>
    </row>
    <row r="14361" customFormat="false" ht="17.15" hidden="false" customHeight="false" outlineLevel="0" collapsed="false">
      <c r="A14361" s="1" t="s">
        <v>1095</v>
      </c>
      <c r="B14361" s="0" t="s">
        <v>98</v>
      </c>
      <c r="C14361" s="6" t="n">
        <f aca="false">(w_ntm28*Sens!G14344+(1-w_ntm28)*Sens!H14344)*m_ads</f>
        <v>123.454479963649</v>
      </c>
    </row>
    <row r="14362" customFormat="false" ht="17.15" hidden="false" customHeight="false" outlineLevel="0" collapsed="false">
      <c r="A14362" s="1" t="s">
        <v>1096</v>
      </c>
      <c r="B14362" s="0" t="s">
        <v>98</v>
      </c>
      <c r="C14362" s="6" t="n">
        <f aca="false">(w_ntm28*Sens!G14349+(1-w_ntm28)*Sens!H14349)*m_game</f>
        <v>104.989433821763</v>
      </c>
    </row>
    <row r="14363" customFormat="false" ht="17.15" hidden="false" customHeight="false" outlineLevel="0" collapsed="false">
      <c r="A14363" s="1" t="s">
        <v>1097</v>
      </c>
      <c r="B14363" s="0" t="s">
        <v>98</v>
      </c>
      <c r="C14363" s="6" t="n">
        <f aca="false">(w_ntm28*Sens!G14350+(1-w_ntm28)*Sens!H14350)*m_pc</f>
        <v>104.079196106103</v>
      </c>
    </row>
    <row r="14364" customFormat="false" ht="17.15" hidden="false" customHeight="false" outlineLevel="0" collapsed="false">
      <c r="A14364" s="1" t="s">
        <v>1098</v>
      </c>
      <c r="B14364" s="0" t="s">
        <v>98</v>
      </c>
      <c r="C14364" s="6" t="n">
        <f aca="false">Sens!$C$14354+Sens!$C$14356+Sens!$C$14357+Sens!$C$14358+Sens!$C$14359+Sens!$C$14360+Sens!$C$14361+Sens!$C$14362+Sens!$C$14363</f>
        <v>3055.55473489845</v>
      </c>
    </row>
    <row r="14365" customFormat="false" ht="17.15" hidden="false" customHeight="false" outlineLevel="0" collapsed="false">
      <c r="A14365" s="1" t="s">
        <v>1099</v>
      </c>
      <c r="B14365" s="0" t="s">
        <v>98</v>
      </c>
      <c r="C14365" s="6" t="n">
        <f aca="false">(Sens!G14326-Sens!G14351)*t_stub</f>
        <v>48.7202307679885</v>
      </c>
      <c r="L14365" s="1" t="s">
        <v>1100</v>
      </c>
    </row>
    <row r="14366" customFormat="false" ht="17.15" hidden="false" customHeight="false" outlineLevel="0" collapsed="false">
      <c r="A14366" s="1" t="s">
        <v>1014</v>
      </c>
      <c r="B14366" s="0" t="s">
        <v>98</v>
      </c>
      <c r="C14366" s="6" t="n">
        <f aca="false">Sens!F14315+oai_v-Sens!F14304+Sens!$C$14365</f>
        <v>156.037002188628</v>
      </c>
      <c r="L14366" s="1" t="s">
        <v>1101</v>
      </c>
    </row>
    <row r="14367" customFormat="false" ht="17.15" hidden="false" customHeight="false" outlineLevel="0" collapsed="false">
      <c r="A14367" s="1" t="s">
        <v>1102</v>
      </c>
      <c r="B14367" s="0" t="s">
        <v>75</v>
      </c>
      <c r="C14367" s="5" t="n">
        <f aca="false">(Sens!$C$14364+Sens!$C$14366)/(Sens!F14317+dil_gap)-Sens!G14307*roll_div_q/q_per_yr</f>
        <v>427.401233336057</v>
      </c>
      <c r="L14367" s="1" t="s">
        <v>1103</v>
      </c>
    </row>
    <row r="14368" customFormat="false" ht="17.15" hidden="false" customHeight="false" outlineLevel="0" collapsed="false">
      <c r="A14368" s="1" t="s">
        <v>1104</v>
      </c>
      <c r="B14368" s="0" t="s">
        <v>75</v>
      </c>
      <c r="C14368" s="5" t="n">
        <f aca="false">w_dcf*Sens!$C$14338+(1-w_dcf)*Sens!$C$14367</f>
        <v>370.641500959602</v>
      </c>
    </row>
    <row r="14369" customFormat="false" ht="17.15" hidden="false" customHeight="false" outlineLevel="0" collapsed="false">
      <c r="A14369" s="3" t="s">
        <v>1626</v>
      </c>
    </row>
    <row r="14370" customFormat="false" ht="15" hidden="false" customHeight="false" outlineLevel="0" collapsed="false">
      <c r="A14370" s="4" t="s">
        <v>43</v>
      </c>
      <c r="B14370" s="4" t="s">
        <v>65</v>
      </c>
      <c r="C14370" s="20" t="s">
        <v>799</v>
      </c>
      <c r="D14370" s="20" t="s">
        <v>800</v>
      </c>
      <c r="E14370" s="20" t="s">
        <v>801</v>
      </c>
      <c r="F14370" s="20" t="s">
        <v>802</v>
      </c>
      <c r="G14370" s="20" t="s">
        <v>803</v>
      </c>
      <c r="H14370" s="20" t="s">
        <v>804</v>
      </c>
      <c r="I14370" s="20" t="s">
        <v>805</v>
      </c>
      <c r="J14370" s="20" t="s">
        <v>806</v>
      </c>
      <c r="K14370" s="20" t="s">
        <v>807</v>
      </c>
      <c r="L14370" s="4" t="s">
        <v>47</v>
      </c>
    </row>
    <row r="14371" customFormat="false" ht="17.15" hidden="false" customHeight="false" outlineLevel="0" collapsed="false">
      <c r="A14371" s="1" t="s">
        <v>808</v>
      </c>
      <c r="B14371" s="1" t="s">
        <v>235</v>
      </c>
      <c r="C14371" s="28" t="n">
        <v>2024</v>
      </c>
      <c r="D14371" s="28" t="n">
        <v>2025</v>
      </c>
      <c r="E14371" s="28" t="n">
        <v>2026</v>
      </c>
      <c r="F14371" s="28" t="n">
        <v>2027</v>
      </c>
      <c r="G14371" s="28" t="n">
        <v>2028</v>
      </c>
      <c r="H14371" s="28" t="n">
        <v>2029</v>
      </c>
      <c r="I14371" s="28" t="n">
        <v>2030</v>
      </c>
      <c r="J14371" s="28" t="n">
        <v>2031</v>
      </c>
      <c r="K14371" s="28" t="n">
        <v>2032</v>
      </c>
    </row>
    <row r="14372" customFormat="false" ht="17.15" hidden="false" customHeight="false" outlineLevel="0" collapsed="false">
      <c r="A14372" s="1" t="s">
        <v>809</v>
      </c>
      <c r="B14372" s="0" t="s">
        <v>399</v>
      </c>
      <c r="F14372" s="29" t="n">
        <f aca="false">pace_epoch</f>
        <v>650</v>
      </c>
      <c r="G14372" s="29" t="n">
        <f aca="false">pace_epoch</f>
        <v>650</v>
      </c>
      <c r="H14372" s="29" t="n">
        <f aca="false">pace_epoch</f>
        <v>650</v>
      </c>
      <c r="I14372" s="29" t="n">
        <f aca="false">pace_epoch+(g_tv*Sens!H14373-pace_epoch)*MIN(1,(Sens!I14371-pace_y0)/(pace_y1-pace_y0))</f>
        <v>477.193333333333</v>
      </c>
      <c r="J14372" s="29" t="n">
        <f aca="false">pace_epoch+(g_tv*Sens!I14373-pace_epoch)*MIN(1,(Sens!J14371-pace_y0)/(pace_y1-pace_y0))</f>
        <v>304.386666666667</v>
      </c>
      <c r="K14372" s="29" t="n">
        <f aca="false">pace_epoch+(g_tv*Sens!J14373-pace_epoch)*MIN(1,(Sens!K14371-pace_y0)/(pace_y1-pace_y0))</f>
        <v>131.58</v>
      </c>
      <c r="L14372" s="11" t="s">
        <v>810</v>
      </c>
    </row>
    <row r="14373" customFormat="false" ht="17.15" hidden="false" customHeight="false" outlineLevel="0" collapsed="false">
      <c r="A14373" s="1" t="s">
        <v>811</v>
      </c>
      <c r="B14373" s="0" t="s">
        <v>399</v>
      </c>
      <c r="C14373" s="29" t="n">
        <f aca="false">mw_ext_24</f>
        <v>640</v>
      </c>
      <c r="D14373" s="29" t="n">
        <f aca="false">mw_ext_25</f>
        <v>1630</v>
      </c>
      <c r="E14373" s="29" t="n">
        <f aca="false">mw_ext_26</f>
        <v>3250</v>
      </c>
      <c r="F14373" s="29" t="n">
        <f aca="false">MIN(cap_epoch,Sens!E14373+Sens!F14372)</f>
        <v>3900</v>
      </c>
      <c r="G14373" s="29" t="n">
        <f aca="false">MIN(cap_epoch,Sens!F14373+Sens!G14372)</f>
        <v>4386</v>
      </c>
      <c r="H14373" s="29" t="n">
        <f aca="false">MIN(cap_epoch,Sens!G14373+Sens!H14372)</f>
        <v>4386</v>
      </c>
      <c r="I14373" s="29" t="n">
        <f aca="false">MIN(cap_epoch,Sens!H14373+Sens!I14372)</f>
        <v>4386</v>
      </c>
      <c r="J14373" s="29" t="n">
        <f aca="false">MIN(cap_epoch,Sens!I14373+Sens!J14372)</f>
        <v>4386</v>
      </c>
      <c r="K14373" s="29" t="n">
        <f aca="false">MIN(cap_epoch,Sens!J14373+Sens!K14372)</f>
        <v>4386</v>
      </c>
      <c r="L14373" s="1" t="s">
        <v>812</v>
      </c>
    </row>
    <row r="14374" customFormat="false" ht="17.15" hidden="false" customHeight="false" outlineLevel="0" collapsed="false">
      <c r="A14374" s="1" t="s">
        <v>813</v>
      </c>
      <c r="B14374" s="0" t="s">
        <v>399</v>
      </c>
      <c r="C14374" s="29" t="n">
        <f aca="false">rent_ext_24</f>
        <v>150</v>
      </c>
      <c r="D14374" s="29" t="n">
        <f aca="false">rent_ext_25</f>
        <v>400</v>
      </c>
      <c r="E14374" s="29" t="n">
        <f aca="false">rent_ext_26</f>
        <v>550</v>
      </c>
      <c r="F14374" s="29" t="n">
        <f aca="false">rent_ext_f</f>
        <v>756</v>
      </c>
      <c r="G14374" s="29" t="n">
        <f aca="false">rent_ext_f</f>
        <v>756</v>
      </c>
      <c r="H14374" s="29" t="n">
        <f aca="false">rent_ext_f</f>
        <v>756</v>
      </c>
      <c r="I14374" s="29" t="n">
        <f aca="false">rent_ext_f</f>
        <v>756</v>
      </c>
      <c r="J14374" s="29" t="n">
        <f aca="false">rent_ext_f</f>
        <v>756</v>
      </c>
      <c r="K14374" s="29" t="n">
        <f aca="false">rent_ext_f</f>
        <v>756</v>
      </c>
      <c r="L14374" s="1" t="s">
        <v>814</v>
      </c>
    </row>
    <row r="14375" customFormat="false" ht="17.15" hidden="false" customHeight="false" outlineLevel="0" collapsed="false">
      <c r="A14375" s="1" t="s">
        <v>815</v>
      </c>
      <c r="B14375" s="0" t="s">
        <v>399</v>
      </c>
      <c r="C14375" s="29" t="n">
        <f aca="false">Sens!C14373-Sens!C14374</f>
        <v>490</v>
      </c>
      <c r="D14375" s="29" t="n">
        <f aca="false">Sens!D14373-Sens!D14374</f>
        <v>1230</v>
      </c>
      <c r="E14375" s="29" t="n">
        <f aca="false">Sens!E14373-Sens!E14374</f>
        <v>2700</v>
      </c>
      <c r="F14375" s="29" t="n">
        <f aca="false">Sens!F14373-Sens!F14374</f>
        <v>3144</v>
      </c>
      <c r="G14375" s="29" t="n">
        <f aca="false">Sens!G14373-Sens!G14374</f>
        <v>3630</v>
      </c>
      <c r="H14375" s="29" t="n">
        <f aca="false">Sens!H14373-Sens!H14374</f>
        <v>3630</v>
      </c>
      <c r="I14375" s="29" t="n">
        <f aca="false">Sens!I14373-Sens!I14374</f>
        <v>3630</v>
      </c>
      <c r="J14375" s="29" t="n">
        <f aca="false">Sens!J14373-Sens!J14374</f>
        <v>3630</v>
      </c>
      <c r="K14375" s="29" t="n">
        <f aca="false">Sens!K14373-Sens!K14374</f>
        <v>3630</v>
      </c>
    </row>
    <row r="14376" customFormat="false" ht="17.15" hidden="false" customHeight="false" outlineLevel="0" collapsed="false">
      <c r="A14376" s="1" t="s">
        <v>816</v>
      </c>
      <c r="B14376" s="0" t="s">
        <v>399</v>
      </c>
      <c r="C14376" s="29" t="n">
        <f aca="false">Sens!C14375/ext_sh</f>
        <v>816.666666666667</v>
      </c>
      <c r="D14376" s="29" t="n">
        <f aca="false">Sens!D14375/ext_sh</f>
        <v>2050</v>
      </c>
      <c r="E14376" s="29" t="n">
        <f aca="false">Sens!E14375/ext_sh</f>
        <v>4500</v>
      </c>
      <c r="F14376" s="29" t="n">
        <f aca="false">Sens!F14375/ext_sh</f>
        <v>5240</v>
      </c>
      <c r="G14376" s="29" t="n">
        <f aca="false">Sens!G14375/ext_sh</f>
        <v>6050</v>
      </c>
      <c r="H14376" s="29" t="n">
        <f aca="false">Sens!H14375/ext_sh</f>
        <v>6050</v>
      </c>
      <c r="I14376" s="29" t="n">
        <f aca="false">Sens!I14375/ext_sh</f>
        <v>6050</v>
      </c>
      <c r="J14376" s="29" t="n">
        <f aca="false">Sens!J14375/ext_sh</f>
        <v>6050</v>
      </c>
      <c r="K14376" s="29" t="n">
        <f aca="false">Sens!K14375/ext_sh</f>
        <v>6050</v>
      </c>
      <c r="L14376" s="1" t="s">
        <v>817</v>
      </c>
    </row>
    <row r="14377" customFormat="false" ht="17.15" hidden="false" customHeight="false" outlineLevel="0" collapsed="false">
      <c r="A14377" s="1" t="s">
        <v>818</v>
      </c>
      <c r="B14377" s="0" t="s">
        <v>399</v>
      </c>
      <c r="C14377" s="29" t="n">
        <f aca="false">Sens!C14376-Sens!C14375</f>
        <v>326.666666666667</v>
      </c>
      <c r="D14377" s="29" t="n">
        <f aca="false">Sens!D14376-Sens!D14375</f>
        <v>820</v>
      </c>
      <c r="E14377" s="29" t="n">
        <f aca="false">Sens!E14376-Sens!E14375</f>
        <v>1800</v>
      </c>
      <c r="F14377" s="29" t="n">
        <f aca="false">Sens!F14376-Sens!F14375</f>
        <v>2096</v>
      </c>
      <c r="G14377" s="29" t="n">
        <f aca="false">Sens!G14376-Sens!G14375</f>
        <v>2420</v>
      </c>
      <c r="H14377" s="29" t="n">
        <f aca="false">Sens!H14376-Sens!H14375</f>
        <v>2420</v>
      </c>
      <c r="I14377" s="29" t="n">
        <f aca="false">Sens!I14376-Sens!I14375</f>
        <v>2420</v>
      </c>
      <c r="J14377" s="29" t="n">
        <f aca="false">Sens!J14376-Sens!J14375</f>
        <v>2420</v>
      </c>
      <c r="K14377" s="29" t="n">
        <f aca="false">Sens!K14376-Sens!K14375</f>
        <v>2420</v>
      </c>
    </row>
    <row r="14378" customFormat="false" ht="17.15" hidden="false" customHeight="false" outlineLevel="0" collapsed="false">
      <c r="A14378" s="1" t="s">
        <v>819</v>
      </c>
      <c r="B14378" s="0" t="s">
        <v>399</v>
      </c>
      <c r="C14378" s="29" t="n">
        <f aca="false">Sens!C14376</f>
        <v>816.666666666667</v>
      </c>
      <c r="D14378" s="29" t="n">
        <f aca="false">Sens!D14376-Sens!C14376</f>
        <v>1233.33333333333</v>
      </c>
      <c r="E14378" s="29" t="n">
        <f aca="false">Sens!E14376-Sens!D14376</f>
        <v>2450</v>
      </c>
      <c r="F14378" s="29" t="n">
        <f aca="false">Sens!F14376-Sens!E14376</f>
        <v>740</v>
      </c>
      <c r="G14378" s="29" t="n">
        <f aca="false">Sens!G14376-Sens!F14376</f>
        <v>810</v>
      </c>
      <c r="H14378" s="29" t="n">
        <f aca="false">Sens!H14376-Sens!G14376</f>
        <v>0</v>
      </c>
      <c r="I14378" s="29" t="n">
        <f aca="false">Sens!I14376-Sens!H14376</f>
        <v>0</v>
      </c>
      <c r="J14378" s="29" t="n">
        <f aca="false">Sens!J14376-Sens!I14376</f>
        <v>0</v>
      </c>
      <c r="K14378" s="29" t="n">
        <f aca="false">Sens!K14376-Sens!J14376</f>
        <v>0</v>
      </c>
    </row>
    <row r="14379" customFormat="false" ht="17.15" hidden="false" customHeight="false" outlineLevel="0" collapsed="false">
      <c r="A14379" s="1" t="s">
        <v>820</v>
      </c>
      <c r="B14379" s="0" t="s">
        <v>399</v>
      </c>
      <c r="D14379" s="29" t="n">
        <f aca="false">Sens!D14373-Sens!C14373</f>
        <v>990</v>
      </c>
      <c r="E14379" s="29" t="n">
        <f aca="false">Sens!E14373-Sens!D14373</f>
        <v>1620</v>
      </c>
      <c r="F14379" s="29" t="n">
        <f aca="false">Sens!F14373-Sens!E14373</f>
        <v>650</v>
      </c>
      <c r="G14379" s="29" t="n">
        <f aca="false">Sens!G14373-Sens!F14373</f>
        <v>486</v>
      </c>
      <c r="H14379" s="29" t="n">
        <f aca="false">Sens!H14373-Sens!G14373</f>
        <v>0</v>
      </c>
      <c r="I14379" s="29" t="n">
        <f aca="false">Sens!I14373-Sens!H14373</f>
        <v>0</v>
      </c>
      <c r="J14379" s="29" t="n">
        <f aca="false">Sens!J14373-Sens!I14373</f>
        <v>0</v>
      </c>
      <c r="K14379" s="29" t="n">
        <f aca="false">Sens!K14373-Sens!J14373</f>
        <v>0</v>
      </c>
    </row>
    <row r="14380" customFormat="false" ht="17.15" hidden="false" customHeight="false" outlineLevel="0" collapsed="false">
      <c r="A14380" s="1" t="s">
        <v>821</v>
      </c>
      <c r="B14380" s="0" t="s">
        <v>399</v>
      </c>
      <c r="F14380" s="29" t="n">
        <f aca="false">Sens!F14397*ext_sh</f>
        <v>0</v>
      </c>
      <c r="G14380" s="29" t="n">
        <f aca="false">Sens!G14397*ext_sh</f>
        <v>0</v>
      </c>
      <c r="H14380" s="29" t="n">
        <f aca="false">Sens!H14397*ext_sh</f>
        <v>0</v>
      </c>
      <c r="I14380" s="29" t="n">
        <f aca="false">Sens!I14397*ext_sh</f>
        <v>490</v>
      </c>
      <c r="J14380" s="29" t="n">
        <f aca="false">Sens!J14397*ext_sh</f>
        <v>740</v>
      </c>
      <c r="K14380" s="29" t="n">
        <f aca="false">Sens!K14397*ext_sh</f>
        <v>1470</v>
      </c>
      <c r="L14380" s="1" t="s">
        <v>822</v>
      </c>
    </row>
    <row r="14381" customFormat="false" ht="17.15" hidden="false" customHeight="false" outlineLevel="0" collapsed="false">
      <c r="A14381" s="1" t="s">
        <v>823</v>
      </c>
      <c r="B14381" s="0" t="s">
        <v>399</v>
      </c>
      <c r="C14381" s="29" t="n">
        <f aca="false">mix_h*Sens!C14373</f>
        <v>128</v>
      </c>
      <c r="D14381" s="29" t="n">
        <f aca="false">mix_h*Sens!D14373</f>
        <v>326</v>
      </c>
      <c r="E14381" s="29" t="n">
        <f aca="false">mix_h*Sens!E14373</f>
        <v>650</v>
      </c>
      <c r="F14381" s="29" t="n">
        <f aca="false">Sens!E14381-Sens!F14380*mix_h</f>
        <v>650</v>
      </c>
      <c r="G14381" s="29" t="n">
        <f aca="false">Sens!F14381-Sens!G14380*mix_h</f>
        <v>650</v>
      </c>
      <c r="H14381" s="29" t="n">
        <f aca="false">Sens!G14381-Sens!H14380*mix_h</f>
        <v>650</v>
      </c>
      <c r="I14381" s="29" t="n">
        <f aca="false">Sens!H14381-Sens!I14380*mix_h</f>
        <v>552</v>
      </c>
      <c r="J14381" s="29" t="n">
        <f aca="false">Sens!I14381-Sens!J14380*mix_h</f>
        <v>404</v>
      </c>
      <c r="K14381" s="29" t="n">
        <f aca="false">Sens!J14381-Sens!K14380*mix_h</f>
        <v>110</v>
      </c>
    </row>
    <row r="14382" customFormat="false" ht="17.15" hidden="false" customHeight="false" outlineLevel="0" collapsed="false">
      <c r="A14382" s="1" t="s">
        <v>824</v>
      </c>
      <c r="B14382" s="0" t="s">
        <v>399</v>
      </c>
      <c r="C14382" s="29" t="n">
        <f aca="false">mix_g2*Sens!C14373</f>
        <v>288</v>
      </c>
      <c r="D14382" s="29" t="n">
        <f aca="false">mix_g2*Sens!D14373</f>
        <v>733.5</v>
      </c>
      <c r="E14382" s="29" t="n">
        <f aca="false">mix_g2*Sens!E14373</f>
        <v>1462.5</v>
      </c>
      <c r="F14382" s="29" t="n">
        <f aca="false">Sens!E14382-Sens!F14380*mix_g2</f>
        <v>1462.5</v>
      </c>
      <c r="G14382" s="29" t="n">
        <f aca="false">Sens!F14382-Sens!G14380*mix_g2</f>
        <v>1462.5</v>
      </c>
      <c r="H14382" s="29" t="n">
        <f aca="false">Sens!G14382-Sens!H14380*mix_g2</f>
        <v>1462.5</v>
      </c>
      <c r="I14382" s="29" t="n">
        <f aca="false">Sens!H14382-Sens!I14380*mix_g2</f>
        <v>1242</v>
      </c>
      <c r="J14382" s="29" t="n">
        <f aca="false">Sens!I14382-Sens!J14380*mix_g2</f>
        <v>909</v>
      </c>
      <c r="K14382" s="29" t="n">
        <f aca="false">Sens!J14382-Sens!K14380*mix_g2</f>
        <v>247.5</v>
      </c>
    </row>
    <row r="14383" customFormat="false" ht="17.15" hidden="false" customHeight="false" outlineLevel="0" collapsed="false">
      <c r="A14383" s="1" t="s">
        <v>825</v>
      </c>
      <c r="B14383" s="0" t="s">
        <v>399</v>
      </c>
      <c r="C14383" s="29" t="n">
        <f aca="false">mix_g3*Sens!C14373</f>
        <v>224</v>
      </c>
      <c r="D14383" s="29" t="n">
        <f aca="false">mix_g3*Sens!D14373</f>
        <v>570.5</v>
      </c>
      <c r="E14383" s="29" t="n">
        <f aca="false">mix_g3*Sens!E14373</f>
        <v>1137.5</v>
      </c>
      <c r="F14383" s="29" t="n">
        <f aca="false">Sens!E14383+(Sens!F14379+Sens!F14380)*a_g3_27-Sens!F14380*mix_g3</f>
        <v>1592.5</v>
      </c>
      <c r="G14383" s="29" t="n">
        <f aca="false">Sens!F14383+(Sens!G14379+Sens!G14380)*a_g3_28-Sens!G14380*mix_g3</f>
        <v>1738.3</v>
      </c>
      <c r="H14383" s="29" t="n">
        <f aca="false">Sens!G14383+(Sens!H14379+Sens!H14380)*a_g3_29-Sens!H14380*mix_g3</f>
        <v>1738.3</v>
      </c>
      <c r="I14383" s="29" t="n">
        <f aca="false">Sens!H14383+(Sens!I14379+Sens!I14380)*a_g3_29-Sens!I14380*mix_g3</f>
        <v>1615.8</v>
      </c>
      <c r="J14383" s="29" t="n">
        <f aca="false">Sens!I14383+(Sens!J14379+Sens!J14380)*a_g3_29-Sens!J14380*mix_g3</f>
        <v>1430.8</v>
      </c>
      <c r="K14383" s="29" t="n">
        <f aca="false">Sens!J14383+(Sens!K14379+Sens!K14380)*a_g3_29-Sens!K14380*mix_g3</f>
        <v>1063.3</v>
      </c>
    </row>
    <row r="14384" customFormat="false" ht="17.15" hidden="false" customHeight="false" outlineLevel="0" collapsed="false">
      <c r="A14384" s="1" t="s">
        <v>826</v>
      </c>
      <c r="B14384" s="0" t="s">
        <v>399</v>
      </c>
      <c r="C14384" s="29" t="n">
        <v>0</v>
      </c>
      <c r="D14384" s="29" t="n">
        <v>0</v>
      </c>
      <c r="E14384" s="29" t="n">
        <v>0</v>
      </c>
      <c r="F14384" s="29" t="n">
        <f aca="false">Sens!E14384+(Sens!F14379+Sens!F14380)*(1-a_g3_27)</f>
        <v>195</v>
      </c>
      <c r="G14384" s="29" t="n">
        <f aca="false">Sens!F14384+(Sens!G14379+Sens!G14380)*(1-a_g3_28)</f>
        <v>535.2</v>
      </c>
      <c r="H14384" s="29" t="n">
        <f aca="false">Sens!G14384+(Sens!H14379+Sens!H14380)*(1-a_g3_29)</f>
        <v>535.2</v>
      </c>
      <c r="I14384" s="29" t="n">
        <f aca="false">Sens!H14384+(Sens!I14379+Sens!I14380)*(1-a_g3_29)</f>
        <v>976.2</v>
      </c>
      <c r="J14384" s="29" t="n">
        <f aca="false">Sens!I14384+(Sens!J14379+Sens!J14380)*(1-a_g3_29)</f>
        <v>1642.2</v>
      </c>
      <c r="K14384" s="29" t="n">
        <f aca="false">Sens!J14384+(Sens!K14379+Sens!K14380)*(1-a_g3_29)</f>
        <v>2965.2</v>
      </c>
    </row>
    <row r="14385" customFormat="false" ht="17.15" hidden="false" customHeight="false" outlineLevel="0" collapsed="false">
      <c r="A14385" s="1" t="s">
        <v>827</v>
      </c>
      <c r="B14385" s="0" t="s">
        <v>346</v>
      </c>
      <c r="C14385" s="14" t="n">
        <f aca="false">(Sens!C14381*tk_hold_h100+Sens!C14382*tk_hold_gb200+Sens!C14383*tk_hold_gb300+Sens!C14384*tk_hold_vr200)/Sens!C14373</f>
        <v>9.7235358126469</v>
      </c>
      <c r="D14385" s="14" t="n">
        <f aca="false">(Sens!D14381*tk_hold_h100+Sens!D14382*tk_hold_gb200+Sens!D14383*tk_hold_gb300+Sens!D14384*tk_hold_vr200)/Sens!D14373</f>
        <v>9.7235358126469</v>
      </c>
      <c r="E14385" s="14" t="n">
        <f aca="false">(Sens!E14381*tk_hold_h100+Sens!E14382*tk_hold_gb200+Sens!E14383*tk_hold_gb300+Sens!E14384*tk_hold_vr200)/Sens!E14373</f>
        <v>9.7235358126469</v>
      </c>
      <c r="F14385" s="14" t="n">
        <f aca="false">(Sens!F14381*tk_hold_h100+Sens!F14382*tk_hold_gb200+Sens!F14383*tk_hold_gb300+Sens!F14384*tk_hold_vr200)/Sens!F14373</f>
        <v>9.9843013443478</v>
      </c>
      <c r="G14385" s="14" t="n">
        <f aca="false">(Sens!G14381*tk_hold_h100+Sens!G14382*tk_hold_gb200+Sens!G14383*tk_hold_gb300+Sens!G14384*tk_hold_vr200)/Sens!G14373</f>
        <v>10.1881256732384</v>
      </c>
      <c r="H14385" s="14" t="n">
        <f aca="false">(Sens!H14381*tk_hold_h100+Sens!H14382*tk_hold_gb200+Sens!H14383*tk_hold_gb300+Sens!H14384*tk_hold_vr200)/Sens!H14373</f>
        <v>10.1881256732384</v>
      </c>
      <c r="I14385" s="14" t="n">
        <f aca="false">(Sens!I14381*tk_hold_h100+Sens!I14382*tk_hold_gb200+Sens!I14383*tk_hold_gb300+Sens!I14384*tk_hold_vr200)/Sens!I14373</f>
        <v>10.4526797781011</v>
      </c>
      <c r="J14385" s="14" t="n">
        <f aca="false">(Sens!J14381*tk_hold_h100+Sens!J14382*tk_hold_gb200+Sens!J14383*tk_hold_gb300+Sens!J14384*tk_hold_vr200)/Sens!J14373</f>
        <v>10.8522104670775</v>
      </c>
      <c r="K14385" s="14" t="n">
        <f aca="false">(Sens!K14381*tk_hold_h100+Sens!K14382*tk_hold_gb200+Sens!K14383*tk_hold_gb300+Sens!K14384*tk_hold_vr200)/Sens!K14373</f>
        <v>11.6458727816658</v>
      </c>
    </row>
    <row r="14386" customFormat="false" ht="17.15" hidden="false" customHeight="false" outlineLevel="0" collapsed="false">
      <c r="A14386" s="0" t="s">
        <v>828</v>
      </c>
      <c r="B14386" s="0" t="s">
        <v>185</v>
      </c>
      <c r="C14386" s="14" t="n">
        <f aca="false">k_B</f>
        <v>1.17213932619116</v>
      </c>
      <c r="D14386" s="14" t="n">
        <f aca="false">k_B</f>
        <v>1.17213932619116</v>
      </c>
      <c r="E14386" s="14" t="n">
        <f aca="false">k_B</f>
        <v>1.17213932619116</v>
      </c>
      <c r="F14386" s="14" t="n">
        <f aca="false">(k_B+((ls_B*k_long+(1-ls_B)*k_spot)-k_B)*MIN(1,(Sens!F14371-base_fy)/k_ramp))</f>
        <v>1.17213932619116</v>
      </c>
      <c r="G14386" s="14" t="n">
        <f aca="false">(k_B+((ls_B*k_long+(1-ls_B)*k_spot)-k_B)*MIN(1,(Sens!G14371-base_fy)/k_ramp))</f>
        <v>1.17213932619116</v>
      </c>
      <c r="H14386" s="14" t="n">
        <f aca="false">(k_B+((ls_B*k_long+(1-ls_B)*k_spot)-k_B)*MIN(1,(Sens!H14371-base_fy)/k_ramp))</f>
        <v>1.17213932619116</v>
      </c>
      <c r="I14386" s="14" t="n">
        <f aca="false">(k_B+((ls_B*k_long+(1-ls_B)*k_spot)-k_B)*MIN(1,(Sens!I14371-base_fy)/k_ramp))</f>
        <v>1.17213932619116</v>
      </c>
      <c r="J14386" s="14" t="n">
        <f aca="false">(k_B+((ls_B*k_long+(1-ls_B)*k_spot)-k_B)*MIN(1,(Sens!J14371-base_fy)/k_ramp))</f>
        <v>1.17213932619116</v>
      </c>
      <c r="K14386" s="14" t="n">
        <f aca="false">(k_B+((ls_B*k_long+(1-ls_B)*k_spot)-k_B)*MIN(1,(Sens!K14371-base_fy)/k_ramp))</f>
        <v>1.17213932619116</v>
      </c>
      <c r="L14386" s="1" t="s">
        <v>829</v>
      </c>
    </row>
    <row r="14387" customFormat="false" ht="17.15" hidden="false" customHeight="false" outlineLevel="0" collapsed="false">
      <c r="A14387" s="1" t="s">
        <v>830</v>
      </c>
      <c r="B14387" s="0" t="s">
        <v>346</v>
      </c>
      <c r="C14387" s="14" t="n">
        <f aca="false">Sens!C14385*Sens!C14386*chip_f</f>
        <v>11.3973387156315</v>
      </c>
      <c r="D14387" s="14" t="n">
        <f aca="false">Sens!D14385*Sens!D14386*chip_f</f>
        <v>11.3973387156315</v>
      </c>
      <c r="E14387" s="14" t="n">
        <f aca="false">Sens!E14385*Sens!E14386*chip_f</f>
        <v>11.3973387156315</v>
      </c>
      <c r="F14387" s="14" t="n">
        <f aca="false">Sens!F14385*Sens!F14386*chip_f</f>
        <v>11.7029922502533</v>
      </c>
      <c r="G14387" s="14" t="n">
        <f aca="false">Sens!G14385*Sens!G14386*chip_f</f>
        <v>11.9419027617805</v>
      </c>
      <c r="H14387" s="14" t="n">
        <f aca="false">Sens!H14385*Sens!H14386*chip_f</f>
        <v>11.9419027617805</v>
      </c>
      <c r="I14387" s="14" t="n">
        <f aca="false">Sens!I14385*Sens!I14386*chip_f</f>
        <v>12.2519970319954</v>
      </c>
      <c r="J14387" s="14" t="n">
        <f aca="false">Sens!J14385*Sens!J14386*chip_f</f>
        <v>12.7203026645649</v>
      </c>
      <c r="K14387" s="14" t="n">
        <f aca="false">Sens!K14385*Sens!K14386*chip_f</f>
        <v>13.6505854752096</v>
      </c>
      <c r="L14387" s="1" t="s">
        <v>831</v>
      </c>
    </row>
    <row r="14388" customFormat="false" ht="17.15" hidden="false" customHeight="false" outlineLevel="0" collapsed="false">
      <c r="A14388" s="0" t="s">
        <v>832</v>
      </c>
      <c r="B14388" s="0" t="s">
        <v>98</v>
      </c>
      <c r="D14388" s="6" t="n">
        <f aca="false">(Sens!C14373+Sens!D14373)/2*Sens!D14387/1000</f>
        <v>12.9359794422418</v>
      </c>
      <c r="E14388" s="6" t="n">
        <f aca="false">(Sens!D14373+Sens!E14373)/2*Sens!E14387/1000</f>
        <v>27.8095064661409</v>
      </c>
      <c r="F14388" s="6" t="n">
        <f aca="false">(Sens!E14373+Sens!F14373)/2*Sens!F14387/1000</f>
        <v>41.8381972946555</v>
      </c>
      <c r="G14388" s="6" t="n">
        <f aca="false">(Sens!F14373+Sens!G14373)/2*Sens!G14387/1000</f>
        <v>49.4753031420564</v>
      </c>
      <c r="H14388" s="6" t="n">
        <f aca="false">(Sens!G14373+Sens!H14373)/2*Sens!H14387/1000</f>
        <v>52.3771855131691</v>
      </c>
      <c r="I14388" s="6" t="n">
        <f aca="false">(Sens!H14373+Sens!I14373)/2*Sens!I14387/1000</f>
        <v>53.7372589823317</v>
      </c>
      <c r="J14388" s="6" t="n">
        <f aca="false">(Sens!I14373+Sens!J14373)/2*Sens!J14387/1000</f>
        <v>55.7912474867814</v>
      </c>
      <c r="K14388" s="6" t="n">
        <f aca="false">(Sens!J14373+Sens!K14373)/2*Sens!K14387/1000</f>
        <v>59.8714678942694</v>
      </c>
      <c r="L14388" s="11" t="s">
        <v>833</v>
      </c>
    </row>
    <row r="14389" customFormat="false" ht="17.15" hidden="false" customHeight="false" outlineLevel="0" collapsed="false">
      <c r="A14389" s="1" t="s">
        <v>834</v>
      </c>
      <c r="B14389" s="0" t="s">
        <v>346</v>
      </c>
      <c r="C14389" s="14" t="n">
        <f aca="false">(Sens!C14381*tk_opex_h100+Sens!C14382*tk_opex_gb200+Sens!C14383*tk_opex_gb300+Sens!C14384*tk_opex_vr200)/Sens!C14373</f>
        <v>1.88636041306092</v>
      </c>
      <c r="D14389" s="14" t="n">
        <f aca="false">(Sens!D14381*tk_opex_h100+Sens!D14382*tk_opex_gb200+Sens!D14383*tk_opex_gb300+Sens!D14384*tk_opex_vr200)/Sens!D14373</f>
        <v>1.88636041306092</v>
      </c>
      <c r="E14389" s="14" t="n">
        <f aca="false">(Sens!E14381*tk_opex_h100+Sens!E14382*tk_opex_gb200+Sens!E14383*tk_opex_gb300+Sens!E14384*tk_opex_vr200)/Sens!E14373</f>
        <v>1.88636041306092</v>
      </c>
      <c r="F14389" s="14" t="n">
        <f aca="false">(Sens!F14381*tk_opex_h100+Sens!F14382*tk_opex_gb200+Sens!F14383*tk_opex_gb300+Sens!F14384*tk_opex_vr200)/Sens!F14373</f>
        <v>1.90794918316667</v>
      </c>
      <c r="G14389" s="14" t="n">
        <f aca="false">(Sens!G14381*tk_opex_h100+Sens!G14382*tk_opex_gb200+Sens!G14383*tk_opex_gb300+Sens!G14384*tk_opex_vr200)/Sens!G14373</f>
        <v>1.92482379289624</v>
      </c>
      <c r="H14389" s="14" t="n">
        <f aca="false">(Sens!H14381*tk_opex_h100+Sens!H14382*tk_opex_gb200+Sens!H14383*tk_opex_gb300+Sens!H14384*tk_opex_vr200)/Sens!H14373</f>
        <v>1.92482379289624</v>
      </c>
      <c r="I14389" s="14" t="n">
        <f aca="false">(Sens!I14381*tk_opex_h100+Sens!I14382*tk_opex_gb200+Sens!I14383*tk_opex_gb300+Sens!I14384*tk_opex_vr200)/Sens!I14373</f>
        <v>1.946726218854</v>
      </c>
      <c r="J14389" s="14" t="n">
        <f aca="false">(Sens!J14381*tk_opex_h100+Sens!J14382*tk_opex_gb200+Sens!J14383*tk_opex_gb300+Sens!J14384*tk_opex_vr200)/Sens!J14373</f>
        <v>1.97980335193306</v>
      </c>
      <c r="K14389" s="14" t="n">
        <f aca="false">(Sens!K14381*tk_opex_h100+Sens!K14382*tk_opex_gb200+Sens!K14383*tk_opex_gb300+Sens!K14384*tk_opex_vr200)/Sens!K14373</f>
        <v>2.04551062980633</v>
      </c>
    </row>
    <row r="14390" customFormat="false" ht="17.15" hidden="false" customHeight="false" outlineLevel="0" collapsed="false">
      <c r="A14390" s="0" t="s">
        <v>835</v>
      </c>
      <c r="B14390" s="0" t="s">
        <v>98</v>
      </c>
      <c r="D14390" s="6" t="n">
        <f aca="false">(Sens!C14376+Sens!D14376)/2*Sens!D14389/1000</f>
        <v>2.70378325872065</v>
      </c>
      <c r="E14390" s="6" t="n">
        <f aca="false">(Sens!D14376+Sens!E14376)/2*Sens!E14389/1000</f>
        <v>6.17783035277451</v>
      </c>
      <c r="F14390" s="6" t="n">
        <f aca="false">(Sens!E14376+Sens!F14376)/2*Sens!F14389/1000</f>
        <v>9.29171252202166</v>
      </c>
      <c r="G14390" s="6" t="n">
        <f aca="false">(Sens!F14376+Sens!G14376)/2*Sens!G14389/1000</f>
        <v>10.8656303108993</v>
      </c>
      <c r="H14390" s="6" t="n">
        <f aca="false">(Sens!G14376+Sens!H14376)/2*Sens!H14389/1000</f>
        <v>11.6451839470223</v>
      </c>
      <c r="I14390" s="6" t="n">
        <f aca="false">(Sens!H14376+Sens!I14376)/2*Sens!I14389/1000</f>
        <v>11.7776936240667</v>
      </c>
      <c r="J14390" s="6" t="n">
        <f aca="false">(Sens!I14376+Sens!J14376)/2*Sens!J14389/1000</f>
        <v>11.977810279195</v>
      </c>
      <c r="K14390" s="6" t="n">
        <f aca="false">(Sens!J14376+Sens!K14376)/2*Sens!K14389/1000</f>
        <v>12.3753393103283</v>
      </c>
    </row>
    <row r="14391" customFormat="false" ht="17.15" hidden="false" customHeight="false" outlineLevel="0" collapsed="false">
      <c r="A14391" s="0" t="s">
        <v>836</v>
      </c>
      <c r="B14391" s="0" t="s">
        <v>98</v>
      </c>
      <c r="D14391" s="6" t="n">
        <f aca="false">(Sens!C14374+Sens!D14374)/2*rent_mw/1000</f>
        <v>2.44475</v>
      </c>
      <c r="E14391" s="6" t="n">
        <f aca="false">(Sens!D14374+Sens!E14374)/2*rent_mw/1000</f>
        <v>4.22275</v>
      </c>
      <c r="F14391" s="6" t="n">
        <f aca="false">(Sens!E14374+Sens!F14374)/2*rent_mw/1000</f>
        <v>5.80517</v>
      </c>
      <c r="G14391" s="6" t="n">
        <f aca="false">(Sens!F14374+Sens!G14374)/2*rent_mw/1000</f>
        <v>6.72084</v>
      </c>
      <c r="H14391" s="6" t="n">
        <f aca="false">(Sens!G14374+Sens!H14374)/2*rent_mw/1000</f>
        <v>6.72084</v>
      </c>
      <c r="I14391" s="6" t="n">
        <f aca="false">(Sens!H14374+Sens!I14374)/2*rent_mw/1000</f>
        <v>6.72084</v>
      </c>
      <c r="J14391" s="6" t="n">
        <f aca="false">(Sens!I14374+Sens!J14374)/2*rent_mw/1000</f>
        <v>6.72084</v>
      </c>
      <c r="K14391" s="6" t="n">
        <f aca="false">(Sens!J14374+Sens!K14374)/2*rent_mw/1000</f>
        <v>6.72084</v>
      </c>
    </row>
    <row r="14392" customFormat="false" ht="17.15" hidden="false" customHeight="false" outlineLevel="0" collapsed="false">
      <c r="A14392" s="0" t="s">
        <v>837</v>
      </c>
      <c r="B14392" s="0" t="s">
        <v>98</v>
      </c>
      <c r="D14392" s="6" t="n">
        <f aca="false">(Sens!C14376+Sens!D14376)/2*(1-self_build)*fac_rent/1000</f>
        <v>0.853242375631075</v>
      </c>
      <c r="E14392" s="6" t="n">
        <f aca="false">(Sens!D14376+Sens!E14376)/2*(1-self_build)*fac_rent/1000</f>
        <v>1.94955961408728</v>
      </c>
      <c r="F14392" s="6" t="n">
        <f aca="false">(Sens!E14376+Sens!F14376)/2*(1-self_build)*fac_rent/1000</f>
        <v>2.89903979255117</v>
      </c>
      <c r="G14392" s="6" t="n">
        <f aca="false">(Sens!F14376+Sens!G14376)/2*(1-self_build)*fac_rent/1000</f>
        <v>3.36038596077029</v>
      </c>
      <c r="H14392" s="6" t="n">
        <f aca="false">(Sens!G14376+Sens!H14376)/2*(1-self_build)*fac_rent/1000</f>
        <v>3.60147653900094</v>
      </c>
      <c r="I14392" s="6" t="n">
        <f aca="false">(Sens!H14376+Sens!I14376)/2*(1-self_build)*fac_rent/1000</f>
        <v>3.60147653900094</v>
      </c>
      <c r="J14392" s="6" t="n">
        <f aca="false">(Sens!I14376+Sens!J14376)/2*(1-self_build)*fac_rent/1000</f>
        <v>3.60147653900094</v>
      </c>
      <c r="K14392" s="6" t="n">
        <f aca="false">(Sens!J14376+Sens!K14376)/2*(1-self_build)*fac_rent/1000</f>
        <v>3.60147653900094</v>
      </c>
      <c r="L14392" s="11" t="s">
        <v>838</v>
      </c>
    </row>
    <row r="14393" customFormat="false" ht="17.15" hidden="false" customHeight="false" outlineLevel="0" collapsed="false">
      <c r="A14393" s="1" t="s">
        <v>839</v>
      </c>
      <c r="B14393" s="0" t="s">
        <v>129</v>
      </c>
      <c r="D14393" s="7" t="n">
        <f aca="false">(Sens!C14375+Sens!D14375)/(Sens!C14376+Sens!D14376)</f>
        <v>0.6</v>
      </c>
      <c r="E14393" s="7" t="n">
        <f aca="false">(Sens!D14375+Sens!E14375)/(Sens!D14376+Sens!E14376)</f>
        <v>0.6</v>
      </c>
      <c r="F14393" s="7" t="n">
        <f aca="false">(Sens!E14375+Sens!F14375)/(Sens!E14376+Sens!F14376)</f>
        <v>0.6</v>
      </c>
      <c r="G14393" s="7" t="n">
        <f aca="false">(Sens!F14375+Sens!G14375)/(Sens!F14376+Sens!G14376)</f>
        <v>0.6</v>
      </c>
      <c r="H14393" s="7" t="n">
        <f aca="false">(Sens!G14375+Sens!H14375)/(Sens!G14376+Sens!H14376)</f>
        <v>0.6</v>
      </c>
      <c r="I14393" s="7" t="n">
        <f aca="false">(Sens!H14375+Sens!I14375)/(Sens!H14376+Sens!I14376)</f>
        <v>0.6</v>
      </c>
      <c r="J14393" s="7" t="n">
        <f aca="false">(Sens!I14375+Sens!J14375)/(Sens!I14376+Sens!J14376)</f>
        <v>0.6</v>
      </c>
      <c r="K14393" s="7" t="n">
        <f aca="false">(Sens!J14375+Sens!K14375)/(Sens!J14376+Sens!K14376)</f>
        <v>0.6</v>
      </c>
    </row>
    <row r="14394" customFormat="false" ht="17.15" hidden="false" customHeight="false" outlineLevel="0" collapsed="false">
      <c r="A14394" s="0" t="s">
        <v>840</v>
      </c>
      <c r="B14394" s="0" t="s">
        <v>98</v>
      </c>
      <c r="D14394" s="6" t="n">
        <f aca="false">Sens!D14388-Sens!D14393*(Sens!D14390+Sens!D14392)-Sens!D14391</f>
        <v>8.35701406163072</v>
      </c>
      <c r="E14394" s="6" t="n">
        <f aca="false">Sens!E14388-Sens!E14393*(Sens!E14390+Sens!E14392)-Sens!E14391</f>
        <v>18.7103224860238</v>
      </c>
      <c r="F14394" s="6" t="n">
        <f aca="false">Sens!F14388-Sens!F14393*(Sens!F14390+Sens!F14392)-Sens!F14391</f>
        <v>28.7185759059118</v>
      </c>
      <c r="G14394" s="6" t="n">
        <f aca="false">Sens!G14388-Sens!G14393*(Sens!G14390+Sens!G14392)-Sens!G14391</f>
        <v>34.2188533790547</v>
      </c>
      <c r="H14394" s="6" t="n">
        <f aca="false">Sens!H14388-Sens!H14393*(Sens!H14390+Sens!H14392)-Sens!H14391</f>
        <v>36.5083492215552</v>
      </c>
      <c r="I14394" s="6" t="n">
        <f aca="false">Sens!I14388-Sens!I14393*(Sens!I14390+Sens!I14392)-Sens!I14391</f>
        <v>37.7889168844911</v>
      </c>
      <c r="J14394" s="6" t="n">
        <f aca="false">Sens!J14388-Sens!J14393*(Sens!J14390+Sens!J14392)-Sens!J14391</f>
        <v>39.7228353958639</v>
      </c>
      <c r="K14394" s="6" t="n">
        <f aca="false">Sens!K14388-Sens!K14393*(Sens!K14390+Sens!K14392)-Sens!K14391</f>
        <v>43.5645383846719</v>
      </c>
    </row>
    <row r="14395" customFormat="false" ht="17.15" hidden="false" customHeight="false" outlineLevel="0" collapsed="false">
      <c r="A14395" s="1" t="s">
        <v>841</v>
      </c>
      <c r="B14395" s="0" t="s">
        <v>98</v>
      </c>
      <c r="D14395" s="6" t="n">
        <f aca="false">(1-Sens!D14393)*(Sens!D14390+Sens!D14392)</f>
        <v>1.42281025374069</v>
      </c>
      <c r="E14395" s="6" t="n">
        <f aca="false">(1-Sens!E14393)*(Sens!E14390+Sens!E14392)</f>
        <v>3.25095598674472</v>
      </c>
      <c r="F14395" s="6" t="n">
        <f aca="false">(1-Sens!F14393)*(Sens!F14390+Sens!F14392)</f>
        <v>4.87630092582913</v>
      </c>
      <c r="G14395" s="6" t="n">
        <f aca="false">(1-Sens!G14393)*(Sens!G14390+Sens!G14392)</f>
        <v>5.69040650866783</v>
      </c>
      <c r="H14395" s="6" t="n">
        <f aca="false">(1-Sens!H14393)*(Sens!H14390+Sens!H14392)</f>
        <v>6.09866419440928</v>
      </c>
      <c r="I14395" s="6" t="n">
        <f aca="false">(1-Sens!I14393)*(Sens!I14390+Sens!I14392)</f>
        <v>6.15166806522705</v>
      </c>
      <c r="J14395" s="6" t="n">
        <f aca="false">(1-Sens!J14393)*(Sens!J14390+Sens!J14392)</f>
        <v>6.23171472727838</v>
      </c>
      <c r="K14395" s="6" t="n">
        <f aca="false">(1-Sens!K14393)*(Sens!K14390+Sens!K14392)</f>
        <v>6.39072633973169</v>
      </c>
    </row>
    <row r="14396" customFormat="false" ht="17.15" hidden="false" customHeight="false" outlineLevel="0" collapsed="false">
      <c r="A14396" s="1" t="s">
        <v>842</v>
      </c>
      <c r="B14396" s="0" t="s">
        <v>357</v>
      </c>
      <c r="C14396" s="8" t="n">
        <f aca="false">cxit_open</f>
        <v>27.5918995</v>
      </c>
      <c r="D14396" s="8" t="n">
        <f aca="false">cxit_open</f>
        <v>27.5918995</v>
      </c>
      <c r="E14396" s="8" t="n">
        <f aca="false">cxit_open</f>
        <v>27.5918995</v>
      </c>
      <c r="F14396" s="8" t="n">
        <f aca="false">(a_g3_27*tk_cxit_gb300+(1-a_g3_27)*tk_cxit_vr200)</f>
        <v>33.8419624</v>
      </c>
      <c r="G14396" s="8" t="n">
        <f aca="false">(a_g3_28*tk_cxit_gb300+(1-a_g3_28)*tk_cxit_vr200)</f>
        <v>35.9816136</v>
      </c>
      <c r="H14396" s="8" t="n">
        <f aca="false">(a_g3_29*tk_cxit_gb300+(1-a_g3_29)*tk_cxit_vr200)</f>
        <v>37.0514392</v>
      </c>
      <c r="I14396" s="8" t="n">
        <f aca="false">(a_g3_29*tk_cxit_gb300+(1-a_g3_29)*tk_cxit_vr200)</f>
        <v>37.0514392</v>
      </c>
      <c r="J14396" s="8" t="n">
        <f aca="false">(a_g3_29*tk_cxit_gb300+(1-a_g3_29)*tk_cxit_vr200)</f>
        <v>37.0514392</v>
      </c>
      <c r="K14396" s="8" t="n">
        <f aca="false">(a_g3_29*tk_cxit_gb300+(1-a_g3_29)*tk_cxit_vr200)</f>
        <v>37.0514392</v>
      </c>
      <c r="L14396" s="11" t="s">
        <v>843</v>
      </c>
    </row>
    <row r="14397" customFormat="false" ht="17.15" hidden="false" customHeight="false" outlineLevel="0" collapsed="false">
      <c r="A14397" s="0" t="s">
        <v>844</v>
      </c>
      <c r="B14397" s="0" t="s">
        <v>399</v>
      </c>
      <c r="F14397" s="29" t="n">
        <f aca="false">Sens!C14378*IF(Sens!F14371-Sens!C14371=life_it,1,0)+Sens!D14378*IF(Sens!F14371-Sens!D14371=life_it,1,0)+Sens!E14378*IF(Sens!F14371-Sens!E14371=life_it,1,0)</f>
        <v>0</v>
      </c>
      <c r="G14397" s="29" t="n">
        <f aca="false">Sens!C14378*IF(Sens!G14371-Sens!C14371=life_it,1,0)+Sens!D14378*IF(Sens!G14371-Sens!D14371=life_it,1,0)+Sens!E14378*IF(Sens!G14371-Sens!E14371=life_it,1,0)+Sens!F14378*IF(Sens!G14371-Sens!F14371=life_it,1,0)</f>
        <v>0</v>
      </c>
      <c r="H14397" s="29" t="n">
        <f aca="false">Sens!C14378*IF(Sens!H14371-Sens!C14371=life_it,1,0)+Sens!D14378*IF(Sens!H14371-Sens!D14371=life_it,1,0)+Sens!E14378*IF(Sens!H14371-Sens!E14371=life_it,1,0)+Sens!F14378*IF(Sens!H14371-Sens!F14371=life_it,1,0)+Sens!G14378*IF(Sens!H14371-Sens!G14371=life_it,1,0)</f>
        <v>0</v>
      </c>
      <c r="I14397" s="29" t="n">
        <f aca="false">Sens!C14378*IF(Sens!I14371-Sens!C14371=life_it,1,0)+Sens!D14378*IF(Sens!I14371-Sens!D14371=life_it,1,0)+Sens!E14378*IF(Sens!I14371-Sens!E14371=life_it,1,0)+Sens!F14378*IF(Sens!I14371-Sens!F14371=life_it,1,0)+Sens!G14378*IF(Sens!I14371-Sens!G14371=life_it,1,0)+Sens!H14378*IF(Sens!I14371-Sens!H14371=life_it,1,0)</f>
        <v>816.666666666667</v>
      </c>
      <c r="J14397" s="29" t="n">
        <f aca="false">Sens!C14378*IF(Sens!J14371-Sens!C14371=life_it,1,0)+Sens!D14378*IF(Sens!J14371-Sens!D14371=life_it,1,0)+Sens!E14378*IF(Sens!J14371-Sens!E14371=life_it,1,0)+Sens!F14378*IF(Sens!J14371-Sens!F14371=life_it,1,0)+Sens!G14378*IF(Sens!J14371-Sens!G14371=life_it,1,0)+Sens!H14378*IF(Sens!J14371-Sens!H14371=life_it,1,0)+Sens!I14378*IF(Sens!J14371-Sens!I14371=life_it,1,0)</f>
        <v>1233.33333333333</v>
      </c>
      <c r="K14397" s="29" t="n">
        <f aca="false">Sens!C14378*IF(Sens!K14371-Sens!C14371=life_it,1,0)+Sens!D14378*IF(Sens!K14371-Sens!D14371=life_it,1,0)+Sens!E14378*IF(Sens!K14371-Sens!E14371=life_it,1,0)+Sens!F14378*IF(Sens!K14371-Sens!F14371=life_it,1,0)+Sens!G14378*IF(Sens!K14371-Sens!G14371=life_it,1,0)+Sens!H14378*IF(Sens!K14371-Sens!H14371=life_it,1,0)+Sens!I14378*IF(Sens!K14371-Sens!I14371=life_it,1,0)+Sens!J14378*IF(Sens!K14371-Sens!J14371=life_it,1,0)</f>
        <v>2450</v>
      </c>
      <c r="L14397" s="1" t="s">
        <v>845</v>
      </c>
    </row>
    <row r="14398" customFormat="false" ht="17.15" hidden="false" customHeight="false" outlineLevel="0" collapsed="false">
      <c r="A14398" s="0" t="s">
        <v>846</v>
      </c>
      <c r="B14398" s="0" t="s">
        <v>98</v>
      </c>
      <c r="C14398" s="6" t="n">
        <f aca="false">Sens!C14378*Sens!C14396/1000</f>
        <v>22.5333845916667</v>
      </c>
      <c r="D14398" s="6" t="n">
        <f aca="false">Sens!D14378*Sens!D14396/1000</f>
        <v>34.0300093833333</v>
      </c>
      <c r="E14398" s="6" t="n">
        <f aca="false">Sens!E14378*Sens!E14396/1000</f>
        <v>67.600153775</v>
      </c>
      <c r="F14398" s="6" t="n">
        <f aca="false">(Sens!F14378+Sens!F14397)*Sens!F14396/1000</f>
        <v>25.043052176</v>
      </c>
      <c r="G14398" s="6" t="n">
        <f aca="false">(Sens!G14378+Sens!G14397)*Sens!G14396/1000</f>
        <v>29.145107016</v>
      </c>
      <c r="H14398" s="6" t="n">
        <f aca="false">(Sens!H14378+Sens!H14397)*Sens!H14396/1000</f>
        <v>0</v>
      </c>
      <c r="I14398" s="6" t="n">
        <f aca="false">(Sens!I14378+Sens!I14397)*Sens!I14396/1000</f>
        <v>30.2586753466667</v>
      </c>
      <c r="J14398" s="6" t="n">
        <f aca="false">(Sens!J14378+Sens!J14397)*Sens!J14396/1000</f>
        <v>45.6967750133333</v>
      </c>
      <c r="K14398" s="6" t="n">
        <f aca="false">(Sens!K14378+Sens!K14397)*Sens!K14396/1000</f>
        <v>90.77602604</v>
      </c>
    </row>
    <row r="14399" customFormat="false" ht="17.15" hidden="false" customHeight="false" outlineLevel="0" collapsed="false">
      <c r="A14399" s="0" t="s">
        <v>847</v>
      </c>
      <c r="B14399" s="0" t="s">
        <v>98</v>
      </c>
      <c r="C14399" s="6" t="n">
        <f aca="false">Sens!C14378*self_build*tk_cxfac/1000</f>
        <v>6.2083</v>
      </c>
      <c r="D14399" s="6" t="n">
        <f aca="false">Sens!D14378*self_build*tk_cxfac/1000</f>
        <v>9.3758</v>
      </c>
      <c r="E14399" s="6" t="n">
        <f aca="false">Sens!E14378*self_build*tk_cxfac/1000</f>
        <v>18.6249</v>
      </c>
      <c r="F14399" s="6" t="n">
        <f aca="false">Sens!F14378*self_build*tk_cxfac/1000</f>
        <v>5.62548</v>
      </c>
      <c r="G14399" s="6" t="n">
        <f aca="false">Sens!G14378*self_build*tk_cxfac/1000</f>
        <v>6.15762</v>
      </c>
      <c r="H14399" s="6" t="n">
        <f aca="false">Sens!H14378*self_build*tk_cxfac/1000</f>
        <v>0</v>
      </c>
      <c r="I14399" s="6" t="n">
        <f aca="false">Sens!I14378*self_build*tk_cxfac/1000</f>
        <v>0</v>
      </c>
      <c r="J14399" s="6" t="n">
        <f aca="false">Sens!J14378*self_build*tk_cxfac/1000</f>
        <v>0</v>
      </c>
      <c r="K14399" s="6" t="n">
        <f aca="false">Sens!K14378*self_build*tk_cxfac/1000</f>
        <v>0</v>
      </c>
    </row>
    <row r="14400" customFormat="false" ht="17.15" hidden="false" customHeight="false" outlineLevel="0" collapsed="false">
      <c r="A14400" s="0" t="s">
        <v>848</v>
      </c>
      <c r="B14400" s="0" t="s">
        <v>98</v>
      </c>
      <c r="F14400" s="6" t="n">
        <f aca="false">MAX(0,capex_floor27-Sens!F14398-Sens!F14399-Sens!F14494)</f>
        <v>137.952120594438</v>
      </c>
    </row>
    <row r="14401" customFormat="false" ht="17.15" hidden="false" customHeight="false" outlineLevel="0" collapsed="false">
      <c r="A14401" s="0" t="s">
        <v>849</v>
      </c>
      <c r="B14401" s="0" t="s">
        <v>98</v>
      </c>
      <c r="C14401" s="6" t="n">
        <f aca="false">Sens!C14398</f>
        <v>22.5333845916667</v>
      </c>
      <c r="D14401" s="6" t="n">
        <f aca="false">Sens!D14398</f>
        <v>34.0300093833333</v>
      </c>
      <c r="E14401" s="6" t="n">
        <f aca="false">Sens!E14398</f>
        <v>67.600153775</v>
      </c>
      <c r="F14401" s="6" t="n">
        <f aca="false">Sens!F14398</f>
        <v>25.043052176</v>
      </c>
      <c r="G14401" s="6" t="n">
        <f aca="false">Sens!G14398</f>
        <v>29.145107016</v>
      </c>
      <c r="H14401" s="6" t="n">
        <f aca="false">Sens!H14398</f>
        <v>0</v>
      </c>
      <c r="I14401" s="6" t="n">
        <f aca="false">Sens!I14398</f>
        <v>30.2586753466667</v>
      </c>
      <c r="J14401" s="6" t="n">
        <f aca="false">Sens!J14398</f>
        <v>45.6967750133333</v>
      </c>
      <c r="K14401" s="6" t="n">
        <f aca="false">Sens!K14398</f>
        <v>90.77602604</v>
      </c>
    </row>
    <row r="14402" customFormat="false" ht="17.15" hidden="false" customHeight="false" outlineLevel="0" collapsed="false">
      <c r="A14402" s="0" t="s">
        <v>850</v>
      </c>
      <c r="B14402" s="0" t="s">
        <v>98</v>
      </c>
      <c r="C14402" s="6" t="n">
        <f aca="false">Sens!C14401+Sens!C14399</f>
        <v>28.7416845916667</v>
      </c>
      <c r="D14402" s="6" t="n">
        <f aca="false">Sens!D14401+Sens!D14399</f>
        <v>43.4058093833333</v>
      </c>
      <c r="E14402" s="6" t="n">
        <f aca="false">Sens!E14401+Sens!E14399</f>
        <v>86.225053775</v>
      </c>
      <c r="F14402" s="6" t="n">
        <f aca="false">Sens!F14401+Sens!F14399</f>
        <v>30.668532176</v>
      </c>
      <c r="G14402" s="6" t="n">
        <f aca="false">Sens!G14401+Sens!G14399</f>
        <v>35.302727016</v>
      </c>
      <c r="H14402" s="6" t="n">
        <f aca="false">Sens!H14401+Sens!H14399</f>
        <v>0</v>
      </c>
      <c r="I14402" s="6" t="n">
        <f aca="false">Sens!I14401+Sens!I14399</f>
        <v>30.2586753466667</v>
      </c>
      <c r="J14402" s="6" t="n">
        <f aca="false">Sens!J14401+Sens!J14399</f>
        <v>45.6967750133333</v>
      </c>
      <c r="K14402" s="6" t="n">
        <f aca="false">Sens!K14401+Sens!K14399</f>
        <v>90.77602604</v>
      </c>
      <c r="L14402" s="11" t="s">
        <v>851</v>
      </c>
    </row>
    <row r="14403" customFormat="false" ht="17.15" hidden="false" customHeight="false" outlineLevel="0" collapsed="false">
      <c r="A14403" s="0" t="s">
        <v>852</v>
      </c>
      <c r="B14403" s="0" t="s">
        <v>98</v>
      </c>
      <c r="E14403" s="6" t="n">
        <f aca="false">(Sens!C14401*IF(2&lt;life_it,1,IF(2=life_it,0.5,0))+Sens!D14401*IF(1&lt;life_it,1,IF(1=life_it,0.5,0))+Sens!E14401*0.5)/life_it</f>
        <v>15.0605784770833</v>
      </c>
      <c r="F14403" s="6" t="n">
        <f aca="false">(Sens!C14401*IF(3&lt;life_it,1,IF(3=life_it,0.5,0))+Sens!D14401*IF(2&lt;life_it,1,IF(2=life_it,0.5,0))+Sens!E14401*IF(1&lt;life_it,1,IF(1=life_it,0.5,0))+Sens!F14401*0.5)/life_it</f>
        <v>22.7808456396667</v>
      </c>
      <c r="G14403" s="6" t="n">
        <f aca="false">(Sens!C14401*IF(4&lt;life_it,1,IF(4=life_it,0.5,0))+Sens!D14401*IF(3&lt;life_it,1,IF(3=life_it,0.5,0))+Sens!E14401*IF(2&lt;life_it,1,IF(2=life_it,0.5,0))+Sens!F14401*IF(1&lt;life_it,1,IF(1=life_it,0.5,0))+Sens!G14401*0.5)/life_it</f>
        <v>27.2965255723333</v>
      </c>
      <c r="H14403" s="6" t="n">
        <f aca="false">(Sens!C14401*IF(5&lt;life_it,1,IF(5=life_it,0.5,0))+Sens!D14401*IF(4&lt;life_it,1,IF(4=life_it,0.5,0))+Sens!E14401*IF(3&lt;life_it,1,IF(3=life_it,0.5,0))+Sens!F14401*IF(2&lt;life_it,1,IF(2=life_it,0.5,0))+Sens!G14401*IF(1&lt;life_it,1,IF(1=life_it,0.5,0))+Sens!H14401*0.5)/life_it</f>
        <v>29.7252844903333</v>
      </c>
      <c r="I14403" s="6" t="n">
        <f aca="false">(Sens!C14401*IF(6&lt;life_it,1,IF(6=life_it,0.5,0))+Sens!D14401*IF(5&lt;life_it,1,IF(5=life_it,0.5,0))+Sens!E14401*IF(4&lt;life_it,1,IF(4=life_it,0.5,0))+Sens!F14401*IF(3&lt;life_it,1,IF(3=life_it,0.5,0))+Sens!G14401*IF(2&lt;life_it,1,IF(2=life_it,0.5,0))+Sens!H14401*IF(1&lt;life_it,1,IF(1=life_it,0.5,0))+Sens!I14401*0.5)/life_it</f>
        <v>30.3690587199167</v>
      </c>
      <c r="J14403" s="6" t="n">
        <f aca="false">(Sens!C14401*IF(7&lt;life_it,1,IF(7=life_it,0.5,0))+Sens!D14401*IF(6&lt;life_it,1,IF(6=life_it,0.5,0))+Sens!E14401*IF(5&lt;life_it,1,IF(5=life_it,0.5,0))+Sens!F14401*IF(4&lt;life_it,1,IF(4=life_it,0.5,0))+Sens!G14401*IF(3&lt;life_it,1,IF(3=life_it,0.5,0))+Sens!H14401*IF(2&lt;life_it,1,IF(2=life_it,0.5,0))+Sens!I14401*IF(1&lt;life_it,1,IF(1=life_it,0.5,0))+Sens!J14401*0.5)/life_it</f>
        <v>31.9850634186667</v>
      </c>
      <c r="K14403" s="6" t="n">
        <f aca="false">(Sens!C14401*IF(8&lt;life_it,1,IF(8=life_it,0.5,0))+Sens!D14401*IF(7&lt;life_it,1,IF(7=life_it,0.5,0))+Sens!E14401*IF(6&lt;life_it,1,IF(6=life_it,0.5,0))+Sens!F14401*IF(5&lt;life_it,1,IF(5=life_it,0.5,0))+Sens!G14401*IF(4&lt;life_it,1,IF(4=life_it,0.5,0))+Sens!H14401*IF(3&lt;life_it,1,IF(3=life_it,0.5,0))+Sens!I14401*IF(2&lt;life_it,1,IF(2=life_it,0.5,0))+Sens!J14401*IF(1&lt;life_it,1,IF(1=life_it,0.5,0))+Sens!K14401*0.5)/life_it</f>
        <v>34.8886165765833</v>
      </c>
    </row>
    <row r="14404" customFormat="false" ht="17.15" hidden="false" customHeight="false" outlineLevel="0" collapsed="false">
      <c r="A14404" s="0" t="s">
        <v>853</v>
      </c>
      <c r="B14404" s="0" t="s">
        <v>98</v>
      </c>
      <c r="E14404" s="6" t="n">
        <f aca="false">(Sens!C14399*IF(2&lt;life_fac,1,IF(2=life_fac,0.5,0))+Sens!D14399*IF(1&lt;life_fac,1,IF(1=life_fac,0.5,0))+Sens!E14399*0.5)/life_fac</f>
        <v>1.2448275</v>
      </c>
      <c r="F14404" s="6" t="n">
        <f aca="false">(Sens!C14399*IF(3&lt;life_fac,1,IF(3=life_fac,0.5,0))+Sens!D14399*IF(2&lt;life_fac,1,IF(2=life_fac,0.5,0))+Sens!E14399*IF(1&lt;life_fac,1,IF(1=life_fac,0.5,0))+Sens!F14399*0.5)/life_fac</f>
        <v>1.851087</v>
      </c>
      <c r="G14404" s="6" t="n">
        <f aca="false">(Sens!C14399*IF(4&lt;life_fac,1,IF(4=life_fac,0.5,0))+Sens!D14399*IF(3&lt;life_fac,1,IF(3=life_fac,0.5,0))+Sens!E14399*IF(2&lt;life_fac,1,IF(2=life_fac,0.5,0))+Sens!F14399*IF(1&lt;life_fac,1,IF(1=life_fac,0.5,0))+Sens!G14399*0.5)/life_fac</f>
        <v>2.1456645</v>
      </c>
      <c r="H14404" s="6" t="n">
        <f aca="false">(Sens!C14399*IF(5&lt;life_fac,1,IF(5=life_fac,0.5,0))+Sens!D14399*IF(4&lt;life_fac,1,IF(4=life_fac,0.5,0))+Sens!E14399*IF(3&lt;life_fac,1,IF(3=life_fac,0.5,0))+Sens!F14399*IF(2&lt;life_fac,1,IF(2=life_fac,0.5,0))+Sens!G14399*IF(1&lt;life_fac,1,IF(1=life_fac,0.5,0))+Sens!H14399*0.5)/life_fac</f>
        <v>2.299605</v>
      </c>
      <c r="I14404" s="6" t="n">
        <f aca="false">(Sens!C14399*IF(6&lt;life_fac,1,IF(6=life_fac,0.5,0))+Sens!D14399*IF(5&lt;life_fac,1,IF(5=life_fac,0.5,0))+Sens!E14399*IF(4&lt;life_fac,1,IF(4=life_fac,0.5,0))+Sens!F14399*IF(3&lt;life_fac,1,IF(3=life_fac,0.5,0))+Sens!G14399*IF(2&lt;life_fac,1,IF(2=life_fac,0.5,0))+Sens!H14399*IF(1&lt;life_fac,1,IF(1=life_fac,0.5,0))+Sens!I14399*0.5)/life_fac</f>
        <v>2.299605</v>
      </c>
      <c r="J14404" s="6" t="n">
        <f aca="false">(Sens!C14399*IF(7&lt;life_fac,1,IF(7=life_fac,0.5,0))+Sens!D14399*IF(6&lt;life_fac,1,IF(6=life_fac,0.5,0))+Sens!E14399*IF(5&lt;life_fac,1,IF(5=life_fac,0.5,0))+Sens!F14399*IF(4&lt;life_fac,1,IF(4=life_fac,0.5,0))+Sens!G14399*IF(3&lt;life_fac,1,IF(3=life_fac,0.5,0))+Sens!H14399*IF(2&lt;life_fac,1,IF(2=life_fac,0.5,0))+Sens!I14399*IF(1&lt;life_fac,1,IF(1=life_fac,0.5,0))+Sens!J14399*0.5)/life_fac</f>
        <v>2.299605</v>
      </c>
      <c r="K14404" s="6" t="n">
        <f aca="false">(Sens!C14399*IF(8&lt;life_fac,1,IF(8=life_fac,0.5,0))+Sens!D14399*IF(7&lt;life_fac,1,IF(7=life_fac,0.5,0))+Sens!E14399*IF(6&lt;life_fac,1,IF(6=life_fac,0.5,0))+Sens!F14399*IF(5&lt;life_fac,1,IF(5=life_fac,0.5,0))+Sens!G14399*IF(4&lt;life_fac,1,IF(4=life_fac,0.5,0))+Sens!H14399*IF(3&lt;life_fac,1,IF(3=life_fac,0.5,0))+Sens!I14399*IF(2&lt;life_fac,1,IF(2=life_fac,0.5,0))+Sens!J14399*IF(1&lt;life_fac,1,IF(1=life_fac,0.5,0))+Sens!K14399*0.5)/life_fac</f>
        <v>2.299605</v>
      </c>
    </row>
    <row r="14405" customFormat="false" ht="17.15" hidden="false" customHeight="false" outlineLevel="0" collapsed="false">
      <c r="A14405" s="0" t="s">
        <v>854</v>
      </c>
      <c r="B14405" s="0" t="s">
        <v>98</v>
      </c>
      <c r="E14405" s="6" t="n">
        <f aca="false">Sens!E14403+Sens!E14404</f>
        <v>16.3054059770833</v>
      </c>
      <c r="F14405" s="6" t="n">
        <f aca="false">Sens!F14403+Sens!F14404</f>
        <v>24.6319326396667</v>
      </c>
      <c r="G14405" s="6" t="n">
        <f aca="false">Sens!G14403+Sens!G14404</f>
        <v>29.4421900723333</v>
      </c>
      <c r="H14405" s="6" t="n">
        <f aca="false">Sens!H14403+Sens!H14404</f>
        <v>32.0248894903333</v>
      </c>
      <c r="I14405" s="6" t="n">
        <f aca="false">Sens!I14403+Sens!I14404</f>
        <v>32.6686637199167</v>
      </c>
      <c r="J14405" s="6" t="n">
        <f aca="false">Sens!J14403+Sens!J14404</f>
        <v>34.2846684186667</v>
      </c>
      <c r="K14405" s="6" t="n">
        <f aca="false">Sens!K14403+Sens!K14404</f>
        <v>37.1882215765833</v>
      </c>
    </row>
    <row r="14406" customFormat="false" ht="17.15" hidden="false" customHeight="false" outlineLevel="0" collapsed="false">
      <c r="A14406" s="0" t="s">
        <v>855</v>
      </c>
      <c r="B14406" s="0" t="s">
        <v>98</v>
      </c>
      <c r="E14406" s="6" t="n">
        <f aca="false">Sens!E14394-Sens!E14393*Sens!E14405</f>
        <v>8.92707889977379</v>
      </c>
      <c r="F14406" s="6" t="n">
        <f aca="false">Sens!F14394-Sens!F14393*Sens!F14405</f>
        <v>13.9394163221118</v>
      </c>
      <c r="G14406" s="6" t="n">
        <f aca="false">Sens!G14394-Sens!G14393*Sens!G14405</f>
        <v>16.5535393356547</v>
      </c>
      <c r="H14406" s="6" t="n">
        <f aca="false">Sens!H14394-Sens!H14393*Sens!H14405</f>
        <v>17.2934155273552</v>
      </c>
      <c r="I14406" s="6" t="n">
        <f aca="false">Sens!I14394-Sens!I14393*Sens!I14405</f>
        <v>18.1877186525411</v>
      </c>
      <c r="J14406" s="6" t="n">
        <f aca="false">Sens!J14394-Sens!J14393*Sens!J14405</f>
        <v>19.1520343446639</v>
      </c>
      <c r="K14406" s="6" t="n">
        <f aca="false">Sens!K14394-Sens!K14393*Sens!K14405</f>
        <v>21.2516054387219</v>
      </c>
    </row>
    <row r="14407" customFormat="false" ht="17.15" hidden="false" customHeight="false" outlineLevel="0" collapsed="false">
      <c r="A14407" s="3" t="s">
        <v>1627</v>
      </c>
    </row>
    <row r="14408" customFormat="false" ht="15" hidden="false" customHeight="false" outlineLevel="0" collapsed="false">
      <c r="A14408" s="4" t="s">
        <v>43</v>
      </c>
      <c r="B14408" s="4" t="s">
        <v>65</v>
      </c>
      <c r="C14408" s="20" t="s">
        <v>799</v>
      </c>
      <c r="D14408" s="20" t="s">
        <v>800</v>
      </c>
      <c r="E14408" s="20" t="s">
        <v>801</v>
      </c>
      <c r="F14408" s="20" t="s">
        <v>802</v>
      </c>
      <c r="G14408" s="20" t="s">
        <v>803</v>
      </c>
      <c r="H14408" s="20" t="s">
        <v>804</v>
      </c>
      <c r="I14408" s="20" t="s">
        <v>805</v>
      </c>
      <c r="J14408" s="20" t="s">
        <v>806</v>
      </c>
      <c r="K14408" s="20" t="s">
        <v>807</v>
      </c>
      <c r="L14408" s="4" t="s">
        <v>47</v>
      </c>
    </row>
    <row r="14409" customFormat="false" ht="17.15" hidden="false" customHeight="false" outlineLevel="0" collapsed="false">
      <c r="A14409" s="0" t="s">
        <v>874</v>
      </c>
      <c r="B14409" s="0" t="s">
        <v>98</v>
      </c>
      <c r="D14409" s="6" t="n">
        <f aca="false">Sens!D14388</f>
        <v>12.9359794422418</v>
      </c>
      <c r="E14409" s="6" t="n">
        <f aca="false">Sens!E14388</f>
        <v>27.8095064661409</v>
      </c>
      <c r="F14409" s="6" t="n">
        <f aca="false">Sens!F14388</f>
        <v>41.8381972946555</v>
      </c>
      <c r="G14409" s="6" t="n">
        <f aca="false">Sens!G14388</f>
        <v>49.4753031420564</v>
      </c>
      <c r="H14409" s="6" t="n">
        <f aca="false">Sens!H14388</f>
        <v>52.3771855131691</v>
      </c>
      <c r="I14409" s="6" t="n">
        <f aca="false">Sens!I14388</f>
        <v>53.7372589823317</v>
      </c>
      <c r="J14409" s="6" t="n">
        <f aca="false">Sens!J14388</f>
        <v>55.7912474867814</v>
      </c>
      <c r="K14409" s="6" t="n">
        <f aca="false">Sens!K14388</f>
        <v>59.8714678942694</v>
      </c>
    </row>
    <row r="14410" customFormat="false" ht="17.15" hidden="false" customHeight="false" outlineLevel="0" collapsed="false">
      <c r="A14410" s="0" t="s">
        <v>875</v>
      </c>
      <c r="B14410" s="0" t="s">
        <v>98</v>
      </c>
      <c r="D14410" s="6" t="n">
        <f aca="false">Q!L6-Sens!D14409</f>
        <v>59.6740205577583</v>
      </c>
      <c r="E14410" s="6" t="n">
        <f aca="false">Q!M6-Sens!E14409</f>
        <v>74.1284935338591</v>
      </c>
      <c r="F14410" s="6" t="n">
        <f aca="false">Sens!E14410*(1+Sens!F14411)</f>
        <v>90.0799497373663</v>
      </c>
      <c r="G14410" s="6" t="n">
        <f aca="false">Sens!F14410*(1+Sens!G14411)</f>
        <v>107.02842520331</v>
      </c>
      <c r="H14410" s="6" t="n">
        <f aca="false">Sens!G14410*(1+Sens!H14411)</f>
        <v>124.271982585636</v>
      </c>
      <c r="I14410" s="6" t="n">
        <f aca="false">Sens!H14410*(1+Sens!I14411)</f>
        <v>140.933702381855</v>
      </c>
      <c r="J14410" s="6" t="n">
        <f aca="false">Sens!I14410*(1+Sens!J14411)</f>
        <v>156.018867314332</v>
      </c>
      <c r="K14410" s="6" t="n">
        <f aca="false">Sens!J14410*(1+Sens!K14411)</f>
        <v>168.500376699478</v>
      </c>
    </row>
    <row r="14411" customFormat="false" ht="15" hidden="false" customHeight="false" outlineLevel="0" collapsed="false">
      <c r="A14411" s="1" t="s">
        <v>876</v>
      </c>
      <c r="B14411" s="0" t="s">
        <v>129</v>
      </c>
      <c r="E14411" s="7" t="n">
        <f aca="false">Sens!E14410/Sens!D14410-1</f>
        <v>0.242223883039864</v>
      </c>
      <c r="F14411" s="7" t="n">
        <f aca="false">Sens!$E$14411+(glt_azo-Sens!$E$14411)*MIN(1,(Sens!F14371-base_fy)/n_conv)</f>
        <v>0.215186569199887</v>
      </c>
      <c r="G14411" s="7" t="n">
        <f aca="false">Sens!$E$14411+(glt_azo-Sens!$E$14411)*MIN(1,(Sens!G14371-base_fy)/n_conv)</f>
        <v>0.18814925535991</v>
      </c>
      <c r="H14411" s="7" t="n">
        <f aca="false">Sens!$E$14411+(glt_azo-Sens!$E$14411)*MIN(1,(Sens!H14371-base_fy)/n_conv)</f>
        <v>0.161111941519932</v>
      </c>
      <c r="I14411" s="7" t="n">
        <f aca="false">Sens!$E$14411+(glt_azo-Sens!$E$14411)*MIN(1,(Sens!I14371-base_fy)/n_conv)</f>
        <v>0.134074627679955</v>
      </c>
      <c r="J14411" s="7" t="n">
        <f aca="false">Sens!$E$14411+(glt_azo-Sens!$E$14411)*MIN(1,(Sens!J14371-base_fy)/n_conv)</f>
        <v>0.107037313839977</v>
      </c>
      <c r="K14411" s="7" t="n">
        <f aca="false">Sens!$E$14411+(glt_azo-Sens!$E$14411)*MIN(1,(Sens!K14371-base_fy)/n_conv)</f>
        <v>0.08</v>
      </c>
    </row>
    <row r="14412" customFormat="false" ht="15" hidden="false" customHeight="false" outlineLevel="0" collapsed="false">
      <c r="A14412" s="0" t="s">
        <v>877</v>
      </c>
      <c r="B14412" s="0" t="s">
        <v>98</v>
      </c>
      <c r="D14412" s="6" t="n">
        <f aca="false">Sens!D14409+Sens!D14410</f>
        <v>72.61</v>
      </c>
      <c r="E14412" s="6" t="n">
        <f aca="false">Sens!E14409+Sens!E14410</f>
        <v>101.938</v>
      </c>
      <c r="F14412" s="6" t="n">
        <f aca="false">Sens!F14409+Sens!F14410</f>
        <v>131.918147032022</v>
      </c>
      <c r="G14412" s="6" t="n">
        <f aca="false">Sens!G14409+Sens!G14410</f>
        <v>156.503728345366</v>
      </c>
      <c r="H14412" s="6" t="n">
        <f aca="false">Sens!H14409+Sens!H14410</f>
        <v>176.649168098805</v>
      </c>
      <c r="I14412" s="6" t="n">
        <f aca="false">Sens!I14409+Sens!I14410</f>
        <v>194.670961364187</v>
      </c>
      <c r="J14412" s="6" t="n">
        <f aca="false">Sens!J14409+Sens!J14410</f>
        <v>211.810114801113</v>
      </c>
      <c r="K14412" s="6" t="n">
        <f aca="false">Sens!K14409+Sens!K14410</f>
        <v>228.371844593747</v>
      </c>
    </row>
    <row r="14413" customFormat="false" ht="17.15" hidden="false" customHeight="false" outlineLevel="0" collapsed="false">
      <c r="A14413" s="0" t="s">
        <v>878</v>
      </c>
      <c r="B14413" s="1" t="s">
        <v>528</v>
      </c>
      <c r="C14413" s="29" t="n">
        <f aca="false">cop_s24</f>
        <v>1</v>
      </c>
      <c r="D14413" s="29" t="n">
        <f aca="false">cop_s25</f>
        <v>5</v>
      </c>
      <c r="E14413" s="29" t="n">
        <f aca="false">cop_s26</f>
        <v>30</v>
      </c>
      <c r="F14413" s="29" t="n">
        <f aca="false">Sens!E14413+cop_add_B</f>
        <v>50</v>
      </c>
      <c r="G14413" s="29" t="n">
        <f aca="false">Sens!F14413+cop_add_B</f>
        <v>70</v>
      </c>
      <c r="H14413" s="29" t="n">
        <f aca="false">Sens!G14413+cop_add_B</f>
        <v>90</v>
      </c>
      <c r="I14413" s="29" t="n">
        <f aca="false">Sens!H14413+cop_add_B*cop_tail</f>
        <v>100</v>
      </c>
      <c r="J14413" s="29" t="n">
        <f aca="false">Sens!I14413+cop_add_B*cop_tail</f>
        <v>110</v>
      </c>
      <c r="K14413" s="29" t="n">
        <f aca="false">Sens!J14413+cop_add_B*cop_tail</f>
        <v>120</v>
      </c>
      <c r="L14413" s="11" t="s">
        <v>879</v>
      </c>
    </row>
    <row r="14414" customFormat="false" ht="17.15" hidden="false" customHeight="false" outlineLevel="0" collapsed="false">
      <c r="A14414" s="0" t="s">
        <v>880</v>
      </c>
      <c r="B14414" s="0" t="s">
        <v>98</v>
      </c>
      <c r="D14414" s="6" t="n">
        <f aca="false">(Sens!C14413+Sens!D14413)/2*cop_px*12/1000</f>
        <v>0.9</v>
      </c>
      <c r="E14414" s="6" t="n">
        <f aca="false">(Sens!D14413+Sens!E14413)/2*cop_px*12/1000</f>
        <v>5.25</v>
      </c>
      <c r="F14414" s="6" t="n">
        <f aca="false">(Sens!E14413+Sens!F14413)/2*cop_px*12/1000</f>
        <v>12</v>
      </c>
      <c r="G14414" s="6" t="n">
        <f aca="false">(Sens!F14413+Sens!G14413)/2*cop_px*12/1000</f>
        <v>18</v>
      </c>
      <c r="H14414" s="6" t="n">
        <f aca="false">(Sens!G14413+Sens!H14413)/2*cop_px*12/1000</f>
        <v>24</v>
      </c>
      <c r="I14414" s="6" t="n">
        <f aca="false">(Sens!H14413+Sens!I14413)/2*cop_px*12/1000</f>
        <v>28.5</v>
      </c>
      <c r="J14414" s="6" t="n">
        <f aca="false">(Sens!I14413+Sens!J14413)/2*cop_px*12/1000</f>
        <v>31.5</v>
      </c>
      <c r="K14414" s="6" t="n">
        <f aca="false">(Sens!J14413+Sens!K14413)/2*cop_px*12/1000</f>
        <v>34.5</v>
      </c>
      <c r="L14414" s="1" t="s">
        <v>881</v>
      </c>
    </row>
    <row r="14415" customFormat="false" ht="17.15" hidden="false" customHeight="false" outlineLevel="0" collapsed="false">
      <c r="A14415" s="0" t="s">
        <v>882</v>
      </c>
      <c r="B14415" s="0" t="s">
        <v>98</v>
      </c>
      <c r="D14415" s="6" t="n">
        <f aca="false">Q!L7-Sens!D14414</f>
        <v>83.705</v>
      </c>
      <c r="E14415" s="6" t="n">
        <f aca="false">Q!M7-Sens!E14414</f>
        <v>95.049</v>
      </c>
      <c r="F14415" s="6" t="n">
        <f aca="false">Sens!E14415*(1+Sens!F14416)</f>
        <v>106.89238776686</v>
      </c>
      <c r="G14415" s="6" t="n">
        <f aca="false">Sens!F14415*(1+Sens!G14416)</f>
        <v>119.044168448684</v>
      </c>
      <c r="H14415" s="6" t="n">
        <f aca="false">Sens!G14415*(1+Sens!H14416)</f>
        <v>131.277359388781</v>
      </c>
      <c r="I14415" s="6" t="n">
        <f aca="false">Sens!H14415*(1+Sens!I14416)</f>
        <v>143.334028071957</v>
      </c>
      <c r="J14415" s="6" t="n">
        <f aca="false">Sens!I14415*(1+Sens!J14416)</f>
        <v>154.932702785465</v>
      </c>
      <c r="K14415" s="6" t="n">
        <f aca="false">Sens!J14415*(1+Sens!K14416)</f>
        <v>165.777991980448</v>
      </c>
    </row>
    <row r="14416" customFormat="false" ht="15" hidden="false" customHeight="false" outlineLevel="0" collapsed="false">
      <c r="A14416" s="1" t="s">
        <v>876</v>
      </c>
      <c r="B14416" s="0" t="s">
        <v>129</v>
      </c>
      <c r="E14416" s="7" t="n">
        <f aca="false">Sens!E14415/Sens!D14415-1</f>
        <v>0.135523564900544</v>
      </c>
      <c r="F14416" s="7" t="n">
        <f aca="false">Sens!$E$14416+(glt_m365b-Sens!$E$14416)*MIN(1,(Sens!F14371-base_fy)/n_conv)</f>
        <v>0.124602970750453</v>
      </c>
      <c r="G14416" s="7" t="n">
        <f aca="false">Sens!$E$14416+(glt_m365b-Sens!$E$14416)*MIN(1,(Sens!G14371-base_fy)/n_conv)</f>
        <v>0.113682376600363</v>
      </c>
      <c r="H14416" s="7" t="n">
        <f aca="false">Sens!$E$14416+(glt_m365b-Sens!$E$14416)*MIN(1,(Sens!H14371-base_fy)/n_conv)</f>
        <v>0.102761782450272</v>
      </c>
      <c r="I14416" s="7" t="n">
        <f aca="false">Sens!$E$14416+(glt_m365b-Sens!$E$14416)*MIN(1,(Sens!I14371-base_fy)/n_conv)</f>
        <v>0.0918411883001813</v>
      </c>
      <c r="J14416" s="7" t="n">
        <f aca="false">Sens!$E$14416+(glt_m365b-Sens!$E$14416)*MIN(1,(Sens!J14371-base_fy)/n_conv)</f>
        <v>0.0809205941500906</v>
      </c>
      <c r="K14416" s="7" t="n">
        <f aca="false">Sens!$E$14416+(glt_m365b-Sens!$E$14416)*MIN(1,(Sens!K14371-base_fy)/n_conv)</f>
        <v>0.07</v>
      </c>
    </row>
    <row r="14417" customFormat="false" ht="15" hidden="false" customHeight="false" outlineLevel="0" collapsed="false">
      <c r="A14417" s="0" t="s">
        <v>883</v>
      </c>
      <c r="B14417" s="0" t="s">
        <v>98</v>
      </c>
      <c r="D14417" s="6" t="n">
        <f aca="false">Sens!D14415+Sens!D14414</f>
        <v>84.605</v>
      </c>
      <c r="E14417" s="6" t="n">
        <f aca="false">Sens!E14415+Sens!E14414</f>
        <v>100.299</v>
      </c>
      <c r="F14417" s="6" t="n">
        <f aca="false">Sens!F14415+Sens!F14414</f>
        <v>118.89238776686</v>
      </c>
      <c r="G14417" s="6" t="n">
        <f aca="false">Sens!G14415+Sens!G14414</f>
        <v>137.044168448684</v>
      </c>
      <c r="H14417" s="6" t="n">
        <f aca="false">Sens!H14415+Sens!H14414</f>
        <v>155.277359388781</v>
      </c>
      <c r="I14417" s="6" t="n">
        <f aca="false">Sens!I14415+Sens!I14414</f>
        <v>171.834028071957</v>
      </c>
      <c r="J14417" s="6" t="n">
        <f aca="false">Sens!J14415+Sens!J14414</f>
        <v>186.432702785465</v>
      </c>
      <c r="K14417" s="6" t="n">
        <f aca="false">Sens!K14415+Sens!K14414</f>
        <v>200.277991980448</v>
      </c>
    </row>
    <row r="14418" customFormat="false" ht="15" hidden="false" customHeight="false" outlineLevel="0" collapsed="false">
      <c r="A14418" s="0" t="s">
        <v>884</v>
      </c>
      <c r="B14418" s="0" t="s">
        <v>98</v>
      </c>
      <c r="D14418" s="6" t="n">
        <f aca="false">Q!L8</f>
        <v>35.391</v>
      </c>
      <c r="E14418" s="6" t="n">
        <f aca="false">Q!M8</f>
        <v>37.285</v>
      </c>
      <c r="F14418" s="6" t="n">
        <f aca="false">Sens!E14418*(1+Sens!F14419)</f>
        <v>39.0720834331704</v>
      </c>
      <c r="G14418" s="6" t="n">
        <f aca="false">Sens!F14418*(1+Sens!G14419)</f>
        <v>40.726562953769</v>
      </c>
      <c r="H14418" s="6" t="n">
        <f aca="false">Sens!G14418*(1+Sens!H14419)</f>
        <v>42.2235987259198</v>
      </c>
      <c r="I14418" s="6" t="n">
        <f aca="false">Sens!H14418*(1+Sens!I14419)</f>
        <v>43.5397988077414</v>
      </c>
      <c r="J14418" s="6" t="n">
        <f aca="false">Sens!I14418*(1+Sens!J14419)</f>
        <v>44.653811225693</v>
      </c>
      <c r="K14418" s="6" t="n">
        <f aca="false">Sens!J14418*(1+Sens!K14419)</f>
        <v>45.5468874502068</v>
      </c>
    </row>
    <row r="14419" customFormat="false" ht="15" hidden="false" customHeight="false" outlineLevel="0" collapsed="false">
      <c r="A14419" s="1" t="s">
        <v>876</v>
      </c>
      <c r="B14419" s="0" t="s">
        <v>129</v>
      </c>
      <c r="E14419" s="7" t="n">
        <f aca="false">Sens!E14418/Sens!D14418-1</f>
        <v>0.0535164307309768</v>
      </c>
      <c r="F14419" s="7" t="n">
        <f aca="false">Sens!$E$14419+(glt_lic-Sens!$E$14419)*MIN(1,(Sens!F14371-base_fy)/n_conv)</f>
        <v>0.0479303589424807</v>
      </c>
      <c r="G14419" s="7" t="n">
        <f aca="false">Sens!$E$14419+(glt_lic-Sens!$E$14419)*MIN(1,(Sens!G14371-base_fy)/n_conv)</f>
        <v>0.0423442871539845</v>
      </c>
      <c r="H14419" s="7" t="n">
        <f aca="false">Sens!$E$14419+(glt_lic-Sens!$E$14419)*MIN(1,(Sens!H14371-base_fy)/n_conv)</f>
        <v>0.0367582153654884</v>
      </c>
      <c r="I14419" s="7" t="n">
        <f aca="false">Sens!$E$14419+(glt_lic-Sens!$E$14419)*MIN(1,(Sens!I14371-base_fy)/n_conv)</f>
        <v>0.0311721435769923</v>
      </c>
      <c r="J14419" s="7" t="n">
        <f aca="false">Sens!$E$14419+(glt_lic-Sens!$E$14419)*MIN(1,(Sens!J14371-base_fy)/n_conv)</f>
        <v>0.0255860717884961</v>
      </c>
      <c r="K14419" s="7" t="n">
        <f aca="false">Sens!$E$14419+(glt_lic-Sens!$E$14419)*MIN(1,(Sens!K14371-base_fy)/n_conv)</f>
        <v>0.02</v>
      </c>
    </row>
    <row r="14420" customFormat="false" ht="15" hidden="false" customHeight="false" outlineLevel="0" collapsed="false">
      <c r="A14420" s="0" t="s">
        <v>885</v>
      </c>
      <c r="B14420" s="0" t="s">
        <v>98</v>
      </c>
      <c r="D14420" s="6" t="n">
        <f aca="false">Q!L9</f>
        <v>18.417</v>
      </c>
      <c r="E14420" s="6" t="n">
        <f aca="false">Q!M9</f>
        <v>20.345</v>
      </c>
      <c r="F14420" s="6" t="n">
        <f aca="false">Sens!E14420*(1+Sens!F14421)</f>
        <v>22.3572203267814</v>
      </c>
      <c r="G14420" s="6" t="n">
        <f aca="false">Sens!F14420*(1+Sens!G14421)</f>
        <v>24.4392124437232</v>
      </c>
      <c r="H14420" s="6" t="n">
        <f aca="false">Sens!G14420*(1+Sens!H14421)</f>
        <v>26.5738052080665</v>
      </c>
      <c r="I14420" s="6" t="n">
        <f aca="false">Sens!H14420*(1+Sens!I14421)</f>
        <v>28.7412169166967</v>
      </c>
      <c r="J14420" s="6" t="n">
        <f aca="false">Sens!I14420*(1+Sens!J14421)</f>
        <v>30.9192545395413</v>
      </c>
      <c r="K14420" s="6" t="n">
        <f aca="false">Sens!J14420*(1+Sens!K14421)</f>
        <v>33.0836023573092</v>
      </c>
    </row>
    <row r="14421" customFormat="false" ht="15" hidden="false" customHeight="false" outlineLevel="0" collapsed="false">
      <c r="A14421" s="1" t="s">
        <v>876</v>
      </c>
      <c r="B14421" s="0" t="s">
        <v>129</v>
      </c>
      <c r="E14421" s="7" t="n">
        <f aca="false">Sens!E14420/Sens!D14420-1</f>
        <v>0.104685888038225</v>
      </c>
      <c r="F14421" s="7" t="n">
        <f aca="false">Sens!$E$14421+(glt_ind-Sens!$E$14421)*MIN(1,(Sens!F14371-base_fy)/n_conv)</f>
        <v>0.0989049066985211</v>
      </c>
      <c r="G14421" s="7" t="n">
        <f aca="false">Sens!$E$14421+(glt_ind-Sens!$E$14421)*MIN(1,(Sens!G14371-base_fy)/n_conv)</f>
        <v>0.0931239253588169</v>
      </c>
      <c r="H14421" s="7" t="n">
        <f aca="false">Sens!$E$14421+(glt_ind-Sens!$E$14421)*MIN(1,(Sens!H14371-base_fy)/n_conv)</f>
        <v>0.0873429440191127</v>
      </c>
      <c r="I14421" s="7" t="n">
        <f aca="false">Sens!$E$14421+(glt_ind-Sens!$E$14421)*MIN(1,(Sens!I14371-base_fy)/n_conv)</f>
        <v>0.0815619626794085</v>
      </c>
      <c r="J14421" s="7" t="n">
        <f aca="false">Sens!$E$14421+(glt_ind-Sens!$E$14421)*MIN(1,(Sens!J14371-base_fy)/n_conv)</f>
        <v>0.0757809813397042</v>
      </c>
      <c r="K14421" s="7" t="n">
        <f aca="false">Sens!$E$14421+(glt_ind-Sens!$E$14421)*MIN(1,(Sens!K14371-base_fy)/n_conv)</f>
        <v>0.07</v>
      </c>
    </row>
    <row r="14422" customFormat="false" ht="15" hidden="false" customHeight="false" outlineLevel="0" collapsed="false">
      <c r="A14422" s="0" t="s">
        <v>886</v>
      </c>
      <c r="B14422" s="0" t="s">
        <v>98</v>
      </c>
      <c r="D14422" s="6" t="n">
        <f aca="false">Q!L10</f>
        <v>7.76</v>
      </c>
      <c r="E14422" s="6" t="n">
        <f aca="false">Q!M10</f>
        <v>8.26</v>
      </c>
      <c r="F14422" s="6" t="n">
        <f aca="false">Sens!E14422*(1+Sens!F14423)</f>
        <v>8.79988041237113</v>
      </c>
      <c r="G14422" s="6" t="n">
        <f aca="false">Sens!F14422*(1+Sens!G14423)</f>
        <v>9.38321269125306</v>
      </c>
      <c r="H14422" s="6" t="n">
        <f aca="false">Sens!G14422*(1+Sens!H14423)</f>
        <v>10.0139193587476</v>
      </c>
      <c r="I14422" s="6" t="n">
        <f aca="false">Sens!H14422*(1+Sens!I14423)</f>
        <v>10.6963111830911</v>
      </c>
      <c r="J14422" s="6" t="n">
        <f aca="false">Sens!I14422*(1+Sens!J14423)</f>
        <v>11.4351285534696</v>
      </c>
      <c r="K14422" s="6" t="n">
        <f aca="false">Sens!J14422*(1+Sens!K14423)</f>
        <v>12.2355875522124</v>
      </c>
    </row>
    <row r="14423" customFormat="false" ht="15" hidden="false" customHeight="false" outlineLevel="0" collapsed="false">
      <c r="A14423" s="1" t="s">
        <v>876</v>
      </c>
      <c r="B14423" s="0" t="s">
        <v>129</v>
      </c>
      <c r="E14423" s="7" t="n">
        <f aca="false">Sens!E14422/Sens!D14422-1</f>
        <v>0.0644329896907216</v>
      </c>
      <c r="F14423" s="7" t="n">
        <f aca="false">Sens!$E$14423+(glt_fro-Sens!$E$14423)*MIN(1,(Sens!F14371-base_fy)/n_conv)</f>
        <v>0.065360824742268</v>
      </c>
      <c r="G14423" s="7" t="n">
        <f aca="false">Sens!$E$14423+(glt_fro-Sens!$E$14423)*MIN(1,(Sens!G14371-base_fy)/n_conv)</f>
        <v>0.0662886597938144</v>
      </c>
      <c r="H14423" s="7" t="n">
        <f aca="false">Sens!$E$14423+(glt_fro-Sens!$E$14423)*MIN(1,(Sens!H14371-base_fy)/n_conv)</f>
        <v>0.0672164948453608</v>
      </c>
      <c r="I14423" s="7" t="n">
        <f aca="false">Sens!$E$14423+(glt_fro-Sens!$E$14423)*MIN(1,(Sens!I14371-base_fy)/n_conv)</f>
        <v>0.0681443298969072</v>
      </c>
      <c r="J14423" s="7" t="n">
        <f aca="false">Sens!$E$14423+(glt_fro-Sens!$E$14423)*MIN(1,(Sens!J14371-base_fy)/n_conv)</f>
        <v>0.0690721649484536</v>
      </c>
      <c r="K14423" s="7" t="n">
        <f aca="false">Sens!$E$14423+(glt_fro-Sens!$E$14423)*MIN(1,(Sens!K14371-base_fy)/n_conv)</f>
        <v>0.07</v>
      </c>
    </row>
    <row r="14424" customFormat="false" ht="15" hidden="false" customHeight="false" outlineLevel="0" collapsed="false">
      <c r="A14424" s="0" t="s">
        <v>715</v>
      </c>
      <c r="B14424" s="0" t="s">
        <v>98</v>
      </c>
      <c r="D14424" s="6" t="n">
        <f aca="false">Sens!D14412+Sens!D14417+Sens!D14418+Sens!D14420+Sens!D14422</f>
        <v>218.783</v>
      </c>
      <c r="E14424" s="6" t="n">
        <f aca="false">Sens!E14412+Sens!E14417+Sens!E14418+Sens!E14420+Sens!E14422</f>
        <v>268.127</v>
      </c>
      <c r="F14424" s="6" t="n">
        <f aca="false">Sens!F14412+Sens!F14417+Sens!F14418+Sens!F14420+Sens!F14422</f>
        <v>321.039718971205</v>
      </c>
      <c r="G14424" s="6" t="n">
        <f aca="false">Sens!G14412+Sens!G14417+Sens!G14418+Sens!G14420+Sens!G14422</f>
        <v>368.096884882795</v>
      </c>
      <c r="H14424" s="6" t="n">
        <f aca="false">Sens!H14412+Sens!H14417+Sens!H14418+Sens!H14420+Sens!H14422</f>
        <v>410.73785078032</v>
      </c>
      <c r="I14424" s="6" t="n">
        <f aca="false">Sens!I14412+Sens!I14417+Sens!I14418+Sens!I14420+Sens!I14422</f>
        <v>449.482316343673</v>
      </c>
      <c r="J14424" s="6" t="n">
        <f aca="false">Sens!J14412+Sens!J14417+Sens!J14418+Sens!J14420+Sens!J14422</f>
        <v>485.251011905282</v>
      </c>
      <c r="K14424" s="6" t="n">
        <f aca="false">Sens!K14412+Sens!K14417+Sens!K14418+Sens!K14420+Sens!K14422</f>
        <v>519.515913933924</v>
      </c>
    </row>
    <row r="14425" customFormat="false" ht="15" hidden="false" customHeight="false" outlineLevel="0" collapsed="false">
      <c r="A14425" s="0" t="s">
        <v>887</v>
      </c>
      <c r="B14425" s="0" t="s">
        <v>98</v>
      </c>
      <c r="D14425" s="6" t="n">
        <f aca="false">Q!L13</f>
        <v>22.171</v>
      </c>
      <c r="E14425" s="6" t="n">
        <f aca="false">Q!M13</f>
        <v>24.835</v>
      </c>
      <c r="F14425" s="6" t="n">
        <f aca="false">Sens!E14425*(1+Sens!F14426)</f>
        <v>27.6114901218559</v>
      </c>
      <c r="G14425" s="6" t="n">
        <f aca="false">Sens!F14425*(1+Sens!G14426)</f>
        <v>30.4675667338515</v>
      </c>
      <c r="H14425" s="6" t="n">
        <f aca="false">Sens!G14425*(1+Sens!H14426)</f>
        <v>33.3643766955789</v>
      </c>
      <c r="I14425" s="6" t="n">
        <f aca="false">Sens!H14425*(1+Sens!I14426)</f>
        <v>36.2577016533691</v>
      </c>
      <c r="J14425" s="6" t="n">
        <f aca="false">Sens!I14425*(1+Sens!J14426)</f>
        <v>39.0988367952171</v>
      </c>
      <c r="K14425" s="6" t="n">
        <f aca="false">Sens!J14425*(1+Sens!K14426)</f>
        <v>41.8357553708823</v>
      </c>
    </row>
    <row r="14426" customFormat="false" ht="15" hidden="false" customHeight="false" outlineLevel="0" collapsed="false">
      <c r="A14426" s="1" t="s">
        <v>876</v>
      </c>
      <c r="B14426" s="0" t="s">
        <v>129</v>
      </c>
      <c r="E14426" s="7" t="n">
        <f aca="false">Sens!E14425/Sens!D14425-1</f>
        <v>0.120156961796942</v>
      </c>
      <c r="F14426" s="7" t="n">
        <f aca="false">Sens!$E$14426+(glt_srch-Sens!$E$14426)*MIN(1,(Sens!F14371-base_fy)/n_conv)</f>
        <v>0.111797468164118</v>
      </c>
      <c r="G14426" s="7" t="n">
        <f aca="false">Sens!$E$14426+(glt_srch-Sens!$E$14426)*MIN(1,(Sens!G14371-base_fy)/n_conv)</f>
        <v>0.103437974531295</v>
      </c>
      <c r="H14426" s="7" t="n">
        <f aca="false">Sens!$E$14426+(glt_srch-Sens!$E$14426)*MIN(1,(Sens!H14371-base_fy)/n_conv)</f>
        <v>0.095078480898471</v>
      </c>
      <c r="I14426" s="7" t="n">
        <f aca="false">Sens!$E$14426+(glt_srch-Sens!$E$14426)*MIN(1,(Sens!I14371-base_fy)/n_conv)</f>
        <v>0.0867189872656474</v>
      </c>
      <c r="J14426" s="7" t="n">
        <f aca="false">Sens!$E$14426+(glt_srch-Sens!$E$14426)*MIN(1,(Sens!J14371-base_fy)/n_conv)</f>
        <v>0.0783594936328237</v>
      </c>
      <c r="K14426" s="7" t="n">
        <f aca="false">Sens!$E$14426+(glt_srch-Sens!$E$14426)*MIN(1,(Sens!K14371-base_fy)/n_conv)</f>
        <v>0.07</v>
      </c>
    </row>
    <row r="14427" customFormat="false" ht="15" hidden="false" customHeight="false" outlineLevel="0" collapsed="false">
      <c r="A14427" s="0" t="s">
        <v>888</v>
      </c>
      <c r="B14427" s="0" t="s">
        <v>98</v>
      </c>
      <c r="D14427" s="6" t="n">
        <f aca="false">Q!L14</f>
        <v>23.455</v>
      </c>
      <c r="E14427" s="6" t="n">
        <f aca="false">Q!M14</f>
        <v>21.79</v>
      </c>
      <c r="F14427" s="6" t="n">
        <f aca="false">Sens!E14427*(1+Sens!F14428)</f>
        <v>20.5736277908051</v>
      </c>
      <c r="G14427" s="6" t="n">
        <f aca="false">Sens!F14427*(1+Sens!G14428)</f>
        <v>19.7371452817919</v>
      </c>
      <c r="H14427" s="6" t="n">
        <f aca="false">Sens!G14427*(1+Sens!H14428)</f>
        <v>19.2339764043138</v>
      </c>
      <c r="I14427" s="6" t="n">
        <f aca="false">Sens!H14427*(1+Sens!I14428)</f>
        <v>19.0353086852681</v>
      </c>
      <c r="J14427" s="6" t="n">
        <f aca="false">Sens!I14427*(1+Sens!J14428)</f>
        <v>19.1273539319129</v>
      </c>
      <c r="K14427" s="6" t="n">
        <f aca="false">Sens!J14427*(1+Sens!K14428)</f>
        <v>19.5099010105511</v>
      </c>
    </row>
    <row r="14428" customFormat="false" ht="15" hidden="false" customHeight="false" outlineLevel="0" collapsed="false">
      <c r="A14428" s="1" t="s">
        <v>876</v>
      </c>
      <c r="B14428" s="0" t="s">
        <v>129</v>
      </c>
      <c r="E14428" s="7" t="n">
        <f aca="false">Sens!E14427/Sens!D14427-1</f>
        <v>-0.0709869963760392</v>
      </c>
      <c r="F14428" s="7" t="n">
        <f aca="false">Sens!$E$14428+(glt_xbox-Sens!$E$14428)*MIN(1,(Sens!F14371-base_fy)/n_conv)</f>
        <v>-0.0558224969800327</v>
      </c>
      <c r="G14428" s="7" t="n">
        <f aca="false">Sens!$E$14428+(glt_xbox-Sens!$E$14428)*MIN(1,(Sens!G14371-base_fy)/n_conv)</f>
        <v>-0.0406579975840262</v>
      </c>
      <c r="H14428" s="7" t="n">
        <f aca="false">Sens!$E$14428+(glt_xbox-Sens!$E$14428)*MIN(1,(Sens!H14371-base_fy)/n_conv)</f>
        <v>-0.0254934981880196</v>
      </c>
      <c r="I14428" s="7" t="n">
        <f aca="false">Sens!$E$14428+(glt_xbox-Sens!$E$14428)*MIN(1,(Sens!I14371-base_fy)/n_conv)</f>
        <v>-0.0103289987920131</v>
      </c>
      <c r="J14428" s="7" t="n">
        <f aca="false">Sens!$E$14428+(glt_xbox-Sens!$E$14428)*MIN(1,(Sens!J14371-base_fy)/n_conv)</f>
        <v>0.00483550060399347</v>
      </c>
      <c r="K14428" s="7" t="n">
        <f aca="false">Sens!$E$14428+(glt_xbox-Sens!$E$14428)*MIN(1,(Sens!K14371-base_fy)/n_conv)</f>
        <v>0.02</v>
      </c>
    </row>
    <row r="14429" customFormat="false" ht="15" hidden="false" customHeight="false" outlineLevel="0" collapsed="false">
      <c r="A14429" s="0" t="s">
        <v>889</v>
      </c>
      <c r="B14429" s="0" t="s">
        <v>98</v>
      </c>
      <c r="D14429" s="6" t="n">
        <f aca="false">Q!L15</f>
        <v>17.315</v>
      </c>
      <c r="E14429" s="6" t="n">
        <f aca="false">Q!M15</f>
        <v>17.087</v>
      </c>
      <c r="F14429" s="6" t="n">
        <f aca="false">Sens!E14429*(1+Sens!F14430)</f>
        <v>16.9564585436519</v>
      </c>
      <c r="G14429" s="6" t="n">
        <f aca="false">Sens!F14429*(1+Sens!G14430)</f>
        <v>16.9206490624268</v>
      </c>
      <c r="H14429" s="6" t="n">
        <f aca="false">Sens!G14429*(1+Sens!H14430)</f>
        <v>16.9784519149849</v>
      </c>
      <c r="I14429" s="6" t="n">
        <f aca="false">Sens!H14429*(1+Sens!I14430)</f>
        <v>17.1303084701817</v>
      </c>
      <c r="J14429" s="6" t="n">
        <f aca="false">Sens!I14429*(1+Sens!J14430)</f>
        <v>17.3782189407267</v>
      </c>
      <c r="K14429" s="6" t="n">
        <f aca="false">Sens!J14429*(1+Sens!K14430)</f>
        <v>17.7257833195413</v>
      </c>
    </row>
    <row r="14430" customFormat="false" ht="15" hidden="false" customHeight="false" outlineLevel="0" collapsed="false">
      <c r="A14430" s="1" t="s">
        <v>876</v>
      </c>
      <c r="B14430" s="0" t="s">
        <v>129</v>
      </c>
      <c r="E14430" s="7" t="n">
        <f aca="false">Sens!E14429/Sens!D14429-1</f>
        <v>-0.0131677736066995</v>
      </c>
      <c r="F14430" s="7" t="n">
        <f aca="false">Sens!$E$14430+(glt_win-Sens!$E$14430)*MIN(1,(Sens!F14371-base_fy)/n_conv)</f>
        <v>-0.00763981133891627</v>
      </c>
      <c r="G14430" s="7" t="n">
        <f aca="false">Sens!$E$14430+(glt_win-Sens!$E$14430)*MIN(1,(Sens!G14371-base_fy)/n_conv)</f>
        <v>-0.00211184907113301</v>
      </c>
      <c r="H14430" s="7" t="n">
        <f aca="false">Sens!$E$14430+(glt_win-Sens!$E$14430)*MIN(1,(Sens!H14371-base_fy)/n_conv)</f>
        <v>0.00341611319665024</v>
      </c>
      <c r="I14430" s="7" t="n">
        <f aca="false">Sens!$E$14430+(glt_win-Sens!$E$14430)*MIN(1,(Sens!I14371-base_fy)/n_conv)</f>
        <v>0.00894407546443349</v>
      </c>
      <c r="J14430" s="7" t="n">
        <f aca="false">Sens!$E$14430+(glt_win-Sens!$E$14430)*MIN(1,(Sens!J14371-base_fy)/n_conv)</f>
        <v>0.0144720377322168</v>
      </c>
      <c r="K14430" s="7" t="n">
        <f aca="false">Sens!$E$14430+(glt_win-Sens!$E$14430)*MIN(1,(Sens!K14371-base_fy)/n_conv)</f>
        <v>0.02</v>
      </c>
    </row>
    <row r="14431" customFormat="false" ht="15" hidden="false" customHeight="false" outlineLevel="0" collapsed="false">
      <c r="A14431" s="0" t="s">
        <v>729</v>
      </c>
      <c r="B14431" s="0" t="s">
        <v>98</v>
      </c>
      <c r="D14431" s="6" t="n">
        <f aca="false">Sens!D14425+Sens!D14427+Sens!D14429</f>
        <v>62.941</v>
      </c>
      <c r="E14431" s="6" t="n">
        <f aca="false">Sens!E14425+Sens!E14427+Sens!E14429</f>
        <v>63.712</v>
      </c>
      <c r="F14431" s="6" t="n">
        <f aca="false">Sens!F14425+Sens!F14427+Sens!F14429</f>
        <v>65.1415764563129</v>
      </c>
      <c r="G14431" s="6" t="n">
        <f aca="false">Sens!G14425+Sens!G14427+Sens!G14429</f>
        <v>67.1253610780702</v>
      </c>
      <c r="H14431" s="6" t="n">
        <f aca="false">Sens!H14425+Sens!H14427+Sens!H14429</f>
        <v>69.5768050148776</v>
      </c>
      <c r="I14431" s="6" t="n">
        <f aca="false">Sens!I14425+Sens!I14427+Sens!I14429</f>
        <v>72.4233188088189</v>
      </c>
      <c r="J14431" s="6" t="n">
        <f aca="false">Sens!J14425+Sens!J14427+Sens!J14429</f>
        <v>75.6044096678567</v>
      </c>
      <c r="K14431" s="6" t="n">
        <f aca="false">Sens!K14425+Sens!K14427+Sens!K14429</f>
        <v>79.0714397009747</v>
      </c>
    </row>
    <row r="14432" customFormat="false" ht="15" hidden="false" customHeight="false" outlineLevel="0" collapsed="false">
      <c r="A14432" s="1" t="s">
        <v>890</v>
      </c>
      <c r="B14432" s="0" t="s">
        <v>98</v>
      </c>
      <c r="D14432" s="6" t="n">
        <f aca="false">Sens!D14424+Sens!D14431</f>
        <v>281.724</v>
      </c>
      <c r="E14432" s="6" t="n">
        <f aca="false">Sens!E14424+Sens!E14431</f>
        <v>331.839</v>
      </c>
      <c r="F14432" s="6" t="n">
        <f aca="false">Sens!F14424+Sens!F14431</f>
        <v>386.181295427517</v>
      </c>
      <c r="G14432" s="6" t="n">
        <f aca="false">Sens!G14424+Sens!G14431</f>
        <v>435.222245960866</v>
      </c>
      <c r="H14432" s="6" t="n">
        <f aca="false">Sens!H14424+Sens!H14431</f>
        <v>480.314655795198</v>
      </c>
      <c r="I14432" s="6" t="n">
        <f aca="false">Sens!I14424+Sens!I14431</f>
        <v>521.905635152491</v>
      </c>
      <c r="J14432" s="6" t="n">
        <f aca="false">Sens!J14424+Sens!J14431</f>
        <v>560.855421573139</v>
      </c>
      <c r="K14432" s="6" t="n">
        <f aca="false">Sens!K14424+Sens!K14431</f>
        <v>598.587353634898</v>
      </c>
    </row>
    <row r="14433" customFormat="false" ht="15" hidden="false" customHeight="false" outlineLevel="0" collapsed="false">
      <c r="A14433" s="23" t="s">
        <v>891</v>
      </c>
      <c r="B14433" s="30" t="s">
        <v>98</v>
      </c>
      <c r="C14433" s="30"/>
      <c r="D14433" s="24" t="n">
        <f aca="false">(Sens!D14412+Sens!D14417+Sens!D14418+Sens!D14420+Sens!D14422-Sens!D14424)+(Sens!D14425+Sens!D14427+Sens!D14429-Sens!D14431)+(Sens!D14424-Q!L5)+(Sens!D14431-Q!L12)+(Sens!D14412-Q!L6)+(Sens!D14417-Q!L7)</f>
        <v>0</v>
      </c>
      <c r="E14433" s="24" t="n">
        <f aca="false">(Sens!E14412+Sens!E14417+Sens!E14418+Sens!E14420+Sens!E14422-Sens!E14424)+(Sens!E14425+Sens!E14427+Sens!E14429-Sens!E14431)+(Sens!E14424-Q!M5)+(Sens!E14431-Q!M12)+(Sens!E14412-Q!M6)+(Sens!E14417-Q!M7)</f>
        <v>0</v>
      </c>
      <c r="F14433" s="24" t="n">
        <f aca="false">(Sens!F14412+Sens!F14417+Sens!F14418+Sens!F14420+Sens!F14422-Sens!F14424)+(Sens!F14425+Sens!F14427+Sens!F14429-Sens!F14431)</f>
        <v>0</v>
      </c>
      <c r="G14433" s="24" t="n">
        <f aca="false">(Sens!G14412+Sens!G14417+Sens!G14418+Sens!G14420+Sens!G14422-Sens!G14424)+(Sens!G14425+Sens!G14427+Sens!G14429-Sens!G14431)</f>
        <v>0</v>
      </c>
      <c r="H14433" s="24" t="n">
        <f aca="false">(Sens!H14412+Sens!H14417+Sens!H14418+Sens!H14420+Sens!H14422-Sens!H14424)+(Sens!H14425+Sens!H14427+Sens!H14429-Sens!H14431)</f>
        <v>0</v>
      </c>
      <c r="I14433" s="24" t="n">
        <f aca="false">(Sens!I14412+Sens!I14417+Sens!I14418+Sens!I14420+Sens!I14422-Sens!I14424)+(Sens!I14425+Sens!I14427+Sens!I14429-Sens!I14431)</f>
        <v>0</v>
      </c>
      <c r="J14433" s="24" t="n">
        <f aca="false">(Sens!J14412+Sens!J14417+Sens!J14418+Sens!J14420+Sens!J14422-Sens!J14424)+(Sens!J14425+Sens!J14427+Sens!J14429-Sens!J14431)</f>
        <v>0</v>
      </c>
      <c r="K14433" s="24" t="n">
        <f aca="false">(Sens!K14412+Sens!K14417+Sens!K14418+Sens!K14420+Sens!K14422-Sens!K14424)+(Sens!K14425+Sens!K14427+Sens!K14429-Sens!K14431)</f>
        <v>0</v>
      </c>
    </row>
    <row r="14434" customFormat="false" ht="17.15" hidden="false" customHeight="false" outlineLevel="0" collapsed="false">
      <c r="A14434" s="3" t="s">
        <v>1628</v>
      </c>
    </row>
    <row r="14435" customFormat="false" ht="15" hidden="false" customHeight="false" outlineLevel="0" collapsed="false">
      <c r="A14435" s="4" t="s">
        <v>43</v>
      </c>
      <c r="B14435" s="4" t="s">
        <v>65</v>
      </c>
      <c r="C14435" s="20" t="s">
        <v>799</v>
      </c>
      <c r="D14435" s="20" t="s">
        <v>800</v>
      </c>
      <c r="E14435" s="20" t="s">
        <v>801</v>
      </c>
      <c r="F14435" s="20" t="s">
        <v>802</v>
      </c>
      <c r="G14435" s="20" t="s">
        <v>803</v>
      </c>
      <c r="H14435" s="20" t="s">
        <v>804</v>
      </c>
      <c r="I14435" s="20" t="s">
        <v>805</v>
      </c>
      <c r="J14435" s="20" t="s">
        <v>806</v>
      </c>
      <c r="K14435" s="20" t="s">
        <v>807</v>
      </c>
      <c r="L14435" s="4" t="s">
        <v>47</v>
      </c>
    </row>
    <row r="14436" customFormat="false" ht="15" hidden="false" customHeight="false" outlineLevel="0" collapsed="false">
      <c r="A14436" s="0" t="s">
        <v>877</v>
      </c>
      <c r="B14436" s="0" t="s">
        <v>98</v>
      </c>
      <c r="D14436" s="6" t="n">
        <f aca="false">Sens!D14412</f>
        <v>72.61</v>
      </c>
      <c r="E14436" s="6" t="n">
        <f aca="false">Sens!E14412</f>
        <v>101.938</v>
      </c>
      <c r="F14436" s="6" t="n">
        <f aca="false">Sens!F14412</f>
        <v>131.918147032022</v>
      </c>
      <c r="G14436" s="6" t="n">
        <f aca="false">Sens!G14412</f>
        <v>156.503728345366</v>
      </c>
      <c r="H14436" s="6" t="n">
        <f aca="false">Sens!H14412</f>
        <v>176.649168098805</v>
      </c>
      <c r="I14436" s="6" t="n">
        <f aca="false">Sens!I14412</f>
        <v>194.670961364187</v>
      </c>
      <c r="J14436" s="6" t="n">
        <f aca="false">Sens!J14412</f>
        <v>211.810114801113</v>
      </c>
      <c r="K14436" s="6" t="n">
        <f aca="false">Sens!K14412</f>
        <v>228.371844593747</v>
      </c>
    </row>
    <row r="14437" customFormat="false" ht="17.15" hidden="false" customHeight="false" outlineLevel="0" collapsed="false">
      <c r="A14437" s="0" t="s">
        <v>874</v>
      </c>
      <c r="B14437" s="0" t="s">
        <v>98</v>
      </c>
      <c r="D14437" s="6" t="n">
        <f aca="false">Sens!D14409</f>
        <v>12.9359794422418</v>
      </c>
      <c r="E14437" s="6" t="n">
        <f aca="false">Sens!E14409</f>
        <v>27.8095064661409</v>
      </c>
      <c r="F14437" s="6" t="n">
        <f aca="false">Sens!F14409</f>
        <v>41.8381972946555</v>
      </c>
      <c r="G14437" s="6" t="n">
        <f aca="false">Sens!G14409</f>
        <v>49.4753031420564</v>
      </c>
      <c r="H14437" s="6" t="n">
        <f aca="false">Sens!H14409</f>
        <v>52.3771855131691</v>
      </c>
      <c r="I14437" s="6" t="n">
        <f aca="false">Sens!I14409</f>
        <v>53.7372589823317</v>
      </c>
      <c r="J14437" s="6" t="n">
        <f aca="false">Sens!J14409</f>
        <v>55.7912474867814</v>
      </c>
      <c r="K14437" s="6" t="n">
        <f aca="false">Sens!K14409</f>
        <v>59.8714678942694</v>
      </c>
    </row>
    <row r="14438" customFormat="false" ht="17.15" hidden="false" customHeight="false" outlineLevel="0" collapsed="false">
      <c r="A14438" s="0" t="s">
        <v>902</v>
      </c>
      <c r="B14438" s="0" t="s">
        <v>98</v>
      </c>
      <c r="D14438" s="6" t="n">
        <f aca="false">Sens!D14410</f>
        <v>59.6740205577583</v>
      </c>
      <c r="E14438" s="6" t="n">
        <f aca="false">Sens!E14410</f>
        <v>74.1284935338591</v>
      </c>
      <c r="F14438" s="6" t="n">
        <f aca="false">Sens!F14410</f>
        <v>90.0799497373663</v>
      </c>
      <c r="G14438" s="6" t="n">
        <f aca="false">Sens!G14410</f>
        <v>107.02842520331</v>
      </c>
      <c r="H14438" s="6" t="n">
        <f aca="false">Sens!H14410</f>
        <v>124.271982585636</v>
      </c>
      <c r="I14438" s="6" t="n">
        <f aca="false">Sens!I14410</f>
        <v>140.933702381855</v>
      </c>
      <c r="J14438" s="6" t="n">
        <f aca="false">Sens!J14410</f>
        <v>156.018867314332</v>
      </c>
      <c r="K14438" s="6" t="n">
        <f aca="false">Sens!K14410</f>
        <v>168.500376699478</v>
      </c>
    </row>
    <row r="14439" customFormat="false" ht="15" hidden="false" customHeight="false" outlineLevel="0" collapsed="false">
      <c r="A14439" s="0" t="s">
        <v>883</v>
      </c>
      <c r="B14439" s="0" t="s">
        <v>98</v>
      </c>
      <c r="D14439" s="6" t="n">
        <f aca="false">Sens!D14417</f>
        <v>84.605</v>
      </c>
      <c r="E14439" s="6" t="n">
        <f aca="false">Sens!E14417</f>
        <v>100.299</v>
      </c>
      <c r="F14439" s="6" t="n">
        <f aca="false">Sens!F14417</f>
        <v>118.89238776686</v>
      </c>
      <c r="G14439" s="6" t="n">
        <f aca="false">Sens!G14417</f>
        <v>137.044168448684</v>
      </c>
      <c r="H14439" s="6" t="n">
        <f aca="false">Sens!H14417</f>
        <v>155.277359388781</v>
      </c>
      <c r="I14439" s="6" t="n">
        <f aca="false">Sens!I14417</f>
        <v>171.834028071957</v>
      </c>
      <c r="J14439" s="6" t="n">
        <f aca="false">Sens!J14417</f>
        <v>186.432702785465</v>
      </c>
      <c r="K14439" s="6" t="n">
        <f aca="false">Sens!K14417</f>
        <v>200.277991980448</v>
      </c>
    </row>
    <row r="14440" customFormat="false" ht="17.15" hidden="false" customHeight="false" outlineLevel="0" collapsed="false">
      <c r="A14440" s="0" t="s">
        <v>903</v>
      </c>
      <c r="B14440" s="0" t="s">
        <v>98</v>
      </c>
      <c r="D14440" s="6" t="n">
        <f aca="false">Sens!D14415</f>
        <v>83.705</v>
      </c>
      <c r="E14440" s="6" t="n">
        <f aca="false">Sens!E14415</f>
        <v>95.049</v>
      </c>
      <c r="F14440" s="6" t="n">
        <f aca="false">Sens!F14415</f>
        <v>106.89238776686</v>
      </c>
      <c r="G14440" s="6" t="n">
        <f aca="false">Sens!G14415</f>
        <v>119.044168448684</v>
      </c>
      <c r="H14440" s="6" t="n">
        <f aca="false">Sens!H14415</f>
        <v>131.277359388781</v>
      </c>
      <c r="I14440" s="6" t="n">
        <f aca="false">Sens!I14415</f>
        <v>143.334028071957</v>
      </c>
      <c r="J14440" s="6" t="n">
        <f aca="false">Sens!J14415</f>
        <v>154.932702785465</v>
      </c>
      <c r="K14440" s="6" t="n">
        <f aca="false">Sens!K14415</f>
        <v>165.777991980448</v>
      </c>
    </row>
    <row r="14441" customFormat="false" ht="17.15" hidden="false" customHeight="false" outlineLevel="0" collapsed="false">
      <c r="A14441" s="0" t="s">
        <v>904</v>
      </c>
      <c r="B14441" s="0" t="s">
        <v>98</v>
      </c>
      <c r="D14441" s="6" t="n">
        <f aca="false">Sens!D14414</f>
        <v>0.9</v>
      </c>
      <c r="E14441" s="6" t="n">
        <f aca="false">Sens!E14414</f>
        <v>5.25</v>
      </c>
      <c r="F14441" s="6" t="n">
        <f aca="false">Sens!F14414</f>
        <v>12</v>
      </c>
      <c r="G14441" s="6" t="n">
        <f aca="false">Sens!G14414</f>
        <v>18</v>
      </c>
      <c r="H14441" s="6" t="n">
        <f aca="false">Sens!H14414</f>
        <v>24</v>
      </c>
      <c r="I14441" s="6" t="n">
        <f aca="false">Sens!I14414</f>
        <v>28.5</v>
      </c>
      <c r="J14441" s="6" t="n">
        <f aca="false">Sens!J14414</f>
        <v>31.5</v>
      </c>
      <c r="K14441" s="6" t="n">
        <f aca="false">Sens!K14414</f>
        <v>34.5</v>
      </c>
    </row>
    <row r="14442" customFormat="false" ht="15" hidden="false" customHeight="false" outlineLevel="0" collapsed="false">
      <c r="A14442" s="0" t="s">
        <v>884</v>
      </c>
      <c r="B14442" s="0" t="s">
        <v>98</v>
      </c>
      <c r="D14442" s="6" t="n">
        <f aca="false">Sens!D14418</f>
        <v>35.391</v>
      </c>
      <c r="E14442" s="6" t="n">
        <f aca="false">Sens!E14418</f>
        <v>37.285</v>
      </c>
      <c r="F14442" s="6" t="n">
        <f aca="false">Sens!F14418</f>
        <v>39.0720834331704</v>
      </c>
      <c r="G14442" s="6" t="n">
        <f aca="false">Sens!G14418</f>
        <v>40.726562953769</v>
      </c>
      <c r="H14442" s="6" t="n">
        <f aca="false">Sens!H14418</f>
        <v>42.2235987259198</v>
      </c>
      <c r="I14442" s="6" t="n">
        <f aca="false">Sens!I14418</f>
        <v>43.5397988077414</v>
      </c>
      <c r="J14442" s="6" t="n">
        <f aca="false">Sens!J14418</f>
        <v>44.653811225693</v>
      </c>
      <c r="K14442" s="6" t="n">
        <f aca="false">Sens!K14418</f>
        <v>45.5468874502068</v>
      </c>
    </row>
    <row r="14443" customFormat="false" ht="15" hidden="false" customHeight="false" outlineLevel="0" collapsed="false">
      <c r="A14443" s="0" t="s">
        <v>885</v>
      </c>
      <c r="B14443" s="0" t="s">
        <v>98</v>
      </c>
      <c r="D14443" s="6" t="n">
        <f aca="false">Sens!D14420</f>
        <v>18.417</v>
      </c>
      <c r="E14443" s="6" t="n">
        <f aca="false">Sens!E14420</f>
        <v>20.345</v>
      </c>
      <c r="F14443" s="6" t="n">
        <f aca="false">Sens!F14420</f>
        <v>22.3572203267814</v>
      </c>
      <c r="G14443" s="6" t="n">
        <f aca="false">Sens!G14420</f>
        <v>24.4392124437232</v>
      </c>
      <c r="H14443" s="6" t="n">
        <f aca="false">Sens!H14420</f>
        <v>26.5738052080665</v>
      </c>
      <c r="I14443" s="6" t="n">
        <f aca="false">Sens!I14420</f>
        <v>28.7412169166967</v>
      </c>
      <c r="J14443" s="6" t="n">
        <f aca="false">Sens!J14420</f>
        <v>30.9192545395413</v>
      </c>
      <c r="K14443" s="6" t="n">
        <f aca="false">Sens!K14420</f>
        <v>33.0836023573092</v>
      </c>
    </row>
    <row r="14444" customFormat="false" ht="15" hidden="false" customHeight="false" outlineLevel="0" collapsed="false">
      <c r="A14444" s="0" t="s">
        <v>886</v>
      </c>
      <c r="B14444" s="0" t="s">
        <v>98</v>
      </c>
      <c r="D14444" s="6" t="n">
        <f aca="false">Sens!D14422</f>
        <v>7.76</v>
      </c>
      <c r="E14444" s="6" t="n">
        <f aca="false">Sens!E14422</f>
        <v>8.26</v>
      </c>
      <c r="F14444" s="6" t="n">
        <f aca="false">Sens!F14422</f>
        <v>8.79988041237113</v>
      </c>
      <c r="G14444" s="6" t="n">
        <f aca="false">Sens!G14422</f>
        <v>9.38321269125306</v>
      </c>
      <c r="H14444" s="6" t="n">
        <f aca="false">Sens!H14422</f>
        <v>10.0139193587476</v>
      </c>
      <c r="I14444" s="6" t="n">
        <f aca="false">Sens!I14422</f>
        <v>10.6963111830911</v>
      </c>
      <c r="J14444" s="6" t="n">
        <f aca="false">Sens!J14422</f>
        <v>11.4351285534696</v>
      </c>
      <c r="K14444" s="6" t="n">
        <f aca="false">Sens!K14422</f>
        <v>12.2355875522124</v>
      </c>
    </row>
    <row r="14445" customFormat="false" ht="15" hidden="false" customHeight="false" outlineLevel="0" collapsed="false">
      <c r="A14445" s="0" t="s">
        <v>715</v>
      </c>
      <c r="B14445" s="0" t="s">
        <v>98</v>
      </c>
      <c r="D14445" s="6" t="n">
        <f aca="false">Sens!D14424</f>
        <v>218.783</v>
      </c>
      <c r="E14445" s="6" t="n">
        <f aca="false">Sens!E14424</f>
        <v>268.127</v>
      </c>
      <c r="F14445" s="6" t="n">
        <f aca="false">Sens!F14424</f>
        <v>321.039718971205</v>
      </c>
      <c r="G14445" s="6" t="n">
        <f aca="false">Sens!G14424</f>
        <v>368.096884882795</v>
      </c>
      <c r="H14445" s="6" t="n">
        <f aca="false">Sens!H14424</f>
        <v>410.73785078032</v>
      </c>
      <c r="I14445" s="6" t="n">
        <f aca="false">Sens!I14424</f>
        <v>449.482316343673</v>
      </c>
      <c r="J14445" s="6" t="n">
        <f aca="false">Sens!J14424</f>
        <v>485.251011905282</v>
      </c>
      <c r="K14445" s="6" t="n">
        <f aca="false">Sens!K14424</f>
        <v>519.515913933924</v>
      </c>
    </row>
    <row r="14446" customFormat="false" ht="15" hidden="false" customHeight="false" outlineLevel="0" collapsed="false">
      <c r="A14446" s="0" t="s">
        <v>887</v>
      </c>
      <c r="B14446" s="0" t="s">
        <v>98</v>
      </c>
      <c r="D14446" s="6" t="n">
        <f aca="false">Sens!D14425</f>
        <v>22.171</v>
      </c>
      <c r="E14446" s="6" t="n">
        <f aca="false">Sens!E14425</f>
        <v>24.835</v>
      </c>
      <c r="F14446" s="6" t="n">
        <f aca="false">Sens!F14425</f>
        <v>27.6114901218559</v>
      </c>
      <c r="G14446" s="6" t="n">
        <f aca="false">Sens!G14425</f>
        <v>30.4675667338515</v>
      </c>
      <c r="H14446" s="6" t="n">
        <f aca="false">Sens!H14425</f>
        <v>33.3643766955789</v>
      </c>
      <c r="I14446" s="6" t="n">
        <f aca="false">Sens!I14425</f>
        <v>36.2577016533691</v>
      </c>
      <c r="J14446" s="6" t="n">
        <f aca="false">Sens!J14425</f>
        <v>39.0988367952171</v>
      </c>
      <c r="K14446" s="6" t="n">
        <f aca="false">Sens!K14425</f>
        <v>41.8357553708823</v>
      </c>
    </row>
    <row r="14447" customFormat="false" ht="15" hidden="false" customHeight="false" outlineLevel="0" collapsed="false">
      <c r="A14447" s="0" t="s">
        <v>888</v>
      </c>
      <c r="B14447" s="0" t="s">
        <v>98</v>
      </c>
      <c r="D14447" s="6" t="n">
        <f aca="false">Sens!D14427</f>
        <v>23.455</v>
      </c>
      <c r="E14447" s="6" t="n">
        <f aca="false">Sens!E14427</f>
        <v>21.79</v>
      </c>
      <c r="F14447" s="6" t="n">
        <f aca="false">Sens!F14427</f>
        <v>20.5736277908051</v>
      </c>
      <c r="G14447" s="6" t="n">
        <f aca="false">Sens!G14427</f>
        <v>19.7371452817919</v>
      </c>
      <c r="H14447" s="6" t="n">
        <f aca="false">Sens!H14427</f>
        <v>19.2339764043138</v>
      </c>
      <c r="I14447" s="6" t="n">
        <f aca="false">Sens!I14427</f>
        <v>19.0353086852681</v>
      </c>
      <c r="J14447" s="6" t="n">
        <f aca="false">Sens!J14427</f>
        <v>19.1273539319129</v>
      </c>
      <c r="K14447" s="6" t="n">
        <f aca="false">Sens!K14427</f>
        <v>19.5099010105511</v>
      </c>
    </row>
    <row r="14448" customFormat="false" ht="15" hidden="false" customHeight="false" outlineLevel="0" collapsed="false">
      <c r="A14448" s="0" t="s">
        <v>889</v>
      </c>
      <c r="B14448" s="0" t="s">
        <v>98</v>
      </c>
      <c r="D14448" s="6" t="n">
        <f aca="false">Sens!D14429</f>
        <v>17.315</v>
      </c>
      <c r="E14448" s="6" t="n">
        <f aca="false">Sens!E14429</f>
        <v>17.087</v>
      </c>
      <c r="F14448" s="6" t="n">
        <f aca="false">Sens!F14429</f>
        <v>16.9564585436519</v>
      </c>
      <c r="G14448" s="6" t="n">
        <f aca="false">Sens!G14429</f>
        <v>16.9206490624268</v>
      </c>
      <c r="H14448" s="6" t="n">
        <f aca="false">Sens!H14429</f>
        <v>16.9784519149849</v>
      </c>
      <c r="I14448" s="6" t="n">
        <f aca="false">Sens!I14429</f>
        <v>17.1303084701817</v>
      </c>
      <c r="J14448" s="6" t="n">
        <f aca="false">Sens!J14429</f>
        <v>17.3782189407267</v>
      </c>
      <c r="K14448" s="6" t="n">
        <f aca="false">Sens!K14429</f>
        <v>17.7257833195413</v>
      </c>
    </row>
    <row r="14449" customFormat="false" ht="15" hidden="false" customHeight="false" outlineLevel="0" collapsed="false">
      <c r="A14449" s="0" t="s">
        <v>729</v>
      </c>
      <c r="B14449" s="0" t="s">
        <v>98</v>
      </c>
      <c r="D14449" s="6" t="n">
        <f aca="false">Sens!D14431</f>
        <v>62.941</v>
      </c>
      <c r="E14449" s="6" t="n">
        <f aca="false">Sens!E14431</f>
        <v>63.712</v>
      </c>
      <c r="F14449" s="6" t="n">
        <f aca="false">Sens!F14431</f>
        <v>65.1415764563129</v>
      </c>
      <c r="G14449" s="6" t="n">
        <f aca="false">Sens!G14431</f>
        <v>67.1253610780702</v>
      </c>
      <c r="H14449" s="6" t="n">
        <f aca="false">Sens!H14431</f>
        <v>69.5768050148776</v>
      </c>
      <c r="I14449" s="6" t="n">
        <f aca="false">Sens!I14431</f>
        <v>72.4233188088189</v>
      </c>
      <c r="J14449" s="6" t="n">
        <f aca="false">Sens!J14431</f>
        <v>75.6044096678567</v>
      </c>
      <c r="K14449" s="6" t="n">
        <f aca="false">Sens!K14431</f>
        <v>79.0714397009747</v>
      </c>
    </row>
    <row r="14450" customFormat="false" ht="15" hidden="false" customHeight="false" outlineLevel="0" collapsed="false">
      <c r="A14450" s="1" t="s">
        <v>905</v>
      </c>
      <c r="B14450" s="0" t="s">
        <v>98</v>
      </c>
      <c r="D14450" s="6" t="n">
        <f aca="false">Sens!D14432</f>
        <v>281.724</v>
      </c>
      <c r="E14450" s="6" t="n">
        <f aca="false">Sens!E14432</f>
        <v>331.839</v>
      </c>
      <c r="F14450" s="6" t="n">
        <f aca="false">Sens!F14432</f>
        <v>386.181295427517</v>
      </c>
      <c r="G14450" s="6" t="n">
        <f aca="false">Sens!G14432</f>
        <v>435.222245960866</v>
      </c>
      <c r="H14450" s="6" t="n">
        <f aca="false">Sens!H14432</f>
        <v>480.314655795198</v>
      </c>
      <c r="I14450" s="6" t="n">
        <f aca="false">Sens!I14432</f>
        <v>521.905635152491</v>
      </c>
      <c r="J14450" s="6" t="n">
        <f aca="false">Sens!J14432</f>
        <v>560.855421573139</v>
      </c>
      <c r="K14450" s="6" t="n">
        <f aca="false">Sens!K14432</f>
        <v>598.587353634898</v>
      </c>
    </row>
    <row r="14451" customFormat="false" ht="15" hidden="false" customHeight="false" outlineLevel="0" collapsed="false">
      <c r="A14451" s="1" t="s">
        <v>906</v>
      </c>
      <c r="B14451" s="0" t="s">
        <v>129</v>
      </c>
      <c r="E14451" s="7" t="n">
        <f aca="false">Sens!E14450/Sens!D14450-1</f>
        <v>0.177886867998467</v>
      </c>
      <c r="F14451" s="7" t="n">
        <f aca="false">Sens!F14450/Sens!E14450-1</f>
        <v>0.163761026966443</v>
      </c>
      <c r="G14451" s="7" t="n">
        <f aca="false">Sens!G14450/Sens!F14450-1</f>
        <v>0.126989450587082</v>
      </c>
      <c r="H14451" s="7" t="n">
        <f aca="false">Sens!H14450/Sens!G14450-1</f>
        <v>0.103607777986575</v>
      </c>
      <c r="I14451" s="7" t="n">
        <f aca="false">Sens!I14450/Sens!H14450-1</f>
        <v>0.0865911103387771</v>
      </c>
      <c r="J14451" s="7" t="n">
        <f aca="false">Sens!J14450/Sens!I14450-1</f>
        <v>0.0746299403517015</v>
      </c>
      <c r="K14451" s="7" t="n">
        <f aca="false">Sens!K14450/Sens!J14450-1</f>
        <v>0.0672756839114181</v>
      </c>
    </row>
    <row r="14452" customFormat="false" ht="17.15" hidden="false" customHeight="false" outlineLevel="0" collapsed="false">
      <c r="A14452" s="23" t="s">
        <v>907</v>
      </c>
      <c r="B14452" s="30" t="s">
        <v>98</v>
      </c>
      <c r="C14452" s="30"/>
      <c r="D14452" s="24" t="n">
        <f aca="false">(Sens!D14445+Sens!D14449-Sens!D14450)+(Sens!D14437+Sens!D14438-Sens!D14436)+(Sens!D14440+Sens!D14441-Sens!D14439)+(Sens!D14450-Q!L18)</f>
        <v>0</v>
      </c>
      <c r="E14452" s="24" t="n">
        <f aca="false">(Sens!E14445+Sens!E14449-Sens!E14450)+(Sens!E14437+Sens!E14438-Sens!E14436)+(Sens!E14440+Sens!E14441-Sens!E14439)+(Sens!E14450-Q!M18)</f>
        <v>0</v>
      </c>
      <c r="F14452" s="24" t="n">
        <f aca="false">(Sens!F14445+Sens!F14449-Sens!F14450)+(Sens!F14437+Sens!F14438-Sens!F14436)+(Sens!F14440+Sens!F14441-Sens!F14439)</f>
        <v>0</v>
      </c>
      <c r="G14452" s="24" t="n">
        <f aca="false">(Sens!G14445+Sens!G14449-Sens!G14450)+(Sens!G14437+Sens!G14438-Sens!G14436)+(Sens!G14440+Sens!G14441-Sens!G14439)</f>
        <v>0</v>
      </c>
      <c r="H14452" s="24" t="n">
        <f aca="false">(Sens!H14445+Sens!H14449-Sens!H14450)+(Sens!H14437+Sens!H14438-Sens!H14436)+(Sens!H14440+Sens!H14441-Sens!H14439)</f>
        <v>0</v>
      </c>
      <c r="I14452" s="24" t="n">
        <f aca="false">(Sens!I14445+Sens!I14449-Sens!I14450)+(Sens!I14437+Sens!I14438-Sens!I14436)+(Sens!I14440+Sens!I14441-Sens!I14439)</f>
        <v>0</v>
      </c>
      <c r="J14452" s="24" t="n">
        <f aca="false">(Sens!J14445+Sens!J14449-Sens!J14450)+(Sens!J14437+Sens!J14438-Sens!J14436)+(Sens!J14440+Sens!J14441-Sens!J14439)</f>
        <v>0</v>
      </c>
      <c r="K14452" s="24" t="n">
        <f aca="false">(Sens!K14445+Sens!K14449-Sens!K14450)+(Sens!K14437+Sens!K14438-Sens!K14436)+(Sens!K14440+Sens!K14441-Sens!K14439)</f>
        <v>0</v>
      </c>
    </row>
    <row r="14453" customFormat="false" ht="17.15" hidden="false" customHeight="false" outlineLevel="0" collapsed="false">
      <c r="A14453" s="0" t="s">
        <v>908</v>
      </c>
      <c r="B14453" s="0" t="s">
        <v>129</v>
      </c>
      <c r="E14453" s="7" t="n">
        <f aca="false">(Q!M21+Sens!E14390+Sens!E14391+Sens!E14392+Sens!E14405-Sens!E14388)/(Q!M5-Sens!E14388)</f>
        <v>0.570957350878296</v>
      </c>
      <c r="F14453" s="7" t="n">
        <f aca="false">Sens!$E$14453+dm_seg</f>
        <v>0.570957350878296</v>
      </c>
      <c r="G14453" s="7" t="n">
        <f aca="false">Sens!$E$14453+dm_seg</f>
        <v>0.570957350878296</v>
      </c>
      <c r="H14453" s="7" t="n">
        <f aca="false">Sens!$E$14453+dm_seg</f>
        <v>0.570957350878296</v>
      </c>
      <c r="I14453" s="7" t="n">
        <f aca="false">Sens!$E$14453+dm_seg</f>
        <v>0.570957350878296</v>
      </c>
      <c r="J14453" s="7" t="n">
        <f aca="false">Sens!$E$14453+dm_seg</f>
        <v>0.570957350878296</v>
      </c>
      <c r="K14453" s="7" t="n">
        <f aca="false">Sens!$E$14453+dm_seg</f>
        <v>0.570957350878296</v>
      </c>
      <c r="L14453" s="11" t="s">
        <v>909</v>
      </c>
    </row>
    <row r="14454" customFormat="false" ht="17.15" hidden="false" customHeight="false" outlineLevel="0" collapsed="false">
      <c r="A14454" s="0" t="s">
        <v>743</v>
      </c>
      <c r="B14454" s="0" t="s">
        <v>98</v>
      </c>
      <c r="D14454" s="6" t="n">
        <f aca="false">Q!L21</f>
        <v>110.814</v>
      </c>
      <c r="E14454" s="6" t="n">
        <f aca="false">Q!M21</f>
        <v>136.365</v>
      </c>
      <c r="F14454" s="6" t="n">
        <f aca="false">Sens!F14453*(Sens!F14424-Sens!F14388)+Sens!F14388-(Sens!F14390+Sens!F14391+Sens!F14392)-Sens!F14405-Sens!F14488</f>
        <v>144.827291458604</v>
      </c>
      <c r="G14454" s="6" t="n">
        <f aca="false">Sens!G14453*(Sens!G14424-Sens!G14388)+Sens!G14388-(Sens!G14390+Sens!G14391+Sens!G14392)-Sens!G14405-Sens!G14488</f>
        <v>168.589900187899</v>
      </c>
      <c r="H14454" s="6" t="n">
        <f aca="false">Sens!H14453*(Sens!H14424-Sens!H14388)+Sens!H14388-(Sens!H14390+Sens!H14391+Sens!H14392)-Sens!H14405-Sens!H14488</f>
        <v>191.819329868579</v>
      </c>
      <c r="I14454" s="6" t="n">
        <f aca="false">Sens!I14453*(Sens!I14424-Sens!I14388)+Sens!I14388-(Sens!I14390+Sens!I14391+Sens!I14392)-Sens!I14405-Sens!I14488</f>
        <v>214.865425082223</v>
      </c>
      <c r="J14454" s="6" t="n">
        <f aca="false">Sens!J14453*(Sens!J14424-Sens!J14388)+Sens!J14388-(Sens!J14390+Sens!J14391+Sens!J14392)-Sens!J14405-Sens!J14488</f>
        <v>235.358623018922</v>
      </c>
      <c r="K14454" s="6" t="n">
        <f aca="false">Sens!K14453*(Sens!K14424-Sens!K14388)+Sens!K14388-(Sens!K14390+Sens!K14391+Sens!K14392)-Sens!K14405-Sens!K14488</f>
        <v>254.277030956099</v>
      </c>
      <c r="L14454" s="1" t="s">
        <v>910</v>
      </c>
    </row>
    <row r="14455" customFormat="false" ht="17.15" hidden="false" customHeight="false" outlineLevel="0" collapsed="false">
      <c r="A14455" s="0" t="s">
        <v>911</v>
      </c>
      <c r="B14455" s="0" t="s">
        <v>129</v>
      </c>
      <c r="E14455" s="7" t="n">
        <f aca="false">Q!M22/Q!M12</f>
        <v>0.296207935710698</v>
      </c>
      <c r="F14455" s="7" t="n">
        <f aca="false">Sens!$E$14455+dm_seg</f>
        <v>0.296207935710698</v>
      </c>
      <c r="G14455" s="7" t="n">
        <f aca="false">Sens!$E$14455+dm_seg</f>
        <v>0.296207935710698</v>
      </c>
      <c r="H14455" s="7" t="n">
        <f aca="false">Sens!$E$14455+dm_seg</f>
        <v>0.296207935710698</v>
      </c>
      <c r="I14455" s="7" t="n">
        <f aca="false">Sens!$E$14455+dm_seg</f>
        <v>0.296207935710698</v>
      </c>
      <c r="J14455" s="7" t="n">
        <f aca="false">Sens!$E$14455+dm_seg</f>
        <v>0.296207935710698</v>
      </c>
      <c r="K14455" s="7" t="n">
        <f aca="false">Sens!$E$14455+dm_seg</f>
        <v>0.296207935710698</v>
      </c>
      <c r="L14455" s="11" t="s">
        <v>912</v>
      </c>
    </row>
    <row r="14456" customFormat="false" ht="17.15" hidden="false" customHeight="false" outlineLevel="0" collapsed="false">
      <c r="A14456" s="0" t="s">
        <v>745</v>
      </c>
      <c r="B14456" s="0" t="s">
        <v>98</v>
      </c>
      <c r="D14456" s="6" t="n">
        <f aca="false">Q!L22</f>
        <v>17.714</v>
      </c>
      <c r="E14456" s="6" t="n">
        <f aca="false">Q!M22</f>
        <v>18.872</v>
      </c>
      <c r="F14456" s="6" t="n">
        <f aca="false">Sens!F14431*Sens!F14455</f>
        <v>19.2954518910651</v>
      </c>
      <c r="G14456" s="6" t="n">
        <f aca="false">Sens!G14431*Sens!G14455</f>
        <v>19.8830646387704</v>
      </c>
      <c r="H14456" s="6" t="n">
        <f aca="false">Sens!H14431*Sens!H14455</f>
        <v>20.6092017868026</v>
      </c>
      <c r="I14456" s="6" t="n">
        <f aca="false">Sens!I14431*Sens!I14455</f>
        <v>21.452361761678</v>
      </c>
      <c r="J14456" s="6" t="n">
        <f aca="false">Sens!J14431*Sens!J14455</f>
        <v>22.3946261183418</v>
      </c>
      <c r="K14456" s="6" t="n">
        <f aca="false">Sens!K14431*Sens!K14455</f>
        <v>23.4215879274986</v>
      </c>
    </row>
    <row r="14457" customFormat="false" ht="15" hidden="false" customHeight="false" outlineLevel="0" collapsed="false">
      <c r="A14457" s="1" t="s">
        <v>913</v>
      </c>
      <c r="B14457" s="0" t="s">
        <v>98</v>
      </c>
      <c r="D14457" s="6" t="n">
        <f aca="false">Sens!D14454+Sens!D14456</f>
        <v>128.528</v>
      </c>
      <c r="E14457" s="6" t="n">
        <f aca="false">Sens!E14454+Sens!E14456</f>
        <v>155.237</v>
      </c>
      <c r="F14457" s="6" t="n">
        <f aca="false">Sens!F14454+Sens!F14456</f>
        <v>164.122743349669</v>
      </c>
      <c r="G14457" s="6" t="n">
        <f aca="false">Sens!G14454+Sens!G14456</f>
        <v>188.472964826669</v>
      </c>
      <c r="H14457" s="6" t="n">
        <f aca="false">Sens!H14454+Sens!H14456</f>
        <v>212.428531655382</v>
      </c>
      <c r="I14457" s="6" t="n">
        <f aca="false">Sens!I14454+Sens!I14456</f>
        <v>236.317786843901</v>
      </c>
      <c r="J14457" s="6" t="n">
        <f aca="false">Sens!J14454+Sens!J14456</f>
        <v>257.753249137264</v>
      </c>
      <c r="K14457" s="6" t="n">
        <f aca="false">Sens!K14454+Sens!K14456</f>
        <v>277.698618883597</v>
      </c>
    </row>
    <row r="14458" customFormat="false" ht="15" hidden="false" customHeight="false" outlineLevel="0" collapsed="false">
      <c r="A14458" s="23" t="s">
        <v>914</v>
      </c>
      <c r="B14458" s="30" t="s">
        <v>98</v>
      </c>
      <c r="C14458" s="30"/>
      <c r="D14458" s="24" t="n">
        <f aca="false">Sens!D14457-Q!L23</f>
        <v>0</v>
      </c>
      <c r="E14458" s="24" t="n">
        <f aca="false">Sens!E14457-Q!M23</f>
        <v>0</v>
      </c>
      <c r="F14458" s="30"/>
      <c r="G14458" s="30"/>
      <c r="H14458" s="30"/>
      <c r="I14458" s="30"/>
      <c r="J14458" s="30"/>
      <c r="K14458" s="30"/>
    </row>
    <row r="14459" customFormat="false" ht="15" hidden="false" customHeight="false" outlineLevel="0" collapsed="false">
      <c r="A14459" s="1" t="s">
        <v>915</v>
      </c>
      <c r="B14459" s="0" t="s">
        <v>129</v>
      </c>
      <c r="D14459" s="7" t="n">
        <f aca="false">Sens!D14457/Sens!D14450</f>
        <v>0.456219562408598</v>
      </c>
      <c r="E14459" s="7" t="n">
        <f aca="false">Sens!E14457/Sens!E14450</f>
        <v>0.467808184089272</v>
      </c>
      <c r="F14459" s="7" t="n">
        <f aca="false">Sens!F14457/Sens!F14450</f>
        <v>0.42498884667104</v>
      </c>
      <c r="G14459" s="7" t="n">
        <f aca="false">Sens!G14457/Sens!G14450</f>
        <v>0.433049933857509</v>
      </c>
      <c r="H14459" s="7" t="n">
        <f aca="false">Sens!H14457/Sens!H14450</f>
        <v>0.442269518725575</v>
      </c>
      <c r="I14459" s="7" t="n">
        <f aca="false">Sens!I14457/Sens!I14450</f>
        <v>0.452797921553105</v>
      </c>
      <c r="J14459" s="7" t="n">
        <f aca="false">Sens!J14457/Sens!J14450</f>
        <v>0.459571645780465</v>
      </c>
      <c r="K14459" s="7" t="n">
        <f aca="false">Sens!K14457/Sens!K14450</f>
        <v>0.463923297405606</v>
      </c>
    </row>
    <row r="14460" customFormat="false" ht="17.15" hidden="false" customHeight="false" outlineLevel="0" collapsed="false">
      <c r="A14460" s="1" t="s">
        <v>916</v>
      </c>
      <c r="B14460" s="0" t="s">
        <v>98</v>
      </c>
      <c r="F14460" s="6" t="n">
        <f aca="false">Sens!F14475</f>
        <v>0</v>
      </c>
      <c r="G14460" s="6" t="n">
        <f aca="false">Sens!G14475</f>
        <v>0</v>
      </c>
      <c r="H14460" s="6" t="n">
        <f aca="false">Sens!H14475</f>
        <v>0</v>
      </c>
      <c r="I14460" s="6" t="n">
        <f aca="false">Sens!I14475</f>
        <v>0</v>
      </c>
      <c r="J14460" s="6" t="n">
        <f aca="false">Sens!J14475</f>
        <v>0</v>
      </c>
      <c r="K14460" s="6" t="n">
        <f aca="false">Sens!K14475</f>
        <v>0</v>
      </c>
      <c r="L14460" s="1" t="s">
        <v>917</v>
      </c>
    </row>
    <row r="14461" customFormat="false" ht="17.15" hidden="false" customHeight="false" outlineLevel="0" collapsed="false">
      <c r="A14461" s="1" t="s">
        <v>918</v>
      </c>
      <c r="B14461" s="0" t="s">
        <v>98</v>
      </c>
      <c r="D14461" s="6" t="n">
        <f aca="false">Sens!D14457</f>
        <v>128.528</v>
      </c>
      <c r="E14461" s="6" t="n">
        <f aca="false">Sens!E14457</f>
        <v>155.237</v>
      </c>
      <c r="F14461" s="6" t="n">
        <f aca="false">Sens!F14457+Sens!F14460</f>
        <v>164.122743349669</v>
      </c>
      <c r="G14461" s="6" t="n">
        <f aca="false">Sens!G14457+Sens!G14460</f>
        <v>188.472964826669</v>
      </c>
      <c r="H14461" s="6" t="n">
        <f aca="false">Sens!H14457+Sens!H14460</f>
        <v>212.428531655382</v>
      </c>
      <c r="I14461" s="6" t="n">
        <f aca="false">Sens!I14457+Sens!I14460</f>
        <v>236.317786843901</v>
      </c>
      <c r="J14461" s="6" t="n">
        <f aca="false">Sens!J14457+Sens!J14460</f>
        <v>257.753249137264</v>
      </c>
      <c r="K14461" s="6" t="n">
        <f aca="false">Sens!K14457+Sens!K14460</f>
        <v>277.698618883597</v>
      </c>
    </row>
    <row r="14462" customFormat="false" ht="17.15" hidden="false" customHeight="false" outlineLevel="0" collapsed="false">
      <c r="A14462" s="1" t="s">
        <v>919</v>
      </c>
      <c r="B14462" s="0" t="s">
        <v>98</v>
      </c>
      <c r="E14462" s="6" t="n">
        <f aca="false">Sens!E14405</f>
        <v>16.3054059770833</v>
      </c>
      <c r="F14462" s="6" t="n">
        <f aca="false">Sens!F14405</f>
        <v>24.6319326396667</v>
      </c>
      <c r="G14462" s="6" t="n">
        <f aca="false">Sens!G14405</f>
        <v>29.4421900723333</v>
      </c>
      <c r="H14462" s="6" t="n">
        <f aca="false">Sens!H14405</f>
        <v>32.0248894903333</v>
      </c>
      <c r="I14462" s="6" t="n">
        <f aca="false">Sens!I14405</f>
        <v>32.6686637199167</v>
      </c>
      <c r="J14462" s="6" t="n">
        <f aca="false">Sens!J14405</f>
        <v>34.2846684186667</v>
      </c>
      <c r="K14462" s="6" t="n">
        <f aca="false">Sens!K14405</f>
        <v>37.1882215765833</v>
      </c>
    </row>
    <row r="14463" customFormat="false" ht="17.15" hidden="false" customHeight="false" outlineLevel="0" collapsed="false">
      <c r="A14463" s="1" t="s">
        <v>920</v>
      </c>
      <c r="B14463" s="0" t="s">
        <v>98</v>
      </c>
      <c r="E14463" s="6" t="n">
        <f aca="false">Sens!E14487</f>
        <v>22.2285940229167</v>
      </c>
      <c r="F14463" s="6" t="n">
        <f aca="false">Sens!F14487</f>
        <v>37.358881403025</v>
      </c>
      <c r="G14463" s="6" t="n">
        <f aca="false">Sens!G14487</f>
        <v>37.7382826197614</v>
      </c>
      <c r="H14463" s="6" t="n">
        <f aca="false">Sens!H14487</f>
        <v>38.6456057221943</v>
      </c>
      <c r="I14463" s="6" t="n">
        <f aca="false">Sens!I14487</f>
        <v>40.0008851811392</v>
      </c>
      <c r="J14463" s="6" t="n">
        <f aca="false">Sens!J14487</f>
        <v>41.7088879880627</v>
      </c>
      <c r="K14463" s="6" t="n">
        <f aca="false">Sens!K14487</f>
        <v>43.6748694634558</v>
      </c>
    </row>
    <row r="14464" customFormat="false" ht="17.15" hidden="false" customHeight="false" outlineLevel="0" collapsed="false">
      <c r="A14464" s="1" t="s">
        <v>921</v>
      </c>
      <c r="B14464" s="0" t="s">
        <v>98</v>
      </c>
      <c r="D14464" s="6" t="n">
        <f aca="false">Q!L27</f>
        <v>-4.901</v>
      </c>
      <c r="E14464" s="6" t="n">
        <f aca="false">Q!M27</f>
        <v>10.697</v>
      </c>
      <c r="F14464" s="6" t="n">
        <f aca="false">oie_f</f>
        <v>-0.4</v>
      </c>
      <c r="G14464" s="6" t="n">
        <f aca="false">oie_f</f>
        <v>-0.4</v>
      </c>
      <c r="H14464" s="6" t="n">
        <f aca="false">oie_f</f>
        <v>-0.4</v>
      </c>
      <c r="I14464" s="6" t="n">
        <f aca="false">oie_f</f>
        <v>-0.4</v>
      </c>
      <c r="J14464" s="6" t="n">
        <f aca="false">oie_f</f>
        <v>-0.4</v>
      </c>
      <c r="K14464" s="6" t="n">
        <f aca="false">oie_f</f>
        <v>-0.4</v>
      </c>
      <c r="L14464" s="11" t="s">
        <v>922</v>
      </c>
    </row>
    <row r="14465" customFormat="false" ht="15" hidden="false" customHeight="false" outlineLevel="0" collapsed="false">
      <c r="A14465" s="1" t="s">
        <v>923</v>
      </c>
      <c r="B14465" s="0" t="s">
        <v>98</v>
      </c>
      <c r="D14465" s="6" t="n">
        <f aca="false">Sens!D14457+Sens!D14464</f>
        <v>123.627</v>
      </c>
      <c r="E14465" s="6" t="n">
        <f aca="false">Sens!E14457+Sens!E14464</f>
        <v>165.934</v>
      </c>
      <c r="F14465" s="6" t="n">
        <f aca="false">Sens!F14457+Sens!F14464</f>
        <v>163.722743349669</v>
      </c>
      <c r="G14465" s="6" t="n">
        <f aca="false">Sens!G14457+Sens!G14464</f>
        <v>188.072964826669</v>
      </c>
      <c r="H14465" s="6" t="n">
        <f aca="false">Sens!H14457+Sens!H14464</f>
        <v>212.028531655382</v>
      </c>
      <c r="I14465" s="6" t="n">
        <f aca="false">Sens!I14457+Sens!I14464</f>
        <v>235.917786843901</v>
      </c>
      <c r="J14465" s="6" t="n">
        <f aca="false">Sens!J14457+Sens!J14464</f>
        <v>257.353249137264</v>
      </c>
      <c r="K14465" s="6" t="n">
        <f aca="false">Sens!K14457+Sens!K14464</f>
        <v>277.298618883597</v>
      </c>
    </row>
    <row r="14466" customFormat="false" ht="15" hidden="false" customHeight="false" outlineLevel="0" collapsed="false">
      <c r="A14466" s="1" t="s">
        <v>924</v>
      </c>
      <c r="B14466" s="0" t="s">
        <v>98</v>
      </c>
      <c r="D14466" s="6" t="n">
        <f aca="false">Q!L29</f>
        <v>21.795</v>
      </c>
      <c r="E14466" s="6" t="n">
        <f aca="false">Q!M29</f>
        <v>32.185</v>
      </c>
      <c r="F14466" s="6" t="n">
        <f aca="false">Sens!F14465*tax_f</f>
        <v>32.7445486699338</v>
      </c>
      <c r="G14466" s="6" t="n">
        <f aca="false">Sens!G14465*tax_f</f>
        <v>37.6145929653339</v>
      </c>
      <c r="H14466" s="6" t="n">
        <f aca="false">Sens!H14465*tax_f</f>
        <v>42.4057063310764</v>
      </c>
      <c r="I14466" s="6" t="n">
        <f aca="false">Sens!I14465*tax_f</f>
        <v>47.1835573687803</v>
      </c>
      <c r="J14466" s="6" t="n">
        <f aca="false">Sens!J14465*tax_f</f>
        <v>51.4706498274527</v>
      </c>
      <c r="K14466" s="6" t="n">
        <f aca="false">Sens!K14465*tax_f</f>
        <v>55.4597237767195</v>
      </c>
    </row>
    <row r="14467" customFormat="false" ht="15" hidden="false" customHeight="false" outlineLevel="0" collapsed="false">
      <c r="A14467" s="1" t="s">
        <v>925</v>
      </c>
      <c r="B14467" s="0" t="s">
        <v>98</v>
      </c>
      <c r="D14467" s="6" t="n">
        <f aca="false">Sens!D14465-Sens!D14466</f>
        <v>101.832</v>
      </c>
      <c r="E14467" s="6" t="n">
        <f aca="false">Sens!E14465-Sens!E14466</f>
        <v>133.749</v>
      </c>
      <c r="F14467" s="6" t="n">
        <f aca="false">Sens!F14465-Sens!F14466</f>
        <v>130.978194679735</v>
      </c>
      <c r="G14467" s="6" t="n">
        <f aca="false">Sens!G14465-Sens!G14466</f>
        <v>150.458371861336</v>
      </c>
      <c r="H14467" s="6" t="n">
        <f aca="false">Sens!H14465-Sens!H14466</f>
        <v>169.622825324306</v>
      </c>
      <c r="I14467" s="6" t="n">
        <f aca="false">Sens!I14465-Sens!I14466</f>
        <v>188.734229475121</v>
      </c>
      <c r="J14467" s="6" t="n">
        <f aca="false">Sens!J14465-Sens!J14466</f>
        <v>205.882599309811</v>
      </c>
      <c r="K14467" s="6" t="n">
        <f aca="false">Sens!K14465-Sens!K14466</f>
        <v>221.838895106878</v>
      </c>
    </row>
    <row r="14468" customFormat="false" ht="17.15" hidden="false" customHeight="false" outlineLevel="0" collapsed="false">
      <c r="A14468" s="1" t="s">
        <v>926</v>
      </c>
      <c r="B14468" s="1" t="s">
        <v>81</v>
      </c>
      <c r="D14468" s="14" t="n">
        <f aca="false">Q!L31</f>
        <v>7.465</v>
      </c>
      <c r="E14468" s="14" t="n">
        <f aca="false">Q!M31</f>
        <v>7.453</v>
      </c>
      <c r="F14468" s="14" t="n">
        <f aca="false">Sens!F14511</f>
        <v>7.4735</v>
      </c>
      <c r="G14468" s="14" t="n">
        <f aca="false">Sens!G14511</f>
        <v>7.49987171271795</v>
      </c>
      <c r="H14468" s="14" t="n">
        <f aca="false">Sens!H14511</f>
        <v>7.50899501128585</v>
      </c>
      <c r="I14468" s="14" t="n">
        <f aca="false">Sens!I14511</f>
        <v>7.52077584329316</v>
      </c>
      <c r="J14468" s="14" t="n">
        <f aca="false">Sens!J14511</f>
        <v>7.53501735441104</v>
      </c>
      <c r="K14468" s="14" t="n">
        <f aca="false">Sens!K14511</f>
        <v>7.55153727211278</v>
      </c>
    </row>
    <row r="14469" customFormat="false" ht="17.15" hidden="false" customHeight="false" outlineLevel="0" collapsed="false">
      <c r="A14469" s="0" t="s">
        <v>927</v>
      </c>
      <c r="B14469" s="0" t="s">
        <v>75</v>
      </c>
      <c r="D14469" s="8" t="n">
        <f aca="false">Sens!D14467/Sens!D14468</f>
        <v>13.641259209645</v>
      </c>
      <c r="E14469" s="8" t="n">
        <f aca="false">Sens!E14467/Sens!E14468</f>
        <v>17.9456594659869</v>
      </c>
      <c r="F14469" s="8" t="n">
        <f aca="false">Sens!F14467/Sens!F14468</f>
        <v>17.5256833718787</v>
      </c>
      <c r="G14469" s="8" t="n">
        <f aca="false">Sens!G14467/Sens!G14468</f>
        <v>20.0614593988581</v>
      </c>
      <c r="H14469" s="8" t="n">
        <f aca="false">Sens!H14467/Sens!H14468</f>
        <v>22.5892845939259</v>
      </c>
      <c r="I14469" s="8" t="n">
        <f aca="false">Sens!I14467/Sens!I14468</f>
        <v>25.0950478258742</v>
      </c>
      <c r="J14469" s="8" t="n">
        <f aca="false">Sens!J14467/Sens!J14468</f>
        <v>27.3234406274176</v>
      </c>
      <c r="K14469" s="8" t="n">
        <f aca="false">Sens!K14467/Sens!K14468</f>
        <v>29.3766536684009</v>
      </c>
      <c r="L14469" s="1" t="s">
        <v>928</v>
      </c>
    </row>
    <row r="14470" customFormat="false" ht="17.15" hidden="false" customHeight="false" outlineLevel="0" collapsed="false">
      <c r="A14470" s="1" t="s">
        <v>929</v>
      </c>
      <c r="B14470" s="0" t="s">
        <v>98</v>
      </c>
      <c r="D14470" s="6" t="n">
        <f aca="false">Sens!D14467</f>
        <v>101.832</v>
      </c>
      <c r="E14470" s="6" t="n">
        <f aca="false">Sens!E14467</f>
        <v>133.749</v>
      </c>
      <c r="F14470" s="6" t="n">
        <f aca="false">Sens!F14467+Sens!F14460*(1-tax_f)</f>
        <v>130.978194679735</v>
      </c>
      <c r="G14470" s="6" t="n">
        <f aca="false">Sens!G14467+Sens!G14460*(1-tax_f)</f>
        <v>150.458371861336</v>
      </c>
      <c r="H14470" s="6" t="n">
        <f aca="false">Sens!H14467+Sens!H14460*(1-tax_f)</f>
        <v>169.622825324306</v>
      </c>
      <c r="I14470" s="6" t="n">
        <f aca="false">Sens!I14467+Sens!I14460*(1-tax_f)</f>
        <v>188.734229475121</v>
      </c>
      <c r="J14470" s="6" t="n">
        <f aca="false">Sens!J14467+Sens!J14460*(1-tax_f)</f>
        <v>205.882599309811</v>
      </c>
      <c r="K14470" s="6" t="n">
        <f aca="false">Sens!K14467+Sens!K14460*(1-tax_f)</f>
        <v>221.838895106878</v>
      </c>
    </row>
    <row r="14471" customFormat="false" ht="17.15" hidden="false" customHeight="false" outlineLevel="0" collapsed="false">
      <c r="A14471" s="0" t="s">
        <v>930</v>
      </c>
      <c r="B14471" s="0" t="s">
        <v>75</v>
      </c>
      <c r="D14471" s="8" t="n">
        <f aca="false">Sens!D14470/Sens!D14468</f>
        <v>13.641259209645</v>
      </c>
      <c r="E14471" s="8" t="n">
        <f aca="false">Sens!E14470/Sens!E14468</f>
        <v>17.9456594659869</v>
      </c>
      <c r="F14471" s="8" t="n">
        <f aca="false">Sens!F14470/Sens!F14468</f>
        <v>17.5256833718787</v>
      </c>
      <c r="G14471" s="8" t="n">
        <f aca="false">Sens!G14470/Sens!G14468</f>
        <v>20.0614593988581</v>
      </c>
      <c r="H14471" s="8" t="n">
        <f aca="false">Sens!H14470/Sens!H14468</f>
        <v>22.5892845939259</v>
      </c>
      <c r="I14471" s="8" t="n">
        <f aca="false">Sens!I14470/Sens!I14468</f>
        <v>25.0950478258742</v>
      </c>
      <c r="J14471" s="8" t="n">
        <f aca="false">Sens!J14470/Sens!J14468</f>
        <v>27.3234406274176</v>
      </c>
      <c r="K14471" s="8" t="n">
        <f aca="false">Sens!K14470/Sens!K14468</f>
        <v>29.3766536684009</v>
      </c>
      <c r="L14471" s="1" t="s">
        <v>931</v>
      </c>
    </row>
    <row r="14472" customFormat="false" ht="17.15" hidden="false" customHeight="false" outlineLevel="0" collapsed="false">
      <c r="A14472" s="0" t="s">
        <v>932</v>
      </c>
      <c r="B14472" s="0" t="s">
        <v>129</v>
      </c>
      <c r="E14472" s="7" t="n">
        <f aca="false">Sens!E14471/Sens!D14471-1</f>
        <v>0.315542736208578</v>
      </c>
      <c r="F14472" s="7" t="n">
        <f aca="false">Sens!F14471/Sens!E14471-1</f>
        <v>-0.0234026559405186</v>
      </c>
      <c r="G14472" s="7" t="n">
        <f aca="false">Sens!G14471/Sens!F14471-1</f>
        <v>0.144689138401776</v>
      </c>
      <c r="H14472" s="7" t="n">
        <f aca="false">Sens!H14471/Sens!G14471-1</f>
        <v>0.126004053085573</v>
      </c>
      <c r="I14472" s="7" t="n">
        <f aca="false">Sens!I14471/Sens!H14471-1</f>
        <v>0.110927073477223</v>
      </c>
      <c r="J14472" s="7" t="n">
        <f aca="false">Sens!J14471/Sens!I14471-1</f>
        <v>0.0887981093722317</v>
      </c>
      <c r="K14472" s="7" t="n">
        <f aca="false">Sens!K14471/Sens!J14471-1</f>
        <v>0.075144747287903</v>
      </c>
    </row>
    <row r="14473" customFormat="false" ht="17.15" hidden="false" customHeight="false" outlineLevel="0" collapsed="false">
      <c r="A14473" s="0" t="s">
        <v>856</v>
      </c>
      <c r="B14473" s="0" t="s">
        <v>98</v>
      </c>
      <c r="E14473" s="6" t="n">
        <f aca="false">Sens!E14414</f>
        <v>5.25</v>
      </c>
      <c r="F14473" s="6" t="n">
        <f aca="false">Sens!F14414</f>
        <v>12</v>
      </c>
      <c r="G14473" s="6" t="n">
        <f aca="false">Sens!G14414</f>
        <v>18</v>
      </c>
      <c r="H14473" s="6" t="n">
        <f aca="false">Sens!H14414</f>
        <v>24</v>
      </c>
      <c r="I14473" s="6" t="n">
        <f aca="false">Sens!I14414</f>
        <v>28.5</v>
      </c>
      <c r="J14473" s="6" t="n">
        <f aca="false">Sens!J14414</f>
        <v>31.5</v>
      </c>
      <c r="K14473" s="6" t="n">
        <f aca="false">Sens!K14414</f>
        <v>34.5</v>
      </c>
    </row>
    <row r="14474" customFormat="false" ht="17.15" hidden="false" customHeight="false" outlineLevel="0" collapsed="false">
      <c r="A14474" s="1" t="s">
        <v>857</v>
      </c>
      <c r="B14474" s="0" t="s">
        <v>98</v>
      </c>
      <c r="F14474" s="6" t="n">
        <f aca="false">MAX(0,((Sens!E14377+Sens!F14377)/2-(shadow_base*(Sens!$D$14377+Sens!$E$14377)/2+(1-shadow_base)*Sens!$E$14377))*Sens!F14385/1000-(Sens!F14473-Sens!$E$14473)*Sens!F14453)</f>
        <v>2.5160221392654</v>
      </c>
      <c r="G14474" s="6" t="n">
        <f aca="false">MAX(0,((Sens!F14377+Sens!G14377)/2-(shadow_base*(Sens!$D$14377+Sens!$E$14377)/2+(1-shadow_base)*Sens!$E$14377))*Sens!G14385/1000-(Sens!G14473-Sens!$E$14473)*Sens!G14453)</f>
        <v>2.37863691453172</v>
      </c>
      <c r="H14474" s="6" t="n">
        <f aca="false">MAX(0,((Sens!G14377+Sens!H14377)/2-(shadow_base*(Sens!$D$14377+Sens!$E$14377)/2+(1-shadow_base)*Sens!$E$14377))*Sens!H14385/1000-(Sens!H14473-Sens!$E$14473)*Sens!H14453)</f>
        <v>0.603369168326561</v>
      </c>
      <c r="I14474" s="6" t="n">
        <f aca="false">MAX(0,((Sens!H14377+Sens!I14377)/2-(shadow_base*(Sens!$D$14377+Sens!$E$14377)/2+(1-shadow_base)*Sens!$E$14377))*Sens!I14385/1000-(Sens!I14473-Sens!$E$14473)*Sens!I14453)</f>
        <v>0</v>
      </c>
      <c r="J14474" s="6" t="n">
        <f aca="false">MAX(0,((Sens!I14377+Sens!J14377)/2-(shadow_base*(Sens!$D$14377+Sens!$E$14377)/2+(1-shadow_base)*Sens!$E$14377))*Sens!J14385/1000-(Sens!J14473-Sens!$E$14473)*Sens!J14453)</f>
        <v>0</v>
      </c>
      <c r="K14474" s="6" t="n">
        <f aca="false">MAX(0,((Sens!J14377+Sens!K14377)/2-(shadow_base*(Sens!$D$14377+Sens!$E$14377)/2+(1-shadow_base)*Sens!$E$14377))*Sens!K14385/1000-(Sens!K14473-Sens!$E$14473)*Sens!K14453)</f>
        <v>0</v>
      </c>
      <c r="L14474" s="1" t="s">
        <v>858</v>
      </c>
    </row>
    <row r="14475" customFormat="false" ht="17.15" hidden="false" customHeight="false" outlineLevel="0" collapsed="false">
      <c r="A14475" s="1" t="s">
        <v>859</v>
      </c>
      <c r="B14475" s="0" t="s">
        <v>98</v>
      </c>
      <c r="F14475" s="6" t="n">
        <f aca="false">IF(1=2,1,0)*Sens!F14474</f>
        <v>0</v>
      </c>
      <c r="G14475" s="6" t="n">
        <f aca="false">IF(1=2,1,0)*Sens!G14474</f>
        <v>0</v>
      </c>
      <c r="H14475" s="6" t="n">
        <f aca="false">IF(1=2,1,0)*Sens!H14474</f>
        <v>0</v>
      </c>
      <c r="I14475" s="6" t="n">
        <f aca="false">IF(1=2,1,0)*Sens!I14474</f>
        <v>0</v>
      </c>
      <c r="J14475" s="6" t="n">
        <f aca="false">IF(1=2,1,0)*Sens!J14474</f>
        <v>0</v>
      </c>
      <c r="K14475" s="6" t="n">
        <f aca="false">IF(1=2,1,0)*Sens!K14474</f>
        <v>0</v>
      </c>
    </row>
    <row r="14476" customFormat="false" ht="17.15" hidden="false" customHeight="false" outlineLevel="0" collapsed="false">
      <c r="A14476" s="0" t="s">
        <v>860</v>
      </c>
      <c r="B14476" s="0" t="s">
        <v>98</v>
      </c>
      <c r="F14476" s="6" t="n">
        <f aca="false">Sens!F14394+Sens!F14473*Sens!F14453+Sens!F14475-Sens!F14395-Sens!F14405</f>
        <v>6.06183055095551</v>
      </c>
      <c r="G14476" s="6" t="n">
        <f aca="false">Sens!G14394+Sens!G14473*Sens!G14453+Sens!G14475-Sens!G14395-Sens!G14405</f>
        <v>9.36348911386284</v>
      </c>
      <c r="H14476" s="6" t="n">
        <f aca="false">Sens!H14394+Sens!H14473*Sens!H14453+Sens!H14475-Sens!H14395-Sens!H14405</f>
        <v>12.0877719578917</v>
      </c>
      <c r="I14476" s="6" t="n">
        <f aca="false">Sens!I14394+Sens!I14473*Sens!I14453+Sens!I14475-Sens!I14395-Sens!I14405</f>
        <v>15.2408695993789</v>
      </c>
      <c r="J14476" s="6" t="n">
        <f aca="false">Sens!J14394+Sens!J14473*Sens!J14453+Sens!J14475-Sens!J14395-Sens!J14405</f>
        <v>17.1916088025852</v>
      </c>
      <c r="K14476" s="6" t="n">
        <f aca="false">Sens!K14394+Sens!K14473*Sens!K14453+Sens!K14475-Sens!K14395-Sens!K14405</f>
        <v>19.6836190736581</v>
      </c>
    </row>
    <row r="14477" customFormat="false" ht="17.15" hidden="false" customHeight="false" outlineLevel="0" collapsed="false">
      <c r="A14477" s="0" t="s">
        <v>861</v>
      </c>
      <c r="B14477" s="0" t="s">
        <v>98</v>
      </c>
      <c r="E14477" s="6" t="n">
        <f aca="false">Sens!E14376*(cxit_open+self_build*tk_cxfac)/1000*ai_net_open</f>
        <v>126.6980382</v>
      </c>
      <c r="F14477" s="6" t="n">
        <f aca="false">Sens!E14477+Sens!F14402-Sens!F14405</f>
        <v>132.734637736333</v>
      </c>
      <c r="G14477" s="6" t="n">
        <f aca="false">Sens!F14477+Sens!G14402-Sens!G14405</f>
        <v>138.59517468</v>
      </c>
      <c r="H14477" s="6" t="n">
        <f aca="false">Sens!G14477+Sens!H14402-Sens!H14405</f>
        <v>106.570285189667</v>
      </c>
      <c r="I14477" s="6" t="n">
        <f aca="false">Sens!H14477+Sens!I14402-Sens!I14405</f>
        <v>104.160296816417</v>
      </c>
      <c r="J14477" s="6" t="n">
        <f aca="false">Sens!I14477+Sens!J14402-Sens!J14405</f>
        <v>115.572403411083</v>
      </c>
      <c r="K14477" s="6" t="n">
        <f aca="false">Sens!J14477+Sens!K14402-Sens!K14405</f>
        <v>169.1602078745</v>
      </c>
      <c r="L14477" s="1" t="s">
        <v>862</v>
      </c>
    </row>
    <row r="14478" customFormat="false" ht="17.15" hidden="false" customHeight="false" outlineLevel="0" collapsed="false">
      <c r="A14478" s="0" t="s">
        <v>863</v>
      </c>
      <c r="B14478" s="0" t="s">
        <v>129</v>
      </c>
      <c r="F14478" s="7" t="n">
        <f aca="false">Sens!F14476*(1-tax_f)/((Sens!E14477+Sens!F14477)/2)</f>
        <v>0.0373851475976334</v>
      </c>
      <c r="G14478" s="7" t="n">
        <f aca="false">Sens!G14476*(1-tax_f)/((Sens!F14477+Sens!G14477)/2)</f>
        <v>0.0552153943157287</v>
      </c>
      <c r="H14478" s="7" t="n">
        <f aca="false">Sens!H14476*(1-tax_f)/((Sens!G14477+Sens!H14477)/2)</f>
        <v>0.078887275323809</v>
      </c>
      <c r="I14478" s="7" t="n">
        <f aca="false">Sens!I14476*(1-tax_f)/((Sens!H14477+Sens!I14477)/2)</f>
        <v>0.115718331562821</v>
      </c>
      <c r="J14478" s="7" t="n">
        <f aca="false">Sens!J14476*(1-tax_f)/((Sens!I14477+Sens!J14477)/2)</f>
        <v>0.125181978174652</v>
      </c>
      <c r="K14478" s="7" t="n">
        <f aca="false">Sens!K14476*(1-tax_f)/((Sens!J14477+Sens!K14477)/2)</f>
        <v>0.110608301506655</v>
      </c>
    </row>
    <row r="14479" customFormat="false" ht="17.15" hidden="false" customHeight="false" outlineLevel="0" collapsed="false">
      <c r="A14479" s="1" t="s">
        <v>864</v>
      </c>
      <c r="B14479" s="0" t="s">
        <v>129</v>
      </c>
      <c r="F14479" s="7" t="n">
        <f aca="false">(Sens!F14476-Sens!F14475)*(1-tax_f)/((Sens!E14477+Sens!F14477)/2)</f>
        <v>0.0373851475976334</v>
      </c>
      <c r="G14479" s="7" t="n">
        <f aca="false">(Sens!G14476-Sens!G14475)*(1-tax_f)/((Sens!F14477+Sens!G14477)/2)</f>
        <v>0.0552153943157287</v>
      </c>
      <c r="H14479" s="7" t="n">
        <f aca="false">(Sens!H14476-Sens!H14475)*(1-tax_f)/((Sens!G14477+Sens!H14477)/2)</f>
        <v>0.078887275323809</v>
      </c>
      <c r="I14479" s="7" t="n">
        <f aca="false">(Sens!I14476-Sens!I14475)*(1-tax_f)/((Sens!H14477+Sens!I14477)/2)</f>
        <v>0.115718331562821</v>
      </c>
      <c r="J14479" s="7" t="n">
        <f aca="false">(Sens!J14476-Sens!J14475)*(1-tax_f)/((Sens!I14477+Sens!J14477)/2)</f>
        <v>0.125181978174652</v>
      </c>
      <c r="K14479" s="7" t="n">
        <f aca="false">(Sens!K14476-Sens!K14475)*(1-tax_f)/((Sens!J14477+Sens!K14477)/2)</f>
        <v>0.110608301506655</v>
      </c>
    </row>
    <row r="14480" customFormat="false" ht="17.15" hidden="false" customHeight="false" outlineLevel="0" collapsed="false">
      <c r="A14480" s="1" t="s">
        <v>865</v>
      </c>
      <c r="B14480" s="0" t="s">
        <v>129</v>
      </c>
      <c r="F14480" s="7" t="n">
        <f aca="false">(Sens!F14476-Sens!F14475+Sens!F14474)*(1-tax_f)/((Sens!E14477+Sens!F14477)/2)</f>
        <v>0.0529022192552243</v>
      </c>
      <c r="G14480" s="7" t="n">
        <f aca="false">(Sens!G14476-Sens!G14475+Sens!G14474)*(1-tax_f)/((Sens!F14477+Sens!G14477)/2)</f>
        <v>0.0692419365130566</v>
      </c>
      <c r="H14480" s="7" t="n">
        <f aca="false">(Sens!H14476-Sens!H14475+Sens!H14474)*(1-tax_f)/((Sens!G14477+Sens!H14477)/2)</f>
        <v>0.0828249860838635</v>
      </c>
      <c r="I14480" s="7" t="n">
        <f aca="false">(Sens!I14476-Sens!I14475+Sens!I14474)*(1-tax_f)/((Sens!H14477+Sens!I14477)/2)</f>
        <v>0.115718331562821</v>
      </c>
      <c r="J14480" s="7" t="n">
        <f aca="false">(Sens!J14476-Sens!J14475+Sens!J14474)*(1-tax_f)/((Sens!I14477+Sens!J14477)/2)</f>
        <v>0.125181978174652</v>
      </c>
      <c r="K14480" s="7" t="n">
        <f aca="false">(Sens!K14476-Sens!K14475+Sens!K14474)*(1-tax_f)/((Sens!J14477+Sens!K14477)/2)</f>
        <v>0.110608301506655</v>
      </c>
    </row>
    <row r="14481" customFormat="false" ht="17.15" hidden="false" customHeight="false" outlineLevel="0" collapsed="false">
      <c r="A14481" s="1" t="s">
        <v>866</v>
      </c>
      <c r="B14481" s="0" t="s">
        <v>129</v>
      </c>
      <c r="F14481" s="7" t="n">
        <f aca="false">Sens!F14406*(1-tax_f)/(Sens!F14393*(Sens!E14477+Sens!F14477)/2)</f>
        <v>0.143281013946319</v>
      </c>
      <c r="G14481" s="7" t="n">
        <f aca="false">Sens!G14406*(1-tax_f)/(Sens!G14393*(Sens!F14477+Sens!G14477)/2)</f>
        <v>0.162690458407911</v>
      </c>
      <c r="H14481" s="7" t="n">
        <f aca="false">Sens!H14406*(1-tax_f)/(Sens!H14393*(Sens!G14477+Sens!H14477)/2)</f>
        <v>0.188100618921318</v>
      </c>
      <c r="I14481" s="7" t="n">
        <f aca="false">Sens!I14406*(1-tax_f)/(Sens!I14393*(Sens!H14477+Sens!I14477)/2)</f>
        <v>0.230154458891225</v>
      </c>
      <c r="J14481" s="7" t="n">
        <f aca="false">Sens!J14406*(1-tax_f)/(Sens!J14393*(Sens!I14477+Sens!J14477)/2)</f>
        <v>0.232428270953267</v>
      </c>
      <c r="K14481" s="7" t="n">
        <f aca="false">Sens!K14406*(1-tax_f)/(Sens!K14393*(Sens!J14477+Sens!K14477)/2)</f>
        <v>0.199032164179295</v>
      </c>
    </row>
    <row r="14482" customFormat="false" ht="17.15" hidden="false" customHeight="false" outlineLevel="0" collapsed="false">
      <c r="A14482" s="0" t="s">
        <v>867</v>
      </c>
      <c r="B14482" s="0" t="s">
        <v>209</v>
      </c>
      <c r="F14482" s="7" t="n">
        <f aca="false">Sens!F14478-wacc</f>
        <v>-0.0655492724952423</v>
      </c>
      <c r="G14482" s="7" t="n">
        <f aca="false">Sens!G14478-wacc</f>
        <v>-0.047719025777147</v>
      </c>
      <c r="H14482" s="7" t="n">
        <f aca="false">Sens!H14478-wacc</f>
        <v>-0.0240471447690667</v>
      </c>
      <c r="I14482" s="7" t="n">
        <f aca="false">Sens!I14478-wacc</f>
        <v>0.0127839114699452</v>
      </c>
      <c r="J14482" s="7" t="n">
        <f aca="false">Sens!J14478-wacc</f>
        <v>0.0222475580817763</v>
      </c>
      <c r="K14482" s="7" t="n">
        <f aca="false">Sens!K14478-wacc</f>
        <v>0.00767388141377885</v>
      </c>
    </row>
    <row r="14483" customFormat="false" ht="17.15" hidden="false" customHeight="false" outlineLevel="0" collapsed="false">
      <c r="A14483" s="0" t="s">
        <v>868</v>
      </c>
      <c r="B14483" s="0" t="s">
        <v>98</v>
      </c>
      <c r="F14483" s="6" t="n">
        <f aca="false">Sens!F14476*(1-tax_f)-wacc*(Sens!E14477+Sens!F14477)/2</f>
        <v>-8.50281158456031</v>
      </c>
      <c r="G14483" s="6" t="n">
        <f aca="false">Sens!G14476*(1-tax_f)-wacc*(Sens!F14477+Sens!G14477)/2</f>
        <v>-6.47379715640174</v>
      </c>
      <c r="H14483" s="6" t="n">
        <f aca="false">Sens!H14476*(1-tax_f)-wacc*(Sens!G14477+Sens!H14477)/2</f>
        <v>-2.94776465293034</v>
      </c>
      <c r="I14483" s="6" t="n">
        <f aca="false">Sens!I14476*(1-tax_f)-wacc*(Sens!H14477+Sens!I14477)/2</f>
        <v>1.3469805521879</v>
      </c>
      <c r="J14483" s="6" t="n">
        <f aca="false">Sens!J14476*(1-tax_f)-wacc*(Sens!I14477+Sens!J14477)/2</f>
        <v>2.44425800538842</v>
      </c>
      <c r="K14483" s="6" t="n">
        <f aca="false">Sens!K14476*(1-tax_f)-wacc*(Sens!J14477+Sens!K14477)/2</f>
        <v>1.09250214682058</v>
      </c>
    </row>
    <row r="14484" customFormat="false" ht="17.15" hidden="false" customHeight="false" outlineLevel="0" collapsed="false">
      <c r="A14484" s="3" t="s">
        <v>1629</v>
      </c>
    </row>
    <row r="14485" customFormat="false" ht="15" hidden="false" customHeight="false" outlineLevel="0" collapsed="false">
      <c r="A14485" s="4" t="s">
        <v>43</v>
      </c>
      <c r="B14485" s="4" t="s">
        <v>65</v>
      </c>
      <c r="C14485" s="20" t="s">
        <v>799</v>
      </c>
      <c r="D14485" s="20" t="s">
        <v>800</v>
      </c>
      <c r="E14485" s="20" t="s">
        <v>801</v>
      </c>
      <c r="F14485" s="20" t="s">
        <v>802</v>
      </c>
      <c r="G14485" s="20" t="s">
        <v>803</v>
      </c>
      <c r="H14485" s="20" t="s">
        <v>804</v>
      </c>
      <c r="I14485" s="20" t="s">
        <v>805</v>
      </c>
      <c r="J14485" s="20" t="s">
        <v>806</v>
      </c>
      <c r="K14485" s="20" t="s">
        <v>807</v>
      </c>
      <c r="L14485" s="4" t="s">
        <v>47</v>
      </c>
    </row>
    <row r="14486" customFormat="false" ht="15" hidden="false" customHeight="false" outlineLevel="0" collapsed="false">
      <c r="A14486" s="1" t="s">
        <v>925</v>
      </c>
      <c r="B14486" s="0" t="s">
        <v>98</v>
      </c>
      <c r="F14486" s="6" t="n">
        <f aca="false">Sens!F14467</f>
        <v>130.978194679735</v>
      </c>
      <c r="G14486" s="6" t="n">
        <f aca="false">Sens!G14467</f>
        <v>150.458371861336</v>
      </c>
      <c r="H14486" s="6" t="n">
        <f aca="false">Sens!H14467</f>
        <v>169.622825324306</v>
      </c>
      <c r="I14486" s="6" t="n">
        <f aca="false">Sens!I14467</f>
        <v>188.734229475121</v>
      </c>
      <c r="J14486" s="6" t="n">
        <f aca="false">Sens!J14467</f>
        <v>205.882599309811</v>
      </c>
      <c r="K14486" s="6" t="n">
        <f aca="false">Sens!K14467</f>
        <v>221.838895106878</v>
      </c>
    </row>
    <row r="14487" customFormat="false" ht="17.15" hidden="false" customHeight="false" outlineLevel="0" collapsed="false">
      <c r="A14487" s="1" t="s">
        <v>947</v>
      </c>
      <c r="B14487" s="0" t="s">
        <v>98</v>
      </c>
      <c r="E14487" s="6" t="n">
        <f aca="false">Q!M38-Sens!E14405</f>
        <v>22.2285940229167</v>
      </c>
      <c r="F14487" s="6" t="n">
        <f aca="false">Sens!E14487*(1-1/life_nonai)+(Sens!F14494+Sens!F14495)/life_nonai</f>
        <v>37.358881403025</v>
      </c>
      <c r="G14487" s="6" t="n">
        <f aca="false">Sens!F14487*(1-1/life_nonai)+(Sens!G14494)/life_nonai</f>
        <v>37.7382826197614</v>
      </c>
      <c r="H14487" s="6" t="n">
        <f aca="false">Sens!G14487*(1-1/life_nonai)+(Sens!H14494)/life_nonai</f>
        <v>38.6456057221943</v>
      </c>
      <c r="I14487" s="6" t="n">
        <f aca="false">Sens!H14487*(1-1/life_nonai)+(Sens!I14494)/life_nonai</f>
        <v>40.0008851811392</v>
      </c>
      <c r="J14487" s="6" t="n">
        <f aca="false">Sens!I14487*(1-1/life_nonai)+(Sens!J14494)/life_nonai</f>
        <v>41.7088879880627</v>
      </c>
      <c r="K14487" s="6" t="n">
        <f aca="false">Sens!J14487*(1-1/life_nonai)+(Sens!K14494)/life_nonai</f>
        <v>43.6748694634558</v>
      </c>
      <c r="L14487" s="11" t="s">
        <v>948</v>
      </c>
    </row>
    <row r="14488" customFormat="false" ht="17.15" hidden="false" customHeight="false" outlineLevel="0" collapsed="false">
      <c r="A14488" s="1" t="s">
        <v>949</v>
      </c>
      <c r="B14488" s="0" t="s">
        <v>98</v>
      </c>
      <c r="F14488" s="6" t="n">
        <f aca="false">Sens!$F$14495/life_nonai*(1-1/life_nonai)^(Sens!F14371-2027)</f>
        <v>13.7952120594438</v>
      </c>
      <c r="G14488" s="6" t="n">
        <f aca="false">Sens!$F$14495/life_nonai*(1-1/life_nonai)^(Sens!G14371-2027)</f>
        <v>12.4156908534994</v>
      </c>
      <c r="H14488" s="6" t="n">
        <f aca="false">Sens!$F$14495/life_nonai*(1-1/life_nonai)^(Sens!H14371-2027)</f>
        <v>11.1741217681494</v>
      </c>
      <c r="I14488" s="6" t="n">
        <f aca="false">Sens!$F$14495/life_nonai*(1-1/life_nonai)^(Sens!I14371-2027)</f>
        <v>10.0567095913345</v>
      </c>
      <c r="J14488" s="6" t="n">
        <f aca="false">Sens!$F$14495/life_nonai*(1-1/life_nonai)^(Sens!J14371-2027)</f>
        <v>9.05103863220105</v>
      </c>
      <c r="K14488" s="6" t="n">
        <f aca="false">Sens!$F$14495/life_nonai*(1-1/life_nonai)^(Sens!K14371-2027)</f>
        <v>8.14593476898094</v>
      </c>
      <c r="L14488" s="1" t="s">
        <v>950</v>
      </c>
    </row>
    <row r="14489" customFormat="false" ht="17.15" hidden="false" customHeight="false" outlineLevel="0" collapsed="false">
      <c r="A14489" s="1" t="s">
        <v>951</v>
      </c>
      <c r="B14489" s="0" t="s">
        <v>98</v>
      </c>
      <c r="E14489" s="6" t="n">
        <f aca="false">Sens!E14405+Sens!E14487</f>
        <v>38.534</v>
      </c>
      <c r="F14489" s="6" t="n">
        <f aca="false">Sens!F14405+Sens!F14487</f>
        <v>61.9908140426917</v>
      </c>
      <c r="G14489" s="6" t="n">
        <f aca="false">Sens!G14405+Sens!G14487</f>
        <v>67.1804726920948</v>
      </c>
      <c r="H14489" s="6" t="n">
        <f aca="false">Sens!H14405+Sens!H14487</f>
        <v>70.6704952125276</v>
      </c>
      <c r="I14489" s="6" t="n">
        <f aca="false">Sens!I14405+Sens!I14487</f>
        <v>72.6695489010559</v>
      </c>
      <c r="J14489" s="6" t="n">
        <f aca="false">Sens!J14405+Sens!J14487</f>
        <v>75.9935564067293</v>
      </c>
      <c r="K14489" s="6" t="n">
        <f aca="false">Sens!K14405+Sens!K14487</f>
        <v>80.8630910400391</v>
      </c>
    </row>
    <row r="14490" customFormat="false" ht="17.15" hidden="false" customHeight="false" outlineLevel="0" collapsed="false">
      <c r="A14490" s="1" t="s">
        <v>952</v>
      </c>
      <c r="B14490" s="0" t="s">
        <v>98</v>
      </c>
      <c r="F14490" s="6" t="n">
        <f aca="false">Sens!F14432*sbc_r</f>
        <v>14.4364555395187</v>
      </c>
      <c r="G14490" s="6" t="n">
        <f aca="false">Sens!G14432*sbc_r</f>
        <v>16.269733096907</v>
      </c>
      <c r="H14490" s="6" t="n">
        <f aca="false">Sens!H14432*sbc_r</f>
        <v>17.9554039915122</v>
      </c>
      <c r="I14490" s="6" t="n">
        <f aca="false">Sens!I14432*sbc_r</f>
        <v>19.5101823597186</v>
      </c>
      <c r="J14490" s="6" t="n">
        <f aca="false">Sens!J14432*sbc_r</f>
        <v>20.9662261054752</v>
      </c>
      <c r="K14490" s="6" t="n">
        <f aca="false">Sens!K14432*sbc_r</f>
        <v>22.3767433057625</v>
      </c>
    </row>
    <row r="14491" customFormat="false" ht="17.15" hidden="false" customHeight="false" outlineLevel="0" collapsed="false">
      <c r="A14491" s="1" t="s">
        <v>953</v>
      </c>
      <c r="B14491" s="0" t="s">
        <v>98</v>
      </c>
      <c r="F14491" s="6" t="n">
        <f aca="false">wc27</f>
        <v>-4.895</v>
      </c>
      <c r="G14491" s="6" t="n">
        <f aca="false">wc_f</f>
        <v>0</v>
      </c>
      <c r="H14491" s="6" t="n">
        <f aca="false">wc_f</f>
        <v>0</v>
      </c>
      <c r="I14491" s="6" t="n">
        <f aca="false">wc_f</f>
        <v>0</v>
      </c>
      <c r="J14491" s="6" t="n">
        <f aca="false">wc_f</f>
        <v>0</v>
      </c>
      <c r="K14491" s="6" t="n">
        <f aca="false">wc_f</f>
        <v>0</v>
      </c>
      <c r="L14491" s="11" t="s">
        <v>954</v>
      </c>
    </row>
    <row r="14492" customFormat="false" ht="15" hidden="false" customHeight="false" outlineLevel="0" collapsed="false">
      <c r="A14492" s="1" t="s">
        <v>767</v>
      </c>
      <c r="B14492" s="0" t="s">
        <v>98</v>
      </c>
      <c r="E14492" s="6" t="n">
        <f aca="false">Q!M35</f>
        <v>182.935</v>
      </c>
      <c r="F14492" s="6" t="n">
        <f aca="false">Sens!F14486+Sens!F14489+Sens!F14490+Sens!F14491</f>
        <v>202.510464261946</v>
      </c>
      <c r="G14492" s="6" t="n">
        <f aca="false">Sens!G14486+Sens!G14489+Sens!G14490+Sens!G14491</f>
        <v>233.908577650337</v>
      </c>
      <c r="H14492" s="6" t="n">
        <f aca="false">Sens!H14486+Sens!H14489+Sens!H14490+Sens!H14491</f>
        <v>258.248724528345</v>
      </c>
      <c r="I14492" s="6" t="n">
        <f aca="false">Sens!I14486+Sens!I14489+Sens!I14490+Sens!I14491</f>
        <v>280.913960735896</v>
      </c>
      <c r="J14492" s="6" t="n">
        <f aca="false">Sens!J14486+Sens!J14489+Sens!J14490+Sens!J14491</f>
        <v>302.842381822016</v>
      </c>
      <c r="K14492" s="6" t="n">
        <f aca="false">Sens!K14486+Sens!K14489+Sens!K14490+Sens!K14491</f>
        <v>325.07872945268</v>
      </c>
    </row>
    <row r="14493" customFormat="false" ht="17.15" hidden="false" customHeight="false" outlineLevel="0" collapsed="false">
      <c r="A14493" s="0" t="s">
        <v>955</v>
      </c>
      <c r="B14493" s="0" t="s">
        <v>98</v>
      </c>
      <c r="F14493" s="6" t="n">
        <f aca="false">Sens!F14402</f>
        <v>30.668532176</v>
      </c>
      <c r="G14493" s="6" t="n">
        <f aca="false">Sens!G14402</f>
        <v>35.302727016</v>
      </c>
      <c r="H14493" s="6" t="n">
        <f aca="false">Sens!H14402</f>
        <v>0</v>
      </c>
      <c r="I14493" s="6" t="n">
        <f aca="false">Sens!I14402</f>
        <v>30.2586753466667</v>
      </c>
      <c r="J14493" s="6" t="n">
        <f aca="false">Sens!J14402</f>
        <v>45.6967750133333</v>
      </c>
      <c r="K14493" s="6" t="n">
        <f aca="false">Sens!K14402</f>
        <v>90.77602604</v>
      </c>
    </row>
    <row r="14494" customFormat="false" ht="17.15" hidden="false" customHeight="false" outlineLevel="0" collapsed="false">
      <c r="A14494" s="1" t="s">
        <v>956</v>
      </c>
      <c r="B14494" s="0" t="s">
        <v>98</v>
      </c>
      <c r="E14494" s="6" t="n">
        <f aca="false">Sens!E14410*cx_azo+Sens!E14417*cx_m365+Sens!E14418*cx_lic+(Sens!E14420+Sens!E14422)*cx_ind+Sens!E14425*cx_srch+(Sens!E14427+Sens!E14429)*cx_dev</f>
        <v>30.1846587067718</v>
      </c>
      <c r="F14494" s="6" t="n">
        <f aca="false">Sens!F14410*cx_azo+Sens!F14417*cx_m365+Sens!F14418*cx_lic+(Sens!F14420+Sens!F14422)*cx_ind+Sens!F14425*cx_srch+(Sens!F14427+Sens!F14429)*cx_dev</f>
        <v>35.5793472295625</v>
      </c>
      <c r="G14494" s="6" t="n">
        <f aca="false">Sens!G14410*cx_azo+Sens!G14417*cx_m365+Sens!G14418*cx_lic+(Sens!G14420+Sens!G14422)*cx_ind+Sens!G14425*cx_srch+(Sens!G14427+Sens!G14429)*cx_dev</f>
        <v>41.1528935703892</v>
      </c>
      <c r="H14494" s="6" t="n">
        <f aca="false">Sens!H14410*cx_azo+Sens!H14417*cx_m365+Sens!H14418*cx_lic+(Sens!H14420+Sens!H14422)*cx_ind+Sens!H14425*cx_srch+(Sens!H14427+Sens!H14429)*cx_dev</f>
        <v>46.8115136440897</v>
      </c>
      <c r="I14494" s="6" t="n">
        <f aca="false">Sens!I14410*cx_azo+Sens!I14417*cx_m365+Sens!I14418*cx_lic+(Sens!I14420+Sens!I14422)*cx_ind+Sens!I14425*cx_srch+(Sens!I14427+Sens!I14429)*cx_dev</f>
        <v>52.1984003116439</v>
      </c>
      <c r="J14494" s="6" t="n">
        <f aca="false">Sens!J14410*cx_azo+Sens!J14417*cx_m365+Sens!J14418*cx_lic+(Sens!J14420+Sens!J14422)*cx_ind+Sens!J14425*cx_srch+(Sens!J14427+Sens!J14429)*cx_dev</f>
        <v>57.0809132503738</v>
      </c>
      <c r="K14494" s="6" t="n">
        <f aca="false">Sens!K14410*cx_azo+Sens!K14417*cx_m365+Sens!K14418*cx_lic+(Sens!K14420+Sens!K14422)*cx_ind+Sens!K14425*cx_srch+(Sens!K14427+Sens!K14429)*cx_dev</f>
        <v>61.368702741994</v>
      </c>
    </row>
    <row r="14495" customFormat="false" ht="17.15" hidden="false" customHeight="false" outlineLevel="0" collapsed="false">
      <c r="A14495" s="0" t="s">
        <v>957</v>
      </c>
      <c r="B14495" s="0" t="s">
        <v>98</v>
      </c>
      <c r="F14495" s="6" t="n">
        <f aca="false">Sens!F14400</f>
        <v>137.952120594438</v>
      </c>
      <c r="L14495" s="1" t="s">
        <v>958</v>
      </c>
    </row>
    <row r="14496" customFormat="false" ht="17.15" hidden="false" customHeight="false" outlineLevel="0" collapsed="false">
      <c r="A14496" s="1" t="s">
        <v>959</v>
      </c>
      <c r="B14496" s="0" t="s">
        <v>98</v>
      </c>
      <c r="E14496" s="6" t="n">
        <f aca="false">Q!M42</f>
        <v>145.3</v>
      </c>
      <c r="F14496" s="6" t="n">
        <f aca="false">Sens!F14493+Sens!F14494+Sens!F14495</f>
        <v>204.2</v>
      </c>
      <c r="G14496" s="6" t="n">
        <f aca="false">Sens!G14493+Sens!G14494</f>
        <v>76.4556205863892</v>
      </c>
      <c r="H14496" s="6" t="n">
        <f aca="false">Sens!H14493+Sens!H14494</f>
        <v>46.8115136440897</v>
      </c>
      <c r="I14496" s="6" t="n">
        <f aca="false">Sens!I14493+Sens!I14494</f>
        <v>82.4570756583106</v>
      </c>
      <c r="J14496" s="6" t="n">
        <f aca="false">Sens!J14493+Sens!J14494</f>
        <v>102.777688263707</v>
      </c>
      <c r="K14496" s="6" t="n">
        <f aca="false">Sens!K14493+Sens!K14494</f>
        <v>152.144728781994</v>
      </c>
      <c r="L14496" s="1" t="s">
        <v>960</v>
      </c>
    </row>
    <row r="14497" customFormat="false" ht="15" hidden="false" customHeight="false" outlineLevel="0" collapsed="false">
      <c r="A14497" s="1" t="s">
        <v>961</v>
      </c>
      <c r="B14497" s="0" t="s">
        <v>98</v>
      </c>
      <c r="E14497" s="6" t="n">
        <f aca="false">fl_liab</f>
        <v>66.594</v>
      </c>
      <c r="F14497" s="6" t="n">
        <f aca="false">Sens!E14497-Sens!F14498</f>
        <v>62.46973</v>
      </c>
      <c r="G14497" s="6" t="n">
        <f aca="false">Sens!F14497-Sens!G14498</f>
        <v>57.98686785</v>
      </c>
      <c r="H14497" s="6" t="n">
        <f aca="false">Sens!G14497-Sens!H14498</f>
        <v>53.92827690325</v>
      </c>
      <c r="I14497" s="6" t="n">
        <f aca="false">Sens!H14497-Sens!I14498</f>
        <v>49.7850493638962</v>
      </c>
      <c r="J14497" s="6" t="n">
        <f aca="false">Sens!I14497-Sens!J14498</f>
        <v>45.4823765852716</v>
      </c>
      <c r="K14497" s="6" t="n">
        <f aca="false">Sens!J14497-Sens!K14498</f>
        <v>40.9860835316088</v>
      </c>
    </row>
    <row r="14498" customFormat="false" ht="15" hidden="false" customHeight="false" outlineLevel="0" collapsed="false">
      <c r="A14498" s="1" t="s">
        <v>962</v>
      </c>
      <c r="B14498" s="0" t="s">
        <v>98</v>
      </c>
      <c r="F14498" s="6" t="n">
        <f aca="false">fl_pay_27-Sens!E14497*fl_rate</f>
        <v>4.12427</v>
      </c>
      <c r="G14498" s="6" t="n">
        <f aca="false">fl_pay_28-Sens!F14497*fl_rate</f>
        <v>4.48286215</v>
      </c>
      <c r="H14498" s="6" t="n">
        <f aca="false">fl_pay_29-Sens!G14497*fl_rate</f>
        <v>4.05859094675</v>
      </c>
      <c r="I14498" s="6" t="n">
        <f aca="false">fl_pay_30-Sens!H14497*fl_rate</f>
        <v>4.14322753935375</v>
      </c>
      <c r="J14498" s="6" t="n">
        <f aca="false">fl_pay_31-Sens!I14497*fl_rate</f>
        <v>4.30267277862467</v>
      </c>
      <c r="K14498" s="6" t="n">
        <f aca="false">fl_pay_32-Sens!J14497*fl_rate</f>
        <v>4.49629305366278</v>
      </c>
    </row>
    <row r="14499" customFormat="false" ht="17.15" hidden="false" customHeight="false" outlineLevel="0" collapsed="false">
      <c r="A14499" s="1" t="s">
        <v>963</v>
      </c>
      <c r="B14499" s="0" t="s">
        <v>98</v>
      </c>
      <c r="E14499" s="6" t="n">
        <f aca="false">Q!M35-Q!M36-Q!M43</f>
        <v>63.886</v>
      </c>
      <c r="F14499" s="6" t="n">
        <f aca="false">Sens!F14492-Sens!F14496-Sens!F14498</f>
        <v>-5.81380573805448</v>
      </c>
      <c r="G14499" s="6" t="n">
        <f aca="false">Sens!G14492-Sens!G14496-Sens!G14498</f>
        <v>152.970094913948</v>
      </c>
      <c r="H14499" s="6" t="n">
        <f aca="false">Sens!H14492-Sens!H14496-Sens!H14498</f>
        <v>207.378619937506</v>
      </c>
      <c r="I14499" s="6" t="n">
        <f aca="false">Sens!I14492-Sens!I14496-Sens!I14498</f>
        <v>194.313657538231</v>
      </c>
      <c r="J14499" s="6" t="n">
        <f aca="false">Sens!J14492-Sens!J14496-Sens!J14498</f>
        <v>195.762020779684</v>
      </c>
      <c r="K14499" s="6" t="n">
        <f aca="false">Sens!K14492-Sens!K14496-Sens!K14498</f>
        <v>168.437707617023</v>
      </c>
      <c r="L14499" s="11" t="s">
        <v>964</v>
      </c>
    </row>
    <row r="14500" customFormat="false" ht="15" hidden="false" customHeight="false" outlineLevel="0" collapsed="false">
      <c r="A14500" s="1" t="s">
        <v>965</v>
      </c>
      <c r="B14500" s="0" t="s">
        <v>75</v>
      </c>
      <c r="F14500" s="8" t="n">
        <f aca="false">dps_27</f>
        <v>3.85</v>
      </c>
      <c r="G14500" s="8" t="n">
        <f aca="false">Sens!F14500*(1+dps_g)</f>
        <v>4.158</v>
      </c>
      <c r="H14500" s="8" t="n">
        <f aca="false">Sens!G14500*(1+dps_g)</f>
        <v>4.49064</v>
      </c>
      <c r="I14500" s="8" t="n">
        <f aca="false">Sens!H14500*(1+dps_g)</f>
        <v>4.8498912</v>
      </c>
      <c r="J14500" s="8" t="n">
        <f aca="false">Sens!I14500*(1+dps_g)</f>
        <v>5.237882496</v>
      </c>
      <c r="K14500" s="8" t="n">
        <f aca="false">Sens!J14500*(1+dps_g)</f>
        <v>5.65691309568</v>
      </c>
    </row>
    <row r="14501" customFormat="false" ht="17.15" hidden="false" customHeight="false" outlineLevel="0" collapsed="false">
      <c r="A14501" s="1" t="s">
        <v>966</v>
      </c>
      <c r="B14501" s="0" t="s">
        <v>98</v>
      </c>
      <c r="E14501" s="6" t="n">
        <f aca="false">Q!M41</f>
        <v>26.445</v>
      </c>
      <c r="F14501" s="6" t="n">
        <f aca="false">Sens!F14500*Sens!E14510</f>
        <v>28.59395</v>
      </c>
      <c r="G14501" s="6" t="n">
        <f aca="false">Sens!G14500*Sens!F14510</f>
        <v>31.068576</v>
      </c>
      <c r="H14501" s="6" t="n">
        <f aca="false">Sens!H14500*Sens!G14510</f>
        <v>33.5888350159995</v>
      </c>
      <c r="I14501" s="6" t="n">
        <f aca="false">Sens!I14500*Sens!H14510</f>
        <v>36.3268810572789</v>
      </c>
      <c r="J14501" s="6" t="n">
        <f aca="false">Sens!J14500*Sens!I14510</f>
        <v>39.3014303901806</v>
      </c>
      <c r="K14501" s="6" t="n">
        <f aca="false">Sens!K14500*Sens!J14510</f>
        <v>42.5328000467001</v>
      </c>
      <c r="L14501" s="1" t="s">
        <v>967</v>
      </c>
    </row>
    <row r="14502" customFormat="false" ht="15" hidden="false" customHeight="false" outlineLevel="0" collapsed="false">
      <c r="A14502" s="1" t="s">
        <v>968</v>
      </c>
      <c r="B14502" s="0" t="s">
        <v>98</v>
      </c>
      <c r="E14502" s="6" t="n">
        <f aca="false">Sens!E14499-Sens!E14501</f>
        <v>37.441</v>
      </c>
      <c r="F14502" s="6" t="n">
        <f aca="false">Sens!F14499-Sens!F14501</f>
        <v>-34.4077557380545</v>
      </c>
      <c r="G14502" s="6" t="n">
        <f aca="false">Sens!G14499-Sens!G14501</f>
        <v>121.901518913948</v>
      </c>
      <c r="H14502" s="6" t="n">
        <f aca="false">Sens!H14499-Sens!H14501</f>
        <v>173.789784921506</v>
      </c>
      <c r="I14502" s="6" t="n">
        <f aca="false">Sens!I14499-Sens!I14501</f>
        <v>157.986776480953</v>
      </c>
      <c r="J14502" s="6" t="n">
        <f aca="false">Sens!J14499-Sens!J14501</f>
        <v>156.460590389503</v>
      </c>
      <c r="K14502" s="6" t="n">
        <f aca="false">Sens!K14499-Sens!K14501</f>
        <v>125.904907570323</v>
      </c>
    </row>
    <row r="14503" customFormat="false" ht="15" hidden="false" customHeight="false" outlineLevel="0" collapsed="false">
      <c r="A14503" s="1" t="s">
        <v>969</v>
      </c>
      <c r="B14503" s="0" t="s">
        <v>98</v>
      </c>
      <c r="F14503" s="6" t="n">
        <f aca="false">debt_mat_27</f>
        <v>9.25</v>
      </c>
      <c r="G14503" s="6" t="n">
        <f aca="false">debt_mat_28</f>
        <v>0</v>
      </c>
      <c r="H14503" s="6" t="n">
        <f aca="false">debt_mat_29</f>
        <v>2.001</v>
      </c>
      <c r="I14503" s="6" t="n">
        <f aca="false">debt_mat_30</f>
        <v>0</v>
      </c>
      <c r="J14503" s="6" t="n">
        <f aca="false">debt_mat_31</f>
        <v>0.5</v>
      </c>
      <c r="K14503" s="6" t="n">
        <f aca="false">debt_mat_32</f>
        <v>0</v>
      </c>
    </row>
    <row r="14504" customFormat="false" ht="15" hidden="false" customHeight="false" outlineLevel="0" collapsed="false">
      <c r="A14504" s="1" t="s">
        <v>970</v>
      </c>
      <c r="B14504" s="0" t="s">
        <v>98</v>
      </c>
      <c r="E14504" s="6" t="n">
        <f aca="false">Q!M40</f>
        <v>22.271</v>
      </c>
      <c r="F14504" s="6" t="n">
        <f aca="false">MAX(0,MIN(bb_target,Sens!E14506+Sens!F14502-Sens!F14503-min_cash))</f>
        <v>0</v>
      </c>
      <c r="G14504" s="6" t="n">
        <f aca="false">MAX(0,MIN(bb_target,Sens!F14506+Sens!G14502-Sens!G14503-min_cash))</f>
        <v>22.271</v>
      </c>
      <c r="H14504" s="6" t="n">
        <f aca="false">MAX(0,MIN(bb_target,Sens!G14506+Sens!H14502-Sens!H14503-min_cash))</f>
        <v>22.271</v>
      </c>
      <c r="I14504" s="6" t="n">
        <f aca="false">MAX(0,MIN(bb_target,Sens!H14506+Sens!I14502-Sens!I14503-min_cash))</f>
        <v>22.271</v>
      </c>
      <c r="J14504" s="6" t="n">
        <f aca="false">MAX(0,MIN(bb_target,Sens!I14506+Sens!J14502-Sens!J14503-min_cash))</f>
        <v>22.271</v>
      </c>
      <c r="K14504" s="6" t="n">
        <f aca="false">MAX(0,MIN(bb_target,Sens!J14506+Sens!K14502-Sens!K14503-min_cash))</f>
        <v>22.271</v>
      </c>
    </row>
    <row r="14505" customFormat="false" ht="15" hidden="false" customHeight="false" outlineLevel="0" collapsed="false">
      <c r="A14505" s="1" t="s">
        <v>971</v>
      </c>
      <c r="B14505" s="0" t="s">
        <v>98</v>
      </c>
      <c r="F14505" s="6" t="n">
        <f aca="false">MAX(0,min_cash-(Sens!E14506+Sens!F14502-Sens!F14503-Sens!F14504))</f>
        <v>16.8147557380545</v>
      </c>
      <c r="G14505" s="6" t="n">
        <f aca="false">MAX(0,min_cash-(Sens!F14506+Sens!G14502-Sens!G14503-Sens!G14504))</f>
        <v>0</v>
      </c>
      <c r="H14505" s="6" t="n">
        <f aca="false">MAX(0,min_cash-(Sens!G14506+Sens!H14502-Sens!H14503-Sens!H14504))</f>
        <v>0</v>
      </c>
      <c r="I14505" s="6" t="n">
        <f aca="false">MAX(0,min_cash-(Sens!H14506+Sens!I14502-Sens!I14503-Sens!I14504))</f>
        <v>0</v>
      </c>
      <c r="J14505" s="6" t="n">
        <f aca="false">MAX(0,min_cash-(Sens!I14506+Sens!J14502-Sens!J14503-Sens!J14504))</f>
        <v>0</v>
      </c>
      <c r="K14505" s="6" t="n">
        <f aca="false">MAX(0,min_cash-(Sens!J14506+Sens!K14502-Sens!K14503-Sens!K14504))</f>
        <v>0</v>
      </c>
    </row>
    <row r="14506" customFormat="false" ht="15" hidden="false" customHeight="false" outlineLevel="0" collapsed="false">
      <c r="A14506" s="1" t="s">
        <v>972</v>
      </c>
      <c r="B14506" s="0" t="s">
        <v>98</v>
      </c>
      <c r="E14506" s="6" t="n">
        <f aca="false">cash_open</f>
        <v>76.843</v>
      </c>
      <c r="F14506" s="6" t="n">
        <f aca="false">Sens!E14506+Sens!F14502-Sens!F14503-Sens!F14504+Sens!F14505</f>
        <v>50</v>
      </c>
      <c r="G14506" s="6" t="n">
        <f aca="false">Sens!F14506+Sens!G14502-Sens!G14503-Sens!G14504+Sens!G14505</f>
        <v>149.630518913948</v>
      </c>
      <c r="H14506" s="6" t="n">
        <f aca="false">Sens!G14506+Sens!H14502-Sens!H14503-Sens!H14504+Sens!H14505</f>
        <v>299.148303835454</v>
      </c>
      <c r="I14506" s="6" t="n">
        <f aca="false">Sens!H14506+Sens!I14502-Sens!I14503-Sens!I14504+Sens!I14505</f>
        <v>434.864080316407</v>
      </c>
      <c r="J14506" s="6" t="n">
        <f aca="false">Sens!I14506+Sens!J14502-Sens!J14503-Sens!J14504+Sens!J14505</f>
        <v>568.55367070591</v>
      </c>
      <c r="K14506" s="6" t="n">
        <f aca="false">Sens!J14506+Sens!K14502-Sens!K14503-Sens!K14504+Sens!K14505</f>
        <v>672.187578276233</v>
      </c>
    </row>
    <row r="14507" customFormat="false" ht="15" hidden="false" customHeight="false" outlineLevel="0" collapsed="false">
      <c r="A14507" s="1" t="s">
        <v>973</v>
      </c>
      <c r="B14507" s="0" t="s">
        <v>98</v>
      </c>
      <c r="E14507" s="6" t="n">
        <f aca="false">debt_face</f>
        <v>46.136</v>
      </c>
      <c r="F14507" s="6" t="n">
        <f aca="false">Sens!E14507-Sens!F14503+Sens!F14505</f>
        <v>53.7007557380545</v>
      </c>
      <c r="G14507" s="6" t="n">
        <f aca="false">Sens!F14507-Sens!G14503+Sens!G14505</f>
        <v>53.7007557380545</v>
      </c>
      <c r="H14507" s="6" t="n">
        <f aca="false">Sens!G14507-Sens!H14503+Sens!H14505</f>
        <v>51.6997557380545</v>
      </c>
      <c r="I14507" s="6" t="n">
        <f aca="false">Sens!H14507-Sens!I14503+Sens!I14505</f>
        <v>51.6997557380545</v>
      </c>
      <c r="J14507" s="6" t="n">
        <f aca="false">Sens!I14507-Sens!J14503+Sens!J14505</f>
        <v>51.1997557380545</v>
      </c>
      <c r="K14507" s="6" t="n">
        <f aca="false">Sens!J14507-Sens!K14503+Sens!K14505</f>
        <v>51.1997557380545</v>
      </c>
    </row>
    <row r="14508" customFormat="false" ht="15" hidden="false" customHeight="false" outlineLevel="0" collapsed="false">
      <c r="A14508" s="1" t="s">
        <v>974</v>
      </c>
      <c r="B14508" s="0" t="s">
        <v>98</v>
      </c>
      <c r="E14508" s="6" t="n">
        <f aca="false">Sens!E14506-Sens!E14507</f>
        <v>30.707</v>
      </c>
      <c r="F14508" s="6" t="n">
        <f aca="false">Sens!F14506-Sens!F14507</f>
        <v>-3.70075573805448</v>
      </c>
      <c r="G14508" s="6" t="n">
        <f aca="false">Sens!G14506-Sens!G14507</f>
        <v>95.9297631758936</v>
      </c>
      <c r="H14508" s="6" t="n">
        <f aca="false">Sens!H14506-Sens!H14507</f>
        <v>247.4485480974</v>
      </c>
      <c r="I14508" s="6" t="n">
        <f aca="false">Sens!I14506-Sens!I14507</f>
        <v>383.164324578352</v>
      </c>
      <c r="J14508" s="6" t="n">
        <f aca="false">Sens!J14506-Sens!J14507</f>
        <v>517.353914967856</v>
      </c>
      <c r="K14508" s="6" t="n">
        <f aca="false">Sens!K14506-Sens!K14507</f>
        <v>620.987822538178</v>
      </c>
    </row>
    <row r="14509" customFormat="false" ht="15" hidden="false" customHeight="false" outlineLevel="0" collapsed="false">
      <c r="A14509" s="1" t="s">
        <v>975</v>
      </c>
      <c r="B14509" s="0" t="s">
        <v>75</v>
      </c>
      <c r="F14509" s="29" t="n">
        <f aca="false">px*(1+bb_g)^(Sens!F14371-base_fy-mid_yr)</f>
        <v>553.494156066711</v>
      </c>
      <c r="G14509" s="29" t="n">
        <f aca="false">px*(1+bb_g)^(Sens!G14371-base_fy-mid_yr)</f>
        <v>597.773688552047</v>
      </c>
      <c r="H14509" s="29" t="n">
        <f aca="false">px*(1+bb_g)^(Sens!H14371-base_fy-mid_yr)</f>
        <v>645.595583636211</v>
      </c>
      <c r="I14509" s="29" t="n">
        <f aca="false">px*(1+bb_g)^(Sens!I14371-base_fy-mid_yr)</f>
        <v>697.243230327108</v>
      </c>
      <c r="J14509" s="29" t="n">
        <f aca="false">px*(1+bb_g)^(Sens!J14371-base_fy-mid_yr)</f>
        <v>753.022688753277</v>
      </c>
      <c r="K14509" s="29" t="n">
        <f aca="false">px*(1+bb_g)^(Sens!K14371-base_fy-mid_yr)</f>
        <v>813.264503853539</v>
      </c>
    </row>
    <row r="14510" customFormat="false" ht="15" hidden="false" customHeight="false" outlineLevel="0" collapsed="false">
      <c r="A14510" s="1" t="s">
        <v>976</v>
      </c>
      <c r="B14510" s="1" t="s">
        <v>81</v>
      </c>
      <c r="E14510" s="14" t="n">
        <f aca="false">sh_out26</f>
        <v>7.427</v>
      </c>
      <c r="F14510" s="14" t="n">
        <f aca="false">Sens!E14510+sh_iss-Sens!F14504/Sens!F14509</f>
        <v>7.472</v>
      </c>
      <c r="G14510" s="14" t="n">
        <f aca="false">Sens!F14510+sh_iss-Sens!G14504/Sens!G14509</f>
        <v>7.47974342543589</v>
      </c>
      <c r="H14510" s="14" t="n">
        <f aca="false">Sens!G14510+sh_iss-Sens!H14504/Sens!H14509</f>
        <v>7.4902465971358</v>
      </c>
      <c r="I14510" s="14" t="n">
        <f aca="false">Sens!H14510+sh_iss-Sens!I14504/Sens!I14509</f>
        <v>7.50330508945052</v>
      </c>
      <c r="J14510" s="14" t="n">
        <f aca="false">Sens!I14510+sh_iss-Sens!J14504/Sens!J14509</f>
        <v>7.51872961937156</v>
      </c>
      <c r="K14510" s="14" t="n">
        <f aca="false">Sens!J14510+sh_iss-Sens!K14504/Sens!K14509</f>
        <v>7.53634492485401</v>
      </c>
    </row>
    <row r="14511" customFormat="false" ht="15" hidden="false" customHeight="false" outlineLevel="0" collapsed="false">
      <c r="A14511" s="1" t="s">
        <v>977</v>
      </c>
      <c r="B14511" s="1" t="s">
        <v>81</v>
      </c>
      <c r="E14511" s="14" t="n">
        <f aca="false">sh_dil26</f>
        <v>7.453</v>
      </c>
      <c r="F14511" s="14" t="n">
        <f aca="false">(Sens!E14510+Sens!F14510)/2+dil_gap</f>
        <v>7.4735</v>
      </c>
      <c r="G14511" s="14" t="n">
        <f aca="false">(Sens!F14510+Sens!G14510)/2+dil_gap</f>
        <v>7.49987171271795</v>
      </c>
      <c r="H14511" s="14" t="n">
        <f aca="false">(Sens!G14510+Sens!H14510)/2+dil_gap</f>
        <v>7.50899501128585</v>
      </c>
      <c r="I14511" s="14" t="n">
        <f aca="false">(Sens!H14510+Sens!I14510)/2+dil_gap</f>
        <v>7.52077584329316</v>
      </c>
      <c r="J14511" s="14" t="n">
        <f aca="false">(Sens!I14510+Sens!J14510)/2+dil_gap</f>
        <v>7.53501735441104</v>
      </c>
      <c r="K14511" s="14" t="n">
        <f aca="false">(Sens!J14510+Sens!K14510)/2+dil_gap</f>
        <v>7.55153727211278</v>
      </c>
    </row>
    <row r="14512" customFormat="false" ht="17.15" hidden="false" customHeight="false" outlineLevel="0" collapsed="false">
      <c r="A14512" s="1" t="s">
        <v>978</v>
      </c>
      <c r="B14512" s="0" t="s">
        <v>98</v>
      </c>
      <c r="C14512" s="6" t="n">
        <f aca="false">SUM(Sens!F14502:J14502)</f>
        <v>575.730914967856</v>
      </c>
    </row>
    <row r="14513" customFormat="false" ht="15" hidden="false" customHeight="false" outlineLevel="0" collapsed="false">
      <c r="A14513" s="23" t="s">
        <v>945</v>
      </c>
      <c r="B14513" s="30" t="s">
        <v>98</v>
      </c>
      <c r="C14513" s="24" t="n">
        <f aca="false">Sens!$C$14512-(Sens!F14502+Sens!G14502+Sens!H14502+Sens!I14502+Sens!J14502)</f>
        <v>0</v>
      </c>
      <c r="D14513" s="30"/>
      <c r="E14513" s="30"/>
      <c r="F14513" s="30"/>
      <c r="G14513" s="30"/>
      <c r="H14513" s="30"/>
      <c r="I14513" s="30"/>
      <c r="J14513" s="30"/>
      <c r="K14513" s="30"/>
    </row>
    <row r="14514" customFormat="false" ht="17.15" hidden="false" customHeight="false" outlineLevel="0" collapsed="false">
      <c r="A14514" s="1" t="s">
        <v>939</v>
      </c>
      <c r="B14514" s="1" t="s">
        <v>979</v>
      </c>
      <c r="C14514" s="32" t="str">
        <f aca="false">IF(SUM(Sens!F14505:J14505)&gt;0.05,"需要舉債 "&amp;TEXT(SUM(Sens!F14505:J14505),"0.0")&amp;" 十億美元","不需舉債")&amp;"；"&amp;IF(SUM(Sens!F14504:J14504)&lt;COUNT(Sens!F14504:J14504)*bb_target-0.05,"回購較每年 "&amp;TEXT(bb_target,"0.0")&amp;" 的目標少 "&amp;TEXT(COUNT(Sens!F14504:J14504)*bb_target-SUM(Sens!F14504:J14504),"0.0")&amp;" 十億美元（"&amp;TEXT(COUNTIF(Sens!F14504:J14504,"&lt;"&amp;(bb_target-0.05)),"0")&amp;" 年減少）","回購不減")</f>
        <v>需要舉債 16.8 十億美元；回購較每年 22.3 的目標少 22.3 十億美元（1 年減少）</v>
      </c>
    </row>
    <row r="14515" customFormat="false" ht="17.15" hidden="false" customHeight="false" outlineLevel="0" collapsed="false">
      <c r="A14515" s="3" t="s">
        <v>1630</v>
      </c>
    </row>
    <row r="14516" customFormat="false" ht="15" hidden="false" customHeight="false" outlineLevel="0" collapsed="false">
      <c r="A14516" s="4" t="s">
        <v>43</v>
      </c>
      <c r="B14516" s="4" t="s">
        <v>65</v>
      </c>
      <c r="C14516" s="20" t="s">
        <v>799</v>
      </c>
      <c r="D14516" s="20" t="s">
        <v>800</v>
      </c>
      <c r="E14516" s="20" t="s">
        <v>801</v>
      </c>
      <c r="F14516" s="20" t="s">
        <v>802</v>
      </c>
      <c r="G14516" s="20" t="s">
        <v>803</v>
      </c>
      <c r="H14516" s="20" t="s">
        <v>804</v>
      </c>
      <c r="I14516" s="20" t="s">
        <v>805</v>
      </c>
      <c r="J14516" s="20" t="s">
        <v>806</v>
      </c>
      <c r="K14516" s="20" t="s">
        <v>807</v>
      </c>
      <c r="L14516" s="4" t="s">
        <v>47</v>
      </c>
    </row>
    <row r="14517" customFormat="false" ht="15" hidden="false" customHeight="false" outlineLevel="0" collapsed="false">
      <c r="A14517" s="1" t="s">
        <v>1057</v>
      </c>
      <c r="B14517" s="1" t="s">
        <v>235</v>
      </c>
      <c r="F14517" s="36" t="n">
        <f aca="false">Sens!F14371-base_fy-mid_yr</f>
        <v>0.5</v>
      </c>
      <c r="G14517" s="36" t="n">
        <f aca="false">Sens!G14371-base_fy-mid_yr</f>
        <v>1.5</v>
      </c>
      <c r="H14517" s="36" t="n">
        <f aca="false">Sens!H14371-base_fy-mid_yr</f>
        <v>2.5</v>
      </c>
      <c r="I14517" s="36" t="n">
        <f aca="false">Sens!I14371-base_fy-mid_yr</f>
        <v>3.5</v>
      </c>
      <c r="J14517" s="36" t="n">
        <f aca="false">Sens!J14371-base_fy-mid_yr</f>
        <v>4.5</v>
      </c>
      <c r="K14517" s="36" t="n">
        <f aca="false">Sens!K14371-base_fy-mid_yr</f>
        <v>5.5</v>
      </c>
    </row>
    <row r="14518" customFormat="false" ht="15" hidden="false" customHeight="false" outlineLevel="0" collapsed="false">
      <c r="A14518" s="1" t="s">
        <v>1058</v>
      </c>
      <c r="B14518" s="0" t="s">
        <v>185</v>
      </c>
      <c r="F14518" s="14" t="n">
        <f aca="false">1/(1+wacc)^Sens!F14517</f>
        <v>0.952193373608246</v>
      </c>
      <c r="G14518" s="14" t="n">
        <f aca="false">1/(1+wacc)^Sens!G14517</f>
        <v>0.863327280626589</v>
      </c>
      <c r="H14518" s="14" t="n">
        <f aca="false">1/(1+wacc)^Sens!H14517</f>
        <v>0.782754862754115</v>
      </c>
      <c r="I14518" s="14" t="n">
        <f aca="false">1/(1+wacc)^Sens!I14517</f>
        <v>0.709702089711011</v>
      </c>
      <c r="J14518" s="14" t="n">
        <f aca="false">1/(1+wacc)^Sens!J14517</f>
        <v>0.643467169744551</v>
      </c>
      <c r="K14518" s="14" t="n">
        <f aca="false">1/(1+wacc)^Sens!K14517</f>
        <v>0.583413807767797</v>
      </c>
    </row>
    <row r="14519" customFormat="false" ht="17.15" hidden="false" customHeight="false" outlineLevel="0" collapsed="false">
      <c r="A14519" s="1" t="s">
        <v>1059</v>
      </c>
      <c r="B14519" s="0" t="s">
        <v>98</v>
      </c>
      <c r="F14519" s="6" t="n">
        <f aca="false">Sens!F14492-Sens!F14490-Sens!F14496+Sens!F14475*(1-tax_f)</f>
        <v>-16.1259912775732</v>
      </c>
      <c r="G14519" s="6" t="n">
        <f aca="false">Sens!G14492-Sens!G14490-Sens!G14496+Sens!G14475*(1-tax_f)</f>
        <v>141.183223967041</v>
      </c>
      <c r="H14519" s="6" t="n">
        <f aca="false">Sens!H14492-Sens!H14490-Sens!H14496+Sens!H14475*(1-tax_f)</f>
        <v>193.481806892744</v>
      </c>
      <c r="I14519" s="6" t="n">
        <f aca="false">Sens!I14492-Sens!I14490-Sens!I14496+Sens!I14475*(1-tax_f)</f>
        <v>178.946702717867</v>
      </c>
      <c r="J14519" s="6" t="n">
        <f aca="false">Sens!J14492-Sens!J14490-Sens!J14496+Sens!J14475*(1-tax_f)</f>
        <v>179.098467452833</v>
      </c>
      <c r="K14519" s="6" t="n">
        <f aca="false">Sens!K14492-Sens!K14490-Sens!K14496+Sens!K14475*(1-tax_f)</f>
        <v>150.557257364923</v>
      </c>
      <c r="L14519" s="1" t="s">
        <v>1060</v>
      </c>
    </row>
    <row r="14520" customFormat="false" ht="15" hidden="false" customHeight="false" outlineLevel="0" collapsed="false">
      <c r="A14520" s="1" t="s">
        <v>1061</v>
      </c>
      <c r="B14520" s="0" t="s">
        <v>98</v>
      </c>
      <c r="F14520" s="6" t="n">
        <f aca="false">Sens!F14519*Sens!F14518</f>
        <v>-15.3550620373696</v>
      </c>
      <c r="G14520" s="6" t="n">
        <f aca="false">Sens!G14519*Sens!G14518</f>
        <v>121.88732881756</v>
      </c>
      <c r="H14520" s="6" t="n">
        <f aca="false">Sens!H14519*Sens!H14518</f>
        <v>151.448825199748</v>
      </c>
      <c r="I14520" s="6" t="n">
        <f aca="false">Sens!I14519*Sens!I14518</f>
        <v>126.998848865765</v>
      </c>
      <c r="J14520" s="6" t="n">
        <f aca="false">Sens!J14519*Sens!J14518</f>
        <v>115.243983957461</v>
      </c>
      <c r="K14520" s="6" t="n">
        <f aca="false">Sens!K14519*Sens!K14518</f>
        <v>87.837182806346</v>
      </c>
    </row>
    <row r="14521" customFormat="false" ht="17.15" hidden="false" customHeight="false" outlineLevel="0" collapsed="false">
      <c r="A14521" s="1" t="s">
        <v>1062</v>
      </c>
      <c r="B14521" s="0" t="s">
        <v>98</v>
      </c>
      <c r="C14521" s="6" t="n">
        <f aca="false">SUM(Sens!F14520:K14520)</f>
        <v>588.06110760951</v>
      </c>
    </row>
    <row r="14522" customFormat="false" ht="17.15" hidden="false" customHeight="false" outlineLevel="0" collapsed="false">
      <c r="A14522" s="1" t="s">
        <v>1063</v>
      </c>
      <c r="B14522" s="0" t="s">
        <v>98</v>
      </c>
      <c r="C14522" s="6" t="n">
        <f aca="false">Sens!K14461*(1+g_tv)*(1-tax_f)</f>
        <v>228.823661960084</v>
      </c>
    </row>
    <row r="14523" customFormat="false" ht="17.15" hidden="false" customHeight="false" outlineLevel="0" collapsed="false">
      <c r="A14523" s="1" t="s">
        <v>1064</v>
      </c>
      <c r="B14523" s="0" t="s">
        <v>98</v>
      </c>
      <c r="C14523" s="6" t="n">
        <f aca="false">Sens!$C$14522*(1-g_tv/(wacc+ronic_prem))</f>
        <v>162.133531947124</v>
      </c>
    </row>
    <row r="14524" customFormat="false" ht="17.15" hidden="false" customHeight="false" outlineLevel="0" collapsed="false">
      <c r="A14524" s="1" t="s">
        <v>1065</v>
      </c>
      <c r="B14524" s="0" t="s">
        <v>98</v>
      </c>
      <c r="C14524" s="6" t="n">
        <f aca="false">Sens!$C$14523/(wacc-g_tv)</f>
        <v>2223.00433376534</v>
      </c>
    </row>
    <row r="14525" customFormat="false" ht="15" hidden="false" customHeight="false" outlineLevel="0" collapsed="false">
      <c r="A14525" s="1" t="s">
        <v>1066</v>
      </c>
      <c r="B14525" s="0" t="s">
        <v>98</v>
      </c>
      <c r="C14525" s="6" t="n">
        <f aca="false">Sens!$C$14524/(1+wacc)^(Sens!K14517+mid_yr)</f>
        <v>1234.92950704905</v>
      </c>
    </row>
    <row r="14526" customFormat="false" ht="17.15" hidden="false" customHeight="false" outlineLevel="0" collapsed="false">
      <c r="A14526" s="0" t="s">
        <v>986</v>
      </c>
      <c r="B14526" s="0" t="s">
        <v>98</v>
      </c>
      <c r="C14526" s="6" t="n">
        <f aca="false">Sens!$C$14521+Sens!$C$14525</f>
        <v>1822.99061465856</v>
      </c>
    </row>
    <row r="14527" customFormat="false" ht="15" hidden="false" customHeight="false" outlineLevel="0" collapsed="false">
      <c r="A14527" s="1" t="s">
        <v>987</v>
      </c>
      <c r="B14527" s="0" t="s">
        <v>129</v>
      </c>
      <c r="C14527" s="7" t="n">
        <f aca="false">Sens!$C$14525/Sens!$C$14526</f>
        <v>0.677419563830473</v>
      </c>
    </row>
    <row r="14528" customFormat="false" ht="17.15" hidden="false" customHeight="false" outlineLevel="0" collapsed="false">
      <c r="A14528" s="1" t="s">
        <v>1067</v>
      </c>
      <c r="B14528" s="0" t="s">
        <v>98</v>
      </c>
      <c r="C14528" s="6" t="n">
        <f aca="false">Sens!$C$14526+Sens!E14508-Sens!E14497+oai_v</f>
        <v>1957.50361465856</v>
      </c>
    </row>
    <row r="14529" customFormat="false" ht="17.15" hidden="false" customHeight="false" outlineLevel="0" collapsed="false">
      <c r="A14529" s="0" t="s">
        <v>994</v>
      </c>
      <c r="B14529" s="0" t="s">
        <v>75</v>
      </c>
      <c r="C14529" s="5" t="n">
        <f aca="false">Sens!$C$14528/sh_dil26</f>
        <v>262.646399390656</v>
      </c>
    </row>
    <row r="14530" customFormat="false" ht="15" hidden="false" customHeight="false" outlineLevel="0" collapsed="false">
      <c r="A14530" s="1" t="s">
        <v>1068</v>
      </c>
      <c r="B14530" s="0" t="s">
        <v>75</v>
      </c>
      <c r="C14530" s="8" t="n">
        <f aca="false">dps_27+Sens!G14500*roll_div_q/q_per_yr</f>
        <v>4.8895</v>
      </c>
    </row>
    <row r="14531" customFormat="false" ht="17.15" hidden="false" customHeight="false" outlineLevel="0" collapsed="false">
      <c r="A14531" s="0" t="s">
        <v>1069</v>
      </c>
      <c r="B14531" s="0" t="s">
        <v>75</v>
      </c>
      <c r="C14531" s="5" t="n">
        <f aca="false">Sens!$C$14529*(1+wacc)^t_roll-Sens!$C$14530</f>
        <v>294.194724624853</v>
      </c>
    </row>
    <row r="14532" customFormat="false" ht="17.15" hidden="false" customHeight="false" outlineLevel="0" collapsed="false">
      <c r="A14532" s="1" t="s">
        <v>1070</v>
      </c>
      <c r="B14532" s="0" t="s">
        <v>129</v>
      </c>
      <c r="F14532" s="7" t="n">
        <f aca="false">Sens!F14487/(Sens!F14432-Sens!F14388)</f>
        <v>0.10849319067406</v>
      </c>
      <c r="G14532" s="7" t="n">
        <f aca="false">Sens!G14487/(Sens!G14432-Sens!G14388)</f>
        <v>0.097831708902195</v>
      </c>
      <c r="H14532" s="7" t="n">
        <f aca="false">Sens!H14487/(Sens!H14432-Sens!H14388)</f>
        <v>0.0903066648889736</v>
      </c>
      <c r="I14532" s="7" t="n">
        <f aca="false">Sens!I14487/(Sens!I14432-Sens!I14388)</f>
        <v>0.0854412369933345</v>
      </c>
      <c r="J14532" s="7" t="n">
        <f aca="false">Sens!J14487/(Sens!J14432-Sens!J14388)</f>
        <v>0.0825813631772884</v>
      </c>
      <c r="K14532" s="7" t="n">
        <f aca="false">Sens!K14487/(Sens!K14432-Sens!K14388)</f>
        <v>0.0810721766695471</v>
      </c>
    </row>
    <row r="14533" customFormat="false" ht="17.15" hidden="false" customHeight="false" outlineLevel="0" collapsed="false">
      <c r="A14533" s="0" t="s">
        <v>1071</v>
      </c>
      <c r="B14533" s="0" t="s">
        <v>98</v>
      </c>
      <c r="F14533" s="6" t="n">
        <f aca="false">Sens!F14417*(al_m365+Sens!F14532+sbc_r)</f>
        <v>88.6789520821285</v>
      </c>
      <c r="G14533" s="6" t="n">
        <f aca="false">Sens!G14417*(al_m365+Sens!G14532+sbc_r)</f>
        <v>100.756831694771</v>
      </c>
      <c r="H14533" s="6" t="n">
        <f aca="false">Sens!H14417*(al_m365+Sens!H14532+sbc_r)</f>
        <v>112.993665354391</v>
      </c>
      <c r="I14533" s="6" t="n">
        <f aca="false">Sens!I14417*(al_m365+Sens!I14532+sbc_r)</f>
        <v>124.205729114279</v>
      </c>
      <c r="J14533" s="6" t="n">
        <f aca="false">Sens!J14417*(al_m365+Sens!J14532+sbc_r)</f>
        <v>134.224824978134</v>
      </c>
      <c r="K14533" s="6" t="n">
        <f aca="false">Sens!K14417*(al_m365+Sens!K14532+sbc_r)</f>
        <v>143.890677223011</v>
      </c>
      <c r="L14533" s="11" t="s">
        <v>1072</v>
      </c>
    </row>
    <row r="14534" customFormat="false" ht="17.15" hidden="false" customHeight="false" outlineLevel="0" collapsed="false">
      <c r="A14534" s="0" t="s">
        <v>1073</v>
      </c>
      <c r="B14534" s="0" t="s">
        <v>98</v>
      </c>
      <c r="F14534" s="6" t="n">
        <f aca="false">Sens!F14418*(al_lic+Sens!F14532+sbc_r)</f>
        <v>35.0037330971867</v>
      </c>
      <c r="G14534" s="6" t="n">
        <f aca="false">Sens!G14418*(al_lic+Sens!G14532+sbc_r)</f>
        <v>36.0517357143531</v>
      </c>
      <c r="H14534" s="6" t="n">
        <f aca="false">Sens!H14418*(al_lic+Sens!H14532+sbc_r)</f>
        <v>37.0591987412318</v>
      </c>
      <c r="I14534" s="6" t="n">
        <f aca="false">Sens!I14418*(al_lic+Sens!I14532+sbc_r)</f>
        <v>38.002573653552</v>
      </c>
      <c r="J14534" s="6" t="n">
        <f aca="false">Sens!J14418*(al_lic+Sens!J14532+sbc_r)</f>
        <v>38.8472059656884</v>
      </c>
      <c r="K14534" s="6" t="n">
        <f aca="false">Sens!K14418*(al_lic+Sens!K14532+sbc_r)</f>
        <v>39.5554113369927</v>
      </c>
    </row>
    <row r="14535" customFormat="false" ht="17.15" hidden="false" customHeight="false" outlineLevel="0" collapsed="false">
      <c r="A14535" s="0" t="s">
        <v>1074</v>
      </c>
      <c r="B14535" s="0" t="s">
        <v>98</v>
      </c>
      <c r="F14535" s="6" t="n">
        <f aca="false">Sens!F14420*(al_ind+Sens!F14532+sbc_r)</f>
        <v>9.96854298046449</v>
      </c>
      <c r="G14535" s="6" t="n">
        <f aca="false">Sens!G14420*(al_ind+Sens!G14532+sbc_r)</f>
        <v>10.6362946149259</v>
      </c>
      <c r="H14535" s="6" t="n">
        <f aca="false">Sens!H14420*(al_ind+Sens!H14532+sbc_r)</f>
        <v>11.3653308462587</v>
      </c>
      <c r="I14535" s="6" t="n">
        <f aca="false">Sens!I14420*(al_ind+Sens!I14532+sbc_r)</f>
        <v>12.1524712180393</v>
      </c>
      <c r="J14535" s="6" t="n">
        <f aca="false">Sens!J14420*(al_ind+Sens!J14532+sbc_r)</f>
        <v>12.9849722461755</v>
      </c>
      <c r="K14535" s="6" t="n">
        <f aca="false">Sens!K14420*(al_ind+Sens!K14532+sbc_r)</f>
        <v>13.8439909771027</v>
      </c>
    </row>
    <row r="14536" customFormat="false" ht="17.15" hidden="false" customHeight="false" outlineLevel="0" collapsed="false">
      <c r="A14536" s="0" t="s">
        <v>1075</v>
      </c>
      <c r="B14536" s="0" t="s">
        <v>98</v>
      </c>
      <c r="F14536" s="6" t="n">
        <f aca="false">Sens!F14422*(al_fro+Sens!F14532+sbc_r)</f>
        <v>3.92365351468081</v>
      </c>
      <c r="G14536" s="6" t="n">
        <f aca="false">Sens!G14422*(al_fro+Sens!G14532+sbc_r)</f>
        <v>4.08370829659497</v>
      </c>
      <c r="H14536" s="6" t="n">
        <f aca="false">Sens!H14422*(al_fro+Sens!H14532+sbc_r)</f>
        <v>4.28284567034358</v>
      </c>
      <c r="I14536" s="6" t="n">
        <f aca="false">Sens!I14422*(al_fro+Sens!I14532+sbc_r)</f>
        <v>4.52265518779037</v>
      </c>
      <c r="J14536" s="6" t="n">
        <f aca="false">Sens!J14422*(al_fro+Sens!J14532+sbc_r)</f>
        <v>4.80234174819321</v>
      </c>
      <c r="K14536" s="6" t="n">
        <f aca="false">Sens!K14422*(al_fro+Sens!K14532+sbc_r)</f>
        <v>5.12003988691865</v>
      </c>
    </row>
    <row r="14537" customFormat="false" ht="17.15" hidden="false" customHeight="false" outlineLevel="0" collapsed="false">
      <c r="A14537" s="0" t="s">
        <v>1076</v>
      </c>
      <c r="B14537" s="0" t="s">
        <v>98</v>
      </c>
      <c r="F14537" s="6" t="n">
        <f aca="false">Sens!F14425*(al_srch+Sens!F14532+sbc_r)</f>
        <v>12.3112946069005</v>
      </c>
      <c r="G14537" s="6" t="n">
        <f aca="false">Sens!G14425*(al_srch+Sens!G14532+sbc_r)</f>
        <v>13.2599205775304</v>
      </c>
      <c r="H14537" s="6" t="n">
        <f aca="false">Sens!H14425*(al_srch+Sens!H14532+sbc_r)</f>
        <v>14.2695852797684</v>
      </c>
      <c r="I14537" s="6" t="n">
        <f aca="false">Sens!I14425*(al_srch+Sens!I14532+sbc_r)</f>
        <v>15.3306200308746</v>
      </c>
      <c r="J14537" s="6" t="n">
        <f aca="false">Sens!J14425*(al_srch+Sens!J14532+sbc_r)</f>
        <v>16.4201019139827</v>
      </c>
      <c r="K14537" s="6" t="n">
        <f aca="false">Sens!K14425*(al_srch+Sens!K14532+sbc_r)</f>
        <v>17.5063710904146</v>
      </c>
    </row>
    <row r="14538" customFormat="false" ht="17.15" hidden="false" customHeight="false" outlineLevel="0" collapsed="false">
      <c r="A14538" s="0" t="s">
        <v>1077</v>
      </c>
      <c r="B14538" s="0" t="s">
        <v>98</v>
      </c>
      <c r="F14538" s="6" t="n">
        <f aca="false">Sens!F14394-Sens!F14395+Sens!F14475</f>
        <v>23.8422749800826</v>
      </c>
      <c r="G14538" s="6" t="n">
        <f aca="false">Sens!G14394-Sens!G14395+Sens!G14475</f>
        <v>28.5284468703868</v>
      </c>
      <c r="H14538" s="6" t="n">
        <f aca="false">Sens!H14394-Sens!H14395+Sens!H14475</f>
        <v>30.4096850271459</v>
      </c>
      <c r="I14538" s="6" t="n">
        <f aca="false">Sens!I14394-Sens!I14395+Sens!I14475</f>
        <v>31.6372488192641</v>
      </c>
      <c r="J14538" s="6" t="n">
        <f aca="false">Sens!J14394-Sens!J14395+Sens!J14475</f>
        <v>33.4911206685855</v>
      </c>
      <c r="K14538" s="6" t="n">
        <f aca="false">Sens!K14394-Sens!K14395+Sens!K14475</f>
        <v>37.1738120449402</v>
      </c>
    </row>
    <row r="14539" customFormat="false" ht="17.15" hidden="false" customHeight="false" outlineLevel="0" collapsed="false">
      <c r="A14539" s="0" t="s">
        <v>1078</v>
      </c>
      <c r="B14539" s="0" t="s">
        <v>98</v>
      </c>
      <c r="F14539" s="6" t="n">
        <f aca="false">Sens!F14454+Sens!F14475+Sens!F14405+Sens!F14532*(Sens!F14424-Sens!F14388)+sbc_r*Sens!F14424</f>
        <v>211.751982972772</v>
      </c>
      <c r="G14539" s="6" t="n">
        <f aca="false">Sens!G14454+Sens!G14475+Sens!G14405+Sens!G14532*(Sens!G14424-Sens!G14388)+sbc_r*Sens!G14424</f>
        <v>242.963797599704</v>
      </c>
      <c r="H14539" s="6" t="n">
        <f aca="false">Sens!H14454+Sens!H14475+Sens!H14405+Sens!H14532*(Sens!H14424-Sens!H14388)+sbc_r*Sens!H14424</f>
        <v>271.561018951723</v>
      </c>
      <c r="I14539" s="6" t="n">
        <f aca="false">Sens!I14454+Sens!I14475+Sens!I14405+Sens!I14532*(Sens!I14424-Sens!I14388)+sbc_r*Sens!I14424</f>
        <v>298.149847443355</v>
      </c>
      <c r="J14539" s="6" t="n">
        <f aca="false">Sens!J14454+Sens!J14475+Sens!J14405+Sens!J14532*(Sens!J14424-Sens!J14388)+sbc_r*Sens!J14424</f>
        <v>323.248601962049</v>
      </c>
      <c r="K14539" s="6" t="n">
        <f aca="false">Sens!K14454+Sens!K14475+Sens!K14405+Sens!K14532*(Sens!K14424-Sens!K14388)+sbc_r*Sens!K14424</f>
        <v>348.150476667615</v>
      </c>
    </row>
    <row r="14540" customFormat="false" ht="17.15" hidden="false" customHeight="false" outlineLevel="0" collapsed="false">
      <c r="A14540" s="0" t="s">
        <v>1079</v>
      </c>
      <c r="B14540" s="0" t="s">
        <v>98</v>
      </c>
      <c r="F14540" s="6" t="n">
        <f aca="false">Sens!F14539-Sens!F14533-Sens!F14534-Sens!F14535-Sens!F14536-Sens!F14538</f>
        <v>50.3348263182286</v>
      </c>
      <c r="G14540" s="6" t="n">
        <f aca="false">Sens!G14539-Sens!G14533-Sens!G14534-Sens!G14535-Sens!G14536-Sens!G14538</f>
        <v>62.9067804086721</v>
      </c>
      <c r="H14540" s="6" t="n">
        <f aca="false">Sens!H14539-Sens!H14533-Sens!H14534-Sens!H14535-Sens!H14536-Sens!H14538</f>
        <v>75.4502933123525</v>
      </c>
      <c r="I14540" s="6" t="n">
        <f aca="false">Sens!I14539-Sens!I14533-Sens!I14534-Sens!I14535-Sens!I14536-Sens!I14538</f>
        <v>87.6291694504303</v>
      </c>
      <c r="J14540" s="6" t="n">
        <f aca="false">Sens!J14539-Sens!J14533-Sens!J14534-Sens!J14535-Sens!J14536-Sens!J14538</f>
        <v>98.8981363552731</v>
      </c>
      <c r="K14540" s="6" t="n">
        <f aca="false">Sens!K14539-Sens!K14533-Sens!K14534-Sens!K14535-Sens!K14536-Sens!K14538</f>
        <v>108.56654519865</v>
      </c>
    </row>
    <row r="14541" customFormat="false" ht="17.15" hidden="false" customHeight="false" outlineLevel="0" collapsed="false">
      <c r="A14541" s="0" t="s">
        <v>1080</v>
      </c>
      <c r="B14541" s="0" t="s">
        <v>98</v>
      </c>
      <c r="F14541" s="6" t="n">
        <f aca="false">Sens!F14456+Sens!F14532*Sens!F14431+sbc_r*Sens!F14431</f>
        <v>28.7980299591077</v>
      </c>
      <c r="G14541" s="6" t="n">
        <f aca="false">Sens!G14456+Sens!G14532*Sens!G14431+sbc_r*Sens!G14431</f>
        <v>28.9593730159674</v>
      </c>
      <c r="H14541" s="6" t="n">
        <f aca="false">Sens!H14456+Sens!H14532*Sens!H14431+sbc_r*Sens!H14431</f>
        <v>29.4934119076986</v>
      </c>
      <c r="I14541" s="6" t="n">
        <f aca="false">Sens!I14456+Sens!I14532*Sens!I14431+sbc_r*Sens!I14431</f>
        <v>30.3476706613207</v>
      </c>
      <c r="J14541" s="6" t="n">
        <f aca="false">Sens!J14456+Sens!J14532*Sens!J14431+sbc_r*Sens!J14431</f>
        <v>31.464429687419</v>
      </c>
      <c r="K14541" s="6" t="n">
        <f aca="false">Sens!K14456+Sens!K14532*Sens!K14431+sbc_r*Sens!K14431</f>
        <v>32.7879765617839</v>
      </c>
    </row>
    <row r="14542" customFormat="false" ht="17.15" hidden="false" customHeight="false" outlineLevel="0" collapsed="false">
      <c r="A14542" s="0" t="s">
        <v>1081</v>
      </c>
      <c r="B14542" s="0" t="s">
        <v>98</v>
      </c>
      <c r="F14542" s="6" t="n">
        <f aca="false">(Sens!F14541-Sens!F14537)*Sens!F14427/(Sens!F14427+Sens!F14429)</f>
        <v>9.0378677416044</v>
      </c>
      <c r="G14542" s="6" t="n">
        <f aca="false">(Sens!G14541-Sens!G14537)*Sens!G14427/(Sens!G14427+Sens!G14429)</f>
        <v>8.45283736147321</v>
      </c>
      <c r="H14542" s="6" t="n">
        <f aca="false">(Sens!H14541-Sens!H14537)*Sens!H14427/(Sens!H14427+Sens!H14429)</f>
        <v>8.08602835366675</v>
      </c>
      <c r="I14542" s="6" t="n">
        <f aca="false">(Sens!I14541-Sens!I14537)*Sens!I14427/(Sens!I14427+Sens!I14429)</f>
        <v>7.90403197225031</v>
      </c>
      <c r="J14542" s="6" t="n">
        <f aca="false">(Sens!J14541-Sens!J14537)*Sens!J14427/(Sens!J14427+Sens!J14429)</f>
        <v>7.88258228392009</v>
      </c>
      <c r="K14542" s="6" t="n">
        <f aca="false">(Sens!K14541-Sens!K14537)*Sens!K14427/(Sens!K14427+Sens!K14429)</f>
        <v>8.00690561735601</v>
      </c>
    </row>
    <row r="14543" customFormat="false" ht="17.15" hidden="false" customHeight="false" outlineLevel="0" collapsed="false">
      <c r="A14543" s="0" t="s">
        <v>1082</v>
      </c>
      <c r="B14543" s="0" t="s">
        <v>98</v>
      </c>
      <c r="F14543" s="6" t="n">
        <f aca="false">Sens!F14541-Sens!F14537-Sens!F14542</f>
        <v>7.44886761060273</v>
      </c>
      <c r="G14543" s="6" t="n">
        <f aca="false">Sens!G14541-Sens!G14537-Sens!G14542</f>
        <v>7.2466150769638</v>
      </c>
      <c r="H14543" s="6" t="n">
        <f aca="false">Sens!H14541-Sens!H14537-Sens!H14542</f>
        <v>7.13779827426344</v>
      </c>
      <c r="I14543" s="6" t="n">
        <f aca="false">Sens!I14541-Sens!I14537-Sens!I14542</f>
        <v>7.11301865819572</v>
      </c>
      <c r="J14543" s="6" t="n">
        <f aca="false">Sens!J14541-Sens!J14537-Sens!J14542</f>
        <v>7.1617454895162</v>
      </c>
      <c r="K14543" s="6" t="n">
        <f aca="false">Sens!K14541-Sens!K14537-Sens!K14542</f>
        <v>7.2746998540133</v>
      </c>
    </row>
    <row r="14544" customFormat="false" ht="17.15" hidden="false" customHeight="false" outlineLevel="0" collapsed="false">
      <c r="A14544" s="0" t="s">
        <v>1083</v>
      </c>
      <c r="B14544" s="0" t="s">
        <v>98</v>
      </c>
      <c r="F14544" s="6" t="n">
        <f aca="false">Sens!F14538-tax_f*(Sens!F14538-Sens!F14405)-Sens!F14402</f>
        <v>-6.66832566400057</v>
      </c>
      <c r="G14544" s="6" t="n">
        <f aca="false">Sens!G14538-tax_f*(Sens!G14538-Sens!G14405)-Sens!G14402</f>
        <v>-6.59153150522386</v>
      </c>
      <c r="H14544" s="6" t="n">
        <f aca="false">Sens!H14538-tax_f*(Sens!H14538-Sens!H14405)-Sens!H14402</f>
        <v>30.7327259197834</v>
      </c>
      <c r="I14544" s="6" t="n">
        <f aca="false">Sens!I14538-tax_f*(Sens!I14538-Sens!I14405)-Sens!I14402</f>
        <v>1.58485645272794</v>
      </c>
      <c r="J14544" s="6" t="n">
        <f aca="false">Sens!J14538-tax_f*(Sens!J14538-Sens!J14405)-Sens!J14402</f>
        <v>-12.0469447947316</v>
      </c>
      <c r="K14544" s="6" t="n">
        <f aca="false">Sens!K14538-tax_f*(Sens!K14538-Sens!K14405)-Sens!K14402</f>
        <v>-53.5993320887312</v>
      </c>
    </row>
    <row r="14545" customFormat="false" ht="17.15" hidden="false" customHeight="false" outlineLevel="0" collapsed="false">
      <c r="A14545" s="0" t="s">
        <v>1084</v>
      </c>
      <c r="B14545" s="0" t="s">
        <v>98</v>
      </c>
      <c r="G14545" s="6" t="n">
        <f aca="false">Sens!G14544/(1+wacc)^(Sens!G14517-(Sens!F14517+mid_yr))</f>
        <v>-6.27641262120414</v>
      </c>
      <c r="H14545" s="6" t="n">
        <f aca="false">Sens!H14544/(1+wacc)^(Sens!H14517-(Sens!F14517+mid_yr))</f>
        <v>26.5324006945689</v>
      </c>
      <c r="I14545" s="6" t="n">
        <f aca="false">Sens!I14544/(1+wacc)^(Sens!I14517-(Sens!F14517+mid_yr))</f>
        <v>1.24055409514003</v>
      </c>
      <c r="J14545" s="6" t="n">
        <f aca="false">Sens!J14544/(1+wacc)^(Sens!J14517-(Sens!F14517+mid_yr))</f>
        <v>-8.54974189545419</v>
      </c>
      <c r="K14545" s="6" t="n">
        <f aca="false">Sens!K14544/(1+wacc)^(Sens!K14517-(Sens!F14517+mid_yr))</f>
        <v>-34.4894105193342</v>
      </c>
      <c r="L14545" s="1" t="s">
        <v>1085</v>
      </c>
    </row>
    <row r="14546" customFormat="false" ht="17.15" hidden="false" customHeight="false" outlineLevel="0" collapsed="false">
      <c r="A14546" s="0" t="s">
        <v>1086</v>
      </c>
      <c r="B14546" s="0" t="s">
        <v>98</v>
      </c>
      <c r="C14546" s="6" t="n">
        <f aca="false">(Sens!K14538-Sens!K14405)*(1-tax_f)*(1+g_tv)*(1-g_tv/(wacc+ronic_prem))/(wacc-g_tv)/(1+wacc)^(Sens!K14517+mid_yr-(Sens!F14517+mid_yr))</f>
        <v>-0.0706753557424257</v>
      </c>
    </row>
    <row r="14547" customFormat="false" ht="17.15" hidden="false" customHeight="false" outlineLevel="0" collapsed="false">
      <c r="A14547" s="1" t="s">
        <v>1087</v>
      </c>
      <c r="B14547" s="0" t="s">
        <v>98</v>
      </c>
      <c r="C14547" s="6" t="n">
        <f aca="false">(SUM(Sens!G14545:K14545)+Sens!$C$14546)*(1+wacc)^(t_roll-(Sens!F14517+mid_yr))</f>
        <v>-22.3148081372876</v>
      </c>
      <c r="L14547" s="11" t="s">
        <v>1088</v>
      </c>
    </row>
    <row r="14548" customFormat="false" ht="17.15" hidden="false" customHeight="false" outlineLevel="0" collapsed="false">
      <c r="A14548" s="1" t="s">
        <v>1089</v>
      </c>
      <c r="B14548" s="0" t="s">
        <v>98</v>
      </c>
      <c r="C14548" s="6" t="n">
        <f aca="false">(w_ntm28*Sens!G14394+(1-w_ntm28)*Sens!H14394)*m_ai</f>
        <v>209.754114949644</v>
      </c>
    </row>
    <row r="14549" customFormat="false" ht="17.15" hidden="false" customHeight="false" outlineLevel="0" collapsed="false">
      <c r="A14549" s="1" t="s">
        <v>1090</v>
      </c>
      <c r="B14549" s="0" t="s">
        <v>98</v>
      </c>
      <c r="C14549" s="6" t="n">
        <f aca="false">(w_ntm28*Sens!G14540+(1-w_ntm28)*Sens!H14540)*m_cloud</f>
        <v>925.414058954165</v>
      </c>
    </row>
    <row r="14550" customFormat="false" ht="17.15" hidden="false" customHeight="false" outlineLevel="0" collapsed="false">
      <c r="A14550" s="1" t="s">
        <v>1091</v>
      </c>
      <c r="B14550" s="0" t="s">
        <v>98</v>
      </c>
      <c r="C14550" s="6" t="n">
        <f aca="false">(w_ntm28*Sens!G14533+(1-w_ntm28)*Sens!H14533)*m_sw</f>
        <v>1130.89877084002</v>
      </c>
    </row>
    <row r="14551" customFormat="false" ht="17.15" hidden="false" customHeight="false" outlineLevel="0" collapsed="false">
      <c r="A14551" s="1" t="s">
        <v>1092</v>
      </c>
      <c r="B14551" s="0" t="s">
        <v>98</v>
      </c>
      <c r="C14551" s="6" t="n">
        <f aca="false">(w_ntm28*Sens!G14534+(1-w_ntm28)*Sens!H14534)*m_sw</f>
        <v>392.876309773792</v>
      </c>
    </row>
    <row r="14552" customFormat="false" ht="17.15" hidden="false" customHeight="false" outlineLevel="0" collapsed="false">
      <c r="A14552" s="1" t="s">
        <v>1093</v>
      </c>
      <c r="B14552" s="0" t="s">
        <v>98</v>
      </c>
      <c r="C14552" s="6" t="n">
        <f aca="false">(w_ntm28*Sens!G14535+(1-w_ntm28)*Sens!H14535)*m_sw</f>
        <v>117.417416836297</v>
      </c>
    </row>
    <row r="14553" customFormat="false" ht="17.15" hidden="false" customHeight="false" outlineLevel="0" collapsed="false">
      <c r="A14553" s="1" t="s">
        <v>1094</v>
      </c>
      <c r="B14553" s="0" t="s">
        <v>98</v>
      </c>
      <c r="C14553" s="6" t="n">
        <f aca="false">(w_ntm28*Sens!G14536+(1-w_ntm28)*Sens!H14536)*m_sw</f>
        <v>44.7993391076236</v>
      </c>
    </row>
    <row r="14554" customFormat="false" ht="17.15" hidden="false" customHeight="false" outlineLevel="0" collapsed="false">
      <c r="A14554" s="1" t="s">
        <v>1095</v>
      </c>
      <c r="B14554" s="0" t="s">
        <v>98</v>
      </c>
      <c r="C14554" s="6" t="n">
        <f aca="false">(w_ntm28*Sens!G14537+(1-w_ntm28)*Sens!H14537)*m_ads</f>
        <v>123.771491150649</v>
      </c>
    </row>
    <row r="14555" customFormat="false" ht="17.15" hidden="false" customHeight="false" outlineLevel="0" collapsed="false">
      <c r="A14555" s="1" t="s">
        <v>1096</v>
      </c>
      <c r="B14555" s="0" t="s">
        <v>98</v>
      </c>
      <c r="C14555" s="6" t="n">
        <f aca="false">(w_ntm28*Sens!G14542+(1-w_ntm28)*Sens!H14542)*m_game</f>
        <v>105.261609473505</v>
      </c>
    </row>
    <row r="14556" customFormat="false" ht="17.15" hidden="false" customHeight="false" outlineLevel="0" collapsed="false">
      <c r="A14556" s="1" t="s">
        <v>1097</v>
      </c>
      <c r="B14556" s="0" t="s">
        <v>98</v>
      </c>
      <c r="C14556" s="6" t="n">
        <f aca="false">(w_ntm28*Sens!G14543+(1-w_ntm28)*Sens!H14543)*m_pc</f>
        <v>104.349478141916</v>
      </c>
    </row>
    <row r="14557" customFormat="false" ht="17.15" hidden="false" customHeight="false" outlineLevel="0" collapsed="false">
      <c r="A14557" s="1" t="s">
        <v>1098</v>
      </c>
      <c r="B14557" s="0" t="s">
        <v>98</v>
      </c>
      <c r="C14557" s="6" t="n">
        <f aca="false">Sens!$C$14547+Sens!$C$14549+Sens!$C$14550+Sens!$C$14551+Sens!$C$14552+Sens!$C$14553+Sens!$C$14554+Sens!$C$14555+Sens!$C$14556</f>
        <v>2922.47366614068</v>
      </c>
    </row>
    <row r="14558" customFormat="false" ht="17.15" hidden="false" customHeight="false" outlineLevel="0" collapsed="false">
      <c r="A14558" s="1" t="s">
        <v>1099</v>
      </c>
      <c r="B14558" s="0" t="s">
        <v>98</v>
      </c>
      <c r="C14558" s="6" t="n">
        <f aca="false">(Sens!G14519-Sens!G14544)*t_stub</f>
        <v>48.1786189073959</v>
      </c>
      <c r="L14558" s="1" t="s">
        <v>1100</v>
      </c>
    </row>
    <row r="14559" customFormat="false" ht="17.15" hidden="false" customHeight="false" outlineLevel="0" collapsed="false">
      <c r="A14559" s="1" t="s">
        <v>1014</v>
      </c>
      <c r="B14559" s="0" t="s">
        <v>98</v>
      </c>
      <c r="C14559" s="6" t="n">
        <f aca="false">Sens!F14508+oai_v-Sens!F14497+Sens!$C$14558</f>
        <v>152.408133169341</v>
      </c>
      <c r="L14559" s="1" t="s">
        <v>1101</v>
      </c>
    </row>
    <row r="14560" customFormat="false" ht="17.15" hidden="false" customHeight="false" outlineLevel="0" collapsed="false">
      <c r="A14560" s="1" t="s">
        <v>1102</v>
      </c>
      <c r="B14560" s="0" t="s">
        <v>75</v>
      </c>
      <c r="C14560" s="5" t="n">
        <f aca="false">(Sens!$C$14557+Sens!$C$14559)/(Sens!F14510+dil_gap)-Sens!G14500*roll_div_q/q_per_yr</f>
        <v>409.163514849256</v>
      </c>
      <c r="L14560" s="1" t="s">
        <v>1103</v>
      </c>
    </row>
    <row r="14561" customFormat="false" ht="17.15" hidden="false" customHeight="false" outlineLevel="0" collapsed="false">
      <c r="A14561" s="1" t="s">
        <v>1104</v>
      </c>
      <c r="B14561" s="0" t="s">
        <v>75</v>
      </c>
      <c r="C14561" s="5" t="n">
        <f aca="false">w_dcf*Sens!$C$14531+(1-w_dcf)*Sens!$C$14560</f>
        <v>351.679119737054</v>
      </c>
    </row>
    <row r="14562" customFormat="false" ht="17.15" hidden="false" customHeight="false" outlineLevel="0" collapsed="false">
      <c r="A14562" s="3" t="s">
        <v>1631</v>
      </c>
    </row>
    <row r="14563" customFormat="false" ht="15" hidden="false" customHeight="false" outlineLevel="0" collapsed="false">
      <c r="A14563" s="4" t="s">
        <v>43</v>
      </c>
      <c r="B14563" s="4" t="s">
        <v>65</v>
      </c>
      <c r="C14563" s="20" t="s">
        <v>799</v>
      </c>
      <c r="D14563" s="20" t="s">
        <v>800</v>
      </c>
      <c r="E14563" s="20" t="s">
        <v>801</v>
      </c>
      <c r="F14563" s="20" t="s">
        <v>802</v>
      </c>
      <c r="G14563" s="20" t="s">
        <v>803</v>
      </c>
      <c r="H14563" s="20" t="s">
        <v>804</v>
      </c>
      <c r="I14563" s="20" t="s">
        <v>805</v>
      </c>
      <c r="J14563" s="20" t="s">
        <v>806</v>
      </c>
      <c r="K14563" s="20" t="s">
        <v>807</v>
      </c>
      <c r="L14563" s="4" t="s">
        <v>47</v>
      </c>
    </row>
    <row r="14564" customFormat="false" ht="17.15" hidden="false" customHeight="false" outlineLevel="0" collapsed="false">
      <c r="A14564" s="1" t="s">
        <v>808</v>
      </c>
      <c r="B14564" s="1" t="s">
        <v>235</v>
      </c>
      <c r="C14564" s="28" t="n">
        <v>2024</v>
      </c>
      <c r="D14564" s="28" t="n">
        <v>2025</v>
      </c>
      <c r="E14564" s="28" t="n">
        <v>2026</v>
      </c>
      <c r="F14564" s="28" t="n">
        <v>2027</v>
      </c>
      <c r="G14564" s="28" t="n">
        <v>2028</v>
      </c>
      <c r="H14564" s="28" t="n">
        <v>2029</v>
      </c>
      <c r="I14564" s="28" t="n">
        <v>2030</v>
      </c>
      <c r="J14564" s="28" t="n">
        <v>2031</v>
      </c>
      <c r="K14564" s="28" t="n">
        <v>2032</v>
      </c>
    </row>
    <row r="14565" customFormat="false" ht="17.15" hidden="false" customHeight="false" outlineLevel="0" collapsed="false">
      <c r="A14565" s="1" t="s">
        <v>809</v>
      </c>
      <c r="B14565" s="0" t="s">
        <v>399</v>
      </c>
      <c r="F14565" s="29" t="n">
        <f aca="false">pace_epoch</f>
        <v>650</v>
      </c>
      <c r="G14565" s="29" t="n">
        <f aca="false">pace_epoch</f>
        <v>650</v>
      </c>
      <c r="H14565" s="29" t="n">
        <f aca="false">pace_epoch</f>
        <v>650</v>
      </c>
      <c r="I14565" s="29" t="n">
        <f aca="false">pace_epoch+(g_tv*Sens!H14566-pace_epoch)*MIN(1,(Sens!I14564-pace_y0)/(pace_y1-pace_y0))</f>
        <v>477.193333333333</v>
      </c>
      <c r="J14565" s="29" t="n">
        <f aca="false">pace_epoch+(g_tv*Sens!I14566-pace_epoch)*MIN(1,(Sens!J14564-pace_y0)/(pace_y1-pace_y0))</f>
        <v>304.386666666667</v>
      </c>
      <c r="K14565" s="29" t="n">
        <f aca="false">pace_epoch+(g_tv*Sens!J14566-pace_epoch)*MIN(1,(Sens!K14564-pace_y0)/(pace_y1-pace_y0))</f>
        <v>131.58</v>
      </c>
      <c r="L14565" s="11" t="s">
        <v>810</v>
      </c>
    </row>
    <row r="14566" customFormat="false" ht="17.15" hidden="false" customHeight="false" outlineLevel="0" collapsed="false">
      <c r="A14566" s="1" t="s">
        <v>811</v>
      </c>
      <c r="B14566" s="0" t="s">
        <v>399</v>
      </c>
      <c r="C14566" s="29" t="n">
        <f aca="false">mw_ext_24</f>
        <v>640</v>
      </c>
      <c r="D14566" s="29" t="n">
        <f aca="false">mw_ext_25</f>
        <v>1630</v>
      </c>
      <c r="E14566" s="29" t="n">
        <f aca="false">mw_ext_26</f>
        <v>3250</v>
      </c>
      <c r="F14566" s="29" t="n">
        <f aca="false">MIN(cap_epoch,Sens!E14566+Sens!F14565)</f>
        <v>3900</v>
      </c>
      <c r="G14566" s="29" t="n">
        <f aca="false">MIN(cap_epoch,Sens!F14566+Sens!G14565)</f>
        <v>4386</v>
      </c>
      <c r="H14566" s="29" t="n">
        <f aca="false">MIN(cap_epoch,Sens!G14566+Sens!H14565)</f>
        <v>4386</v>
      </c>
      <c r="I14566" s="29" t="n">
        <f aca="false">MIN(cap_epoch,Sens!H14566+Sens!I14565)</f>
        <v>4386</v>
      </c>
      <c r="J14566" s="29" t="n">
        <f aca="false">MIN(cap_epoch,Sens!I14566+Sens!J14565)</f>
        <v>4386</v>
      </c>
      <c r="K14566" s="29" t="n">
        <f aca="false">MIN(cap_epoch,Sens!J14566+Sens!K14565)</f>
        <v>4386</v>
      </c>
      <c r="L14566" s="1" t="s">
        <v>812</v>
      </c>
    </row>
    <row r="14567" customFormat="false" ht="17.15" hidden="false" customHeight="false" outlineLevel="0" collapsed="false">
      <c r="A14567" s="1" t="s">
        <v>813</v>
      </c>
      <c r="B14567" s="0" t="s">
        <v>399</v>
      </c>
      <c r="C14567" s="29" t="n">
        <f aca="false">rent_ext_24</f>
        <v>150</v>
      </c>
      <c r="D14567" s="29" t="n">
        <f aca="false">rent_ext_25</f>
        <v>400</v>
      </c>
      <c r="E14567" s="29" t="n">
        <f aca="false">rent_ext_26</f>
        <v>550</v>
      </c>
      <c r="F14567" s="29" t="n">
        <f aca="false">rent_ext_f</f>
        <v>756</v>
      </c>
      <c r="G14567" s="29" t="n">
        <f aca="false">rent_ext_f</f>
        <v>756</v>
      </c>
      <c r="H14567" s="29" t="n">
        <f aca="false">rent_ext_f</f>
        <v>756</v>
      </c>
      <c r="I14567" s="29" t="n">
        <f aca="false">rent_ext_f</f>
        <v>756</v>
      </c>
      <c r="J14567" s="29" t="n">
        <f aca="false">rent_ext_f</f>
        <v>756</v>
      </c>
      <c r="K14567" s="29" t="n">
        <f aca="false">rent_ext_f</f>
        <v>756</v>
      </c>
      <c r="L14567" s="1" t="s">
        <v>814</v>
      </c>
    </row>
    <row r="14568" customFormat="false" ht="17.15" hidden="false" customHeight="false" outlineLevel="0" collapsed="false">
      <c r="A14568" s="1" t="s">
        <v>815</v>
      </c>
      <c r="B14568" s="0" t="s">
        <v>399</v>
      </c>
      <c r="C14568" s="29" t="n">
        <f aca="false">Sens!C14566-Sens!C14567</f>
        <v>490</v>
      </c>
      <c r="D14568" s="29" t="n">
        <f aca="false">Sens!D14566-Sens!D14567</f>
        <v>1230</v>
      </c>
      <c r="E14568" s="29" t="n">
        <f aca="false">Sens!E14566-Sens!E14567</f>
        <v>2700</v>
      </c>
      <c r="F14568" s="29" t="n">
        <f aca="false">Sens!F14566-Sens!F14567</f>
        <v>3144</v>
      </c>
      <c r="G14568" s="29" t="n">
        <f aca="false">Sens!G14566-Sens!G14567</f>
        <v>3630</v>
      </c>
      <c r="H14568" s="29" t="n">
        <f aca="false">Sens!H14566-Sens!H14567</f>
        <v>3630</v>
      </c>
      <c r="I14568" s="29" t="n">
        <f aca="false">Sens!I14566-Sens!I14567</f>
        <v>3630</v>
      </c>
      <c r="J14568" s="29" t="n">
        <f aca="false">Sens!J14566-Sens!J14567</f>
        <v>3630</v>
      </c>
      <c r="K14568" s="29" t="n">
        <f aca="false">Sens!K14566-Sens!K14567</f>
        <v>3630</v>
      </c>
    </row>
    <row r="14569" customFormat="false" ht="17.15" hidden="false" customHeight="false" outlineLevel="0" collapsed="false">
      <c r="A14569" s="1" t="s">
        <v>816</v>
      </c>
      <c r="B14569" s="0" t="s">
        <v>399</v>
      </c>
      <c r="C14569" s="29" t="n">
        <f aca="false">Sens!C14568/ext_sh</f>
        <v>816.666666666667</v>
      </c>
      <c r="D14569" s="29" t="n">
        <f aca="false">Sens!D14568/ext_sh</f>
        <v>2050</v>
      </c>
      <c r="E14569" s="29" t="n">
        <f aca="false">Sens!E14568/ext_sh</f>
        <v>4500</v>
      </c>
      <c r="F14569" s="29" t="n">
        <f aca="false">Sens!F14568/ext_sh</f>
        <v>5240</v>
      </c>
      <c r="G14569" s="29" t="n">
        <f aca="false">Sens!G14568/ext_sh</f>
        <v>6050</v>
      </c>
      <c r="H14569" s="29" t="n">
        <f aca="false">Sens!H14568/ext_sh</f>
        <v>6050</v>
      </c>
      <c r="I14569" s="29" t="n">
        <f aca="false">Sens!I14568/ext_sh</f>
        <v>6050</v>
      </c>
      <c r="J14569" s="29" t="n">
        <f aca="false">Sens!J14568/ext_sh</f>
        <v>6050</v>
      </c>
      <c r="K14569" s="29" t="n">
        <f aca="false">Sens!K14568/ext_sh</f>
        <v>6050</v>
      </c>
      <c r="L14569" s="1" t="s">
        <v>817</v>
      </c>
    </row>
    <row r="14570" customFormat="false" ht="17.15" hidden="false" customHeight="false" outlineLevel="0" collapsed="false">
      <c r="A14570" s="1" t="s">
        <v>818</v>
      </c>
      <c r="B14570" s="0" t="s">
        <v>399</v>
      </c>
      <c r="C14570" s="29" t="n">
        <f aca="false">Sens!C14569-Sens!C14568</f>
        <v>326.666666666667</v>
      </c>
      <c r="D14570" s="29" t="n">
        <f aca="false">Sens!D14569-Sens!D14568</f>
        <v>820</v>
      </c>
      <c r="E14570" s="29" t="n">
        <f aca="false">Sens!E14569-Sens!E14568</f>
        <v>1800</v>
      </c>
      <c r="F14570" s="29" t="n">
        <f aca="false">Sens!F14569-Sens!F14568</f>
        <v>2096</v>
      </c>
      <c r="G14570" s="29" t="n">
        <f aca="false">Sens!G14569-Sens!G14568</f>
        <v>2420</v>
      </c>
      <c r="H14570" s="29" t="n">
        <f aca="false">Sens!H14569-Sens!H14568</f>
        <v>2420</v>
      </c>
      <c r="I14570" s="29" t="n">
        <f aca="false">Sens!I14569-Sens!I14568</f>
        <v>2420</v>
      </c>
      <c r="J14570" s="29" t="n">
        <f aca="false">Sens!J14569-Sens!J14568</f>
        <v>2420</v>
      </c>
      <c r="K14570" s="29" t="n">
        <f aca="false">Sens!K14569-Sens!K14568</f>
        <v>2420</v>
      </c>
    </row>
    <row r="14571" customFormat="false" ht="17.15" hidden="false" customHeight="false" outlineLevel="0" collapsed="false">
      <c r="A14571" s="1" t="s">
        <v>819</v>
      </c>
      <c r="B14571" s="0" t="s">
        <v>399</v>
      </c>
      <c r="C14571" s="29" t="n">
        <f aca="false">Sens!C14569</f>
        <v>816.666666666667</v>
      </c>
      <c r="D14571" s="29" t="n">
        <f aca="false">Sens!D14569-Sens!C14569</f>
        <v>1233.33333333333</v>
      </c>
      <c r="E14571" s="29" t="n">
        <f aca="false">Sens!E14569-Sens!D14569</f>
        <v>2450</v>
      </c>
      <c r="F14571" s="29" t="n">
        <f aca="false">Sens!F14569-Sens!E14569</f>
        <v>740</v>
      </c>
      <c r="G14571" s="29" t="n">
        <f aca="false">Sens!G14569-Sens!F14569</f>
        <v>810</v>
      </c>
      <c r="H14571" s="29" t="n">
        <f aca="false">Sens!H14569-Sens!G14569</f>
        <v>0</v>
      </c>
      <c r="I14571" s="29" t="n">
        <f aca="false">Sens!I14569-Sens!H14569</f>
        <v>0</v>
      </c>
      <c r="J14571" s="29" t="n">
        <f aca="false">Sens!J14569-Sens!I14569</f>
        <v>0</v>
      </c>
      <c r="K14571" s="29" t="n">
        <f aca="false">Sens!K14569-Sens!J14569</f>
        <v>0</v>
      </c>
    </row>
    <row r="14572" customFormat="false" ht="17.15" hidden="false" customHeight="false" outlineLevel="0" collapsed="false">
      <c r="A14572" s="1" t="s">
        <v>820</v>
      </c>
      <c r="B14572" s="0" t="s">
        <v>399</v>
      </c>
      <c r="D14572" s="29" t="n">
        <f aca="false">Sens!D14566-Sens!C14566</f>
        <v>990</v>
      </c>
      <c r="E14572" s="29" t="n">
        <f aca="false">Sens!E14566-Sens!D14566</f>
        <v>1620</v>
      </c>
      <c r="F14572" s="29" t="n">
        <f aca="false">Sens!F14566-Sens!E14566</f>
        <v>650</v>
      </c>
      <c r="G14572" s="29" t="n">
        <f aca="false">Sens!G14566-Sens!F14566</f>
        <v>486</v>
      </c>
      <c r="H14572" s="29" t="n">
        <f aca="false">Sens!H14566-Sens!G14566</f>
        <v>0</v>
      </c>
      <c r="I14572" s="29" t="n">
        <f aca="false">Sens!I14566-Sens!H14566</f>
        <v>0</v>
      </c>
      <c r="J14572" s="29" t="n">
        <f aca="false">Sens!J14566-Sens!I14566</f>
        <v>0</v>
      </c>
      <c r="K14572" s="29" t="n">
        <f aca="false">Sens!K14566-Sens!J14566</f>
        <v>0</v>
      </c>
    </row>
    <row r="14573" customFormat="false" ht="17.15" hidden="false" customHeight="false" outlineLevel="0" collapsed="false">
      <c r="A14573" s="1" t="s">
        <v>821</v>
      </c>
      <c r="B14573" s="0" t="s">
        <v>399</v>
      </c>
      <c r="F14573" s="29" t="n">
        <f aca="false">Sens!F14590*ext_sh</f>
        <v>0</v>
      </c>
      <c r="G14573" s="29" t="n">
        <f aca="false">Sens!G14590*ext_sh</f>
        <v>0</v>
      </c>
      <c r="H14573" s="29" t="n">
        <f aca="false">Sens!H14590*ext_sh</f>
        <v>0</v>
      </c>
      <c r="I14573" s="29" t="n">
        <f aca="false">Sens!I14590*ext_sh</f>
        <v>490</v>
      </c>
      <c r="J14573" s="29" t="n">
        <f aca="false">Sens!J14590*ext_sh</f>
        <v>740</v>
      </c>
      <c r="K14573" s="29" t="n">
        <f aca="false">Sens!K14590*ext_sh</f>
        <v>1470</v>
      </c>
      <c r="L14573" s="1" t="s">
        <v>822</v>
      </c>
    </row>
    <row r="14574" customFormat="false" ht="17.15" hidden="false" customHeight="false" outlineLevel="0" collapsed="false">
      <c r="A14574" s="1" t="s">
        <v>823</v>
      </c>
      <c r="B14574" s="0" t="s">
        <v>399</v>
      </c>
      <c r="C14574" s="29" t="n">
        <f aca="false">mix_h*Sens!C14566</f>
        <v>128</v>
      </c>
      <c r="D14574" s="29" t="n">
        <f aca="false">mix_h*Sens!D14566</f>
        <v>326</v>
      </c>
      <c r="E14574" s="29" t="n">
        <f aca="false">mix_h*Sens!E14566</f>
        <v>650</v>
      </c>
      <c r="F14574" s="29" t="n">
        <f aca="false">Sens!E14574-Sens!F14573*mix_h</f>
        <v>650</v>
      </c>
      <c r="G14574" s="29" t="n">
        <f aca="false">Sens!F14574-Sens!G14573*mix_h</f>
        <v>650</v>
      </c>
      <c r="H14574" s="29" t="n">
        <f aca="false">Sens!G14574-Sens!H14573*mix_h</f>
        <v>650</v>
      </c>
      <c r="I14574" s="29" t="n">
        <f aca="false">Sens!H14574-Sens!I14573*mix_h</f>
        <v>552</v>
      </c>
      <c r="J14574" s="29" t="n">
        <f aca="false">Sens!I14574-Sens!J14573*mix_h</f>
        <v>404</v>
      </c>
      <c r="K14574" s="29" t="n">
        <f aca="false">Sens!J14574-Sens!K14573*mix_h</f>
        <v>110</v>
      </c>
    </row>
    <row r="14575" customFormat="false" ht="17.15" hidden="false" customHeight="false" outlineLevel="0" collapsed="false">
      <c r="A14575" s="1" t="s">
        <v>824</v>
      </c>
      <c r="B14575" s="0" t="s">
        <v>399</v>
      </c>
      <c r="C14575" s="29" t="n">
        <f aca="false">mix_g2*Sens!C14566</f>
        <v>288</v>
      </c>
      <c r="D14575" s="29" t="n">
        <f aca="false">mix_g2*Sens!D14566</f>
        <v>733.5</v>
      </c>
      <c r="E14575" s="29" t="n">
        <f aca="false">mix_g2*Sens!E14566</f>
        <v>1462.5</v>
      </c>
      <c r="F14575" s="29" t="n">
        <f aca="false">Sens!E14575-Sens!F14573*mix_g2</f>
        <v>1462.5</v>
      </c>
      <c r="G14575" s="29" t="n">
        <f aca="false">Sens!F14575-Sens!G14573*mix_g2</f>
        <v>1462.5</v>
      </c>
      <c r="H14575" s="29" t="n">
        <f aca="false">Sens!G14575-Sens!H14573*mix_g2</f>
        <v>1462.5</v>
      </c>
      <c r="I14575" s="29" t="n">
        <f aca="false">Sens!H14575-Sens!I14573*mix_g2</f>
        <v>1242</v>
      </c>
      <c r="J14575" s="29" t="n">
        <f aca="false">Sens!I14575-Sens!J14573*mix_g2</f>
        <v>909</v>
      </c>
      <c r="K14575" s="29" t="n">
        <f aca="false">Sens!J14575-Sens!K14573*mix_g2</f>
        <v>247.5</v>
      </c>
    </row>
    <row r="14576" customFormat="false" ht="17.15" hidden="false" customHeight="false" outlineLevel="0" collapsed="false">
      <c r="A14576" s="1" t="s">
        <v>825</v>
      </c>
      <c r="B14576" s="0" t="s">
        <v>399</v>
      </c>
      <c r="C14576" s="29" t="n">
        <f aca="false">mix_g3*Sens!C14566</f>
        <v>224</v>
      </c>
      <c r="D14576" s="29" t="n">
        <f aca="false">mix_g3*Sens!D14566</f>
        <v>570.5</v>
      </c>
      <c r="E14576" s="29" t="n">
        <f aca="false">mix_g3*Sens!E14566</f>
        <v>1137.5</v>
      </c>
      <c r="F14576" s="29" t="n">
        <f aca="false">Sens!E14576+(Sens!F14572+Sens!F14573)*a_g3_27-Sens!F14573*mix_g3</f>
        <v>1592.5</v>
      </c>
      <c r="G14576" s="29" t="n">
        <f aca="false">Sens!F14576+(Sens!G14572+Sens!G14573)*a_g3_28-Sens!G14573*mix_g3</f>
        <v>1738.3</v>
      </c>
      <c r="H14576" s="29" t="n">
        <f aca="false">Sens!G14576+(Sens!H14572+Sens!H14573)*a_g3_29-Sens!H14573*mix_g3</f>
        <v>1738.3</v>
      </c>
      <c r="I14576" s="29" t="n">
        <f aca="false">Sens!H14576+(Sens!I14572+Sens!I14573)*a_g3_29-Sens!I14573*mix_g3</f>
        <v>1615.8</v>
      </c>
      <c r="J14576" s="29" t="n">
        <f aca="false">Sens!I14576+(Sens!J14572+Sens!J14573)*a_g3_29-Sens!J14573*mix_g3</f>
        <v>1430.8</v>
      </c>
      <c r="K14576" s="29" t="n">
        <f aca="false">Sens!J14576+(Sens!K14572+Sens!K14573)*a_g3_29-Sens!K14573*mix_g3</f>
        <v>1063.3</v>
      </c>
    </row>
    <row r="14577" customFormat="false" ht="17.15" hidden="false" customHeight="false" outlineLevel="0" collapsed="false">
      <c r="A14577" s="1" t="s">
        <v>826</v>
      </c>
      <c r="B14577" s="0" t="s">
        <v>399</v>
      </c>
      <c r="C14577" s="29" t="n">
        <v>0</v>
      </c>
      <c r="D14577" s="29" t="n">
        <v>0</v>
      </c>
      <c r="E14577" s="29" t="n">
        <v>0</v>
      </c>
      <c r="F14577" s="29" t="n">
        <f aca="false">Sens!E14577+(Sens!F14572+Sens!F14573)*(1-a_g3_27)</f>
        <v>195</v>
      </c>
      <c r="G14577" s="29" t="n">
        <f aca="false">Sens!F14577+(Sens!G14572+Sens!G14573)*(1-a_g3_28)</f>
        <v>535.2</v>
      </c>
      <c r="H14577" s="29" t="n">
        <f aca="false">Sens!G14577+(Sens!H14572+Sens!H14573)*(1-a_g3_29)</f>
        <v>535.2</v>
      </c>
      <c r="I14577" s="29" t="n">
        <f aca="false">Sens!H14577+(Sens!I14572+Sens!I14573)*(1-a_g3_29)</f>
        <v>976.2</v>
      </c>
      <c r="J14577" s="29" t="n">
        <f aca="false">Sens!I14577+(Sens!J14572+Sens!J14573)*(1-a_g3_29)</f>
        <v>1642.2</v>
      </c>
      <c r="K14577" s="29" t="n">
        <f aca="false">Sens!J14577+(Sens!K14572+Sens!K14573)*(1-a_g3_29)</f>
        <v>2965.2</v>
      </c>
    </row>
    <row r="14578" customFormat="false" ht="17.15" hidden="false" customHeight="false" outlineLevel="0" collapsed="false">
      <c r="A14578" s="1" t="s">
        <v>827</v>
      </c>
      <c r="B14578" s="0" t="s">
        <v>346</v>
      </c>
      <c r="C14578" s="14" t="n">
        <f aca="false">(Sens!C14574*tk_hold_h100+Sens!C14575*tk_hold_gb200+Sens!C14576*tk_hold_gb300+Sens!C14577*tk_hold_vr200)/Sens!C14566</f>
        <v>9.7235358126469</v>
      </c>
      <c r="D14578" s="14" t="n">
        <f aca="false">(Sens!D14574*tk_hold_h100+Sens!D14575*tk_hold_gb200+Sens!D14576*tk_hold_gb300+Sens!D14577*tk_hold_vr200)/Sens!D14566</f>
        <v>9.7235358126469</v>
      </c>
      <c r="E14578" s="14" t="n">
        <f aca="false">(Sens!E14574*tk_hold_h100+Sens!E14575*tk_hold_gb200+Sens!E14576*tk_hold_gb300+Sens!E14577*tk_hold_vr200)/Sens!E14566</f>
        <v>9.7235358126469</v>
      </c>
      <c r="F14578" s="14" t="n">
        <f aca="false">(Sens!F14574*tk_hold_h100+Sens!F14575*tk_hold_gb200+Sens!F14576*tk_hold_gb300+Sens!F14577*tk_hold_vr200)/Sens!F14566</f>
        <v>9.9843013443478</v>
      </c>
      <c r="G14578" s="14" t="n">
        <f aca="false">(Sens!G14574*tk_hold_h100+Sens!G14575*tk_hold_gb200+Sens!G14576*tk_hold_gb300+Sens!G14577*tk_hold_vr200)/Sens!G14566</f>
        <v>10.1881256732384</v>
      </c>
      <c r="H14578" s="14" t="n">
        <f aca="false">(Sens!H14574*tk_hold_h100+Sens!H14575*tk_hold_gb200+Sens!H14576*tk_hold_gb300+Sens!H14577*tk_hold_vr200)/Sens!H14566</f>
        <v>10.1881256732384</v>
      </c>
      <c r="I14578" s="14" t="n">
        <f aca="false">(Sens!I14574*tk_hold_h100+Sens!I14575*tk_hold_gb200+Sens!I14576*tk_hold_gb300+Sens!I14577*tk_hold_vr200)/Sens!I14566</f>
        <v>10.4526797781011</v>
      </c>
      <c r="J14578" s="14" t="n">
        <f aca="false">(Sens!J14574*tk_hold_h100+Sens!J14575*tk_hold_gb200+Sens!J14576*tk_hold_gb300+Sens!J14577*tk_hold_vr200)/Sens!J14566</f>
        <v>10.8522104670775</v>
      </c>
      <c r="K14578" s="14" t="n">
        <f aca="false">(Sens!K14574*tk_hold_h100+Sens!K14575*tk_hold_gb200+Sens!K14576*tk_hold_gb300+Sens!K14577*tk_hold_vr200)/Sens!K14566</f>
        <v>11.6458727816658</v>
      </c>
    </row>
    <row r="14579" customFormat="false" ht="17.15" hidden="false" customHeight="false" outlineLevel="0" collapsed="false">
      <c r="A14579" s="0" t="s">
        <v>828</v>
      </c>
      <c r="B14579" s="0" t="s">
        <v>185</v>
      </c>
      <c r="C14579" s="14" t="n">
        <f aca="false">k_B</f>
        <v>1.17213932619116</v>
      </c>
      <c r="D14579" s="14" t="n">
        <f aca="false">k_B</f>
        <v>1.17213932619116</v>
      </c>
      <c r="E14579" s="14" t="n">
        <f aca="false">k_B</f>
        <v>1.17213932619116</v>
      </c>
      <c r="F14579" s="14" t="n">
        <f aca="false">(k_B+((ls_C*k_long+(1-ls_C)*k_spot)-k_B)*MIN(1,(Sens!F14564-base_fy)/k_ramp))</f>
        <v>1.07843258004497</v>
      </c>
      <c r="G14579" s="14" t="n">
        <f aca="false">(k_B+((ls_C*k_long+(1-ls_C)*k_spot)-k_B)*MIN(1,(Sens!G14564-base_fy)/k_ramp))</f>
        <v>0.984725833898784</v>
      </c>
      <c r="H14579" s="14" t="n">
        <f aca="false">(k_B+((ls_C*k_long+(1-ls_C)*k_spot)-k_B)*MIN(1,(Sens!H14564-base_fy)/k_ramp))</f>
        <v>0.891019087752599</v>
      </c>
      <c r="I14579" s="14" t="n">
        <f aca="false">(k_B+((ls_C*k_long+(1-ls_C)*k_spot)-k_B)*MIN(1,(Sens!I14564-base_fy)/k_ramp))</f>
        <v>0.891019087752599</v>
      </c>
      <c r="J14579" s="14" t="n">
        <f aca="false">(k_B+((ls_C*k_long+(1-ls_C)*k_spot)-k_B)*MIN(1,(Sens!J14564-base_fy)/k_ramp))</f>
        <v>0.891019087752599</v>
      </c>
      <c r="K14579" s="14" t="n">
        <f aca="false">(k_B+((ls_C*k_long+(1-ls_C)*k_spot)-k_B)*MIN(1,(Sens!K14564-base_fy)/k_ramp))</f>
        <v>0.891019087752599</v>
      </c>
      <c r="L14579" s="1" t="s">
        <v>829</v>
      </c>
    </row>
    <row r="14580" customFormat="false" ht="17.15" hidden="false" customHeight="false" outlineLevel="0" collapsed="false">
      <c r="A14580" s="1" t="s">
        <v>830</v>
      </c>
      <c r="B14580" s="0" t="s">
        <v>346</v>
      </c>
      <c r="C14580" s="14" t="n">
        <f aca="false">Sens!C14578*Sens!C14579*chip_f</f>
        <v>11.3973387156315</v>
      </c>
      <c r="D14580" s="14" t="n">
        <f aca="false">Sens!D14578*Sens!D14579*chip_f</f>
        <v>11.3973387156315</v>
      </c>
      <c r="E14580" s="14" t="n">
        <f aca="false">Sens!E14578*Sens!E14579*chip_f</f>
        <v>11.3973387156315</v>
      </c>
      <c r="F14580" s="14" t="n">
        <f aca="false">Sens!F14578*Sens!F14579*chip_f</f>
        <v>10.7673958587315</v>
      </c>
      <c r="G14580" s="14" t="n">
        <f aca="false">Sens!G14578*Sens!G14579*chip_f</f>
        <v>10.0325105494453</v>
      </c>
      <c r="H14580" s="14" t="n">
        <f aca="false">Sens!H14578*Sens!H14579*chip_f</f>
        <v>9.0778144432777</v>
      </c>
      <c r="I14580" s="14" t="n">
        <f aca="false">Sens!I14578*Sens!I14579*chip_f</f>
        <v>9.31353720045371</v>
      </c>
      <c r="J14580" s="14" t="n">
        <f aca="false">Sens!J14578*Sens!J14579*chip_f</f>
        <v>9.66952667047463</v>
      </c>
      <c r="K14580" s="14" t="n">
        <f aca="false">Sens!K14578*Sens!K14579*chip_f</f>
        <v>10.3766949420027</v>
      </c>
      <c r="L14580" s="1" t="s">
        <v>831</v>
      </c>
    </row>
    <row r="14581" customFormat="false" ht="17.15" hidden="false" customHeight="false" outlineLevel="0" collapsed="false">
      <c r="A14581" s="0" t="s">
        <v>832</v>
      </c>
      <c r="B14581" s="0" t="s">
        <v>98</v>
      </c>
      <c r="D14581" s="6" t="n">
        <f aca="false">(Sens!C14566+Sens!D14566)/2*Sens!D14580/1000</f>
        <v>12.9359794422418</v>
      </c>
      <c r="E14581" s="6" t="n">
        <f aca="false">(Sens!D14566+Sens!E14566)/2*Sens!E14580/1000</f>
        <v>27.8095064661409</v>
      </c>
      <c r="F14581" s="6" t="n">
        <f aca="false">(Sens!E14566+Sens!F14566)/2*Sens!F14580/1000</f>
        <v>38.493440194965</v>
      </c>
      <c r="G14581" s="6" t="n">
        <f aca="false">(Sens!F14566+Sens!G14566)/2*Sens!G14580/1000</f>
        <v>41.5646912063518</v>
      </c>
      <c r="H14581" s="6" t="n">
        <f aca="false">(Sens!G14566+Sens!H14566)/2*Sens!H14580/1000</f>
        <v>39.815294148216</v>
      </c>
      <c r="I14581" s="6" t="n">
        <f aca="false">(Sens!H14566+Sens!I14566)/2*Sens!I14580/1000</f>
        <v>40.84917416119</v>
      </c>
      <c r="J14581" s="6" t="n">
        <f aca="false">(Sens!I14566+Sens!J14566)/2*Sens!J14580/1000</f>
        <v>42.4105439767017</v>
      </c>
      <c r="K14581" s="6" t="n">
        <f aca="false">(Sens!J14566+Sens!K14566)/2*Sens!K14580/1000</f>
        <v>45.5121840156236</v>
      </c>
      <c r="L14581" s="11" t="s">
        <v>833</v>
      </c>
    </row>
    <row r="14582" customFormat="false" ht="17.15" hidden="false" customHeight="false" outlineLevel="0" collapsed="false">
      <c r="A14582" s="1" t="s">
        <v>834</v>
      </c>
      <c r="B14582" s="0" t="s">
        <v>346</v>
      </c>
      <c r="C14582" s="14" t="n">
        <f aca="false">(Sens!C14574*tk_opex_h100+Sens!C14575*tk_opex_gb200+Sens!C14576*tk_opex_gb300+Sens!C14577*tk_opex_vr200)/Sens!C14566</f>
        <v>1.88636041306092</v>
      </c>
      <c r="D14582" s="14" t="n">
        <f aca="false">(Sens!D14574*tk_opex_h100+Sens!D14575*tk_opex_gb200+Sens!D14576*tk_opex_gb300+Sens!D14577*tk_opex_vr200)/Sens!D14566</f>
        <v>1.88636041306092</v>
      </c>
      <c r="E14582" s="14" t="n">
        <f aca="false">(Sens!E14574*tk_opex_h100+Sens!E14575*tk_opex_gb200+Sens!E14576*tk_opex_gb300+Sens!E14577*tk_opex_vr200)/Sens!E14566</f>
        <v>1.88636041306092</v>
      </c>
      <c r="F14582" s="14" t="n">
        <f aca="false">(Sens!F14574*tk_opex_h100+Sens!F14575*tk_opex_gb200+Sens!F14576*tk_opex_gb300+Sens!F14577*tk_opex_vr200)/Sens!F14566</f>
        <v>1.90794918316667</v>
      </c>
      <c r="G14582" s="14" t="n">
        <f aca="false">(Sens!G14574*tk_opex_h100+Sens!G14575*tk_opex_gb200+Sens!G14576*tk_opex_gb300+Sens!G14577*tk_opex_vr200)/Sens!G14566</f>
        <v>1.92482379289624</v>
      </c>
      <c r="H14582" s="14" t="n">
        <f aca="false">(Sens!H14574*tk_opex_h100+Sens!H14575*tk_opex_gb200+Sens!H14576*tk_opex_gb300+Sens!H14577*tk_opex_vr200)/Sens!H14566</f>
        <v>1.92482379289624</v>
      </c>
      <c r="I14582" s="14" t="n">
        <f aca="false">(Sens!I14574*tk_opex_h100+Sens!I14575*tk_opex_gb200+Sens!I14576*tk_opex_gb300+Sens!I14577*tk_opex_vr200)/Sens!I14566</f>
        <v>1.946726218854</v>
      </c>
      <c r="J14582" s="14" t="n">
        <f aca="false">(Sens!J14574*tk_opex_h100+Sens!J14575*tk_opex_gb200+Sens!J14576*tk_opex_gb300+Sens!J14577*tk_opex_vr200)/Sens!J14566</f>
        <v>1.97980335193306</v>
      </c>
      <c r="K14582" s="14" t="n">
        <f aca="false">(Sens!K14574*tk_opex_h100+Sens!K14575*tk_opex_gb200+Sens!K14576*tk_opex_gb300+Sens!K14577*tk_opex_vr200)/Sens!K14566</f>
        <v>2.04551062980633</v>
      </c>
    </row>
    <row r="14583" customFormat="false" ht="17.15" hidden="false" customHeight="false" outlineLevel="0" collapsed="false">
      <c r="A14583" s="0" t="s">
        <v>835</v>
      </c>
      <c r="B14583" s="0" t="s">
        <v>98</v>
      </c>
      <c r="D14583" s="6" t="n">
        <f aca="false">(Sens!C14569+Sens!D14569)/2*Sens!D14582/1000</f>
        <v>2.70378325872065</v>
      </c>
      <c r="E14583" s="6" t="n">
        <f aca="false">(Sens!D14569+Sens!E14569)/2*Sens!E14582/1000</f>
        <v>6.17783035277451</v>
      </c>
      <c r="F14583" s="6" t="n">
        <f aca="false">(Sens!E14569+Sens!F14569)/2*Sens!F14582/1000</f>
        <v>9.29171252202166</v>
      </c>
      <c r="G14583" s="6" t="n">
        <f aca="false">(Sens!F14569+Sens!G14569)/2*Sens!G14582/1000</f>
        <v>10.8656303108993</v>
      </c>
      <c r="H14583" s="6" t="n">
        <f aca="false">(Sens!G14569+Sens!H14569)/2*Sens!H14582/1000</f>
        <v>11.6451839470223</v>
      </c>
      <c r="I14583" s="6" t="n">
        <f aca="false">(Sens!H14569+Sens!I14569)/2*Sens!I14582/1000</f>
        <v>11.7776936240667</v>
      </c>
      <c r="J14583" s="6" t="n">
        <f aca="false">(Sens!I14569+Sens!J14569)/2*Sens!J14582/1000</f>
        <v>11.977810279195</v>
      </c>
      <c r="K14583" s="6" t="n">
        <f aca="false">(Sens!J14569+Sens!K14569)/2*Sens!K14582/1000</f>
        <v>12.3753393103283</v>
      </c>
    </row>
    <row r="14584" customFormat="false" ht="17.15" hidden="false" customHeight="false" outlineLevel="0" collapsed="false">
      <c r="A14584" s="0" t="s">
        <v>836</v>
      </c>
      <c r="B14584" s="0" t="s">
        <v>98</v>
      </c>
      <c r="D14584" s="6" t="n">
        <f aca="false">(Sens!C14567+Sens!D14567)/2*rent_mw/1000</f>
        <v>2.44475</v>
      </c>
      <c r="E14584" s="6" t="n">
        <f aca="false">(Sens!D14567+Sens!E14567)/2*rent_mw/1000</f>
        <v>4.22275</v>
      </c>
      <c r="F14584" s="6" t="n">
        <f aca="false">(Sens!E14567+Sens!F14567)/2*rent_mw/1000</f>
        <v>5.80517</v>
      </c>
      <c r="G14584" s="6" t="n">
        <f aca="false">(Sens!F14567+Sens!G14567)/2*rent_mw/1000</f>
        <v>6.72084</v>
      </c>
      <c r="H14584" s="6" t="n">
        <f aca="false">(Sens!G14567+Sens!H14567)/2*rent_mw/1000</f>
        <v>6.72084</v>
      </c>
      <c r="I14584" s="6" t="n">
        <f aca="false">(Sens!H14567+Sens!I14567)/2*rent_mw/1000</f>
        <v>6.72084</v>
      </c>
      <c r="J14584" s="6" t="n">
        <f aca="false">(Sens!I14567+Sens!J14567)/2*rent_mw/1000</f>
        <v>6.72084</v>
      </c>
      <c r="K14584" s="6" t="n">
        <f aca="false">(Sens!J14567+Sens!K14567)/2*rent_mw/1000</f>
        <v>6.72084</v>
      </c>
    </row>
    <row r="14585" customFormat="false" ht="17.15" hidden="false" customHeight="false" outlineLevel="0" collapsed="false">
      <c r="A14585" s="0" t="s">
        <v>837</v>
      </c>
      <c r="B14585" s="0" t="s">
        <v>98</v>
      </c>
      <c r="D14585" s="6" t="n">
        <f aca="false">(Sens!C14569+Sens!D14569)/2*(1-self_build)*fac_rent/1000</f>
        <v>0.853242375631075</v>
      </c>
      <c r="E14585" s="6" t="n">
        <f aca="false">(Sens!D14569+Sens!E14569)/2*(1-self_build)*fac_rent/1000</f>
        <v>1.94955961408728</v>
      </c>
      <c r="F14585" s="6" t="n">
        <f aca="false">(Sens!E14569+Sens!F14569)/2*(1-self_build)*fac_rent/1000</f>
        <v>2.89903979255117</v>
      </c>
      <c r="G14585" s="6" t="n">
        <f aca="false">(Sens!F14569+Sens!G14569)/2*(1-self_build)*fac_rent/1000</f>
        <v>3.36038596077029</v>
      </c>
      <c r="H14585" s="6" t="n">
        <f aca="false">(Sens!G14569+Sens!H14569)/2*(1-self_build)*fac_rent/1000</f>
        <v>3.60147653900094</v>
      </c>
      <c r="I14585" s="6" t="n">
        <f aca="false">(Sens!H14569+Sens!I14569)/2*(1-self_build)*fac_rent/1000</f>
        <v>3.60147653900094</v>
      </c>
      <c r="J14585" s="6" t="n">
        <f aca="false">(Sens!I14569+Sens!J14569)/2*(1-self_build)*fac_rent/1000</f>
        <v>3.60147653900094</v>
      </c>
      <c r="K14585" s="6" t="n">
        <f aca="false">(Sens!J14569+Sens!K14569)/2*(1-self_build)*fac_rent/1000</f>
        <v>3.60147653900094</v>
      </c>
      <c r="L14585" s="11" t="s">
        <v>838</v>
      </c>
    </row>
    <row r="14586" customFormat="false" ht="17.15" hidden="false" customHeight="false" outlineLevel="0" collapsed="false">
      <c r="A14586" s="1" t="s">
        <v>839</v>
      </c>
      <c r="B14586" s="0" t="s">
        <v>129</v>
      </c>
      <c r="D14586" s="7" t="n">
        <f aca="false">(Sens!C14568+Sens!D14568)/(Sens!C14569+Sens!D14569)</f>
        <v>0.6</v>
      </c>
      <c r="E14586" s="7" t="n">
        <f aca="false">(Sens!D14568+Sens!E14568)/(Sens!D14569+Sens!E14569)</f>
        <v>0.6</v>
      </c>
      <c r="F14586" s="7" t="n">
        <f aca="false">(Sens!E14568+Sens!F14568)/(Sens!E14569+Sens!F14569)</f>
        <v>0.6</v>
      </c>
      <c r="G14586" s="7" t="n">
        <f aca="false">(Sens!F14568+Sens!G14568)/(Sens!F14569+Sens!G14569)</f>
        <v>0.6</v>
      </c>
      <c r="H14586" s="7" t="n">
        <f aca="false">(Sens!G14568+Sens!H14568)/(Sens!G14569+Sens!H14569)</f>
        <v>0.6</v>
      </c>
      <c r="I14586" s="7" t="n">
        <f aca="false">(Sens!H14568+Sens!I14568)/(Sens!H14569+Sens!I14569)</f>
        <v>0.6</v>
      </c>
      <c r="J14586" s="7" t="n">
        <f aca="false">(Sens!I14568+Sens!J14568)/(Sens!I14569+Sens!J14569)</f>
        <v>0.6</v>
      </c>
      <c r="K14586" s="7" t="n">
        <f aca="false">(Sens!J14568+Sens!K14568)/(Sens!J14569+Sens!K14569)</f>
        <v>0.6</v>
      </c>
    </row>
    <row r="14587" customFormat="false" ht="17.15" hidden="false" customHeight="false" outlineLevel="0" collapsed="false">
      <c r="A14587" s="0" t="s">
        <v>840</v>
      </c>
      <c r="B14587" s="0" t="s">
        <v>98</v>
      </c>
      <c r="D14587" s="6" t="n">
        <f aca="false">Sens!D14581-Sens!D14586*(Sens!D14583+Sens!D14585)-Sens!D14584</f>
        <v>8.35701406163072</v>
      </c>
      <c r="E14587" s="6" t="n">
        <f aca="false">Sens!E14581-Sens!E14586*(Sens!E14583+Sens!E14585)-Sens!E14584</f>
        <v>18.7103224860238</v>
      </c>
      <c r="F14587" s="6" t="n">
        <f aca="false">Sens!F14581-Sens!F14586*(Sens!F14583+Sens!F14585)-Sens!F14584</f>
        <v>25.3738188062213</v>
      </c>
      <c r="G14587" s="6" t="n">
        <f aca="false">Sens!G14581-Sens!G14586*(Sens!G14583+Sens!G14585)-Sens!G14584</f>
        <v>26.3082414433501</v>
      </c>
      <c r="H14587" s="6" t="n">
        <f aca="false">Sens!H14581-Sens!H14586*(Sens!H14583+Sens!H14585)-Sens!H14584</f>
        <v>23.9464578566021</v>
      </c>
      <c r="I14587" s="6" t="n">
        <f aca="false">Sens!I14581-Sens!I14586*(Sens!I14583+Sens!I14585)-Sens!I14584</f>
        <v>24.9008320633494</v>
      </c>
      <c r="J14587" s="6" t="n">
        <f aca="false">Sens!J14581-Sens!J14586*(Sens!J14583+Sens!J14585)-Sens!J14584</f>
        <v>26.3421318857841</v>
      </c>
      <c r="K14587" s="6" t="n">
        <f aca="false">Sens!K14581-Sens!K14586*(Sens!K14583+Sens!K14585)-Sens!K14584</f>
        <v>29.2052545060261</v>
      </c>
    </row>
    <row r="14588" customFormat="false" ht="17.15" hidden="false" customHeight="false" outlineLevel="0" collapsed="false">
      <c r="A14588" s="1" t="s">
        <v>841</v>
      </c>
      <c r="B14588" s="0" t="s">
        <v>98</v>
      </c>
      <c r="D14588" s="6" t="n">
        <f aca="false">(1-Sens!D14586)*(Sens!D14583+Sens!D14585)</f>
        <v>1.42281025374069</v>
      </c>
      <c r="E14588" s="6" t="n">
        <f aca="false">(1-Sens!E14586)*(Sens!E14583+Sens!E14585)</f>
        <v>3.25095598674472</v>
      </c>
      <c r="F14588" s="6" t="n">
        <f aca="false">(1-Sens!F14586)*(Sens!F14583+Sens!F14585)</f>
        <v>4.87630092582913</v>
      </c>
      <c r="G14588" s="6" t="n">
        <f aca="false">(1-Sens!G14586)*(Sens!G14583+Sens!G14585)</f>
        <v>5.69040650866783</v>
      </c>
      <c r="H14588" s="6" t="n">
        <f aca="false">(1-Sens!H14586)*(Sens!H14583+Sens!H14585)</f>
        <v>6.09866419440928</v>
      </c>
      <c r="I14588" s="6" t="n">
        <f aca="false">(1-Sens!I14586)*(Sens!I14583+Sens!I14585)</f>
        <v>6.15166806522705</v>
      </c>
      <c r="J14588" s="6" t="n">
        <f aca="false">(1-Sens!J14586)*(Sens!J14583+Sens!J14585)</f>
        <v>6.23171472727838</v>
      </c>
      <c r="K14588" s="6" t="n">
        <f aca="false">(1-Sens!K14586)*(Sens!K14583+Sens!K14585)</f>
        <v>6.39072633973169</v>
      </c>
    </row>
    <row r="14589" customFormat="false" ht="17.15" hidden="false" customHeight="false" outlineLevel="0" collapsed="false">
      <c r="A14589" s="1" t="s">
        <v>842</v>
      </c>
      <c r="B14589" s="0" t="s">
        <v>357</v>
      </c>
      <c r="C14589" s="8" t="n">
        <f aca="false">cxit_open</f>
        <v>27.5918995</v>
      </c>
      <c r="D14589" s="8" t="n">
        <f aca="false">cxit_open</f>
        <v>27.5918995</v>
      </c>
      <c r="E14589" s="8" t="n">
        <f aca="false">cxit_open</f>
        <v>27.5918995</v>
      </c>
      <c r="F14589" s="8" t="n">
        <f aca="false">(a_g3_27*tk_cxit_gb300+(1-a_g3_27)*tk_cxit_vr200)</f>
        <v>33.8419624</v>
      </c>
      <c r="G14589" s="8" t="n">
        <f aca="false">(a_g3_28*tk_cxit_gb300+(1-a_g3_28)*tk_cxit_vr200)</f>
        <v>35.9816136</v>
      </c>
      <c r="H14589" s="8" t="n">
        <f aca="false">(a_g3_29*tk_cxit_gb300+(1-a_g3_29)*tk_cxit_vr200)</f>
        <v>37.0514392</v>
      </c>
      <c r="I14589" s="8" t="n">
        <f aca="false">(a_g3_29*tk_cxit_gb300+(1-a_g3_29)*tk_cxit_vr200)</f>
        <v>37.0514392</v>
      </c>
      <c r="J14589" s="8" t="n">
        <f aca="false">(a_g3_29*tk_cxit_gb300+(1-a_g3_29)*tk_cxit_vr200)</f>
        <v>37.0514392</v>
      </c>
      <c r="K14589" s="8" t="n">
        <f aca="false">(a_g3_29*tk_cxit_gb300+(1-a_g3_29)*tk_cxit_vr200)</f>
        <v>37.0514392</v>
      </c>
      <c r="L14589" s="11" t="s">
        <v>843</v>
      </c>
    </row>
    <row r="14590" customFormat="false" ht="17.15" hidden="false" customHeight="false" outlineLevel="0" collapsed="false">
      <c r="A14590" s="0" t="s">
        <v>844</v>
      </c>
      <c r="B14590" s="0" t="s">
        <v>399</v>
      </c>
      <c r="F14590" s="29" t="n">
        <f aca="false">Sens!C14571*IF(Sens!F14564-Sens!C14564=life_it,1,0)+Sens!D14571*IF(Sens!F14564-Sens!D14564=life_it,1,0)+Sens!E14571*IF(Sens!F14564-Sens!E14564=life_it,1,0)</f>
        <v>0</v>
      </c>
      <c r="G14590" s="29" t="n">
        <f aca="false">Sens!C14571*IF(Sens!G14564-Sens!C14564=life_it,1,0)+Sens!D14571*IF(Sens!G14564-Sens!D14564=life_it,1,0)+Sens!E14571*IF(Sens!G14564-Sens!E14564=life_it,1,0)+Sens!F14571*IF(Sens!G14564-Sens!F14564=life_it,1,0)</f>
        <v>0</v>
      </c>
      <c r="H14590" s="29" t="n">
        <f aca="false">Sens!C14571*IF(Sens!H14564-Sens!C14564=life_it,1,0)+Sens!D14571*IF(Sens!H14564-Sens!D14564=life_it,1,0)+Sens!E14571*IF(Sens!H14564-Sens!E14564=life_it,1,0)+Sens!F14571*IF(Sens!H14564-Sens!F14564=life_it,1,0)+Sens!G14571*IF(Sens!H14564-Sens!G14564=life_it,1,0)</f>
        <v>0</v>
      </c>
      <c r="I14590" s="29" t="n">
        <f aca="false">Sens!C14571*IF(Sens!I14564-Sens!C14564=life_it,1,0)+Sens!D14571*IF(Sens!I14564-Sens!D14564=life_it,1,0)+Sens!E14571*IF(Sens!I14564-Sens!E14564=life_it,1,0)+Sens!F14571*IF(Sens!I14564-Sens!F14564=life_it,1,0)+Sens!G14571*IF(Sens!I14564-Sens!G14564=life_it,1,0)+Sens!H14571*IF(Sens!I14564-Sens!H14564=life_it,1,0)</f>
        <v>816.666666666667</v>
      </c>
      <c r="J14590" s="29" t="n">
        <f aca="false">Sens!C14571*IF(Sens!J14564-Sens!C14564=life_it,1,0)+Sens!D14571*IF(Sens!J14564-Sens!D14564=life_it,1,0)+Sens!E14571*IF(Sens!J14564-Sens!E14564=life_it,1,0)+Sens!F14571*IF(Sens!J14564-Sens!F14564=life_it,1,0)+Sens!G14571*IF(Sens!J14564-Sens!G14564=life_it,1,0)+Sens!H14571*IF(Sens!J14564-Sens!H14564=life_it,1,0)+Sens!I14571*IF(Sens!J14564-Sens!I14564=life_it,1,0)</f>
        <v>1233.33333333333</v>
      </c>
      <c r="K14590" s="29" t="n">
        <f aca="false">Sens!C14571*IF(Sens!K14564-Sens!C14564=life_it,1,0)+Sens!D14571*IF(Sens!K14564-Sens!D14564=life_it,1,0)+Sens!E14571*IF(Sens!K14564-Sens!E14564=life_it,1,0)+Sens!F14571*IF(Sens!K14564-Sens!F14564=life_it,1,0)+Sens!G14571*IF(Sens!K14564-Sens!G14564=life_it,1,0)+Sens!H14571*IF(Sens!K14564-Sens!H14564=life_it,1,0)+Sens!I14571*IF(Sens!K14564-Sens!I14564=life_it,1,0)+Sens!J14571*IF(Sens!K14564-Sens!J14564=life_it,1,0)</f>
        <v>2450</v>
      </c>
      <c r="L14590" s="1" t="s">
        <v>845</v>
      </c>
    </row>
    <row r="14591" customFormat="false" ht="17.15" hidden="false" customHeight="false" outlineLevel="0" collapsed="false">
      <c r="A14591" s="0" t="s">
        <v>846</v>
      </c>
      <c r="B14591" s="0" t="s">
        <v>98</v>
      </c>
      <c r="C14591" s="6" t="n">
        <f aca="false">Sens!C14571*Sens!C14589/1000</f>
        <v>22.5333845916667</v>
      </c>
      <c r="D14591" s="6" t="n">
        <f aca="false">Sens!D14571*Sens!D14589/1000</f>
        <v>34.0300093833333</v>
      </c>
      <c r="E14591" s="6" t="n">
        <f aca="false">Sens!E14571*Sens!E14589/1000</f>
        <v>67.600153775</v>
      </c>
      <c r="F14591" s="6" t="n">
        <f aca="false">(Sens!F14571+Sens!F14590)*Sens!F14589/1000</f>
        <v>25.043052176</v>
      </c>
      <c r="G14591" s="6" t="n">
        <f aca="false">(Sens!G14571+Sens!G14590)*Sens!G14589/1000</f>
        <v>29.145107016</v>
      </c>
      <c r="H14591" s="6" t="n">
        <f aca="false">(Sens!H14571+Sens!H14590)*Sens!H14589/1000</f>
        <v>0</v>
      </c>
      <c r="I14591" s="6" t="n">
        <f aca="false">(Sens!I14571+Sens!I14590)*Sens!I14589/1000</f>
        <v>30.2586753466667</v>
      </c>
      <c r="J14591" s="6" t="n">
        <f aca="false">(Sens!J14571+Sens!J14590)*Sens!J14589/1000</f>
        <v>45.6967750133333</v>
      </c>
      <c r="K14591" s="6" t="n">
        <f aca="false">(Sens!K14571+Sens!K14590)*Sens!K14589/1000</f>
        <v>90.77602604</v>
      </c>
    </row>
    <row r="14592" customFormat="false" ht="17.15" hidden="false" customHeight="false" outlineLevel="0" collapsed="false">
      <c r="A14592" s="0" t="s">
        <v>847</v>
      </c>
      <c r="B14592" s="0" t="s">
        <v>98</v>
      </c>
      <c r="C14592" s="6" t="n">
        <f aca="false">Sens!C14571*self_build*tk_cxfac/1000</f>
        <v>6.2083</v>
      </c>
      <c r="D14592" s="6" t="n">
        <f aca="false">Sens!D14571*self_build*tk_cxfac/1000</f>
        <v>9.3758</v>
      </c>
      <c r="E14592" s="6" t="n">
        <f aca="false">Sens!E14571*self_build*tk_cxfac/1000</f>
        <v>18.6249</v>
      </c>
      <c r="F14592" s="6" t="n">
        <f aca="false">Sens!F14571*self_build*tk_cxfac/1000</f>
        <v>5.62548</v>
      </c>
      <c r="G14592" s="6" t="n">
        <f aca="false">Sens!G14571*self_build*tk_cxfac/1000</f>
        <v>6.15762</v>
      </c>
      <c r="H14592" s="6" t="n">
        <f aca="false">Sens!H14571*self_build*tk_cxfac/1000</f>
        <v>0</v>
      </c>
      <c r="I14592" s="6" t="n">
        <f aca="false">Sens!I14571*self_build*tk_cxfac/1000</f>
        <v>0</v>
      </c>
      <c r="J14592" s="6" t="n">
        <f aca="false">Sens!J14571*self_build*tk_cxfac/1000</f>
        <v>0</v>
      </c>
      <c r="K14592" s="6" t="n">
        <f aca="false">Sens!K14571*self_build*tk_cxfac/1000</f>
        <v>0</v>
      </c>
    </row>
    <row r="14593" customFormat="false" ht="17.15" hidden="false" customHeight="false" outlineLevel="0" collapsed="false">
      <c r="A14593" s="0" t="s">
        <v>848</v>
      </c>
      <c r="B14593" s="0" t="s">
        <v>98</v>
      </c>
      <c r="F14593" s="6" t="n">
        <f aca="false">MAX(0,capex_floor27-Sens!F14591-Sens!F14592-Sens!F14687)</f>
        <v>138.102120594438</v>
      </c>
    </row>
    <row r="14594" customFormat="false" ht="17.15" hidden="false" customHeight="false" outlineLevel="0" collapsed="false">
      <c r="A14594" s="0" t="s">
        <v>849</v>
      </c>
      <c r="B14594" s="0" t="s">
        <v>98</v>
      </c>
      <c r="C14594" s="6" t="n">
        <f aca="false">Sens!C14591</f>
        <v>22.5333845916667</v>
      </c>
      <c r="D14594" s="6" t="n">
        <f aca="false">Sens!D14591</f>
        <v>34.0300093833333</v>
      </c>
      <c r="E14594" s="6" t="n">
        <f aca="false">Sens!E14591</f>
        <v>67.600153775</v>
      </c>
      <c r="F14594" s="6" t="n">
        <f aca="false">Sens!F14591</f>
        <v>25.043052176</v>
      </c>
      <c r="G14594" s="6" t="n">
        <f aca="false">Sens!G14591</f>
        <v>29.145107016</v>
      </c>
      <c r="H14594" s="6" t="n">
        <f aca="false">Sens!H14591</f>
        <v>0</v>
      </c>
      <c r="I14594" s="6" t="n">
        <f aca="false">Sens!I14591</f>
        <v>30.2586753466667</v>
      </c>
      <c r="J14594" s="6" t="n">
        <f aca="false">Sens!J14591</f>
        <v>45.6967750133333</v>
      </c>
      <c r="K14594" s="6" t="n">
        <f aca="false">Sens!K14591</f>
        <v>90.77602604</v>
      </c>
    </row>
    <row r="14595" customFormat="false" ht="17.15" hidden="false" customHeight="false" outlineLevel="0" collapsed="false">
      <c r="A14595" s="0" t="s">
        <v>850</v>
      </c>
      <c r="B14595" s="0" t="s">
        <v>98</v>
      </c>
      <c r="C14595" s="6" t="n">
        <f aca="false">Sens!C14594+Sens!C14592</f>
        <v>28.7416845916667</v>
      </c>
      <c r="D14595" s="6" t="n">
        <f aca="false">Sens!D14594+Sens!D14592</f>
        <v>43.4058093833333</v>
      </c>
      <c r="E14595" s="6" t="n">
        <f aca="false">Sens!E14594+Sens!E14592</f>
        <v>86.225053775</v>
      </c>
      <c r="F14595" s="6" t="n">
        <f aca="false">Sens!F14594+Sens!F14592</f>
        <v>30.668532176</v>
      </c>
      <c r="G14595" s="6" t="n">
        <f aca="false">Sens!G14594+Sens!G14592</f>
        <v>35.302727016</v>
      </c>
      <c r="H14595" s="6" t="n">
        <f aca="false">Sens!H14594+Sens!H14592</f>
        <v>0</v>
      </c>
      <c r="I14595" s="6" t="n">
        <f aca="false">Sens!I14594+Sens!I14592</f>
        <v>30.2586753466667</v>
      </c>
      <c r="J14595" s="6" t="n">
        <f aca="false">Sens!J14594+Sens!J14592</f>
        <v>45.6967750133333</v>
      </c>
      <c r="K14595" s="6" t="n">
        <f aca="false">Sens!K14594+Sens!K14592</f>
        <v>90.77602604</v>
      </c>
      <c r="L14595" s="11" t="s">
        <v>851</v>
      </c>
    </row>
    <row r="14596" customFormat="false" ht="17.15" hidden="false" customHeight="false" outlineLevel="0" collapsed="false">
      <c r="A14596" s="0" t="s">
        <v>852</v>
      </c>
      <c r="B14596" s="0" t="s">
        <v>98</v>
      </c>
      <c r="E14596" s="6" t="n">
        <f aca="false">(Sens!C14594*IF(2&lt;life_it,1,IF(2=life_it,0.5,0))+Sens!D14594*IF(1&lt;life_it,1,IF(1=life_it,0.5,0))+Sens!E14594*0.5)/life_it</f>
        <v>15.0605784770833</v>
      </c>
      <c r="F14596" s="6" t="n">
        <f aca="false">(Sens!C14594*IF(3&lt;life_it,1,IF(3=life_it,0.5,0))+Sens!D14594*IF(2&lt;life_it,1,IF(2=life_it,0.5,0))+Sens!E14594*IF(1&lt;life_it,1,IF(1=life_it,0.5,0))+Sens!F14594*0.5)/life_it</f>
        <v>22.7808456396667</v>
      </c>
      <c r="G14596" s="6" t="n">
        <f aca="false">(Sens!C14594*IF(4&lt;life_it,1,IF(4=life_it,0.5,0))+Sens!D14594*IF(3&lt;life_it,1,IF(3=life_it,0.5,0))+Sens!E14594*IF(2&lt;life_it,1,IF(2=life_it,0.5,0))+Sens!F14594*IF(1&lt;life_it,1,IF(1=life_it,0.5,0))+Sens!G14594*0.5)/life_it</f>
        <v>27.2965255723333</v>
      </c>
      <c r="H14596" s="6" t="n">
        <f aca="false">(Sens!C14594*IF(5&lt;life_it,1,IF(5=life_it,0.5,0))+Sens!D14594*IF(4&lt;life_it,1,IF(4=life_it,0.5,0))+Sens!E14594*IF(3&lt;life_it,1,IF(3=life_it,0.5,0))+Sens!F14594*IF(2&lt;life_it,1,IF(2=life_it,0.5,0))+Sens!G14594*IF(1&lt;life_it,1,IF(1=life_it,0.5,0))+Sens!H14594*0.5)/life_it</f>
        <v>29.7252844903333</v>
      </c>
      <c r="I14596" s="6" t="n">
        <f aca="false">(Sens!C14594*IF(6&lt;life_it,1,IF(6=life_it,0.5,0))+Sens!D14594*IF(5&lt;life_it,1,IF(5=life_it,0.5,0))+Sens!E14594*IF(4&lt;life_it,1,IF(4=life_it,0.5,0))+Sens!F14594*IF(3&lt;life_it,1,IF(3=life_it,0.5,0))+Sens!G14594*IF(2&lt;life_it,1,IF(2=life_it,0.5,0))+Sens!H14594*IF(1&lt;life_it,1,IF(1=life_it,0.5,0))+Sens!I14594*0.5)/life_it</f>
        <v>30.3690587199167</v>
      </c>
      <c r="J14596" s="6" t="n">
        <f aca="false">(Sens!C14594*IF(7&lt;life_it,1,IF(7=life_it,0.5,0))+Sens!D14594*IF(6&lt;life_it,1,IF(6=life_it,0.5,0))+Sens!E14594*IF(5&lt;life_it,1,IF(5=life_it,0.5,0))+Sens!F14594*IF(4&lt;life_it,1,IF(4=life_it,0.5,0))+Sens!G14594*IF(3&lt;life_it,1,IF(3=life_it,0.5,0))+Sens!H14594*IF(2&lt;life_it,1,IF(2=life_it,0.5,0))+Sens!I14594*IF(1&lt;life_it,1,IF(1=life_it,0.5,0))+Sens!J14594*0.5)/life_it</f>
        <v>31.9850634186667</v>
      </c>
      <c r="K14596" s="6" t="n">
        <f aca="false">(Sens!C14594*IF(8&lt;life_it,1,IF(8=life_it,0.5,0))+Sens!D14594*IF(7&lt;life_it,1,IF(7=life_it,0.5,0))+Sens!E14594*IF(6&lt;life_it,1,IF(6=life_it,0.5,0))+Sens!F14594*IF(5&lt;life_it,1,IF(5=life_it,0.5,0))+Sens!G14594*IF(4&lt;life_it,1,IF(4=life_it,0.5,0))+Sens!H14594*IF(3&lt;life_it,1,IF(3=life_it,0.5,0))+Sens!I14594*IF(2&lt;life_it,1,IF(2=life_it,0.5,0))+Sens!J14594*IF(1&lt;life_it,1,IF(1=life_it,0.5,0))+Sens!K14594*0.5)/life_it</f>
        <v>34.8886165765833</v>
      </c>
    </row>
    <row r="14597" customFormat="false" ht="17.15" hidden="false" customHeight="false" outlineLevel="0" collapsed="false">
      <c r="A14597" s="0" t="s">
        <v>853</v>
      </c>
      <c r="B14597" s="0" t="s">
        <v>98</v>
      </c>
      <c r="E14597" s="6" t="n">
        <f aca="false">(Sens!C14592*IF(2&lt;life_fac,1,IF(2=life_fac,0.5,0))+Sens!D14592*IF(1&lt;life_fac,1,IF(1=life_fac,0.5,0))+Sens!E14592*0.5)/life_fac</f>
        <v>1.2448275</v>
      </c>
      <c r="F14597" s="6" t="n">
        <f aca="false">(Sens!C14592*IF(3&lt;life_fac,1,IF(3=life_fac,0.5,0))+Sens!D14592*IF(2&lt;life_fac,1,IF(2=life_fac,0.5,0))+Sens!E14592*IF(1&lt;life_fac,1,IF(1=life_fac,0.5,0))+Sens!F14592*0.5)/life_fac</f>
        <v>1.851087</v>
      </c>
      <c r="G14597" s="6" t="n">
        <f aca="false">(Sens!C14592*IF(4&lt;life_fac,1,IF(4=life_fac,0.5,0))+Sens!D14592*IF(3&lt;life_fac,1,IF(3=life_fac,0.5,0))+Sens!E14592*IF(2&lt;life_fac,1,IF(2=life_fac,0.5,0))+Sens!F14592*IF(1&lt;life_fac,1,IF(1=life_fac,0.5,0))+Sens!G14592*0.5)/life_fac</f>
        <v>2.1456645</v>
      </c>
      <c r="H14597" s="6" t="n">
        <f aca="false">(Sens!C14592*IF(5&lt;life_fac,1,IF(5=life_fac,0.5,0))+Sens!D14592*IF(4&lt;life_fac,1,IF(4=life_fac,0.5,0))+Sens!E14592*IF(3&lt;life_fac,1,IF(3=life_fac,0.5,0))+Sens!F14592*IF(2&lt;life_fac,1,IF(2=life_fac,0.5,0))+Sens!G14592*IF(1&lt;life_fac,1,IF(1=life_fac,0.5,0))+Sens!H14592*0.5)/life_fac</f>
        <v>2.299605</v>
      </c>
      <c r="I14597" s="6" t="n">
        <f aca="false">(Sens!C14592*IF(6&lt;life_fac,1,IF(6=life_fac,0.5,0))+Sens!D14592*IF(5&lt;life_fac,1,IF(5=life_fac,0.5,0))+Sens!E14592*IF(4&lt;life_fac,1,IF(4=life_fac,0.5,0))+Sens!F14592*IF(3&lt;life_fac,1,IF(3=life_fac,0.5,0))+Sens!G14592*IF(2&lt;life_fac,1,IF(2=life_fac,0.5,0))+Sens!H14592*IF(1&lt;life_fac,1,IF(1=life_fac,0.5,0))+Sens!I14592*0.5)/life_fac</f>
        <v>2.299605</v>
      </c>
      <c r="J14597" s="6" t="n">
        <f aca="false">(Sens!C14592*IF(7&lt;life_fac,1,IF(7=life_fac,0.5,0))+Sens!D14592*IF(6&lt;life_fac,1,IF(6=life_fac,0.5,0))+Sens!E14592*IF(5&lt;life_fac,1,IF(5=life_fac,0.5,0))+Sens!F14592*IF(4&lt;life_fac,1,IF(4=life_fac,0.5,0))+Sens!G14592*IF(3&lt;life_fac,1,IF(3=life_fac,0.5,0))+Sens!H14592*IF(2&lt;life_fac,1,IF(2=life_fac,0.5,0))+Sens!I14592*IF(1&lt;life_fac,1,IF(1=life_fac,0.5,0))+Sens!J14592*0.5)/life_fac</f>
        <v>2.299605</v>
      </c>
      <c r="K14597" s="6" t="n">
        <f aca="false">(Sens!C14592*IF(8&lt;life_fac,1,IF(8=life_fac,0.5,0))+Sens!D14592*IF(7&lt;life_fac,1,IF(7=life_fac,0.5,0))+Sens!E14592*IF(6&lt;life_fac,1,IF(6=life_fac,0.5,0))+Sens!F14592*IF(5&lt;life_fac,1,IF(5=life_fac,0.5,0))+Sens!G14592*IF(4&lt;life_fac,1,IF(4=life_fac,0.5,0))+Sens!H14592*IF(3&lt;life_fac,1,IF(3=life_fac,0.5,0))+Sens!I14592*IF(2&lt;life_fac,1,IF(2=life_fac,0.5,0))+Sens!J14592*IF(1&lt;life_fac,1,IF(1=life_fac,0.5,0))+Sens!K14592*0.5)/life_fac</f>
        <v>2.299605</v>
      </c>
    </row>
    <row r="14598" customFormat="false" ht="17.15" hidden="false" customHeight="false" outlineLevel="0" collapsed="false">
      <c r="A14598" s="0" t="s">
        <v>854</v>
      </c>
      <c r="B14598" s="0" t="s">
        <v>98</v>
      </c>
      <c r="E14598" s="6" t="n">
        <f aca="false">Sens!E14596+Sens!E14597</f>
        <v>16.3054059770833</v>
      </c>
      <c r="F14598" s="6" t="n">
        <f aca="false">Sens!F14596+Sens!F14597</f>
        <v>24.6319326396667</v>
      </c>
      <c r="G14598" s="6" t="n">
        <f aca="false">Sens!G14596+Sens!G14597</f>
        <v>29.4421900723333</v>
      </c>
      <c r="H14598" s="6" t="n">
        <f aca="false">Sens!H14596+Sens!H14597</f>
        <v>32.0248894903333</v>
      </c>
      <c r="I14598" s="6" t="n">
        <f aca="false">Sens!I14596+Sens!I14597</f>
        <v>32.6686637199167</v>
      </c>
      <c r="J14598" s="6" t="n">
        <f aca="false">Sens!J14596+Sens!J14597</f>
        <v>34.2846684186667</v>
      </c>
      <c r="K14598" s="6" t="n">
        <f aca="false">Sens!K14596+Sens!K14597</f>
        <v>37.1882215765833</v>
      </c>
    </row>
    <row r="14599" customFormat="false" ht="17.15" hidden="false" customHeight="false" outlineLevel="0" collapsed="false">
      <c r="A14599" s="0" t="s">
        <v>855</v>
      </c>
      <c r="B14599" s="0" t="s">
        <v>98</v>
      </c>
      <c r="E14599" s="6" t="n">
        <f aca="false">Sens!E14587-Sens!E14586*Sens!E14598</f>
        <v>8.92707889977379</v>
      </c>
      <c r="F14599" s="6" t="n">
        <f aca="false">Sens!F14587-Sens!F14586*Sens!F14598</f>
        <v>10.5946592224213</v>
      </c>
      <c r="G14599" s="6" t="n">
        <f aca="false">Sens!G14587-Sens!G14586*Sens!G14598</f>
        <v>8.64292739995008</v>
      </c>
      <c r="H14599" s="6" t="n">
        <f aca="false">Sens!H14587-Sens!H14586*Sens!H14598</f>
        <v>4.7315241624021</v>
      </c>
      <c r="I14599" s="6" t="n">
        <f aca="false">Sens!I14587-Sens!I14586*Sens!I14598</f>
        <v>5.29963383139942</v>
      </c>
      <c r="J14599" s="6" t="n">
        <f aca="false">Sens!J14587-Sens!J14586*Sens!J14598</f>
        <v>5.77133083458414</v>
      </c>
      <c r="K14599" s="6" t="n">
        <f aca="false">Sens!K14587-Sens!K14586*Sens!K14598</f>
        <v>6.89232156007611</v>
      </c>
    </row>
    <row r="14600" customFormat="false" ht="17.15" hidden="false" customHeight="false" outlineLevel="0" collapsed="false">
      <c r="A14600" s="3" t="s">
        <v>1632</v>
      </c>
    </row>
    <row r="14601" customFormat="false" ht="15" hidden="false" customHeight="false" outlineLevel="0" collapsed="false">
      <c r="A14601" s="4" t="s">
        <v>43</v>
      </c>
      <c r="B14601" s="4" t="s">
        <v>65</v>
      </c>
      <c r="C14601" s="20" t="s">
        <v>799</v>
      </c>
      <c r="D14601" s="20" t="s">
        <v>800</v>
      </c>
      <c r="E14601" s="20" t="s">
        <v>801</v>
      </c>
      <c r="F14601" s="20" t="s">
        <v>802</v>
      </c>
      <c r="G14601" s="20" t="s">
        <v>803</v>
      </c>
      <c r="H14601" s="20" t="s">
        <v>804</v>
      </c>
      <c r="I14601" s="20" t="s">
        <v>805</v>
      </c>
      <c r="J14601" s="20" t="s">
        <v>806</v>
      </c>
      <c r="K14601" s="20" t="s">
        <v>807</v>
      </c>
      <c r="L14601" s="4" t="s">
        <v>47</v>
      </c>
    </row>
    <row r="14602" customFormat="false" ht="17.15" hidden="false" customHeight="false" outlineLevel="0" collapsed="false">
      <c r="A14602" s="0" t="s">
        <v>874</v>
      </c>
      <c r="B14602" s="0" t="s">
        <v>98</v>
      </c>
      <c r="D14602" s="6" t="n">
        <f aca="false">Sens!D14581</f>
        <v>12.9359794422418</v>
      </c>
      <c r="E14602" s="6" t="n">
        <f aca="false">Sens!E14581</f>
        <v>27.8095064661409</v>
      </c>
      <c r="F14602" s="6" t="n">
        <f aca="false">Sens!F14581</f>
        <v>38.493440194965</v>
      </c>
      <c r="G14602" s="6" t="n">
        <f aca="false">Sens!G14581</f>
        <v>41.5646912063518</v>
      </c>
      <c r="H14602" s="6" t="n">
        <f aca="false">Sens!H14581</f>
        <v>39.815294148216</v>
      </c>
      <c r="I14602" s="6" t="n">
        <f aca="false">Sens!I14581</f>
        <v>40.84917416119</v>
      </c>
      <c r="J14602" s="6" t="n">
        <f aca="false">Sens!J14581</f>
        <v>42.4105439767017</v>
      </c>
      <c r="K14602" s="6" t="n">
        <f aca="false">Sens!K14581</f>
        <v>45.5121840156236</v>
      </c>
    </row>
    <row r="14603" customFormat="false" ht="17.15" hidden="false" customHeight="false" outlineLevel="0" collapsed="false">
      <c r="A14603" s="0" t="s">
        <v>875</v>
      </c>
      <c r="B14603" s="0" t="s">
        <v>98</v>
      </c>
      <c r="D14603" s="6" t="n">
        <f aca="false">Q!L6-Sens!D14602</f>
        <v>59.6740205577583</v>
      </c>
      <c r="E14603" s="6" t="n">
        <f aca="false">Q!M6-Sens!E14602</f>
        <v>74.1284935338591</v>
      </c>
      <c r="F14603" s="6" t="n">
        <f aca="false">Sens!E14603*(1+Sens!F14604)</f>
        <v>90.0799497373663</v>
      </c>
      <c r="G14603" s="6" t="n">
        <f aca="false">Sens!F14603*(1+Sens!G14604)</f>
        <v>107.02842520331</v>
      </c>
      <c r="H14603" s="6" t="n">
        <f aca="false">Sens!G14603*(1+Sens!H14604)</f>
        <v>124.271982585636</v>
      </c>
      <c r="I14603" s="6" t="n">
        <f aca="false">Sens!H14603*(1+Sens!I14604)</f>
        <v>140.933702381855</v>
      </c>
      <c r="J14603" s="6" t="n">
        <f aca="false">Sens!I14603*(1+Sens!J14604)</f>
        <v>156.018867314332</v>
      </c>
      <c r="K14603" s="6" t="n">
        <f aca="false">Sens!J14603*(1+Sens!K14604)</f>
        <v>168.500376699478</v>
      </c>
    </row>
    <row r="14604" customFormat="false" ht="15" hidden="false" customHeight="false" outlineLevel="0" collapsed="false">
      <c r="A14604" s="1" t="s">
        <v>876</v>
      </c>
      <c r="B14604" s="0" t="s">
        <v>129</v>
      </c>
      <c r="E14604" s="7" t="n">
        <f aca="false">Sens!E14603/Sens!D14603-1</f>
        <v>0.242223883039864</v>
      </c>
      <c r="F14604" s="7" t="n">
        <f aca="false">Sens!$E$14604+(glt_azo-Sens!$E$14604)*MIN(1,(Sens!F14564-base_fy)/n_conv)</f>
        <v>0.215186569199887</v>
      </c>
      <c r="G14604" s="7" t="n">
        <f aca="false">Sens!$E$14604+(glt_azo-Sens!$E$14604)*MIN(1,(Sens!G14564-base_fy)/n_conv)</f>
        <v>0.18814925535991</v>
      </c>
      <c r="H14604" s="7" t="n">
        <f aca="false">Sens!$E$14604+(glt_azo-Sens!$E$14604)*MIN(1,(Sens!H14564-base_fy)/n_conv)</f>
        <v>0.161111941519932</v>
      </c>
      <c r="I14604" s="7" t="n">
        <f aca="false">Sens!$E$14604+(glt_azo-Sens!$E$14604)*MIN(1,(Sens!I14564-base_fy)/n_conv)</f>
        <v>0.134074627679955</v>
      </c>
      <c r="J14604" s="7" t="n">
        <f aca="false">Sens!$E$14604+(glt_azo-Sens!$E$14604)*MIN(1,(Sens!J14564-base_fy)/n_conv)</f>
        <v>0.107037313839977</v>
      </c>
      <c r="K14604" s="7" t="n">
        <f aca="false">Sens!$E$14604+(glt_azo-Sens!$E$14604)*MIN(1,(Sens!K14564-base_fy)/n_conv)</f>
        <v>0.08</v>
      </c>
    </row>
    <row r="14605" customFormat="false" ht="15" hidden="false" customHeight="false" outlineLevel="0" collapsed="false">
      <c r="A14605" s="0" t="s">
        <v>877</v>
      </c>
      <c r="B14605" s="0" t="s">
        <v>98</v>
      </c>
      <c r="D14605" s="6" t="n">
        <f aca="false">Sens!D14602+Sens!D14603</f>
        <v>72.61</v>
      </c>
      <c r="E14605" s="6" t="n">
        <f aca="false">Sens!E14602+Sens!E14603</f>
        <v>101.938</v>
      </c>
      <c r="F14605" s="6" t="n">
        <f aca="false">Sens!F14602+Sens!F14603</f>
        <v>128.573389932331</v>
      </c>
      <c r="G14605" s="6" t="n">
        <f aca="false">Sens!G14602+Sens!G14603</f>
        <v>148.593116409662</v>
      </c>
      <c r="H14605" s="6" t="n">
        <f aca="false">Sens!H14602+Sens!H14603</f>
        <v>164.087276733852</v>
      </c>
      <c r="I14605" s="6" t="n">
        <f aca="false">Sens!I14602+Sens!I14603</f>
        <v>181.782876543045</v>
      </c>
      <c r="J14605" s="6" t="n">
        <f aca="false">Sens!J14602+Sens!J14603</f>
        <v>198.429411291033</v>
      </c>
      <c r="K14605" s="6" t="n">
        <f aca="false">Sens!K14602+Sens!K14603</f>
        <v>214.012560715102</v>
      </c>
    </row>
    <row r="14606" customFormat="false" ht="17.15" hidden="false" customHeight="false" outlineLevel="0" collapsed="false">
      <c r="A14606" s="0" t="s">
        <v>878</v>
      </c>
      <c r="B14606" s="1" t="s">
        <v>528</v>
      </c>
      <c r="C14606" s="29" t="n">
        <f aca="false">cop_s24</f>
        <v>1</v>
      </c>
      <c r="D14606" s="29" t="n">
        <f aca="false">cop_s25</f>
        <v>5</v>
      </c>
      <c r="E14606" s="29" t="n">
        <f aca="false">cop_s26</f>
        <v>30</v>
      </c>
      <c r="F14606" s="29" t="n">
        <f aca="false">Sens!E14606+cop_add_C</f>
        <v>40</v>
      </c>
      <c r="G14606" s="29" t="n">
        <f aca="false">Sens!F14606+cop_add_C</f>
        <v>50</v>
      </c>
      <c r="H14606" s="29" t="n">
        <f aca="false">Sens!G14606+cop_add_C</f>
        <v>60</v>
      </c>
      <c r="I14606" s="29" t="n">
        <f aca="false">Sens!H14606+cop_add_C*cop_tail</f>
        <v>65</v>
      </c>
      <c r="J14606" s="29" t="n">
        <f aca="false">Sens!I14606+cop_add_C*cop_tail</f>
        <v>70</v>
      </c>
      <c r="K14606" s="29" t="n">
        <f aca="false">Sens!J14606+cop_add_C*cop_tail</f>
        <v>75</v>
      </c>
      <c r="L14606" s="11" t="s">
        <v>879</v>
      </c>
    </row>
    <row r="14607" customFormat="false" ht="17.15" hidden="false" customHeight="false" outlineLevel="0" collapsed="false">
      <c r="A14607" s="0" t="s">
        <v>880</v>
      </c>
      <c r="B14607" s="0" t="s">
        <v>98</v>
      </c>
      <c r="D14607" s="6" t="n">
        <f aca="false">(Sens!C14606+Sens!D14606)/2*cop_px*12/1000</f>
        <v>0.9</v>
      </c>
      <c r="E14607" s="6" t="n">
        <f aca="false">(Sens!D14606+Sens!E14606)/2*cop_px*12/1000</f>
        <v>5.25</v>
      </c>
      <c r="F14607" s="6" t="n">
        <f aca="false">(Sens!E14606+Sens!F14606)/2*cop_px*12/1000</f>
        <v>10.5</v>
      </c>
      <c r="G14607" s="6" t="n">
        <f aca="false">(Sens!F14606+Sens!G14606)/2*cop_px*12/1000</f>
        <v>13.5</v>
      </c>
      <c r="H14607" s="6" t="n">
        <f aca="false">(Sens!G14606+Sens!H14606)/2*cop_px*12/1000</f>
        <v>16.5</v>
      </c>
      <c r="I14607" s="6" t="n">
        <f aca="false">(Sens!H14606+Sens!I14606)/2*cop_px*12/1000</f>
        <v>18.75</v>
      </c>
      <c r="J14607" s="6" t="n">
        <f aca="false">(Sens!I14606+Sens!J14606)/2*cop_px*12/1000</f>
        <v>20.25</v>
      </c>
      <c r="K14607" s="6" t="n">
        <f aca="false">(Sens!J14606+Sens!K14606)/2*cop_px*12/1000</f>
        <v>21.75</v>
      </c>
      <c r="L14607" s="1" t="s">
        <v>881</v>
      </c>
    </row>
    <row r="14608" customFormat="false" ht="17.15" hidden="false" customHeight="false" outlineLevel="0" collapsed="false">
      <c r="A14608" s="0" t="s">
        <v>882</v>
      </c>
      <c r="B14608" s="0" t="s">
        <v>98</v>
      </c>
      <c r="D14608" s="6" t="n">
        <f aca="false">Q!L7-Sens!D14607</f>
        <v>83.705</v>
      </c>
      <c r="E14608" s="6" t="n">
        <f aca="false">Q!M7-Sens!E14607</f>
        <v>95.049</v>
      </c>
      <c r="F14608" s="6" t="n">
        <f aca="false">Sens!E14608*(1+Sens!F14609)</f>
        <v>106.89238776686</v>
      </c>
      <c r="G14608" s="6" t="n">
        <f aca="false">Sens!F14608*(1+Sens!G14609)</f>
        <v>119.044168448684</v>
      </c>
      <c r="H14608" s="6" t="n">
        <f aca="false">Sens!G14608*(1+Sens!H14609)</f>
        <v>131.277359388781</v>
      </c>
      <c r="I14608" s="6" t="n">
        <f aca="false">Sens!H14608*(1+Sens!I14609)</f>
        <v>143.334028071957</v>
      </c>
      <c r="J14608" s="6" t="n">
        <f aca="false">Sens!I14608*(1+Sens!J14609)</f>
        <v>154.932702785465</v>
      </c>
      <c r="K14608" s="6" t="n">
        <f aca="false">Sens!J14608*(1+Sens!K14609)</f>
        <v>165.777991980448</v>
      </c>
    </row>
    <row r="14609" customFormat="false" ht="15" hidden="false" customHeight="false" outlineLevel="0" collapsed="false">
      <c r="A14609" s="1" t="s">
        <v>876</v>
      </c>
      <c r="B14609" s="0" t="s">
        <v>129</v>
      </c>
      <c r="E14609" s="7" t="n">
        <f aca="false">Sens!E14608/Sens!D14608-1</f>
        <v>0.135523564900544</v>
      </c>
      <c r="F14609" s="7" t="n">
        <f aca="false">Sens!$E$14609+(glt_m365b-Sens!$E$14609)*MIN(1,(Sens!F14564-base_fy)/n_conv)</f>
        <v>0.124602970750453</v>
      </c>
      <c r="G14609" s="7" t="n">
        <f aca="false">Sens!$E$14609+(glt_m365b-Sens!$E$14609)*MIN(1,(Sens!G14564-base_fy)/n_conv)</f>
        <v>0.113682376600363</v>
      </c>
      <c r="H14609" s="7" t="n">
        <f aca="false">Sens!$E$14609+(glt_m365b-Sens!$E$14609)*MIN(1,(Sens!H14564-base_fy)/n_conv)</f>
        <v>0.102761782450272</v>
      </c>
      <c r="I14609" s="7" t="n">
        <f aca="false">Sens!$E$14609+(glt_m365b-Sens!$E$14609)*MIN(1,(Sens!I14564-base_fy)/n_conv)</f>
        <v>0.0918411883001813</v>
      </c>
      <c r="J14609" s="7" t="n">
        <f aca="false">Sens!$E$14609+(glt_m365b-Sens!$E$14609)*MIN(1,(Sens!J14564-base_fy)/n_conv)</f>
        <v>0.0809205941500906</v>
      </c>
      <c r="K14609" s="7" t="n">
        <f aca="false">Sens!$E$14609+(glt_m365b-Sens!$E$14609)*MIN(1,(Sens!K14564-base_fy)/n_conv)</f>
        <v>0.07</v>
      </c>
    </row>
    <row r="14610" customFormat="false" ht="15" hidden="false" customHeight="false" outlineLevel="0" collapsed="false">
      <c r="A14610" s="0" t="s">
        <v>883</v>
      </c>
      <c r="B14610" s="0" t="s">
        <v>98</v>
      </c>
      <c r="D14610" s="6" t="n">
        <f aca="false">Sens!D14608+Sens!D14607</f>
        <v>84.605</v>
      </c>
      <c r="E14610" s="6" t="n">
        <f aca="false">Sens!E14608+Sens!E14607</f>
        <v>100.299</v>
      </c>
      <c r="F14610" s="6" t="n">
        <f aca="false">Sens!F14608+Sens!F14607</f>
        <v>117.39238776686</v>
      </c>
      <c r="G14610" s="6" t="n">
        <f aca="false">Sens!G14608+Sens!G14607</f>
        <v>132.544168448684</v>
      </c>
      <c r="H14610" s="6" t="n">
        <f aca="false">Sens!H14608+Sens!H14607</f>
        <v>147.777359388781</v>
      </c>
      <c r="I14610" s="6" t="n">
        <f aca="false">Sens!I14608+Sens!I14607</f>
        <v>162.084028071957</v>
      </c>
      <c r="J14610" s="6" t="n">
        <f aca="false">Sens!J14608+Sens!J14607</f>
        <v>175.182702785465</v>
      </c>
      <c r="K14610" s="6" t="n">
        <f aca="false">Sens!K14608+Sens!K14607</f>
        <v>187.527991980448</v>
      </c>
    </row>
    <row r="14611" customFormat="false" ht="15" hidden="false" customHeight="false" outlineLevel="0" collapsed="false">
      <c r="A14611" s="0" t="s">
        <v>884</v>
      </c>
      <c r="B14611" s="0" t="s">
        <v>98</v>
      </c>
      <c r="D14611" s="6" t="n">
        <f aca="false">Q!L8</f>
        <v>35.391</v>
      </c>
      <c r="E14611" s="6" t="n">
        <f aca="false">Q!M8</f>
        <v>37.285</v>
      </c>
      <c r="F14611" s="6" t="n">
        <f aca="false">Sens!E14611*(1+Sens!F14612)</f>
        <v>39.0720834331704</v>
      </c>
      <c r="G14611" s="6" t="n">
        <f aca="false">Sens!F14611*(1+Sens!G14612)</f>
        <v>40.726562953769</v>
      </c>
      <c r="H14611" s="6" t="n">
        <f aca="false">Sens!G14611*(1+Sens!H14612)</f>
        <v>42.2235987259198</v>
      </c>
      <c r="I14611" s="6" t="n">
        <f aca="false">Sens!H14611*(1+Sens!I14612)</f>
        <v>43.5397988077414</v>
      </c>
      <c r="J14611" s="6" t="n">
        <f aca="false">Sens!I14611*(1+Sens!J14612)</f>
        <v>44.653811225693</v>
      </c>
      <c r="K14611" s="6" t="n">
        <f aca="false">Sens!J14611*(1+Sens!K14612)</f>
        <v>45.5468874502068</v>
      </c>
    </row>
    <row r="14612" customFormat="false" ht="15" hidden="false" customHeight="false" outlineLevel="0" collapsed="false">
      <c r="A14612" s="1" t="s">
        <v>876</v>
      </c>
      <c r="B14612" s="0" t="s">
        <v>129</v>
      </c>
      <c r="E14612" s="7" t="n">
        <f aca="false">Sens!E14611/Sens!D14611-1</f>
        <v>0.0535164307309768</v>
      </c>
      <c r="F14612" s="7" t="n">
        <f aca="false">Sens!$E$14612+(glt_lic-Sens!$E$14612)*MIN(1,(Sens!F14564-base_fy)/n_conv)</f>
        <v>0.0479303589424807</v>
      </c>
      <c r="G14612" s="7" t="n">
        <f aca="false">Sens!$E$14612+(glt_lic-Sens!$E$14612)*MIN(1,(Sens!G14564-base_fy)/n_conv)</f>
        <v>0.0423442871539845</v>
      </c>
      <c r="H14612" s="7" t="n">
        <f aca="false">Sens!$E$14612+(glt_lic-Sens!$E$14612)*MIN(1,(Sens!H14564-base_fy)/n_conv)</f>
        <v>0.0367582153654884</v>
      </c>
      <c r="I14612" s="7" t="n">
        <f aca="false">Sens!$E$14612+(glt_lic-Sens!$E$14612)*MIN(1,(Sens!I14564-base_fy)/n_conv)</f>
        <v>0.0311721435769923</v>
      </c>
      <c r="J14612" s="7" t="n">
        <f aca="false">Sens!$E$14612+(glt_lic-Sens!$E$14612)*MIN(1,(Sens!J14564-base_fy)/n_conv)</f>
        <v>0.0255860717884961</v>
      </c>
      <c r="K14612" s="7" t="n">
        <f aca="false">Sens!$E$14612+(glt_lic-Sens!$E$14612)*MIN(1,(Sens!K14564-base_fy)/n_conv)</f>
        <v>0.02</v>
      </c>
    </row>
    <row r="14613" customFormat="false" ht="15" hidden="false" customHeight="false" outlineLevel="0" collapsed="false">
      <c r="A14613" s="0" t="s">
        <v>885</v>
      </c>
      <c r="B14613" s="0" t="s">
        <v>98</v>
      </c>
      <c r="D14613" s="6" t="n">
        <f aca="false">Q!L9</f>
        <v>18.417</v>
      </c>
      <c r="E14613" s="6" t="n">
        <f aca="false">Q!M9</f>
        <v>20.345</v>
      </c>
      <c r="F14613" s="6" t="n">
        <f aca="false">Sens!E14613*(1+Sens!F14614)</f>
        <v>22.3572203267814</v>
      </c>
      <c r="G14613" s="6" t="n">
        <f aca="false">Sens!F14613*(1+Sens!G14614)</f>
        <v>24.4392124437232</v>
      </c>
      <c r="H14613" s="6" t="n">
        <f aca="false">Sens!G14613*(1+Sens!H14614)</f>
        <v>26.5738052080665</v>
      </c>
      <c r="I14613" s="6" t="n">
        <f aca="false">Sens!H14613*(1+Sens!I14614)</f>
        <v>28.7412169166967</v>
      </c>
      <c r="J14613" s="6" t="n">
        <f aca="false">Sens!I14613*(1+Sens!J14614)</f>
        <v>30.9192545395413</v>
      </c>
      <c r="K14613" s="6" t="n">
        <f aca="false">Sens!J14613*(1+Sens!K14614)</f>
        <v>33.0836023573092</v>
      </c>
    </row>
    <row r="14614" customFormat="false" ht="15" hidden="false" customHeight="false" outlineLevel="0" collapsed="false">
      <c r="A14614" s="1" t="s">
        <v>876</v>
      </c>
      <c r="B14614" s="0" t="s">
        <v>129</v>
      </c>
      <c r="E14614" s="7" t="n">
        <f aca="false">Sens!E14613/Sens!D14613-1</f>
        <v>0.104685888038225</v>
      </c>
      <c r="F14614" s="7" t="n">
        <f aca="false">Sens!$E$14614+(glt_ind-Sens!$E$14614)*MIN(1,(Sens!F14564-base_fy)/n_conv)</f>
        <v>0.0989049066985211</v>
      </c>
      <c r="G14614" s="7" t="n">
        <f aca="false">Sens!$E$14614+(glt_ind-Sens!$E$14614)*MIN(1,(Sens!G14564-base_fy)/n_conv)</f>
        <v>0.0931239253588169</v>
      </c>
      <c r="H14614" s="7" t="n">
        <f aca="false">Sens!$E$14614+(glt_ind-Sens!$E$14614)*MIN(1,(Sens!H14564-base_fy)/n_conv)</f>
        <v>0.0873429440191127</v>
      </c>
      <c r="I14614" s="7" t="n">
        <f aca="false">Sens!$E$14614+(glt_ind-Sens!$E$14614)*MIN(1,(Sens!I14564-base_fy)/n_conv)</f>
        <v>0.0815619626794085</v>
      </c>
      <c r="J14614" s="7" t="n">
        <f aca="false">Sens!$E$14614+(glt_ind-Sens!$E$14614)*MIN(1,(Sens!J14564-base_fy)/n_conv)</f>
        <v>0.0757809813397042</v>
      </c>
      <c r="K14614" s="7" t="n">
        <f aca="false">Sens!$E$14614+(glt_ind-Sens!$E$14614)*MIN(1,(Sens!K14564-base_fy)/n_conv)</f>
        <v>0.07</v>
      </c>
    </row>
    <row r="14615" customFormat="false" ht="15" hidden="false" customHeight="false" outlineLevel="0" collapsed="false">
      <c r="A14615" s="0" t="s">
        <v>886</v>
      </c>
      <c r="B14615" s="0" t="s">
        <v>98</v>
      </c>
      <c r="D14615" s="6" t="n">
        <f aca="false">Q!L10</f>
        <v>7.76</v>
      </c>
      <c r="E14615" s="6" t="n">
        <f aca="false">Q!M10</f>
        <v>8.26</v>
      </c>
      <c r="F14615" s="6" t="n">
        <f aca="false">Sens!E14615*(1+Sens!F14616)</f>
        <v>8.79988041237113</v>
      </c>
      <c r="G14615" s="6" t="n">
        <f aca="false">Sens!F14615*(1+Sens!G14616)</f>
        <v>9.38321269125306</v>
      </c>
      <c r="H14615" s="6" t="n">
        <f aca="false">Sens!G14615*(1+Sens!H14616)</f>
        <v>10.0139193587476</v>
      </c>
      <c r="I14615" s="6" t="n">
        <f aca="false">Sens!H14615*(1+Sens!I14616)</f>
        <v>10.6963111830911</v>
      </c>
      <c r="J14615" s="6" t="n">
        <f aca="false">Sens!I14615*(1+Sens!J14616)</f>
        <v>11.4351285534696</v>
      </c>
      <c r="K14615" s="6" t="n">
        <f aca="false">Sens!J14615*(1+Sens!K14616)</f>
        <v>12.2355875522124</v>
      </c>
    </row>
    <row r="14616" customFormat="false" ht="15" hidden="false" customHeight="false" outlineLevel="0" collapsed="false">
      <c r="A14616" s="1" t="s">
        <v>876</v>
      </c>
      <c r="B14616" s="0" t="s">
        <v>129</v>
      </c>
      <c r="E14616" s="7" t="n">
        <f aca="false">Sens!E14615/Sens!D14615-1</f>
        <v>0.0644329896907216</v>
      </c>
      <c r="F14616" s="7" t="n">
        <f aca="false">Sens!$E$14616+(glt_fro-Sens!$E$14616)*MIN(1,(Sens!F14564-base_fy)/n_conv)</f>
        <v>0.065360824742268</v>
      </c>
      <c r="G14616" s="7" t="n">
        <f aca="false">Sens!$E$14616+(glt_fro-Sens!$E$14616)*MIN(1,(Sens!G14564-base_fy)/n_conv)</f>
        <v>0.0662886597938144</v>
      </c>
      <c r="H14616" s="7" t="n">
        <f aca="false">Sens!$E$14616+(glt_fro-Sens!$E$14616)*MIN(1,(Sens!H14564-base_fy)/n_conv)</f>
        <v>0.0672164948453608</v>
      </c>
      <c r="I14616" s="7" t="n">
        <f aca="false">Sens!$E$14616+(glt_fro-Sens!$E$14616)*MIN(1,(Sens!I14564-base_fy)/n_conv)</f>
        <v>0.0681443298969072</v>
      </c>
      <c r="J14616" s="7" t="n">
        <f aca="false">Sens!$E$14616+(glt_fro-Sens!$E$14616)*MIN(1,(Sens!J14564-base_fy)/n_conv)</f>
        <v>0.0690721649484536</v>
      </c>
      <c r="K14616" s="7" t="n">
        <f aca="false">Sens!$E$14616+(glt_fro-Sens!$E$14616)*MIN(1,(Sens!K14564-base_fy)/n_conv)</f>
        <v>0.07</v>
      </c>
    </row>
    <row r="14617" customFormat="false" ht="15" hidden="false" customHeight="false" outlineLevel="0" collapsed="false">
      <c r="A14617" s="0" t="s">
        <v>715</v>
      </c>
      <c r="B14617" s="0" t="s">
        <v>98</v>
      </c>
      <c r="D14617" s="6" t="n">
        <f aca="false">Sens!D14605+Sens!D14610+Sens!D14611+Sens!D14613+Sens!D14615</f>
        <v>218.783</v>
      </c>
      <c r="E14617" s="6" t="n">
        <f aca="false">Sens!E14605+Sens!E14610+Sens!E14611+Sens!E14613+Sens!E14615</f>
        <v>268.127</v>
      </c>
      <c r="F14617" s="6" t="n">
        <f aca="false">Sens!F14605+Sens!F14610+Sens!F14611+Sens!F14613+Sens!F14615</f>
        <v>316.194961871514</v>
      </c>
      <c r="G14617" s="6" t="n">
        <f aca="false">Sens!G14605+Sens!G14610+Sens!G14611+Sens!G14613+Sens!G14615</f>
        <v>355.686272947091</v>
      </c>
      <c r="H14617" s="6" t="n">
        <f aca="false">Sens!H14605+Sens!H14610+Sens!H14611+Sens!H14613+Sens!H14615</f>
        <v>390.675959415367</v>
      </c>
      <c r="I14617" s="6" t="n">
        <f aca="false">Sens!I14605+Sens!I14610+Sens!I14611+Sens!I14613+Sens!I14615</f>
        <v>426.844231522531</v>
      </c>
      <c r="J14617" s="6" t="n">
        <f aca="false">Sens!J14605+Sens!J14610+Sens!J14611+Sens!J14613+Sens!J14615</f>
        <v>460.620308395202</v>
      </c>
      <c r="K14617" s="6" t="n">
        <f aca="false">Sens!K14605+Sens!K14610+Sens!K14611+Sens!K14613+Sens!K14615</f>
        <v>492.406630055278</v>
      </c>
    </row>
    <row r="14618" customFormat="false" ht="15" hidden="false" customHeight="false" outlineLevel="0" collapsed="false">
      <c r="A14618" s="0" t="s">
        <v>887</v>
      </c>
      <c r="B14618" s="0" t="s">
        <v>98</v>
      </c>
      <c r="D14618" s="6" t="n">
        <f aca="false">Q!L13</f>
        <v>22.171</v>
      </c>
      <c r="E14618" s="6" t="n">
        <f aca="false">Q!M13</f>
        <v>24.835</v>
      </c>
      <c r="F14618" s="6" t="n">
        <f aca="false">Sens!E14618*(1+Sens!F14619)</f>
        <v>27.6114901218559</v>
      </c>
      <c r="G14618" s="6" t="n">
        <f aca="false">Sens!F14618*(1+Sens!G14619)</f>
        <v>30.4675667338515</v>
      </c>
      <c r="H14618" s="6" t="n">
        <f aca="false">Sens!G14618*(1+Sens!H14619)</f>
        <v>33.3643766955789</v>
      </c>
      <c r="I14618" s="6" t="n">
        <f aca="false">Sens!H14618*(1+Sens!I14619)</f>
        <v>36.2577016533691</v>
      </c>
      <c r="J14618" s="6" t="n">
        <f aca="false">Sens!I14618*(1+Sens!J14619)</f>
        <v>39.0988367952171</v>
      </c>
      <c r="K14618" s="6" t="n">
        <f aca="false">Sens!J14618*(1+Sens!K14619)</f>
        <v>41.8357553708823</v>
      </c>
    </row>
    <row r="14619" customFormat="false" ht="15" hidden="false" customHeight="false" outlineLevel="0" collapsed="false">
      <c r="A14619" s="1" t="s">
        <v>876</v>
      </c>
      <c r="B14619" s="0" t="s">
        <v>129</v>
      </c>
      <c r="E14619" s="7" t="n">
        <f aca="false">Sens!E14618/Sens!D14618-1</f>
        <v>0.120156961796942</v>
      </c>
      <c r="F14619" s="7" t="n">
        <f aca="false">Sens!$E$14619+(glt_srch-Sens!$E$14619)*MIN(1,(Sens!F14564-base_fy)/n_conv)</f>
        <v>0.111797468164118</v>
      </c>
      <c r="G14619" s="7" t="n">
        <f aca="false">Sens!$E$14619+(glt_srch-Sens!$E$14619)*MIN(1,(Sens!G14564-base_fy)/n_conv)</f>
        <v>0.103437974531295</v>
      </c>
      <c r="H14619" s="7" t="n">
        <f aca="false">Sens!$E$14619+(glt_srch-Sens!$E$14619)*MIN(1,(Sens!H14564-base_fy)/n_conv)</f>
        <v>0.095078480898471</v>
      </c>
      <c r="I14619" s="7" t="n">
        <f aca="false">Sens!$E$14619+(glt_srch-Sens!$E$14619)*MIN(1,(Sens!I14564-base_fy)/n_conv)</f>
        <v>0.0867189872656474</v>
      </c>
      <c r="J14619" s="7" t="n">
        <f aca="false">Sens!$E$14619+(glt_srch-Sens!$E$14619)*MIN(1,(Sens!J14564-base_fy)/n_conv)</f>
        <v>0.0783594936328237</v>
      </c>
      <c r="K14619" s="7" t="n">
        <f aca="false">Sens!$E$14619+(glt_srch-Sens!$E$14619)*MIN(1,(Sens!K14564-base_fy)/n_conv)</f>
        <v>0.07</v>
      </c>
    </row>
    <row r="14620" customFormat="false" ht="15" hidden="false" customHeight="false" outlineLevel="0" collapsed="false">
      <c r="A14620" s="0" t="s">
        <v>888</v>
      </c>
      <c r="B14620" s="0" t="s">
        <v>98</v>
      </c>
      <c r="D14620" s="6" t="n">
        <f aca="false">Q!L14</f>
        <v>23.455</v>
      </c>
      <c r="E14620" s="6" t="n">
        <f aca="false">Q!M14</f>
        <v>21.79</v>
      </c>
      <c r="F14620" s="6" t="n">
        <f aca="false">Sens!E14620*(1+Sens!F14621)</f>
        <v>20.5736277908051</v>
      </c>
      <c r="G14620" s="6" t="n">
        <f aca="false">Sens!F14620*(1+Sens!G14621)</f>
        <v>19.7371452817919</v>
      </c>
      <c r="H14620" s="6" t="n">
        <f aca="false">Sens!G14620*(1+Sens!H14621)</f>
        <v>19.2339764043138</v>
      </c>
      <c r="I14620" s="6" t="n">
        <f aca="false">Sens!H14620*(1+Sens!I14621)</f>
        <v>19.0353086852681</v>
      </c>
      <c r="J14620" s="6" t="n">
        <f aca="false">Sens!I14620*(1+Sens!J14621)</f>
        <v>19.1273539319129</v>
      </c>
      <c r="K14620" s="6" t="n">
        <f aca="false">Sens!J14620*(1+Sens!K14621)</f>
        <v>19.5099010105511</v>
      </c>
    </row>
    <row r="14621" customFormat="false" ht="15" hidden="false" customHeight="false" outlineLevel="0" collapsed="false">
      <c r="A14621" s="1" t="s">
        <v>876</v>
      </c>
      <c r="B14621" s="0" t="s">
        <v>129</v>
      </c>
      <c r="E14621" s="7" t="n">
        <f aca="false">Sens!E14620/Sens!D14620-1</f>
        <v>-0.0709869963760392</v>
      </c>
      <c r="F14621" s="7" t="n">
        <f aca="false">Sens!$E$14621+(glt_xbox-Sens!$E$14621)*MIN(1,(Sens!F14564-base_fy)/n_conv)</f>
        <v>-0.0558224969800327</v>
      </c>
      <c r="G14621" s="7" t="n">
        <f aca="false">Sens!$E$14621+(glt_xbox-Sens!$E$14621)*MIN(1,(Sens!G14564-base_fy)/n_conv)</f>
        <v>-0.0406579975840262</v>
      </c>
      <c r="H14621" s="7" t="n">
        <f aca="false">Sens!$E$14621+(glt_xbox-Sens!$E$14621)*MIN(1,(Sens!H14564-base_fy)/n_conv)</f>
        <v>-0.0254934981880196</v>
      </c>
      <c r="I14621" s="7" t="n">
        <f aca="false">Sens!$E$14621+(glt_xbox-Sens!$E$14621)*MIN(1,(Sens!I14564-base_fy)/n_conv)</f>
        <v>-0.0103289987920131</v>
      </c>
      <c r="J14621" s="7" t="n">
        <f aca="false">Sens!$E$14621+(glt_xbox-Sens!$E$14621)*MIN(1,(Sens!J14564-base_fy)/n_conv)</f>
        <v>0.00483550060399347</v>
      </c>
      <c r="K14621" s="7" t="n">
        <f aca="false">Sens!$E$14621+(glt_xbox-Sens!$E$14621)*MIN(1,(Sens!K14564-base_fy)/n_conv)</f>
        <v>0.02</v>
      </c>
    </row>
    <row r="14622" customFormat="false" ht="15" hidden="false" customHeight="false" outlineLevel="0" collapsed="false">
      <c r="A14622" s="0" t="s">
        <v>889</v>
      </c>
      <c r="B14622" s="0" t="s">
        <v>98</v>
      </c>
      <c r="D14622" s="6" t="n">
        <f aca="false">Q!L15</f>
        <v>17.315</v>
      </c>
      <c r="E14622" s="6" t="n">
        <f aca="false">Q!M15</f>
        <v>17.087</v>
      </c>
      <c r="F14622" s="6" t="n">
        <f aca="false">Sens!E14622*(1+Sens!F14623)</f>
        <v>16.9564585436519</v>
      </c>
      <c r="G14622" s="6" t="n">
        <f aca="false">Sens!F14622*(1+Sens!G14623)</f>
        <v>16.9206490624268</v>
      </c>
      <c r="H14622" s="6" t="n">
        <f aca="false">Sens!G14622*(1+Sens!H14623)</f>
        <v>16.9784519149849</v>
      </c>
      <c r="I14622" s="6" t="n">
        <f aca="false">Sens!H14622*(1+Sens!I14623)</f>
        <v>17.1303084701817</v>
      </c>
      <c r="J14622" s="6" t="n">
        <f aca="false">Sens!I14622*(1+Sens!J14623)</f>
        <v>17.3782189407267</v>
      </c>
      <c r="K14622" s="6" t="n">
        <f aca="false">Sens!J14622*(1+Sens!K14623)</f>
        <v>17.7257833195413</v>
      </c>
    </row>
    <row r="14623" customFormat="false" ht="15" hidden="false" customHeight="false" outlineLevel="0" collapsed="false">
      <c r="A14623" s="1" t="s">
        <v>876</v>
      </c>
      <c r="B14623" s="0" t="s">
        <v>129</v>
      </c>
      <c r="E14623" s="7" t="n">
        <f aca="false">Sens!E14622/Sens!D14622-1</f>
        <v>-0.0131677736066995</v>
      </c>
      <c r="F14623" s="7" t="n">
        <f aca="false">Sens!$E$14623+(glt_win-Sens!$E$14623)*MIN(1,(Sens!F14564-base_fy)/n_conv)</f>
        <v>-0.00763981133891627</v>
      </c>
      <c r="G14623" s="7" t="n">
        <f aca="false">Sens!$E$14623+(glt_win-Sens!$E$14623)*MIN(1,(Sens!G14564-base_fy)/n_conv)</f>
        <v>-0.00211184907113301</v>
      </c>
      <c r="H14623" s="7" t="n">
        <f aca="false">Sens!$E$14623+(glt_win-Sens!$E$14623)*MIN(1,(Sens!H14564-base_fy)/n_conv)</f>
        <v>0.00341611319665024</v>
      </c>
      <c r="I14623" s="7" t="n">
        <f aca="false">Sens!$E$14623+(glt_win-Sens!$E$14623)*MIN(1,(Sens!I14564-base_fy)/n_conv)</f>
        <v>0.00894407546443349</v>
      </c>
      <c r="J14623" s="7" t="n">
        <f aca="false">Sens!$E$14623+(glt_win-Sens!$E$14623)*MIN(1,(Sens!J14564-base_fy)/n_conv)</f>
        <v>0.0144720377322168</v>
      </c>
      <c r="K14623" s="7" t="n">
        <f aca="false">Sens!$E$14623+(glt_win-Sens!$E$14623)*MIN(1,(Sens!K14564-base_fy)/n_conv)</f>
        <v>0.02</v>
      </c>
    </row>
    <row r="14624" customFormat="false" ht="15" hidden="false" customHeight="false" outlineLevel="0" collapsed="false">
      <c r="A14624" s="0" t="s">
        <v>729</v>
      </c>
      <c r="B14624" s="0" t="s">
        <v>98</v>
      </c>
      <c r="D14624" s="6" t="n">
        <f aca="false">Sens!D14618+Sens!D14620+Sens!D14622</f>
        <v>62.941</v>
      </c>
      <c r="E14624" s="6" t="n">
        <f aca="false">Sens!E14618+Sens!E14620+Sens!E14622</f>
        <v>63.712</v>
      </c>
      <c r="F14624" s="6" t="n">
        <f aca="false">Sens!F14618+Sens!F14620+Sens!F14622</f>
        <v>65.1415764563129</v>
      </c>
      <c r="G14624" s="6" t="n">
        <f aca="false">Sens!G14618+Sens!G14620+Sens!G14622</f>
        <v>67.1253610780702</v>
      </c>
      <c r="H14624" s="6" t="n">
        <f aca="false">Sens!H14618+Sens!H14620+Sens!H14622</f>
        <v>69.5768050148776</v>
      </c>
      <c r="I14624" s="6" t="n">
        <f aca="false">Sens!I14618+Sens!I14620+Sens!I14622</f>
        <v>72.4233188088189</v>
      </c>
      <c r="J14624" s="6" t="n">
        <f aca="false">Sens!J14618+Sens!J14620+Sens!J14622</f>
        <v>75.6044096678567</v>
      </c>
      <c r="K14624" s="6" t="n">
        <f aca="false">Sens!K14618+Sens!K14620+Sens!K14622</f>
        <v>79.0714397009747</v>
      </c>
    </row>
    <row r="14625" customFormat="false" ht="15" hidden="false" customHeight="false" outlineLevel="0" collapsed="false">
      <c r="A14625" s="1" t="s">
        <v>890</v>
      </c>
      <c r="B14625" s="0" t="s">
        <v>98</v>
      </c>
      <c r="D14625" s="6" t="n">
        <f aca="false">Sens!D14617+Sens!D14624</f>
        <v>281.724</v>
      </c>
      <c r="E14625" s="6" t="n">
        <f aca="false">Sens!E14617+Sens!E14624</f>
        <v>331.839</v>
      </c>
      <c r="F14625" s="6" t="n">
        <f aca="false">Sens!F14617+Sens!F14624</f>
        <v>381.336538327827</v>
      </c>
      <c r="G14625" s="6" t="n">
        <f aca="false">Sens!G14617+Sens!G14624</f>
        <v>422.811634025161</v>
      </c>
      <c r="H14625" s="6" t="n">
        <f aca="false">Sens!H14617+Sens!H14624</f>
        <v>460.252764430245</v>
      </c>
      <c r="I14625" s="6" t="n">
        <f aca="false">Sens!I14617+Sens!I14624</f>
        <v>499.26755033135</v>
      </c>
      <c r="J14625" s="6" t="n">
        <f aca="false">Sens!J14617+Sens!J14624</f>
        <v>536.224718063059</v>
      </c>
      <c r="K14625" s="6" t="n">
        <f aca="false">Sens!K14617+Sens!K14624</f>
        <v>571.478069756253</v>
      </c>
    </row>
    <row r="14626" customFormat="false" ht="15" hidden="false" customHeight="false" outlineLevel="0" collapsed="false">
      <c r="A14626" s="23" t="s">
        <v>891</v>
      </c>
      <c r="B14626" s="30" t="s">
        <v>98</v>
      </c>
      <c r="C14626" s="30"/>
      <c r="D14626" s="24" t="n">
        <f aca="false">(Sens!D14605+Sens!D14610+Sens!D14611+Sens!D14613+Sens!D14615-Sens!D14617)+(Sens!D14618+Sens!D14620+Sens!D14622-Sens!D14624)+(Sens!D14617-Q!L5)+(Sens!D14624-Q!L12)+(Sens!D14605-Q!L6)+(Sens!D14610-Q!L7)</f>
        <v>0</v>
      </c>
      <c r="E14626" s="24" t="n">
        <f aca="false">(Sens!E14605+Sens!E14610+Sens!E14611+Sens!E14613+Sens!E14615-Sens!E14617)+(Sens!E14618+Sens!E14620+Sens!E14622-Sens!E14624)+(Sens!E14617-Q!M5)+(Sens!E14624-Q!M12)+(Sens!E14605-Q!M6)+(Sens!E14610-Q!M7)</f>
        <v>0</v>
      </c>
      <c r="F14626" s="24" t="n">
        <f aca="false">(Sens!F14605+Sens!F14610+Sens!F14611+Sens!F14613+Sens!F14615-Sens!F14617)+(Sens!F14618+Sens!F14620+Sens!F14622-Sens!F14624)</f>
        <v>0</v>
      </c>
      <c r="G14626" s="24" t="n">
        <f aca="false">(Sens!G14605+Sens!G14610+Sens!G14611+Sens!G14613+Sens!G14615-Sens!G14617)+(Sens!G14618+Sens!G14620+Sens!G14622-Sens!G14624)</f>
        <v>0</v>
      </c>
      <c r="H14626" s="24" t="n">
        <f aca="false">(Sens!H14605+Sens!H14610+Sens!H14611+Sens!H14613+Sens!H14615-Sens!H14617)+(Sens!H14618+Sens!H14620+Sens!H14622-Sens!H14624)</f>
        <v>0</v>
      </c>
      <c r="I14626" s="24" t="n">
        <f aca="false">(Sens!I14605+Sens!I14610+Sens!I14611+Sens!I14613+Sens!I14615-Sens!I14617)+(Sens!I14618+Sens!I14620+Sens!I14622-Sens!I14624)</f>
        <v>0</v>
      </c>
      <c r="J14626" s="24" t="n">
        <f aca="false">(Sens!J14605+Sens!J14610+Sens!J14611+Sens!J14613+Sens!J14615-Sens!J14617)+(Sens!J14618+Sens!J14620+Sens!J14622-Sens!J14624)</f>
        <v>0</v>
      </c>
      <c r="K14626" s="24" t="n">
        <f aca="false">(Sens!K14605+Sens!K14610+Sens!K14611+Sens!K14613+Sens!K14615-Sens!K14617)+(Sens!K14618+Sens!K14620+Sens!K14622-Sens!K14624)</f>
        <v>0</v>
      </c>
    </row>
    <row r="14627" customFormat="false" ht="17.15" hidden="false" customHeight="false" outlineLevel="0" collapsed="false">
      <c r="A14627" s="3" t="s">
        <v>1633</v>
      </c>
    </row>
    <row r="14628" customFormat="false" ht="15" hidden="false" customHeight="false" outlineLevel="0" collapsed="false">
      <c r="A14628" s="4" t="s">
        <v>43</v>
      </c>
      <c r="B14628" s="4" t="s">
        <v>65</v>
      </c>
      <c r="C14628" s="20" t="s">
        <v>799</v>
      </c>
      <c r="D14628" s="20" t="s">
        <v>800</v>
      </c>
      <c r="E14628" s="20" t="s">
        <v>801</v>
      </c>
      <c r="F14628" s="20" t="s">
        <v>802</v>
      </c>
      <c r="G14628" s="20" t="s">
        <v>803</v>
      </c>
      <c r="H14628" s="20" t="s">
        <v>804</v>
      </c>
      <c r="I14628" s="20" t="s">
        <v>805</v>
      </c>
      <c r="J14628" s="20" t="s">
        <v>806</v>
      </c>
      <c r="K14628" s="20" t="s">
        <v>807</v>
      </c>
      <c r="L14628" s="4" t="s">
        <v>47</v>
      </c>
    </row>
    <row r="14629" customFormat="false" ht="15" hidden="false" customHeight="false" outlineLevel="0" collapsed="false">
      <c r="A14629" s="0" t="s">
        <v>877</v>
      </c>
      <c r="B14629" s="0" t="s">
        <v>98</v>
      </c>
      <c r="D14629" s="6" t="n">
        <f aca="false">Sens!D14605</f>
        <v>72.61</v>
      </c>
      <c r="E14629" s="6" t="n">
        <f aca="false">Sens!E14605</f>
        <v>101.938</v>
      </c>
      <c r="F14629" s="6" t="n">
        <f aca="false">Sens!F14605</f>
        <v>128.573389932331</v>
      </c>
      <c r="G14629" s="6" t="n">
        <f aca="false">Sens!G14605</f>
        <v>148.593116409662</v>
      </c>
      <c r="H14629" s="6" t="n">
        <f aca="false">Sens!H14605</f>
        <v>164.087276733852</v>
      </c>
      <c r="I14629" s="6" t="n">
        <f aca="false">Sens!I14605</f>
        <v>181.782876543045</v>
      </c>
      <c r="J14629" s="6" t="n">
        <f aca="false">Sens!J14605</f>
        <v>198.429411291033</v>
      </c>
      <c r="K14629" s="6" t="n">
        <f aca="false">Sens!K14605</f>
        <v>214.012560715102</v>
      </c>
    </row>
    <row r="14630" customFormat="false" ht="17.15" hidden="false" customHeight="false" outlineLevel="0" collapsed="false">
      <c r="A14630" s="0" t="s">
        <v>874</v>
      </c>
      <c r="B14630" s="0" t="s">
        <v>98</v>
      </c>
      <c r="D14630" s="6" t="n">
        <f aca="false">Sens!D14602</f>
        <v>12.9359794422418</v>
      </c>
      <c r="E14630" s="6" t="n">
        <f aca="false">Sens!E14602</f>
        <v>27.8095064661409</v>
      </c>
      <c r="F14630" s="6" t="n">
        <f aca="false">Sens!F14602</f>
        <v>38.493440194965</v>
      </c>
      <c r="G14630" s="6" t="n">
        <f aca="false">Sens!G14602</f>
        <v>41.5646912063518</v>
      </c>
      <c r="H14630" s="6" t="n">
        <f aca="false">Sens!H14602</f>
        <v>39.815294148216</v>
      </c>
      <c r="I14630" s="6" t="n">
        <f aca="false">Sens!I14602</f>
        <v>40.84917416119</v>
      </c>
      <c r="J14630" s="6" t="n">
        <f aca="false">Sens!J14602</f>
        <v>42.4105439767017</v>
      </c>
      <c r="K14630" s="6" t="n">
        <f aca="false">Sens!K14602</f>
        <v>45.5121840156236</v>
      </c>
    </row>
    <row r="14631" customFormat="false" ht="17.15" hidden="false" customHeight="false" outlineLevel="0" collapsed="false">
      <c r="A14631" s="0" t="s">
        <v>902</v>
      </c>
      <c r="B14631" s="0" t="s">
        <v>98</v>
      </c>
      <c r="D14631" s="6" t="n">
        <f aca="false">Sens!D14603</f>
        <v>59.6740205577583</v>
      </c>
      <c r="E14631" s="6" t="n">
        <f aca="false">Sens!E14603</f>
        <v>74.1284935338591</v>
      </c>
      <c r="F14631" s="6" t="n">
        <f aca="false">Sens!F14603</f>
        <v>90.0799497373663</v>
      </c>
      <c r="G14631" s="6" t="n">
        <f aca="false">Sens!G14603</f>
        <v>107.02842520331</v>
      </c>
      <c r="H14631" s="6" t="n">
        <f aca="false">Sens!H14603</f>
        <v>124.271982585636</v>
      </c>
      <c r="I14631" s="6" t="n">
        <f aca="false">Sens!I14603</f>
        <v>140.933702381855</v>
      </c>
      <c r="J14631" s="6" t="n">
        <f aca="false">Sens!J14603</f>
        <v>156.018867314332</v>
      </c>
      <c r="K14631" s="6" t="n">
        <f aca="false">Sens!K14603</f>
        <v>168.500376699478</v>
      </c>
    </row>
    <row r="14632" customFormat="false" ht="15" hidden="false" customHeight="false" outlineLevel="0" collapsed="false">
      <c r="A14632" s="0" t="s">
        <v>883</v>
      </c>
      <c r="B14632" s="0" t="s">
        <v>98</v>
      </c>
      <c r="D14632" s="6" t="n">
        <f aca="false">Sens!D14610</f>
        <v>84.605</v>
      </c>
      <c r="E14632" s="6" t="n">
        <f aca="false">Sens!E14610</f>
        <v>100.299</v>
      </c>
      <c r="F14632" s="6" t="n">
        <f aca="false">Sens!F14610</f>
        <v>117.39238776686</v>
      </c>
      <c r="G14632" s="6" t="n">
        <f aca="false">Sens!G14610</f>
        <v>132.544168448684</v>
      </c>
      <c r="H14632" s="6" t="n">
        <f aca="false">Sens!H14610</f>
        <v>147.777359388781</v>
      </c>
      <c r="I14632" s="6" t="n">
        <f aca="false">Sens!I14610</f>
        <v>162.084028071957</v>
      </c>
      <c r="J14632" s="6" t="n">
        <f aca="false">Sens!J14610</f>
        <v>175.182702785465</v>
      </c>
      <c r="K14632" s="6" t="n">
        <f aca="false">Sens!K14610</f>
        <v>187.527991980448</v>
      </c>
    </row>
    <row r="14633" customFormat="false" ht="17.15" hidden="false" customHeight="false" outlineLevel="0" collapsed="false">
      <c r="A14633" s="0" t="s">
        <v>903</v>
      </c>
      <c r="B14633" s="0" t="s">
        <v>98</v>
      </c>
      <c r="D14633" s="6" t="n">
        <f aca="false">Sens!D14608</f>
        <v>83.705</v>
      </c>
      <c r="E14633" s="6" t="n">
        <f aca="false">Sens!E14608</f>
        <v>95.049</v>
      </c>
      <c r="F14633" s="6" t="n">
        <f aca="false">Sens!F14608</f>
        <v>106.89238776686</v>
      </c>
      <c r="G14633" s="6" t="n">
        <f aca="false">Sens!G14608</f>
        <v>119.044168448684</v>
      </c>
      <c r="H14633" s="6" t="n">
        <f aca="false">Sens!H14608</f>
        <v>131.277359388781</v>
      </c>
      <c r="I14633" s="6" t="n">
        <f aca="false">Sens!I14608</f>
        <v>143.334028071957</v>
      </c>
      <c r="J14633" s="6" t="n">
        <f aca="false">Sens!J14608</f>
        <v>154.932702785465</v>
      </c>
      <c r="K14633" s="6" t="n">
        <f aca="false">Sens!K14608</f>
        <v>165.777991980448</v>
      </c>
    </row>
    <row r="14634" customFormat="false" ht="17.15" hidden="false" customHeight="false" outlineLevel="0" collapsed="false">
      <c r="A14634" s="0" t="s">
        <v>904</v>
      </c>
      <c r="B14634" s="0" t="s">
        <v>98</v>
      </c>
      <c r="D14634" s="6" t="n">
        <f aca="false">Sens!D14607</f>
        <v>0.9</v>
      </c>
      <c r="E14634" s="6" t="n">
        <f aca="false">Sens!E14607</f>
        <v>5.25</v>
      </c>
      <c r="F14634" s="6" t="n">
        <f aca="false">Sens!F14607</f>
        <v>10.5</v>
      </c>
      <c r="G14634" s="6" t="n">
        <f aca="false">Sens!G14607</f>
        <v>13.5</v>
      </c>
      <c r="H14634" s="6" t="n">
        <f aca="false">Sens!H14607</f>
        <v>16.5</v>
      </c>
      <c r="I14634" s="6" t="n">
        <f aca="false">Sens!I14607</f>
        <v>18.75</v>
      </c>
      <c r="J14634" s="6" t="n">
        <f aca="false">Sens!J14607</f>
        <v>20.25</v>
      </c>
      <c r="K14634" s="6" t="n">
        <f aca="false">Sens!K14607</f>
        <v>21.75</v>
      </c>
    </row>
    <row r="14635" customFormat="false" ht="15" hidden="false" customHeight="false" outlineLevel="0" collapsed="false">
      <c r="A14635" s="0" t="s">
        <v>884</v>
      </c>
      <c r="B14635" s="0" t="s">
        <v>98</v>
      </c>
      <c r="D14635" s="6" t="n">
        <f aca="false">Sens!D14611</f>
        <v>35.391</v>
      </c>
      <c r="E14635" s="6" t="n">
        <f aca="false">Sens!E14611</f>
        <v>37.285</v>
      </c>
      <c r="F14635" s="6" t="n">
        <f aca="false">Sens!F14611</f>
        <v>39.0720834331704</v>
      </c>
      <c r="G14635" s="6" t="n">
        <f aca="false">Sens!G14611</f>
        <v>40.726562953769</v>
      </c>
      <c r="H14635" s="6" t="n">
        <f aca="false">Sens!H14611</f>
        <v>42.2235987259198</v>
      </c>
      <c r="I14635" s="6" t="n">
        <f aca="false">Sens!I14611</f>
        <v>43.5397988077414</v>
      </c>
      <c r="J14635" s="6" t="n">
        <f aca="false">Sens!J14611</f>
        <v>44.653811225693</v>
      </c>
      <c r="K14635" s="6" t="n">
        <f aca="false">Sens!K14611</f>
        <v>45.5468874502068</v>
      </c>
    </row>
    <row r="14636" customFormat="false" ht="15" hidden="false" customHeight="false" outlineLevel="0" collapsed="false">
      <c r="A14636" s="0" t="s">
        <v>885</v>
      </c>
      <c r="B14636" s="0" t="s">
        <v>98</v>
      </c>
      <c r="D14636" s="6" t="n">
        <f aca="false">Sens!D14613</f>
        <v>18.417</v>
      </c>
      <c r="E14636" s="6" t="n">
        <f aca="false">Sens!E14613</f>
        <v>20.345</v>
      </c>
      <c r="F14636" s="6" t="n">
        <f aca="false">Sens!F14613</f>
        <v>22.3572203267814</v>
      </c>
      <c r="G14636" s="6" t="n">
        <f aca="false">Sens!G14613</f>
        <v>24.4392124437232</v>
      </c>
      <c r="H14636" s="6" t="n">
        <f aca="false">Sens!H14613</f>
        <v>26.5738052080665</v>
      </c>
      <c r="I14636" s="6" t="n">
        <f aca="false">Sens!I14613</f>
        <v>28.7412169166967</v>
      </c>
      <c r="J14636" s="6" t="n">
        <f aca="false">Sens!J14613</f>
        <v>30.9192545395413</v>
      </c>
      <c r="K14636" s="6" t="n">
        <f aca="false">Sens!K14613</f>
        <v>33.0836023573092</v>
      </c>
    </row>
    <row r="14637" customFormat="false" ht="15" hidden="false" customHeight="false" outlineLevel="0" collapsed="false">
      <c r="A14637" s="0" t="s">
        <v>886</v>
      </c>
      <c r="B14637" s="0" t="s">
        <v>98</v>
      </c>
      <c r="D14637" s="6" t="n">
        <f aca="false">Sens!D14615</f>
        <v>7.76</v>
      </c>
      <c r="E14637" s="6" t="n">
        <f aca="false">Sens!E14615</f>
        <v>8.26</v>
      </c>
      <c r="F14637" s="6" t="n">
        <f aca="false">Sens!F14615</f>
        <v>8.79988041237113</v>
      </c>
      <c r="G14637" s="6" t="n">
        <f aca="false">Sens!G14615</f>
        <v>9.38321269125306</v>
      </c>
      <c r="H14637" s="6" t="n">
        <f aca="false">Sens!H14615</f>
        <v>10.0139193587476</v>
      </c>
      <c r="I14637" s="6" t="n">
        <f aca="false">Sens!I14615</f>
        <v>10.6963111830911</v>
      </c>
      <c r="J14637" s="6" t="n">
        <f aca="false">Sens!J14615</f>
        <v>11.4351285534696</v>
      </c>
      <c r="K14637" s="6" t="n">
        <f aca="false">Sens!K14615</f>
        <v>12.2355875522124</v>
      </c>
    </row>
    <row r="14638" customFormat="false" ht="15" hidden="false" customHeight="false" outlineLevel="0" collapsed="false">
      <c r="A14638" s="0" t="s">
        <v>715</v>
      </c>
      <c r="B14638" s="0" t="s">
        <v>98</v>
      </c>
      <c r="D14638" s="6" t="n">
        <f aca="false">Sens!D14617</f>
        <v>218.783</v>
      </c>
      <c r="E14638" s="6" t="n">
        <f aca="false">Sens!E14617</f>
        <v>268.127</v>
      </c>
      <c r="F14638" s="6" t="n">
        <f aca="false">Sens!F14617</f>
        <v>316.194961871514</v>
      </c>
      <c r="G14638" s="6" t="n">
        <f aca="false">Sens!G14617</f>
        <v>355.686272947091</v>
      </c>
      <c r="H14638" s="6" t="n">
        <f aca="false">Sens!H14617</f>
        <v>390.675959415367</v>
      </c>
      <c r="I14638" s="6" t="n">
        <f aca="false">Sens!I14617</f>
        <v>426.844231522531</v>
      </c>
      <c r="J14638" s="6" t="n">
        <f aca="false">Sens!J14617</f>
        <v>460.620308395202</v>
      </c>
      <c r="K14638" s="6" t="n">
        <f aca="false">Sens!K14617</f>
        <v>492.406630055278</v>
      </c>
    </row>
    <row r="14639" customFormat="false" ht="15" hidden="false" customHeight="false" outlineLevel="0" collapsed="false">
      <c r="A14639" s="0" t="s">
        <v>887</v>
      </c>
      <c r="B14639" s="0" t="s">
        <v>98</v>
      </c>
      <c r="D14639" s="6" t="n">
        <f aca="false">Sens!D14618</f>
        <v>22.171</v>
      </c>
      <c r="E14639" s="6" t="n">
        <f aca="false">Sens!E14618</f>
        <v>24.835</v>
      </c>
      <c r="F14639" s="6" t="n">
        <f aca="false">Sens!F14618</f>
        <v>27.6114901218559</v>
      </c>
      <c r="G14639" s="6" t="n">
        <f aca="false">Sens!G14618</f>
        <v>30.4675667338515</v>
      </c>
      <c r="H14639" s="6" t="n">
        <f aca="false">Sens!H14618</f>
        <v>33.3643766955789</v>
      </c>
      <c r="I14639" s="6" t="n">
        <f aca="false">Sens!I14618</f>
        <v>36.2577016533691</v>
      </c>
      <c r="J14639" s="6" t="n">
        <f aca="false">Sens!J14618</f>
        <v>39.0988367952171</v>
      </c>
      <c r="K14639" s="6" t="n">
        <f aca="false">Sens!K14618</f>
        <v>41.8357553708823</v>
      </c>
    </row>
    <row r="14640" customFormat="false" ht="15" hidden="false" customHeight="false" outlineLevel="0" collapsed="false">
      <c r="A14640" s="0" t="s">
        <v>888</v>
      </c>
      <c r="B14640" s="0" t="s">
        <v>98</v>
      </c>
      <c r="D14640" s="6" t="n">
        <f aca="false">Sens!D14620</f>
        <v>23.455</v>
      </c>
      <c r="E14640" s="6" t="n">
        <f aca="false">Sens!E14620</f>
        <v>21.79</v>
      </c>
      <c r="F14640" s="6" t="n">
        <f aca="false">Sens!F14620</f>
        <v>20.5736277908051</v>
      </c>
      <c r="G14640" s="6" t="n">
        <f aca="false">Sens!G14620</f>
        <v>19.7371452817919</v>
      </c>
      <c r="H14640" s="6" t="n">
        <f aca="false">Sens!H14620</f>
        <v>19.2339764043138</v>
      </c>
      <c r="I14640" s="6" t="n">
        <f aca="false">Sens!I14620</f>
        <v>19.0353086852681</v>
      </c>
      <c r="J14640" s="6" t="n">
        <f aca="false">Sens!J14620</f>
        <v>19.1273539319129</v>
      </c>
      <c r="K14640" s="6" t="n">
        <f aca="false">Sens!K14620</f>
        <v>19.5099010105511</v>
      </c>
    </row>
    <row r="14641" customFormat="false" ht="15" hidden="false" customHeight="false" outlineLevel="0" collapsed="false">
      <c r="A14641" s="0" t="s">
        <v>889</v>
      </c>
      <c r="B14641" s="0" t="s">
        <v>98</v>
      </c>
      <c r="D14641" s="6" t="n">
        <f aca="false">Sens!D14622</f>
        <v>17.315</v>
      </c>
      <c r="E14641" s="6" t="n">
        <f aca="false">Sens!E14622</f>
        <v>17.087</v>
      </c>
      <c r="F14641" s="6" t="n">
        <f aca="false">Sens!F14622</f>
        <v>16.9564585436519</v>
      </c>
      <c r="G14641" s="6" t="n">
        <f aca="false">Sens!G14622</f>
        <v>16.9206490624268</v>
      </c>
      <c r="H14641" s="6" t="n">
        <f aca="false">Sens!H14622</f>
        <v>16.9784519149849</v>
      </c>
      <c r="I14641" s="6" t="n">
        <f aca="false">Sens!I14622</f>
        <v>17.1303084701817</v>
      </c>
      <c r="J14641" s="6" t="n">
        <f aca="false">Sens!J14622</f>
        <v>17.3782189407267</v>
      </c>
      <c r="K14641" s="6" t="n">
        <f aca="false">Sens!K14622</f>
        <v>17.7257833195413</v>
      </c>
    </row>
    <row r="14642" customFormat="false" ht="15" hidden="false" customHeight="false" outlineLevel="0" collapsed="false">
      <c r="A14642" s="0" t="s">
        <v>729</v>
      </c>
      <c r="B14642" s="0" t="s">
        <v>98</v>
      </c>
      <c r="D14642" s="6" t="n">
        <f aca="false">Sens!D14624</f>
        <v>62.941</v>
      </c>
      <c r="E14642" s="6" t="n">
        <f aca="false">Sens!E14624</f>
        <v>63.712</v>
      </c>
      <c r="F14642" s="6" t="n">
        <f aca="false">Sens!F14624</f>
        <v>65.1415764563129</v>
      </c>
      <c r="G14642" s="6" t="n">
        <f aca="false">Sens!G14624</f>
        <v>67.1253610780702</v>
      </c>
      <c r="H14642" s="6" t="n">
        <f aca="false">Sens!H14624</f>
        <v>69.5768050148776</v>
      </c>
      <c r="I14642" s="6" t="n">
        <f aca="false">Sens!I14624</f>
        <v>72.4233188088189</v>
      </c>
      <c r="J14642" s="6" t="n">
        <f aca="false">Sens!J14624</f>
        <v>75.6044096678567</v>
      </c>
      <c r="K14642" s="6" t="n">
        <f aca="false">Sens!K14624</f>
        <v>79.0714397009747</v>
      </c>
    </row>
    <row r="14643" customFormat="false" ht="15" hidden="false" customHeight="false" outlineLevel="0" collapsed="false">
      <c r="A14643" s="1" t="s">
        <v>905</v>
      </c>
      <c r="B14643" s="0" t="s">
        <v>98</v>
      </c>
      <c r="D14643" s="6" t="n">
        <f aca="false">Sens!D14625</f>
        <v>281.724</v>
      </c>
      <c r="E14643" s="6" t="n">
        <f aca="false">Sens!E14625</f>
        <v>331.839</v>
      </c>
      <c r="F14643" s="6" t="n">
        <f aca="false">Sens!F14625</f>
        <v>381.336538327827</v>
      </c>
      <c r="G14643" s="6" t="n">
        <f aca="false">Sens!G14625</f>
        <v>422.811634025161</v>
      </c>
      <c r="H14643" s="6" t="n">
        <f aca="false">Sens!H14625</f>
        <v>460.252764430245</v>
      </c>
      <c r="I14643" s="6" t="n">
        <f aca="false">Sens!I14625</f>
        <v>499.26755033135</v>
      </c>
      <c r="J14643" s="6" t="n">
        <f aca="false">Sens!J14625</f>
        <v>536.224718063059</v>
      </c>
      <c r="K14643" s="6" t="n">
        <f aca="false">Sens!K14625</f>
        <v>571.478069756253</v>
      </c>
    </row>
    <row r="14644" customFormat="false" ht="15" hidden="false" customHeight="false" outlineLevel="0" collapsed="false">
      <c r="A14644" s="1" t="s">
        <v>906</v>
      </c>
      <c r="B14644" s="0" t="s">
        <v>129</v>
      </c>
      <c r="E14644" s="7" t="n">
        <f aca="false">Sens!E14643/Sens!D14643-1</f>
        <v>0.177886867998467</v>
      </c>
      <c r="F14644" s="7" t="n">
        <f aca="false">Sens!F14643/Sens!E14643-1</f>
        <v>0.149161305114308</v>
      </c>
      <c r="G14644" s="7" t="n">
        <f aca="false">Sens!G14643/Sens!F14643-1</f>
        <v>0.108762448726272</v>
      </c>
      <c r="H14644" s="7" t="n">
        <f aca="false">Sens!H14643/Sens!G14643-1</f>
        <v>0.088552744040282</v>
      </c>
      <c r="I14644" s="7" t="n">
        <f aca="false">Sens!I14643/Sens!H14643-1</f>
        <v>0.0847681728743168</v>
      </c>
      <c r="J14644" s="7" t="n">
        <f aca="false">Sens!J14643/Sens!I14643-1</f>
        <v>0.0740227713721466</v>
      </c>
      <c r="K14644" s="7" t="n">
        <f aca="false">Sens!K14643/Sens!J14643-1</f>
        <v>0.0657436155135391</v>
      </c>
    </row>
    <row r="14645" customFormat="false" ht="17.15" hidden="false" customHeight="false" outlineLevel="0" collapsed="false">
      <c r="A14645" s="23" t="s">
        <v>907</v>
      </c>
      <c r="B14645" s="30" t="s">
        <v>98</v>
      </c>
      <c r="C14645" s="30"/>
      <c r="D14645" s="24" t="n">
        <f aca="false">(Sens!D14638+Sens!D14642-Sens!D14643)+(Sens!D14630+Sens!D14631-Sens!D14629)+(Sens!D14633+Sens!D14634-Sens!D14632)+(Sens!D14643-Q!L18)</f>
        <v>0</v>
      </c>
      <c r="E14645" s="24" t="n">
        <f aca="false">(Sens!E14638+Sens!E14642-Sens!E14643)+(Sens!E14630+Sens!E14631-Sens!E14629)+(Sens!E14633+Sens!E14634-Sens!E14632)+(Sens!E14643-Q!M18)</f>
        <v>0</v>
      </c>
      <c r="F14645" s="24" t="n">
        <f aca="false">(Sens!F14638+Sens!F14642-Sens!F14643)+(Sens!F14630+Sens!F14631-Sens!F14629)+(Sens!F14633+Sens!F14634-Sens!F14632)</f>
        <v>0</v>
      </c>
      <c r="G14645" s="24" t="n">
        <f aca="false">(Sens!G14638+Sens!G14642-Sens!G14643)+(Sens!G14630+Sens!G14631-Sens!G14629)+(Sens!G14633+Sens!G14634-Sens!G14632)</f>
        <v>0</v>
      </c>
      <c r="H14645" s="24" t="n">
        <f aca="false">(Sens!H14638+Sens!H14642-Sens!H14643)+(Sens!H14630+Sens!H14631-Sens!H14629)+(Sens!H14633+Sens!H14634-Sens!H14632)</f>
        <v>0</v>
      </c>
      <c r="I14645" s="24" t="n">
        <f aca="false">(Sens!I14638+Sens!I14642-Sens!I14643)+(Sens!I14630+Sens!I14631-Sens!I14629)+(Sens!I14633+Sens!I14634-Sens!I14632)</f>
        <v>0</v>
      </c>
      <c r="J14645" s="24" t="n">
        <f aca="false">(Sens!J14638+Sens!J14642-Sens!J14643)+(Sens!J14630+Sens!J14631-Sens!J14629)+(Sens!J14633+Sens!J14634-Sens!J14632)</f>
        <v>0</v>
      </c>
      <c r="K14645" s="24" t="n">
        <f aca="false">(Sens!K14638+Sens!K14642-Sens!K14643)+(Sens!K14630+Sens!K14631-Sens!K14629)+(Sens!K14633+Sens!K14634-Sens!K14632)</f>
        <v>0</v>
      </c>
    </row>
    <row r="14646" customFormat="false" ht="17.15" hidden="false" customHeight="false" outlineLevel="0" collapsed="false">
      <c r="A14646" s="0" t="s">
        <v>908</v>
      </c>
      <c r="B14646" s="0" t="s">
        <v>129</v>
      </c>
      <c r="E14646" s="7" t="n">
        <f aca="false">(Q!M21+Sens!E14583+Sens!E14584+Sens!E14585+Sens!E14598-Sens!E14581)/(Q!M5-Sens!E14581)</f>
        <v>0.570957350878296</v>
      </c>
      <c r="F14646" s="7" t="n">
        <f aca="false">Sens!$E$14646+dm_seg</f>
        <v>0.570957350878296</v>
      </c>
      <c r="G14646" s="7" t="n">
        <f aca="false">Sens!$E$14646+dm_seg</f>
        <v>0.570957350878296</v>
      </c>
      <c r="H14646" s="7" t="n">
        <f aca="false">Sens!$E$14646+dm_seg</f>
        <v>0.570957350878296</v>
      </c>
      <c r="I14646" s="7" t="n">
        <f aca="false">Sens!$E$14646+dm_seg</f>
        <v>0.570957350878296</v>
      </c>
      <c r="J14646" s="7" t="n">
        <f aca="false">Sens!$E$14646+dm_seg</f>
        <v>0.570957350878296</v>
      </c>
      <c r="K14646" s="7" t="n">
        <f aca="false">Sens!$E$14646+dm_seg</f>
        <v>0.570957350878296</v>
      </c>
      <c r="L14646" s="11" t="s">
        <v>909</v>
      </c>
    </row>
    <row r="14647" customFormat="false" ht="17.15" hidden="false" customHeight="false" outlineLevel="0" collapsed="false">
      <c r="A14647" s="0" t="s">
        <v>743</v>
      </c>
      <c r="B14647" s="0" t="s">
        <v>98</v>
      </c>
      <c r="D14647" s="6" t="n">
        <f aca="false">Q!L21</f>
        <v>110.814</v>
      </c>
      <c r="E14647" s="6" t="n">
        <f aca="false">Q!M21</f>
        <v>136.365</v>
      </c>
      <c r="F14647" s="6" t="n">
        <f aca="false">Sens!F14646*(Sens!F14617-Sens!F14581)+Sens!F14581-(Sens!F14583+Sens!F14584+Sens!F14585)-Sens!F14598-Sens!F14681</f>
        <v>140.611098332596</v>
      </c>
      <c r="G14647" s="6" t="n">
        <f aca="false">Sens!G14646*(Sens!G14617-Sens!G14581)+Sens!G14581-(Sens!G14583+Sens!G14584+Sens!G14585)-Sens!G14598-Sens!G14681</f>
        <v>158.096480173242</v>
      </c>
      <c r="H14647" s="6" t="n">
        <f aca="false">Sens!H14646*(Sens!H14617-Sens!H14581)+Sens!H14581-(Sens!H14583+Sens!H14584+Sens!H14585)-Sens!H14598-Sens!H14681</f>
        <v>174.963108372039</v>
      </c>
      <c r="I14647" s="6" t="n">
        <f aca="false">Sens!I14646*(Sens!I14617-Sens!I14581)+Sens!I14581-(Sens!I14583+Sens!I14584+Sens!I14585)-Sens!I14598-Sens!I14681</f>
        <v>196.399571090018</v>
      </c>
      <c r="J14647" s="6" t="n">
        <f aca="false">Sens!J14646*(Sens!J14617-Sens!J14581)+Sens!J14581-(Sens!J14583+Sens!J14584+Sens!J14585)-Sens!J14598-Sens!J14681</f>
        <v>215.544807811461</v>
      </c>
      <c r="K14647" s="6" t="n">
        <f aca="false">Sens!K14646*(Sens!K14617-Sens!K14581)+Sens!K14581-(Sens!K14583+Sens!K14584+Sens!K14585)-Sens!K14598-Sens!K14681</f>
        <v>232.629183503755</v>
      </c>
      <c r="L14647" s="1" t="s">
        <v>910</v>
      </c>
    </row>
    <row r="14648" customFormat="false" ht="17.15" hidden="false" customHeight="false" outlineLevel="0" collapsed="false">
      <c r="A14648" s="0" t="s">
        <v>911</v>
      </c>
      <c r="B14648" s="0" t="s">
        <v>129</v>
      </c>
      <c r="E14648" s="7" t="n">
        <f aca="false">Q!M22/Q!M12</f>
        <v>0.296207935710698</v>
      </c>
      <c r="F14648" s="7" t="n">
        <f aca="false">Sens!$E$14648+dm_seg</f>
        <v>0.296207935710698</v>
      </c>
      <c r="G14648" s="7" t="n">
        <f aca="false">Sens!$E$14648+dm_seg</f>
        <v>0.296207935710698</v>
      </c>
      <c r="H14648" s="7" t="n">
        <f aca="false">Sens!$E$14648+dm_seg</f>
        <v>0.296207935710698</v>
      </c>
      <c r="I14648" s="7" t="n">
        <f aca="false">Sens!$E$14648+dm_seg</f>
        <v>0.296207935710698</v>
      </c>
      <c r="J14648" s="7" t="n">
        <f aca="false">Sens!$E$14648+dm_seg</f>
        <v>0.296207935710698</v>
      </c>
      <c r="K14648" s="7" t="n">
        <f aca="false">Sens!$E$14648+dm_seg</f>
        <v>0.296207935710698</v>
      </c>
      <c r="L14648" s="11" t="s">
        <v>912</v>
      </c>
    </row>
    <row r="14649" customFormat="false" ht="17.15" hidden="false" customHeight="false" outlineLevel="0" collapsed="false">
      <c r="A14649" s="0" t="s">
        <v>745</v>
      </c>
      <c r="B14649" s="0" t="s">
        <v>98</v>
      </c>
      <c r="D14649" s="6" t="n">
        <f aca="false">Q!L22</f>
        <v>17.714</v>
      </c>
      <c r="E14649" s="6" t="n">
        <f aca="false">Q!M22</f>
        <v>18.872</v>
      </c>
      <c r="F14649" s="6" t="n">
        <f aca="false">Sens!F14624*Sens!F14648</f>
        <v>19.2954518910651</v>
      </c>
      <c r="G14649" s="6" t="n">
        <f aca="false">Sens!G14624*Sens!G14648</f>
        <v>19.8830646387704</v>
      </c>
      <c r="H14649" s="6" t="n">
        <f aca="false">Sens!H14624*Sens!H14648</f>
        <v>20.6092017868026</v>
      </c>
      <c r="I14649" s="6" t="n">
        <f aca="false">Sens!I14624*Sens!I14648</f>
        <v>21.452361761678</v>
      </c>
      <c r="J14649" s="6" t="n">
        <f aca="false">Sens!J14624*Sens!J14648</f>
        <v>22.3946261183418</v>
      </c>
      <c r="K14649" s="6" t="n">
        <f aca="false">Sens!K14624*Sens!K14648</f>
        <v>23.4215879274986</v>
      </c>
    </row>
    <row r="14650" customFormat="false" ht="15" hidden="false" customHeight="false" outlineLevel="0" collapsed="false">
      <c r="A14650" s="1" t="s">
        <v>913</v>
      </c>
      <c r="B14650" s="0" t="s">
        <v>98</v>
      </c>
      <c r="D14650" s="6" t="n">
        <f aca="false">Sens!D14647+Sens!D14649</f>
        <v>128.528</v>
      </c>
      <c r="E14650" s="6" t="n">
        <f aca="false">Sens!E14647+Sens!E14649</f>
        <v>155.237</v>
      </c>
      <c r="F14650" s="6" t="n">
        <f aca="false">Sens!F14647+Sens!F14649</f>
        <v>159.906550223661</v>
      </c>
      <c r="G14650" s="6" t="n">
        <f aca="false">Sens!G14647+Sens!G14649</f>
        <v>177.979544812013</v>
      </c>
      <c r="H14650" s="6" t="n">
        <f aca="false">Sens!H14647+Sens!H14649</f>
        <v>195.572310158842</v>
      </c>
      <c r="I14650" s="6" t="n">
        <f aca="false">Sens!I14647+Sens!I14649</f>
        <v>217.851932851696</v>
      </c>
      <c r="J14650" s="6" t="n">
        <f aca="false">Sens!J14647+Sens!J14649</f>
        <v>237.939433929803</v>
      </c>
      <c r="K14650" s="6" t="n">
        <f aca="false">Sens!K14647+Sens!K14649</f>
        <v>256.050771431253</v>
      </c>
    </row>
    <row r="14651" customFormat="false" ht="15" hidden="false" customHeight="false" outlineLevel="0" collapsed="false">
      <c r="A14651" s="23" t="s">
        <v>914</v>
      </c>
      <c r="B14651" s="30" t="s">
        <v>98</v>
      </c>
      <c r="C14651" s="30"/>
      <c r="D14651" s="24" t="n">
        <f aca="false">Sens!D14650-Q!L23</f>
        <v>0</v>
      </c>
      <c r="E14651" s="24" t="n">
        <f aca="false">Sens!E14650-Q!M23</f>
        <v>0</v>
      </c>
      <c r="F14651" s="30"/>
      <c r="G14651" s="30"/>
      <c r="H14651" s="30"/>
      <c r="I14651" s="30"/>
      <c r="J14651" s="30"/>
      <c r="K14651" s="30"/>
    </row>
    <row r="14652" customFormat="false" ht="15" hidden="false" customHeight="false" outlineLevel="0" collapsed="false">
      <c r="A14652" s="1" t="s">
        <v>915</v>
      </c>
      <c r="B14652" s="0" t="s">
        <v>129</v>
      </c>
      <c r="D14652" s="7" t="n">
        <f aca="false">Sens!D14650/Sens!D14643</f>
        <v>0.456219562408598</v>
      </c>
      <c r="E14652" s="7" t="n">
        <f aca="false">Sens!E14650/Sens!E14643</f>
        <v>0.467808184089272</v>
      </c>
      <c r="F14652" s="7" t="n">
        <f aca="false">Sens!F14650/Sens!F14643</f>
        <v>0.419331834617413</v>
      </c>
      <c r="G14652" s="7" t="n">
        <f aca="false">Sens!G14650/Sens!G14643</f>
        <v>0.420942875004762</v>
      </c>
      <c r="H14652" s="7" t="n">
        <f aca="false">Sens!H14650/Sens!H14643</f>
        <v>0.424923705566319</v>
      </c>
      <c r="I14652" s="7" t="n">
        <f aca="false">Sens!I14650/Sens!I14643</f>
        <v>0.436343064369223</v>
      </c>
      <c r="J14652" s="7" t="n">
        <f aca="false">Sens!J14650/Sens!J14643</f>
        <v>0.443730820148097</v>
      </c>
      <c r="K14652" s="7" t="n">
        <f aca="false">Sens!K14650/Sens!K14643</f>
        <v>0.448050038981311</v>
      </c>
    </row>
    <row r="14653" customFormat="false" ht="17.15" hidden="false" customHeight="false" outlineLevel="0" collapsed="false">
      <c r="A14653" s="1" t="s">
        <v>916</v>
      </c>
      <c r="B14653" s="0" t="s">
        <v>98</v>
      </c>
      <c r="F14653" s="6" t="n">
        <f aca="false">Sens!F14668</f>
        <v>0</v>
      </c>
      <c r="G14653" s="6" t="n">
        <f aca="false">Sens!G14668</f>
        <v>0</v>
      </c>
      <c r="H14653" s="6" t="n">
        <f aca="false">Sens!H14668</f>
        <v>0</v>
      </c>
      <c r="I14653" s="6" t="n">
        <f aca="false">Sens!I14668</f>
        <v>0</v>
      </c>
      <c r="J14653" s="6" t="n">
        <f aca="false">Sens!J14668</f>
        <v>0</v>
      </c>
      <c r="K14653" s="6" t="n">
        <f aca="false">Sens!K14668</f>
        <v>0</v>
      </c>
      <c r="L14653" s="1" t="s">
        <v>917</v>
      </c>
    </row>
    <row r="14654" customFormat="false" ht="17.15" hidden="false" customHeight="false" outlineLevel="0" collapsed="false">
      <c r="A14654" s="1" t="s">
        <v>918</v>
      </c>
      <c r="B14654" s="0" t="s">
        <v>98</v>
      </c>
      <c r="D14654" s="6" t="n">
        <f aca="false">Sens!D14650</f>
        <v>128.528</v>
      </c>
      <c r="E14654" s="6" t="n">
        <f aca="false">Sens!E14650</f>
        <v>155.237</v>
      </c>
      <c r="F14654" s="6" t="n">
        <f aca="false">Sens!F14650+Sens!F14653</f>
        <v>159.906550223661</v>
      </c>
      <c r="G14654" s="6" t="n">
        <f aca="false">Sens!G14650+Sens!G14653</f>
        <v>177.979544812013</v>
      </c>
      <c r="H14654" s="6" t="n">
        <f aca="false">Sens!H14650+Sens!H14653</f>
        <v>195.572310158842</v>
      </c>
      <c r="I14654" s="6" t="n">
        <f aca="false">Sens!I14650+Sens!I14653</f>
        <v>217.851932851696</v>
      </c>
      <c r="J14654" s="6" t="n">
        <f aca="false">Sens!J14650+Sens!J14653</f>
        <v>237.939433929803</v>
      </c>
      <c r="K14654" s="6" t="n">
        <f aca="false">Sens!K14650+Sens!K14653</f>
        <v>256.050771431253</v>
      </c>
    </row>
    <row r="14655" customFormat="false" ht="17.15" hidden="false" customHeight="false" outlineLevel="0" collapsed="false">
      <c r="A14655" s="1" t="s">
        <v>919</v>
      </c>
      <c r="B14655" s="0" t="s">
        <v>98</v>
      </c>
      <c r="E14655" s="6" t="n">
        <f aca="false">Sens!E14598</f>
        <v>16.3054059770833</v>
      </c>
      <c r="F14655" s="6" t="n">
        <f aca="false">Sens!F14598</f>
        <v>24.6319326396667</v>
      </c>
      <c r="G14655" s="6" t="n">
        <f aca="false">Sens!G14598</f>
        <v>29.4421900723333</v>
      </c>
      <c r="H14655" s="6" t="n">
        <f aca="false">Sens!H14598</f>
        <v>32.0248894903333</v>
      </c>
      <c r="I14655" s="6" t="n">
        <f aca="false">Sens!I14598</f>
        <v>32.6686637199167</v>
      </c>
      <c r="J14655" s="6" t="n">
        <f aca="false">Sens!J14598</f>
        <v>34.2846684186667</v>
      </c>
      <c r="K14655" s="6" t="n">
        <f aca="false">Sens!K14598</f>
        <v>37.1882215765833</v>
      </c>
    </row>
    <row r="14656" customFormat="false" ht="17.15" hidden="false" customHeight="false" outlineLevel="0" collapsed="false">
      <c r="A14656" s="1" t="s">
        <v>920</v>
      </c>
      <c r="B14656" s="0" t="s">
        <v>98</v>
      </c>
      <c r="E14656" s="6" t="n">
        <f aca="false">Sens!E14680</f>
        <v>22.2285940229167</v>
      </c>
      <c r="F14656" s="6" t="n">
        <f aca="false">Sens!F14680</f>
        <v>37.358881403025</v>
      </c>
      <c r="G14656" s="6" t="n">
        <f aca="false">Sens!G14680</f>
        <v>37.6932826197614</v>
      </c>
      <c r="H14656" s="6" t="n">
        <f aca="false">Sens!H14680</f>
        <v>38.5301057221942</v>
      </c>
      <c r="I14656" s="6" t="n">
        <f aca="false">Sens!I14680</f>
        <v>39.7994351811392</v>
      </c>
      <c r="J14656" s="6" t="n">
        <f aca="false">Sens!J14680</f>
        <v>41.4150829880627</v>
      </c>
      <c r="K14656" s="6" t="n">
        <f aca="false">Sens!K14680</f>
        <v>43.2829449634558</v>
      </c>
    </row>
    <row r="14657" customFormat="false" ht="17.15" hidden="false" customHeight="false" outlineLevel="0" collapsed="false">
      <c r="A14657" s="1" t="s">
        <v>921</v>
      </c>
      <c r="B14657" s="0" t="s">
        <v>98</v>
      </c>
      <c r="D14657" s="6" t="n">
        <f aca="false">Q!L27</f>
        <v>-4.901</v>
      </c>
      <c r="E14657" s="6" t="n">
        <f aca="false">Q!M27</f>
        <v>10.697</v>
      </c>
      <c r="F14657" s="6" t="n">
        <f aca="false">oie_f</f>
        <v>-0.4</v>
      </c>
      <c r="G14657" s="6" t="n">
        <f aca="false">oie_f</f>
        <v>-0.4</v>
      </c>
      <c r="H14657" s="6" t="n">
        <f aca="false">oie_f</f>
        <v>-0.4</v>
      </c>
      <c r="I14657" s="6" t="n">
        <f aca="false">oie_f</f>
        <v>-0.4</v>
      </c>
      <c r="J14657" s="6" t="n">
        <f aca="false">oie_f</f>
        <v>-0.4</v>
      </c>
      <c r="K14657" s="6" t="n">
        <f aca="false">oie_f</f>
        <v>-0.4</v>
      </c>
      <c r="L14657" s="11" t="s">
        <v>922</v>
      </c>
    </row>
    <row r="14658" customFormat="false" ht="15" hidden="false" customHeight="false" outlineLevel="0" collapsed="false">
      <c r="A14658" s="1" t="s">
        <v>923</v>
      </c>
      <c r="B14658" s="0" t="s">
        <v>98</v>
      </c>
      <c r="D14658" s="6" t="n">
        <f aca="false">Sens!D14650+Sens!D14657</f>
        <v>123.627</v>
      </c>
      <c r="E14658" s="6" t="n">
        <f aca="false">Sens!E14650+Sens!E14657</f>
        <v>165.934</v>
      </c>
      <c r="F14658" s="6" t="n">
        <f aca="false">Sens!F14650+Sens!F14657</f>
        <v>159.506550223661</v>
      </c>
      <c r="G14658" s="6" t="n">
        <f aca="false">Sens!G14650+Sens!G14657</f>
        <v>177.579544812013</v>
      </c>
      <c r="H14658" s="6" t="n">
        <f aca="false">Sens!H14650+Sens!H14657</f>
        <v>195.172310158842</v>
      </c>
      <c r="I14658" s="6" t="n">
        <f aca="false">Sens!I14650+Sens!I14657</f>
        <v>217.451932851696</v>
      </c>
      <c r="J14658" s="6" t="n">
        <f aca="false">Sens!J14650+Sens!J14657</f>
        <v>237.539433929803</v>
      </c>
      <c r="K14658" s="6" t="n">
        <f aca="false">Sens!K14650+Sens!K14657</f>
        <v>255.650771431253</v>
      </c>
    </row>
    <row r="14659" customFormat="false" ht="15" hidden="false" customHeight="false" outlineLevel="0" collapsed="false">
      <c r="A14659" s="1" t="s">
        <v>924</v>
      </c>
      <c r="B14659" s="0" t="s">
        <v>98</v>
      </c>
      <c r="D14659" s="6" t="n">
        <f aca="false">Q!L29</f>
        <v>21.795</v>
      </c>
      <c r="E14659" s="6" t="n">
        <f aca="false">Q!M29</f>
        <v>32.185</v>
      </c>
      <c r="F14659" s="6" t="n">
        <f aca="false">Sens!F14658*tax_f</f>
        <v>31.9013100447322</v>
      </c>
      <c r="G14659" s="6" t="n">
        <f aca="false">Sens!G14658*tax_f</f>
        <v>35.5159089624025</v>
      </c>
      <c r="H14659" s="6" t="n">
        <f aca="false">Sens!H14658*tax_f</f>
        <v>39.0344620317684</v>
      </c>
      <c r="I14659" s="6" t="n">
        <f aca="false">Sens!I14658*tax_f</f>
        <v>43.4903865703393</v>
      </c>
      <c r="J14659" s="6" t="n">
        <f aca="false">Sens!J14658*tax_f</f>
        <v>47.5078867859606</v>
      </c>
      <c r="K14659" s="6" t="n">
        <f aca="false">Sens!K14658*tax_f</f>
        <v>51.1301542862507</v>
      </c>
    </row>
    <row r="14660" customFormat="false" ht="15" hidden="false" customHeight="false" outlineLevel="0" collapsed="false">
      <c r="A14660" s="1" t="s">
        <v>925</v>
      </c>
      <c r="B14660" s="0" t="s">
        <v>98</v>
      </c>
      <c r="D14660" s="6" t="n">
        <f aca="false">Sens!D14658-Sens!D14659</f>
        <v>101.832</v>
      </c>
      <c r="E14660" s="6" t="n">
        <f aca="false">Sens!E14658-Sens!E14659</f>
        <v>133.749</v>
      </c>
      <c r="F14660" s="6" t="n">
        <f aca="false">Sens!F14658-Sens!F14659</f>
        <v>127.605240178929</v>
      </c>
      <c r="G14660" s="6" t="n">
        <f aca="false">Sens!G14658-Sens!G14659</f>
        <v>142.06363584961</v>
      </c>
      <c r="H14660" s="6" t="n">
        <f aca="false">Sens!H14658-Sens!H14659</f>
        <v>156.137848127073</v>
      </c>
      <c r="I14660" s="6" t="n">
        <f aca="false">Sens!I14658-Sens!I14659</f>
        <v>173.961546281357</v>
      </c>
      <c r="J14660" s="6" t="n">
        <f aca="false">Sens!J14658-Sens!J14659</f>
        <v>190.031547143842</v>
      </c>
      <c r="K14660" s="6" t="n">
        <f aca="false">Sens!K14658-Sens!K14659</f>
        <v>204.520617145003</v>
      </c>
    </row>
    <row r="14661" customFormat="false" ht="17.15" hidden="false" customHeight="false" outlineLevel="0" collapsed="false">
      <c r="A14661" s="1" t="s">
        <v>926</v>
      </c>
      <c r="B14661" s="1" t="s">
        <v>81</v>
      </c>
      <c r="D14661" s="14" t="n">
        <f aca="false">Q!L31</f>
        <v>7.465</v>
      </c>
      <c r="E14661" s="14" t="n">
        <f aca="false">Q!M31</f>
        <v>7.453</v>
      </c>
      <c r="F14661" s="14" t="n">
        <f aca="false">Sens!F14704</f>
        <v>7.4735</v>
      </c>
      <c r="G14661" s="14" t="n">
        <f aca="false">Sens!G14704</f>
        <v>7.49987171271795</v>
      </c>
      <c r="H14661" s="14" t="n">
        <f aca="false">Sens!H14704</f>
        <v>7.50899501128585</v>
      </c>
      <c r="I14661" s="14" t="n">
        <f aca="false">Sens!I14704</f>
        <v>7.52077584329316</v>
      </c>
      <c r="J14661" s="14" t="n">
        <f aca="false">Sens!J14704</f>
        <v>7.53501735441104</v>
      </c>
      <c r="K14661" s="14" t="n">
        <f aca="false">Sens!K14704</f>
        <v>7.55153727211278</v>
      </c>
    </row>
    <row r="14662" customFormat="false" ht="17.15" hidden="false" customHeight="false" outlineLevel="0" collapsed="false">
      <c r="A14662" s="0" t="s">
        <v>927</v>
      </c>
      <c r="B14662" s="0" t="s">
        <v>75</v>
      </c>
      <c r="D14662" s="8" t="n">
        <f aca="false">Sens!D14660/Sens!D14661</f>
        <v>13.641259209645</v>
      </c>
      <c r="E14662" s="8" t="n">
        <f aca="false">Sens!E14660/Sens!E14661</f>
        <v>17.9456594659869</v>
      </c>
      <c r="F14662" s="8" t="n">
        <f aca="false">Sens!F14660/Sens!F14661</f>
        <v>17.0743614342582</v>
      </c>
      <c r="G14662" s="8" t="n">
        <f aca="false">Sens!G14660/Sens!G14661</f>
        <v>18.9421421180718</v>
      </c>
      <c r="H14662" s="8" t="n">
        <f aca="false">Sens!H14660/Sens!H14661</f>
        <v>20.7934414515394</v>
      </c>
      <c r="I14662" s="8" t="n">
        <f aca="false">Sens!I14660/Sens!I14661</f>
        <v>23.1307979264522</v>
      </c>
      <c r="J14662" s="8" t="n">
        <f aca="false">Sens!J14660/Sens!J14661</f>
        <v>25.2197889143012</v>
      </c>
      <c r="K14662" s="8" t="n">
        <f aca="false">Sens!K14660/Sens!K14661</f>
        <v>27.0833089707815</v>
      </c>
      <c r="L14662" s="1" t="s">
        <v>928</v>
      </c>
    </row>
    <row r="14663" customFormat="false" ht="17.15" hidden="false" customHeight="false" outlineLevel="0" collapsed="false">
      <c r="A14663" s="1" t="s">
        <v>929</v>
      </c>
      <c r="B14663" s="0" t="s">
        <v>98</v>
      </c>
      <c r="D14663" s="6" t="n">
        <f aca="false">Sens!D14660</f>
        <v>101.832</v>
      </c>
      <c r="E14663" s="6" t="n">
        <f aca="false">Sens!E14660</f>
        <v>133.749</v>
      </c>
      <c r="F14663" s="6" t="n">
        <f aca="false">Sens!F14660+Sens!F14653*(1-tax_f)</f>
        <v>127.605240178929</v>
      </c>
      <c r="G14663" s="6" t="n">
        <f aca="false">Sens!G14660+Sens!G14653*(1-tax_f)</f>
        <v>142.06363584961</v>
      </c>
      <c r="H14663" s="6" t="n">
        <f aca="false">Sens!H14660+Sens!H14653*(1-tax_f)</f>
        <v>156.137848127073</v>
      </c>
      <c r="I14663" s="6" t="n">
        <f aca="false">Sens!I14660+Sens!I14653*(1-tax_f)</f>
        <v>173.961546281357</v>
      </c>
      <c r="J14663" s="6" t="n">
        <f aca="false">Sens!J14660+Sens!J14653*(1-tax_f)</f>
        <v>190.031547143842</v>
      </c>
      <c r="K14663" s="6" t="n">
        <f aca="false">Sens!K14660+Sens!K14653*(1-tax_f)</f>
        <v>204.520617145003</v>
      </c>
    </row>
    <row r="14664" customFormat="false" ht="17.15" hidden="false" customHeight="false" outlineLevel="0" collapsed="false">
      <c r="A14664" s="0" t="s">
        <v>930</v>
      </c>
      <c r="B14664" s="0" t="s">
        <v>75</v>
      </c>
      <c r="D14664" s="8" t="n">
        <f aca="false">Sens!D14663/Sens!D14661</f>
        <v>13.641259209645</v>
      </c>
      <c r="E14664" s="8" t="n">
        <f aca="false">Sens!E14663/Sens!E14661</f>
        <v>17.9456594659869</v>
      </c>
      <c r="F14664" s="8" t="n">
        <f aca="false">Sens!F14663/Sens!F14661</f>
        <v>17.0743614342582</v>
      </c>
      <c r="G14664" s="8" t="n">
        <f aca="false">Sens!G14663/Sens!G14661</f>
        <v>18.9421421180718</v>
      </c>
      <c r="H14664" s="8" t="n">
        <f aca="false">Sens!H14663/Sens!H14661</f>
        <v>20.7934414515394</v>
      </c>
      <c r="I14664" s="8" t="n">
        <f aca="false">Sens!I14663/Sens!I14661</f>
        <v>23.1307979264522</v>
      </c>
      <c r="J14664" s="8" t="n">
        <f aca="false">Sens!J14663/Sens!J14661</f>
        <v>25.2197889143012</v>
      </c>
      <c r="K14664" s="8" t="n">
        <f aca="false">Sens!K14663/Sens!K14661</f>
        <v>27.0833089707815</v>
      </c>
      <c r="L14664" s="1" t="s">
        <v>931</v>
      </c>
    </row>
    <row r="14665" customFormat="false" ht="17.15" hidden="false" customHeight="false" outlineLevel="0" collapsed="false">
      <c r="A14665" s="0" t="s">
        <v>932</v>
      </c>
      <c r="B14665" s="0" t="s">
        <v>129</v>
      </c>
      <c r="E14665" s="7" t="n">
        <f aca="false">Sens!E14664/Sens!D14664-1</f>
        <v>0.315542736208578</v>
      </c>
      <c r="F14665" s="7" t="n">
        <f aca="false">Sens!F14664/Sens!E14664-1</f>
        <v>-0.0485520208036963</v>
      </c>
      <c r="G14665" s="7" t="n">
        <f aca="false">Sens!G14664/Sens!F14664-1</f>
        <v>0.109390953858225</v>
      </c>
      <c r="H14665" s="7" t="n">
        <f aca="false">Sens!H14664/Sens!G14664-1</f>
        <v>0.097734423167553</v>
      </c>
      <c r="I14665" s="7" t="n">
        <f aca="false">Sens!I14664/Sens!H14664-1</f>
        <v>0.112408351467947</v>
      </c>
      <c r="J14665" s="7" t="n">
        <f aca="false">Sens!J14664/Sens!I14664-1</f>
        <v>0.0903121022669098</v>
      </c>
      <c r="K14665" s="7" t="n">
        <f aca="false">Sens!K14664/Sens!J14664-1</f>
        <v>0.0738911837372105</v>
      </c>
    </row>
    <row r="14666" customFormat="false" ht="17.15" hidden="false" customHeight="false" outlineLevel="0" collapsed="false">
      <c r="A14666" s="0" t="s">
        <v>856</v>
      </c>
      <c r="B14666" s="0" t="s">
        <v>98</v>
      </c>
      <c r="E14666" s="6" t="n">
        <f aca="false">Sens!E14607</f>
        <v>5.25</v>
      </c>
      <c r="F14666" s="6" t="n">
        <f aca="false">Sens!F14607</f>
        <v>10.5</v>
      </c>
      <c r="G14666" s="6" t="n">
        <f aca="false">Sens!G14607</f>
        <v>13.5</v>
      </c>
      <c r="H14666" s="6" t="n">
        <f aca="false">Sens!H14607</f>
        <v>16.5</v>
      </c>
      <c r="I14666" s="6" t="n">
        <f aca="false">Sens!I14607</f>
        <v>18.75</v>
      </c>
      <c r="J14666" s="6" t="n">
        <f aca="false">Sens!J14607</f>
        <v>20.25</v>
      </c>
      <c r="K14666" s="6" t="n">
        <f aca="false">Sens!K14607</f>
        <v>21.75</v>
      </c>
    </row>
    <row r="14667" customFormat="false" ht="17.15" hidden="false" customHeight="false" outlineLevel="0" collapsed="false">
      <c r="A14667" s="1" t="s">
        <v>857</v>
      </c>
      <c r="B14667" s="0" t="s">
        <v>98</v>
      </c>
      <c r="F14667" s="6" t="n">
        <f aca="false">MAX(0,((Sens!E14570+Sens!F14570)/2-(shadow_base*(Sens!$D$14570+Sens!$E$14570)/2+(1-shadow_base)*Sens!$E$14570))*Sens!F14578/1000-(Sens!F14666-Sens!$E$14666)*Sens!F14646)</f>
        <v>3.37245816558284</v>
      </c>
      <c r="G14667" s="6" t="n">
        <f aca="false">MAX(0,((Sens!F14570+Sens!G14570)/2-(shadow_base*(Sens!$D$14570+Sens!$E$14570)/2+(1-shadow_base)*Sens!$E$14570))*Sens!G14578/1000-(Sens!G14666-Sens!$E$14666)*Sens!G14646)</f>
        <v>4.94794499348405</v>
      </c>
      <c r="H14667" s="6" t="n">
        <f aca="false">MAX(0,((Sens!G14570+Sens!H14570)/2-(shadow_base*(Sens!$D$14570+Sens!$E$14570)/2+(1-shadow_base)*Sens!$E$14570))*Sens!H14578/1000-(Sens!H14666-Sens!$E$14666)*Sens!H14646)</f>
        <v>4.88554929991378</v>
      </c>
      <c r="I14667" s="6" t="n">
        <f aca="false">MAX(0,((Sens!H14570+Sens!I14570)/2-(shadow_base*(Sens!$D$14570+Sens!$E$14570)/2+(1-shadow_base)*Sens!$E$14570))*Sens!I14578/1000-(Sens!I14666-Sens!$E$14666)*Sens!I14646)</f>
        <v>3.89455031683526</v>
      </c>
      <c r="J14667" s="6" t="n">
        <f aca="false">MAX(0,((Sens!I14570+Sens!J14570)/2-(shadow_base*(Sens!$D$14570+Sens!$E$14570)/2+(1-shadow_base)*Sens!$E$14570))*Sens!J14578/1000-(Sens!J14666-Sens!$E$14666)*Sens!J14646)</f>
        <v>3.48159335528161</v>
      </c>
      <c r="K14667" s="6" t="n">
        <f aca="false">MAX(0,((Sens!J14570+Sens!K14570)/2-(shadow_base*(Sens!$D$14570+Sens!$E$14570)/2+(1-shadow_base)*Sens!$E$14570))*Sens!K14578/1000-(Sens!K14666-Sens!$E$14666)*Sens!K14646)</f>
        <v>3.50612249815711</v>
      </c>
      <c r="L14667" s="1" t="s">
        <v>858</v>
      </c>
    </row>
    <row r="14668" customFormat="false" ht="17.15" hidden="false" customHeight="false" outlineLevel="0" collapsed="false">
      <c r="A14668" s="1" t="s">
        <v>859</v>
      </c>
      <c r="B14668" s="0" t="s">
        <v>98</v>
      </c>
      <c r="F14668" s="6" t="n">
        <f aca="false">IF(1=2,1,0)*Sens!F14667</f>
        <v>0</v>
      </c>
      <c r="G14668" s="6" t="n">
        <f aca="false">IF(1=2,1,0)*Sens!G14667</f>
        <v>0</v>
      </c>
      <c r="H14668" s="6" t="n">
        <f aca="false">IF(1=2,1,0)*Sens!H14667</f>
        <v>0</v>
      </c>
      <c r="I14668" s="6" t="n">
        <f aca="false">IF(1=2,1,0)*Sens!I14667</f>
        <v>0</v>
      </c>
      <c r="J14668" s="6" t="n">
        <f aca="false">IF(1=2,1,0)*Sens!J14667</f>
        <v>0</v>
      </c>
      <c r="K14668" s="6" t="n">
        <f aca="false">IF(1=2,1,0)*Sens!K14667</f>
        <v>0</v>
      </c>
    </row>
    <row r="14669" customFormat="false" ht="17.15" hidden="false" customHeight="false" outlineLevel="0" collapsed="false">
      <c r="A14669" s="0" t="s">
        <v>860</v>
      </c>
      <c r="B14669" s="0" t="s">
        <v>98</v>
      </c>
      <c r="F14669" s="6" t="n">
        <f aca="false">Sens!F14587+Sens!F14666*Sens!F14646+Sens!F14668-Sens!F14588-Sens!F14598</f>
        <v>1.86063742494757</v>
      </c>
      <c r="G14669" s="6" t="n">
        <f aca="false">Sens!G14587+Sens!G14666*Sens!G14646+Sens!G14668-Sens!G14588-Sens!G14598</f>
        <v>-1.11643090079408</v>
      </c>
      <c r="H14669" s="6" t="n">
        <f aca="false">Sens!H14587+Sens!H14666*Sens!H14646+Sens!H14668-Sens!H14588-Sens!H14598</f>
        <v>-4.75629953864863</v>
      </c>
      <c r="I14669" s="6" t="n">
        <f aca="false">Sens!I14587+Sens!I14666*Sens!I14646+Sens!I14668-Sens!I14588-Sens!I14598</f>
        <v>-3.21404939282624</v>
      </c>
      <c r="J14669" s="6" t="n">
        <f aca="false">Sens!J14587+Sens!J14666*Sens!J14646+Sens!J14668-Sens!J14588-Sens!J14598</f>
        <v>-2.61236490487541</v>
      </c>
      <c r="K14669" s="6" t="n">
        <f aca="false">Sens!K14587+Sens!K14666*Sens!K14646+Sens!K14668-Sens!K14588-Sens!K14598</f>
        <v>-1.95537102868597</v>
      </c>
    </row>
    <row r="14670" customFormat="false" ht="17.15" hidden="false" customHeight="false" outlineLevel="0" collapsed="false">
      <c r="A14670" s="0" t="s">
        <v>861</v>
      </c>
      <c r="B14670" s="0" t="s">
        <v>98</v>
      </c>
      <c r="E14670" s="6" t="n">
        <f aca="false">Sens!E14569*(cxit_open+self_build*tk_cxfac)/1000*ai_net_open</f>
        <v>126.6980382</v>
      </c>
      <c r="F14670" s="6" t="n">
        <f aca="false">Sens!E14670+Sens!F14595-Sens!F14598</f>
        <v>132.734637736333</v>
      </c>
      <c r="G14670" s="6" t="n">
        <f aca="false">Sens!F14670+Sens!G14595-Sens!G14598</f>
        <v>138.59517468</v>
      </c>
      <c r="H14670" s="6" t="n">
        <f aca="false">Sens!G14670+Sens!H14595-Sens!H14598</f>
        <v>106.570285189667</v>
      </c>
      <c r="I14670" s="6" t="n">
        <f aca="false">Sens!H14670+Sens!I14595-Sens!I14598</f>
        <v>104.160296816417</v>
      </c>
      <c r="J14670" s="6" t="n">
        <f aca="false">Sens!I14670+Sens!J14595-Sens!J14598</f>
        <v>115.572403411083</v>
      </c>
      <c r="K14670" s="6" t="n">
        <f aca="false">Sens!J14670+Sens!K14595-Sens!K14598</f>
        <v>169.1602078745</v>
      </c>
      <c r="L14670" s="1" t="s">
        <v>862</v>
      </c>
    </row>
    <row r="14671" customFormat="false" ht="17.15" hidden="false" customHeight="false" outlineLevel="0" collapsed="false">
      <c r="A14671" s="0" t="s">
        <v>863</v>
      </c>
      <c r="B14671" s="0" t="s">
        <v>129</v>
      </c>
      <c r="F14671" s="7" t="n">
        <f aca="false">Sens!F14669*(1-tax_f)/((Sens!E14670+Sens!F14670)/2)</f>
        <v>0.0114751153422427</v>
      </c>
      <c r="G14671" s="7" t="n">
        <f aca="false">Sens!G14669*(1-tax_f)/((Sens!F14670+Sens!G14670)/2)</f>
        <v>-0.00658346174849969</v>
      </c>
      <c r="H14671" s="7" t="n">
        <f aca="false">Sens!H14669*(1-tax_f)/((Sens!G14670+Sens!H14670)/2)</f>
        <v>-0.0310405848600509</v>
      </c>
      <c r="I14671" s="7" t="n">
        <f aca="false">Sens!I14669*(1-tax_f)/((Sens!H14670+Sens!I14670)/2)</f>
        <v>-0.0244030979251675</v>
      </c>
      <c r="J14671" s="7" t="n">
        <f aca="false">Sens!J14669*(1-tax_f)/((Sens!I14670+Sens!J14670)/2)</f>
        <v>-0.0190221293575017</v>
      </c>
      <c r="K14671" s="7" t="n">
        <f aca="false">Sens!K14669*(1-tax_f)/((Sens!J14670+Sens!K14670)/2)</f>
        <v>-0.0109878304131437</v>
      </c>
    </row>
    <row r="14672" customFormat="false" ht="17.15" hidden="false" customHeight="false" outlineLevel="0" collapsed="false">
      <c r="A14672" s="1" t="s">
        <v>864</v>
      </c>
      <c r="B14672" s="0" t="s">
        <v>129</v>
      </c>
      <c r="F14672" s="7" t="n">
        <f aca="false">(Sens!F14669-Sens!F14668)*(1-tax_f)/((Sens!E14670+Sens!F14670)/2)</f>
        <v>0.0114751153422427</v>
      </c>
      <c r="G14672" s="7" t="n">
        <f aca="false">(Sens!G14669-Sens!G14668)*(1-tax_f)/((Sens!F14670+Sens!G14670)/2)</f>
        <v>-0.00658346174849969</v>
      </c>
      <c r="H14672" s="7" t="n">
        <f aca="false">(Sens!H14669-Sens!H14668)*(1-tax_f)/((Sens!G14670+Sens!H14670)/2)</f>
        <v>-0.0310405848600509</v>
      </c>
      <c r="I14672" s="7" t="n">
        <f aca="false">(Sens!I14669-Sens!I14668)*(1-tax_f)/((Sens!H14670+Sens!I14670)/2)</f>
        <v>-0.0244030979251675</v>
      </c>
      <c r="J14672" s="7" t="n">
        <f aca="false">(Sens!J14669-Sens!J14668)*(1-tax_f)/((Sens!I14670+Sens!J14670)/2)</f>
        <v>-0.0190221293575017</v>
      </c>
      <c r="K14672" s="7" t="n">
        <f aca="false">(Sens!K14669-Sens!K14668)*(1-tax_f)/((Sens!J14670+Sens!K14670)/2)</f>
        <v>-0.0109878304131437</v>
      </c>
    </row>
    <row r="14673" customFormat="false" ht="17.15" hidden="false" customHeight="false" outlineLevel="0" collapsed="false">
      <c r="A14673" s="1" t="s">
        <v>865</v>
      </c>
      <c r="B14673" s="0" t="s">
        <v>129</v>
      </c>
      <c r="F14673" s="7" t="n">
        <f aca="false">(Sens!F14669-Sens!F14668+Sens!F14667)*(1-tax_f)/((Sens!E14670+Sens!F14670)/2)</f>
        <v>0.032274087736363</v>
      </c>
      <c r="G14673" s="7" t="n">
        <f aca="false">(Sens!G14669-Sens!G14668+Sens!G14667)*(1-tax_f)/((Sens!F14670+Sens!G14670)/2)</f>
        <v>0.0225939880830247</v>
      </c>
      <c r="H14673" s="7" t="n">
        <f aca="false">(Sens!H14669-Sens!H14668+Sens!H14667)*(1-tax_f)/((Sens!G14670+Sens!H14670)/2)</f>
        <v>0.000843510411842612</v>
      </c>
      <c r="I14673" s="7" t="n">
        <f aca="false">(Sens!I14669-Sens!I14668+Sens!I14667)*(1-tax_f)/((Sens!H14670+Sens!I14670)/2)</f>
        <v>0.00516679386565259</v>
      </c>
      <c r="J14673" s="7" t="n">
        <f aca="false">(Sens!J14669-Sens!J14668+Sens!J14667)*(1-tax_f)/((Sens!I14670+Sens!J14670)/2)</f>
        <v>0.00632935161316454</v>
      </c>
      <c r="K14673" s="7" t="n">
        <f aca="false">(Sens!K14669-Sens!K14668+Sens!K14667)*(1-tax_f)/((Sens!J14670+Sens!K14670)/2)</f>
        <v>0.00871414882879435</v>
      </c>
    </row>
    <row r="14674" customFormat="false" ht="17.15" hidden="false" customHeight="false" outlineLevel="0" collapsed="false">
      <c r="A14674" s="1" t="s">
        <v>866</v>
      </c>
      <c r="B14674" s="0" t="s">
        <v>129</v>
      </c>
      <c r="F14674" s="7" t="n">
        <f aca="false">Sens!F14599*(1-tax_f)/(Sens!F14586*(Sens!E14670+Sens!F14670)/2)</f>
        <v>0.108900794748217</v>
      </c>
      <c r="G14674" s="7" t="n">
        <f aca="false">Sens!G14599*(1-tax_f)/(Sens!G14586*(Sens!F14670+Sens!G14670)/2)</f>
        <v>0.0849438776911913</v>
      </c>
      <c r="H14674" s="7" t="n">
        <f aca="false">Sens!H14599*(1-tax_f)/(Sens!H14586*(Sens!G14670+Sens!H14670)/2)</f>
        <v>0.0514648261346161</v>
      </c>
      <c r="I14674" s="7" t="n">
        <f aca="false">Sens!I14599*(1-tax_f)/(Sens!I14586*(Sens!H14670+Sens!I14670)/2)</f>
        <v>0.0670636257404908</v>
      </c>
      <c r="J14674" s="7" t="n">
        <f aca="false">Sens!J14599*(1-tax_f)/(Sens!J14586*(Sens!I14670+Sens!J14670)/2)</f>
        <v>0.0700406245540914</v>
      </c>
      <c r="K14674" s="7" t="n">
        <f aca="false">Sens!K14599*(1-tax_f)/(Sens!K14586*(Sens!J14670+Sens!K14670)/2)</f>
        <v>0.0645501197675195</v>
      </c>
    </row>
    <row r="14675" customFormat="false" ht="17.15" hidden="false" customHeight="false" outlineLevel="0" collapsed="false">
      <c r="A14675" s="0" t="s">
        <v>867</v>
      </c>
      <c r="B14675" s="0" t="s">
        <v>209</v>
      </c>
      <c r="F14675" s="7" t="n">
        <f aca="false">Sens!F14671-wacc</f>
        <v>-0.091459304750633</v>
      </c>
      <c r="G14675" s="7" t="n">
        <f aca="false">Sens!G14671-wacc</f>
        <v>-0.109517881841375</v>
      </c>
      <c r="H14675" s="7" t="n">
        <f aca="false">Sens!H14671-wacc</f>
        <v>-0.133975004952927</v>
      </c>
      <c r="I14675" s="7" t="n">
        <f aca="false">Sens!I14671-wacc</f>
        <v>-0.127337518018043</v>
      </c>
      <c r="J14675" s="7" t="n">
        <f aca="false">Sens!J14671-wacc</f>
        <v>-0.121956549450377</v>
      </c>
      <c r="K14675" s="7" t="n">
        <f aca="false">Sens!K14671-wacc</f>
        <v>-0.113922250506019</v>
      </c>
    </row>
    <row r="14676" customFormat="false" ht="17.15" hidden="false" customHeight="false" outlineLevel="0" collapsed="false">
      <c r="A14676" s="0" t="s">
        <v>868</v>
      </c>
      <c r="B14676" s="0" t="s">
        <v>98</v>
      </c>
      <c r="F14676" s="6" t="n">
        <f aca="false">Sens!F14669*(1-tax_f)-wacc*(Sens!E14670+Sens!F14670)/2</f>
        <v>-11.8637660853667</v>
      </c>
      <c r="G14676" s="6" t="n">
        <f aca="false">Sens!G14669*(1-tax_f)-wacc*(Sens!F14670+Sens!G14670)/2</f>
        <v>-14.8577331681273</v>
      </c>
      <c r="H14676" s="6" t="n">
        <f aca="false">Sens!H14669*(1-tax_f)-wacc*(Sens!G14670+Sens!H14670)/2</f>
        <v>-16.4230218501626</v>
      </c>
      <c r="I14676" s="6" t="n">
        <f aca="false">Sens!I14669*(1-tax_f)-wacc*(Sens!H14670+Sens!I14670)/2</f>
        <v>-13.4169546415762</v>
      </c>
      <c r="J14676" s="6" t="n">
        <f aca="false">Sens!J14669*(1-tax_f)-wacc*(Sens!I14670+Sens!J14670)/2</f>
        <v>-13.39892096058</v>
      </c>
      <c r="K14676" s="6" t="n">
        <f aca="false">Sens!K14669*(1-tax_f)-wacc*(Sens!J14670+Sens!K14670)/2</f>
        <v>-16.2186899350546</v>
      </c>
    </row>
    <row r="14677" customFormat="false" ht="17.15" hidden="false" customHeight="false" outlineLevel="0" collapsed="false">
      <c r="A14677" s="3" t="s">
        <v>1634</v>
      </c>
    </row>
    <row r="14678" customFormat="false" ht="15" hidden="false" customHeight="false" outlineLevel="0" collapsed="false">
      <c r="A14678" s="4" t="s">
        <v>43</v>
      </c>
      <c r="B14678" s="4" t="s">
        <v>65</v>
      </c>
      <c r="C14678" s="20" t="s">
        <v>799</v>
      </c>
      <c r="D14678" s="20" t="s">
        <v>800</v>
      </c>
      <c r="E14678" s="20" t="s">
        <v>801</v>
      </c>
      <c r="F14678" s="20" t="s">
        <v>802</v>
      </c>
      <c r="G14678" s="20" t="s">
        <v>803</v>
      </c>
      <c r="H14678" s="20" t="s">
        <v>804</v>
      </c>
      <c r="I14678" s="20" t="s">
        <v>805</v>
      </c>
      <c r="J14678" s="20" t="s">
        <v>806</v>
      </c>
      <c r="K14678" s="20" t="s">
        <v>807</v>
      </c>
      <c r="L14678" s="4" t="s">
        <v>47</v>
      </c>
    </row>
    <row r="14679" customFormat="false" ht="15" hidden="false" customHeight="false" outlineLevel="0" collapsed="false">
      <c r="A14679" s="1" t="s">
        <v>925</v>
      </c>
      <c r="B14679" s="0" t="s">
        <v>98</v>
      </c>
      <c r="F14679" s="6" t="n">
        <f aca="false">Sens!F14660</f>
        <v>127.605240178929</v>
      </c>
      <c r="G14679" s="6" t="n">
        <f aca="false">Sens!G14660</f>
        <v>142.06363584961</v>
      </c>
      <c r="H14679" s="6" t="n">
        <f aca="false">Sens!H14660</f>
        <v>156.137848127073</v>
      </c>
      <c r="I14679" s="6" t="n">
        <f aca="false">Sens!I14660</f>
        <v>173.961546281357</v>
      </c>
      <c r="J14679" s="6" t="n">
        <f aca="false">Sens!J14660</f>
        <v>190.031547143842</v>
      </c>
      <c r="K14679" s="6" t="n">
        <f aca="false">Sens!K14660</f>
        <v>204.520617145003</v>
      </c>
    </row>
    <row r="14680" customFormat="false" ht="17.15" hidden="false" customHeight="false" outlineLevel="0" collapsed="false">
      <c r="A14680" s="1" t="s">
        <v>947</v>
      </c>
      <c r="B14680" s="0" t="s">
        <v>98</v>
      </c>
      <c r="E14680" s="6" t="n">
        <f aca="false">Q!M38-Sens!E14598</f>
        <v>22.2285940229167</v>
      </c>
      <c r="F14680" s="6" t="n">
        <f aca="false">Sens!E14680*(1-1/life_nonai)+(Sens!F14687+Sens!F14688)/life_nonai</f>
        <v>37.358881403025</v>
      </c>
      <c r="G14680" s="6" t="n">
        <f aca="false">Sens!F14680*(1-1/life_nonai)+(Sens!G14687)/life_nonai</f>
        <v>37.6932826197614</v>
      </c>
      <c r="H14680" s="6" t="n">
        <f aca="false">Sens!G14680*(1-1/life_nonai)+(Sens!H14687)/life_nonai</f>
        <v>38.5301057221942</v>
      </c>
      <c r="I14680" s="6" t="n">
        <f aca="false">Sens!H14680*(1-1/life_nonai)+(Sens!I14687)/life_nonai</f>
        <v>39.7994351811392</v>
      </c>
      <c r="J14680" s="6" t="n">
        <f aca="false">Sens!I14680*(1-1/life_nonai)+(Sens!J14687)/life_nonai</f>
        <v>41.4150829880627</v>
      </c>
      <c r="K14680" s="6" t="n">
        <f aca="false">Sens!J14680*(1-1/life_nonai)+(Sens!K14687)/life_nonai</f>
        <v>43.2829449634558</v>
      </c>
      <c r="L14680" s="11" t="s">
        <v>948</v>
      </c>
    </row>
    <row r="14681" customFormat="false" ht="17.15" hidden="false" customHeight="false" outlineLevel="0" collapsed="false">
      <c r="A14681" s="1" t="s">
        <v>949</v>
      </c>
      <c r="B14681" s="0" t="s">
        <v>98</v>
      </c>
      <c r="F14681" s="6" t="n">
        <f aca="false">Sens!$F$14688/life_nonai*(1-1/life_nonai)^(Sens!F14564-2027)</f>
        <v>13.8102120594438</v>
      </c>
      <c r="G14681" s="6" t="n">
        <f aca="false">Sens!$F$14688/life_nonai*(1-1/life_nonai)^(Sens!G14564-2027)</f>
        <v>12.4291908534994</v>
      </c>
      <c r="H14681" s="6" t="n">
        <f aca="false">Sens!$F$14688/life_nonai*(1-1/life_nonai)^(Sens!H14564-2027)</f>
        <v>11.1862717681494</v>
      </c>
      <c r="I14681" s="6" t="n">
        <f aca="false">Sens!$F$14688/life_nonai*(1-1/life_nonai)^(Sens!I14564-2027)</f>
        <v>10.0676445913345</v>
      </c>
      <c r="J14681" s="6" t="n">
        <f aca="false">Sens!$F$14688/life_nonai*(1-1/life_nonai)^(Sens!J14564-2027)</f>
        <v>9.06088013220105</v>
      </c>
      <c r="K14681" s="6" t="n">
        <f aca="false">Sens!$F$14688/life_nonai*(1-1/life_nonai)^(Sens!K14564-2027)</f>
        <v>8.15479211898094</v>
      </c>
      <c r="L14681" s="1" t="s">
        <v>950</v>
      </c>
    </row>
    <row r="14682" customFormat="false" ht="17.15" hidden="false" customHeight="false" outlineLevel="0" collapsed="false">
      <c r="A14682" s="1" t="s">
        <v>951</v>
      </c>
      <c r="B14682" s="0" t="s">
        <v>98</v>
      </c>
      <c r="E14682" s="6" t="n">
        <f aca="false">Sens!E14598+Sens!E14680</f>
        <v>38.534</v>
      </c>
      <c r="F14682" s="6" t="n">
        <f aca="false">Sens!F14598+Sens!F14680</f>
        <v>61.9908140426917</v>
      </c>
      <c r="G14682" s="6" t="n">
        <f aca="false">Sens!G14598+Sens!G14680</f>
        <v>67.1354726920948</v>
      </c>
      <c r="H14682" s="6" t="n">
        <f aca="false">Sens!H14598+Sens!H14680</f>
        <v>70.5549952125276</v>
      </c>
      <c r="I14682" s="6" t="n">
        <f aca="false">Sens!I14598+Sens!I14680</f>
        <v>72.4680989010559</v>
      </c>
      <c r="J14682" s="6" t="n">
        <f aca="false">Sens!J14598+Sens!J14680</f>
        <v>75.6997514067293</v>
      </c>
      <c r="K14682" s="6" t="n">
        <f aca="false">Sens!K14598+Sens!K14680</f>
        <v>80.4711665400391</v>
      </c>
    </row>
    <row r="14683" customFormat="false" ht="17.15" hidden="false" customHeight="false" outlineLevel="0" collapsed="false">
      <c r="A14683" s="1" t="s">
        <v>952</v>
      </c>
      <c r="B14683" s="0" t="s">
        <v>98</v>
      </c>
      <c r="F14683" s="6" t="n">
        <f aca="false">Sens!F14625*sbc_r</f>
        <v>14.255345989943</v>
      </c>
      <c r="G14683" s="6" t="n">
        <f aca="false">Sens!G14625*sbc_r</f>
        <v>15.8057923272494</v>
      </c>
      <c r="H14683" s="6" t="n">
        <f aca="false">Sens!H14625*sbc_r</f>
        <v>17.2054386095582</v>
      </c>
      <c r="I14683" s="6" t="n">
        <f aca="false">Sens!I14625*sbc_r</f>
        <v>18.6639122039917</v>
      </c>
      <c r="J14683" s="6" t="n">
        <f aca="false">Sens!J14625*sbc_r</f>
        <v>20.0454667099776</v>
      </c>
      <c r="K14683" s="6" t="n">
        <f aca="false">Sens!K14625*sbc_r</f>
        <v>21.3633281661478</v>
      </c>
    </row>
    <row r="14684" customFormat="false" ht="17.15" hidden="false" customHeight="false" outlineLevel="0" collapsed="false">
      <c r="A14684" s="1" t="s">
        <v>953</v>
      </c>
      <c r="B14684" s="0" t="s">
        <v>98</v>
      </c>
      <c r="F14684" s="6" t="n">
        <f aca="false">wc27</f>
        <v>-4.895</v>
      </c>
      <c r="G14684" s="6" t="n">
        <f aca="false">wc_f</f>
        <v>0</v>
      </c>
      <c r="H14684" s="6" t="n">
        <f aca="false">wc_f</f>
        <v>0</v>
      </c>
      <c r="I14684" s="6" t="n">
        <f aca="false">wc_f</f>
        <v>0</v>
      </c>
      <c r="J14684" s="6" t="n">
        <f aca="false">wc_f</f>
        <v>0</v>
      </c>
      <c r="K14684" s="6" t="n">
        <f aca="false">wc_f</f>
        <v>0</v>
      </c>
      <c r="L14684" s="11" t="s">
        <v>954</v>
      </c>
    </row>
    <row r="14685" customFormat="false" ht="15" hidden="false" customHeight="false" outlineLevel="0" collapsed="false">
      <c r="A14685" s="1" t="s">
        <v>767</v>
      </c>
      <c r="B14685" s="0" t="s">
        <v>98</v>
      </c>
      <c r="E14685" s="6" t="n">
        <f aca="false">Q!M35</f>
        <v>182.935</v>
      </c>
      <c r="F14685" s="6" t="n">
        <f aca="false">Sens!F14679+Sens!F14682+Sens!F14683+Sens!F14684</f>
        <v>198.956400211563</v>
      </c>
      <c r="G14685" s="6" t="n">
        <f aca="false">Sens!G14679+Sens!G14682+Sens!G14683+Sens!G14684</f>
        <v>225.004900868954</v>
      </c>
      <c r="H14685" s="6" t="n">
        <f aca="false">Sens!H14679+Sens!H14682+Sens!H14683+Sens!H14684</f>
        <v>243.898281949159</v>
      </c>
      <c r="I14685" s="6" t="n">
        <f aca="false">Sens!I14679+Sens!I14682+Sens!I14683+Sens!I14684</f>
        <v>265.093557386405</v>
      </c>
      <c r="J14685" s="6" t="n">
        <f aca="false">Sens!J14679+Sens!J14682+Sens!J14683+Sens!J14684</f>
        <v>285.776765260549</v>
      </c>
      <c r="K14685" s="6" t="n">
        <f aca="false">Sens!K14679+Sens!K14682+Sens!K14683+Sens!K14684</f>
        <v>306.35511185119</v>
      </c>
    </row>
    <row r="14686" customFormat="false" ht="17.15" hidden="false" customHeight="false" outlineLevel="0" collapsed="false">
      <c r="A14686" s="0" t="s">
        <v>955</v>
      </c>
      <c r="B14686" s="0" t="s">
        <v>98</v>
      </c>
      <c r="F14686" s="6" t="n">
        <f aca="false">Sens!F14595</f>
        <v>30.668532176</v>
      </c>
      <c r="G14686" s="6" t="n">
        <f aca="false">Sens!G14595</f>
        <v>35.302727016</v>
      </c>
      <c r="H14686" s="6" t="n">
        <f aca="false">Sens!H14595</f>
        <v>0</v>
      </c>
      <c r="I14686" s="6" t="n">
        <f aca="false">Sens!I14595</f>
        <v>30.2586753466667</v>
      </c>
      <c r="J14686" s="6" t="n">
        <f aca="false">Sens!J14595</f>
        <v>45.6967750133333</v>
      </c>
      <c r="K14686" s="6" t="n">
        <f aca="false">Sens!K14595</f>
        <v>90.77602604</v>
      </c>
    </row>
    <row r="14687" customFormat="false" ht="17.15" hidden="false" customHeight="false" outlineLevel="0" collapsed="false">
      <c r="A14687" s="1" t="s">
        <v>956</v>
      </c>
      <c r="B14687" s="0" t="s">
        <v>98</v>
      </c>
      <c r="E14687" s="6" t="n">
        <f aca="false">Sens!E14603*cx_azo+Sens!E14610*cx_m365+Sens!E14611*cx_lic+(Sens!E14613+Sens!E14615)*cx_ind+Sens!E14618*cx_srch+(Sens!E14620+Sens!E14622)*cx_dev</f>
        <v>30.1846587067718</v>
      </c>
      <c r="F14687" s="6" t="n">
        <f aca="false">Sens!F14603*cx_azo+Sens!F14610*cx_m365+Sens!F14611*cx_lic+(Sens!F14613+Sens!F14615)*cx_ind+Sens!F14618*cx_srch+(Sens!F14620+Sens!F14622)*cx_dev</f>
        <v>35.4293472295625</v>
      </c>
      <c r="G14687" s="6" t="n">
        <f aca="false">Sens!G14603*cx_azo+Sens!G14610*cx_m365+Sens!G14611*cx_lic+(Sens!G14613+Sens!G14615)*cx_ind+Sens!G14618*cx_srch+(Sens!G14620+Sens!G14622)*cx_dev</f>
        <v>40.7028935703892</v>
      </c>
      <c r="H14687" s="6" t="n">
        <f aca="false">Sens!H14603*cx_azo+Sens!H14610*cx_m365+Sens!H14611*cx_lic+(Sens!H14613+Sens!H14615)*cx_ind+Sens!H14618*cx_srch+(Sens!H14620+Sens!H14622)*cx_dev</f>
        <v>46.0615136440897</v>
      </c>
      <c r="I14687" s="6" t="n">
        <f aca="false">Sens!I14603*cx_azo+Sens!I14610*cx_m365+Sens!I14611*cx_lic+(Sens!I14613+Sens!I14615)*cx_ind+Sens!I14618*cx_srch+(Sens!I14620+Sens!I14622)*cx_dev</f>
        <v>51.2234003116439</v>
      </c>
      <c r="J14687" s="6" t="n">
        <f aca="false">Sens!J14603*cx_azo+Sens!J14610*cx_m365+Sens!J14611*cx_lic+(Sens!J14613+Sens!J14615)*cx_ind+Sens!J14618*cx_srch+(Sens!J14620+Sens!J14622)*cx_dev</f>
        <v>55.9559132503738</v>
      </c>
      <c r="K14687" s="6" t="n">
        <f aca="false">Sens!K14603*cx_azo+Sens!K14610*cx_m365+Sens!K14611*cx_lic+(Sens!K14613+Sens!K14615)*cx_ind+Sens!K14618*cx_srch+(Sens!K14620+Sens!K14622)*cx_dev</f>
        <v>60.093702741994</v>
      </c>
    </row>
    <row r="14688" customFormat="false" ht="17.15" hidden="false" customHeight="false" outlineLevel="0" collapsed="false">
      <c r="A14688" s="0" t="s">
        <v>957</v>
      </c>
      <c r="B14688" s="0" t="s">
        <v>98</v>
      </c>
      <c r="F14688" s="6" t="n">
        <f aca="false">Sens!F14593</f>
        <v>138.102120594438</v>
      </c>
      <c r="L14688" s="1" t="s">
        <v>958</v>
      </c>
    </row>
    <row r="14689" customFormat="false" ht="17.15" hidden="false" customHeight="false" outlineLevel="0" collapsed="false">
      <c r="A14689" s="1" t="s">
        <v>959</v>
      </c>
      <c r="B14689" s="0" t="s">
        <v>98</v>
      </c>
      <c r="E14689" s="6" t="n">
        <f aca="false">Q!M42</f>
        <v>145.3</v>
      </c>
      <c r="F14689" s="6" t="n">
        <f aca="false">Sens!F14686+Sens!F14687+Sens!F14688</f>
        <v>204.2</v>
      </c>
      <c r="G14689" s="6" t="n">
        <f aca="false">Sens!G14686+Sens!G14687</f>
        <v>76.0056205863892</v>
      </c>
      <c r="H14689" s="6" t="n">
        <f aca="false">Sens!H14686+Sens!H14687</f>
        <v>46.0615136440897</v>
      </c>
      <c r="I14689" s="6" t="n">
        <f aca="false">Sens!I14686+Sens!I14687</f>
        <v>81.4820756583106</v>
      </c>
      <c r="J14689" s="6" t="n">
        <f aca="false">Sens!J14686+Sens!J14687</f>
        <v>101.652688263707</v>
      </c>
      <c r="K14689" s="6" t="n">
        <f aca="false">Sens!K14686+Sens!K14687</f>
        <v>150.869728781994</v>
      </c>
      <c r="L14689" s="1" t="s">
        <v>960</v>
      </c>
    </row>
    <row r="14690" customFormat="false" ht="15" hidden="false" customHeight="false" outlineLevel="0" collapsed="false">
      <c r="A14690" s="1" t="s">
        <v>961</v>
      </c>
      <c r="B14690" s="0" t="s">
        <v>98</v>
      </c>
      <c r="E14690" s="6" t="n">
        <f aca="false">fl_liab</f>
        <v>66.594</v>
      </c>
      <c r="F14690" s="6" t="n">
        <f aca="false">Sens!E14690-Sens!F14691</f>
        <v>62.46973</v>
      </c>
      <c r="G14690" s="6" t="n">
        <f aca="false">Sens!F14690-Sens!G14691</f>
        <v>57.98686785</v>
      </c>
      <c r="H14690" s="6" t="n">
        <f aca="false">Sens!G14690-Sens!H14691</f>
        <v>53.92827690325</v>
      </c>
      <c r="I14690" s="6" t="n">
        <f aca="false">Sens!H14690-Sens!I14691</f>
        <v>49.7850493638962</v>
      </c>
      <c r="J14690" s="6" t="n">
        <f aca="false">Sens!I14690-Sens!J14691</f>
        <v>45.4823765852716</v>
      </c>
      <c r="K14690" s="6" t="n">
        <f aca="false">Sens!J14690-Sens!K14691</f>
        <v>40.9860835316088</v>
      </c>
    </row>
    <row r="14691" customFormat="false" ht="15" hidden="false" customHeight="false" outlineLevel="0" collapsed="false">
      <c r="A14691" s="1" t="s">
        <v>962</v>
      </c>
      <c r="B14691" s="0" t="s">
        <v>98</v>
      </c>
      <c r="F14691" s="6" t="n">
        <f aca="false">fl_pay_27-Sens!E14690*fl_rate</f>
        <v>4.12427</v>
      </c>
      <c r="G14691" s="6" t="n">
        <f aca="false">fl_pay_28-Sens!F14690*fl_rate</f>
        <v>4.48286215</v>
      </c>
      <c r="H14691" s="6" t="n">
        <f aca="false">fl_pay_29-Sens!G14690*fl_rate</f>
        <v>4.05859094675</v>
      </c>
      <c r="I14691" s="6" t="n">
        <f aca="false">fl_pay_30-Sens!H14690*fl_rate</f>
        <v>4.14322753935375</v>
      </c>
      <c r="J14691" s="6" t="n">
        <f aca="false">fl_pay_31-Sens!I14690*fl_rate</f>
        <v>4.30267277862467</v>
      </c>
      <c r="K14691" s="6" t="n">
        <f aca="false">fl_pay_32-Sens!J14690*fl_rate</f>
        <v>4.49629305366278</v>
      </c>
    </row>
    <row r="14692" customFormat="false" ht="17.15" hidden="false" customHeight="false" outlineLevel="0" collapsed="false">
      <c r="A14692" s="1" t="s">
        <v>963</v>
      </c>
      <c r="B14692" s="0" t="s">
        <v>98</v>
      </c>
      <c r="E14692" s="6" t="n">
        <f aca="false">Q!M35-Q!M36-Q!M43</f>
        <v>63.886</v>
      </c>
      <c r="F14692" s="6" t="n">
        <f aca="false">Sens!F14685-Sens!F14689-Sens!F14691</f>
        <v>-9.36786978843663</v>
      </c>
      <c r="G14692" s="6" t="n">
        <f aca="false">Sens!G14685-Sens!G14689-Sens!G14691</f>
        <v>144.516418132565</v>
      </c>
      <c r="H14692" s="6" t="n">
        <f aca="false">Sens!H14685-Sens!H14689-Sens!H14691</f>
        <v>193.77817735832</v>
      </c>
      <c r="I14692" s="6" t="n">
        <f aca="false">Sens!I14685-Sens!I14689-Sens!I14691</f>
        <v>179.46825418874</v>
      </c>
      <c r="J14692" s="6" t="n">
        <f aca="false">Sens!J14685-Sens!J14689-Sens!J14691</f>
        <v>179.821404218218</v>
      </c>
      <c r="K14692" s="6" t="n">
        <f aca="false">Sens!K14685-Sens!K14689-Sens!K14691</f>
        <v>150.989090015533</v>
      </c>
      <c r="L14692" s="11" t="s">
        <v>964</v>
      </c>
    </row>
    <row r="14693" customFormat="false" ht="15" hidden="false" customHeight="false" outlineLevel="0" collapsed="false">
      <c r="A14693" s="1" t="s">
        <v>965</v>
      </c>
      <c r="B14693" s="0" t="s">
        <v>75</v>
      </c>
      <c r="F14693" s="8" t="n">
        <f aca="false">dps_27</f>
        <v>3.85</v>
      </c>
      <c r="G14693" s="8" t="n">
        <f aca="false">Sens!F14693*(1+dps_g)</f>
        <v>4.158</v>
      </c>
      <c r="H14693" s="8" t="n">
        <f aca="false">Sens!G14693*(1+dps_g)</f>
        <v>4.49064</v>
      </c>
      <c r="I14693" s="8" t="n">
        <f aca="false">Sens!H14693*(1+dps_g)</f>
        <v>4.8498912</v>
      </c>
      <c r="J14693" s="8" t="n">
        <f aca="false">Sens!I14693*(1+dps_g)</f>
        <v>5.237882496</v>
      </c>
      <c r="K14693" s="8" t="n">
        <f aca="false">Sens!J14693*(1+dps_g)</f>
        <v>5.65691309568</v>
      </c>
    </row>
    <row r="14694" customFormat="false" ht="17.15" hidden="false" customHeight="false" outlineLevel="0" collapsed="false">
      <c r="A14694" s="1" t="s">
        <v>966</v>
      </c>
      <c r="B14694" s="0" t="s">
        <v>98</v>
      </c>
      <c r="E14694" s="6" t="n">
        <f aca="false">Q!M41</f>
        <v>26.445</v>
      </c>
      <c r="F14694" s="6" t="n">
        <f aca="false">Sens!F14693*Sens!E14703</f>
        <v>28.59395</v>
      </c>
      <c r="G14694" s="6" t="n">
        <f aca="false">Sens!G14693*Sens!F14703</f>
        <v>31.068576</v>
      </c>
      <c r="H14694" s="6" t="n">
        <f aca="false">Sens!H14693*Sens!G14703</f>
        <v>33.5888350159995</v>
      </c>
      <c r="I14694" s="6" t="n">
        <f aca="false">Sens!I14693*Sens!H14703</f>
        <v>36.3268810572789</v>
      </c>
      <c r="J14694" s="6" t="n">
        <f aca="false">Sens!J14693*Sens!I14703</f>
        <v>39.3014303901806</v>
      </c>
      <c r="K14694" s="6" t="n">
        <f aca="false">Sens!K14693*Sens!J14703</f>
        <v>42.5328000467001</v>
      </c>
      <c r="L14694" s="1" t="s">
        <v>967</v>
      </c>
    </row>
    <row r="14695" customFormat="false" ht="15" hidden="false" customHeight="false" outlineLevel="0" collapsed="false">
      <c r="A14695" s="1" t="s">
        <v>968</v>
      </c>
      <c r="B14695" s="0" t="s">
        <v>98</v>
      </c>
      <c r="E14695" s="6" t="n">
        <f aca="false">Sens!E14692-Sens!E14694</f>
        <v>37.441</v>
      </c>
      <c r="F14695" s="6" t="n">
        <f aca="false">Sens!F14692-Sens!F14694</f>
        <v>-37.9618197884366</v>
      </c>
      <c r="G14695" s="6" t="n">
        <f aca="false">Sens!G14692-Sens!G14694</f>
        <v>113.447842132565</v>
      </c>
      <c r="H14695" s="6" t="n">
        <f aca="false">Sens!H14692-Sens!H14694</f>
        <v>160.18934234232</v>
      </c>
      <c r="I14695" s="6" t="n">
        <f aca="false">Sens!I14692-Sens!I14694</f>
        <v>143.141373131461</v>
      </c>
      <c r="J14695" s="6" t="n">
        <f aca="false">Sens!J14692-Sens!J14694</f>
        <v>140.519973828037</v>
      </c>
      <c r="K14695" s="6" t="n">
        <f aca="false">Sens!K14692-Sens!K14694</f>
        <v>108.456289968833</v>
      </c>
    </row>
    <row r="14696" customFormat="false" ht="15" hidden="false" customHeight="false" outlineLevel="0" collapsed="false">
      <c r="A14696" s="1" t="s">
        <v>969</v>
      </c>
      <c r="B14696" s="0" t="s">
        <v>98</v>
      </c>
      <c r="F14696" s="6" t="n">
        <f aca="false">debt_mat_27</f>
        <v>9.25</v>
      </c>
      <c r="G14696" s="6" t="n">
        <f aca="false">debt_mat_28</f>
        <v>0</v>
      </c>
      <c r="H14696" s="6" t="n">
        <f aca="false">debt_mat_29</f>
        <v>2.001</v>
      </c>
      <c r="I14696" s="6" t="n">
        <f aca="false">debt_mat_30</f>
        <v>0</v>
      </c>
      <c r="J14696" s="6" t="n">
        <f aca="false">debt_mat_31</f>
        <v>0.5</v>
      </c>
      <c r="K14696" s="6" t="n">
        <f aca="false">debt_mat_32</f>
        <v>0</v>
      </c>
    </row>
    <row r="14697" customFormat="false" ht="15" hidden="false" customHeight="false" outlineLevel="0" collapsed="false">
      <c r="A14697" s="1" t="s">
        <v>970</v>
      </c>
      <c r="B14697" s="0" t="s">
        <v>98</v>
      </c>
      <c r="E14697" s="6" t="n">
        <f aca="false">Q!M40</f>
        <v>22.271</v>
      </c>
      <c r="F14697" s="6" t="n">
        <f aca="false">MAX(0,MIN(bb_target,Sens!E14699+Sens!F14695-Sens!F14696-min_cash))</f>
        <v>0</v>
      </c>
      <c r="G14697" s="6" t="n">
        <f aca="false">MAX(0,MIN(bb_target,Sens!F14699+Sens!G14695-Sens!G14696-min_cash))</f>
        <v>22.271</v>
      </c>
      <c r="H14697" s="6" t="n">
        <f aca="false">MAX(0,MIN(bb_target,Sens!G14699+Sens!H14695-Sens!H14696-min_cash))</f>
        <v>22.271</v>
      </c>
      <c r="I14697" s="6" t="n">
        <f aca="false">MAX(0,MIN(bb_target,Sens!H14699+Sens!I14695-Sens!I14696-min_cash))</f>
        <v>22.271</v>
      </c>
      <c r="J14697" s="6" t="n">
        <f aca="false">MAX(0,MIN(bb_target,Sens!I14699+Sens!J14695-Sens!J14696-min_cash))</f>
        <v>22.271</v>
      </c>
      <c r="K14697" s="6" t="n">
        <f aca="false">MAX(0,MIN(bb_target,Sens!J14699+Sens!K14695-Sens!K14696-min_cash))</f>
        <v>22.271</v>
      </c>
    </row>
    <row r="14698" customFormat="false" ht="15" hidden="false" customHeight="false" outlineLevel="0" collapsed="false">
      <c r="A14698" s="1" t="s">
        <v>971</v>
      </c>
      <c r="B14698" s="0" t="s">
        <v>98</v>
      </c>
      <c r="F14698" s="6" t="n">
        <f aca="false">MAX(0,min_cash-(Sens!E14699+Sens!F14695-Sens!F14696-Sens!F14697))</f>
        <v>20.3688197884366</v>
      </c>
      <c r="G14698" s="6" t="n">
        <f aca="false">MAX(0,min_cash-(Sens!F14699+Sens!G14695-Sens!G14696-Sens!G14697))</f>
        <v>0</v>
      </c>
      <c r="H14698" s="6" t="n">
        <f aca="false">MAX(0,min_cash-(Sens!G14699+Sens!H14695-Sens!H14696-Sens!H14697))</f>
        <v>0</v>
      </c>
      <c r="I14698" s="6" t="n">
        <f aca="false">MAX(0,min_cash-(Sens!H14699+Sens!I14695-Sens!I14696-Sens!I14697))</f>
        <v>0</v>
      </c>
      <c r="J14698" s="6" t="n">
        <f aca="false">MAX(0,min_cash-(Sens!I14699+Sens!J14695-Sens!J14696-Sens!J14697))</f>
        <v>0</v>
      </c>
      <c r="K14698" s="6" t="n">
        <f aca="false">MAX(0,min_cash-(Sens!J14699+Sens!K14695-Sens!K14696-Sens!K14697))</f>
        <v>0</v>
      </c>
    </row>
    <row r="14699" customFormat="false" ht="15" hidden="false" customHeight="false" outlineLevel="0" collapsed="false">
      <c r="A14699" s="1" t="s">
        <v>972</v>
      </c>
      <c r="B14699" s="0" t="s">
        <v>98</v>
      </c>
      <c r="E14699" s="6" t="n">
        <f aca="false">cash_open</f>
        <v>76.843</v>
      </c>
      <c r="F14699" s="6" t="n">
        <f aca="false">Sens!E14699+Sens!F14695-Sens!F14696-Sens!F14697+Sens!F14698</f>
        <v>50</v>
      </c>
      <c r="G14699" s="6" t="n">
        <f aca="false">Sens!F14699+Sens!G14695-Sens!G14696-Sens!G14697+Sens!G14698</f>
        <v>141.176842132565</v>
      </c>
      <c r="H14699" s="6" t="n">
        <f aca="false">Sens!G14699+Sens!H14695-Sens!H14696-Sens!H14697+Sens!H14698</f>
        <v>277.094184474885</v>
      </c>
      <c r="I14699" s="6" t="n">
        <f aca="false">Sens!H14699+Sens!I14695-Sens!I14696-Sens!I14697+Sens!I14698</f>
        <v>397.964557606347</v>
      </c>
      <c r="J14699" s="6" t="n">
        <f aca="false">Sens!I14699+Sens!J14695-Sens!J14696-Sens!J14697+Sens!J14698</f>
        <v>515.713531434384</v>
      </c>
      <c r="K14699" s="6" t="n">
        <f aca="false">Sens!J14699+Sens!K14695-Sens!K14696-Sens!K14697+Sens!K14698</f>
        <v>601.898821403216</v>
      </c>
    </row>
    <row r="14700" customFormat="false" ht="15" hidden="false" customHeight="false" outlineLevel="0" collapsed="false">
      <c r="A14700" s="1" t="s">
        <v>973</v>
      </c>
      <c r="B14700" s="0" t="s">
        <v>98</v>
      </c>
      <c r="E14700" s="6" t="n">
        <f aca="false">debt_face</f>
        <v>46.136</v>
      </c>
      <c r="F14700" s="6" t="n">
        <f aca="false">Sens!E14700-Sens!F14696+Sens!F14698</f>
        <v>57.2548197884366</v>
      </c>
      <c r="G14700" s="6" t="n">
        <f aca="false">Sens!F14700-Sens!G14696+Sens!G14698</f>
        <v>57.2548197884366</v>
      </c>
      <c r="H14700" s="6" t="n">
        <f aca="false">Sens!G14700-Sens!H14696+Sens!H14698</f>
        <v>55.2538197884366</v>
      </c>
      <c r="I14700" s="6" t="n">
        <f aca="false">Sens!H14700-Sens!I14696+Sens!I14698</f>
        <v>55.2538197884366</v>
      </c>
      <c r="J14700" s="6" t="n">
        <f aca="false">Sens!I14700-Sens!J14696+Sens!J14698</f>
        <v>54.7538197884366</v>
      </c>
      <c r="K14700" s="6" t="n">
        <f aca="false">Sens!J14700-Sens!K14696+Sens!K14698</f>
        <v>54.7538197884366</v>
      </c>
    </row>
    <row r="14701" customFormat="false" ht="15" hidden="false" customHeight="false" outlineLevel="0" collapsed="false">
      <c r="A14701" s="1" t="s">
        <v>974</v>
      </c>
      <c r="B14701" s="0" t="s">
        <v>98</v>
      </c>
      <c r="E14701" s="6" t="n">
        <f aca="false">Sens!E14699-Sens!E14700</f>
        <v>30.707</v>
      </c>
      <c r="F14701" s="6" t="n">
        <f aca="false">Sens!F14699-Sens!F14700</f>
        <v>-7.25481978843663</v>
      </c>
      <c r="G14701" s="6" t="n">
        <f aca="false">Sens!G14699-Sens!G14700</f>
        <v>83.9220223441283</v>
      </c>
      <c r="H14701" s="6" t="n">
        <f aca="false">Sens!H14699-Sens!H14700</f>
        <v>221.840364686448</v>
      </c>
      <c r="I14701" s="6" t="n">
        <f aca="false">Sens!I14699-Sens!I14700</f>
        <v>342.71073781791</v>
      </c>
      <c r="J14701" s="6" t="n">
        <f aca="false">Sens!J14699-Sens!J14700</f>
        <v>460.959711645947</v>
      </c>
      <c r="K14701" s="6" t="n">
        <f aca="false">Sens!K14699-Sens!K14700</f>
        <v>547.14500161478</v>
      </c>
    </row>
    <row r="14702" customFormat="false" ht="15" hidden="false" customHeight="false" outlineLevel="0" collapsed="false">
      <c r="A14702" s="1" t="s">
        <v>975</v>
      </c>
      <c r="B14702" s="0" t="s">
        <v>75</v>
      </c>
      <c r="F14702" s="29" t="n">
        <f aca="false">px*(1+bb_g)^(Sens!F14564-base_fy-mid_yr)</f>
        <v>553.494156066711</v>
      </c>
      <c r="G14702" s="29" t="n">
        <f aca="false">px*(1+bb_g)^(Sens!G14564-base_fy-mid_yr)</f>
        <v>597.773688552047</v>
      </c>
      <c r="H14702" s="29" t="n">
        <f aca="false">px*(1+bb_g)^(Sens!H14564-base_fy-mid_yr)</f>
        <v>645.595583636211</v>
      </c>
      <c r="I14702" s="29" t="n">
        <f aca="false">px*(1+bb_g)^(Sens!I14564-base_fy-mid_yr)</f>
        <v>697.243230327108</v>
      </c>
      <c r="J14702" s="29" t="n">
        <f aca="false">px*(1+bb_g)^(Sens!J14564-base_fy-mid_yr)</f>
        <v>753.022688753277</v>
      </c>
      <c r="K14702" s="29" t="n">
        <f aca="false">px*(1+bb_g)^(Sens!K14564-base_fy-mid_yr)</f>
        <v>813.264503853539</v>
      </c>
    </row>
    <row r="14703" customFormat="false" ht="15" hidden="false" customHeight="false" outlineLevel="0" collapsed="false">
      <c r="A14703" s="1" t="s">
        <v>976</v>
      </c>
      <c r="B14703" s="1" t="s">
        <v>81</v>
      </c>
      <c r="E14703" s="14" t="n">
        <f aca="false">sh_out26</f>
        <v>7.427</v>
      </c>
      <c r="F14703" s="14" t="n">
        <f aca="false">Sens!E14703+sh_iss-Sens!F14697/Sens!F14702</f>
        <v>7.472</v>
      </c>
      <c r="G14703" s="14" t="n">
        <f aca="false">Sens!F14703+sh_iss-Sens!G14697/Sens!G14702</f>
        <v>7.47974342543589</v>
      </c>
      <c r="H14703" s="14" t="n">
        <f aca="false">Sens!G14703+sh_iss-Sens!H14697/Sens!H14702</f>
        <v>7.4902465971358</v>
      </c>
      <c r="I14703" s="14" t="n">
        <f aca="false">Sens!H14703+sh_iss-Sens!I14697/Sens!I14702</f>
        <v>7.50330508945052</v>
      </c>
      <c r="J14703" s="14" t="n">
        <f aca="false">Sens!I14703+sh_iss-Sens!J14697/Sens!J14702</f>
        <v>7.51872961937156</v>
      </c>
      <c r="K14703" s="14" t="n">
        <f aca="false">Sens!J14703+sh_iss-Sens!K14697/Sens!K14702</f>
        <v>7.53634492485401</v>
      </c>
    </row>
    <row r="14704" customFormat="false" ht="15" hidden="false" customHeight="false" outlineLevel="0" collapsed="false">
      <c r="A14704" s="1" t="s">
        <v>977</v>
      </c>
      <c r="B14704" s="1" t="s">
        <v>81</v>
      </c>
      <c r="E14704" s="14" t="n">
        <f aca="false">sh_dil26</f>
        <v>7.453</v>
      </c>
      <c r="F14704" s="14" t="n">
        <f aca="false">(Sens!E14703+Sens!F14703)/2+dil_gap</f>
        <v>7.4735</v>
      </c>
      <c r="G14704" s="14" t="n">
        <f aca="false">(Sens!F14703+Sens!G14703)/2+dil_gap</f>
        <v>7.49987171271795</v>
      </c>
      <c r="H14704" s="14" t="n">
        <f aca="false">(Sens!G14703+Sens!H14703)/2+dil_gap</f>
        <v>7.50899501128585</v>
      </c>
      <c r="I14704" s="14" t="n">
        <f aca="false">(Sens!H14703+Sens!I14703)/2+dil_gap</f>
        <v>7.52077584329316</v>
      </c>
      <c r="J14704" s="14" t="n">
        <f aca="false">(Sens!I14703+Sens!J14703)/2+dil_gap</f>
        <v>7.53501735441104</v>
      </c>
      <c r="K14704" s="14" t="n">
        <f aca="false">(Sens!J14703+Sens!K14703)/2+dil_gap</f>
        <v>7.55153727211278</v>
      </c>
    </row>
    <row r="14705" customFormat="false" ht="17.15" hidden="false" customHeight="false" outlineLevel="0" collapsed="false">
      <c r="A14705" s="1" t="s">
        <v>978</v>
      </c>
      <c r="B14705" s="0" t="s">
        <v>98</v>
      </c>
      <c r="C14705" s="6" t="n">
        <f aca="false">SUM(Sens!F14695:J14695)</f>
        <v>519.336711645947</v>
      </c>
    </row>
    <row r="14706" customFormat="false" ht="15" hidden="false" customHeight="false" outlineLevel="0" collapsed="false">
      <c r="A14706" s="23" t="s">
        <v>945</v>
      </c>
      <c r="B14706" s="30" t="s">
        <v>98</v>
      </c>
      <c r="C14706" s="24" t="n">
        <f aca="false">Sens!$C$14705-(Sens!F14695+Sens!G14695+Sens!H14695+Sens!I14695+Sens!J14695)</f>
        <v>0</v>
      </c>
      <c r="D14706" s="30"/>
      <c r="E14706" s="30"/>
      <c r="F14706" s="30"/>
      <c r="G14706" s="30"/>
      <c r="H14706" s="30"/>
      <c r="I14706" s="30"/>
      <c r="J14706" s="30"/>
      <c r="K14706" s="30"/>
    </row>
    <row r="14707" customFormat="false" ht="17.15" hidden="false" customHeight="false" outlineLevel="0" collapsed="false">
      <c r="A14707" s="1" t="s">
        <v>939</v>
      </c>
      <c r="B14707" s="1" t="s">
        <v>979</v>
      </c>
      <c r="C14707" s="32" t="str">
        <f aca="false">IF(SUM(Sens!F14698:J14698)&gt;0.05,"需要舉債 "&amp;TEXT(SUM(Sens!F14698:J14698),"0.0")&amp;" 十億美元","不需舉債")&amp;"；"&amp;IF(SUM(Sens!F14697:J14697)&lt;COUNT(Sens!F14697:J14697)*bb_target-0.05,"回購較每年 "&amp;TEXT(bb_target,"0.0")&amp;" 的目標少 "&amp;TEXT(COUNT(Sens!F14697:J14697)*bb_target-SUM(Sens!F14697:J14697),"0.0")&amp;" 十億美元（"&amp;TEXT(COUNTIF(Sens!F14697:J14697,"&lt;"&amp;(bb_target-0.05)),"0")&amp;" 年減少）","回購不減")</f>
        <v>需要舉債 20.4 十億美元；回購較每年 22.3 的目標少 22.3 十億美元（1 年減少）</v>
      </c>
    </row>
    <row r="14708" customFormat="false" ht="17.15" hidden="false" customHeight="false" outlineLevel="0" collapsed="false">
      <c r="A14708" s="3" t="s">
        <v>1635</v>
      </c>
    </row>
    <row r="14709" customFormat="false" ht="15" hidden="false" customHeight="false" outlineLevel="0" collapsed="false">
      <c r="A14709" s="4" t="s">
        <v>43</v>
      </c>
      <c r="B14709" s="4" t="s">
        <v>65</v>
      </c>
      <c r="C14709" s="20" t="s">
        <v>799</v>
      </c>
      <c r="D14709" s="20" t="s">
        <v>800</v>
      </c>
      <c r="E14709" s="20" t="s">
        <v>801</v>
      </c>
      <c r="F14709" s="20" t="s">
        <v>802</v>
      </c>
      <c r="G14709" s="20" t="s">
        <v>803</v>
      </c>
      <c r="H14709" s="20" t="s">
        <v>804</v>
      </c>
      <c r="I14709" s="20" t="s">
        <v>805</v>
      </c>
      <c r="J14709" s="20" t="s">
        <v>806</v>
      </c>
      <c r="K14709" s="20" t="s">
        <v>807</v>
      </c>
      <c r="L14709" s="4" t="s">
        <v>47</v>
      </c>
    </row>
    <row r="14710" customFormat="false" ht="15" hidden="false" customHeight="false" outlineLevel="0" collapsed="false">
      <c r="A14710" s="1" t="s">
        <v>1057</v>
      </c>
      <c r="B14710" s="1" t="s">
        <v>235</v>
      </c>
      <c r="F14710" s="36" t="n">
        <f aca="false">Sens!F14564-base_fy-mid_yr</f>
        <v>0.5</v>
      </c>
      <c r="G14710" s="36" t="n">
        <f aca="false">Sens!G14564-base_fy-mid_yr</f>
        <v>1.5</v>
      </c>
      <c r="H14710" s="36" t="n">
        <f aca="false">Sens!H14564-base_fy-mid_yr</f>
        <v>2.5</v>
      </c>
      <c r="I14710" s="36" t="n">
        <f aca="false">Sens!I14564-base_fy-mid_yr</f>
        <v>3.5</v>
      </c>
      <c r="J14710" s="36" t="n">
        <f aca="false">Sens!J14564-base_fy-mid_yr</f>
        <v>4.5</v>
      </c>
      <c r="K14710" s="36" t="n">
        <f aca="false">Sens!K14564-base_fy-mid_yr</f>
        <v>5.5</v>
      </c>
    </row>
    <row r="14711" customFormat="false" ht="15" hidden="false" customHeight="false" outlineLevel="0" collapsed="false">
      <c r="A14711" s="1" t="s">
        <v>1058</v>
      </c>
      <c r="B14711" s="0" t="s">
        <v>185</v>
      </c>
      <c r="F14711" s="14" t="n">
        <f aca="false">1/(1+wacc)^Sens!F14710</f>
        <v>0.952193373608246</v>
      </c>
      <c r="G14711" s="14" t="n">
        <f aca="false">1/(1+wacc)^Sens!G14710</f>
        <v>0.863327280626589</v>
      </c>
      <c r="H14711" s="14" t="n">
        <f aca="false">1/(1+wacc)^Sens!H14710</f>
        <v>0.782754862754115</v>
      </c>
      <c r="I14711" s="14" t="n">
        <f aca="false">1/(1+wacc)^Sens!I14710</f>
        <v>0.709702089711011</v>
      </c>
      <c r="J14711" s="14" t="n">
        <f aca="false">1/(1+wacc)^Sens!J14710</f>
        <v>0.643467169744551</v>
      </c>
      <c r="K14711" s="14" t="n">
        <f aca="false">1/(1+wacc)^Sens!K14710</f>
        <v>0.583413807767797</v>
      </c>
    </row>
    <row r="14712" customFormat="false" ht="17.15" hidden="false" customHeight="false" outlineLevel="0" collapsed="false">
      <c r="A14712" s="1" t="s">
        <v>1059</v>
      </c>
      <c r="B14712" s="0" t="s">
        <v>98</v>
      </c>
      <c r="F14712" s="6" t="n">
        <f aca="false">Sens!F14685-Sens!F14683-Sens!F14689+Sens!F14668*(1-tax_f)</f>
        <v>-19.4989457783796</v>
      </c>
      <c r="G14712" s="6" t="n">
        <f aca="false">Sens!G14685-Sens!G14683-Sens!G14689+Sens!G14668*(1-tax_f)</f>
        <v>133.193487955316</v>
      </c>
      <c r="H14712" s="6" t="n">
        <f aca="false">Sens!H14685-Sens!H14683-Sens!H14689+Sens!H14668*(1-tax_f)</f>
        <v>180.631329695511</v>
      </c>
      <c r="I14712" s="6" t="n">
        <f aca="false">Sens!I14685-Sens!I14683-Sens!I14689+Sens!I14668*(1-tax_f)</f>
        <v>164.947569524102</v>
      </c>
      <c r="J14712" s="6" t="n">
        <f aca="false">Sens!J14685-Sens!J14683-Sens!J14689+Sens!J14668*(1-tax_f)</f>
        <v>164.078610286865</v>
      </c>
      <c r="K14712" s="6" t="n">
        <f aca="false">Sens!K14685-Sens!K14683-Sens!K14689+Sens!K14668*(1-tax_f)</f>
        <v>134.122054903048</v>
      </c>
      <c r="L14712" s="1" t="s">
        <v>1060</v>
      </c>
    </row>
    <row r="14713" customFormat="false" ht="15" hidden="false" customHeight="false" outlineLevel="0" collapsed="false">
      <c r="A14713" s="1" t="s">
        <v>1061</v>
      </c>
      <c r="B14713" s="0" t="s">
        <v>98</v>
      </c>
      <c r="F14713" s="6" t="n">
        <f aca="false">Sens!F14712*Sens!F14711</f>
        <v>-18.5667669625195</v>
      </c>
      <c r="G14713" s="6" t="n">
        <f aca="false">Sens!G14712*Sens!G14711</f>
        <v>114.989571753633</v>
      </c>
      <c r="H14713" s="6" t="n">
        <f aca="false">Sens!H14712*Sens!H14711</f>
        <v>141.390051684903</v>
      </c>
      <c r="I14713" s="6" t="n">
        <f aca="false">Sens!I14712*Sens!I14711</f>
        <v>117.063634784008</v>
      </c>
      <c r="J14713" s="6" t="n">
        <f aca="false">Sens!J14712*Sens!J14711</f>
        <v>105.579198976908</v>
      </c>
      <c r="K14713" s="6" t="n">
        <f aca="false">Sens!K14712*Sens!K14711</f>
        <v>78.2486587566286</v>
      </c>
    </row>
    <row r="14714" customFormat="false" ht="17.15" hidden="false" customHeight="false" outlineLevel="0" collapsed="false">
      <c r="A14714" s="1" t="s">
        <v>1062</v>
      </c>
      <c r="B14714" s="0" t="s">
        <v>98</v>
      </c>
      <c r="C14714" s="6" t="n">
        <f aca="false">SUM(Sens!F14713:K14713)</f>
        <v>538.704348993561</v>
      </c>
    </row>
    <row r="14715" customFormat="false" ht="17.15" hidden="false" customHeight="false" outlineLevel="0" collapsed="false">
      <c r="A14715" s="1" t="s">
        <v>1063</v>
      </c>
      <c r="B14715" s="0" t="s">
        <v>98</v>
      </c>
      <c r="C14715" s="6" t="n">
        <f aca="false">Sens!K14654*(1+g_tv)*(1-tax_f)</f>
        <v>210.985835659353</v>
      </c>
    </row>
    <row r="14716" customFormat="false" ht="17.15" hidden="false" customHeight="false" outlineLevel="0" collapsed="false">
      <c r="A14716" s="1" t="s">
        <v>1064</v>
      </c>
      <c r="B14716" s="0" t="s">
        <v>98</v>
      </c>
      <c r="C14716" s="6" t="n">
        <f aca="false">Sens!$C$14715*(1-g_tv/(wacc+ronic_prem))</f>
        <v>149.49449909701</v>
      </c>
    </row>
    <row r="14717" customFormat="false" ht="17.15" hidden="false" customHeight="false" outlineLevel="0" collapsed="false">
      <c r="A14717" s="1" t="s">
        <v>1065</v>
      </c>
      <c r="B14717" s="0" t="s">
        <v>98</v>
      </c>
      <c r="C14717" s="6" t="n">
        <f aca="false">Sens!$C$14716/(wacc-g_tv)</f>
        <v>2049.71121874475</v>
      </c>
    </row>
    <row r="14718" customFormat="false" ht="15" hidden="false" customHeight="false" outlineLevel="0" collapsed="false">
      <c r="A14718" s="1" t="s">
        <v>1066</v>
      </c>
      <c r="B14718" s="0" t="s">
        <v>98</v>
      </c>
      <c r="C14718" s="6" t="n">
        <f aca="false">Sens!$C$14717/(1+wacc)^(Sens!K14710+mid_yr)</f>
        <v>1138.66123718703</v>
      </c>
    </row>
    <row r="14719" customFormat="false" ht="17.15" hidden="false" customHeight="false" outlineLevel="0" collapsed="false">
      <c r="A14719" s="0" t="s">
        <v>986</v>
      </c>
      <c r="B14719" s="0" t="s">
        <v>98</v>
      </c>
      <c r="C14719" s="6" t="n">
        <f aca="false">Sens!$C$14714+Sens!$C$14718</f>
        <v>1677.36558618059</v>
      </c>
    </row>
    <row r="14720" customFormat="false" ht="15" hidden="false" customHeight="false" outlineLevel="0" collapsed="false">
      <c r="A14720" s="1" t="s">
        <v>987</v>
      </c>
      <c r="B14720" s="0" t="s">
        <v>129</v>
      </c>
      <c r="C14720" s="7" t="n">
        <f aca="false">Sens!$C$14718/Sens!$C$14719</f>
        <v>0.678839035788133</v>
      </c>
    </row>
    <row r="14721" customFormat="false" ht="17.15" hidden="false" customHeight="false" outlineLevel="0" collapsed="false">
      <c r="A14721" s="1" t="s">
        <v>1067</v>
      </c>
      <c r="B14721" s="0" t="s">
        <v>98</v>
      </c>
      <c r="C14721" s="6" t="n">
        <f aca="false">Sens!$C$14719+Sens!E14701-Sens!E14690+oai_v</f>
        <v>1811.87858618059</v>
      </c>
    </row>
    <row r="14722" customFormat="false" ht="17.15" hidden="false" customHeight="false" outlineLevel="0" collapsed="false">
      <c r="A14722" s="0" t="s">
        <v>994</v>
      </c>
      <c r="B14722" s="0" t="s">
        <v>75</v>
      </c>
      <c r="C14722" s="5" t="n">
        <f aca="false">Sens!$C$14721/sh_dil26</f>
        <v>243.107283802574</v>
      </c>
    </row>
    <row r="14723" customFormat="false" ht="15" hidden="false" customHeight="false" outlineLevel="0" collapsed="false">
      <c r="A14723" s="1" t="s">
        <v>1068</v>
      </c>
      <c r="B14723" s="0" t="s">
        <v>75</v>
      </c>
      <c r="C14723" s="8" t="n">
        <f aca="false">dps_27+Sens!G14693*roll_div_q/q_per_yr</f>
        <v>4.8895</v>
      </c>
    </row>
    <row r="14724" customFormat="false" ht="17.15" hidden="false" customHeight="false" outlineLevel="0" collapsed="false">
      <c r="A14724" s="0" t="s">
        <v>1069</v>
      </c>
      <c r="B14724" s="0" t="s">
        <v>75</v>
      </c>
      <c r="C14724" s="5" t="n">
        <f aca="false">Sens!$C$14722*(1+wacc)^t_roll-Sens!$C$14723</f>
        <v>271.944881302902</v>
      </c>
    </row>
    <row r="14725" customFormat="false" ht="17.15" hidden="false" customHeight="false" outlineLevel="0" collapsed="false">
      <c r="A14725" s="1" t="s">
        <v>1070</v>
      </c>
      <c r="B14725" s="0" t="s">
        <v>129</v>
      </c>
      <c r="F14725" s="7" t="n">
        <f aca="false">Sens!F14680/(Sens!F14625-Sens!F14581)</f>
        <v>0.108967867827829</v>
      </c>
      <c r="G14725" s="7" t="n">
        <f aca="false">Sens!G14680/(Sens!G14625-Sens!G14581)</f>
        <v>0.098868419353268</v>
      </c>
      <c r="H14725" s="7" t="n">
        <f aca="false">Sens!H14680/(Sens!H14625-Sens!H14581)</f>
        <v>0.0916428920960549</v>
      </c>
      <c r="I14725" s="7" t="n">
        <f aca="false">Sens!I14680/(Sens!I14625-Sens!I14581)</f>
        <v>0.0868190222077095</v>
      </c>
      <c r="J14725" s="7" t="n">
        <f aca="false">Sens!J14680/(Sens!J14625-Sens!J14581)</f>
        <v>0.0838677485608586</v>
      </c>
      <c r="K14725" s="7" t="n">
        <f aca="false">Sens!K14680/(Sens!K14625-Sens!K14581)</f>
        <v>0.0822923047613777</v>
      </c>
    </row>
    <row r="14726" customFormat="false" ht="17.15" hidden="false" customHeight="false" outlineLevel="0" collapsed="false">
      <c r="A14726" s="0" t="s">
        <v>1071</v>
      </c>
      <c r="B14726" s="0" t="s">
        <v>98</v>
      </c>
      <c r="F14726" s="6" t="n">
        <f aca="false">Sens!F14610*(al_m365+Sens!F14725+sbc_r)</f>
        <v>87.6158619014162</v>
      </c>
      <c r="G14726" s="6" t="n">
        <f aca="false">Sens!G14610*(al_m365+Sens!G14725+sbc_r)</f>
        <v>97.5857772917693</v>
      </c>
      <c r="H14726" s="6" t="n">
        <f aca="false">Sens!H14610*(al_m365+Sens!H14725+sbc_r)</f>
        <v>107.733460099927</v>
      </c>
      <c r="I14726" s="6" t="n">
        <f aca="false">Sens!I14610*(al_m365+Sens!I14725+sbc_r)</f>
        <v>117.381513816155</v>
      </c>
      <c r="J14726" s="6" t="n">
        <f aca="false">Sens!J14610*(al_m365+Sens!J14725+sbc_r)</f>
        <v>126.350583016703</v>
      </c>
      <c r="K14726" s="6" t="n">
        <f aca="false">Sens!K14610*(al_m365+Sens!K14725+sbc_r)</f>
        <v>134.95918716829</v>
      </c>
      <c r="L14726" s="11" t="s">
        <v>1072</v>
      </c>
    </row>
    <row r="14727" customFormat="false" ht="17.15" hidden="false" customHeight="false" outlineLevel="0" collapsed="false">
      <c r="A14727" s="0" t="s">
        <v>1073</v>
      </c>
      <c r="B14727" s="0" t="s">
        <v>98</v>
      </c>
      <c r="F14727" s="6" t="n">
        <f aca="false">Sens!F14611*(al_lic+Sens!F14725+sbc_r)</f>
        <v>35.0222797225425</v>
      </c>
      <c r="G14727" s="6" t="n">
        <f aca="false">Sens!G14611*(al_lic+Sens!G14725+sbc_r)</f>
        <v>36.0939573678035</v>
      </c>
      <c r="H14727" s="6" t="n">
        <f aca="false">Sens!H14611*(al_lic+Sens!H14725+sbc_r)</f>
        <v>37.1156190626302</v>
      </c>
      <c r="I14727" s="6" t="n">
        <f aca="false">Sens!I14611*(al_lic+Sens!I14725+sbc_r)</f>
        <v>38.0625621445862</v>
      </c>
      <c r="J14727" s="6" t="n">
        <f aca="false">Sens!J14611*(al_lic+Sens!J14725+sbc_r)</f>
        <v>38.9046479757698</v>
      </c>
      <c r="K14727" s="6" t="n">
        <f aca="false">Sens!K14611*(al_lic+Sens!K14725+sbc_r)</f>
        <v>39.6109843738662</v>
      </c>
    </row>
    <row r="14728" customFormat="false" ht="17.15" hidden="false" customHeight="false" outlineLevel="0" collapsed="false">
      <c r="A14728" s="0" t="s">
        <v>1074</v>
      </c>
      <c r="B14728" s="0" t="s">
        <v>98</v>
      </c>
      <c r="F14728" s="6" t="n">
        <f aca="false">Sens!F14613*(al_ind+Sens!F14725+sbc_r)</f>
        <v>9.97915544217539</v>
      </c>
      <c r="G14728" s="6" t="n">
        <f aca="false">Sens!G14613*(al_ind+Sens!G14725+sbc_r)</f>
        <v>10.6616310018823</v>
      </c>
      <c r="H14728" s="6" t="n">
        <f aca="false">Sens!H14613*(al_ind+Sens!H14725+sbc_r)</f>
        <v>11.4008394877734</v>
      </c>
      <c r="I14728" s="6" t="n">
        <f aca="false">Sens!I14613*(al_ind+Sens!I14725+sbc_r)</f>
        <v>12.1920704417503</v>
      </c>
      <c r="J14728" s="6" t="n">
        <f aca="false">Sens!J14613*(al_ind+Sens!J14725+sbc_r)</f>
        <v>13.0247463232861</v>
      </c>
      <c r="K14728" s="6" t="n">
        <f aca="false">Sens!K14613*(al_ind+Sens!K14725+sbc_r)</f>
        <v>13.8843572097178</v>
      </c>
    </row>
    <row r="14729" customFormat="false" ht="17.15" hidden="false" customHeight="false" outlineLevel="0" collapsed="false">
      <c r="A14729" s="0" t="s">
        <v>1075</v>
      </c>
      <c r="B14729" s="0" t="s">
        <v>98</v>
      </c>
      <c r="F14729" s="6" t="n">
        <f aca="false">Sens!F14615*(al_fro+Sens!F14725+sbc_r)</f>
        <v>3.92783061686847</v>
      </c>
      <c r="G14729" s="6" t="n">
        <f aca="false">Sens!G14615*(al_fro+Sens!G14725+sbc_r)</f>
        <v>4.09343597125663</v>
      </c>
      <c r="H14729" s="6" t="n">
        <f aca="false">Sens!H14615*(al_fro+Sens!H14725+sbc_r)</f>
        <v>4.29622654184026</v>
      </c>
      <c r="I14729" s="6" t="n">
        <f aca="false">Sens!I14615*(al_fro+Sens!I14725+sbc_r)</f>
        <v>4.53739240718678</v>
      </c>
      <c r="J14729" s="6" t="n">
        <f aca="false">Sens!J14615*(al_fro+Sens!J14725+sbc_r)</f>
        <v>4.81705173042364</v>
      </c>
      <c r="K14729" s="6" t="n">
        <f aca="false">Sens!K14615*(al_fro+Sens!K14725+sbc_r)</f>
        <v>5.13496887101116</v>
      </c>
    </row>
    <row r="14730" customFormat="false" ht="17.15" hidden="false" customHeight="false" outlineLevel="0" collapsed="false">
      <c r="A14730" s="0" t="s">
        <v>1076</v>
      </c>
      <c r="B14730" s="0" t="s">
        <v>98</v>
      </c>
      <c r="F14730" s="6" t="n">
        <f aca="false">Sens!F14618*(al_srch+Sens!F14725+sbc_r)</f>
        <v>12.3244011504429</v>
      </c>
      <c r="G14730" s="6" t="n">
        <f aca="false">Sens!G14618*(al_srch+Sens!G14725+sbc_r)</f>
        <v>13.2915066223821</v>
      </c>
      <c r="H14730" s="6" t="n">
        <f aca="false">Sens!H14618*(al_srch+Sens!H14725+sbc_r)</f>
        <v>14.3141676676563</v>
      </c>
      <c r="I14730" s="6" t="n">
        <f aca="false">Sens!I14618*(al_srch+Sens!I14725+sbc_r)</f>
        <v>15.3805753561199</v>
      </c>
      <c r="J14730" s="6" t="n">
        <f aca="false">Sens!J14618*(al_srch+Sens!J14725+sbc_r)</f>
        <v>16.4703980861506</v>
      </c>
      <c r="K14730" s="6" t="n">
        <f aca="false">Sens!K14618*(al_srch+Sens!K14725+sbc_r)</f>
        <v>17.5574160707855</v>
      </c>
    </row>
    <row r="14731" customFormat="false" ht="17.15" hidden="false" customHeight="false" outlineLevel="0" collapsed="false">
      <c r="A14731" s="0" t="s">
        <v>1077</v>
      </c>
      <c r="B14731" s="0" t="s">
        <v>98</v>
      </c>
      <c r="F14731" s="6" t="n">
        <f aca="false">Sens!F14587-Sens!F14588+Sens!F14668</f>
        <v>20.4975178803921</v>
      </c>
      <c r="G14731" s="6" t="n">
        <f aca="false">Sens!G14587-Sens!G14588+Sens!G14668</f>
        <v>20.6178349346823</v>
      </c>
      <c r="H14731" s="6" t="n">
        <f aca="false">Sens!H14587-Sens!H14588+Sens!H14668</f>
        <v>17.8477936621928</v>
      </c>
      <c r="I14731" s="6" t="n">
        <f aca="false">Sens!I14587-Sens!I14588+Sens!I14668</f>
        <v>18.7491639981224</v>
      </c>
      <c r="J14731" s="6" t="n">
        <f aca="false">Sens!J14587-Sens!J14588+Sens!J14668</f>
        <v>20.1104171585058</v>
      </c>
      <c r="K14731" s="6" t="n">
        <f aca="false">Sens!K14587-Sens!K14588+Sens!K14668</f>
        <v>22.8145281662944</v>
      </c>
    </row>
    <row r="14732" customFormat="false" ht="17.15" hidden="false" customHeight="false" outlineLevel="0" collapsed="false">
      <c r="A14732" s="0" t="s">
        <v>1078</v>
      </c>
      <c r="B14732" s="0" t="s">
        <v>98</v>
      </c>
      <c r="F14732" s="6" t="n">
        <f aca="false">Sens!F14647+Sens!F14668+Sens!F14598+Sens!F14725*(Sens!F14617-Sens!F14581)+sbc_r*Sens!F14617</f>
        <v>207.323759079084</v>
      </c>
      <c r="G14732" s="6" t="n">
        <f aca="false">Sens!G14647+Sens!G14668+Sens!G14598+Sens!G14725*(Sens!G14617-Sens!G14581)+sbc_r*Sens!G14617</f>
        <v>231.891847252028</v>
      </c>
      <c r="H14732" s="6" t="n">
        <f aca="false">Sens!H14647+Sens!H14668+Sens!H14598+Sens!H14725*(Sens!H14617-Sens!H14581)+sbc_r*Sens!H14617</f>
        <v>253.746361653386</v>
      </c>
      <c r="I14732" s="6" t="n">
        <f aca="false">Sens!I14647+Sens!I14668+Sens!I14598+Sens!I14725*(Sens!I14617-Sens!I14581)+sbc_r*Sens!I14617</f>
        <v>278.536489517593</v>
      </c>
      <c r="J14732" s="6" t="n">
        <f aca="false">Sens!J14647+Sens!J14668+Sens!J14598+Sens!J14725*(Sens!J14617-Sens!J14581)+sbc_r*Sens!J14617</f>
        <v>302.122965951561</v>
      </c>
      <c r="K14732" s="6" t="n">
        <f aca="false">Sens!K14647+Sens!K14668+Sens!K14598+Sens!K14725*(Sens!K14617-Sens!K14581)+sbc_r*Sens!K14617</f>
        <v>325.000812290816</v>
      </c>
    </row>
    <row r="14733" customFormat="false" ht="17.15" hidden="false" customHeight="false" outlineLevel="0" collapsed="false">
      <c r="A14733" s="0" t="s">
        <v>1079</v>
      </c>
      <c r="B14733" s="0" t="s">
        <v>98</v>
      </c>
      <c r="F14733" s="6" t="n">
        <f aca="false">Sens!F14732-Sens!F14726-Sens!F14727-Sens!F14728-Sens!F14729-Sens!F14731</f>
        <v>50.2811135156888</v>
      </c>
      <c r="G14733" s="6" t="n">
        <f aca="false">Sens!G14732-Sens!G14726-Sens!G14727-Sens!G14728-Sens!G14729-Sens!G14731</f>
        <v>62.8392106846336</v>
      </c>
      <c r="H14733" s="6" t="n">
        <f aca="false">Sens!H14732-Sens!H14726-Sens!H14727-Sens!H14728-Sens!H14729-Sens!H14731</f>
        <v>75.3524227990224</v>
      </c>
      <c r="I14733" s="6" t="n">
        <f aca="false">Sens!I14732-Sens!I14726-Sens!I14727-Sens!I14728-Sens!I14729-Sens!I14731</f>
        <v>87.6137867097919</v>
      </c>
      <c r="J14733" s="6" t="n">
        <f aca="false">Sens!J14732-Sens!J14726-Sens!J14727-Sens!J14728-Sens!J14729-Sens!J14731</f>
        <v>98.9155197468724</v>
      </c>
      <c r="K14733" s="6" t="n">
        <f aca="false">Sens!K14732-Sens!K14726-Sens!K14727-Sens!K14728-Sens!K14729-Sens!K14731</f>
        <v>108.596786501636</v>
      </c>
    </row>
    <row r="14734" customFormat="false" ht="17.15" hidden="false" customHeight="false" outlineLevel="0" collapsed="false">
      <c r="A14734" s="0" t="s">
        <v>1080</v>
      </c>
      <c r="B14734" s="0" t="s">
        <v>98</v>
      </c>
      <c r="F14734" s="6" t="n">
        <f aca="false">Sens!F14649+Sens!F14725*Sens!F14624+sbc_r*Sens!F14624</f>
        <v>28.828951177212</v>
      </c>
      <c r="G14734" s="6" t="n">
        <f aca="false">Sens!G14649+Sens!G14725*Sens!G14624+sbc_r*Sens!G14624</f>
        <v>29.028962579329</v>
      </c>
      <c r="H14734" s="6" t="n">
        <f aca="false">Sens!H14649+Sens!H14725*Sens!H14624+sbc_r*Sens!H14624</f>
        <v>29.5863823275413</v>
      </c>
      <c r="I14734" s="6" t="n">
        <f aca="false">Sens!I14649+Sens!I14725*Sens!I14624+sbc_r*Sens!I14624</f>
        <v>30.4474544391514</v>
      </c>
      <c r="J14734" s="6" t="n">
        <f aca="false">Sens!J14649+Sens!J14725*Sens!J14624+sbc_r*Sens!J14624</f>
        <v>31.5616860949492</v>
      </c>
      <c r="K14734" s="6" t="n">
        <f aca="false">Sens!K14649+Sens!K14725*Sens!K14624+sbc_r*Sens!K14624</f>
        <v>32.8844538466245</v>
      </c>
    </row>
    <row r="14735" customFormat="false" ht="17.15" hidden="false" customHeight="false" outlineLevel="0" collapsed="false">
      <c r="A14735" s="0" t="s">
        <v>1081</v>
      </c>
      <c r="B14735" s="0" t="s">
        <v>98</v>
      </c>
      <c r="F14735" s="6" t="n">
        <f aca="false">(Sens!F14734-Sens!F14730)*Sens!F14620/(Sens!F14620+Sens!F14622)</f>
        <v>9.04763357268685</v>
      </c>
      <c r="G14735" s="6" t="n">
        <f aca="false">(Sens!G14734-Sens!G14730)*Sens!G14620/(Sens!G14620+Sens!G14622)</f>
        <v>8.47329906626119</v>
      </c>
      <c r="H14735" s="6" t="n">
        <f aca="false">(Sens!H14734-Sens!H14730)*Sens!H14620/(Sens!H14620+Sens!H14622)</f>
        <v>8.11172931623856</v>
      </c>
      <c r="I14735" s="6" t="n">
        <f aca="false">(Sens!I14734-Sens!I14730)*Sens!I14620/(Sens!I14620+Sens!I14622)</f>
        <v>7.93025853910794</v>
      </c>
      <c r="J14735" s="6" t="n">
        <f aca="false">(Sens!J14734-Sens!J14730)*Sens!J14620/(Sens!J14620+Sens!J14622)</f>
        <v>7.90718743244448</v>
      </c>
      <c r="K14735" s="6" t="n">
        <f aca="false">(Sens!K14734-Sens!K14730)*Sens!K14620/(Sens!K14620+Sens!K14622)</f>
        <v>8.03071019564782</v>
      </c>
    </row>
    <row r="14736" customFormat="false" ht="17.15" hidden="false" customHeight="false" outlineLevel="0" collapsed="false">
      <c r="A14736" s="0" t="s">
        <v>1082</v>
      </c>
      <c r="B14736" s="0" t="s">
        <v>98</v>
      </c>
      <c r="F14736" s="6" t="n">
        <f aca="false">Sens!F14734-Sens!F14730-Sens!F14735</f>
        <v>7.45691645408224</v>
      </c>
      <c r="G14736" s="6" t="n">
        <f aca="false">Sens!G14734-Sens!G14730-Sens!G14735</f>
        <v>7.26415689068576</v>
      </c>
      <c r="H14736" s="6" t="n">
        <f aca="false">Sens!H14734-Sens!H14730-Sens!H14735</f>
        <v>7.16048534364637</v>
      </c>
      <c r="I14736" s="6" t="n">
        <f aca="false">Sens!I14734-Sens!I14730-Sens!I14735</f>
        <v>7.13662054392361</v>
      </c>
      <c r="J14736" s="6" t="n">
        <f aca="false">Sens!J14734-Sens!J14730-Sens!J14735</f>
        <v>7.18410057635403</v>
      </c>
      <c r="K14736" s="6" t="n">
        <f aca="false">Sens!K14734-Sens!K14730-Sens!K14735</f>
        <v>7.29632758019118</v>
      </c>
    </row>
    <row r="14737" customFormat="false" ht="17.15" hidden="false" customHeight="false" outlineLevel="0" collapsed="false">
      <c r="A14737" s="0" t="s">
        <v>1083</v>
      </c>
      <c r="B14737" s="0" t="s">
        <v>98</v>
      </c>
      <c r="F14737" s="6" t="n">
        <f aca="false">Sens!F14731-tax_f*(Sens!F14731-Sens!F14598)-Sens!F14595</f>
        <v>-9.34413134375297</v>
      </c>
      <c r="G14737" s="6" t="n">
        <f aca="false">Sens!G14731-tax_f*(Sens!G14731-Sens!G14598)-Sens!G14595</f>
        <v>-12.9200210537875</v>
      </c>
      <c r="H14737" s="6" t="n">
        <f aca="false">Sens!H14731-tax_f*(Sens!H14731-Sens!H14598)-Sens!H14595</f>
        <v>20.6832128278209</v>
      </c>
      <c r="I14737" s="6" t="n">
        <f aca="false">Sens!I14731-tax_f*(Sens!I14731-Sens!I14598)-Sens!I14595</f>
        <v>-8.72561140418544</v>
      </c>
      <c r="J14737" s="6" t="n">
        <f aca="false">Sens!J14731-tax_f*(Sens!J14731-Sens!J14598)-Sens!J14595</f>
        <v>-22.7515076027954</v>
      </c>
      <c r="K14737" s="6" t="n">
        <f aca="false">Sens!K14731-tax_f*(Sens!K14731-Sens!K14598)-Sens!K14595</f>
        <v>-65.0867591916478</v>
      </c>
    </row>
    <row r="14738" customFormat="false" ht="17.15" hidden="false" customHeight="false" outlineLevel="0" collapsed="false">
      <c r="A14738" s="0" t="s">
        <v>1084</v>
      </c>
      <c r="B14738" s="0" t="s">
        <v>98</v>
      </c>
      <c r="G14738" s="6" t="n">
        <f aca="false">Sens!G14737/(1+wacc)^(Sens!G14710-(Sens!F14710+mid_yr))</f>
        <v>-12.3023584342955</v>
      </c>
      <c r="H14738" s="6" t="n">
        <f aca="false">Sens!H14737/(1+wacc)^(Sens!H14710-(Sens!F14710+mid_yr))</f>
        <v>17.8563818852636</v>
      </c>
      <c r="I14738" s="6" t="n">
        <f aca="false">Sens!I14737/(1+wacc)^(Sens!I14710-(Sens!F14710+mid_yr))</f>
        <v>-6.83001475712892</v>
      </c>
      <c r="J14738" s="6" t="n">
        <f aca="false">Sens!J14737/(1+wacc)^(Sens!J14710-(Sens!F14710+mid_yr))</f>
        <v>-16.1467924897798</v>
      </c>
      <c r="K14738" s="6" t="n">
        <f aca="false">Sens!K14737/(1+wacc)^(Sens!K14710-(Sens!F14710+mid_yr))</f>
        <v>-41.8811927248948</v>
      </c>
      <c r="L14738" s="1" t="s">
        <v>1085</v>
      </c>
    </row>
    <row r="14739" customFormat="false" ht="17.15" hidden="false" customHeight="false" outlineLevel="0" collapsed="false">
      <c r="A14739" s="0" t="s">
        <v>1086</v>
      </c>
      <c r="B14739" s="0" t="s">
        <v>98</v>
      </c>
      <c r="C14739" s="6" t="n">
        <f aca="false">(Sens!K14731-Sens!K14598)*(1-tax_f)*(1+g_tv)*(1-g_tv/(wacc+ronic_prem))/(wacc-g_tv)/(1+wacc)^(Sens!K14710+mid_yr-(Sens!F14710+mid_yr))</f>
        <v>-70.4995776588565</v>
      </c>
    </row>
    <row r="14740" customFormat="false" ht="17.15" hidden="false" customHeight="false" outlineLevel="0" collapsed="false">
      <c r="A14740" s="1" t="s">
        <v>1087</v>
      </c>
      <c r="B14740" s="0" t="s">
        <v>98</v>
      </c>
      <c r="C14740" s="6" t="n">
        <f aca="false">(SUM(Sens!G14738:K14738)+Sens!$C$14739)*(1+wacc)^(t_roll-(Sens!F14710+mid_yr))</f>
        <v>-134.016708999872</v>
      </c>
      <c r="L14740" s="11" t="s">
        <v>1088</v>
      </c>
    </row>
    <row r="14741" customFormat="false" ht="17.15" hidden="false" customHeight="false" outlineLevel="0" collapsed="false">
      <c r="A14741" s="1" t="s">
        <v>1089</v>
      </c>
      <c r="B14741" s="0" t="s">
        <v>98</v>
      </c>
      <c r="C14741" s="6" t="n">
        <f aca="false">(w_ntm28*Sens!G14587+(1-w_ntm28)*Sens!H14587)*m_ai</f>
        <v>153.268235565806</v>
      </c>
    </row>
    <row r="14742" customFormat="false" ht="17.15" hidden="false" customHeight="false" outlineLevel="0" collapsed="false">
      <c r="A14742" s="1" t="s">
        <v>1090</v>
      </c>
      <c r="B14742" s="0" t="s">
        <v>98</v>
      </c>
      <c r="C14742" s="6" t="n">
        <f aca="false">(w_ntm28*Sens!G14733+(1-w_ntm28)*Sens!H14733)*m_cloud</f>
        <v>924.344866422351</v>
      </c>
    </row>
    <row r="14743" customFormat="false" ht="17.15" hidden="false" customHeight="false" outlineLevel="0" collapsed="false">
      <c r="A14743" s="1" t="s">
        <v>1091</v>
      </c>
      <c r="B14743" s="0" t="s">
        <v>98</v>
      </c>
      <c r="C14743" s="6" t="n">
        <f aca="false">(w_ntm28*Sens!G14726+(1-w_ntm28)*Sens!H14726)*m_sw</f>
        <v>1089.35709878047</v>
      </c>
    </row>
    <row r="14744" customFormat="false" ht="17.15" hidden="false" customHeight="false" outlineLevel="0" collapsed="false">
      <c r="A14744" s="1" t="s">
        <v>1092</v>
      </c>
      <c r="B14744" s="0" t="s">
        <v>98</v>
      </c>
      <c r="C14744" s="6" t="n">
        <f aca="false">(w_ntm28*Sens!G14727+(1-w_ntm28)*Sens!H14727)*m_sw</f>
        <v>393.381878377448</v>
      </c>
    </row>
    <row r="14745" customFormat="false" ht="17.15" hidden="false" customHeight="false" outlineLevel="0" collapsed="false">
      <c r="A14745" s="1" t="s">
        <v>1093</v>
      </c>
      <c r="B14745" s="0" t="s">
        <v>98</v>
      </c>
      <c r="C14745" s="6" t="n">
        <f aca="false">(w_ntm28*Sens!G14728+(1-w_ntm28)*Sens!H14728)*m_sw</f>
        <v>117.72656631189</v>
      </c>
    </row>
    <row r="14746" customFormat="false" ht="17.15" hidden="false" customHeight="false" outlineLevel="0" collapsed="false">
      <c r="A14746" s="1" t="s">
        <v>1094</v>
      </c>
      <c r="B14746" s="0" t="s">
        <v>98</v>
      </c>
      <c r="C14746" s="6" t="n">
        <f aca="false">(w_ntm28*Sens!G14729+(1-w_ntm28)*Sens!H14729)*m_sw</f>
        <v>44.9171531557409</v>
      </c>
    </row>
    <row r="14747" customFormat="false" ht="17.15" hidden="false" customHeight="false" outlineLevel="0" collapsed="false">
      <c r="A14747" s="1" t="s">
        <v>1095</v>
      </c>
      <c r="B14747" s="0" t="s">
        <v>98</v>
      </c>
      <c r="C14747" s="6" t="n">
        <f aca="false">(w_ntm28*Sens!G14730+(1-w_ntm28)*Sens!H14730)*m_ads</f>
        <v>124.097516207843</v>
      </c>
    </row>
    <row r="14748" customFormat="false" ht="17.15" hidden="false" customHeight="false" outlineLevel="0" collapsed="false">
      <c r="A14748" s="1" t="s">
        <v>1096</v>
      </c>
      <c r="B14748" s="0" t="s">
        <v>98</v>
      </c>
      <c r="C14748" s="6" t="n">
        <f aca="false">(w_ntm28*Sens!G14735+(1-w_ntm28)*Sens!H14735)*m_game</f>
        <v>105.541433340444</v>
      </c>
    </row>
    <row r="14749" customFormat="false" ht="17.15" hidden="false" customHeight="false" outlineLevel="0" collapsed="false">
      <c r="A14749" s="1" t="s">
        <v>1097</v>
      </c>
      <c r="B14749" s="0" t="s">
        <v>98</v>
      </c>
      <c r="C14749" s="6" t="n">
        <f aca="false">(w_ntm28*Sens!G14736+(1-w_ntm28)*Sens!H14736)*m_pc</f>
        <v>104.627377551489</v>
      </c>
    </row>
    <row r="14750" customFormat="false" ht="17.15" hidden="false" customHeight="false" outlineLevel="0" collapsed="false">
      <c r="A14750" s="1" t="s">
        <v>1098</v>
      </c>
      <c r="B14750" s="0" t="s">
        <v>98</v>
      </c>
      <c r="C14750" s="6" t="n">
        <f aca="false">Sens!$C$14740+Sens!$C$14742+Sens!$C$14743+Sens!$C$14744+Sens!$C$14745+Sens!$C$14746+Sens!$C$14747+Sens!$C$14748+Sens!$C$14749</f>
        <v>2769.9771811478</v>
      </c>
    </row>
    <row r="14751" customFormat="false" ht="17.15" hidden="false" customHeight="false" outlineLevel="0" collapsed="false">
      <c r="A14751" s="1" t="s">
        <v>1099</v>
      </c>
      <c r="B14751" s="0" t="s">
        <v>98</v>
      </c>
      <c r="C14751" s="6" t="n">
        <f aca="false">(Sens!G14712-Sens!G14737)*t_stub</f>
        <v>47.6370070468035</v>
      </c>
      <c r="L14751" s="1" t="s">
        <v>1100</v>
      </c>
    </row>
    <row r="14752" customFormat="false" ht="17.15" hidden="false" customHeight="false" outlineLevel="0" collapsed="false">
      <c r="A14752" s="1" t="s">
        <v>1014</v>
      </c>
      <c r="B14752" s="0" t="s">
        <v>98</v>
      </c>
      <c r="C14752" s="6" t="n">
        <f aca="false">Sens!F14701+oai_v-Sens!F14690+Sens!$C$14751</f>
        <v>148.312457258367</v>
      </c>
      <c r="L14752" s="1" t="s">
        <v>1101</v>
      </c>
    </row>
    <row r="14753" customFormat="false" ht="17.15" hidden="false" customHeight="false" outlineLevel="0" collapsed="false">
      <c r="A14753" s="1" t="s">
        <v>1102</v>
      </c>
      <c r="B14753" s="0" t="s">
        <v>75</v>
      </c>
      <c r="C14753" s="5" t="n">
        <f aca="false">(Sens!$C$14750+Sens!$C$14752)/(Sens!F14703+dil_gap)-Sens!G14693*roll_div_q/q_per_yr</f>
        <v>388.273418677451</v>
      </c>
      <c r="L14753" s="1" t="s">
        <v>1103</v>
      </c>
    </row>
    <row r="14754" customFormat="false" ht="17.15" hidden="false" customHeight="false" outlineLevel="0" collapsed="false">
      <c r="A14754" s="1" t="s">
        <v>1104</v>
      </c>
      <c r="B14754" s="0" t="s">
        <v>75</v>
      </c>
      <c r="C14754" s="5" t="n">
        <f aca="false">w_dcf*Sens!$C$14724+(1-w_dcf)*Sens!$C$14753</f>
        <v>330.109149990176</v>
      </c>
    </row>
    <row r="14755" customFormat="false" ht="17.15" hidden="false" customHeight="false" outlineLevel="0" collapsed="false">
      <c r="A14755" s="3" t="s">
        <v>1636</v>
      </c>
    </row>
    <row r="14756" customFormat="false" ht="15" hidden="false" customHeight="false" outlineLevel="0" collapsed="false">
      <c r="A14756" s="4" t="s">
        <v>43</v>
      </c>
      <c r="B14756" s="4" t="s">
        <v>65</v>
      </c>
      <c r="C14756" s="20" t="s">
        <v>799</v>
      </c>
      <c r="D14756" s="20" t="s">
        <v>800</v>
      </c>
      <c r="E14756" s="20" t="s">
        <v>801</v>
      </c>
      <c r="F14756" s="20" t="s">
        <v>802</v>
      </c>
      <c r="G14756" s="20" t="s">
        <v>803</v>
      </c>
      <c r="H14756" s="20" t="s">
        <v>804</v>
      </c>
      <c r="I14756" s="20" t="s">
        <v>805</v>
      </c>
      <c r="J14756" s="20" t="s">
        <v>806</v>
      </c>
      <c r="K14756" s="20" t="s">
        <v>807</v>
      </c>
      <c r="L14756" s="4" t="s">
        <v>47</v>
      </c>
    </row>
    <row r="14757" customFormat="false" ht="17.15" hidden="false" customHeight="false" outlineLevel="0" collapsed="false">
      <c r="A14757" s="1" t="s">
        <v>808</v>
      </c>
      <c r="B14757" s="1" t="s">
        <v>235</v>
      </c>
      <c r="C14757" s="28" t="n">
        <v>2024</v>
      </c>
      <c r="D14757" s="28" t="n">
        <v>2025</v>
      </c>
      <c r="E14757" s="28" t="n">
        <v>2026</v>
      </c>
      <c r="F14757" s="28" t="n">
        <v>2027</v>
      </c>
      <c r="G14757" s="28" t="n">
        <v>2028</v>
      </c>
      <c r="H14757" s="28" t="n">
        <v>2029</v>
      </c>
      <c r="I14757" s="28" t="n">
        <v>2030</v>
      </c>
      <c r="J14757" s="28" t="n">
        <v>2031</v>
      </c>
      <c r="K14757" s="28" t="n">
        <v>2032</v>
      </c>
    </row>
    <row r="14758" customFormat="false" ht="17.15" hidden="false" customHeight="false" outlineLevel="0" collapsed="false">
      <c r="A14758" s="1" t="s">
        <v>809</v>
      </c>
      <c r="B14758" s="0" t="s">
        <v>399</v>
      </c>
      <c r="F14758" s="29" t="n">
        <f aca="false">pace</f>
        <v>2527.2</v>
      </c>
      <c r="G14758" s="29" t="n">
        <f aca="false">pace</f>
        <v>2527.2</v>
      </c>
      <c r="H14758" s="29" t="n">
        <f aca="false">pace</f>
        <v>2527.2</v>
      </c>
      <c r="I14758" s="29" t="n">
        <f aca="false">pace+(g_tv*Sens!H14759-pace)*MIN(1,(Sens!I14757-pace_y0)/(pace_y1-pace_y0))</f>
        <v>1793.116</v>
      </c>
      <c r="J14758" s="29" t="n">
        <f aca="false">pace+(g_tv*Sens!I14759-pace)*MIN(1,(Sens!J14757-pace_y0)/(pace_y1-pace_y0))</f>
        <v>1094.89432</v>
      </c>
      <c r="K14758" s="29" t="n">
        <f aca="false">pace+(g_tv*Sens!J14759-pace)*MIN(1,(Sens!K14757-pace_y0)/(pace_y1-pace_y0))</f>
        <v>411.5883096</v>
      </c>
      <c r="L14758" s="11" t="s">
        <v>810</v>
      </c>
    </row>
    <row r="14759" customFormat="false" ht="17.15" hidden="false" customHeight="false" outlineLevel="0" collapsed="false">
      <c r="A14759" s="1" t="s">
        <v>811</v>
      </c>
      <c r="B14759" s="0" t="s">
        <v>399</v>
      </c>
      <c r="C14759" s="29" t="n">
        <f aca="false">mw_ext_24</f>
        <v>640</v>
      </c>
      <c r="D14759" s="29" t="n">
        <f aca="false">mw_ext_25</f>
        <v>1630</v>
      </c>
      <c r="E14759" s="29" t="n">
        <f aca="false">mw_ext_26</f>
        <v>3250</v>
      </c>
      <c r="F14759" s="29" t="n">
        <f aca="false">Sens!E14759+Sens!F14758</f>
        <v>5777.2</v>
      </c>
      <c r="G14759" s="29" t="n">
        <f aca="false">Sens!F14759+Sens!G14758</f>
        <v>8304.4</v>
      </c>
      <c r="H14759" s="29" t="n">
        <f aca="false">Sens!G14759+Sens!H14758</f>
        <v>10831.6</v>
      </c>
      <c r="I14759" s="29" t="n">
        <f aca="false">Sens!H14759+Sens!I14758</f>
        <v>12624.716</v>
      </c>
      <c r="J14759" s="29" t="n">
        <f aca="false">Sens!I14759+Sens!J14758</f>
        <v>13719.61032</v>
      </c>
      <c r="K14759" s="29" t="n">
        <f aca="false">Sens!J14759+Sens!K14758</f>
        <v>14131.1986296</v>
      </c>
      <c r="L14759" s="1" t="s">
        <v>812</v>
      </c>
    </row>
    <row r="14760" customFormat="false" ht="17.15" hidden="false" customHeight="false" outlineLevel="0" collapsed="false">
      <c r="A14760" s="1" t="s">
        <v>813</v>
      </c>
      <c r="B14760" s="0" t="s">
        <v>399</v>
      </c>
      <c r="C14760" s="29" t="n">
        <f aca="false">rent_ext_24</f>
        <v>150</v>
      </c>
      <c r="D14760" s="29" t="n">
        <f aca="false">rent_ext_25</f>
        <v>400</v>
      </c>
      <c r="E14760" s="29" t="n">
        <f aca="false">rent_ext_26</f>
        <v>550</v>
      </c>
      <c r="F14760" s="29" t="n">
        <f aca="false">rent_ext_f</f>
        <v>756</v>
      </c>
      <c r="G14760" s="29" t="n">
        <f aca="false">rent_ext_f</f>
        <v>756</v>
      </c>
      <c r="H14760" s="29" t="n">
        <f aca="false">rent_ext_f</f>
        <v>756</v>
      </c>
      <c r="I14760" s="29" t="n">
        <f aca="false">rent_ext_f</f>
        <v>756</v>
      </c>
      <c r="J14760" s="29" t="n">
        <f aca="false">rent_ext_f</f>
        <v>756</v>
      </c>
      <c r="K14760" s="29" t="n">
        <f aca="false">rent_ext_f</f>
        <v>756</v>
      </c>
      <c r="L14760" s="1" t="s">
        <v>814</v>
      </c>
    </row>
    <row r="14761" customFormat="false" ht="17.15" hidden="false" customHeight="false" outlineLevel="0" collapsed="false">
      <c r="A14761" s="1" t="s">
        <v>815</v>
      </c>
      <c r="B14761" s="0" t="s">
        <v>399</v>
      </c>
      <c r="C14761" s="29" t="n">
        <f aca="false">Sens!C14759-Sens!C14760</f>
        <v>490</v>
      </c>
      <c r="D14761" s="29" t="n">
        <f aca="false">Sens!D14759-Sens!D14760</f>
        <v>1230</v>
      </c>
      <c r="E14761" s="29" t="n">
        <f aca="false">Sens!E14759-Sens!E14760</f>
        <v>2700</v>
      </c>
      <c r="F14761" s="29" t="n">
        <f aca="false">Sens!F14759-Sens!F14760</f>
        <v>5021.2</v>
      </c>
      <c r="G14761" s="29" t="n">
        <f aca="false">Sens!G14759-Sens!G14760</f>
        <v>7548.4</v>
      </c>
      <c r="H14761" s="29" t="n">
        <f aca="false">Sens!H14759-Sens!H14760</f>
        <v>10075.6</v>
      </c>
      <c r="I14761" s="29" t="n">
        <f aca="false">Sens!I14759-Sens!I14760</f>
        <v>11868.716</v>
      </c>
      <c r="J14761" s="29" t="n">
        <f aca="false">Sens!J14759-Sens!J14760</f>
        <v>12963.61032</v>
      </c>
      <c r="K14761" s="29" t="n">
        <f aca="false">Sens!K14759-Sens!K14760</f>
        <v>13375.1986296</v>
      </c>
    </row>
    <row r="14762" customFormat="false" ht="17.15" hidden="false" customHeight="false" outlineLevel="0" collapsed="false">
      <c r="A14762" s="1" t="s">
        <v>816</v>
      </c>
      <c r="B14762" s="0" t="s">
        <v>399</v>
      </c>
      <c r="C14762" s="29" t="n">
        <f aca="false">Sens!C14761/ext_sh</f>
        <v>816.666666666667</v>
      </c>
      <c r="D14762" s="29" t="n">
        <f aca="false">Sens!D14761/ext_sh</f>
        <v>2050</v>
      </c>
      <c r="E14762" s="29" t="n">
        <f aca="false">Sens!E14761/ext_sh</f>
        <v>4500</v>
      </c>
      <c r="F14762" s="29" t="n">
        <f aca="false">Sens!F14761/ext_sh</f>
        <v>8368.66666666667</v>
      </c>
      <c r="G14762" s="29" t="n">
        <f aca="false">Sens!G14761/ext_sh</f>
        <v>12580.6666666667</v>
      </c>
      <c r="H14762" s="29" t="n">
        <f aca="false">Sens!H14761/ext_sh</f>
        <v>16792.6666666667</v>
      </c>
      <c r="I14762" s="29" t="n">
        <f aca="false">Sens!I14761/ext_sh</f>
        <v>19781.1933333333</v>
      </c>
      <c r="J14762" s="29" t="n">
        <f aca="false">Sens!J14761/ext_sh</f>
        <v>21606.0172</v>
      </c>
      <c r="K14762" s="29" t="n">
        <f aca="false">Sens!K14761/ext_sh</f>
        <v>22291.997716</v>
      </c>
      <c r="L14762" s="1" t="s">
        <v>817</v>
      </c>
    </row>
    <row r="14763" customFormat="false" ht="17.15" hidden="false" customHeight="false" outlineLevel="0" collapsed="false">
      <c r="A14763" s="1" t="s">
        <v>818</v>
      </c>
      <c r="B14763" s="0" t="s">
        <v>399</v>
      </c>
      <c r="C14763" s="29" t="n">
        <f aca="false">Sens!C14762-Sens!C14761</f>
        <v>326.666666666667</v>
      </c>
      <c r="D14763" s="29" t="n">
        <f aca="false">Sens!D14762-Sens!D14761</f>
        <v>820</v>
      </c>
      <c r="E14763" s="29" t="n">
        <f aca="false">Sens!E14762-Sens!E14761</f>
        <v>1800</v>
      </c>
      <c r="F14763" s="29" t="n">
        <f aca="false">Sens!F14762-Sens!F14761</f>
        <v>3347.46666666667</v>
      </c>
      <c r="G14763" s="29" t="n">
        <f aca="false">Sens!G14762-Sens!G14761</f>
        <v>5032.26666666667</v>
      </c>
      <c r="H14763" s="29" t="n">
        <f aca="false">Sens!H14762-Sens!H14761</f>
        <v>6717.06666666667</v>
      </c>
      <c r="I14763" s="29" t="n">
        <f aca="false">Sens!I14762-Sens!I14761</f>
        <v>7912.47733333333</v>
      </c>
      <c r="J14763" s="29" t="n">
        <f aca="false">Sens!J14762-Sens!J14761</f>
        <v>8642.40688</v>
      </c>
      <c r="K14763" s="29" t="n">
        <f aca="false">Sens!K14762-Sens!K14761</f>
        <v>8916.7990864</v>
      </c>
    </row>
    <row r="14764" customFormat="false" ht="17.15" hidden="false" customHeight="false" outlineLevel="0" collapsed="false">
      <c r="A14764" s="1" t="s">
        <v>819</v>
      </c>
      <c r="B14764" s="0" t="s">
        <v>399</v>
      </c>
      <c r="C14764" s="29" t="n">
        <f aca="false">Sens!C14762</f>
        <v>816.666666666667</v>
      </c>
      <c r="D14764" s="29" t="n">
        <f aca="false">Sens!D14762-Sens!C14762</f>
        <v>1233.33333333333</v>
      </c>
      <c r="E14764" s="29" t="n">
        <f aca="false">Sens!E14762-Sens!D14762</f>
        <v>2450</v>
      </c>
      <c r="F14764" s="29" t="n">
        <f aca="false">Sens!F14762-Sens!E14762</f>
        <v>3868.66666666667</v>
      </c>
      <c r="G14764" s="29" t="n">
        <f aca="false">Sens!G14762-Sens!F14762</f>
        <v>4212</v>
      </c>
      <c r="H14764" s="29" t="n">
        <f aca="false">Sens!H14762-Sens!G14762</f>
        <v>4212</v>
      </c>
      <c r="I14764" s="29" t="n">
        <f aca="false">Sens!I14762-Sens!H14762</f>
        <v>2988.52666666667</v>
      </c>
      <c r="J14764" s="29" t="n">
        <f aca="false">Sens!J14762-Sens!I14762</f>
        <v>1824.82386666667</v>
      </c>
      <c r="K14764" s="29" t="n">
        <f aca="false">Sens!K14762-Sens!J14762</f>
        <v>685.980516</v>
      </c>
    </row>
    <row r="14765" customFormat="false" ht="17.15" hidden="false" customHeight="false" outlineLevel="0" collapsed="false">
      <c r="A14765" s="1" t="s">
        <v>820</v>
      </c>
      <c r="B14765" s="0" t="s">
        <v>399</v>
      </c>
      <c r="D14765" s="29" t="n">
        <f aca="false">Sens!D14759-Sens!C14759</f>
        <v>990</v>
      </c>
      <c r="E14765" s="29" t="n">
        <f aca="false">Sens!E14759-Sens!D14759</f>
        <v>1620</v>
      </c>
      <c r="F14765" s="29" t="n">
        <f aca="false">Sens!F14759-Sens!E14759</f>
        <v>2527.2</v>
      </c>
      <c r="G14765" s="29" t="n">
        <f aca="false">Sens!G14759-Sens!F14759</f>
        <v>2527.2</v>
      </c>
      <c r="H14765" s="29" t="n">
        <f aca="false">Sens!H14759-Sens!G14759</f>
        <v>2527.2</v>
      </c>
      <c r="I14765" s="29" t="n">
        <f aca="false">Sens!I14759-Sens!H14759</f>
        <v>1793.116</v>
      </c>
      <c r="J14765" s="29" t="n">
        <f aca="false">Sens!J14759-Sens!I14759</f>
        <v>1094.89432</v>
      </c>
      <c r="K14765" s="29" t="n">
        <f aca="false">Sens!K14759-Sens!J14759</f>
        <v>411.5883096</v>
      </c>
    </row>
    <row r="14766" customFormat="false" ht="17.15" hidden="false" customHeight="false" outlineLevel="0" collapsed="false">
      <c r="A14766" s="1" t="s">
        <v>821</v>
      </c>
      <c r="B14766" s="0" t="s">
        <v>399</v>
      </c>
      <c r="F14766" s="29" t="n">
        <f aca="false">Sens!F14783*ext_sh</f>
        <v>0</v>
      </c>
      <c r="G14766" s="29" t="n">
        <f aca="false">Sens!G14783*ext_sh</f>
        <v>0</v>
      </c>
      <c r="H14766" s="29" t="n">
        <f aca="false">Sens!H14783*ext_sh</f>
        <v>0</v>
      </c>
      <c r="I14766" s="29" t="n">
        <f aca="false">Sens!I14783*ext_sh</f>
        <v>490</v>
      </c>
      <c r="J14766" s="29" t="n">
        <f aca="false">Sens!J14783*ext_sh</f>
        <v>740</v>
      </c>
      <c r="K14766" s="29" t="n">
        <f aca="false">Sens!K14783*ext_sh</f>
        <v>1470</v>
      </c>
      <c r="L14766" s="1" t="s">
        <v>822</v>
      </c>
    </row>
    <row r="14767" customFormat="false" ht="17.15" hidden="false" customHeight="false" outlineLevel="0" collapsed="false">
      <c r="A14767" s="1" t="s">
        <v>823</v>
      </c>
      <c r="B14767" s="0" t="s">
        <v>399</v>
      </c>
      <c r="C14767" s="29" t="n">
        <f aca="false">mix_h*Sens!C14759</f>
        <v>128</v>
      </c>
      <c r="D14767" s="29" t="n">
        <f aca="false">mix_h*Sens!D14759</f>
        <v>326</v>
      </c>
      <c r="E14767" s="29" t="n">
        <f aca="false">mix_h*Sens!E14759</f>
        <v>650</v>
      </c>
      <c r="F14767" s="29" t="n">
        <f aca="false">Sens!E14767-Sens!F14766*mix_h</f>
        <v>650</v>
      </c>
      <c r="G14767" s="29" t="n">
        <f aca="false">Sens!F14767-Sens!G14766*mix_h</f>
        <v>650</v>
      </c>
      <c r="H14767" s="29" t="n">
        <f aca="false">Sens!G14767-Sens!H14766*mix_h</f>
        <v>650</v>
      </c>
      <c r="I14767" s="29" t="n">
        <f aca="false">Sens!H14767-Sens!I14766*mix_h</f>
        <v>552</v>
      </c>
      <c r="J14767" s="29" t="n">
        <f aca="false">Sens!I14767-Sens!J14766*mix_h</f>
        <v>404</v>
      </c>
      <c r="K14767" s="29" t="n">
        <f aca="false">Sens!J14767-Sens!K14766*mix_h</f>
        <v>110</v>
      </c>
    </row>
    <row r="14768" customFormat="false" ht="17.15" hidden="false" customHeight="false" outlineLevel="0" collapsed="false">
      <c r="A14768" s="1" t="s">
        <v>824</v>
      </c>
      <c r="B14768" s="0" t="s">
        <v>399</v>
      </c>
      <c r="C14768" s="29" t="n">
        <f aca="false">mix_g2*Sens!C14759</f>
        <v>288</v>
      </c>
      <c r="D14768" s="29" t="n">
        <f aca="false">mix_g2*Sens!D14759</f>
        <v>733.5</v>
      </c>
      <c r="E14768" s="29" t="n">
        <f aca="false">mix_g2*Sens!E14759</f>
        <v>1462.5</v>
      </c>
      <c r="F14768" s="29" t="n">
        <f aca="false">Sens!E14768-Sens!F14766*mix_g2</f>
        <v>1462.5</v>
      </c>
      <c r="G14768" s="29" t="n">
        <f aca="false">Sens!F14768-Sens!G14766*mix_g2</f>
        <v>1462.5</v>
      </c>
      <c r="H14768" s="29" t="n">
        <f aca="false">Sens!G14768-Sens!H14766*mix_g2</f>
        <v>1462.5</v>
      </c>
      <c r="I14768" s="29" t="n">
        <f aca="false">Sens!H14768-Sens!I14766*mix_g2</f>
        <v>1242</v>
      </c>
      <c r="J14768" s="29" t="n">
        <f aca="false">Sens!I14768-Sens!J14766*mix_g2</f>
        <v>909</v>
      </c>
      <c r="K14768" s="29" t="n">
        <f aca="false">Sens!J14768-Sens!K14766*mix_g2</f>
        <v>247.5</v>
      </c>
    </row>
    <row r="14769" customFormat="false" ht="17.15" hidden="false" customHeight="false" outlineLevel="0" collapsed="false">
      <c r="A14769" s="1" t="s">
        <v>825</v>
      </c>
      <c r="B14769" s="0" t="s">
        <v>399</v>
      </c>
      <c r="C14769" s="29" t="n">
        <f aca="false">mix_g3*Sens!C14759</f>
        <v>224</v>
      </c>
      <c r="D14769" s="29" t="n">
        <f aca="false">mix_g3*Sens!D14759</f>
        <v>570.5</v>
      </c>
      <c r="E14769" s="29" t="n">
        <f aca="false">mix_g3*Sens!E14759</f>
        <v>1137.5</v>
      </c>
      <c r="F14769" s="29" t="n">
        <f aca="false">Sens!E14769+(Sens!F14765+Sens!F14766)*a_g3_27-Sens!F14766*mix_g3</f>
        <v>2906.54</v>
      </c>
      <c r="G14769" s="29" t="n">
        <f aca="false">Sens!F14769+(Sens!G14765+Sens!G14766)*a_g3_28-Sens!G14766*mix_g3</f>
        <v>3664.7</v>
      </c>
      <c r="H14769" s="29" t="n">
        <f aca="false">Sens!G14769+(Sens!H14765+Sens!H14766)*a_g3_29-Sens!H14766*mix_g3</f>
        <v>3917.42</v>
      </c>
      <c r="I14769" s="29" t="n">
        <f aca="false">Sens!H14769+(Sens!I14765+Sens!I14766)*a_g3_29-Sens!I14766*mix_g3</f>
        <v>3974.2316</v>
      </c>
      <c r="J14769" s="29" t="n">
        <f aca="false">Sens!I14769+(Sens!J14765+Sens!J14766)*a_g3_29-Sens!J14766*mix_g3</f>
        <v>3898.721032</v>
      </c>
      <c r="K14769" s="29" t="n">
        <f aca="false">Sens!J14769+(Sens!K14765+Sens!K14766)*a_g3_29-Sens!K14766*mix_g3</f>
        <v>3572.37986296</v>
      </c>
    </row>
    <row r="14770" customFormat="false" ht="17.15" hidden="false" customHeight="false" outlineLevel="0" collapsed="false">
      <c r="A14770" s="1" t="s">
        <v>826</v>
      </c>
      <c r="B14770" s="0" t="s">
        <v>399</v>
      </c>
      <c r="C14770" s="29" t="n">
        <v>0</v>
      </c>
      <c r="D14770" s="29" t="n">
        <v>0</v>
      </c>
      <c r="E14770" s="29" t="n">
        <v>0</v>
      </c>
      <c r="F14770" s="29" t="n">
        <f aca="false">Sens!E14770+(Sens!F14765+Sens!F14766)*(1-a_g3_27)</f>
        <v>758.16</v>
      </c>
      <c r="G14770" s="29" t="n">
        <f aca="false">Sens!F14770+(Sens!G14765+Sens!G14766)*(1-a_g3_28)</f>
        <v>2527.2</v>
      </c>
      <c r="H14770" s="29" t="n">
        <f aca="false">Sens!G14770+(Sens!H14765+Sens!H14766)*(1-a_g3_29)</f>
        <v>4801.68</v>
      </c>
      <c r="I14770" s="29" t="n">
        <f aca="false">Sens!H14770+(Sens!I14765+Sens!I14766)*(1-a_g3_29)</f>
        <v>6856.4844</v>
      </c>
      <c r="J14770" s="29" t="n">
        <f aca="false">Sens!I14770+(Sens!J14765+Sens!J14766)*(1-a_g3_29)</f>
        <v>8507.889288</v>
      </c>
      <c r="K14770" s="29" t="n">
        <f aca="false">Sens!J14770+(Sens!K14765+Sens!K14766)*(1-a_g3_29)</f>
        <v>10201.31876664</v>
      </c>
    </row>
    <row r="14771" customFormat="false" ht="17.15" hidden="false" customHeight="false" outlineLevel="0" collapsed="false">
      <c r="A14771" s="1" t="s">
        <v>827</v>
      </c>
      <c r="B14771" s="0" t="s">
        <v>346</v>
      </c>
      <c r="C14771" s="14" t="n">
        <f aca="false">(Sens!C14767*tk_hold_h100+Sens!C14768*tk_hold_gb200+Sens!C14769*tk_hold_gb300+Sens!C14770*tk_hold_vr200)/Sens!C14759</f>
        <v>9.7235358126469</v>
      </c>
      <c r="D14771" s="14" t="n">
        <f aca="false">(Sens!D14767*tk_hold_h100+Sens!D14768*tk_hold_gb200+Sens!D14769*tk_hold_gb300+Sens!D14770*tk_hold_vr200)/Sens!D14759</f>
        <v>9.7235358126469</v>
      </c>
      <c r="E14771" s="14" t="n">
        <f aca="false">(Sens!E14767*tk_hold_h100+Sens!E14768*tk_hold_gb200+Sens!E14769*tk_hold_gb300+Sens!E14770*tk_hold_vr200)/Sens!E14759</f>
        <v>9.7235358126469</v>
      </c>
      <c r="F14771" s="14" t="n">
        <f aca="false">(Sens!F14767*tk_hold_h100+Sens!F14768*tk_hold_gb200+Sens!F14769*tk_hold_gb300+Sens!F14770*tk_hold_vr200)/Sens!F14759</f>
        <v>10.4079573161931</v>
      </c>
      <c r="G14771" s="14" t="n">
        <f aca="false">(Sens!G14767*tk_hold_h100+Sens!G14768*tk_hold_gb200+Sens!G14769*tk_hold_gb300+Sens!G14770*tk_hold_vr200)/Sens!G14759</f>
        <v>10.8388131109316</v>
      </c>
      <c r="H14771" s="14" t="n">
        <f aca="false">(Sens!H14767*tk_hold_h100+Sens!H14768*tk_hold_gb200+Sens!H14769*tk_hold_gb300+Sens!H14770*tk_hold_vr200)/Sens!H14759</f>
        <v>11.1311018388216</v>
      </c>
      <c r="I14771" s="14" t="n">
        <f aca="false">(Sens!I14767*tk_hold_h100+Sens!I14768*tk_hold_gb200+Sens!I14769*tk_hold_gb300+Sens!I14770*tk_hold_vr200)/Sens!I14759</f>
        <v>11.3594282560989</v>
      </c>
      <c r="J14771" s="14" t="n">
        <f aca="false">(Sens!J14767*tk_hold_h100+Sens!J14768*tk_hold_gb200+Sens!J14769*tk_hold_gb300+Sens!J14770*tk_hold_vr200)/Sens!J14759</f>
        <v>11.5455817917599</v>
      </c>
      <c r="K14771" s="14" t="n">
        <f aca="false">(Sens!K14767*tk_hold_h100+Sens!K14768*tk_hold_gb200+Sens!K14769*tk_hold_gb300+Sens!K14770*tk_hold_vr200)/Sens!K14759</f>
        <v>11.8078187977246</v>
      </c>
    </row>
    <row r="14772" customFormat="false" ht="17.15" hidden="false" customHeight="false" outlineLevel="0" collapsed="false">
      <c r="A14772" s="0" t="s">
        <v>828</v>
      </c>
      <c r="B14772" s="0" t="s">
        <v>185</v>
      </c>
      <c r="C14772" s="14" t="n">
        <f aca="false">k_B</f>
        <v>1.17213932619116</v>
      </c>
      <c r="D14772" s="14" t="n">
        <f aca="false">k_B</f>
        <v>1.17213932619116</v>
      </c>
      <c r="E14772" s="14" t="n">
        <f aca="false">k_B</f>
        <v>1.17213932619116</v>
      </c>
      <c r="F14772" s="14" t="n">
        <f aca="false">(k_B+((ls_A*k_long+(1-ls_A)*k_spot)-k_B)*MIN(1,(Sens!F14757-base_fy)/k_ramp))</f>
        <v>1.25022828131298</v>
      </c>
      <c r="G14772" s="14" t="n">
        <f aca="false">(k_B+((ls_A*k_long+(1-ls_A)*k_spot)-k_B)*MIN(1,(Sens!G14757-base_fy)/k_ramp))</f>
        <v>1.3283172364348</v>
      </c>
      <c r="H14772" s="14" t="n">
        <f aca="false">(k_B+((ls_A*k_long+(1-ls_A)*k_spot)-k_B)*MIN(1,(Sens!H14757-base_fy)/k_ramp))</f>
        <v>1.40640619155662</v>
      </c>
      <c r="I14772" s="14" t="n">
        <f aca="false">(k_B+((ls_A*k_long+(1-ls_A)*k_spot)-k_B)*MIN(1,(Sens!I14757-base_fy)/k_ramp))</f>
        <v>1.40640619155662</v>
      </c>
      <c r="J14772" s="14" t="n">
        <f aca="false">(k_B+((ls_A*k_long+(1-ls_A)*k_spot)-k_B)*MIN(1,(Sens!J14757-base_fy)/k_ramp))</f>
        <v>1.40640619155662</v>
      </c>
      <c r="K14772" s="14" t="n">
        <f aca="false">(k_B+((ls_A*k_long+(1-ls_A)*k_spot)-k_B)*MIN(1,(Sens!K14757-base_fy)/k_ramp))</f>
        <v>1.40640619155662</v>
      </c>
      <c r="L14772" s="1" t="s">
        <v>829</v>
      </c>
    </row>
    <row r="14773" customFormat="false" ht="17.15" hidden="false" customHeight="false" outlineLevel="0" collapsed="false">
      <c r="A14773" s="1" t="s">
        <v>830</v>
      </c>
      <c r="B14773" s="0" t="s">
        <v>346</v>
      </c>
      <c r="C14773" s="14" t="n">
        <f aca="false">Sens!C14771*Sens!C14772*chip_f</f>
        <v>11.3973387156315</v>
      </c>
      <c r="D14773" s="14" t="n">
        <f aca="false">Sens!D14771*Sens!D14772*chip_f</f>
        <v>11.3973387156315</v>
      </c>
      <c r="E14773" s="14" t="n">
        <f aca="false">Sens!E14771*Sens!E14772*chip_f</f>
        <v>11.3973387156315</v>
      </c>
      <c r="F14773" s="14" t="n">
        <f aca="false">Sens!F14771*Sens!F14772*chip_f</f>
        <v>13.0123225874029</v>
      </c>
      <c r="G14773" s="14" t="n">
        <f aca="false">Sens!G14771*Sens!G14772*chip_f</f>
        <v>14.3973822777458</v>
      </c>
      <c r="H14773" s="14" t="n">
        <f aca="false">Sens!H14771*Sens!H14772*chip_f</f>
        <v>15.6548505449659</v>
      </c>
      <c r="I14773" s="14" t="n">
        <f aca="false">Sens!I14771*Sens!I14772*chip_f</f>
        <v>15.9759702319207</v>
      </c>
      <c r="J14773" s="14" t="n">
        <f aca="false">Sens!J14771*Sens!J14772*chip_f</f>
        <v>16.2377777170545</v>
      </c>
      <c r="K14773" s="14" t="n">
        <f aca="false">Sens!K14771*Sens!K14772*chip_f</f>
        <v>16.6065894658985</v>
      </c>
      <c r="L14773" s="1" t="s">
        <v>831</v>
      </c>
    </row>
    <row r="14774" customFormat="false" ht="17.15" hidden="false" customHeight="false" outlineLevel="0" collapsed="false">
      <c r="A14774" s="0" t="s">
        <v>832</v>
      </c>
      <c r="B14774" s="0" t="s">
        <v>98</v>
      </c>
      <c r="D14774" s="6" t="n">
        <f aca="false">(Sens!C14759+Sens!D14759)/2*Sens!D14773/1000</f>
        <v>12.9359794422418</v>
      </c>
      <c r="E14774" s="6" t="n">
        <f aca="false">(Sens!D14759+Sens!E14759)/2*Sens!E14773/1000</f>
        <v>27.8095064661409</v>
      </c>
      <c r="F14774" s="6" t="n">
        <f aca="false">(Sens!E14759+Sens!F14759)/2*Sens!F14773/1000</f>
        <v>58.7324192305018</v>
      </c>
      <c r="G14774" s="6" t="n">
        <f aca="false">(Sens!F14759+Sens!G14759)/2*Sens!G14773/1000</f>
        <v>101.369089141153</v>
      </c>
      <c r="H14774" s="6" t="n">
        <f aca="false">(Sens!G14759+Sens!H14759)/2*Sens!H14773/1000</f>
        <v>149.785610014234</v>
      </c>
      <c r="I14774" s="6" t="n">
        <f aca="false">(Sens!H14759+Sens!I14759)/2*Sens!I14773/1000</f>
        <v>187.368703083263</v>
      </c>
      <c r="J14774" s="6" t="n">
        <f aca="false">(Sens!I14759+Sens!J14759)/2*Sens!J14773/1000</f>
        <v>213.886657444854</v>
      </c>
      <c r="K14774" s="6" t="n">
        <f aca="false">(Sens!J14759+Sens!K14759)/2*Sens!K14773/1000</f>
        <v>231.253475259589</v>
      </c>
      <c r="L14774" s="11" t="s">
        <v>833</v>
      </c>
    </row>
    <row r="14775" customFormat="false" ht="17.15" hidden="false" customHeight="false" outlineLevel="0" collapsed="false">
      <c r="A14775" s="1" t="s">
        <v>834</v>
      </c>
      <c r="B14775" s="0" t="s">
        <v>346</v>
      </c>
      <c r="C14775" s="14" t="n">
        <f aca="false">(Sens!C14767*tk_opex_h100+Sens!C14768*tk_opex_gb200+Sens!C14769*tk_opex_gb300+Sens!C14770*tk_opex_vr200)/Sens!C14759</f>
        <v>1.88636041306092</v>
      </c>
      <c r="D14775" s="14" t="n">
        <f aca="false">(Sens!D14767*tk_opex_h100+Sens!D14768*tk_opex_gb200+Sens!D14769*tk_opex_gb300+Sens!D14770*tk_opex_vr200)/Sens!D14759</f>
        <v>1.88636041306092</v>
      </c>
      <c r="E14775" s="14" t="n">
        <f aca="false">(Sens!E14767*tk_opex_h100+Sens!E14768*tk_opex_gb200+Sens!E14769*tk_opex_gb300+Sens!E14770*tk_opex_vr200)/Sens!E14759</f>
        <v>1.88636041306092</v>
      </c>
      <c r="F14775" s="14" t="n">
        <f aca="false">(Sens!F14767*tk_opex_h100+Sens!F14768*tk_opex_gb200+Sens!F14769*tk_opex_gb300+Sens!F14770*tk_opex_vr200)/Sens!F14759</f>
        <v>1.9430236476499</v>
      </c>
      <c r="G14775" s="14" t="n">
        <f aca="false">(Sens!G14767*tk_opex_h100+Sens!G14768*tk_opex_gb200+Sens!G14769*tk_opex_gb300+Sens!G14770*tk_opex_vr200)/Sens!G14759</f>
        <v>1.9786941852423</v>
      </c>
      <c r="H14775" s="14" t="n">
        <f aca="false">(Sens!H14767*tk_opex_h100+Sens!H14768*tk_opex_gb200+Sens!H14769*tk_opex_gb300+Sens!H14770*tk_opex_vr200)/Sens!H14759</f>
        <v>2.00289275976156</v>
      </c>
      <c r="I14775" s="14" t="n">
        <f aca="false">(Sens!I14767*tk_opex_h100+Sens!I14768*tk_opex_gb200+Sens!I14769*tk_opex_gb300+Sens!I14770*tk_opex_vr200)/Sens!I14759</f>
        <v>2.02179589661219</v>
      </c>
      <c r="J14775" s="14" t="n">
        <f aca="false">(Sens!J14767*tk_opex_h100+Sens!J14768*tk_opex_gb200+Sens!J14769*tk_opex_gb300+Sens!J14770*tk_opex_vr200)/Sens!J14759</f>
        <v>2.03720754193029</v>
      </c>
      <c r="K14775" s="14" t="n">
        <f aca="false">(Sens!K14767*tk_opex_h100+Sens!K14768*tk_opex_gb200+Sens!K14769*tk_opex_gb300+Sens!K14770*tk_opex_vr200)/Sens!K14759</f>
        <v>2.0589181353437</v>
      </c>
    </row>
    <row r="14776" customFormat="false" ht="17.15" hidden="false" customHeight="false" outlineLevel="0" collapsed="false">
      <c r="A14776" s="0" t="s">
        <v>835</v>
      </c>
      <c r="B14776" s="0" t="s">
        <v>98</v>
      </c>
      <c r="D14776" s="6" t="n">
        <f aca="false">(Sens!C14762+Sens!D14762)/2*Sens!D14775/1000</f>
        <v>2.70378325872065</v>
      </c>
      <c r="E14776" s="6" t="n">
        <f aca="false">(Sens!D14762+Sens!E14762)/2*Sens!E14775/1000</f>
        <v>6.17783035277451</v>
      </c>
      <c r="F14776" s="6" t="n">
        <f aca="false">(Sens!E14762+Sens!F14762)/2*Sens!F14775/1000</f>
        <v>12.5020618235287</v>
      </c>
      <c r="G14776" s="6" t="n">
        <f aca="false">(Sens!F14762+Sens!G14762)/2*Sens!G14775/1000</f>
        <v>20.7261620256847</v>
      </c>
      <c r="H14776" s="6" t="n">
        <f aca="false">(Sens!G14762+Sens!H14762)/2*Sens!H14775/1000</f>
        <v>29.4158183316982</v>
      </c>
      <c r="I14776" s="6" t="n">
        <f aca="false">(Sens!H14762+Sens!I14762)/2*Sens!I14775/1000</f>
        <v>36.9724400356344</v>
      </c>
      <c r="J14776" s="6" t="n">
        <f aca="false">(Sens!I14762+Sens!J14762)/2*Sens!J14775/1000</f>
        <v>42.1571687189816</v>
      </c>
      <c r="K14776" s="6" t="n">
        <f aca="false">(Sens!J14762+Sens!K14762)/2*Sens!K14775/1000</f>
        <v>45.1912095080704</v>
      </c>
    </row>
    <row r="14777" customFormat="false" ht="17.15" hidden="false" customHeight="false" outlineLevel="0" collapsed="false">
      <c r="A14777" s="0" t="s">
        <v>836</v>
      </c>
      <c r="B14777" s="0" t="s">
        <v>98</v>
      </c>
      <c r="D14777" s="6" t="n">
        <f aca="false">(Sens!C14760+Sens!D14760)/2*rent_mw/1000</f>
        <v>2.44475</v>
      </c>
      <c r="E14777" s="6" t="n">
        <f aca="false">(Sens!D14760+Sens!E14760)/2*rent_mw/1000</f>
        <v>4.22275</v>
      </c>
      <c r="F14777" s="6" t="n">
        <f aca="false">(Sens!E14760+Sens!F14760)/2*rent_mw/1000</f>
        <v>5.80517</v>
      </c>
      <c r="G14777" s="6" t="n">
        <f aca="false">(Sens!F14760+Sens!G14760)/2*rent_mw/1000</f>
        <v>6.72084</v>
      </c>
      <c r="H14777" s="6" t="n">
        <f aca="false">(Sens!G14760+Sens!H14760)/2*rent_mw/1000</f>
        <v>6.72084</v>
      </c>
      <c r="I14777" s="6" t="n">
        <f aca="false">(Sens!H14760+Sens!I14760)/2*rent_mw/1000</f>
        <v>6.72084</v>
      </c>
      <c r="J14777" s="6" t="n">
        <f aca="false">(Sens!I14760+Sens!J14760)/2*rent_mw/1000</f>
        <v>6.72084</v>
      </c>
      <c r="K14777" s="6" t="n">
        <f aca="false">(Sens!J14760+Sens!K14760)/2*rent_mw/1000</f>
        <v>6.72084</v>
      </c>
    </row>
    <row r="14778" customFormat="false" ht="17.15" hidden="false" customHeight="false" outlineLevel="0" collapsed="false">
      <c r="A14778" s="0" t="s">
        <v>837</v>
      </c>
      <c r="B14778" s="0" t="s">
        <v>98</v>
      </c>
      <c r="D14778" s="6" t="n">
        <f aca="false">(Sens!C14762+Sens!D14762)/2*(1-self_build)*fac_rent/1000</f>
        <v>0.853242375631075</v>
      </c>
      <c r="E14778" s="6" t="n">
        <f aca="false">(Sens!D14762+Sens!E14762)/2*(1-self_build)*fac_rent/1000</f>
        <v>1.94955961408728</v>
      </c>
      <c r="F14778" s="6" t="n">
        <f aca="false">(Sens!E14762+Sens!F14762)/2*(1-self_build)*fac_rent/1000</f>
        <v>3.83026455274573</v>
      </c>
      <c r="G14778" s="6" t="n">
        <f aca="false">(Sens!F14762+Sens!G14762)/2*(1-self_build)*fac_rent/1000</f>
        <v>6.23541590972812</v>
      </c>
      <c r="H14778" s="6" t="n">
        <f aca="false">(Sens!G14762+Sens!H14762)/2*(1-self_build)*fac_rent/1000</f>
        <v>8.74275792332679</v>
      </c>
      <c r="I14778" s="6" t="n">
        <f aca="false">(Sens!H14762+Sens!I14762)/2*(1-self_build)*fac_rent/1000</f>
        <v>10.8859420438599</v>
      </c>
      <c r="J14778" s="6" t="n">
        <f aca="false">(Sens!I14762+Sens!J14762)/2*(1-self_build)*fac_rent/1000</f>
        <v>12.3186006405366</v>
      </c>
      <c r="K14778" s="6" t="n">
        <f aca="false">(Sens!J14762+Sens!K14762)/2*(1-self_build)*fac_rent/1000</f>
        <v>13.0659232089824</v>
      </c>
      <c r="L14778" s="11" t="s">
        <v>838</v>
      </c>
    </row>
    <row r="14779" customFormat="false" ht="17.15" hidden="false" customHeight="false" outlineLevel="0" collapsed="false">
      <c r="A14779" s="1" t="s">
        <v>839</v>
      </c>
      <c r="B14779" s="0" t="s">
        <v>129</v>
      </c>
      <c r="D14779" s="7" t="n">
        <f aca="false">(Sens!C14761+Sens!D14761)/(Sens!C14762+Sens!D14762)</f>
        <v>0.6</v>
      </c>
      <c r="E14779" s="7" t="n">
        <f aca="false">(Sens!D14761+Sens!E14761)/(Sens!D14762+Sens!E14762)</f>
        <v>0.6</v>
      </c>
      <c r="F14779" s="7" t="n">
        <f aca="false">(Sens!E14761+Sens!F14761)/(Sens!E14762+Sens!F14762)</f>
        <v>0.6</v>
      </c>
      <c r="G14779" s="7" t="n">
        <f aca="false">(Sens!F14761+Sens!G14761)/(Sens!F14762+Sens!G14762)</f>
        <v>0.6</v>
      </c>
      <c r="H14779" s="7" t="n">
        <f aca="false">(Sens!G14761+Sens!H14761)/(Sens!G14762+Sens!H14762)</f>
        <v>0.6</v>
      </c>
      <c r="I14779" s="7" t="n">
        <f aca="false">(Sens!H14761+Sens!I14761)/(Sens!H14762+Sens!I14762)</f>
        <v>0.6</v>
      </c>
      <c r="J14779" s="7" t="n">
        <f aca="false">(Sens!I14761+Sens!J14761)/(Sens!I14762+Sens!J14762)</f>
        <v>0.6</v>
      </c>
      <c r="K14779" s="7" t="n">
        <f aca="false">(Sens!J14761+Sens!K14761)/(Sens!J14762+Sens!K14762)</f>
        <v>0.6</v>
      </c>
    </row>
    <row r="14780" customFormat="false" ht="17.15" hidden="false" customHeight="false" outlineLevel="0" collapsed="false">
      <c r="A14780" s="0" t="s">
        <v>840</v>
      </c>
      <c r="B14780" s="0" t="s">
        <v>98</v>
      </c>
      <c r="D14780" s="6" t="n">
        <f aca="false">Sens!D14774-Sens!D14779*(Sens!D14776+Sens!D14778)-Sens!D14777</f>
        <v>8.35701406163072</v>
      </c>
      <c r="E14780" s="6" t="n">
        <f aca="false">Sens!E14774-Sens!E14779*(Sens!E14776+Sens!E14778)-Sens!E14777</f>
        <v>18.7103224860238</v>
      </c>
      <c r="F14780" s="6" t="n">
        <f aca="false">Sens!F14774-Sens!F14779*(Sens!F14776+Sens!F14778)-Sens!F14777</f>
        <v>43.1278534047371</v>
      </c>
      <c r="G14780" s="6" t="n">
        <f aca="false">Sens!G14774-Sens!G14779*(Sens!G14776+Sens!G14778)-Sens!G14777</f>
        <v>78.4713023799053</v>
      </c>
      <c r="H14780" s="6" t="n">
        <f aca="false">Sens!H14774-Sens!H14779*(Sens!H14776+Sens!H14778)-Sens!H14777</f>
        <v>120.169624261219</v>
      </c>
      <c r="I14780" s="6" t="n">
        <f aca="false">Sens!I14774-Sens!I14779*(Sens!I14776+Sens!I14778)-Sens!I14777</f>
        <v>151.932833835566</v>
      </c>
      <c r="J14780" s="6" t="n">
        <f aca="false">Sens!J14774-Sens!J14779*(Sens!J14776+Sens!J14778)-Sens!J14777</f>
        <v>174.480355829143</v>
      </c>
      <c r="K14780" s="6" t="n">
        <f aca="false">Sens!K14774-Sens!K14779*(Sens!K14776+Sens!K14778)-Sens!K14777</f>
        <v>189.578355629358</v>
      </c>
    </row>
    <row r="14781" customFormat="false" ht="17.15" hidden="false" customHeight="false" outlineLevel="0" collapsed="false">
      <c r="A14781" s="1" t="s">
        <v>841</v>
      </c>
      <c r="B14781" s="0" t="s">
        <v>98</v>
      </c>
      <c r="D14781" s="6" t="n">
        <f aca="false">(1-Sens!D14779)*(Sens!D14776+Sens!D14778)</f>
        <v>1.42281025374069</v>
      </c>
      <c r="E14781" s="6" t="n">
        <f aca="false">(1-Sens!E14779)*(Sens!E14776+Sens!E14778)</f>
        <v>3.25095598674472</v>
      </c>
      <c r="F14781" s="6" t="n">
        <f aca="false">(1-Sens!F14779)*(Sens!F14776+Sens!F14778)</f>
        <v>6.53293055050977</v>
      </c>
      <c r="G14781" s="6" t="n">
        <f aca="false">(1-Sens!G14779)*(Sens!G14776+Sens!G14778)</f>
        <v>10.7846311741651</v>
      </c>
      <c r="H14781" s="6" t="n">
        <f aca="false">(1-Sens!H14779)*(Sens!H14776+Sens!H14778)</f>
        <v>15.26343050201</v>
      </c>
      <c r="I14781" s="6" t="n">
        <f aca="false">(1-Sens!I14779)*(Sens!I14776+Sens!I14778)</f>
        <v>19.1433528317977</v>
      </c>
      <c r="J14781" s="6" t="n">
        <f aca="false">(1-Sens!J14779)*(Sens!J14776+Sens!J14778)</f>
        <v>21.7903077438073</v>
      </c>
      <c r="K14781" s="6" t="n">
        <f aca="false">(1-Sens!K14779)*(Sens!K14776+Sens!K14778)</f>
        <v>23.3028530868211</v>
      </c>
    </row>
    <row r="14782" customFormat="false" ht="17.15" hidden="false" customHeight="false" outlineLevel="0" collapsed="false">
      <c r="A14782" s="1" t="s">
        <v>842</v>
      </c>
      <c r="B14782" s="0" t="s">
        <v>357</v>
      </c>
      <c r="C14782" s="8" t="n">
        <f aca="false">cxit_open</f>
        <v>27.5918995</v>
      </c>
      <c r="D14782" s="8" t="n">
        <f aca="false">cxit_open</f>
        <v>27.5918995</v>
      </c>
      <c r="E14782" s="8" t="n">
        <f aca="false">cxit_open</f>
        <v>27.5918995</v>
      </c>
      <c r="F14782" s="8" t="n">
        <f aca="false">(a_g3_27*tk_cxit_gb300+(1-a_g3_27)*tk_cxit_vr200)</f>
        <v>33.8419624</v>
      </c>
      <c r="G14782" s="8" t="n">
        <f aca="false">(a_g3_28*tk_cxit_gb300+(1-a_g3_28)*tk_cxit_vr200)</f>
        <v>35.9816136</v>
      </c>
      <c r="H14782" s="8" t="n">
        <f aca="false">(a_g3_29*tk_cxit_gb300+(1-a_g3_29)*tk_cxit_vr200)</f>
        <v>37.0514392</v>
      </c>
      <c r="I14782" s="8" t="n">
        <f aca="false">(a_g3_29*tk_cxit_gb300+(1-a_g3_29)*tk_cxit_vr200)</f>
        <v>37.0514392</v>
      </c>
      <c r="J14782" s="8" t="n">
        <f aca="false">(a_g3_29*tk_cxit_gb300+(1-a_g3_29)*tk_cxit_vr200)</f>
        <v>37.0514392</v>
      </c>
      <c r="K14782" s="8" t="n">
        <f aca="false">(a_g3_29*tk_cxit_gb300+(1-a_g3_29)*tk_cxit_vr200)</f>
        <v>37.0514392</v>
      </c>
      <c r="L14782" s="11" t="s">
        <v>843</v>
      </c>
    </row>
    <row r="14783" customFormat="false" ht="17.15" hidden="false" customHeight="false" outlineLevel="0" collapsed="false">
      <c r="A14783" s="0" t="s">
        <v>844</v>
      </c>
      <c r="B14783" s="0" t="s">
        <v>399</v>
      </c>
      <c r="F14783" s="29" t="n">
        <f aca="false">Sens!C14764*IF(Sens!F14757-Sens!C14757=life_it,1,0)+Sens!D14764*IF(Sens!F14757-Sens!D14757=life_it,1,0)+Sens!E14764*IF(Sens!F14757-Sens!E14757=life_it,1,0)</f>
        <v>0</v>
      </c>
      <c r="G14783" s="29" t="n">
        <f aca="false">Sens!C14764*IF(Sens!G14757-Sens!C14757=life_it,1,0)+Sens!D14764*IF(Sens!G14757-Sens!D14757=life_it,1,0)+Sens!E14764*IF(Sens!G14757-Sens!E14757=life_it,1,0)+Sens!F14764*IF(Sens!G14757-Sens!F14757=life_it,1,0)</f>
        <v>0</v>
      </c>
      <c r="H14783" s="29" t="n">
        <f aca="false">Sens!C14764*IF(Sens!H14757-Sens!C14757=life_it,1,0)+Sens!D14764*IF(Sens!H14757-Sens!D14757=life_it,1,0)+Sens!E14764*IF(Sens!H14757-Sens!E14757=life_it,1,0)+Sens!F14764*IF(Sens!H14757-Sens!F14757=life_it,1,0)+Sens!G14764*IF(Sens!H14757-Sens!G14757=life_it,1,0)</f>
        <v>0</v>
      </c>
      <c r="I14783" s="29" t="n">
        <f aca="false">Sens!C14764*IF(Sens!I14757-Sens!C14757=life_it,1,0)+Sens!D14764*IF(Sens!I14757-Sens!D14757=life_it,1,0)+Sens!E14764*IF(Sens!I14757-Sens!E14757=life_it,1,0)+Sens!F14764*IF(Sens!I14757-Sens!F14757=life_it,1,0)+Sens!G14764*IF(Sens!I14757-Sens!G14757=life_it,1,0)+Sens!H14764*IF(Sens!I14757-Sens!H14757=life_it,1,0)</f>
        <v>816.666666666667</v>
      </c>
      <c r="J14783" s="29" t="n">
        <f aca="false">Sens!C14764*IF(Sens!J14757-Sens!C14757=life_it,1,0)+Sens!D14764*IF(Sens!J14757-Sens!D14757=life_it,1,0)+Sens!E14764*IF(Sens!J14757-Sens!E14757=life_it,1,0)+Sens!F14764*IF(Sens!J14757-Sens!F14757=life_it,1,0)+Sens!G14764*IF(Sens!J14757-Sens!G14757=life_it,1,0)+Sens!H14764*IF(Sens!J14757-Sens!H14757=life_it,1,0)+Sens!I14764*IF(Sens!J14757-Sens!I14757=life_it,1,0)</f>
        <v>1233.33333333333</v>
      </c>
      <c r="K14783" s="29" t="n">
        <f aca="false">Sens!C14764*IF(Sens!K14757-Sens!C14757=life_it,1,0)+Sens!D14764*IF(Sens!K14757-Sens!D14757=life_it,1,0)+Sens!E14764*IF(Sens!K14757-Sens!E14757=life_it,1,0)+Sens!F14764*IF(Sens!K14757-Sens!F14757=life_it,1,0)+Sens!G14764*IF(Sens!K14757-Sens!G14757=life_it,1,0)+Sens!H14764*IF(Sens!K14757-Sens!H14757=life_it,1,0)+Sens!I14764*IF(Sens!K14757-Sens!I14757=life_it,1,0)+Sens!J14764*IF(Sens!K14757-Sens!J14757=life_it,1,0)</f>
        <v>2450</v>
      </c>
      <c r="L14783" s="1" t="s">
        <v>845</v>
      </c>
    </row>
    <row r="14784" customFormat="false" ht="17.15" hidden="false" customHeight="false" outlineLevel="0" collapsed="false">
      <c r="A14784" s="0" t="s">
        <v>846</v>
      </c>
      <c r="B14784" s="0" t="s">
        <v>98</v>
      </c>
      <c r="C14784" s="6" t="n">
        <f aca="false">Sens!C14764*Sens!C14782/1000</f>
        <v>22.5333845916667</v>
      </c>
      <c r="D14784" s="6" t="n">
        <f aca="false">Sens!D14764*Sens!D14782/1000</f>
        <v>34.0300093833333</v>
      </c>
      <c r="E14784" s="6" t="n">
        <f aca="false">Sens!E14764*Sens!E14782/1000</f>
        <v>67.600153775</v>
      </c>
      <c r="F14784" s="6" t="n">
        <f aca="false">(Sens!F14764+Sens!F14783)*Sens!F14782/1000</f>
        <v>130.923271871467</v>
      </c>
      <c r="G14784" s="6" t="n">
        <f aca="false">(Sens!G14764+Sens!G14783)*Sens!G14782/1000</f>
        <v>151.5545564832</v>
      </c>
      <c r="H14784" s="6" t="n">
        <f aca="false">(Sens!H14764+Sens!H14783)*Sens!H14782/1000</f>
        <v>156.0606619104</v>
      </c>
      <c r="I14784" s="6" t="n">
        <f aca="false">(Sens!I14764+Sens!I14783)*Sens!I14782/1000</f>
        <v>140.987889434245</v>
      </c>
      <c r="J14784" s="6" t="n">
        <f aca="false">(Sens!J14764+Sens!J14783)*Sens!J14782/1000</f>
        <v>113.309125559842</v>
      </c>
      <c r="K14784" s="6" t="n">
        <f aca="false">(Sens!K14764+Sens!K14783)*Sens!K14782/1000</f>
        <v>116.192591420959</v>
      </c>
    </row>
    <row r="14785" customFormat="false" ht="17.15" hidden="false" customHeight="false" outlineLevel="0" collapsed="false">
      <c r="A14785" s="0" t="s">
        <v>847</v>
      </c>
      <c r="B14785" s="0" t="s">
        <v>98</v>
      </c>
      <c r="C14785" s="6" t="n">
        <f aca="false">Sens!C14764*self_build*tk_cxfac/1000</f>
        <v>6.2083</v>
      </c>
      <c r="D14785" s="6" t="n">
        <f aca="false">Sens!D14764*self_build*tk_cxfac/1000</f>
        <v>9.3758</v>
      </c>
      <c r="E14785" s="6" t="n">
        <f aca="false">Sens!E14764*self_build*tk_cxfac/1000</f>
        <v>18.6249</v>
      </c>
      <c r="F14785" s="6" t="n">
        <f aca="false">Sens!F14764*self_build*tk_cxfac/1000</f>
        <v>29.409604</v>
      </c>
      <c r="G14785" s="6" t="n">
        <f aca="false">Sens!G14764*self_build*tk_cxfac/1000</f>
        <v>32.019624</v>
      </c>
      <c r="H14785" s="6" t="n">
        <f aca="false">Sens!H14764*self_build*tk_cxfac/1000</f>
        <v>32.019624</v>
      </c>
      <c r="I14785" s="6" t="n">
        <f aca="false">Sens!I14764*self_build*tk_cxfac/1000</f>
        <v>22.71877972</v>
      </c>
      <c r="J14785" s="6" t="n">
        <f aca="false">Sens!J14764*self_build*tk_cxfac/1000</f>
        <v>13.8723110344</v>
      </c>
      <c r="K14785" s="6" t="n">
        <f aca="false">Sens!K14764*self_build*tk_cxfac/1000</f>
        <v>5.214823882632</v>
      </c>
    </row>
    <row r="14786" customFormat="false" ht="17.15" hidden="false" customHeight="false" outlineLevel="0" collapsed="false">
      <c r="A14786" s="0" t="s">
        <v>848</v>
      </c>
      <c r="B14786" s="0" t="s">
        <v>98</v>
      </c>
      <c r="F14786" s="6" t="n">
        <f aca="false">MAX(0,capex_floor27-Sens!F14784-Sens!F14785-Sens!F14880)</f>
        <v>8.13777689897088</v>
      </c>
    </row>
    <row r="14787" customFormat="false" ht="17.15" hidden="false" customHeight="false" outlineLevel="0" collapsed="false">
      <c r="A14787" s="0" t="s">
        <v>849</v>
      </c>
      <c r="B14787" s="0" t="s">
        <v>98</v>
      </c>
      <c r="C14787" s="6" t="n">
        <f aca="false">Sens!C14784</f>
        <v>22.5333845916667</v>
      </c>
      <c r="D14787" s="6" t="n">
        <f aca="false">Sens!D14784</f>
        <v>34.0300093833333</v>
      </c>
      <c r="E14787" s="6" t="n">
        <f aca="false">Sens!E14784</f>
        <v>67.600153775</v>
      </c>
      <c r="F14787" s="6" t="n">
        <f aca="false">Sens!F14784</f>
        <v>130.923271871467</v>
      </c>
      <c r="G14787" s="6" t="n">
        <f aca="false">Sens!G14784</f>
        <v>151.5545564832</v>
      </c>
      <c r="H14787" s="6" t="n">
        <f aca="false">Sens!H14784</f>
        <v>156.0606619104</v>
      </c>
      <c r="I14787" s="6" t="n">
        <f aca="false">Sens!I14784</f>
        <v>140.987889434245</v>
      </c>
      <c r="J14787" s="6" t="n">
        <f aca="false">Sens!J14784</f>
        <v>113.309125559842</v>
      </c>
      <c r="K14787" s="6" t="n">
        <f aca="false">Sens!K14784</f>
        <v>116.192591420959</v>
      </c>
    </row>
    <row r="14788" customFormat="false" ht="17.15" hidden="false" customHeight="false" outlineLevel="0" collapsed="false">
      <c r="A14788" s="0" t="s">
        <v>850</v>
      </c>
      <c r="B14788" s="0" t="s">
        <v>98</v>
      </c>
      <c r="C14788" s="6" t="n">
        <f aca="false">Sens!C14787+Sens!C14785</f>
        <v>28.7416845916667</v>
      </c>
      <c r="D14788" s="6" t="n">
        <f aca="false">Sens!D14787+Sens!D14785</f>
        <v>43.4058093833333</v>
      </c>
      <c r="E14788" s="6" t="n">
        <f aca="false">Sens!E14787+Sens!E14785</f>
        <v>86.225053775</v>
      </c>
      <c r="F14788" s="6" t="n">
        <f aca="false">Sens!F14787+Sens!F14785</f>
        <v>160.332875871467</v>
      </c>
      <c r="G14788" s="6" t="n">
        <f aca="false">Sens!G14787+Sens!G14785</f>
        <v>183.5741804832</v>
      </c>
      <c r="H14788" s="6" t="n">
        <f aca="false">Sens!H14787+Sens!H14785</f>
        <v>188.0802859104</v>
      </c>
      <c r="I14788" s="6" t="n">
        <f aca="false">Sens!I14787+Sens!I14785</f>
        <v>163.706669154245</v>
      </c>
      <c r="J14788" s="6" t="n">
        <f aca="false">Sens!J14787+Sens!J14785</f>
        <v>127.181436594242</v>
      </c>
      <c r="K14788" s="6" t="n">
        <f aca="false">Sens!K14787+Sens!K14785</f>
        <v>121.407415303591</v>
      </c>
      <c r="L14788" s="11" t="s">
        <v>851</v>
      </c>
    </row>
    <row r="14789" customFormat="false" ht="17.15" hidden="false" customHeight="false" outlineLevel="0" collapsed="false">
      <c r="A14789" s="0" t="s">
        <v>852</v>
      </c>
      <c r="B14789" s="0" t="s">
        <v>98</v>
      </c>
      <c r="E14789" s="6" t="n">
        <f aca="false">(Sens!C14787*IF(2&lt;life_it,1,IF(2=life_it,0.5,0))+Sens!D14787*IF(1&lt;life_it,1,IF(1=life_it,0.5,0))+Sens!E14787*0.5)/life_it</f>
        <v>15.0605784770833</v>
      </c>
      <c r="F14789" s="6" t="n">
        <f aca="false">(Sens!C14787*IF(3&lt;life_it,1,IF(3=life_it,0.5,0))+Sens!D14787*IF(2&lt;life_it,1,IF(2=life_it,0.5,0))+Sens!E14787*IF(1&lt;life_it,1,IF(1=life_it,0.5,0))+Sens!F14787*0.5)/life_it</f>
        <v>31.6041972809556</v>
      </c>
      <c r="G14789" s="6" t="n">
        <f aca="false">(Sens!C14787*IF(4&lt;life_it,1,IF(4=life_it,0.5,0))+Sens!D14787*IF(3&lt;life_it,1,IF(3=life_it,0.5,0))+Sens!E14787*IF(2&lt;life_it,1,IF(2=life_it,0.5,0))+Sens!F14787*IF(1&lt;life_it,1,IF(1=life_it,0.5,0))+Sens!G14787*0.5)/life_it</f>
        <v>55.1440163105111</v>
      </c>
      <c r="H14789" s="6" t="n">
        <f aca="false">(Sens!C14787*IF(5&lt;life_it,1,IF(5=life_it,0.5,0))+Sens!D14787*IF(4&lt;life_it,1,IF(4=life_it,0.5,0))+Sens!E14787*IF(3&lt;life_it,1,IF(3=life_it,0.5,0))+Sens!F14787*IF(2&lt;life_it,1,IF(2=life_it,0.5,0))+Sens!G14787*IF(1&lt;life_it,1,IF(1=life_it,0.5,0))+Sens!H14787*0.5)/life_it</f>
        <v>80.7786178433111</v>
      </c>
      <c r="I14789" s="6" t="n">
        <f aca="false">(Sens!C14787*IF(6&lt;life_it,1,IF(6=life_it,0.5,0))+Sens!D14787*IF(5&lt;life_it,1,IF(5=life_it,0.5,0))+Sens!E14787*IF(4&lt;life_it,1,IF(4=life_it,0.5,0))+Sens!F14787*IF(3&lt;life_it,1,IF(3=life_it,0.5,0))+Sens!G14787*IF(2&lt;life_it,1,IF(2=life_it,0.5,0))+Sens!H14787*IF(1&lt;life_it,1,IF(1=life_it,0.5,0))+Sens!I14787*0.5)/life_it</f>
        <v>103.654881739393</v>
      </c>
      <c r="J14789" s="6" t="n">
        <f aca="false">(Sens!C14787*IF(7&lt;life_it,1,IF(7=life_it,0.5,0))+Sens!D14787*IF(6&lt;life_it,1,IF(6=life_it,0.5,0))+Sens!E14787*IF(5&lt;life_it,1,IF(5=life_it,0.5,0))+Sens!F14787*IF(4&lt;life_it,1,IF(4=life_it,0.5,0))+Sens!G14787*IF(3&lt;life_it,1,IF(3=life_it,0.5,0))+Sens!H14787*IF(2&lt;life_it,1,IF(2=life_it,0.5,0))+Sens!I14787*IF(1&lt;life_it,1,IF(1=life_it,0.5,0))+Sens!J14787*0.5)/life_it</f>
        <v>120.132683490983</v>
      </c>
      <c r="K14789" s="6" t="n">
        <f aca="false">(Sens!C14787*IF(8&lt;life_it,1,IF(8=life_it,0.5,0))+Sens!D14787*IF(7&lt;life_it,1,IF(7=life_it,0.5,0))+Sens!E14787*IF(6&lt;life_it,1,IF(6=life_it,0.5,0))+Sens!F14787*IF(5&lt;life_it,1,IF(5=life_it,0.5,0))+Sens!G14787*IF(4&lt;life_it,1,IF(4=life_it,0.5,0))+Sens!H14787*IF(3&lt;life_it,1,IF(3=life_it,0.5,0))+Sens!I14787*IF(2&lt;life_it,1,IF(2=life_it,0.5,0))+Sens!J14787*IF(1&lt;life_it,1,IF(1=life_it,0.5,0))+Sens!K14787*0.5)/life_it</f>
        <v>130.788646309522</v>
      </c>
    </row>
    <row r="14790" customFormat="false" ht="17.15" hidden="false" customHeight="false" outlineLevel="0" collapsed="false">
      <c r="A14790" s="0" t="s">
        <v>853</v>
      </c>
      <c r="B14790" s="0" t="s">
        <v>98</v>
      </c>
      <c r="E14790" s="6" t="n">
        <f aca="false">(Sens!C14785*IF(2&lt;life_fac,1,IF(2=life_fac,0.5,0))+Sens!D14785*IF(1&lt;life_fac,1,IF(1=life_fac,0.5,0))+Sens!E14785*0.5)/life_fac</f>
        <v>1.2448275</v>
      </c>
      <c r="F14790" s="6" t="n">
        <f aca="false">(Sens!C14785*IF(3&lt;life_fac,1,IF(3=life_fac,0.5,0))+Sens!D14785*IF(2&lt;life_fac,1,IF(2=life_fac,0.5,0))+Sens!E14785*IF(1&lt;life_fac,1,IF(1=life_fac,0.5,0))+Sens!F14785*0.5)/life_fac</f>
        <v>2.4456901</v>
      </c>
      <c r="G14790" s="6" t="n">
        <f aca="false">(Sens!C14785*IF(4&lt;life_fac,1,IF(4=life_fac,0.5,0))+Sens!D14785*IF(3&lt;life_fac,1,IF(3=life_fac,0.5,0))+Sens!E14785*IF(2&lt;life_fac,1,IF(2=life_fac,0.5,0))+Sens!F14785*IF(1&lt;life_fac,1,IF(1=life_fac,0.5,0))+Sens!G14785*0.5)/life_fac</f>
        <v>3.9814208</v>
      </c>
      <c r="H14790" s="6" t="n">
        <f aca="false">(Sens!C14785*IF(5&lt;life_fac,1,IF(5=life_fac,0.5,0))+Sens!D14785*IF(4&lt;life_fac,1,IF(4=life_fac,0.5,0))+Sens!E14785*IF(3&lt;life_fac,1,IF(3=life_fac,0.5,0))+Sens!F14785*IF(2&lt;life_fac,1,IF(2=life_fac,0.5,0))+Sens!G14785*IF(1&lt;life_fac,1,IF(1=life_fac,0.5,0))+Sens!H14785*0.5)/life_fac</f>
        <v>5.582402</v>
      </c>
      <c r="I14790" s="6" t="n">
        <f aca="false">(Sens!C14785*IF(6&lt;life_fac,1,IF(6=life_fac,0.5,0))+Sens!D14785*IF(5&lt;life_fac,1,IF(5=life_fac,0.5,0))+Sens!E14785*IF(4&lt;life_fac,1,IF(4=life_fac,0.5,0))+Sens!F14785*IF(3&lt;life_fac,1,IF(3=life_fac,0.5,0))+Sens!G14785*IF(2&lt;life_fac,1,IF(2=life_fac,0.5,0))+Sens!H14785*IF(1&lt;life_fac,1,IF(1=life_fac,0.5,0))+Sens!I14785*0.5)/life_fac</f>
        <v>6.950862093</v>
      </c>
      <c r="J14790" s="6" t="n">
        <f aca="false">(Sens!C14785*IF(7&lt;life_fac,1,IF(7=life_fac,0.5,0))+Sens!D14785*IF(6&lt;life_fac,1,IF(6=life_fac,0.5,0))+Sens!E14785*IF(5&lt;life_fac,1,IF(5=life_fac,0.5,0))+Sens!F14785*IF(4&lt;life_fac,1,IF(4=life_fac,0.5,0))+Sens!G14785*IF(3&lt;life_fac,1,IF(3=life_fac,0.5,0))+Sens!H14785*IF(2&lt;life_fac,1,IF(2=life_fac,0.5,0))+Sens!I14785*IF(1&lt;life_fac,1,IF(1=life_fac,0.5,0))+Sens!J14785*0.5)/life_fac</f>
        <v>7.86563936186</v>
      </c>
      <c r="K14790" s="6" t="n">
        <f aca="false">(Sens!C14785*IF(8&lt;life_fac,1,IF(8=life_fac,0.5,0))+Sens!D14785*IF(7&lt;life_fac,1,IF(7=life_fac,0.5,0))+Sens!E14785*IF(6&lt;life_fac,1,IF(6=life_fac,0.5,0))+Sens!F14785*IF(5&lt;life_fac,1,IF(5=life_fac,0.5,0))+Sens!G14785*IF(4&lt;life_fac,1,IF(4=life_fac,0.5,0))+Sens!H14785*IF(3&lt;life_fac,1,IF(3=life_fac,0.5,0))+Sens!I14785*IF(2&lt;life_fac,1,IF(2=life_fac,0.5,0))+Sens!J14785*IF(1&lt;life_fac,1,IF(1=life_fac,0.5,0))+Sens!K14785*0.5)/life_fac</f>
        <v>8.3428177347858</v>
      </c>
    </row>
    <row r="14791" customFormat="false" ht="17.15" hidden="false" customHeight="false" outlineLevel="0" collapsed="false">
      <c r="A14791" s="0" t="s">
        <v>854</v>
      </c>
      <c r="B14791" s="0" t="s">
        <v>98</v>
      </c>
      <c r="E14791" s="6" t="n">
        <f aca="false">Sens!E14789+Sens!E14790</f>
        <v>16.3054059770833</v>
      </c>
      <c r="F14791" s="6" t="n">
        <f aca="false">Sens!F14789+Sens!F14790</f>
        <v>34.0498873809555</v>
      </c>
      <c r="G14791" s="6" t="n">
        <f aca="false">Sens!G14789+Sens!G14790</f>
        <v>59.1254371105111</v>
      </c>
      <c r="H14791" s="6" t="n">
        <f aca="false">Sens!H14789+Sens!H14790</f>
        <v>86.3610198433111</v>
      </c>
      <c r="I14791" s="6" t="n">
        <f aca="false">Sens!I14789+Sens!I14790</f>
        <v>110.605743832393</v>
      </c>
      <c r="J14791" s="6" t="n">
        <f aca="false">Sens!J14789+Sens!J14790</f>
        <v>127.998322852843</v>
      </c>
      <c r="K14791" s="6" t="n">
        <f aca="false">Sens!K14789+Sens!K14790</f>
        <v>139.131464044308</v>
      </c>
    </row>
    <row r="14792" customFormat="false" ht="17.15" hidden="false" customHeight="false" outlineLevel="0" collapsed="false">
      <c r="A14792" s="0" t="s">
        <v>855</v>
      </c>
      <c r="B14792" s="0" t="s">
        <v>98</v>
      </c>
      <c r="E14792" s="6" t="n">
        <f aca="false">Sens!E14780-Sens!E14779*Sens!E14791</f>
        <v>8.92707889977379</v>
      </c>
      <c r="F14792" s="6" t="n">
        <f aca="false">Sens!F14780-Sens!F14779*Sens!F14791</f>
        <v>22.6979209761638</v>
      </c>
      <c r="G14792" s="6" t="n">
        <f aca="false">Sens!G14780-Sens!G14779*Sens!G14791</f>
        <v>42.9960401135986</v>
      </c>
      <c r="H14792" s="6" t="n">
        <f aca="false">Sens!H14780-Sens!H14779*Sens!H14791</f>
        <v>68.3530123552322</v>
      </c>
      <c r="I14792" s="6" t="n">
        <f aca="false">Sens!I14780-Sens!I14779*Sens!I14791</f>
        <v>85.5693875361303</v>
      </c>
      <c r="J14792" s="6" t="n">
        <f aca="false">Sens!J14780-Sens!J14779*Sens!J14791</f>
        <v>97.6813621174372</v>
      </c>
      <c r="K14792" s="6" t="n">
        <f aca="false">Sens!K14780-Sens!K14779*Sens!K14791</f>
        <v>106.099477202773</v>
      </c>
    </row>
    <row r="14793" customFormat="false" ht="17.15" hidden="false" customHeight="false" outlineLevel="0" collapsed="false">
      <c r="A14793" s="3" t="s">
        <v>1637</v>
      </c>
    </row>
    <row r="14794" customFormat="false" ht="15" hidden="false" customHeight="false" outlineLevel="0" collapsed="false">
      <c r="A14794" s="4" t="s">
        <v>43</v>
      </c>
      <c r="B14794" s="4" t="s">
        <v>65</v>
      </c>
      <c r="C14794" s="20" t="s">
        <v>799</v>
      </c>
      <c r="D14794" s="20" t="s">
        <v>800</v>
      </c>
      <c r="E14794" s="20" t="s">
        <v>801</v>
      </c>
      <c r="F14794" s="20" t="s">
        <v>802</v>
      </c>
      <c r="G14794" s="20" t="s">
        <v>803</v>
      </c>
      <c r="H14794" s="20" t="s">
        <v>804</v>
      </c>
      <c r="I14794" s="20" t="s">
        <v>805</v>
      </c>
      <c r="J14794" s="20" t="s">
        <v>806</v>
      </c>
      <c r="K14794" s="20" t="s">
        <v>807</v>
      </c>
      <c r="L14794" s="4" t="s">
        <v>47</v>
      </c>
    </row>
    <row r="14795" customFormat="false" ht="17.15" hidden="false" customHeight="false" outlineLevel="0" collapsed="false">
      <c r="A14795" s="0" t="s">
        <v>874</v>
      </c>
      <c r="B14795" s="0" t="s">
        <v>98</v>
      </c>
      <c r="D14795" s="6" t="n">
        <f aca="false">Sens!D14774</f>
        <v>12.9359794422418</v>
      </c>
      <c r="E14795" s="6" t="n">
        <f aca="false">Sens!E14774</f>
        <v>27.8095064661409</v>
      </c>
      <c r="F14795" s="6" t="n">
        <f aca="false">Sens!F14774</f>
        <v>58.7324192305018</v>
      </c>
      <c r="G14795" s="6" t="n">
        <f aca="false">Sens!G14774</f>
        <v>101.369089141153</v>
      </c>
      <c r="H14795" s="6" t="n">
        <f aca="false">Sens!H14774</f>
        <v>149.785610014234</v>
      </c>
      <c r="I14795" s="6" t="n">
        <f aca="false">Sens!I14774</f>
        <v>187.368703083263</v>
      </c>
      <c r="J14795" s="6" t="n">
        <f aca="false">Sens!J14774</f>
        <v>213.886657444854</v>
      </c>
      <c r="K14795" s="6" t="n">
        <f aca="false">Sens!K14774</f>
        <v>231.253475259589</v>
      </c>
    </row>
    <row r="14796" customFormat="false" ht="17.15" hidden="false" customHeight="false" outlineLevel="0" collapsed="false">
      <c r="A14796" s="0" t="s">
        <v>875</v>
      </c>
      <c r="B14796" s="0" t="s">
        <v>98</v>
      </c>
      <c r="D14796" s="6" t="n">
        <f aca="false">Q!L6-Sens!D14795</f>
        <v>59.6740205577583</v>
      </c>
      <c r="E14796" s="6" t="n">
        <f aca="false">Q!M6-Sens!E14795</f>
        <v>74.1284935338591</v>
      </c>
      <c r="F14796" s="6" t="n">
        <f aca="false">Sens!E14796*(1+Sens!F14797)</f>
        <v>90.0799497373663</v>
      </c>
      <c r="G14796" s="6" t="n">
        <f aca="false">Sens!F14796*(1+Sens!G14797)</f>
        <v>107.02842520331</v>
      </c>
      <c r="H14796" s="6" t="n">
        <f aca="false">Sens!G14796*(1+Sens!H14797)</f>
        <v>124.271982585636</v>
      </c>
      <c r="I14796" s="6" t="n">
        <f aca="false">Sens!H14796*(1+Sens!I14797)</f>
        <v>140.933702381855</v>
      </c>
      <c r="J14796" s="6" t="n">
        <f aca="false">Sens!I14796*(1+Sens!J14797)</f>
        <v>156.018867314332</v>
      </c>
      <c r="K14796" s="6" t="n">
        <f aca="false">Sens!J14796*(1+Sens!K14797)</f>
        <v>168.500376699478</v>
      </c>
    </row>
    <row r="14797" customFormat="false" ht="15" hidden="false" customHeight="false" outlineLevel="0" collapsed="false">
      <c r="A14797" s="1" t="s">
        <v>876</v>
      </c>
      <c r="B14797" s="0" t="s">
        <v>129</v>
      </c>
      <c r="E14797" s="7" t="n">
        <f aca="false">Sens!E14796/Sens!D14796-1</f>
        <v>0.242223883039864</v>
      </c>
      <c r="F14797" s="7" t="n">
        <f aca="false">Sens!$E$14797+(glt_azo-Sens!$E$14797)*MIN(1,(Sens!F14757-base_fy)/n_conv)</f>
        <v>0.215186569199887</v>
      </c>
      <c r="G14797" s="7" t="n">
        <f aca="false">Sens!$E$14797+(glt_azo-Sens!$E$14797)*MIN(1,(Sens!G14757-base_fy)/n_conv)</f>
        <v>0.18814925535991</v>
      </c>
      <c r="H14797" s="7" t="n">
        <f aca="false">Sens!$E$14797+(glt_azo-Sens!$E$14797)*MIN(1,(Sens!H14757-base_fy)/n_conv)</f>
        <v>0.161111941519932</v>
      </c>
      <c r="I14797" s="7" t="n">
        <f aca="false">Sens!$E$14797+(glt_azo-Sens!$E$14797)*MIN(1,(Sens!I14757-base_fy)/n_conv)</f>
        <v>0.134074627679955</v>
      </c>
      <c r="J14797" s="7" t="n">
        <f aca="false">Sens!$E$14797+(glt_azo-Sens!$E$14797)*MIN(1,(Sens!J14757-base_fy)/n_conv)</f>
        <v>0.107037313839977</v>
      </c>
      <c r="K14797" s="7" t="n">
        <f aca="false">Sens!$E$14797+(glt_azo-Sens!$E$14797)*MIN(1,(Sens!K14757-base_fy)/n_conv)</f>
        <v>0.08</v>
      </c>
    </row>
    <row r="14798" customFormat="false" ht="15" hidden="false" customHeight="false" outlineLevel="0" collapsed="false">
      <c r="A14798" s="0" t="s">
        <v>877</v>
      </c>
      <c r="B14798" s="0" t="s">
        <v>98</v>
      </c>
      <c r="D14798" s="6" t="n">
        <f aca="false">Sens!D14795+Sens!D14796</f>
        <v>72.61</v>
      </c>
      <c r="E14798" s="6" t="n">
        <f aca="false">Sens!E14795+Sens!E14796</f>
        <v>101.938</v>
      </c>
      <c r="F14798" s="6" t="n">
        <f aca="false">Sens!F14795+Sens!F14796</f>
        <v>148.812368967868</v>
      </c>
      <c r="G14798" s="6" t="n">
        <f aca="false">Sens!G14795+Sens!G14796</f>
        <v>208.397514344463</v>
      </c>
      <c r="H14798" s="6" t="n">
        <f aca="false">Sens!H14795+Sens!H14796</f>
        <v>274.05759259987</v>
      </c>
      <c r="I14798" s="6" t="n">
        <f aca="false">Sens!I14795+Sens!I14796</f>
        <v>328.302405465117</v>
      </c>
      <c r="J14798" s="6" t="n">
        <f aca="false">Sens!J14795+Sens!J14796</f>
        <v>369.905524759186</v>
      </c>
      <c r="K14798" s="6" t="n">
        <f aca="false">Sens!K14795+Sens!K14796</f>
        <v>399.753851959067</v>
      </c>
    </row>
    <row r="14799" customFormat="false" ht="17.15" hidden="false" customHeight="false" outlineLevel="0" collapsed="false">
      <c r="A14799" s="0" t="s">
        <v>878</v>
      </c>
      <c r="B14799" s="1" t="s">
        <v>528</v>
      </c>
      <c r="C14799" s="29" t="n">
        <f aca="false">cop_s24</f>
        <v>1</v>
      </c>
      <c r="D14799" s="29" t="n">
        <f aca="false">cop_s25</f>
        <v>5</v>
      </c>
      <c r="E14799" s="29" t="n">
        <f aca="false">cop_s26</f>
        <v>30</v>
      </c>
      <c r="F14799" s="29" t="n">
        <f aca="false">Sens!E14799+cop_add_A</f>
        <v>60</v>
      </c>
      <c r="G14799" s="29" t="n">
        <f aca="false">Sens!F14799+cop_add_A</f>
        <v>90</v>
      </c>
      <c r="H14799" s="29" t="n">
        <f aca="false">Sens!G14799+cop_add_A</f>
        <v>120</v>
      </c>
      <c r="I14799" s="29" t="n">
        <f aca="false">Sens!H14799+cop_add_A*cop_tail</f>
        <v>135</v>
      </c>
      <c r="J14799" s="29" t="n">
        <f aca="false">Sens!I14799+cop_add_A*cop_tail</f>
        <v>150</v>
      </c>
      <c r="K14799" s="29" t="n">
        <f aca="false">Sens!J14799+cop_add_A*cop_tail</f>
        <v>165</v>
      </c>
      <c r="L14799" s="11" t="s">
        <v>879</v>
      </c>
    </row>
    <row r="14800" customFormat="false" ht="17.15" hidden="false" customHeight="false" outlineLevel="0" collapsed="false">
      <c r="A14800" s="0" t="s">
        <v>880</v>
      </c>
      <c r="B14800" s="0" t="s">
        <v>98</v>
      </c>
      <c r="D14800" s="6" t="n">
        <f aca="false">(Sens!C14799+Sens!D14799)/2*cop_px*12/1000</f>
        <v>0.9</v>
      </c>
      <c r="E14800" s="6" t="n">
        <f aca="false">(Sens!D14799+Sens!E14799)/2*cop_px*12/1000</f>
        <v>5.25</v>
      </c>
      <c r="F14800" s="6" t="n">
        <f aca="false">(Sens!E14799+Sens!F14799)/2*cop_px*12/1000</f>
        <v>13.5</v>
      </c>
      <c r="G14800" s="6" t="n">
        <f aca="false">(Sens!F14799+Sens!G14799)/2*cop_px*12/1000</f>
        <v>22.5</v>
      </c>
      <c r="H14800" s="6" t="n">
        <f aca="false">(Sens!G14799+Sens!H14799)/2*cop_px*12/1000</f>
        <v>31.5</v>
      </c>
      <c r="I14800" s="6" t="n">
        <f aca="false">(Sens!H14799+Sens!I14799)/2*cop_px*12/1000</f>
        <v>38.25</v>
      </c>
      <c r="J14800" s="6" t="n">
        <f aca="false">(Sens!I14799+Sens!J14799)/2*cop_px*12/1000</f>
        <v>42.75</v>
      </c>
      <c r="K14800" s="6" t="n">
        <f aca="false">(Sens!J14799+Sens!K14799)/2*cop_px*12/1000</f>
        <v>47.25</v>
      </c>
      <c r="L14800" s="1" t="s">
        <v>881</v>
      </c>
    </row>
    <row r="14801" customFormat="false" ht="17.15" hidden="false" customHeight="false" outlineLevel="0" collapsed="false">
      <c r="A14801" s="0" t="s">
        <v>882</v>
      </c>
      <c r="B14801" s="0" t="s">
        <v>98</v>
      </c>
      <c r="D14801" s="6" t="n">
        <f aca="false">Q!L7-Sens!D14800</f>
        <v>83.705</v>
      </c>
      <c r="E14801" s="6" t="n">
        <f aca="false">Q!M7-Sens!E14800</f>
        <v>95.049</v>
      </c>
      <c r="F14801" s="6" t="n">
        <f aca="false">Sens!E14801*(1+Sens!F14802)</f>
        <v>106.89238776686</v>
      </c>
      <c r="G14801" s="6" t="n">
        <f aca="false">Sens!F14801*(1+Sens!G14802)</f>
        <v>119.044168448684</v>
      </c>
      <c r="H14801" s="6" t="n">
        <f aca="false">Sens!G14801*(1+Sens!H14802)</f>
        <v>131.277359388781</v>
      </c>
      <c r="I14801" s="6" t="n">
        <f aca="false">Sens!H14801*(1+Sens!I14802)</f>
        <v>143.334028071957</v>
      </c>
      <c r="J14801" s="6" t="n">
        <f aca="false">Sens!I14801*(1+Sens!J14802)</f>
        <v>154.932702785465</v>
      </c>
      <c r="K14801" s="6" t="n">
        <f aca="false">Sens!J14801*(1+Sens!K14802)</f>
        <v>165.777991980448</v>
      </c>
    </row>
    <row r="14802" customFormat="false" ht="15" hidden="false" customHeight="false" outlineLevel="0" collapsed="false">
      <c r="A14802" s="1" t="s">
        <v>876</v>
      </c>
      <c r="B14802" s="0" t="s">
        <v>129</v>
      </c>
      <c r="E14802" s="7" t="n">
        <f aca="false">Sens!E14801/Sens!D14801-1</f>
        <v>0.135523564900544</v>
      </c>
      <c r="F14802" s="7" t="n">
        <f aca="false">Sens!$E$14802+(glt_m365b-Sens!$E$14802)*MIN(1,(Sens!F14757-base_fy)/n_conv)</f>
        <v>0.124602970750453</v>
      </c>
      <c r="G14802" s="7" t="n">
        <f aca="false">Sens!$E$14802+(glt_m365b-Sens!$E$14802)*MIN(1,(Sens!G14757-base_fy)/n_conv)</f>
        <v>0.113682376600363</v>
      </c>
      <c r="H14802" s="7" t="n">
        <f aca="false">Sens!$E$14802+(glt_m365b-Sens!$E$14802)*MIN(1,(Sens!H14757-base_fy)/n_conv)</f>
        <v>0.102761782450272</v>
      </c>
      <c r="I14802" s="7" t="n">
        <f aca="false">Sens!$E$14802+(glt_m365b-Sens!$E$14802)*MIN(1,(Sens!I14757-base_fy)/n_conv)</f>
        <v>0.0918411883001813</v>
      </c>
      <c r="J14802" s="7" t="n">
        <f aca="false">Sens!$E$14802+(glt_m365b-Sens!$E$14802)*MIN(1,(Sens!J14757-base_fy)/n_conv)</f>
        <v>0.0809205941500906</v>
      </c>
      <c r="K14802" s="7" t="n">
        <f aca="false">Sens!$E$14802+(glt_m365b-Sens!$E$14802)*MIN(1,(Sens!K14757-base_fy)/n_conv)</f>
        <v>0.07</v>
      </c>
    </row>
    <row r="14803" customFormat="false" ht="15" hidden="false" customHeight="false" outlineLevel="0" collapsed="false">
      <c r="A14803" s="0" t="s">
        <v>883</v>
      </c>
      <c r="B14803" s="0" t="s">
        <v>98</v>
      </c>
      <c r="D14803" s="6" t="n">
        <f aca="false">Sens!D14801+Sens!D14800</f>
        <v>84.605</v>
      </c>
      <c r="E14803" s="6" t="n">
        <f aca="false">Sens!E14801+Sens!E14800</f>
        <v>100.299</v>
      </c>
      <c r="F14803" s="6" t="n">
        <f aca="false">Sens!F14801+Sens!F14800</f>
        <v>120.39238776686</v>
      </c>
      <c r="G14803" s="6" t="n">
        <f aca="false">Sens!G14801+Sens!G14800</f>
        <v>141.544168448684</v>
      </c>
      <c r="H14803" s="6" t="n">
        <f aca="false">Sens!H14801+Sens!H14800</f>
        <v>162.777359388781</v>
      </c>
      <c r="I14803" s="6" t="n">
        <f aca="false">Sens!I14801+Sens!I14800</f>
        <v>181.584028071957</v>
      </c>
      <c r="J14803" s="6" t="n">
        <f aca="false">Sens!J14801+Sens!J14800</f>
        <v>197.682702785465</v>
      </c>
      <c r="K14803" s="6" t="n">
        <f aca="false">Sens!K14801+Sens!K14800</f>
        <v>213.027991980448</v>
      </c>
    </row>
    <row r="14804" customFormat="false" ht="15" hidden="false" customHeight="false" outlineLevel="0" collapsed="false">
      <c r="A14804" s="0" t="s">
        <v>884</v>
      </c>
      <c r="B14804" s="0" t="s">
        <v>98</v>
      </c>
      <c r="D14804" s="6" t="n">
        <f aca="false">Q!L8</f>
        <v>35.391</v>
      </c>
      <c r="E14804" s="6" t="n">
        <f aca="false">Q!M8</f>
        <v>37.285</v>
      </c>
      <c r="F14804" s="6" t="n">
        <f aca="false">Sens!E14804*(1+Sens!F14805)</f>
        <v>39.0720834331704</v>
      </c>
      <c r="G14804" s="6" t="n">
        <f aca="false">Sens!F14804*(1+Sens!G14805)</f>
        <v>40.726562953769</v>
      </c>
      <c r="H14804" s="6" t="n">
        <f aca="false">Sens!G14804*(1+Sens!H14805)</f>
        <v>42.2235987259198</v>
      </c>
      <c r="I14804" s="6" t="n">
        <f aca="false">Sens!H14804*(1+Sens!I14805)</f>
        <v>43.5397988077414</v>
      </c>
      <c r="J14804" s="6" t="n">
        <f aca="false">Sens!I14804*(1+Sens!J14805)</f>
        <v>44.653811225693</v>
      </c>
      <c r="K14804" s="6" t="n">
        <f aca="false">Sens!J14804*(1+Sens!K14805)</f>
        <v>45.5468874502068</v>
      </c>
    </row>
    <row r="14805" customFormat="false" ht="15" hidden="false" customHeight="false" outlineLevel="0" collapsed="false">
      <c r="A14805" s="1" t="s">
        <v>876</v>
      </c>
      <c r="B14805" s="0" t="s">
        <v>129</v>
      </c>
      <c r="E14805" s="7" t="n">
        <f aca="false">Sens!E14804/Sens!D14804-1</f>
        <v>0.0535164307309768</v>
      </c>
      <c r="F14805" s="7" t="n">
        <f aca="false">Sens!$E$14805+(glt_lic-Sens!$E$14805)*MIN(1,(Sens!F14757-base_fy)/n_conv)</f>
        <v>0.0479303589424807</v>
      </c>
      <c r="G14805" s="7" t="n">
        <f aca="false">Sens!$E$14805+(glt_lic-Sens!$E$14805)*MIN(1,(Sens!G14757-base_fy)/n_conv)</f>
        <v>0.0423442871539845</v>
      </c>
      <c r="H14805" s="7" t="n">
        <f aca="false">Sens!$E$14805+(glt_lic-Sens!$E$14805)*MIN(1,(Sens!H14757-base_fy)/n_conv)</f>
        <v>0.0367582153654884</v>
      </c>
      <c r="I14805" s="7" t="n">
        <f aca="false">Sens!$E$14805+(glt_lic-Sens!$E$14805)*MIN(1,(Sens!I14757-base_fy)/n_conv)</f>
        <v>0.0311721435769923</v>
      </c>
      <c r="J14805" s="7" t="n">
        <f aca="false">Sens!$E$14805+(glt_lic-Sens!$E$14805)*MIN(1,(Sens!J14757-base_fy)/n_conv)</f>
        <v>0.0255860717884961</v>
      </c>
      <c r="K14805" s="7" t="n">
        <f aca="false">Sens!$E$14805+(glt_lic-Sens!$E$14805)*MIN(1,(Sens!K14757-base_fy)/n_conv)</f>
        <v>0.02</v>
      </c>
    </row>
    <row r="14806" customFormat="false" ht="15" hidden="false" customHeight="false" outlineLevel="0" collapsed="false">
      <c r="A14806" s="0" t="s">
        <v>885</v>
      </c>
      <c r="B14806" s="0" t="s">
        <v>98</v>
      </c>
      <c r="D14806" s="6" t="n">
        <f aca="false">Q!L9</f>
        <v>18.417</v>
      </c>
      <c r="E14806" s="6" t="n">
        <f aca="false">Q!M9</f>
        <v>20.345</v>
      </c>
      <c r="F14806" s="6" t="n">
        <f aca="false">Sens!E14806*(1+Sens!F14807)</f>
        <v>22.3572203267814</v>
      </c>
      <c r="G14806" s="6" t="n">
        <f aca="false">Sens!F14806*(1+Sens!G14807)</f>
        <v>24.4392124437232</v>
      </c>
      <c r="H14806" s="6" t="n">
        <f aca="false">Sens!G14806*(1+Sens!H14807)</f>
        <v>26.5738052080665</v>
      </c>
      <c r="I14806" s="6" t="n">
        <f aca="false">Sens!H14806*(1+Sens!I14807)</f>
        <v>28.7412169166967</v>
      </c>
      <c r="J14806" s="6" t="n">
        <f aca="false">Sens!I14806*(1+Sens!J14807)</f>
        <v>30.9192545395413</v>
      </c>
      <c r="K14806" s="6" t="n">
        <f aca="false">Sens!J14806*(1+Sens!K14807)</f>
        <v>33.0836023573092</v>
      </c>
    </row>
    <row r="14807" customFormat="false" ht="15" hidden="false" customHeight="false" outlineLevel="0" collapsed="false">
      <c r="A14807" s="1" t="s">
        <v>876</v>
      </c>
      <c r="B14807" s="0" t="s">
        <v>129</v>
      </c>
      <c r="E14807" s="7" t="n">
        <f aca="false">Sens!E14806/Sens!D14806-1</f>
        <v>0.104685888038225</v>
      </c>
      <c r="F14807" s="7" t="n">
        <f aca="false">Sens!$E$14807+(glt_ind-Sens!$E$14807)*MIN(1,(Sens!F14757-base_fy)/n_conv)</f>
        <v>0.0989049066985211</v>
      </c>
      <c r="G14807" s="7" t="n">
        <f aca="false">Sens!$E$14807+(glt_ind-Sens!$E$14807)*MIN(1,(Sens!G14757-base_fy)/n_conv)</f>
        <v>0.0931239253588169</v>
      </c>
      <c r="H14807" s="7" t="n">
        <f aca="false">Sens!$E$14807+(glt_ind-Sens!$E$14807)*MIN(1,(Sens!H14757-base_fy)/n_conv)</f>
        <v>0.0873429440191127</v>
      </c>
      <c r="I14807" s="7" t="n">
        <f aca="false">Sens!$E$14807+(glt_ind-Sens!$E$14807)*MIN(1,(Sens!I14757-base_fy)/n_conv)</f>
        <v>0.0815619626794085</v>
      </c>
      <c r="J14807" s="7" t="n">
        <f aca="false">Sens!$E$14807+(glt_ind-Sens!$E$14807)*MIN(1,(Sens!J14757-base_fy)/n_conv)</f>
        <v>0.0757809813397042</v>
      </c>
      <c r="K14807" s="7" t="n">
        <f aca="false">Sens!$E$14807+(glt_ind-Sens!$E$14807)*MIN(1,(Sens!K14757-base_fy)/n_conv)</f>
        <v>0.07</v>
      </c>
    </row>
    <row r="14808" customFormat="false" ht="15" hidden="false" customHeight="false" outlineLevel="0" collapsed="false">
      <c r="A14808" s="0" t="s">
        <v>886</v>
      </c>
      <c r="B14808" s="0" t="s">
        <v>98</v>
      </c>
      <c r="D14808" s="6" t="n">
        <f aca="false">Q!L10</f>
        <v>7.76</v>
      </c>
      <c r="E14808" s="6" t="n">
        <f aca="false">Q!M10</f>
        <v>8.26</v>
      </c>
      <c r="F14808" s="6" t="n">
        <f aca="false">Sens!E14808*(1+Sens!F14809)</f>
        <v>8.79988041237113</v>
      </c>
      <c r="G14808" s="6" t="n">
        <f aca="false">Sens!F14808*(1+Sens!G14809)</f>
        <v>9.38321269125306</v>
      </c>
      <c r="H14808" s="6" t="n">
        <f aca="false">Sens!G14808*(1+Sens!H14809)</f>
        <v>10.0139193587476</v>
      </c>
      <c r="I14808" s="6" t="n">
        <f aca="false">Sens!H14808*(1+Sens!I14809)</f>
        <v>10.6963111830911</v>
      </c>
      <c r="J14808" s="6" t="n">
        <f aca="false">Sens!I14808*(1+Sens!J14809)</f>
        <v>11.4351285534696</v>
      </c>
      <c r="K14808" s="6" t="n">
        <f aca="false">Sens!J14808*(1+Sens!K14809)</f>
        <v>12.2355875522124</v>
      </c>
    </row>
    <row r="14809" customFormat="false" ht="15" hidden="false" customHeight="false" outlineLevel="0" collapsed="false">
      <c r="A14809" s="1" t="s">
        <v>876</v>
      </c>
      <c r="B14809" s="0" t="s">
        <v>129</v>
      </c>
      <c r="E14809" s="7" t="n">
        <f aca="false">Sens!E14808/Sens!D14808-1</f>
        <v>0.0644329896907216</v>
      </c>
      <c r="F14809" s="7" t="n">
        <f aca="false">Sens!$E$14809+(glt_fro-Sens!$E$14809)*MIN(1,(Sens!F14757-base_fy)/n_conv)</f>
        <v>0.065360824742268</v>
      </c>
      <c r="G14809" s="7" t="n">
        <f aca="false">Sens!$E$14809+(glt_fro-Sens!$E$14809)*MIN(1,(Sens!G14757-base_fy)/n_conv)</f>
        <v>0.0662886597938144</v>
      </c>
      <c r="H14809" s="7" t="n">
        <f aca="false">Sens!$E$14809+(glt_fro-Sens!$E$14809)*MIN(1,(Sens!H14757-base_fy)/n_conv)</f>
        <v>0.0672164948453608</v>
      </c>
      <c r="I14809" s="7" t="n">
        <f aca="false">Sens!$E$14809+(glt_fro-Sens!$E$14809)*MIN(1,(Sens!I14757-base_fy)/n_conv)</f>
        <v>0.0681443298969072</v>
      </c>
      <c r="J14809" s="7" t="n">
        <f aca="false">Sens!$E$14809+(glt_fro-Sens!$E$14809)*MIN(1,(Sens!J14757-base_fy)/n_conv)</f>
        <v>0.0690721649484536</v>
      </c>
      <c r="K14809" s="7" t="n">
        <f aca="false">Sens!$E$14809+(glt_fro-Sens!$E$14809)*MIN(1,(Sens!K14757-base_fy)/n_conv)</f>
        <v>0.07</v>
      </c>
    </row>
    <row r="14810" customFormat="false" ht="15" hidden="false" customHeight="false" outlineLevel="0" collapsed="false">
      <c r="A14810" s="0" t="s">
        <v>715</v>
      </c>
      <c r="B14810" s="0" t="s">
        <v>98</v>
      </c>
      <c r="D14810" s="6" t="n">
        <f aca="false">Sens!D14798+Sens!D14803+Sens!D14804+Sens!D14806+Sens!D14808</f>
        <v>218.783</v>
      </c>
      <c r="E14810" s="6" t="n">
        <f aca="false">Sens!E14798+Sens!E14803+Sens!E14804+Sens!E14806+Sens!E14808</f>
        <v>268.127</v>
      </c>
      <c r="F14810" s="6" t="n">
        <f aca="false">Sens!F14798+Sens!F14803+Sens!F14804+Sens!F14806+Sens!F14808</f>
        <v>339.433940907051</v>
      </c>
      <c r="G14810" s="6" t="n">
        <f aca="false">Sens!G14798+Sens!G14803+Sens!G14804+Sens!G14806+Sens!G14808</f>
        <v>424.490670881892</v>
      </c>
      <c r="H14810" s="6" t="n">
        <f aca="false">Sens!H14798+Sens!H14803+Sens!H14804+Sens!H14806+Sens!H14808</f>
        <v>515.646275281385</v>
      </c>
      <c r="I14810" s="6" t="n">
        <f aca="false">Sens!I14798+Sens!I14803+Sens!I14804+Sens!I14806+Sens!I14808</f>
        <v>592.863760444604</v>
      </c>
      <c r="J14810" s="6" t="n">
        <f aca="false">Sens!J14798+Sens!J14803+Sens!J14804+Sens!J14806+Sens!J14808</f>
        <v>654.596421863355</v>
      </c>
      <c r="K14810" s="6" t="n">
        <f aca="false">Sens!K14798+Sens!K14803+Sens!K14804+Sens!K14806+Sens!K14808</f>
        <v>703.647921299244</v>
      </c>
    </row>
    <row r="14811" customFormat="false" ht="15" hidden="false" customHeight="false" outlineLevel="0" collapsed="false">
      <c r="A14811" s="0" t="s">
        <v>887</v>
      </c>
      <c r="B14811" s="0" t="s">
        <v>98</v>
      </c>
      <c r="D14811" s="6" t="n">
        <f aca="false">Q!L13</f>
        <v>22.171</v>
      </c>
      <c r="E14811" s="6" t="n">
        <f aca="false">Q!M13</f>
        <v>24.835</v>
      </c>
      <c r="F14811" s="6" t="n">
        <f aca="false">Sens!E14811*(1+Sens!F14812)</f>
        <v>27.6114901218559</v>
      </c>
      <c r="G14811" s="6" t="n">
        <f aca="false">Sens!F14811*(1+Sens!G14812)</f>
        <v>30.4675667338515</v>
      </c>
      <c r="H14811" s="6" t="n">
        <f aca="false">Sens!G14811*(1+Sens!H14812)</f>
        <v>33.3643766955789</v>
      </c>
      <c r="I14811" s="6" t="n">
        <f aca="false">Sens!H14811*(1+Sens!I14812)</f>
        <v>36.2577016533691</v>
      </c>
      <c r="J14811" s="6" t="n">
        <f aca="false">Sens!I14811*(1+Sens!J14812)</f>
        <v>39.0988367952171</v>
      </c>
      <c r="K14811" s="6" t="n">
        <f aca="false">Sens!J14811*(1+Sens!K14812)</f>
        <v>41.8357553708823</v>
      </c>
    </row>
    <row r="14812" customFormat="false" ht="15" hidden="false" customHeight="false" outlineLevel="0" collapsed="false">
      <c r="A14812" s="1" t="s">
        <v>876</v>
      </c>
      <c r="B14812" s="0" t="s">
        <v>129</v>
      </c>
      <c r="E14812" s="7" t="n">
        <f aca="false">Sens!E14811/Sens!D14811-1</f>
        <v>0.120156961796942</v>
      </c>
      <c r="F14812" s="7" t="n">
        <f aca="false">Sens!$E$14812+(glt_srch-Sens!$E$14812)*MIN(1,(Sens!F14757-base_fy)/n_conv)</f>
        <v>0.111797468164118</v>
      </c>
      <c r="G14812" s="7" t="n">
        <f aca="false">Sens!$E$14812+(glt_srch-Sens!$E$14812)*MIN(1,(Sens!G14757-base_fy)/n_conv)</f>
        <v>0.103437974531295</v>
      </c>
      <c r="H14812" s="7" t="n">
        <f aca="false">Sens!$E$14812+(glt_srch-Sens!$E$14812)*MIN(1,(Sens!H14757-base_fy)/n_conv)</f>
        <v>0.095078480898471</v>
      </c>
      <c r="I14812" s="7" t="n">
        <f aca="false">Sens!$E$14812+(glt_srch-Sens!$E$14812)*MIN(1,(Sens!I14757-base_fy)/n_conv)</f>
        <v>0.0867189872656474</v>
      </c>
      <c r="J14812" s="7" t="n">
        <f aca="false">Sens!$E$14812+(glt_srch-Sens!$E$14812)*MIN(1,(Sens!J14757-base_fy)/n_conv)</f>
        <v>0.0783594936328237</v>
      </c>
      <c r="K14812" s="7" t="n">
        <f aca="false">Sens!$E$14812+(glt_srch-Sens!$E$14812)*MIN(1,(Sens!K14757-base_fy)/n_conv)</f>
        <v>0.07</v>
      </c>
    </row>
    <row r="14813" customFormat="false" ht="15" hidden="false" customHeight="false" outlineLevel="0" collapsed="false">
      <c r="A14813" s="0" t="s">
        <v>888</v>
      </c>
      <c r="B14813" s="0" t="s">
        <v>98</v>
      </c>
      <c r="D14813" s="6" t="n">
        <f aca="false">Q!L14</f>
        <v>23.455</v>
      </c>
      <c r="E14813" s="6" t="n">
        <f aca="false">Q!M14</f>
        <v>21.79</v>
      </c>
      <c r="F14813" s="6" t="n">
        <f aca="false">Sens!E14813*(1+Sens!F14814)</f>
        <v>20.5736277908051</v>
      </c>
      <c r="G14813" s="6" t="n">
        <f aca="false">Sens!F14813*(1+Sens!G14814)</f>
        <v>19.7371452817919</v>
      </c>
      <c r="H14813" s="6" t="n">
        <f aca="false">Sens!G14813*(1+Sens!H14814)</f>
        <v>19.2339764043138</v>
      </c>
      <c r="I14813" s="6" t="n">
        <f aca="false">Sens!H14813*(1+Sens!I14814)</f>
        <v>19.0353086852681</v>
      </c>
      <c r="J14813" s="6" t="n">
        <f aca="false">Sens!I14813*(1+Sens!J14814)</f>
        <v>19.1273539319129</v>
      </c>
      <c r="K14813" s="6" t="n">
        <f aca="false">Sens!J14813*(1+Sens!K14814)</f>
        <v>19.5099010105511</v>
      </c>
    </row>
    <row r="14814" customFormat="false" ht="15" hidden="false" customHeight="false" outlineLevel="0" collapsed="false">
      <c r="A14814" s="1" t="s">
        <v>876</v>
      </c>
      <c r="B14814" s="0" t="s">
        <v>129</v>
      </c>
      <c r="E14814" s="7" t="n">
        <f aca="false">Sens!E14813/Sens!D14813-1</f>
        <v>-0.0709869963760392</v>
      </c>
      <c r="F14814" s="7" t="n">
        <f aca="false">Sens!$E$14814+(glt_xbox-Sens!$E$14814)*MIN(1,(Sens!F14757-base_fy)/n_conv)</f>
        <v>-0.0558224969800327</v>
      </c>
      <c r="G14814" s="7" t="n">
        <f aca="false">Sens!$E$14814+(glt_xbox-Sens!$E$14814)*MIN(1,(Sens!G14757-base_fy)/n_conv)</f>
        <v>-0.0406579975840262</v>
      </c>
      <c r="H14814" s="7" t="n">
        <f aca="false">Sens!$E$14814+(glt_xbox-Sens!$E$14814)*MIN(1,(Sens!H14757-base_fy)/n_conv)</f>
        <v>-0.0254934981880196</v>
      </c>
      <c r="I14814" s="7" t="n">
        <f aca="false">Sens!$E$14814+(glt_xbox-Sens!$E$14814)*MIN(1,(Sens!I14757-base_fy)/n_conv)</f>
        <v>-0.0103289987920131</v>
      </c>
      <c r="J14814" s="7" t="n">
        <f aca="false">Sens!$E$14814+(glt_xbox-Sens!$E$14814)*MIN(1,(Sens!J14757-base_fy)/n_conv)</f>
        <v>0.00483550060399347</v>
      </c>
      <c r="K14814" s="7" t="n">
        <f aca="false">Sens!$E$14814+(glt_xbox-Sens!$E$14814)*MIN(1,(Sens!K14757-base_fy)/n_conv)</f>
        <v>0.02</v>
      </c>
    </row>
    <row r="14815" customFormat="false" ht="15" hidden="false" customHeight="false" outlineLevel="0" collapsed="false">
      <c r="A14815" s="0" t="s">
        <v>889</v>
      </c>
      <c r="B14815" s="0" t="s">
        <v>98</v>
      </c>
      <c r="D14815" s="6" t="n">
        <f aca="false">Q!L15</f>
        <v>17.315</v>
      </c>
      <c r="E14815" s="6" t="n">
        <f aca="false">Q!M15</f>
        <v>17.087</v>
      </c>
      <c r="F14815" s="6" t="n">
        <f aca="false">Sens!E14815*(1+Sens!F14816)</f>
        <v>16.9564585436519</v>
      </c>
      <c r="G14815" s="6" t="n">
        <f aca="false">Sens!F14815*(1+Sens!G14816)</f>
        <v>16.9206490624268</v>
      </c>
      <c r="H14815" s="6" t="n">
        <f aca="false">Sens!G14815*(1+Sens!H14816)</f>
        <v>16.9784519149849</v>
      </c>
      <c r="I14815" s="6" t="n">
        <f aca="false">Sens!H14815*(1+Sens!I14816)</f>
        <v>17.1303084701817</v>
      </c>
      <c r="J14815" s="6" t="n">
        <f aca="false">Sens!I14815*(1+Sens!J14816)</f>
        <v>17.3782189407267</v>
      </c>
      <c r="K14815" s="6" t="n">
        <f aca="false">Sens!J14815*(1+Sens!K14816)</f>
        <v>17.7257833195413</v>
      </c>
    </row>
    <row r="14816" customFormat="false" ht="15" hidden="false" customHeight="false" outlineLevel="0" collapsed="false">
      <c r="A14816" s="1" t="s">
        <v>876</v>
      </c>
      <c r="B14816" s="0" t="s">
        <v>129</v>
      </c>
      <c r="E14816" s="7" t="n">
        <f aca="false">Sens!E14815/Sens!D14815-1</f>
        <v>-0.0131677736066995</v>
      </c>
      <c r="F14816" s="7" t="n">
        <f aca="false">Sens!$E$14816+(glt_win-Sens!$E$14816)*MIN(1,(Sens!F14757-base_fy)/n_conv)</f>
        <v>-0.00763981133891627</v>
      </c>
      <c r="G14816" s="7" t="n">
        <f aca="false">Sens!$E$14816+(glt_win-Sens!$E$14816)*MIN(1,(Sens!G14757-base_fy)/n_conv)</f>
        <v>-0.00211184907113301</v>
      </c>
      <c r="H14816" s="7" t="n">
        <f aca="false">Sens!$E$14816+(glt_win-Sens!$E$14816)*MIN(1,(Sens!H14757-base_fy)/n_conv)</f>
        <v>0.00341611319665024</v>
      </c>
      <c r="I14816" s="7" t="n">
        <f aca="false">Sens!$E$14816+(glt_win-Sens!$E$14816)*MIN(1,(Sens!I14757-base_fy)/n_conv)</f>
        <v>0.00894407546443349</v>
      </c>
      <c r="J14816" s="7" t="n">
        <f aca="false">Sens!$E$14816+(glt_win-Sens!$E$14816)*MIN(1,(Sens!J14757-base_fy)/n_conv)</f>
        <v>0.0144720377322168</v>
      </c>
      <c r="K14816" s="7" t="n">
        <f aca="false">Sens!$E$14816+(glt_win-Sens!$E$14816)*MIN(1,(Sens!K14757-base_fy)/n_conv)</f>
        <v>0.02</v>
      </c>
    </row>
    <row r="14817" customFormat="false" ht="15" hidden="false" customHeight="false" outlineLevel="0" collapsed="false">
      <c r="A14817" s="0" t="s">
        <v>729</v>
      </c>
      <c r="B14817" s="0" t="s">
        <v>98</v>
      </c>
      <c r="D14817" s="6" t="n">
        <f aca="false">Sens!D14811+Sens!D14813+Sens!D14815</f>
        <v>62.941</v>
      </c>
      <c r="E14817" s="6" t="n">
        <f aca="false">Sens!E14811+Sens!E14813+Sens!E14815</f>
        <v>63.712</v>
      </c>
      <c r="F14817" s="6" t="n">
        <f aca="false">Sens!F14811+Sens!F14813+Sens!F14815</f>
        <v>65.1415764563129</v>
      </c>
      <c r="G14817" s="6" t="n">
        <f aca="false">Sens!G14811+Sens!G14813+Sens!G14815</f>
        <v>67.1253610780702</v>
      </c>
      <c r="H14817" s="6" t="n">
        <f aca="false">Sens!H14811+Sens!H14813+Sens!H14815</f>
        <v>69.5768050148776</v>
      </c>
      <c r="I14817" s="6" t="n">
        <f aca="false">Sens!I14811+Sens!I14813+Sens!I14815</f>
        <v>72.4233188088189</v>
      </c>
      <c r="J14817" s="6" t="n">
        <f aca="false">Sens!J14811+Sens!J14813+Sens!J14815</f>
        <v>75.6044096678567</v>
      </c>
      <c r="K14817" s="6" t="n">
        <f aca="false">Sens!K14811+Sens!K14813+Sens!K14815</f>
        <v>79.0714397009747</v>
      </c>
    </row>
    <row r="14818" customFormat="false" ht="15" hidden="false" customHeight="false" outlineLevel="0" collapsed="false">
      <c r="A14818" s="1" t="s">
        <v>890</v>
      </c>
      <c r="B14818" s="0" t="s">
        <v>98</v>
      </c>
      <c r="D14818" s="6" t="n">
        <f aca="false">Sens!D14810+Sens!D14817</f>
        <v>281.724</v>
      </c>
      <c r="E14818" s="6" t="n">
        <f aca="false">Sens!E14810+Sens!E14817</f>
        <v>331.839</v>
      </c>
      <c r="F14818" s="6" t="n">
        <f aca="false">Sens!F14810+Sens!F14817</f>
        <v>404.575517363364</v>
      </c>
      <c r="G14818" s="6" t="n">
        <f aca="false">Sens!G14810+Sens!G14817</f>
        <v>491.616031959962</v>
      </c>
      <c r="H14818" s="6" t="n">
        <f aca="false">Sens!H14810+Sens!H14817</f>
        <v>585.223080296262</v>
      </c>
      <c r="I14818" s="6" t="n">
        <f aca="false">Sens!I14810+Sens!I14817</f>
        <v>665.287079253422</v>
      </c>
      <c r="J14818" s="6" t="n">
        <f aca="false">Sens!J14810+Sens!J14817</f>
        <v>730.200831531211</v>
      </c>
      <c r="K14818" s="6" t="n">
        <f aca="false">Sens!K14810+Sens!K14817</f>
        <v>782.719361000218</v>
      </c>
    </row>
    <row r="14819" customFormat="false" ht="15" hidden="false" customHeight="false" outlineLevel="0" collapsed="false">
      <c r="A14819" s="23" t="s">
        <v>891</v>
      </c>
      <c r="B14819" s="30" t="s">
        <v>98</v>
      </c>
      <c r="C14819" s="30"/>
      <c r="D14819" s="24" t="n">
        <f aca="false">(Sens!D14798+Sens!D14803+Sens!D14804+Sens!D14806+Sens!D14808-Sens!D14810)+(Sens!D14811+Sens!D14813+Sens!D14815-Sens!D14817)+(Sens!D14810-Q!L5)+(Sens!D14817-Q!L12)+(Sens!D14798-Q!L6)+(Sens!D14803-Q!L7)</f>
        <v>0</v>
      </c>
      <c r="E14819" s="24" t="n">
        <f aca="false">(Sens!E14798+Sens!E14803+Sens!E14804+Sens!E14806+Sens!E14808-Sens!E14810)+(Sens!E14811+Sens!E14813+Sens!E14815-Sens!E14817)+(Sens!E14810-Q!M5)+(Sens!E14817-Q!M12)+(Sens!E14798-Q!M6)+(Sens!E14803-Q!M7)</f>
        <v>0</v>
      </c>
      <c r="F14819" s="24" t="n">
        <f aca="false">(Sens!F14798+Sens!F14803+Sens!F14804+Sens!F14806+Sens!F14808-Sens!F14810)+(Sens!F14811+Sens!F14813+Sens!F14815-Sens!F14817)</f>
        <v>0</v>
      </c>
      <c r="G14819" s="24" t="n">
        <f aca="false">(Sens!G14798+Sens!G14803+Sens!G14804+Sens!G14806+Sens!G14808-Sens!G14810)+(Sens!G14811+Sens!G14813+Sens!G14815-Sens!G14817)</f>
        <v>0</v>
      </c>
      <c r="H14819" s="24" t="n">
        <f aca="false">(Sens!H14798+Sens!H14803+Sens!H14804+Sens!H14806+Sens!H14808-Sens!H14810)+(Sens!H14811+Sens!H14813+Sens!H14815-Sens!H14817)</f>
        <v>0</v>
      </c>
      <c r="I14819" s="24" t="n">
        <f aca="false">(Sens!I14798+Sens!I14803+Sens!I14804+Sens!I14806+Sens!I14808-Sens!I14810)+(Sens!I14811+Sens!I14813+Sens!I14815-Sens!I14817)</f>
        <v>0</v>
      </c>
      <c r="J14819" s="24" t="n">
        <f aca="false">(Sens!J14798+Sens!J14803+Sens!J14804+Sens!J14806+Sens!J14808-Sens!J14810)+(Sens!J14811+Sens!J14813+Sens!J14815-Sens!J14817)</f>
        <v>0</v>
      </c>
      <c r="K14819" s="24" t="n">
        <f aca="false">(Sens!K14798+Sens!K14803+Sens!K14804+Sens!K14806+Sens!K14808-Sens!K14810)+(Sens!K14811+Sens!K14813+Sens!K14815-Sens!K14817)</f>
        <v>0</v>
      </c>
    </row>
    <row r="14820" customFormat="false" ht="17.15" hidden="false" customHeight="false" outlineLevel="0" collapsed="false">
      <c r="A14820" s="3" t="s">
        <v>1638</v>
      </c>
    </row>
    <row r="14821" customFormat="false" ht="15" hidden="false" customHeight="false" outlineLevel="0" collapsed="false">
      <c r="A14821" s="4" t="s">
        <v>43</v>
      </c>
      <c r="B14821" s="4" t="s">
        <v>65</v>
      </c>
      <c r="C14821" s="20" t="s">
        <v>799</v>
      </c>
      <c r="D14821" s="20" t="s">
        <v>800</v>
      </c>
      <c r="E14821" s="20" t="s">
        <v>801</v>
      </c>
      <c r="F14821" s="20" t="s">
        <v>802</v>
      </c>
      <c r="G14821" s="20" t="s">
        <v>803</v>
      </c>
      <c r="H14821" s="20" t="s">
        <v>804</v>
      </c>
      <c r="I14821" s="20" t="s">
        <v>805</v>
      </c>
      <c r="J14821" s="20" t="s">
        <v>806</v>
      </c>
      <c r="K14821" s="20" t="s">
        <v>807</v>
      </c>
      <c r="L14821" s="4" t="s">
        <v>47</v>
      </c>
    </row>
    <row r="14822" customFormat="false" ht="15" hidden="false" customHeight="false" outlineLevel="0" collapsed="false">
      <c r="A14822" s="0" t="s">
        <v>877</v>
      </c>
      <c r="B14822" s="0" t="s">
        <v>98</v>
      </c>
      <c r="D14822" s="6" t="n">
        <f aca="false">Sens!D14798</f>
        <v>72.61</v>
      </c>
      <c r="E14822" s="6" t="n">
        <f aca="false">Sens!E14798</f>
        <v>101.938</v>
      </c>
      <c r="F14822" s="6" t="n">
        <f aca="false">Sens!F14798</f>
        <v>148.812368967868</v>
      </c>
      <c r="G14822" s="6" t="n">
        <f aca="false">Sens!G14798</f>
        <v>208.397514344463</v>
      </c>
      <c r="H14822" s="6" t="n">
        <f aca="false">Sens!H14798</f>
        <v>274.05759259987</v>
      </c>
      <c r="I14822" s="6" t="n">
        <f aca="false">Sens!I14798</f>
        <v>328.302405465117</v>
      </c>
      <c r="J14822" s="6" t="n">
        <f aca="false">Sens!J14798</f>
        <v>369.905524759186</v>
      </c>
      <c r="K14822" s="6" t="n">
        <f aca="false">Sens!K14798</f>
        <v>399.753851959067</v>
      </c>
    </row>
    <row r="14823" customFormat="false" ht="17.15" hidden="false" customHeight="false" outlineLevel="0" collapsed="false">
      <c r="A14823" s="0" t="s">
        <v>874</v>
      </c>
      <c r="B14823" s="0" t="s">
        <v>98</v>
      </c>
      <c r="D14823" s="6" t="n">
        <f aca="false">Sens!D14795</f>
        <v>12.9359794422418</v>
      </c>
      <c r="E14823" s="6" t="n">
        <f aca="false">Sens!E14795</f>
        <v>27.8095064661409</v>
      </c>
      <c r="F14823" s="6" t="n">
        <f aca="false">Sens!F14795</f>
        <v>58.7324192305018</v>
      </c>
      <c r="G14823" s="6" t="n">
        <f aca="false">Sens!G14795</f>
        <v>101.369089141153</v>
      </c>
      <c r="H14823" s="6" t="n">
        <f aca="false">Sens!H14795</f>
        <v>149.785610014234</v>
      </c>
      <c r="I14823" s="6" t="n">
        <f aca="false">Sens!I14795</f>
        <v>187.368703083263</v>
      </c>
      <c r="J14823" s="6" t="n">
        <f aca="false">Sens!J14795</f>
        <v>213.886657444854</v>
      </c>
      <c r="K14823" s="6" t="n">
        <f aca="false">Sens!K14795</f>
        <v>231.253475259589</v>
      </c>
    </row>
    <row r="14824" customFormat="false" ht="17.15" hidden="false" customHeight="false" outlineLevel="0" collapsed="false">
      <c r="A14824" s="0" t="s">
        <v>902</v>
      </c>
      <c r="B14824" s="0" t="s">
        <v>98</v>
      </c>
      <c r="D14824" s="6" t="n">
        <f aca="false">Sens!D14796</f>
        <v>59.6740205577583</v>
      </c>
      <c r="E14824" s="6" t="n">
        <f aca="false">Sens!E14796</f>
        <v>74.1284935338591</v>
      </c>
      <c r="F14824" s="6" t="n">
        <f aca="false">Sens!F14796</f>
        <v>90.0799497373663</v>
      </c>
      <c r="G14824" s="6" t="n">
        <f aca="false">Sens!G14796</f>
        <v>107.02842520331</v>
      </c>
      <c r="H14824" s="6" t="n">
        <f aca="false">Sens!H14796</f>
        <v>124.271982585636</v>
      </c>
      <c r="I14824" s="6" t="n">
        <f aca="false">Sens!I14796</f>
        <v>140.933702381855</v>
      </c>
      <c r="J14824" s="6" t="n">
        <f aca="false">Sens!J14796</f>
        <v>156.018867314332</v>
      </c>
      <c r="K14824" s="6" t="n">
        <f aca="false">Sens!K14796</f>
        <v>168.500376699478</v>
      </c>
    </row>
    <row r="14825" customFormat="false" ht="15" hidden="false" customHeight="false" outlineLevel="0" collapsed="false">
      <c r="A14825" s="0" t="s">
        <v>883</v>
      </c>
      <c r="B14825" s="0" t="s">
        <v>98</v>
      </c>
      <c r="D14825" s="6" t="n">
        <f aca="false">Sens!D14803</f>
        <v>84.605</v>
      </c>
      <c r="E14825" s="6" t="n">
        <f aca="false">Sens!E14803</f>
        <v>100.299</v>
      </c>
      <c r="F14825" s="6" t="n">
        <f aca="false">Sens!F14803</f>
        <v>120.39238776686</v>
      </c>
      <c r="G14825" s="6" t="n">
        <f aca="false">Sens!G14803</f>
        <v>141.544168448684</v>
      </c>
      <c r="H14825" s="6" t="n">
        <f aca="false">Sens!H14803</f>
        <v>162.777359388781</v>
      </c>
      <c r="I14825" s="6" t="n">
        <f aca="false">Sens!I14803</f>
        <v>181.584028071957</v>
      </c>
      <c r="J14825" s="6" t="n">
        <f aca="false">Sens!J14803</f>
        <v>197.682702785465</v>
      </c>
      <c r="K14825" s="6" t="n">
        <f aca="false">Sens!K14803</f>
        <v>213.027991980448</v>
      </c>
    </row>
    <row r="14826" customFormat="false" ht="17.15" hidden="false" customHeight="false" outlineLevel="0" collapsed="false">
      <c r="A14826" s="0" t="s">
        <v>903</v>
      </c>
      <c r="B14826" s="0" t="s">
        <v>98</v>
      </c>
      <c r="D14826" s="6" t="n">
        <f aca="false">Sens!D14801</f>
        <v>83.705</v>
      </c>
      <c r="E14826" s="6" t="n">
        <f aca="false">Sens!E14801</f>
        <v>95.049</v>
      </c>
      <c r="F14826" s="6" t="n">
        <f aca="false">Sens!F14801</f>
        <v>106.89238776686</v>
      </c>
      <c r="G14826" s="6" t="n">
        <f aca="false">Sens!G14801</f>
        <v>119.044168448684</v>
      </c>
      <c r="H14826" s="6" t="n">
        <f aca="false">Sens!H14801</f>
        <v>131.277359388781</v>
      </c>
      <c r="I14826" s="6" t="n">
        <f aca="false">Sens!I14801</f>
        <v>143.334028071957</v>
      </c>
      <c r="J14826" s="6" t="n">
        <f aca="false">Sens!J14801</f>
        <v>154.932702785465</v>
      </c>
      <c r="K14826" s="6" t="n">
        <f aca="false">Sens!K14801</f>
        <v>165.777991980448</v>
      </c>
    </row>
    <row r="14827" customFormat="false" ht="17.15" hidden="false" customHeight="false" outlineLevel="0" collapsed="false">
      <c r="A14827" s="0" t="s">
        <v>904</v>
      </c>
      <c r="B14827" s="0" t="s">
        <v>98</v>
      </c>
      <c r="D14827" s="6" t="n">
        <f aca="false">Sens!D14800</f>
        <v>0.9</v>
      </c>
      <c r="E14827" s="6" t="n">
        <f aca="false">Sens!E14800</f>
        <v>5.25</v>
      </c>
      <c r="F14827" s="6" t="n">
        <f aca="false">Sens!F14800</f>
        <v>13.5</v>
      </c>
      <c r="G14827" s="6" t="n">
        <f aca="false">Sens!G14800</f>
        <v>22.5</v>
      </c>
      <c r="H14827" s="6" t="n">
        <f aca="false">Sens!H14800</f>
        <v>31.5</v>
      </c>
      <c r="I14827" s="6" t="n">
        <f aca="false">Sens!I14800</f>
        <v>38.25</v>
      </c>
      <c r="J14827" s="6" t="n">
        <f aca="false">Sens!J14800</f>
        <v>42.75</v>
      </c>
      <c r="K14827" s="6" t="n">
        <f aca="false">Sens!K14800</f>
        <v>47.25</v>
      </c>
    </row>
    <row r="14828" customFormat="false" ht="15" hidden="false" customHeight="false" outlineLevel="0" collapsed="false">
      <c r="A14828" s="0" t="s">
        <v>884</v>
      </c>
      <c r="B14828" s="0" t="s">
        <v>98</v>
      </c>
      <c r="D14828" s="6" t="n">
        <f aca="false">Sens!D14804</f>
        <v>35.391</v>
      </c>
      <c r="E14828" s="6" t="n">
        <f aca="false">Sens!E14804</f>
        <v>37.285</v>
      </c>
      <c r="F14828" s="6" t="n">
        <f aca="false">Sens!F14804</f>
        <v>39.0720834331704</v>
      </c>
      <c r="G14828" s="6" t="n">
        <f aca="false">Sens!G14804</f>
        <v>40.726562953769</v>
      </c>
      <c r="H14828" s="6" t="n">
        <f aca="false">Sens!H14804</f>
        <v>42.2235987259198</v>
      </c>
      <c r="I14828" s="6" t="n">
        <f aca="false">Sens!I14804</f>
        <v>43.5397988077414</v>
      </c>
      <c r="J14828" s="6" t="n">
        <f aca="false">Sens!J14804</f>
        <v>44.653811225693</v>
      </c>
      <c r="K14828" s="6" t="n">
        <f aca="false">Sens!K14804</f>
        <v>45.5468874502068</v>
      </c>
    </row>
    <row r="14829" customFormat="false" ht="15" hidden="false" customHeight="false" outlineLevel="0" collapsed="false">
      <c r="A14829" s="0" t="s">
        <v>885</v>
      </c>
      <c r="B14829" s="0" t="s">
        <v>98</v>
      </c>
      <c r="D14829" s="6" t="n">
        <f aca="false">Sens!D14806</f>
        <v>18.417</v>
      </c>
      <c r="E14829" s="6" t="n">
        <f aca="false">Sens!E14806</f>
        <v>20.345</v>
      </c>
      <c r="F14829" s="6" t="n">
        <f aca="false">Sens!F14806</f>
        <v>22.3572203267814</v>
      </c>
      <c r="G14829" s="6" t="n">
        <f aca="false">Sens!G14806</f>
        <v>24.4392124437232</v>
      </c>
      <c r="H14829" s="6" t="n">
        <f aca="false">Sens!H14806</f>
        <v>26.5738052080665</v>
      </c>
      <c r="I14829" s="6" t="n">
        <f aca="false">Sens!I14806</f>
        <v>28.7412169166967</v>
      </c>
      <c r="J14829" s="6" t="n">
        <f aca="false">Sens!J14806</f>
        <v>30.9192545395413</v>
      </c>
      <c r="K14829" s="6" t="n">
        <f aca="false">Sens!K14806</f>
        <v>33.0836023573092</v>
      </c>
    </row>
    <row r="14830" customFormat="false" ht="15" hidden="false" customHeight="false" outlineLevel="0" collapsed="false">
      <c r="A14830" s="0" t="s">
        <v>886</v>
      </c>
      <c r="B14830" s="0" t="s">
        <v>98</v>
      </c>
      <c r="D14830" s="6" t="n">
        <f aca="false">Sens!D14808</f>
        <v>7.76</v>
      </c>
      <c r="E14830" s="6" t="n">
        <f aca="false">Sens!E14808</f>
        <v>8.26</v>
      </c>
      <c r="F14830" s="6" t="n">
        <f aca="false">Sens!F14808</f>
        <v>8.79988041237113</v>
      </c>
      <c r="G14830" s="6" t="n">
        <f aca="false">Sens!G14808</f>
        <v>9.38321269125306</v>
      </c>
      <c r="H14830" s="6" t="n">
        <f aca="false">Sens!H14808</f>
        <v>10.0139193587476</v>
      </c>
      <c r="I14830" s="6" t="n">
        <f aca="false">Sens!I14808</f>
        <v>10.6963111830911</v>
      </c>
      <c r="J14830" s="6" t="n">
        <f aca="false">Sens!J14808</f>
        <v>11.4351285534696</v>
      </c>
      <c r="K14830" s="6" t="n">
        <f aca="false">Sens!K14808</f>
        <v>12.2355875522124</v>
      </c>
    </row>
    <row r="14831" customFormat="false" ht="15" hidden="false" customHeight="false" outlineLevel="0" collapsed="false">
      <c r="A14831" s="0" t="s">
        <v>715</v>
      </c>
      <c r="B14831" s="0" t="s">
        <v>98</v>
      </c>
      <c r="D14831" s="6" t="n">
        <f aca="false">Sens!D14810</f>
        <v>218.783</v>
      </c>
      <c r="E14831" s="6" t="n">
        <f aca="false">Sens!E14810</f>
        <v>268.127</v>
      </c>
      <c r="F14831" s="6" t="n">
        <f aca="false">Sens!F14810</f>
        <v>339.433940907051</v>
      </c>
      <c r="G14831" s="6" t="n">
        <f aca="false">Sens!G14810</f>
        <v>424.490670881892</v>
      </c>
      <c r="H14831" s="6" t="n">
        <f aca="false">Sens!H14810</f>
        <v>515.646275281385</v>
      </c>
      <c r="I14831" s="6" t="n">
        <f aca="false">Sens!I14810</f>
        <v>592.863760444604</v>
      </c>
      <c r="J14831" s="6" t="n">
        <f aca="false">Sens!J14810</f>
        <v>654.596421863355</v>
      </c>
      <c r="K14831" s="6" t="n">
        <f aca="false">Sens!K14810</f>
        <v>703.647921299244</v>
      </c>
    </row>
    <row r="14832" customFormat="false" ht="15" hidden="false" customHeight="false" outlineLevel="0" collapsed="false">
      <c r="A14832" s="0" t="s">
        <v>887</v>
      </c>
      <c r="B14832" s="0" t="s">
        <v>98</v>
      </c>
      <c r="D14832" s="6" t="n">
        <f aca="false">Sens!D14811</f>
        <v>22.171</v>
      </c>
      <c r="E14832" s="6" t="n">
        <f aca="false">Sens!E14811</f>
        <v>24.835</v>
      </c>
      <c r="F14832" s="6" t="n">
        <f aca="false">Sens!F14811</f>
        <v>27.6114901218559</v>
      </c>
      <c r="G14832" s="6" t="n">
        <f aca="false">Sens!G14811</f>
        <v>30.4675667338515</v>
      </c>
      <c r="H14832" s="6" t="n">
        <f aca="false">Sens!H14811</f>
        <v>33.3643766955789</v>
      </c>
      <c r="I14832" s="6" t="n">
        <f aca="false">Sens!I14811</f>
        <v>36.2577016533691</v>
      </c>
      <c r="J14832" s="6" t="n">
        <f aca="false">Sens!J14811</f>
        <v>39.0988367952171</v>
      </c>
      <c r="K14832" s="6" t="n">
        <f aca="false">Sens!K14811</f>
        <v>41.8357553708823</v>
      </c>
    </row>
    <row r="14833" customFormat="false" ht="15" hidden="false" customHeight="false" outlineLevel="0" collapsed="false">
      <c r="A14833" s="0" t="s">
        <v>888</v>
      </c>
      <c r="B14833" s="0" t="s">
        <v>98</v>
      </c>
      <c r="D14833" s="6" t="n">
        <f aca="false">Sens!D14813</f>
        <v>23.455</v>
      </c>
      <c r="E14833" s="6" t="n">
        <f aca="false">Sens!E14813</f>
        <v>21.79</v>
      </c>
      <c r="F14833" s="6" t="n">
        <f aca="false">Sens!F14813</f>
        <v>20.5736277908051</v>
      </c>
      <c r="G14833" s="6" t="n">
        <f aca="false">Sens!G14813</f>
        <v>19.7371452817919</v>
      </c>
      <c r="H14833" s="6" t="n">
        <f aca="false">Sens!H14813</f>
        <v>19.2339764043138</v>
      </c>
      <c r="I14833" s="6" t="n">
        <f aca="false">Sens!I14813</f>
        <v>19.0353086852681</v>
      </c>
      <c r="J14833" s="6" t="n">
        <f aca="false">Sens!J14813</f>
        <v>19.1273539319129</v>
      </c>
      <c r="K14833" s="6" t="n">
        <f aca="false">Sens!K14813</f>
        <v>19.5099010105511</v>
      </c>
    </row>
    <row r="14834" customFormat="false" ht="15" hidden="false" customHeight="false" outlineLevel="0" collapsed="false">
      <c r="A14834" s="0" t="s">
        <v>889</v>
      </c>
      <c r="B14834" s="0" t="s">
        <v>98</v>
      </c>
      <c r="D14834" s="6" t="n">
        <f aca="false">Sens!D14815</f>
        <v>17.315</v>
      </c>
      <c r="E14834" s="6" t="n">
        <f aca="false">Sens!E14815</f>
        <v>17.087</v>
      </c>
      <c r="F14834" s="6" t="n">
        <f aca="false">Sens!F14815</f>
        <v>16.9564585436519</v>
      </c>
      <c r="G14834" s="6" t="n">
        <f aca="false">Sens!G14815</f>
        <v>16.9206490624268</v>
      </c>
      <c r="H14834" s="6" t="n">
        <f aca="false">Sens!H14815</f>
        <v>16.9784519149849</v>
      </c>
      <c r="I14834" s="6" t="n">
        <f aca="false">Sens!I14815</f>
        <v>17.1303084701817</v>
      </c>
      <c r="J14834" s="6" t="n">
        <f aca="false">Sens!J14815</f>
        <v>17.3782189407267</v>
      </c>
      <c r="K14834" s="6" t="n">
        <f aca="false">Sens!K14815</f>
        <v>17.7257833195413</v>
      </c>
    </row>
    <row r="14835" customFormat="false" ht="15" hidden="false" customHeight="false" outlineLevel="0" collapsed="false">
      <c r="A14835" s="0" t="s">
        <v>729</v>
      </c>
      <c r="B14835" s="0" t="s">
        <v>98</v>
      </c>
      <c r="D14835" s="6" t="n">
        <f aca="false">Sens!D14817</f>
        <v>62.941</v>
      </c>
      <c r="E14835" s="6" t="n">
        <f aca="false">Sens!E14817</f>
        <v>63.712</v>
      </c>
      <c r="F14835" s="6" t="n">
        <f aca="false">Sens!F14817</f>
        <v>65.1415764563129</v>
      </c>
      <c r="G14835" s="6" t="n">
        <f aca="false">Sens!G14817</f>
        <v>67.1253610780702</v>
      </c>
      <c r="H14835" s="6" t="n">
        <f aca="false">Sens!H14817</f>
        <v>69.5768050148776</v>
      </c>
      <c r="I14835" s="6" t="n">
        <f aca="false">Sens!I14817</f>
        <v>72.4233188088189</v>
      </c>
      <c r="J14835" s="6" t="n">
        <f aca="false">Sens!J14817</f>
        <v>75.6044096678567</v>
      </c>
      <c r="K14835" s="6" t="n">
        <f aca="false">Sens!K14817</f>
        <v>79.0714397009747</v>
      </c>
    </row>
    <row r="14836" customFormat="false" ht="15" hidden="false" customHeight="false" outlineLevel="0" collapsed="false">
      <c r="A14836" s="1" t="s">
        <v>905</v>
      </c>
      <c r="B14836" s="0" t="s">
        <v>98</v>
      </c>
      <c r="D14836" s="6" t="n">
        <f aca="false">Sens!D14818</f>
        <v>281.724</v>
      </c>
      <c r="E14836" s="6" t="n">
        <f aca="false">Sens!E14818</f>
        <v>331.839</v>
      </c>
      <c r="F14836" s="6" t="n">
        <f aca="false">Sens!F14818</f>
        <v>404.575517363364</v>
      </c>
      <c r="G14836" s="6" t="n">
        <f aca="false">Sens!G14818</f>
        <v>491.616031959962</v>
      </c>
      <c r="H14836" s="6" t="n">
        <f aca="false">Sens!H14818</f>
        <v>585.223080296262</v>
      </c>
      <c r="I14836" s="6" t="n">
        <f aca="false">Sens!I14818</f>
        <v>665.287079253422</v>
      </c>
      <c r="J14836" s="6" t="n">
        <f aca="false">Sens!J14818</f>
        <v>730.200831531211</v>
      </c>
      <c r="K14836" s="6" t="n">
        <f aca="false">Sens!K14818</f>
        <v>782.719361000218</v>
      </c>
    </row>
    <row r="14837" customFormat="false" ht="15" hidden="false" customHeight="false" outlineLevel="0" collapsed="false">
      <c r="A14837" s="1" t="s">
        <v>906</v>
      </c>
      <c r="B14837" s="0" t="s">
        <v>129</v>
      </c>
      <c r="E14837" s="7" t="n">
        <f aca="false">Sens!E14836/Sens!D14836-1</f>
        <v>0.177886867998467</v>
      </c>
      <c r="F14837" s="7" t="n">
        <f aca="false">Sens!F14836/Sens!E14836-1</f>
        <v>0.219192190680914</v>
      </c>
      <c r="G14837" s="7" t="n">
        <f aca="false">Sens!G14836/Sens!F14836-1</f>
        <v>0.215140340581766</v>
      </c>
      <c r="H14837" s="7" t="n">
        <f aca="false">Sens!H14836/Sens!G14836-1</f>
        <v>0.19040682616291</v>
      </c>
      <c r="I14837" s="7" t="n">
        <f aca="false">Sens!I14836/Sens!H14836-1</f>
        <v>0.13680936663781</v>
      </c>
      <c r="J14837" s="7" t="n">
        <f aca="false">Sens!J14836/Sens!I14836-1</f>
        <v>0.0975725431953893</v>
      </c>
      <c r="K14837" s="7" t="n">
        <f aca="false">Sens!K14836/Sens!J14836-1</f>
        <v>0.0719234040844312</v>
      </c>
    </row>
    <row r="14838" customFormat="false" ht="17.15" hidden="false" customHeight="false" outlineLevel="0" collapsed="false">
      <c r="A14838" s="23" t="s">
        <v>907</v>
      </c>
      <c r="B14838" s="30" t="s">
        <v>98</v>
      </c>
      <c r="C14838" s="30"/>
      <c r="D14838" s="24" t="n">
        <f aca="false">(Sens!D14831+Sens!D14835-Sens!D14836)+(Sens!D14823+Sens!D14824-Sens!D14822)+(Sens!D14826+Sens!D14827-Sens!D14825)+(Sens!D14836-Q!L18)</f>
        <v>0</v>
      </c>
      <c r="E14838" s="24" t="n">
        <f aca="false">(Sens!E14831+Sens!E14835-Sens!E14836)+(Sens!E14823+Sens!E14824-Sens!E14822)+(Sens!E14826+Sens!E14827-Sens!E14825)+(Sens!E14836-Q!M18)</f>
        <v>0</v>
      </c>
      <c r="F14838" s="24" t="n">
        <f aca="false">(Sens!F14831+Sens!F14835-Sens!F14836)+(Sens!F14823+Sens!F14824-Sens!F14822)+(Sens!F14826+Sens!F14827-Sens!F14825)</f>
        <v>0</v>
      </c>
      <c r="G14838" s="24" t="n">
        <f aca="false">(Sens!G14831+Sens!G14835-Sens!G14836)+(Sens!G14823+Sens!G14824-Sens!G14822)+(Sens!G14826+Sens!G14827-Sens!G14825)</f>
        <v>0</v>
      </c>
      <c r="H14838" s="24" t="n">
        <f aca="false">(Sens!H14831+Sens!H14835-Sens!H14836)+(Sens!H14823+Sens!H14824-Sens!H14822)+(Sens!H14826+Sens!H14827-Sens!H14825)</f>
        <v>0</v>
      </c>
      <c r="I14838" s="24" t="n">
        <f aca="false">(Sens!I14831+Sens!I14835-Sens!I14836)+(Sens!I14823+Sens!I14824-Sens!I14822)+(Sens!I14826+Sens!I14827-Sens!I14825)</f>
        <v>0</v>
      </c>
      <c r="J14838" s="24" t="n">
        <f aca="false">(Sens!J14831+Sens!J14835-Sens!J14836)+(Sens!J14823+Sens!J14824-Sens!J14822)+(Sens!J14826+Sens!J14827-Sens!J14825)</f>
        <v>0</v>
      </c>
      <c r="K14838" s="24" t="n">
        <f aca="false">(Sens!K14831+Sens!K14835-Sens!K14836)+(Sens!K14823+Sens!K14824-Sens!K14822)+(Sens!K14826+Sens!K14827-Sens!K14825)</f>
        <v>0</v>
      </c>
    </row>
    <row r="14839" customFormat="false" ht="17.15" hidden="false" customHeight="false" outlineLevel="0" collapsed="false">
      <c r="A14839" s="0" t="s">
        <v>908</v>
      </c>
      <c r="B14839" s="0" t="s">
        <v>129</v>
      </c>
      <c r="E14839" s="7" t="n">
        <f aca="false">(Q!M21+Sens!E14776+Sens!E14777+Sens!E14778+Sens!E14791-Sens!E14774)/(Q!M5-Sens!E14774)</f>
        <v>0.570957350878296</v>
      </c>
      <c r="F14839" s="7" t="n">
        <f aca="false">Sens!$E$14839+dm_seg</f>
        <v>0.570957350878296</v>
      </c>
      <c r="G14839" s="7" t="n">
        <f aca="false">Sens!$E$14839+dm_seg</f>
        <v>0.570957350878296</v>
      </c>
      <c r="H14839" s="7" t="n">
        <f aca="false">Sens!$E$14839+dm_seg</f>
        <v>0.570957350878296</v>
      </c>
      <c r="I14839" s="7" t="n">
        <f aca="false">Sens!$E$14839+dm_seg</f>
        <v>0.570957350878296</v>
      </c>
      <c r="J14839" s="7" t="n">
        <f aca="false">Sens!$E$14839+dm_seg</f>
        <v>0.570957350878296</v>
      </c>
      <c r="K14839" s="7" t="n">
        <f aca="false">Sens!$E$14839+dm_seg</f>
        <v>0.570957350878296</v>
      </c>
      <c r="L14839" s="11" t="s">
        <v>909</v>
      </c>
    </row>
    <row r="14840" customFormat="false" ht="17.15" hidden="false" customHeight="false" outlineLevel="0" collapsed="false">
      <c r="A14840" s="0" t="s">
        <v>743</v>
      </c>
      <c r="B14840" s="0" t="s">
        <v>98</v>
      </c>
      <c r="D14840" s="6" t="n">
        <f aca="false">Q!L21</f>
        <v>110.814</v>
      </c>
      <c r="E14840" s="6" t="n">
        <f aca="false">Q!M21</f>
        <v>136.365</v>
      </c>
      <c r="F14840" s="6" t="n">
        <f aca="false">Sens!F14839*(Sens!F14810-Sens!F14774)+Sens!F14774-(Sens!F14776+Sens!F14777+Sens!F14778)-Sens!F14791-Sens!F14874</f>
        <v>161.999854987324</v>
      </c>
      <c r="G14840" s="6" t="n">
        <f aca="false">Sens!G14839*(Sens!G14810-Sens!G14774)+Sens!G14774-(Sens!G14776+Sens!G14777+Sens!G14778)-Sens!G14791-Sens!G14874</f>
        <v>192.317476496619</v>
      </c>
      <c r="H14840" s="6" t="n">
        <f aca="false">Sens!H14839*(Sens!H14810-Sens!H14774)+Sens!H14774-(Sens!H14776+Sens!H14777+Sens!H14778)-Sens!H14791-Sens!H14874</f>
        <v>226.776850218585</v>
      </c>
      <c r="I14840" s="6" t="n">
        <f aca="false">Sens!I14839*(Sens!I14810-Sens!I14774)+Sens!I14774-(Sens!I14776+Sens!I14777+Sens!I14778)-Sens!I14791-Sens!I14874</f>
        <v>253.110876980714</v>
      </c>
      <c r="J14840" s="6" t="n">
        <f aca="false">Sens!J14839*(Sens!J14810-Sens!J14774)+Sens!J14774-(Sens!J14776+Sens!J14777+Sens!J14778)-Sens!J14791-Sens!J14874</f>
        <v>275.784285288736</v>
      </c>
      <c r="K14840" s="6" t="n">
        <f aca="false">Sens!K14839*(Sens!K14810-Sens!K14774)+Sens!K14774-(Sens!K14776+Sens!K14777+Sens!K14778)-Sens!K14791-Sens!K14874</f>
        <v>296.380592390542</v>
      </c>
      <c r="L14840" s="1" t="s">
        <v>910</v>
      </c>
    </row>
    <row r="14841" customFormat="false" ht="17.15" hidden="false" customHeight="false" outlineLevel="0" collapsed="false">
      <c r="A14841" s="0" t="s">
        <v>911</v>
      </c>
      <c r="B14841" s="0" t="s">
        <v>129</v>
      </c>
      <c r="E14841" s="7" t="n">
        <f aca="false">Q!M22/Q!M12</f>
        <v>0.296207935710698</v>
      </c>
      <c r="F14841" s="7" t="n">
        <f aca="false">Sens!$E$14841+dm_seg</f>
        <v>0.296207935710698</v>
      </c>
      <c r="G14841" s="7" t="n">
        <f aca="false">Sens!$E$14841+dm_seg</f>
        <v>0.296207935710698</v>
      </c>
      <c r="H14841" s="7" t="n">
        <f aca="false">Sens!$E$14841+dm_seg</f>
        <v>0.296207935710698</v>
      </c>
      <c r="I14841" s="7" t="n">
        <f aca="false">Sens!$E$14841+dm_seg</f>
        <v>0.296207935710698</v>
      </c>
      <c r="J14841" s="7" t="n">
        <f aca="false">Sens!$E$14841+dm_seg</f>
        <v>0.296207935710698</v>
      </c>
      <c r="K14841" s="7" t="n">
        <f aca="false">Sens!$E$14841+dm_seg</f>
        <v>0.296207935710698</v>
      </c>
      <c r="L14841" s="11" t="s">
        <v>912</v>
      </c>
    </row>
    <row r="14842" customFormat="false" ht="17.15" hidden="false" customHeight="false" outlineLevel="0" collapsed="false">
      <c r="A14842" s="0" t="s">
        <v>745</v>
      </c>
      <c r="B14842" s="0" t="s">
        <v>98</v>
      </c>
      <c r="D14842" s="6" t="n">
        <f aca="false">Q!L22</f>
        <v>17.714</v>
      </c>
      <c r="E14842" s="6" t="n">
        <f aca="false">Q!M22</f>
        <v>18.872</v>
      </c>
      <c r="F14842" s="6" t="n">
        <f aca="false">Sens!F14817*Sens!F14841</f>
        <v>19.2954518910651</v>
      </c>
      <c r="G14842" s="6" t="n">
        <f aca="false">Sens!G14817*Sens!G14841</f>
        <v>19.8830646387704</v>
      </c>
      <c r="H14842" s="6" t="n">
        <f aca="false">Sens!H14817*Sens!H14841</f>
        <v>20.6092017868026</v>
      </c>
      <c r="I14842" s="6" t="n">
        <f aca="false">Sens!I14817*Sens!I14841</f>
        <v>21.452361761678</v>
      </c>
      <c r="J14842" s="6" t="n">
        <f aca="false">Sens!J14817*Sens!J14841</f>
        <v>22.3946261183418</v>
      </c>
      <c r="K14842" s="6" t="n">
        <f aca="false">Sens!K14817*Sens!K14841</f>
        <v>23.4215879274986</v>
      </c>
    </row>
    <row r="14843" customFormat="false" ht="15" hidden="false" customHeight="false" outlineLevel="0" collapsed="false">
      <c r="A14843" s="1" t="s">
        <v>913</v>
      </c>
      <c r="B14843" s="0" t="s">
        <v>98</v>
      </c>
      <c r="D14843" s="6" t="n">
        <f aca="false">Sens!D14840+Sens!D14842</f>
        <v>128.528</v>
      </c>
      <c r="E14843" s="6" t="n">
        <f aca="false">Sens!E14840+Sens!E14842</f>
        <v>155.237</v>
      </c>
      <c r="F14843" s="6" t="n">
        <f aca="false">Sens!F14840+Sens!F14842</f>
        <v>181.295306878389</v>
      </c>
      <c r="G14843" s="6" t="n">
        <f aca="false">Sens!G14840+Sens!G14842</f>
        <v>212.200541135389</v>
      </c>
      <c r="H14843" s="6" t="n">
        <f aca="false">Sens!H14840+Sens!H14842</f>
        <v>247.386052005387</v>
      </c>
      <c r="I14843" s="6" t="n">
        <f aca="false">Sens!I14840+Sens!I14842</f>
        <v>274.563238742392</v>
      </c>
      <c r="J14843" s="6" t="n">
        <f aca="false">Sens!J14840+Sens!J14842</f>
        <v>298.178911407078</v>
      </c>
      <c r="K14843" s="6" t="n">
        <f aca="false">Sens!K14840+Sens!K14842</f>
        <v>319.802180318041</v>
      </c>
    </row>
    <row r="14844" customFormat="false" ht="15" hidden="false" customHeight="false" outlineLevel="0" collapsed="false">
      <c r="A14844" s="23" t="s">
        <v>914</v>
      </c>
      <c r="B14844" s="30" t="s">
        <v>98</v>
      </c>
      <c r="C14844" s="30"/>
      <c r="D14844" s="24" t="n">
        <f aca="false">Sens!D14843-Q!L23</f>
        <v>0</v>
      </c>
      <c r="E14844" s="24" t="n">
        <f aca="false">Sens!E14843-Q!M23</f>
        <v>0</v>
      </c>
      <c r="F14844" s="30"/>
      <c r="G14844" s="30"/>
      <c r="H14844" s="30"/>
      <c r="I14844" s="30"/>
      <c r="J14844" s="30"/>
      <c r="K14844" s="30"/>
    </row>
    <row r="14845" customFormat="false" ht="15" hidden="false" customHeight="false" outlineLevel="0" collapsed="false">
      <c r="A14845" s="1" t="s">
        <v>915</v>
      </c>
      <c r="B14845" s="0" t="s">
        <v>129</v>
      </c>
      <c r="D14845" s="7" t="n">
        <f aca="false">Sens!D14843/Sens!D14836</f>
        <v>0.456219562408598</v>
      </c>
      <c r="E14845" s="7" t="n">
        <f aca="false">Sens!E14843/Sens!E14836</f>
        <v>0.467808184089272</v>
      </c>
      <c r="F14845" s="7" t="n">
        <f aca="false">Sens!F14843/Sens!F14836</f>
        <v>0.448112402005683</v>
      </c>
      <c r="G14845" s="7" t="n">
        <f aca="false">Sens!G14843/Sens!G14836</f>
        <v>0.431638773636803</v>
      </c>
      <c r="H14845" s="7" t="n">
        <f aca="false">Sens!H14843/Sens!H14836</f>
        <v>0.422720942380043</v>
      </c>
      <c r="I14845" s="7" t="n">
        <f aca="false">Sens!I14843/Sens!I14836</f>
        <v>0.41269888940351</v>
      </c>
      <c r="J14845" s="7" t="n">
        <f aca="false">Sens!J14843/Sens!J14836</f>
        <v>0.408351919816093</v>
      </c>
      <c r="K14845" s="7" t="n">
        <f aca="false">Sens!K14843/Sens!K14836</f>
        <v>0.408578343979346</v>
      </c>
    </row>
    <row r="14846" customFormat="false" ht="17.15" hidden="false" customHeight="false" outlineLevel="0" collapsed="false">
      <c r="A14846" s="1" t="s">
        <v>916</v>
      </c>
      <c r="B14846" s="0" t="s">
        <v>98</v>
      </c>
      <c r="F14846" s="6" t="n">
        <f aca="false">Sens!F14861</f>
        <v>3.34258536270319</v>
      </c>
      <c r="G14846" s="6" t="n">
        <f aca="false">Sens!G14861</f>
        <v>16.0543038573944</v>
      </c>
      <c r="H14846" s="6" t="n">
        <f aca="false">Sens!H14861</f>
        <v>30.367899165363</v>
      </c>
      <c r="I14846" s="6" t="n">
        <f aca="false">Sens!I14861</f>
        <v>43.8030643037593</v>
      </c>
      <c r="J14846" s="6" t="n">
        <f aca="false">Sens!J14861</f>
        <v>53.3749369859736</v>
      </c>
      <c r="K14846" s="6" t="n">
        <f aca="false">Sens!K14861</f>
        <v>58.4336785687952</v>
      </c>
      <c r="L14846" s="1" t="s">
        <v>917</v>
      </c>
    </row>
    <row r="14847" customFormat="false" ht="17.15" hidden="false" customHeight="false" outlineLevel="0" collapsed="false">
      <c r="A14847" s="1" t="s">
        <v>918</v>
      </c>
      <c r="B14847" s="0" t="s">
        <v>98</v>
      </c>
      <c r="D14847" s="6" t="n">
        <f aca="false">Sens!D14843</f>
        <v>128.528</v>
      </c>
      <c r="E14847" s="6" t="n">
        <f aca="false">Sens!E14843</f>
        <v>155.237</v>
      </c>
      <c r="F14847" s="6" t="n">
        <f aca="false">Sens!F14843+Sens!F14846</f>
        <v>184.637892241092</v>
      </c>
      <c r="G14847" s="6" t="n">
        <f aca="false">Sens!G14843+Sens!G14846</f>
        <v>228.254844992784</v>
      </c>
      <c r="H14847" s="6" t="n">
        <f aca="false">Sens!H14843+Sens!H14846</f>
        <v>277.75395117075</v>
      </c>
      <c r="I14847" s="6" t="n">
        <f aca="false">Sens!I14843+Sens!I14846</f>
        <v>318.366303046152</v>
      </c>
      <c r="J14847" s="6" t="n">
        <f aca="false">Sens!J14843+Sens!J14846</f>
        <v>351.553848393051</v>
      </c>
      <c r="K14847" s="6" t="n">
        <f aca="false">Sens!K14843+Sens!K14846</f>
        <v>378.235858886836</v>
      </c>
    </row>
    <row r="14848" customFormat="false" ht="17.15" hidden="false" customHeight="false" outlineLevel="0" collapsed="false">
      <c r="A14848" s="1" t="s">
        <v>919</v>
      </c>
      <c r="B14848" s="0" t="s">
        <v>98</v>
      </c>
      <c r="E14848" s="6" t="n">
        <f aca="false">Sens!E14791</f>
        <v>16.3054059770833</v>
      </c>
      <c r="F14848" s="6" t="n">
        <f aca="false">Sens!F14791</f>
        <v>34.0498873809555</v>
      </c>
      <c r="G14848" s="6" t="n">
        <f aca="false">Sens!G14791</f>
        <v>59.1254371105111</v>
      </c>
      <c r="H14848" s="6" t="n">
        <f aca="false">Sens!H14791</f>
        <v>86.3610198433111</v>
      </c>
      <c r="I14848" s="6" t="n">
        <f aca="false">Sens!I14791</f>
        <v>110.605743832393</v>
      </c>
      <c r="J14848" s="6" t="n">
        <f aca="false">Sens!J14791</f>
        <v>127.998322852843</v>
      </c>
      <c r="K14848" s="6" t="n">
        <f aca="false">Sens!K14791</f>
        <v>139.131464044308</v>
      </c>
    </row>
    <row r="14849" customFormat="false" ht="17.15" hidden="false" customHeight="false" outlineLevel="0" collapsed="false">
      <c r="A14849" s="1" t="s">
        <v>920</v>
      </c>
      <c r="B14849" s="0" t="s">
        <v>98</v>
      </c>
      <c r="E14849" s="6" t="n">
        <f aca="false">Sens!E14873</f>
        <v>22.2285940229167</v>
      </c>
      <c r="F14849" s="6" t="n">
        <f aca="false">Sens!F14873</f>
        <v>24.3924470334783</v>
      </c>
      <c r="G14849" s="6" t="n">
        <f aca="false">Sens!G14873</f>
        <v>26.1134916871694</v>
      </c>
      <c r="H14849" s="6" t="n">
        <f aca="false">Sens!H14873</f>
        <v>28.2582938828615</v>
      </c>
      <c r="I14849" s="6" t="n">
        <f aca="false">Sens!I14873</f>
        <v>30.7498045257397</v>
      </c>
      <c r="J14849" s="6" t="n">
        <f aca="false">Sens!J14873</f>
        <v>33.4954153982031</v>
      </c>
      <c r="K14849" s="6" t="n">
        <f aca="false">Sens!K14873</f>
        <v>36.4102441325822</v>
      </c>
    </row>
    <row r="14850" customFormat="false" ht="17.15" hidden="false" customHeight="false" outlineLevel="0" collapsed="false">
      <c r="A14850" s="1" t="s">
        <v>921</v>
      </c>
      <c r="B14850" s="0" t="s">
        <v>98</v>
      </c>
      <c r="D14850" s="6" t="n">
        <f aca="false">Q!L27</f>
        <v>-4.901</v>
      </c>
      <c r="E14850" s="6" t="n">
        <f aca="false">Q!M27</f>
        <v>10.697</v>
      </c>
      <c r="F14850" s="6" t="n">
        <f aca="false">oie_f</f>
        <v>-0.4</v>
      </c>
      <c r="G14850" s="6" t="n">
        <f aca="false">oie_f</f>
        <v>-0.4</v>
      </c>
      <c r="H14850" s="6" t="n">
        <f aca="false">oie_f</f>
        <v>-0.4</v>
      </c>
      <c r="I14850" s="6" t="n">
        <f aca="false">oie_f</f>
        <v>-0.4</v>
      </c>
      <c r="J14850" s="6" t="n">
        <f aca="false">oie_f</f>
        <v>-0.4</v>
      </c>
      <c r="K14850" s="6" t="n">
        <f aca="false">oie_f</f>
        <v>-0.4</v>
      </c>
      <c r="L14850" s="11" t="s">
        <v>922</v>
      </c>
    </row>
    <row r="14851" customFormat="false" ht="15" hidden="false" customHeight="false" outlineLevel="0" collapsed="false">
      <c r="A14851" s="1" t="s">
        <v>923</v>
      </c>
      <c r="B14851" s="0" t="s">
        <v>98</v>
      </c>
      <c r="D14851" s="6" t="n">
        <f aca="false">Sens!D14843+Sens!D14850</f>
        <v>123.627</v>
      </c>
      <c r="E14851" s="6" t="n">
        <f aca="false">Sens!E14843+Sens!E14850</f>
        <v>165.934</v>
      </c>
      <c r="F14851" s="6" t="n">
        <f aca="false">Sens!F14843+Sens!F14850</f>
        <v>180.895306878389</v>
      </c>
      <c r="G14851" s="6" t="n">
        <f aca="false">Sens!G14843+Sens!G14850</f>
        <v>211.800541135389</v>
      </c>
      <c r="H14851" s="6" t="n">
        <f aca="false">Sens!H14843+Sens!H14850</f>
        <v>246.986052005387</v>
      </c>
      <c r="I14851" s="6" t="n">
        <f aca="false">Sens!I14843+Sens!I14850</f>
        <v>274.163238742393</v>
      </c>
      <c r="J14851" s="6" t="n">
        <f aca="false">Sens!J14843+Sens!J14850</f>
        <v>297.778911407078</v>
      </c>
      <c r="K14851" s="6" t="n">
        <f aca="false">Sens!K14843+Sens!K14850</f>
        <v>319.402180318041</v>
      </c>
    </row>
    <row r="14852" customFormat="false" ht="15" hidden="false" customHeight="false" outlineLevel="0" collapsed="false">
      <c r="A14852" s="1" t="s">
        <v>924</v>
      </c>
      <c r="B14852" s="0" t="s">
        <v>98</v>
      </c>
      <c r="D14852" s="6" t="n">
        <f aca="false">Q!L29</f>
        <v>21.795</v>
      </c>
      <c r="E14852" s="6" t="n">
        <f aca="false">Q!M29</f>
        <v>32.185</v>
      </c>
      <c r="F14852" s="6" t="n">
        <f aca="false">Sens!F14851*tax_f</f>
        <v>36.1790613756778</v>
      </c>
      <c r="G14852" s="6" t="n">
        <f aca="false">Sens!G14851*tax_f</f>
        <v>42.3601082270778</v>
      </c>
      <c r="H14852" s="6" t="n">
        <f aca="false">Sens!H14851*tax_f</f>
        <v>49.3972104010775</v>
      </c>
      <c r="I14852" s="6" t="n">
        <f aca="false">Sens!I14851*tax_f</f>
        <v>54.8326477484785</v>
      </c>
      <c r="J14852" s="6" t="n">
        <f aca="false">Sens!J14851*tax_f</f>
        <v>59.5557822814156</v>
      </c>
      <c r="K14852" s="6" t="n">
        <f aca="false">Sens!K14851*tax_f</f>
        <v>63.8804360636082</v>
      </c>
    </row>
    <row r="14853" customFormat="false" ht="15" hidden="false" customHeight="false" outlineLevel="0" collapsed="false">
      <c r="A14853" s="1" t="s">
        <v>925</v>
      </c>
      <c r="B14853" s="0" t="s">
        <v>98</v>
      </c>
      <c r="D14853" s="6" t="n">
        <f aca="false">Sens!D14851-Sens!D14852</f>
        <v>101.832</v>
      </c>
      <c r="E14853" s="6" t="n">
        <f aca="false">Sens!E14851-Sens!E14852</f>
        <v>133.749</v>
      </c>
      <c r="F14853" s="6" t="n">
        <f aca="false">Sens!F14851-Sens!F14852</f>
        <v>144.716245502711</v>
      </c>
      <c r="G14853" s="6" t="n">
        <f aca="false">Sens!G14851-Sens!G14852</f>
        <v>169.440432908311</v>
      </c>
      <c r="H14853" s="6" t="n">
        <f aca="false">Sens!H14851-Sens!H14852</f>
        <v>197.58884160431</v>
      </c>
      <c r="I14853" s="6" t="n">
        <f aca="false">Sens!I14851-Sens!I14852</f>
        <v>219.330590993914</v>
      </c>
      <c r="J14853" s="6" t="n">
        <f aca="false">Sens!J14851-Sens!J14852</f>
        <v>238.223129125662</v>
      </c>
      <c r="K14853" s="6" t="n">
        <f aca="false">Sens!K14851-Sens!K14852</f>
        <v>255.521744254433</v>
      </c>
    </row>
    <row r="14854" customFormat="false" ht="17.15" hidden="false" customHeight="false" outlineLevel="0" collapsed="false">
      <c r="A14854" s="1" t="s">
        <v>926</v>
      </c>
      <c r="B14854" s="1" t="s">
        <v>81</v>
      </c>
      <c r="D14854" s="14" t="n">
        <f aca="false">Q!L31</f>
        <v>7.465</v>
      </c>
      <c r="E14854" s="14" t="n">
        <f aca="false">Q!M31</f>
        <v>7.453</v>
      </c>
      <c r="F14854" s="14" t="n">
        <f aca="false">Sens!F14897</f>
        <v>7.4735</v>
      </c>
      <c r="G14854" s="14" t="n">
        <f aca="false">Sens!G14897</f>
        <v>7.50818779623633</v>
      </c>
      <c r="H14854" s="14" t="n">
        <f aca="false">Sens!H14897</f>
        <v>7.5256271783226</v>
      </c>
      <c r="I14854" s="14" t="n">
        <f aca="false">Sens!I14897</f>
        <v>7.53740801032992</v>
      </c>
      <c r="J14854" s="14" t="n">
        <f aca="false">Sens!J14897</f>
        <v>7.5516495214478</v>
      </c>
      <c r="K14854" s="14" t="n">
        <f aca="false">Sens!K14897</f>
        <v>7.56816943914954</v>
      </c>
    </row>
    <row r="14855" customFormat="false" ht="17.15" hidden="false" customHeight="false" outlineLevel="0" collapsed="false">
      <c r="A14855" s="0" t="s">
        <v>927</v>
      </c>
      <c r="B14855" s="0" t="s">
        <v>75</v>
      </c>
      <c r="D14855" s="8" t="n">
        <f aca="false">Sens!D14853/Sens!D14854</f>
        <v>13.641259209645</v>
      </c>
      <c r="E14855" s="8" t="n">
        <f aca="false">Sens!E14853/Sens!E14854</f>
        <v>17.9456594659869</v>
      </c>
      <c r="F14855" s="8" t="n">
        <f aca="false">Sens!F14853/Sens!F14854</f>
        <v>19.3639185793418</v>
      </c>
      <c r="G14855" s="8" t="n">
        <f aca="false">Sens!G14853/Sens!G14854</f>
        <v>22.567420728774</v>
      </c>
      <c r="H14855" s="8" t="n">
        <f aca="false">Sens!H14853/Sens!H14854</f>
        <v>26.2554650824931</v>
      </c>
      <c r="I14855" s="8" t="n">
        <f aca="false">Sens!I14853/Sens!I14854</f>
        <v>29.098941001114</v>
      </c>
      <c r="J14855" s="8" t="n">
        <f aca="false">Sens!J14853/Sens!J14854</f>
        <v>31.5458402100195</v>
      </c>
      <c r="K14855" s="8" t="n">
        <f aca="false">Sens!K14853/Sens!K14854</f>
        <v>33.7626880990057</v>
      </c>
      <c r="L14855" s="1" t="s">
        <v>928</v>
      </c>
    </row>
    <row r="14856" customFormat="false" ht="17.15" hidden="false" customHeight="false" outlineLevel="0" collapsed="false">
      <c r="A14856" s="1" t="s">
        <v>929</v>
      </c>
      <c r="B14856" s="0" t="s">
        <v>98</v>
      </c>
      <c r="D14856" s="6" t="n">
        <f aca="false">Sens!D14853</f>
        <v>101.832</v>
      </c>
      <c r="E14856" s="6" t="n">
        <f aca="false">Sens!E14853</f>
        <v>133.749</v>
      </c>
      <c r="F14856" s="6" t="n">
        <f aca="false">Sens!F14853+Sens!F14846*(1-tax_f)</f>
        <v>147.390313792874</v>
      </c>
      <c r="G14856" s="6" t="n">
        <f aca="false">Sens!G14853+Sens!G14846*(1-tax_f)</f>
        <v>182.283875994227</v>
      </c>
      <c r="H14856" s="6" t="n">
        <f aca="false">Sens!H14853+Sens!H14846*(1-tax_f)</f>
        <v>221.8831609366</v>
      </c>
      <c r="I14856" s="6" t="n">
        <f aca="false">Sens!I14853+Sens!I14846*(1-tax_f)</f>
        <v>254.373042436921</v>
      </c>
      <c r="J14856" s="6" t="n">
        <f aca="false">Sens!J14853+Sens!J14846*(1-tax_f)</f>
        <v>280.923078714441</v>
      </c>
      <c r="K14856" s="6" t="n">
        <f aca="false">Sens!K14853+Sens!K14846*(1-tax_f)</f>
        <v>302.268687109469</v>
      </c>
    </row>
    <row r="14857" customFormat="false" ht="17.15" hidden="false" customHeight="false" outlineLevel="0" collapsed="false">
      <c r="A14857" s="0" t="s">
        <v>930</v>
      </c>
      <c r="B14857" s="0" t="s">
        <v>75</v>
      </c>
      <c r="D14857" s="8" t="n">
        <f aca="false">Sens!D14856/Sens!D14854</f>
        <v>13.641259209645</v>
      </c>
      <c r="E14857" s="8" t="n">
        <f aca="false">Sens!E14856/Sens!E14854</f>
        <v>17.9456594659869</v>
      </c>
      <c r="F14857" s="8" t="n">
        <f aca="false">Sens!F14856/Sens!F14854</f>
        <v>19.7217252683313</v>
      </c>
      <c r="G14857" s="8" t="n">
        <f aca="false">Sens!G14856/Sens!G14854</f>
        <v>24.2780123434847</v>
      </c>
      <c r="H14857" s="8" t="n">
        <f aca="false">Sens!H14856/Sens!H14854</f>
        <v>29.4836769984739</v>
      </c>
      <c r="I14857" s="8" t="n">
        <f aca="false">Sens!I14856/Sens!I14854</f>
        <v>33.748079192251</v>
      </c>
      <c r="J14857" s="8" t="n">
        <f aca="false">Sens!J14856/Sens!J14854</f>
        <v>37.2002273035286</v>
      </c>
      <c r="K14857" s="8" t="n">
        <f aca="false">Sens!K14856/Sens!K14854</f>
        <v>39.939471432267</v>
      </c>
      <c r="L14857" s="1" t="s">
        <v>931</v>
      </c>
    </row>
    <row r="14858" customFormat="false" ht="17.15" hidden="false" customHeight="false" outlineLevel="0" collapsed="false">
      <c r="A14858" s="0" t="s">
        <v>932</v>
      </c>
      <c r="B14858" s="0" t="s">
        <v>129</v>
      </c>
      <c r="E14858" s="7" t="n">
        <f aca="false">Sens!E14857/Sens!D14857-1</f>
        <v>0.315542736208578</v>
      </c>
      <c r="F14858" s="7" t="n">
        <f aca="false">Sens!F14857/Sens!E14857-1</f>
        <v>0.0989691020110266</v>
      </c>
      <c r="G14858" s="7" t="n">
        <f aca="false">Sens!G14857/Sens!F14857-1</f>
        <v>0.231028828013838</v>
      </c>
      <c r="H14858" s="7" t="n">
        <f aca="false">Sens!H14857/Sens!G14857-1</f>
        <v>0.214418898109926</v>
      </c>
      <c r="I14858" s="7" t="n">
        <f aca="false">Sens!I14857/Sens!H14857-1</f>
        <v>0.144636036882302</v>
      </c>
      <c r="J14858" s="7" t="n">
        <f aca="false">Sens!J14857/Sens!I14857-1</f>
        <v>0.102291691672639</v>
      </c>
      <c r="K14858" s="7" t="n">
        <f aca="false">Sens!K14857/Sens!J14857-1</f>
        <v>0.0736351449250023</v>
      </c>
    </row>
    <row r="14859" customFormat="false" ht="17.15" hidden="false" customHeight="false" outlineLevel="0" collapsed="false">
      <c r="A14859" s="0" t="s">
        <v>856</v>
      </c>
      <c r="B14859" s="0" t="s">
        <v>98</v>
      </c>
      <c r="E14859" s="6" t="n">
        <f aca="false">Sens!E14800</f>
        <v>5.25</v>
      </c>
      <c r="F14859" s="6" t="n">
        <f aca="false">Sens!F14800</f>
        <v>13.5</v>
      </c>
      <c r="G14859" s="6" t="n">
        <f aca="false">Sens!G14800</f>
        <v>22.5</v>
      </c>
      <c r="H14859" s="6" t="n">
        <f aca="false">Sens!H14800</f>
        <v>31.5</v>
      </c>
      <c r="I14859" s="6" t="n">
        <f aca="false">Sens!I14800</f>
        <v>38.25</v>
      </c>
      <c r="J14859" s="6" t="n">
        <f aca="false">Sens!J14800</f>
        <v>42.75</v>
      </c>
      <c r="K14859" s="6" t="n">
        <f aca="false">Sens!K14800</f>
        <v>47.25</v>
      </c>
    </row>
    <row r="14860" customFormat="false" ht="17.15" hidden="false" customHeight="false" outlineLevel="0" collapsed="false">
      <c r="A14860" s="1" t="s">
        <v>857</v>
      </c>
      <c r="B14860" s="0" t="s">
        <v>98</v>
      </c>
      <c r="F14860" s="6" t="n">
        <f aca="false">MAX(0,((Sens!E14763+Sens!F14763)/2-(0*(Sens!$D$14763+Sens!$E$14763)/2+(1-0)*Sens!$E$14763))*Sens!F14771/1000-(Sens!F14859-Sens!$E$14859)*Sens!F14839)</f>
        <v>3.34258536270319</v>
      </c>
      <c r="G14860" s="6" t="n">
        <f aca="false">MAX(0,((Sens!F14763+Sens!G14763)/2-(0*(Sens!$D$14763+Sens!$E$14763)/2+(1-0)*Sens!$E$14763))*Sens!G14771/1000-(Sens!G14859-Sens!$E$14859)*Sens!G14839)</f>
        <v>16.0543038573944</v>
      </c>
      <c r="H14860" s="6" t="n">
        <f aca="false">MAX(0,((Sens!G14763+Sens!H14763)/2-(0*(Sens!$D$14763+Sens!$E$14763)/2+(1-0)*Sens!$E$14763))*Sens!H14771/1000-(Sens!H14859-Sens!$E$14859)*Sens!H14839)</f>
        <v>30.367899165363</v>
      </c>
      <c r="I14860" s="6" t="n">
        <f aca="false">MAX(0,((Sens!H14763+Sens!I14763)/2-(0*(Sens!$D$14763+Sens!$E$14763)/2+(1-0)*Sens!$E$14763))*Sens!I14771/1000-(Sens!I14859-Sens!$E$14859)*Sens!I14839)</f>
        <v>43.8030643037593</v>
      </c>
      <c r="J14860" s="6" t="n">
        <f aca="false">MAX(0,((Sens!I14763+Sens!J14763)/2-(0*(Sens!$D$14763+Sens!$E$14763)/2+(1-0)*Sens!$E$14763))*Sens!J14771/1000-(Sens!J14859-Sens!$E$14859)*Sens!J14839)</f>
        <v>53.3749369859736</v>
      </c>
      <c r="K14860" s="6" t="n">
        <f aca="false">MAX(0,((Sens!J14763+Sens!K14763)/2-(0*(Sens!$D$14763+Sens!$E$14763)/2+(1-0)*Sens!$E$14763))*Sens!K14771/1000-(Sens!K14859-Sens!$E$14859)*Sens!K14839)</f>
        <v>58.4336785687952</v>
      </c>
      <c r="L14860" s="1" t="s">
        <v>858</v>
      </c>
    </row>
    <row r="14861" customFormat="false" ht="17.15" hidden="false" customHeight="false" outlineLevel="0" collapsed="false">
      <c r="A14861" s="1" t="s">
        <v>859</v>
      </c>
      <c r="B14861" s="0" t="s">
        <v>98</v>
      </c>
      <c r="F14861" s="6" t="n">
        <f aca="false">IF(internal_ai_reading=2,1,0)*Sens!F14860</f>
        <v>3.34258536270319</v>
      </c>
      <c r="G14861" s="6" t="n">
        <f aca="false">IF(internal_ai_reading=2,1,0)*Sens!G14860</f>
        <v>16.0543038573944</v>
      </c>
      <c r="H14861" s="6" t="n">
        <f aca="false">IF(internal_ai_reading=2,1,0)*Sens!H14860</f>
        <v>30.367899165363</v>
      </c>
      <c r="I14861" s="6" t="n">
        <f aca="false">IF(internal_ai_reading=2,1,0)*Sens!I14860</f>
        <v>43.8030643037593</v>
      </c>
      <c r="J14861" s="6" t="n">
        <f aca="false">IF(internal_ai_reading=2,1,0)*Sens!J14860</f>
        <v>53.3749369859736</v>
      </c>
      <c r="K14861" s="6" t="n">
        <f aca="false">IF(internal_ai_reading=2,1,0)*Sens!K14860</f>
        <v>58.4336785687952</v>
      </c>
    </row>
    <row r="14862" customFormat="false" ht="17.15" hidden="false" customHeight="false" outlineLevel="0" collapsed="false">
      <c r="A14862" s="0" t="s">
        <v>860</v>
      </c>
      <c r="B14862" s="0" t="s">
        <v>98</v>
      </c>
      <c r="F14862" s="6" t="n">
        <f aca="false">Sens!F14780+Sens!F14859*Sens!F14839+Sens!F14861-Sens!F14781-Sens!F14791</f>
        <v>13.595545072832</v>
      </c>
      <c r="G14862" s="6" t="n">
        <f aca="false">Sens!G14780+Sens!G14859*Sens!G14839+Sens!G14861-Sens!G14781-Sens!G14791</f>
        <v>37.462078347385</v>
      </c>
      <c r="H14862" s="6" t="n">
        <f aca="false">Sens!H14780+Sens!H14859*Sens!H14839+Sens!H14861-Sens!H14781-Sens!H14791</f>
        <v>66.8982296339271</v>
      </c>
      <c r="I14862" s="6" t="n">
        <f aca="false">Sens!I14780+Sens!I14859*Sens!I14839+Sens!I14861-Sens!I14781-Sens!I14791</f>
        <v>87.8259201462296</v>
      </c>
      <c r="J14862" s="6" t="n">
        <f aca="false">Sens!J14780+Sens!J14859*Sens!J14839+Sens!J14861-Sens!J14781-Sens!J14791</f>
        <v>102.475088968513</v>
      </c>
      <c r="K14862" s="6" t="n">
        <f aca="false">Sens!K14780+Sens!K14859*Sens!K14839+Sens!K14861-Sens!K14781-Sens!K14791</f>
        <v>112.555451896023</v>
      </c>
    </row>
    <row r="14863" customFormat="false" ht="17.15" hidden="false" customHeight="false" outlineLevel="0" collapsed="false">
      <c r="A14863" s="0" t="s">
        <v>861</v>
      </c>
      <c r="B14863" s="0" t="s">
        <v>98</v>
      </c>
      <c r="E14863" s="6" t="n">
        <f aca="false">Sens!E14762*(cxit_open+self_build*tk_cxfac)/1000*ai_net_open</f>
        <v>126.6980382</v>
      </c>
      <c r="F14863" s="6" t="n">
        <f aca="false">Sens!E14863+Sens!F14788-Sens!F14791</f>
        <v>252.981026690511</v>
      </c>
      <c r="G14863" s="6" t="n">
        <f aca="false">Sens!F14863+Sens!G14788-Sens!G14791</f>
        <v>377.4297700632</v>
      </c>
      <c r="H14863" s="6" t="n">
        <f aca="false">Sens!G14863+Sens!H14788-Sens!H14791</f>
        <v>479.149036130289</v>
      </c>
      <c r="I14863" s="6" t="n">
        <f aca="false">Sens!H14863+Sens!I14788-Sens!I14791</f>
        <v>532.249961452141</v>
      </c>
      <c r="J14863" s="6" t="n">
        <f aca="false">Sens!I14863+Sens!J14788-Sens!J14791</f>
        <v>531.43307519354</v>
      </c>
      <c r="K14863" s="6" t="n">
        <f aca="false">Sens!J14863+Sens!K14788-Sens!K14791</f>
        <v>513.709026452823</v>
      </c>
      <c r="L14863" s="1" t="s">
        <v>862</v>
      </c>
    </row>
    <row r="14864" customFormat="false" ht="17.15" hidden="false" customHeight="false" outlineLevel="0" collapsed="false">
      <c r="A14864" s="0" t="s">
        <v>863</v>
      </c>
      <c r="B14864" s="0" t="s">
        <v>129</v>
      </c>
      <c r="F14864" s="7" t="n">
        <f aca="false">Sens!F14862*(1-tax_f)/((Sens!E14863+Sens!F14863)/2)</f>
        <v>0.0572927878517719</v>
      </c>
      <c r="G14864" s="7" t="n">
        <f aca="false">Sens!G14862*(1-tax_f)/((Sens!F14863+Sens!G14863)/2)</f>
        <v>0.0950797887099532</v>
      </c>
      <c r="H14864" s="7" t="n">
        <f aca="false">Sens!H14862*(1-tax_f)/((Sens!G14863+Sens!H14863)/2)</f>
        <v>0.124958925717461</v>
      </c>
      <c r="I14864" s="7" t="n">
        <f aca="false">Sens!I14862*(1-tax_f)/((Sens!H14863+Sens!I14863)/2)</f>
        <v>0.138937721482678</v>
      </c>
      <c r="J14864" s="7" t="n">
        <f aca="false">Sens!J14862*(1-tax_f)/((Sens!I14863+Sens!J14863)/2)</f>
        <v>0.154143797260008</v>
      </c>
      <c r="K14864" s="7" t="n">
        <f aca="false">Sens!K14862*(1-tax_f)/((Sens!J14863+Sens!K14863)/2)</f>
        <v>0.172310275081208</v>
      </c>
    </row>
    <row r="14865" customFormat="false" ht="17.15" hidden="false" customHeight="false" outlineLevel="0" collapsed="false">
      <c r="A14865" s="1" t="s">
        <v>864</v>
      </c>
      <c r="B14865" s="0" t="s">
        <v>129</v>
      </c>
      <c r="F14865" s="7" t="n">
        <f aca="false">(Sens!F14862-Sens!F14861)*(1-tax_f)/((Sens!E14863+Sens!F14863)/2)</f>
        <v>0.0432068477121243</v>
      </c>
      <c r="G14865" s="7" t="n">
        <f aca="false">(Sens!G14862-Sens!G14861)*(1-tax_f)/((Sens!F14863+Sens!G14863)/2)</f>
        <v>0.0543335224592717</v>
      </c>
      <c r="H14865" s="7" t="n">
        <f aca="false">(Sens!H14862-Sens!H14861)*(1-tax_f)/((Sens!G14863+Sens!H14863)/2)</f>
        <v>0.06823485279707</v>
      </c>
      <c r="I14865" s="7" t="n">
        <f aca="false">(Sens!I14862-Sens!I14861)*(1-tax_f)/((Sens!H14863+Sens!I14863)/2)</f>
        <v>0.0696427122395006</v>
      </c>
      <c r="J14865" s="7" t="n">
        <f aca="false">(Sens!J14862-Sens!J14861)*(1-tax_f)/((Sens!I14863+Sens!J14863)/2)</f>
        <v>0.0738568168011806</v>
      </c>
      <c r="K14865" s="7" t="n">
        <f aca="false">(Sens!K14862-Sens!K14861)*(1-tax_f)/((Sens!J14863+Sens!K14863)/2)</f>
        <v>0.0828546062656513</v>
      </c>
    </row>
    <row r="14866" customFormat="false" ht="17.15" hidden="false" customHeight="false" outlineLevel="0" collapsed="false">
      <c r="A14866" s="1" t="s">
        <v>865</v>
      </c>
      <c r="B14866" s="0" t="s">
        <v>129</v>
      </c>
      <c r="F14866" s="7" t="n">
        <f aca="false">(Sens!F14862-Sens!F14861+Sens!F14860)*(1-tax_f)/((Sens!E14863+Sens!F14863)/2)</f>
        <v>0.0572927878517719</v>
      </c>
      <c r="G14866" s="7" t="n">
        <f aca="false">(Sens!G14862-Sens!G14861+Sens!G14860)*(1-tax_f)/((Sens!F14863+Sens!G14863)/2)</f>
        <v>0.0950797887099532</v>
      </c>
      <c r="H14866" s="7" t="n">
        <f aca="false">(Sens!H14862-Sens!H14861+Sens!H14860)*(1-tax_f)/((Sens!G14863+Sens!H14863)/2)</f>
        <v>0.124958925717461</v>
      </c>
      <c r="I14866" s="7" t="n">
        <f aca="false">(Sens!I14862-Sens!I14861+Sens!I14860)*(1-tax_f)/((Sens!H14863+Sens!I14863)/2)</f>
        <v>0.138937721482678</v>
      </c>
      <c r="J14866" s="7" t="n">
        <f aca="false">(Sens!J14862-Sens!J14861+Sens!J14860)*(1-tax_f)/((Sens!I14863+Sens!J14863)/2)</f>
        <v>0.154143797260008</v>
      </c>
      <c r="K14866" s="7" t="n">
        <f aca="false">(Sens!K14862-Sens!K14861+Sens!K14860)*(1-tax_f)/((Sens!J14863+Sens!K14863)/2)</f>
        <v>0.172310275081208</v>
      </c>
    </row>
    <row r="14867" customFormat="false" ht="17.15" hidden="false" customHeight="false" outlineLevel="0" collapsed="false">
      <c r="A14867" s="1" t="s">
        <v>866</v>
      </c>
      <c r="B14867" s="0" t="s">
        <v>129</v>
      </c>
      <c r="F14867" s="7" t="n">
        <f aca="false">Sens!F14792*(1-tax_f)/(Sens!F14779*(Sens!E14863+Sens!F14863)/2)</f>
        <v>0.159418295257403</v>
      </c>
      <c r="G14867" s="7" t="n">
        <f aca="false">Sens!G14792*(1-tax_f)/(Sens!G14779*(Sens!F14863+Sens!G14863)/2)</f>
        <v>0.181875227327983</v>
      </c>
      <c r="H14867" s="7" t="n">
        <f aca="false">Sens!H14792*(1-tax_f)/(Sens!H14779*(Sens!G14863+Sens!H14863)/2)</f>
        <v>0.212793847216411</v>
      </c>
      <c r="I14867" s="7" t="n">
        <f aca="false">Sens!I14792*(1-tax_f)/(Sens!I14779*(Sens!H14863+Sens!I14863)/2)</f>
        <v>0.225613268329429</v>
      </c>
      <c r="J14867" s="7" t="n">
        <f aca="false">Sens!J14792*(1-tax_f)/(Sens!J14779*(Sens!I14863+Sens!J14863)/2)</f>
        <v>0.24488839563955</v>
      </c>
      <c r="K14867" s="7" t="n">
        <f aca="false">Sens!K14792*(1-tax_f)/(Sens!K14779*(Sens!J14863+Sens!K14863)/2)</f>
        <v>0.270711455180788</v>
      </c>
    </row>
    <row r="14868" customFormat="false" ht="17.15" hidden="false" customHeight="false" outlineLevel="0" collapsed="false">
      <c r="A14868" s="0" t="s">
        <v>867</v>
      </c>
      <c r="B14868" s="0" t="s">
        <v>209</v>
      </c>
      <c r="F14868" s="7" t="n">
        <f aca="false">Sens!F14864-wacc</f>
        <v>-0.0456416322411039</v>
      </c>
      <c r="G14868" s="7" t="n">
        <f aca="false">Sens!G14864-wacc</f>
        <v>-0.00785463138292258</v>
      </c>
      <c r="H14868" s="7" t="n">
        <f aca="false">Sens!H14864-wacc</f>
        <v>0.0220245056245851</v>
      </c>
      <c r="I14868" s="7" t="n">
        <f aca="false">Sens!I14864-wacc</f>
        <v>0.0360033013898023</v>
      </c>
      <c r="J14868" s="7" t="n">
        <f aca="false">Sens!J14864-wacc</f>
        <v>0.051209377167132</v>
      </c>
      <c r="K14868" s="7" t="n">
        <f aca="false">Sens!K14864-wacc</f>
        <v>0.0693758549883326</v>
      </c>
    </row>
    <row r="14869" customFormat="false" ht="17.15" hidden="false" customHeight="false" outlineLevel="0" collapsed="false">
      <c r="A14869" s="0" t="s">
        <v>868</v>
      </c>
      <c r="B14869" s="0" t="s">
        <v>98</v>
      </c>
      <c r="F14869" s="6" t="n">
        <f aca="false">Sens!F14862*(1-tax_f)-wacc*(Sens!E14863+Sens!F14863)/2</f>
        <v>-8.66458612468946</v>
      </c>
      <c r="G14869" s="6" t="n">
        <f aca="false">Sens!G14862*(1-tax_f)-wacc*(Sens!F14863+Sens!G14863)/2</f>
        <v>-2.47582221415746</v>
      </c>
      <c r="H14869" s="6" t="n">
        <f aca="false">Sens!H14862*(1-tax_f)-wacc*(Sens!G14863+Sens!H14863)/2</f>
        <v>9.43286236745443</v>
      </c>
      <c r="I14869" s="6" t="n">
        <f aca="false">Sens!I14862*(1-tax_f)-wacc*(Sens!H14863+Sens!I14863)/2</f>
        <v>18.2068514676521</v>
      </c>
      <c r="J14869" s="6" t="n">
        <f aca="false">Sens!J14862*(1-tax_f)-wacc*(Sens!I14863+Sens!J14863)/2</f>
        <v>27.2352729049345</v>
      </c>
      <c r="K14869" s="6" t="n">
        <f aca="false">Sens!K14862*(1-tax_f)-wacc*(Sens!J14863+Sens!K14863)/2</f>
        <v>36.2538134430096</v>
      </c>
    </row>
    <row r="14870" customFormat="false" ht="17.15" hidden="false" customHeight="false" outlineLevel="0" collapsed="false">
      <c r="A14870" s="3" t="s">
        <v>1639</v>
      </c>
    </row>
    <row r="14871" customFormat="false" ht="15" hidden="false" customHeight="false" outlineLevel="0" collapsed="false">
      <c r="A14871" s="4" t="s">
        <v>43</v>
      </c>
      <c r="B14871" s="4" t="s">
        <v>65</v>
      </c>
      <c r="C14871" s="20" t="s">
        <v>799</v>
      </c>
      <c r="D14871" s="20" t="s">
        <v>800</v>
      </c>
      <c r="E14871" s="20" t="s">
        <v>801</v>
      </c>
      <c r="F14871" s="20" t="s">
        <v>802</v>
      </c>
      <c r="G14871" s="20" t="s">
        <v>803</v>
      </c>
      <c r="H14871" s="20" t="s">
        <v>804</v>
      </c>
      <c r="I14871" s="20" t="s">
        <v>805</v>
      </c>
      <c r="J14871" s="20" t="s">
        <v>806</v>
      </c>
      <c r="K14871" s="20" t="s">
        <v>807</v>
      </c>
      <c r="L14871" s="4" t="s">
        <v>47</v>
      </c>
    </row>
    <row r="14872" customFormat="false" ht="15" hidden="false" customHeight="false" outlineLevel="0" collapsed="false">
      <c r="A14872" s="1" t="s">
        <v>925</v>
      </c>
      <c r="B14872" s="0" t="s">
        <v>98</v>
      </c>
      <c r="F14872" s="6" t="n">
        <f aca="false">Sens!F14853</f>
        <v>144.716245502711</v>
      </c>
      <c r="G14872" s="6" t="n">
        <f aca="false">Sens!G14853</f>
        <v>169.440432908311</v>
      </c>
      <c r="H14872" s="6" t="n">
        <f aca="false">Sens!H14853</f>
        <v>197.58884160431</v>
      </c>
      <c r="I14872" s="6" t="n">
        <f aca="false">Sens!I14853</f>
        <v>219.330590993914</v>
      </c>
      <c r="J14872" s="6" t="n">
        <f aca="false">Sens!J14853</f>
        <v>238.223129125662</v>
      </c>
      <c r="K14872" s="6" t="n">
        <f aca="false">Sens!K14853</f>
        <v>255.521744254433</v>
      </c>
    </row>
    <row r="14873" customFormat="false" ht="17.15" hidden="false" customHeight="false" outlineLevel="0" collapsed="false">
      <c r="A14873" s="1" t="s">
        <v>947</v>
      </c>
      <c r="B14873" s="0" t="s">
        <v>98</v>
      </c>
      <c r="E14873" s="6" t="n">
        <f aca="false">Q!M38-Sens!E14791</f>
        <v>22.2285940229167</v>
      </c>
      <c r="F14873" s="6" t="n">
        <f aca="false">Sens!E14873*(1-1/life_nonai)+(Sens!F14880+Sens!F14881)/life_nonai</f>
        <v>24.3924470334783</v>
      </c>
      <c r="G14873" s="6" t="n">
        <f aca="false">Sens!F14873*(1-1/life_nonai)+(Sens!G14880)/life_nonai</f>
        <v>26.1134916871694</v>
      </c>
      <c r="H14873" s="6" t="n">
        <f aca="false">Sens!G14873*(1-1/life_nonai)+(Sens!H14880)/life_nonai</f>
        <v>28.2582938828615</v>
      </c>
      <c r="I14873" s="6" t="n">
        <f aca="false">Sens!H14873*(1-1/life_nonai)+(Sens!I14880)/life_nonai</f>
        <v>30.7498045257397</v>
      </c>
      <c r="J14873" s="6" t="n">
        <f aca="false">Sens!I14873*(1-1/life_nonai)+(Sens!J14880)/life_nonai</f>
        <v>33.4954153982031</v>
      </c>
      <c r="K14873" s="6" t="n">
        <f aca="false">Sens!J14873*(1-1/life_nonai)+(Sens!K14880)/life_nonai</f>
        <v>36.4102441325822</v>
      </c>
      <c r="L14873" s="11" t="s">
        <v>948</v>
      </c>
    </row>
    <row r="14874" customFormat="false" ht="17.15" hidden="false" customHeight="false" outlineLevel="0" collapsed="false">
      <c r="A14874" s="1" t="s">
        <v>949</v>
      </c>
      <c r="B14874" s="0" t="s">
        <v>98</v>
      </c>
      <c r="F14874" s="6" t="n">
        <f aca="false">Sens!$F$14881/life_nonai*(1-1/life_nonai)^(Sens!F14757-2027)</f>
        <v>0.813777689897088</v>
      </c>
      <c r="G14874" s="6" t="n">
        <f aca="false">Sens!$F$14881/life_nonai*(1-1/life_nonai)^(Sens!G14757-2027)</f>
        <v>0.73239992090738</v>
      </c>
      <c r="H14874" s="6" t="n">
        <f aca="false">Sens!$F$14881/life_nonai*(1-1/life_nonai)^(Sens!H14757-2027)</f>
        <v>0.659159928816642</v>
      </c>
      <c r="I14874" s="6" t="n">
        <f aca="false">Sens!$F$14881/life_nonai*(1-1/life_nonai)^(Sens!I14757-2027)</f>
        <v>0.593243935934978</v>
      </c>
      <c r="J14874" s="6" t="n">
        <f aca="false">Sens!$F$14881/life_nonai*(1-1/life_nonai)^(Sens!J14757-2027)</f>
        <v>0.53391954234148</v>
      </c>
      <c r="K14874" s="6" t="n">
        <f aca="false">Sens!$F$14881/life_nonai*(1-1/life_nonai)^(Sens!K14757-2027)</f>
        <v>0.480527588107332</v>
      </c>
      <c r="L14874" s="1" t="s">
        <v>950</v>
      </c>
    </row>
    <row r="14875" customFormat="false" ht="17.15" hidden="false" customHeight="false" outlineLevel="0" collapsed="false">
      <c r="A14875" s="1" t="s">
        <v>951</v>
      </c>
      <c r="B14875" s="0" t="s">
        <v>98</v>
      </c>
      <c r="E14875" s="6" t="n">
        <f aca="false">Sens!E14791+Sens!E14873</f>
        <v>38.534</v>
      </c>
      <c r="F14875" s="6" t="n">
        <f aca="false">Sens!F14791+Sens!F14873</f>
        <v>58.4423344144339</v>
      </c>
      <c r="G14875" s="6" t="n">
        <f aca="false">Sens!G14791+Sens!G14873</f>
        <v>85.2389287976805</v>
      </c>
      <c r="H14875" s="6" t="n">
        <f aca="false">Sens!H14791+Sens!H14873</f>
        <v>114.619313726173</v>
      </c>
      <c r="I14875" s="6" t="n">
        <f aca="false">Sens!I14791+Sens!I14873</f>
        <v>141.355548358132</v>
      </c>
      <c r="J14875" s="6" t="n">
        <f aca="false">Sens!J14791+Sens!J14873</f>
        <v>161.493738251046</v>
      </c>
      <c r="K14875" s="6" t="n">
        <f aca="false">Sens!K14791+Sens!K14873</f>
        <v>175.54170817689</v>
      </c>
    </row>
    <row r="14876" customFormat="false" ht="17.15" hidden="false" customHeight="false" outlineLevel="0" collapsed="false">
      <c r="A14876" s="1" t="s">
        <v>952</v>
      </c>
      <c r="B14876" s="0" t="s">
        <v>98</v>
      </c>
      <c r="F14876" s="6" t="n">
        <f aca="false">Sens!F14818*sbc_r</f>
        <v>15.1240791253967</v>
      </c>
      <c r="G14876" s="6" t="n">
        <f aca="false">Sens!G14818*sbc_r</f>
        <v>18.3778786594202</v>
      </c>
      <c r="H14876" s="6" t="n">
        <f aca="false">Sens!H14818*sbc_r</f>
        <v>21.8771522065674</v>
      </c>
      <c r="I14876" s="6" t="n">
        <f aca="false">Sens!I14818*sbc_r</f>
        <v>24.8701515437869</v>
      </c>
      <c r="J14876" s="6" t="n">
        <f aca="false">Sens!J14818*sbc_r</f>
        <v>27.2967954795689</v>
      </c>
      <c r="K14876" s="6" t="n">
        <f aca="false">Sens!K14818*sbc_r</f>
        <v>29.260073931056</v>
      </c>
    </row>
    <row r="14877" customFormat="false" ht="17.15" hidden="false" customHeight="false" outlineLevel="0" collapsed="false">
      <c r="A14877" s="1" t="s">
        <v>953</v>
      </c>
      <c r="B14877" s="0" t="s">
        <v>98</v>
      </c>
      <c r="F14877" s="6" t="n">
        <f aca="false">wc27</f>
        <v>-4.895</v>
      </c>
      <c r="G14877" s="6" t="n">
        <f aca="false">wc_f</f>
        <v>0</v>
      </c>
      <c r="H14877" s="6" t="n">
        <f aca="false">wc_f</f>
        <v>0</v>
      </c>
      <c r="I14877" s="6" t="n">
        <f aca="false">wc_f</f>
        <v>0</v>
      </c>
      <c r="J14877" s="6" t="n">
        <f aca="false">wc_f</f>
        <v>0</v>
      </c>
      <c r="K14877" s="6" t="n">
        <f aca="false">wc_f</f>
        <v>0</v>
      </c>
      <c r="L14877" s="11" t="s">
        <v>954</v>
      </c>
    </row>
    <row r="14878" customFormat="false" ht="15" hidden="false" customHeight="false" outlineLevel="0" collapsed="false">
      <c r="A14878" s="1" t="s">
        <v>767</v>
      </c>
      <c r="B14878" s="0" t="s">
        <v>98</v>
      </c>
      <c r="E14878" s="6" t="n">
        <f aca="false">Q!M35</f>
        <v>182.935</v>
      </c>
      <c r="F14878" s="6" t="n">
        <f aca="false">Sens!F14872+Sens!F14875+Sens!F14876+Sens!F14877</f>
        <v>213.387659042542</v>
      </c>
      <c r="G14878" s="6" t="n">
        <f aca="false">Sens!G14872+Sens!G14875+Sens!G14876+Sens!G14877</f>
        <v>273.057240365412</v>
      </c>
      <c r="H14878" s="6" t="n">
        <f aca="false">Sens!H14872+Sens!H14875+Sens!H14876+Sens!H14877</f>
        <v>334.08530753705</v>
      </c>
      <c r="I14878" s="6" t="n">
        <f aca="false">Sens!I14872+Sens!I14875+Sens!I14876+Sens!I14877</f>
        <v>385.556290895833</v>
      </c>
      <c r="J14878" s="6" t="n">
        <f aca="false">Sens!J14872+Sens!J14875+Sens!J14876+Sens!J14877</f>
        <v>427.013662856278</v>
      </c>
      <c r="K14878" s="6" t="n">
        <f aca="false">Sens!K14872+Sens!K14875+Sens!K14876+Sens!K14877</f>
        <v>460.323526362379</v>
      </c>
    </row>
    <row r="14879" customFormat="false" ht="17.15" hidden="false" customHeight="false" outlineLevel="0" collapsed="false">
      <c r="A14879" s="0" t="s">
        <v>955</v>
      </c>
      <c r="B14879" s="0" t="s">
        <v>98</v>
      </c>
      <c r="F14879" s="6" t="n">
        <f aca="false">Sens!F14788</f>
        <v>160.332875871467</v>
      </c>
      <c r="G14879" s="6" t="n">
        <f aca="false">Sens!G14788</f>
        <v>183.5741804832</v>
      </c>
      <c r="H14879" s="6" t="n">
        <f aca="false">Sens!H14788</f>
        <v>188.0802859104</v>
      </c>
      <c r="I14879" s="6" t="n">
        <f aca="false">Sens!I14788</f>
        <v>163.706669154245</v>
      </c>
      <c r="J14879" s="6" t="n">
        <f aca="false">Sens!J14788</f>
        <v>127.181436594242</v>
      </c>
      <c r="K14879" s="6" t="n">
        <f aca="false">Sens!K14788</f>
        <v>121.407415303591</v>
      </c>
    </row>
    <row r="14880" customFormat="false" ht="17.15" hidden="false" customHeight="false" outlineLevel="0" collapsed="false">
      <c r="A14880" s="1" t="s">
        <v>956</v>
      </c>
      <c r="B14880" s="0" t="s">
        <v>98</v>
      </c>
      <c r="E14880" s="6" t="n">
        <f aca="false">Sens!E14796*cx_azo+Sens!E14803*cx_m365+Sens!E14804*cx_lic+(Sens!E14806+Sens!E14808)*cx_ind+Sens!E14811*cx_srch+(Sens!E14813+Sens!E14815)*cx_dev</f>
        <v>30.1846587067718</v>
      </c>
      <c r="F14880" s="6" t="n">
        <f aca="false">Sens!F14796*cx_azo+Sens!F14803*cx_m365+Sens!F14804*cx_lic+(Sens!F14806+Sens!F14808)*cx_ind+Sens!F14811*cx_srch+(Sens!F14813+Sens!F14815)*cx_dev</f>
        <v>35.7293472295625</v>
      </c>
      <c r="G14880" s="6" t="n">
        <f aca="false">Sens!G14796*cx_azo+Sens!G14803*cx_m365+Sens!G14804*cx_lic+(Sens!G14806+Sens!G14808)*cx_ind+Sens!G14811*cx_srch+(Sens!G14813+Sens!G14815)*cx_dev</f>
        <v>41.6028935703892</v>
      </c>
      <c r="H14880" s="6" t="n">
        <f aca="false">Sens!H14796*cx_azo+Sens!H14803*cx_m365+Sens!H14804*cx_lic+(Sens!H14806+Sens!H14808)*cx_ind+Sens!H14811*cx_srch+(Sens!H14813+Sens!H14815)*cx_dev</f>
        <v>47.5615136440897</v>
      </c>
      <c r="I14880" s="6" t="n">
        <f aca="false">Sens!I14796*cx_azo+Sens!I14803*cx_m365+Sens!I14804*cx_lic+(Sens!I14806+Sens!I14808)*cx_ind+Sens!I14811*cx_srch+(Sens!I14813+Sens!I14815)*cx_dev</f>
        <v>53.1734003116439</v>
      </c>
      <c r="J14880" s="6" t="n">
        <f aca="false">Sens!J14796*cx_azo+Sens!J14803*cx_m365+Sens!J14804*cx_lic+(Sens!J14806+Sens!J14808)*cx_ind+Sens!J14811*cx_srch+(Sens!J14813+Sens!J14815)*cx_dev</f>
        <v>58.2059132503738</v>
      </c>
      <c r="K14880" s="6" t="n">
        <f aca="false">Sens!K14796*cx_azo+Sens!K14803*cx_m365+Sens!K14804*cx_lic+(Sens!K14806+Sens!K14808)*cx_ind+Sens!K14811*cx_srch+(Sens!K14813+Sens!K14815)*cx_dev</f>
        <v>62.643702741994</v>
      </c>
    </row>
    <row r="14881" customFormat="false" ht="17.15" hidden="false" customHeight="false" outlineLevel="0" collapsed="false">
      <c r="A14881" s="0" t="s">
        <v>957</v>
      </c>
      <c r="B14881" s="0" t="s">
        <v>98</v>
      </c>
      <c r="F14881" s="6" t="n">
        <f aca="false">Sens!F14786</f>
        <v>8.13777689897088</v>
      </c>
      <c r="L14881" s="1" t="s">
        <v>958</v>
      </c>
    </row>
    <row r="14882" customFormat="false" ht="17.15" hidden="false" customHeight="false" outlineLevel="0" collapsed="false">
      <c r="A14882" s="1" t="s">
        <v>959</v>
      </c>
      <c r="B14882" s="0" t="s">
        <v>98</v>
      </c>
      <c r="E14882" s="6" t="n">
        <f aca="false">Q!M42</f>
        <v>145.3</v>
      </c>
      <c r="F14882" s="6" t="n">
        <f aca="false">Sens!F14879+Sens!F14880+Sens!F14881</f>
        <v>204.2</v>
      </c>
      <c r="G14882" s="6" t="n">
        <f aca="false">Sens!G14879+Sens!G14880</f>
        <v>225.177074053589</v>
      </c>
      <c r="H14882" s="6" t="n">
        <f aca="false">Sens!H14879+Sens!H14880</f>
        <v>235.64179955449</v>
      </c>
      <c r="I14882" s="6" t="n">
        <f aca="false">Sens!I14879+Sens!I14880</f>
        <v>216.880069465889</v>
      </c>
      <c r="J14882" s="6" t="n">
        <f aca="false">Sens!J14879+Sens!J14880</f>
        <v>185.387349844616</v>
      </c>
      <c r="K14882" s="6" t="n">
        <f aca="false">Sens!K14879+Sens!K14880</f>
        <v>184.051118045585</v>
      </c>
      <c r="L14882" s="1" t="s">
        <v>960</v>
      </c>
    </row>
    <row r="14883" customFormat="false" ht="15" hidden="false" customHeight="false" outlineLevel="0" collapsed="false">
      <c r="A14883" s="1" t="s">
        <v>961</v>
      </c>
      <c r="B14883" s="0" t="s">
        <v>98</v>
      </c>
      <c r="E14883" s="6" t="n">
        <f aca="false">fl_liab</f>
        <v>66.594</v>
      </c>
      <c r="F14883" s="6" t="n">
        <f aca="false">Sens!E14883-Sens!F14884</f>
        <v>62.46973</v>
      </c>
      <c r="G14883" s="6" t="n">
        <f aca="false">Sens!F14883-Sens!G14884</f>
        <v>57.98686785</v>
      </c>
      <c r="H14883" s="6" t="n">
        <f aca="false">Sens!G14883-Sens!H14884</f>
        <v>53.92827690325</v>
      </c>
      <c r="I14883" s="6" t="n">
        <f aca="false">Sens!H14883-Sens!I14884</f>
        <v>49.7850493638962</v>
      </c>
      <c r="J14883" s="6" t="n">
        <f aca="false">Sens!I14883-Sens!J14884</f>
        <v>45.4823765852716</v>
      </c>
      <c r="K14883" s="6" t="n">
        <f aca="false">Sens!J14883-Sens!K14884</f>
        <v>40.9860835316088</v>
      </c>
    </row>
    <row r="14884" customFormat="false" ht="15" hidden="false" customHeight="false" outlineLevel="0" collapsed="false">
      <c r="A14884" s="1" t="s">
        <v>962</v>
      </c>
      <c r="B14884" s="0" t="s">
        <v>98</v>
      </c>
      <c r="F14884" s="6" t="n">
        <f aca="false">fl_pay_27-Sens!E14883*fl_rate</f>
        <v>4.12427</v>
      </c>
      <c r="G14884" s="6" t="n">
        <f aca="false">fl_pay_28-Sens!F14883*fl_rate</f>
        <v>4.48286215</v>
      </c>
      <c r="H14884" s="6" t="n">
        <f aca="false">fl_pay_29-Sens!G14883*fl_rate</f>
        <v>4.05859094675</v>
      </c>
      <c r="I14884" s="6" t="n">
        <f aca="false">fl_pay_30-Sens!H14883*fl_rate</f>
        <v>4.14322753935375</v>
      </c>
      <c r="J14884" s="6" t="n">
        <f aca="false">fl_pay_31-Sens!I14883*fl_rate</f>
        <v>4.30267277862467</v>
      </c>
      <c r="K14884" s="6" t="n">
        <f aca="false">fl_pay_32-Sens!J14883*fl_rate</f>
        <v>4.49629305366278</v>
      </c>
    </row>
    <row r="14885" customFormat="false" ht="17.15" hidden="false" customHeight="false" outlineLevel="0" collapsed="false">
      <c r="A14885" s="1" t="s">
        <v>963</v>
      </c>
      <c r="B14885" s="0" t="s">
        <v>98</v>
      </c>
      <c r="E14885" s="6" t="n">
        <f aca="false">Q!M35-Q!M36-Q!M43</f>
        <v>63.886</v>
      </c>
      <c r="F14885" s="6" t="n">
        <f aca="false">Sens!F14878-Sens!F14882-Sens!F14884</f>
        <v>5.06338904254167</v>
      </c>
      <c r="G14885" s="6" t="n">
        <f aca="false">Sens!G14878-Sens!G14882-Sens!G14884</f>
        <v>43.3973041618228</v>
      </c>
      <c r="H14885" s="6" t="n">
        <f aca="false">Sens!H14878-Sens!H14882-Sens!H14884</f>
        <v>94.3849170358102</v>
      </c>
      <c r="I14885" s="6" t="n">
        <f aca="false">Sens!I14878-Sens!I14882-Sens!I14884</f>
        <v>164.53299389059</v>
      </c>
      <c r="J14885" s="6" t="n">
        <f aca="false">Sens!J14878-Sens!J14882-Sens!J14884</f>
        <v>237.323640233037</v>
      </c>
      <c r="K14885" s="6" t="n">
        <f aca="false">Sens!K14878-Sens!K14882-Sens!K14884</f>
        <v>271.776115263132</v>
      </c>
      <c r="L14885" s="11" t="s">
        <v>964</v>
      </c>
    </row>
    <row r="14886" customFormat="false" ht="15" hidden="false" customHeight="false" outlineLevel="0" collapsed="false">
      <c r="A14886" s="1" t="s">
        <v>965</v>
      </c>
      <c r="B14886" s="0" t="s">
        <v>75</v>
      </c>
      <c r="F14886" s="8" t="n">
        <f aca="false">dps_27</f>
        <v>3.85</v>
      </c>
      <c r="G14886" s="8" t="n">
        <f aca="false">Sens!F14886*(1+dps_g)</f>
        <v>4.158</v>
      </c>
      <c r="H14886" s="8" t="n">
        <f aca="false">Sens!G14886*(1+dps_g)</f>
        <v>4.49064</v>
      </c>
      <c r="I14886" s="8" t="n">
        <f aca="false">Sens!H14886*(1+dps_g)</f>
        <v>4.8498912</v>
      </c>
      <c r="J14886" s="8" t="n">
        <f aca="false">Sens!I14886*(1+dps_g)</f>
        <v>5.237882496</v>
      </c>
      <c r="K14886" s="8" t="n">
        <f aca="false">Sens!J14886*(1+dps_g)</f>
        <v>5.65691309568</v>
      </c>
    </row>
    <row r="14887" customFormat="false" ht="17.15" hidden="false" customHeight="false" outlineLevel="0" collapsed="false">
      <c r="A14887" s="1" t="s">
        <v>966</v>
      </c>
      <c r="B14887" s="0" t="s">
        <v>98</v>
      </c>
      <c r="E14887" s="6" t="n">
        <f aca="false">Q!M41</f>
        <v>26.445</v>
      </c>
      <c r="F14887" s="6" t="n">
        <f aca="false">Sens!F14886*Sens!E14896</f>
        <v>28.59395</v>
      </c>
      <c r="G14887" s="6" t="n">
        <f aca="false">Sens!G14886*Sens!F14896</f>
        <v>31.068576</v>
      </c>
      <c r="H14887" s="6" t="n">
        <f aca="false">Sens!H14886*Sens!G14896</f>
        <v>33.6635240905814</v>
      </c>
      <c r="I14887" s="6" t="n">
        <f aca="false">Sens!I14886*Sens!H14896</f>
        <v>36.4075452578274</v>
      </c>
      <c r="J14887" s="6" t="n">
        <f aca="false">Sens!J14886*Sens!I14896</f>
        <v>39.388547726773</v>
      </c>
      <c r="K14887" s="6" t="n">
        <f aca="false">Sens!K14886*Sens!J14896</f>
        <v>42.6268867702199</v>
      </c>
      <c r="L14887" s="1" t="s">
        <v>967</v>
      </c>
    </row>
    <row r="14888" customFormat="false" ht="15" hidden="false" customHeight="false" outlineLevel="0" collapsed="false">
      <c r="A14888" s="1" t="s">
        <v>968</v>
      </c>
      <c r="B14888" s="0" t="s">
        <v>98</v>
      </c>
      <c r="E14888" s="6" t="n">
        <f aca="false">Sens!E14885-Sens!E14887</f>
        <v>37.441</v>
      </c>
      <c r="F14888" s="6" t="n">
        <f aca="false">Sens!F14885-Sens!F14887</f>
        <v>-23.5305609574583</v>
      </c>
      <c r="G14888" s="6" t="n">
        <f aca="false">Sens!G14885-Sens!G14887</f>
        <v>12.3287281618228</v>
      </c>
      <c r="H14888" s="6" t="n">
        <f aca="false">Sens!H14885-Sens!H14887</f>
        <v>60.7213929452288</v>
      </c>
      <c r="I14888" s="6" t="n">
        <f aca="false">Sens!I14885-Sens!I14887</f>
        <v>128.125448632763</v>
      </c>
      <c r="J14888" s="6" t="n">
        <f aca="false">Sens!J14885-Sens!J14887</f>
        <v>197.935092506264</v>
      </c>
      <c r="K14888" s="6" t="n">
        <f aca="false">Sens!K14885-Sens!K14887</f>
        <v>229.149228492912</v>
      </c>
    </row>
    <row r="14889" customFormat="false" ht="15" hidden="false" customHeight="false" outlineLevel="0" collapsed="false">
      <c r="A14889" s="1" t="s">
        <v>969</v>
      </c>
      <c r="B14889" s="0" t="s">
        <v>98</v>
      </c>
      <c r="F14889" s="6" t="n">
        <f aca="false">debt_mat_27</f>
        <v>9.25</v>
      </c>
      <c r="G14889" s="6" t="n">
        <f aca="false">debt_mat_28</f>
        <v>0</v>
      </c>
      <c r="H14889" s="6" t="n">
        <f aca="false">debt_mat_29</f>
        <v>2.001</v>
      </c>
      <c r="I14889" s="6" t="n">
        <f aca="false">debt_mat_30</f>
        <v>0</v>
      </c>
      <c r="J14889" s="6" t="n">
        <f aca="false">debt_mat_31</f>
        <v>0.5</v>
      </c>
      <c r="K14889" s="6" t="n">
        <f aca="false">debt_mat_32</f>
        <v>0</v>
      </c>
    </row>
    <row r="14890" customFormat="false" ht="15" hidden="false" customHeight="false" outlineLevel="0" collapsed="false">
      <c r="A14890" s="1" t="s">
        <v>970</v>
      </c>
      <c r="B14890" s="0" t="s">
        <v>98</v>
      </c>
      <c r="E14890" s="6" t="n">
        <f aca="false">Q!M40</f>
        <v>22.271</v>
      </c>
      <c r="F14890" s="6" t="n">
        <f aca="false">MAX(0,MIN(bb_target,Sens!E14892+Sens!F14888-Sens!F14889-min_cash))</f>
        <v>0</v>
      </c>
      <c r="G14890" s="6" t="n">
        <f aca="false">MAX(0,MIN(bb_target,Sens!F14892+Sens!G14888-Sens!G14889-min_cash))</f>
        <v>12.3287281618228</v>
      </c>
      <c r="H14890" s="6" t="n">
        <f aca="false">MAX(0,MIN(bb_target,Sens!G14892+Sens!H14888-Sens!H14889-min_cash))</f>
        <v>22.271</v>
      </c>
      <c r="I14890" s="6" t="n">
        <f aca="false">MAX(0,MIN(bb_target,Sens!H14892+Sens!I14888-Sens!I14889-min_cash))</f>
        <v>22.271</v>
      </c>
      <c r="J14890" s="6" t="n">
        <f aca="false">MAX(0,MIN(bb_target,Sens!I14892+Sens!J14888-Sens!J14889-min_cash))</f>
        <v>22.271</v>
      </c>
      <c r="K14890" s="6" t="n">
        <f aca="false">MAX(0,MIN(bb_target,Sens!J14892+Sens!K14888-Sens!K14889-min_cash))</f>
        <v>22.271</v>
      </c>
    </row>
    <row r="14891" customFormat="false" ht="15" hidden="false" customHeight="false" outlineLevel="0" collapsed="false">
      <c r="A14891" s="1" t="s">
        <v>971</v>
      </c>
      <c r="B14891" s="0" t="s">
        <v>98</v>
      </c>
      <c r="F14891" s="6" t="n">
        <f aca="false">MAX(0,min_cash-(Sens!E14892+Sens!F14888-Sens!F14889-Sens!F14890))</f>
        <v>5.93756095745833</v>
      </c>
      <c r="G14891" s="6" t="n">
        <f aca="false">MAX(0,min_cash-(Sens!F14892+Sens!G14888-Sens!G14889-Sens!G14890))</f>
        <v>0</v>
      </c>
      <c r="H14891" s="6" t="n">
        <f aca="false">MAX(0,min_cash-(Sens!G14892+Sens!H14888-Sens!H14889-Sens!H14890))</f>
        <v>0</v>
      </c>
      <c r="I14891" s="6" t="n">
        <f aca="false">MAX(0,min_cash-(Sens!H14892+Sens!I14888-Sens!I14889-Sens!I14890))</f>
        <v>0</v>
      </c>
      <c r="J14891" s="6" t="n">
        <f aca="false">MAX(0,min_cash-(Sens!I14892+Sens!J14888-Sens!J14889-Sens!J14890))</f>
        <v>0</v>
      </c>
      <c r="K14891" s="6" t="n">
        <f aca="false">MAX(0,min_cash-(Sens!J14892+Sens!K14888-Sens!K14889-Sens!K14890))</f>
        <v>0</v>
      </c>
    </row>
    <row r="14892" customFormat="false" ht="15" hidden="false" customHeight="false" outlineLevel="0" collapsed="false">
      <c r="A14892" s="1" t="s">
        <v>972</v>
      </c>
      <c r="B14892" s="0" t="s">
        <v>98</v>
      </c>
      <c r="E14892" s="6" t="n">
        <f aca="false">cash_open</f>
        <v>76.843</v>
      </c>
      <c r="F14892" s="6" t="n">
        <f aca="false">Sens!E14892+Sens!F14888-Sens!F14889-Sens!F14890+Sens!F14891</f>
        <v>50</v>
      </c>
      <c r="G14892" s="6" t="n">
        <f aca="false">Sens!F14892+Sens!G14888-Sens!G14889-Sens!G14890+Sens!G14891</f>
        <v>50</v>
      </c>
      <c r="H14892" s="6" t="n">
        <f aca="false">Sens!G14892+Sens!H14888-Sens!H14889-Sens!H14890+Sens!H14891</f>
        <v>86.4493929452288</v>
      </c>
      <c r="I14892" s="6" t="n">
        <f aca="false">Sens!H14892+Sens!I14888-Sens!I14889-Sens!I14890+Sens!I14891</f>
        <v>192.303841577992</v>
      </c>
      <c r="J14892" s="6" t="n">
        <f aca="false">Sens!I14892+Sens!J14888-Sens!J14889-Sens!J14890+Sens!J14891</f>
        <v>367.467934084256</v>
      </c>
      <c r="K14892" s="6" t="n">
        <f aca="false">Sens!J14892+Sens!K14888-Sens!K14889-Sens!K14890+Sens!K14891</f>
        <v>574.346162577167</v>
      </c>
    </row>
    <row r="14893" customFormat="false" ht="15" hidden="false" customHeight="false" outlineLevel="0" collapsed="false">
      <c r="A14893" s="1" t="s">
        <v>973</v>
      </c>
      <c r="B14893" s="0" t="s">
        <v>98</v>
      </c>
      <c r="E14893" s="6" t="n">
        <f aca="false">debt_face</f>
        <v>46.136</v>
      </c>
      <c r="F14893" s="6" t="n">
        <f aca="false">Sens!E14893-Sens!F14889+Sens!F14891</f>
        <v>42.8235609574583</v>
      </c>
      <c r="G14893" s="6" t="n">
        <f aca="false">Sens!F14893-Sens!G14889+Sens!G14891</f>
        <v>42.8235609574583</v>
      </c>
      <c r="H14893" s="6" t="n">
        <f aca="false">Sens!G14893-Sens!H14889+Sens!H14891</f>
        <v>40.8225609574583</v>
      </c>
      <c r="I14893" s="6" t="n">
        <f aca="false">Sens!H14893-Sens!I14889+Sens!I14891</f>
        <v>40.8225609574583</v>
      </c>
      <c r="J14893" s="6" t="n">
        <f aca="false">Sens!I14893-Sens!J14889+Sens!J14891</f>
        <v>40.3225609574583</v>
      </c>
      <c r="K14893" s="6" t="n">
        <f aca="false">Sens!J14893-Sens!K14889+Sens!K14891</f>
        <v>40.3225609574583</v>
      </c>
    </row>
    <row r="14894" customFormat="false" ht="15" hidden="false" customHeight="false" outlineLevel="0" collapsed="false">
      <c r="A14894" s="1" t="s">
        <v>974</v>
      </c>
      <c r="B14894" s="0" t="s">
        <v>98</v>
      </c>
      <c r="E14894" s="6" t="n">
        <f aca="false">Sens!E14892-Sens!E14893</f>
        <v>30.707</v>
      </c>
      <c r="F14894" s="6" t="n">
        <f aca="false">Sens!F14892-Sens!F14893</f>
        <v>7.17643904254167</v>
      </c>
      <c r="G14894" s="6" t="n">
        <f aca="false">Sens!G14892-Sens!G14893</f>
        <v>7.17643904254167</v>
      </c>
      <c r="H14894" s="6" t="n">
        <f aca="false">Sens!H14892-Sens!H14893</f>
        <v>45.6268319877705</v>
      </c>
      <c r="I14894" s="6" t="n">
        <f aca="false">Sens!I14892-Sens!I14893</f>
        <v>151.481280620533</v>
      </c>
      <c r="J14894" s="6" t="n">
        <f aca="false">Sens!J14892-Sens!J14893</f>
        <v>327.145373126797</v>
      </c>
      <c r="K14894" s="6" t="n">
        <f aca="false">Sens!K14892-Sens!K14893</f>
        <v>534.023601619709</v>
      </c>
    </row>
    <row r="14895" customFormat="false" ht="15" hidden="false" customHeight="false" outlineLevel="0" collapsed="false">
      <c r="A14895" s="1" t="s">
        <v>975</v>
      </c>
      <c r="B14895" s="0" t="s">
        <v>75</v>
      </c>
      <c r="F14895" s="29" t="n">
        <f aca="false">px*(1+bb_g)^(Sens!F14757-base_fy-mid_yr)</f>
        <v>553.494156066711</v>
      </c>
      <c r="G14895" s="29" t="n">
        <f aca="false">px*(1+bb_g)^(Sens!G14757-base_fy-mid_yr)</f>
        <v>597.773688552047</v>
      </c>
      <c r="H14895" s="29" t="n">
        <f aca="false">px*(1+bb_g)^(Sens!H14757-base_fy-mid_yr)</f>
        <v>645.595583636211</v>
      </c>
      <c r="I14895" s="29" t="n">
        <f aca="false">px*(1+bb_g)^(Sens!I14757-base_fy-mid_yr)</f>
        <v>697.243230327108</v>
      </c>
      <c r="J14895" s="29" t="n">
        <f aca="false">px*(1+bb_g)^(Sens!J14757-base_fy-mid_yr)</f>
        <v>753.022688753277</v>
      </c>
      <c r="K14895" s="29" t="n">
        <f aca="false">px*(1+bb_g)^(Sens!K14757-base_fy-mid_yr)</f>
        <v>813.264503853539</v>
      </c>
    </row>
    <row r="14896" customFormat="false" ht="15" hidden="false" customHeight="false" outlineLevel="0" collapsed="false">
      <c r="A14896" s="1" t="s">
        <v>976</v>
      </c>
      <c r="B14896" s="1" t="s">
        <v>81</v>
      </c>
      <c r="E14896" s="14" t="n">
        <f aca="false">sh_out26</f>
        <v>7.427</v>
      </c>
      <c r="F14896" s="14" t="n">
        <f aca="false">Sens!E14896+sh_iss-Sens!F14890/Sens!F14895</f>
        <v>7.472</v>
      </c>
      <c r="G14896" s="14" t="n">
        <f aca="false">Sens!F14896+sh_iss-Sens!G14890/Sens!G14895</f>
        <v>7.49637559247265</v>
      </c>
      <c r="H14896" s="14" t="n">
        <f aca="false">Sens!G14896+sh_iss-Sens!H14890/Sens!H14895</f>
        <v>7.50687876417256</v>
      </c>
      <c r="I14896" s="14" t="n">
        <f aca="false">Sens!H14896+sh_iss-Sens!I14890/Sens!I14895</f>
        <v>7.51993725648728</v>
      </c>
      <c r="J14896" s="14" t="n">
        <f aca="false">Sens!I14896+sh_iss-Sens!J14890/Sens!J14895</f>
        <v>7.53536178640832</v>
      </c>
      <c r="K14896" s="14" t="n">
        <f aca="false">Sens!J14896+sh_iss-Sens!K14890/Sens!K14895</f>
        <v>7.55297709189077</v>
      </c>
    </row>
    <row r="14897" customFormat="false" ht="15" hidden="false" customHeight="false" outlineLevel="0" collapsed="false">
      <c r="A14897" s="1" t="s">
        <v>977</v>
      </c>
      <c r="B14897" s="1" t="s">
        <v>81</v>
      </c>
      <c r="E14897" s="14" t="n">
        <f aca="false">sh_dil26</f>
        <v>7.453</v>
      </c>
      <c r="F14897" s="14" t="n">
        <f aca="false">(Sens!E14896+Sens!F14896)/2+dil_gap</f>
        <v>7.4735</v>
      </c>
      <c r="G14897" s="14" t="n">
        <f aca="false">(Sens!F14896+Sens!G14896)/2+dil_gap</f>
        <v>7.50818779623633</v>
      </c>
      <c r="H14897" s="14" t="n">
        <f aca="false">(Sens!G14896+Sens!H14896)/2+dil_gap</f>
        <v>7.5256271783226</v>
      </c>
      <c r="I14897" s="14" t="n">
        <f aca="false">(Sens!H14896+Sens!I14896)/2+dil_gap</f>
        <v>7.53740801032992</v>
      </c>
      <c r="J14897" s="14" t="n">
        <f aca="false">(Sens!I14896+Sens!J14896)/2+dil_gap</f>
        <v>7.5516495214478</v>
      </c>
      <c r="K14897" s="14" t="n">
        <f aca="false">(Sens!J14896+Sens!K14896)/2+dil_gap</f>
        <v>7.56816943914954</v>
      </c>
    </row>
    <row r="14898" customFormat="false" ht="17.15" hidden="false" customHeight="false" outlineLevel="0" collapsed="false">
      <c r="A14898" s="1" t="s">
        <v>978</v>
      </c>
      <c r="B14898" s="0" t="s">
        <v>98</v>
      </c>
      <c r="C14898" s="6" t="n">
        <f aca="false">SUM(Sens!F14888:J14888)</f>
        <v>375.58010128862</v>
      </c>
    </row>
    <row r="14899" customFormat="false" ht="15" hidden="false" customHeight="false" outlineLevel="0" collapsed="false">
      <c r="A14899" s="23" t="s">
        <v>945</v>
      </c>
      <c r="B14899" s="30" t="s">
        <v>98</v>
      </c>
      <c r="C14899" s="24" t="n">
        <f aca="false">Sens!$C$14898-(Sens!F14888+Sens!G14888+Sens!H14888+Sens!I14888+Sens!J14888)</f>
        <v>0</v>
      </c>
      <c r="D14899" s="30"/>
      <c r="E14899" s="30"/>
      <c r="F14899" s="30"/>
      <c r="G14899" s="30"/>
      <c r="H14899" s="30"/>
      <c r="I14899" s="30"/>
      <c r="J14899" s="30"/>
      <c r="K14899" s="30"/>
    </row>
    <row r="14900" customFormat="false" ht="17.15" hidden="false" customHeight="false" outlineLevel="0" collapsed="false">
      <c r="A14900" s="1" t="s">
        <v>939</v>
      </c>
      <c r="B14900" s="1" t="s">
        <v>979</v>
      </c>
      <c r="C14900" s="32" t="str">
        <f aca="false">IF(SUM(Sens!F14891:J14891)&gt;0.05,"需要舉債 "&amp;TEXT(SUM(Sens!F14891:J14891),"0.0")&amp;" 十億美元","不需舉債")&amp;"；"&amp;IF(SUM(Sens!F14890:J14890)&lt;COUNT(Sens!F14890:J14890)*bb_target-0.05,"回購較每年 "&amp;TEXT(bb_target,"0.0")&amp;" 的目標少 "&amp;TEXT(COUNT(Sens!F14890:J14890)*bb_target-SUM(Sens!F14890:J14890),"0.0")&amp;" 十億美元（"&amp;TEXT(COUNTIF(Sens!F14890:J14890,"&lt;"&amp;(bb_target-0.05)),"0")&amp;" 年減少）","回購不減")</f>
        <v>需要舉債 5.9 十億美元；回購較每年 22.3 的目標少 32.2 十億美元（2 年減少）</v>
      </c>
    </row>
    <row r="14901" customFormat="false" ht="17.15" hidden="false" customHeight="false" outlineLevel="0" collapsed="false">
      <c r="A14901" s="3" t="s">
        <v>1640</v>
      </c>
    </row>
    <row r="14902" customFormat="false" ht="15" hidden="false" customHeight="false" outlineLevel="0" collapsed="false">
      <c r="A14902" s="4" t="s">
        <v>43</v>
      </c>
      <c r="B14902" s="4" t="s">
        <v>65</v>
      </c>
      <c r="C14902" s="20" t="s">
        <v>799</v>
      </c>
      <c r="D14902" s="20" t="s">
        <v>800</v>
      </c>
      <c r="E14902" s="20" t="s">
        <v>801</v>
      </c>
      <c r="F14902" s="20" t="s">
        <v>802</v>
      </c>
      <c r="G14902" s="20" t="s">
        <v>803</v>
      </c>
      <c r="H14902" s="20" t="s">
        <v>804</v>
      </c>
      <c r="I14902" s="20" t="s">
        <v>805</v>
      </c>
      <c r="J14902" s="20" t="s">
        <v>806</v>
      </c>
      <c r="K14902" s="20" t="s">
        <v>807</v>
      </c>
      <c r="L14902" s="4" t="s">
        <v>47</v>
      </c>
    </row>
    <row r="14903" customFormat="false" ht="15" hidden="false" customHeight="false" outlineLevel="0" collapsed="false">
      <c r="A14903" s="1" t="s">
        <v>1057</v>
      </c>
      <c r="B14903" s="1" t="s">
        <v>235</v>
      </c>
      <c r="F14903" s="36" t="n">
        <f aca="false">Sens!F14757-base_fy-mid_yr</f>
        <v>0.5</v>
      </c>
      <c r="G14903" s="36" t="n">
        <f aca="false">Sens!G14757-base_fy-mid_yr</f>
        <v>1.5</v>
      </c>
      <c r="H14903" s="36" t="n">
        <f aca="false">Sens!H14757-base_fy-mid_yr</f>
        <v>2.5</v>
      </c>
      <c r="I14903" s="36" t="n">
        <f aca="false">Sens!I14757-base_fy-mid_yr</f>
        <v>3.5</v>
      </c>
      <c r="J14903" s="36" t="n">
        <f aca="false">Sens!J14757-base_fy-mid_yr</f>
        <v>4.5</v>
      </c>
      <c r="K14903" s="36" t="n">
        <f aca="false">Sens!K14757-base_fy-mid_yr</f>
        <v>5.5</v>
      </c>
    </row>
    <row r="14904" customFormat="false" ht="15" hidden="false" customHeight="false" outlineLevel="0" collapsed="false">
      <c r="A14904" s="1" t="s">
        <v>1058</v>
      </c>
      <c r="B14904" s="0" t="s">
        <v>185</v>
      </c>
      <c r="F14904" s="14" t="n">
        <f aca="false">1/(1+wacc)^Sens!F14903</f>
        <v>0.952193373608246</v>
      </c>
      <c r="G14904" s="14" t="n">
        <f aca="false">1/(1+wacc)^Sens!G14903</f>
        <v>0.863327280626589</v>
      </c>
      <c r="H14904" s="14" t="n">
        <f aca="false">1/(1+wacc)^Sens!H14903</f>
        <v>0.782754862754115</v>
      </c>
      <c r="I14904" s="14" t="n">
        <f aca="false">1/(1+wacc)^Sens!I14903</f>
        <v>0.709702089711011</v>
      </c>
      <c r="J14904" s="14" t="n">
        <f aca="false">1/(1+wacc)^Sens!J14903</f>
        <v>0.643467169744551</v>
      </c>
      <c r="K14904" s="14" t="n">
        <f aca="false">1/(1+wacc)^Sens!K14903</f>
        <v>0.583413807767797</v>
      </c>
    </row>
    <row r="14905" customFormat="false" ht="17.15" hidden="false" customHeight="false" outlineLevel="0" collapsed="false">
      <c r="A14905" s="1" t="s">
        <v>1059</v>
      </c>
      <c r="B14905" s="0" t="s">
        <v>98</v>
      </c>
      <c r="F14905" s="6" t="n">
        <f aca="false">Sens!F14878-Sens!F14876-Sens!F14882+Sens!F14861*(1-tax_f)</f>
        <v>-3.2623517926925</v>
      </c>
      <c r="G14905" s="6" t="n">
        <f aca="false">Sens!G14878-Sens!G14876-Sens!G14882+Sens!G14861*(1-tax_f)</f>
        <v>42.3457307383182</v>
      </c>
      <c r="H14905" s="6" t="n">
        <f aca="false">Sens!H14878-Sens!H14876-Sens!H14882+Sens!H14861*(1-tax_f)</f>
        <v>100.860675108283</v>
      </c>
      <c r="I14905" s="6" t="n">
        <f aca="false">Sens!I14878-Sens!I14876-Sens!I14882+Sens!I14861*(1-tax_f)</f>
        <v>178.848521329164</v>
      </c>
      <c r="J14905" s="6" t="n">
        <f aca="false">Sens!J14878-Sens!J14876-Sens!J14882+Sens!J14861*(1-tax_f)</f>
        <v>257.029467120872</v>
      </c>
      <c r="K14905" s="6" t="n">
        <f aca="false">Sens!K14878-Sens!K14876-Sens!K14882+Sens!K14861*(1-tax_f)</f>
        <v>293.759277240775</v>
      </c>
      <c r="L14905" s="1" t="s">
        <v>1060</v>
      </c>
    </row>
    <row r="14906" customFormat="false" ht="15" hidden="false" customHeight="false" outlineLevel="0" collapsed="false">
      <c r="A14906" s="1" t="s">
        <v>1061</v>
      </c>
      <c r="B14906" s="0" t="s">
        <v>98</v>
      </c>
      <c r="F14906" s="6" t="n">
        <f aca="false">Sens!F14905*Sens!F14904</f>
        <v>-3.10638975938078</v>
      </c>
      <c r="G14906" s="6" t="n">
        <f aca="false">Sens!G14905*Sens!G14904</f>
        <v>36.558224564458</v>
      </c>
      <c r="H14906" s="6" t="n">
        <f aca="false">Sens!H14905*Sens!H14904</f>
        <v>78.9491839016717</v>
      </c>
      <c r="I14906" s="6" t="n">
        <f aca="false">Sens!I14905*Sens!I14904</f>
        <v>126.929169329032</v>
      </c>
      <c r="J14906" s="6" t="n">
        <f aca="false">Sens!J14905*Sens!J14904</f>
        <v>165.390023749217</v>
      </c>
      <c r="K14906" s="6" t="n">
        <f aca="false">Sens!K14905*Sens!K14904</f>
        <v>171.383218502156</v>
      </c>
    </row>
    <row r="14907" customFormat="false" ht="17.15" hidden="false" customHeight="false" outlineLevel="0" collapsed="false">
      <c r="A14907" s="1" t="s">
        <v>1062</v>
      </c>
      <c r="B14907" s="0" t="s">
        <v>98</v>
      </c>
      <c r="C14907" s="6" t="n">
        <f aca="false">SUM(Sens!F14906:K14906)</f>
        <v>576.103430287155</v>
      </c>
    </row>
    <row r="14908" customFormat="false" ht="17.15" hidden="false" customHeight="false" outlineLevel="0" collapsed="false">
      <c r="A14908" s="1" t="s">
        <v>1063</v>
      </c>
      <c r="B14908" s="0" t="s">
        <v>98</v>
      </c>
      <c r="C14908" s="6" t="n">
        <f aca="false">Sens!K14847*(1+g_tv)*(1-tax_f)</f>
        <v>311.666347722753</v>
      </c>
    </row>
    <row r="14909" customFormat="false" ht="17.15" hidden="false" customHeight="false" outlineLevel="0" collapsed="false">
      <c r="A14909" s="1" t="s">
        <v>1064</v>
      </c>
      <c r="B14909" s="0" t="s">
        <v>98</v>
      </c>
      <c r="C14909" s="6" t="n">
        <f aca="false">Sens!$C$14908*(1-g_tv/(wacc+ronic_prem))</f>
        <v>220.831907471899</v>
      </c>
    </row>
    <row r="14910" customFormat="false" ht="17.15" hidden="false" customHeight="false" outlineLevel="0" collapsed="false">
      <c r="A14910" s="1" t="s">
        <v>1065</v>
      </c>
      <c r="B14910" s="0" t="s">
        <v>98</v>
      </c>
      <c r="C14910" s="6" t="n">
        <f aca="false">Sens!$C$14909/(wacc-g_tv)</f>
        <v>3027.81467502846</v>
      </c>
    </row>
    <row r="14911" customFormat="false" ht="15" hidden="false" customHeight="false" outlineLevel="0" collapsed="false">
      <c r="A14911" s="1" t="s">
        <v>1066</v>
      </c>
      <c r="B14911" s="0" t="s">
        <v>98</v>
      </c>
      <c r="C14911" s="6" t="n">
        <f aca="false">Sens!$C$14910/(1+wacc)^(Sens!K14903+mid_yr)</f>
        <v>1682.01997057531</v>
      </c>
    </row>
    <row r="14912" customFormat="false" ht="17.15" hidden="false" customHeight="false" outlineLevel="0" collapsed="false">
      <c r="A14912" s="0" t="s">
        <v>986</v>
      </c>
      <c r="B14912" s="0" t="s">
        <v>98</v>
      </c>
      <c r="C14912" s="6" t="n">
        <f aca="false">Sens!$C$14907+Sens!$C$14911</f>
        <v>2258.12340086246</v>
      </c>
    </row>
    <row r="14913" customFormat="false" ht="15" hidden="false" customHeight="false" outlineLevel="0" collapsed="false">
      <c r="A14913" s="1" t="s">
        <v>987</v>
      </c>
      <c r="B14913" s="0" t="s">
        <v>129</v>
      </c>
      <c r="C14913" s="7" t="n">
        <f aca="false">Sens!$C$14911/Sens!$C$14912</f>
        <v>0.744875133897856</v>
      </c>
    </row>
    <row r="14914" customFormat="false" ht="17.15" hidden="false" customHeight="false" outlineLevel="0" collapsed="false">
      <c r="A14914" s="1" t="s">
        <v>1067</v>
      </c>
      <c r="B14914" s="0" t="s">
        <v>98</v>
      </c>
      <c r="C14914" s="6" t="n">
        <f aca="false">Sens!$C$14912+Sens!E14894-Sens!E14883+oai_v</f>
        <v>2392.63640086246</v>
      </c>
    </row>
    <row r="14915" customFormat="false" ht="17.15" hidden="false" customHeight="false" outlineLevel="0" collapsed="false">
      <c r="A14915" s="0" t="s">
        <v>994</v>
      </c>
      <c r="B14915" s="0" t="s">
        <v>75</v>
      </c>
      <c r="C14915" s="5" t="n">
        <f aca="false">Sens!$C$14914/sh_dil26</f>
        <v>321.02997462263</v>
      </c>
    </row>
    <row r="14916" customFormat="false" ht="15" hidden="false" customHeight="false" outlineLevel="0" collapsed="false">
      <c r="A14916" s="1" t="s">
        <v>1068</v>
      </c>
      <c r="B14916" s="0" t="s">
        <v>75</v>
      </c>
      <c r="C14916" s="8" t="n">
        <f aca="false">dps_27+Sens!G14886*roll_div_q/q_per_yr</f>
        <v>4.8895</v>
      </c>
    </row>
    <row r="14917" customFormat="false" ht="17.15" hidden="false" customHeight="false" outlineLevel="0" collapsed="false">
      <c r="A14917" s="0" t="s">
        <v>1069</v>
      </c>
      <c r="B14917" s="0" t="s">
        <v>75</v>
      </c>
      <c r="C14917" s="5" t="n">
        <f aca="false">Sens!$C$14915*(1+wacc)^t_roll-Sens!$C$14916</f>
        <v>360.678051141391</v>
      </c>
    </row>
    <row r="14918" customFormat="false" ht="17.15" hidden="false" customHeight="false" outlineLevel="0" collapsed="false">
      <c r="A14918" s="1" t="s">
        <v>1070</v>
      </c>
      <c r="B14918" s="0" t="s">
        <v>129</v>
      </c>
      <c r="F14918" s="7" t="n">
        <f aca="false">Sens!F14873/(Sens!F14818-Sens!F14774)</f>
        <v>0.0705303854989974</v>
      </c>
      <c r="G14918" s="7" t="n">
        <f aca="false">Sens!G14873/(Sens!G14818-Sens!G14774)</f>
        <v>0.0669153011130541</v>
      </c>
      <c r="H14918" s="7" t="n">
        <f aca="false">Sens!H14873/(Sens!H14818-Sens!H14774)</f>
        <v>0.0648963302688647</v>
      </c>
      <c r="I14918" s="7" t="n">
        <f aca="false">Sens!I14873/(Sens!I14818-Sens!I14774)</f>
        <v>0.0643411219550834</v>
      </c>
      <c r="J14918" s="7" t="n">
        <f aca="false">Sens!J14873/(Sens!J14818-Sens!J14774)</f>
        <v>0.0648740961982593</v>
      </c>
      <c r="K14918" s="7" t="n">
        <f aca="false">Sens!K14873/(Sens!K14818-Sens!K14774)</f>
        <v>0.0660244723636577</v>
      </c>
    </row>
    <row r="14919" customFormat="false" ht="17.15" hidden="false" customHeight="false" outlineLevel="0" collapsed="false">
      <c r="A14919" s="0" t="s">
        <v>1071</v>
      </c>
      <c r="B14919" s="0" t="s">
        <v>98</v>
      </c>
      <c r="F14919" s="6" t="n">
        <f aca="false">Sens!F14803*(al_m365+Sens!F14918+sbc_r)</f>
        <v>85.2273329859862</v>
      </c>
      <c r="G14919" s="6" t="n">
        <f aca="false">Sens!G14803*(al_m365+Sens!G14918+sbc_r)</f>
        <v>99.6892587904979</v>
      </c>
      <c r="H14919" s="6" t="n">
        <f aca="false">Sens!H14803*(al_m365+Sens!H14918+sbc_r)</f>
        <v>114.315107566414</v>
      </c>
      <c r="I14919" s="6" t="n">
        <f aca="false">Sens!I14803*(al_m365+Sens!I14918+sbc_r)</f>
        <v>127.42181750834</v>
      </c>
      <c r="J14919" s="6" t="n">
        <f aca="false">Sens!J14803*(al_m365+Sens!J14918+sbc_r)</f>
        <v>138.823999012523</v>
      </c>
      <c r="K14919" s="6" t="n">
        <f aca="false">Sens!K14803*(al_m365+Sens!K14918+sbc_r)</f>
        <v>149.845393216552</v>
      </c>
      <c r="L14919" s="11" t="s">
        <v>1072</v>
      </c>
    </row>
    <row r="14920" customFormat="false" ht="17.15" hidden="false" customHeight="false" outlineLevel="0" collapsed="false">
      <c r="A14920" s="0" t="s">
        <v>1073</v>
      </c>
      <c r="B14920" s="0" t="s">
        <v>98</v>
      </c>
      <c r="F14920" s="6" t="n">
        <f aca="false">Sens!F14804*(al_lic+Sens!F14918+sbc_r)</f>
        <v>33.5204472060294</v>
      </c>
      <c r="G14920" s="6" t="n">
        <f aca="false">Sens!G14804*(al_lic+Sens!G14918+sbc_r)</f>
        <v>34.7926166862242</v>
      </c>
      <c r="H14920" s="6" t="n">
        <f aca="false">Sens!H14804*(al_lic+Sens!H14918+sbc_r)</f>
        <v>35.9862829687409</v>
      </c>
      <c r="I14920" s="6" t="n">
        <f aca="false">Sens!I14804*(al_lic+Sens!I14918+sbc_r)</f>
        <v>37.0838788899664</v>
      </c>
      <c r="J14920" s="6" t="n">
        <f aca="false">Sens!J14804*(al_lic+Sens!J14918+sbc_r)</f>
        <v>38.0565090086839</v>
      </c>
      <c r="K14920" s="6" t="n">
        <f aca="false">Sens!K14804*(al_lic+Sens!K14918+sbc_r)</f>
        <v>38.8700352425884</v>
      </c>
    </row>
    <row r="14921" customFormat="false" ht="17.15" hidden="false" customHeight="false" outlineLevel="0" collapsed="false">
      <c r="A14921" s="0" t="s">
        <v>1074</v>
      </c>
      <c r="B14921" s="0" t="s">
        <v>98</v>
      </c>
      <c r="F14921" s="6" t="n">
        <f aca="false">Sens!F14806*(al_ind+Sens!F14918+sbc_r)</f>
        <v>9.11980018094294</v>
      </c>
      <c r="G14921" s="6" t="n">
        <f aca="false">Sens!G14806*(al_ind+Sens!G14918+sbc_r)</f>
        <v>9.88072195697034</v>
      </c>
      <c r="H14921" s="6" t="n">
        <f aca="false">Sens!H14806*(al_ind+Sens!H14918+sbc_r)</f>
        <v>10.6900815637922</v>
      </c>
      <c r="I14921" s="6" t="n">
        <f aca="false">Sens!I14806*(al_ind+Sens!I14918+sbc_r)</f>
        <v>11.5460282347577</v>
      </c>
      <c r="J14921" s="6" t="n">
        <f aca="false">Sens!J14806*(al_ind+Sens!J14918+sbc_r)</f>
        <v>12.4374767512513</v>
      </c>
      <c r="K14921" s="6" t="n">
        <f aca="false">Sens!K14806*(al_ind+Sens!K14918+sbc_r)</f>
        <v>13.3461587114563</v>
      </c>
    </row>
    <row r="14922" customFormat="false" ht="17.15" hidden="false" customHeight="false" outlineLevel="0" collapsed="false">
      <c r="A14922" s="0" t="s">
        <v>1075</v>
      </c>
      <c r="B14922" s="0" t="s">
        <v>98</v>
      </c>
      <c r="F14922" s="6" t="n">
        <f aca="false">Sens!F14808*(al_fro+Sens!F14918+sbc_r)</f>
        <v>3.58958536902212</v>
      </c>
      <c r="G14922" s="6" t="n">
        <f aca="false">Sens!G14808*(al_fro+Sens!G14918+sbc_r)</f>
        <v>3.79361306665995</v>
      </c>
      <c r="H14922" s="6" t="n">
        <f aca="false">Sens!H14808*(al_fro+Sens!H14918+sbc_r)</f>
        <v>4.02838862857902</v>
      </c>
      <c r="I14922" s="6" t="n">
        <f aca="false">Sens!I14808*(al_fro+Sens!I14918+sbc_r)</f>
        <v>4.29696179134221</v>
      </c>
      <c r="J14922" s="6" t="n">
        <f aca="false">Sens!J14808*(al_fro+Sens!J14918+sbc_r)</f>
        <v>4.59985687395741</v>
      </c>
      <c r="K14922" s="6" t="n">
        <f aca="false">Sens!K14808*(al_fro+Sens!K14918+sbc_r)</f>
        <v>4.93592238342414</v>
      </c>
    </row>
    <row r="14923" customFormat="false" ht="17.15" hidden="false" customHeight="false" outlineLevel="0" collapsed="false">
      <c r="A14923" s="0" t="s">
        <v>1076</v>
      </c>
      <c r="B14923" s="0" t="s">
        <v>98</v>
      </c>
      <c r="F14923" s="6" t="n">
        <f aca="false">Sens!F14811*(al_srch+Sens!F14918+sbc_r)</f>
        <v>11.2630849868114</v>
      </c>
      <c r="G14923" s="6" t="n">
        <f aca="false">Sens!G14811*(al_srch+Sens!G14918+sbc_r)</f>
        <v>12.3179728600437</v>
      </c>
      <c r="H14923" s="6" t="n">
        <f aca="false">Sens!H14811*(al_srch+Sens!H14918+sbc_r)</f>
        <v>13.4217853035424</v>
      </c>
      <c r="I14923" s="6" t="n">
        <f aca="false">Sens!I14811*(al_srch+Sens!I14918+sbc_r)</f>
        <v>14.565578354966</v>
      </c>
      <c r="J14923" s="6" t="n">
        <f aca="false">Sens!J14811*(al_srch+Sens!J14918+sbc_r)</f>
        <v>15.7277683722803</v>
      </c>
      <c r="K14923" s="6" t="n">
        <f aca="false">Sens!K14811*(al_srch+Sens!K14918+sbc_r)</f>
        <v>16.87683901418</v>
      </c>
    </row>
    <row r="14924" customFormat="false" ht="17.15" hidden="false" customHeight="false" outlineLevel="0" collapsed="false">
      <c r="A14924" s="0" t="s">
        <v>1077</v>
      </c>
      <c r="B14924" s="0" t="s">
        <v>98</v>
      </c>
      <c r="F14924" s="6" t="n">
        <f aca="false">Sens!F14780-Sens!F14781+Sens!F14861</f>
        <v>39.9375082169305</v>
      </c>
      <c r="G14924" s="6" t="n">
        <f aca="false">Sens!G14780-Sens!G14781+Sens!G14861</f>
        <v>83.7409750631345</v>
      </c>
      <c r="H14924" s="6" t="n">
        <f aca="false">Sens!H14780-Sens!H14781+Sens!H14861</f>
        <v>135.274092924572</v>
      </c>
      <c r="I14924" s="6" t="n">
        <f aca="false">Sens!I14780-Sens!I14781+Sens!I14861</f>
        <v>176.592545307527</v>
      </c>
      <c r="J14924" s="6" t="n">
        <f aca="false">Sens!J14780-Sens!J14781+Sens!J14861</f>
        <v>206.064985071309</v>
      </c>
      <c r="K14924" s="6" t="n">
        <f aca="false">Sens!K14780-Sens!K14781+Sens!K14861</f>
        <v>224.709181111332</v>
      </c>
    </row>
    <row r="14925" customFormat="false" ht="17.15" hidden="false" customHeight="false" outlineLevel="0" collapsed="false">
      <c r="A14925" s="0" t="s">
        <v>1078</v>
      </c>
      <c r="B14925" s="0" t="s">
        <v>98</v>
      </c>
      <c r="F14925" s="6" t="n">
        <f aca="false">Sens!F14840+Sens!F14861+Sens!F14791+Sens!F14918*(Sens!F14810-Sens!F14774)+sbc_r*Sens!F14810</f>
        <v>231.879232797622</v>
      </c>
      <c r="G14925" s="6" t="n">
        <f aca="false">Sens!G14840+Sens!G14861+Sens!G14791+Sens!G14918*(Sens!G14810-Sens!G14774)+sbc_r*Sens!G14810</f>
        <v>304.98755447</v>
      </c>
      <c r="H14925" s="6" t="n">
        <f aca="false">Sens!H14840+Sens!H14861+Sens!H14791+Sens!H14918*(Sens!H14810-Sens!H14774)+sbc_r*Sens!H14810</f>
        <v>386.524975093018</v>
      </c>
      <c r="I14925" s="6" t="n">
        <f aca="false">Sens!I14840+Sens!I14861+Sens!I14791+Sens!I14918*(Sens!I14810-Sens!I14774)+sbc_r*Sens!I14810</f>
        <v>455.772472645068</v>
      </c>
      <c r="J14925" s="6" t="n">
        <f aca="false">Sens!J14840+Sens!J14861+Sens!J14791+Sens!J14918*(Sens!J14810-Sens!J14774)+sbc_r*Sens!J14810</f>
        <v>510.218699903028</v>
      </c>
      <c r="K14925" s="6" t="n">
        <f aca="false">Sens!K14840+Sens!K14861+Sens!K14791+Sens!K14918*(Sens!K14810-Sens!K14774)+sbc_r*Sens!K14810</f>
        <v>551.43950807666</v>
      </c>
    </row>
    <row r="14926" customFormat="false" ht="17.15" hidden="false" customHeight="false" outlineLevel="0" collapsed="false">
      <c r="A14926" s="0" t="s">
        <v>1079</v>
      </c>
      <c r="B14926" s="0" t="s">
        <v>98</v>
      </c>
      <c r="F14926" s="6" t="n">
        <f aca="false">Sens!F14925-Sens!F14919-Sens!F14920-Sens!F14921-Sens!F14922-Sens!F14924</f>
        <v>60.4845588387112</v>
      </c>
      <c r="G14926" s="6" t="n">
        <f aca="false">Sens!G14925-Sens!G14919-Sens!G14920-Sens!G14921-Sens!G14922-Sens!G14924</f>
        <v>73.090368906513</v>
      </c>
      <c r="H14926" s="6" t="n">
        <f aca="false">Sens!H14925-Sens!H14919-Sens!H14920-Sens!H14921-Sens!H14922-Sens!H14924</f>
        <v>86.23102144092</v>
      </c>
      <c r="I14926" s="6" t="n">
        <f aca="false">Sens!I14925-Sens!I14919-Sens!I14920-Sens!I14921-Sens!I14922-Sens!I14924</f>
        <v>98.8312409131348</v>
      </c>
      <c r="J14926" s="6" t="n">
        <f aca="false">Sens!J14925-Sens!J14919-Sens!J14920-Sens!J14921-Sens!J14922-Sens!J14924</f>
        <v>110.235873185303</v>
      </c>
      <c r="K14926" s="6" t="n">
        <f aca="false">Sens!K14925-Sens!K14919-Sens!K14920-Sens!K14921-Sens!K14922-Sens!K14924</f>
        <v>119.732817411307</v>
      </c>
    </row>
    <row r="14927" customFormat="false" ht="17.15" hidden="false" customHeight="false" outlineLevel="0" collapsed="false">
      <c r="A14927" s="0" t="s">
        <v>1080</v>
      </c>
      <c r="B14927" s="0" t="s">
        <v>98</v>
      </c>
      <c r="F14927" s="6" t="n">
        <f aca="false">Sens!F14842+Sens!F14918*Sens!F14817+sbc_r*Sens!F14817</f>
        <v>26.3250729833002</v>
      </c>
      <c r="G14927" s="6" t="n">
        <f aca="false">Sens!G14842+Sens!G14918*Sens!G14817+sbc_r*Sens!G14817</f>
        <v>26.8840979798844</v>
      </c>
      <c r="H14927" s="6" t="n">
        <f aca="false">Sens!H14842+Sens!H14918*Sens!H14817+sbc_r*Sens!H14817</f>
        <v>27.7254420104725</v>
      </c>
      <c r="I14927" s="6" t="n">
        <f aca="false">Sens!I14842+Sens!I14918*Sens!I14817+sbc_r*Sens!I14817</f>
        <v>28.8195303030026</v>
      </c>
      <c r="J14927" s="6" t="n">
        <f aca="false">Sens!J14842+Sens!J14918*Sens!J14817+sbc_r*Sens!J14817</f>
        <v>30.1256822206383</v>
      </c>
      <c r="K14927" s="6" t="n">
        <f aca="false">Sens!K14842+Sens!K14918*Sens!K14817+sbc_r*Sens!K14817</f>
        <v>31.5981329181227</v>
      </c>
    </row>
    <row r="14928" customFormat="false" ht="17.15" hidden="false" customHeight="false" outlineLevel="0" collapsed="false">
      <c r="A14928" s="0" t="s">
        <v>1081</v>
      </c>
      <c r="B14928" s="0" t="s">
        <v>98</v>
      </c>
      <c r="F14928" s="6" t="n">
        <f aca="false">(Sens!F14927-Sens!F14923)*Sens!F14813/(Sens!F14813+Sens!F14815)</f>
        <v>8.25683511803782</v>
      </c>
      <c r="G14928" s="6" t="n">
        <f aca="false">(Sens!G14927-Sens!G14923)*Sens!G14813/(Sens!G14813+Sens!G14815)</f>
        <v>7.84263572934781</v>
      </c>
      <c r="H14928" s="6" t="n">
        <f aca="false">(Sens!H14927-Sens!H14923)*Sens!H14813/(Sens!H14813+Sens!H14815)</f>
        <v>7.59728657715786</v>
      </c>
      <c r="I14928" s="6" t="n">
        <f aca="false">(Sens!I14927-Sens!I14923)*Sens!I14813/(Sens!I14813+Sens!I14815)</f>
        <v>7.50238476920254</v>
      </c>
      <c r="J14928" s="6" t="n">
        <f aca="false">(Sens!J14927-Sens!J14923)*Sens!J14813/(Sens!J14813+Sens!J14815)</f>
        <v>7.54388912124533</v>
      </c>
      <c r="K14928" s="6" t="n">
        <f aca="false">(Sens!K14927-Sens!K14923)*Sens!K14813/(Sens!K14813+Sens!K14815)</f>
        <v>7.71332639591206</v>
      </c>
    </row>
    <row r="14929" customFormat="false" ht="17.15" hidden="false" customHeight="false" outlineLevel="0" collapsed="false">
      <c r="A14929" s="0" t="s">
        <v>1082</v>
      </c>
      <c r="B14929" s="0" t="s">
        <v>98</v>
      </c>
      <c r="F14929" s="6" t="n">
        <f aca="false">Sens!F14927-Sens!F14923-Sens!F14928</f>
        <v>6.80515287845105</v>
      </c>
      <c r="G14929" s="6" t="n">
        <f aca="false">Sens!G14927-Sens!G14923-Sens!G14928</f>
        <v>6.72348939049287</v>
      </c>
      <c r="H14929" s="6" t="n">
        <f aca="false">Sens!H14927-Sens!H14923-Sens!H14928</f>
        <v>6.70637012977225</v>
      </c>
      <c r="I14929" s="6" t="n">
        <f aca="false">Sens!I14927-Sens!I14923-Sens!I14928</f>
        <v>6.75156717883416</v>
      </c>
      <c r="J14929" s="6" t="n">
        <f aca="false">Sens!J14927-Sens!J14923-Sens!J14928</f>
        <v>6.85402472711273</v>
      </c>
      <c r="K14929" s="6" t="n">
        <f aca="false">Sens!K14927-Sens!K14923-Sens!K14928</f>
        <v>7.00796750803058</v>
      </c>
    </row>
    <row r="14930" customFormat="false" ht="17.15" hidden="false" customHeight="false" outlineLevel="0" collapsed="false">
      <c r="A14930" s="0" t="s">
        <v>1083</v>
      </c>
      <c r="B14930" s="0" t="s">
        <v>98</v>
      </c>
      <c r="F14930" s="6" t="n">
        <f aca="false">Sens!F14924-tax_f*(Sens!F14924-Sens!F14791)-Sens!F14788</f>
        <v>-121.572891821731</v>
      </c>
      <c r="G14930" s="6" t="n">
        <f aca="false">Sens!G14924-tax_f*(Sens!G14924-Sens!G14791)-Sens!G14788</f>
        <v>-104.75631301059</v>
      </c>
      <c r="H14930" s="6" t="n">
        <f aca="false">Sens!H14924-tax_f*(Sens!H14924-Sens!H14791)-Sens!H14788</f>
        <v>-62.5888076020802</v>
      </c>
      <c r="I14930" s="6" t="n">
        <f aca="false">Sens!I14924-tax_f*(Sens!I14924-Sens!I14791)-Sens!I14788</f>
        <v>-0.311484141744899</v>
      </c>
      <c r="J14930" s="6" t="n">
        <f aca="false">Sens!J14924-tax_f*(Sens!J14924-Sens!J14791)-Sens!J14788</f>
        <v>63.2702160333741</v>
      </c>
      <c r="K14930" s="6" t="n">
        <f aca="false">Sens!K14924-tax_f*(Sens!K14924-Sens!K14791)-Sens!K14788</f>
        <v>86.1862223943363</v>
      </c>
    </row>
    <row r="14931" customFormat="false" ht="17.15" hidden="false" customHeight="false" outlineLevel="0" collapsed="false">
      <c r="A14931" s="0" t="s">
        <v>1084</v>
      </c>
      <c r="B14931" s="0" t="s">
        <v>98</v>
      </c>
      <c r="G14931" s="6" t="n">
        <f aca="false">Sens!G14930/(1+wacc)^(Sens!G14903-(Sens!F14903+mid_yr))</f>
        <v>-99.7482670923153</v>
      </c>
      <c r="H14931" s="6" t="n">
        <f aca="false">Sens!H14930/(1+wacc)^(Sens!H14903-(Sens!F14903+mid_yr))</f>
        <v>-54.0346250647646</v>
      </c>
      <c r="I14931" s="6" t="n">
        <f aca="false">Sens!I14930/(1+wacc)^(Sens!I14903-(Sens!F14903+mid_yr))</f>
        <v>-0.243815726621612</v>
      </c>
      <c r="J14931" s="6" t="n">
        <f aca="false">Sens!J14930/(1+wacc)^(Sens!J14903-(Sens!F14903+mid_yr))</f>
        <v>44.9030045353527</v>
      </c>
      <c r="K14931" s="6" t="n">
        <f aca="false">Sens!K14930/(1+wacc)^(Sens!K14903-(Sens!F14903+mid_yr))</f>
        <v>55.4580045950581</v>
      </c>
      <c r="L14931" s="1" t="s">
        <v>1085</v>
      </c>
    </row>
    <row r="14932" customFormat="false" ht="17.15" hidden="false" customHeight="false" outlineLevel="0" collapsed="false">
      <c r="A14932" s="0" t="s">
        <v>1086</v>
      </c>
      <c r="B14932" s="0" t="s">
        <v>98</v>
      </c>
      <c r="C14932" s="6" t="n">
        <f aca="false">(Sens!K14924-Sens!K14791)*(1-tax_f)*(1+g_tv)*(1-g_tv/(wacc+ronic_prem))/(wacc-g_tv)/(1+wacc)^(Sens!K14903+mid_yr-(Sens!F14903+mid_yr))</f>
        <v>419.738527740937</v>
      </c>
    </row>
    <row r="14933" customFormat="false" ht="17.15" hidden="false" customHeight="false" outlineLevel="0" collapsed="false">
      <c r="A14933" s="1" t="s">
        <v>1087</v>
      </c>
      <c r="B14933" s="0" t="s">
        <v>98</v>
      </c>
      <c r="C14933" s="6" t="n">
        <f aca="false">(SUM(Sens!G14931:K14931)+Sens!$C$14932)*(1+wacc)^(t_roll-(Sens!F14903+mid_yr))</f>
        <v>377.954795654376</v>
      </c>
      <c r="L14933" s="11" t="s">
        <v>1088</v>
      </c>
    </row>
    <row r="14934" customFormat="false" ht="17.15" hidden="false" customHeight="false" outlineLevel="0" collapsed="false">
      <c r="A14934" s="1" t="s">
        <v>1089</v>
      </c>
      <c r="B14934" s="0" t="s">
        <v>98</v>
      </c>
      <c r="C14934" s="6" t="n">
        <f aca="false">(w_ntm28*Sens!G14780+(1-w_ntm28)*Sens!H14780)*m_ai</f>
        <v>551.711134531404</v>
      </c>
    </row>
    <row r="14935" customFormat="false" ht="17.15" hidden="false" customHeight="false" outlineLevel="0" collapsed="false">
      <c r="A14935" s="1" t="s">
        <v>1090</v>
      </c>
      <c r="B14935" s="0" t="s">
        <v>98</v>
      </c>
      <c r="C14935" s="6" t="n">
        <f aca="false">(w_ntm28*Sens!G14926+(1-w_ntm28)*Sens!H14926)*m_cloud</f>
        <v>1068.81917370447</v>
      </c>
    </row>
    <row r="14936" customFormat="false" ht="17.15" hidden="false" customHeight="false" outlineLevel="0" collapsed="false">
      <c r="A14936" s="1" t="s">
        <v>1091</v>
      </c>
      <c r="B14936" s="0" t="s">
        <v>98</v>
      </c>
      <c r="C14936" s="6" t="n">
        <f aca="false">(w_ntm28*Sens!G14919+(1-w_ntm28)*Sens!H14919)*m_sw</f>
        <v>1127.71024611553</v>
      </c>
    </row>
    <row r="14937" customFormat="false" ht="17.15" hidden="false" customHeight="false" outlineLevel="0" collapsed="false">
      <c r="A14937" s="1" t="s">
        <v>1092</v>
      </c>
      <c r="B14937" s="0" t="s">
        <v>98</v>
      </c>
      <c r="C14937" s="6" t="n">
        <f aca="false">(w_ntm28*Sens!G14920+(1-w_ntm28)*Sens!H14920)*m_sw</f>
        <v>379.927954212425</v>
      </c>
    </row>
    <row r="14938" customFormat="false" ht="17.15" hidden="false" customHeight="false" outlineLevel="0" collapsed="false">
      <c r="A14938" s="1" t="s">
        <v>1093</v>
      </c>
      <c r="B14938" s="0" t="s">
        <v>98</v>
      </c>
      <c r="C14938" s="6" t="n">
        <f aca="false">(w_ntm28*Sens!G14921+(1-w_ntm28)*Sens!H14921)*m_sw</f>
        <v>109.537681746057</v>
      </c>
    </row>
    <row r="14939" customFormat="false" ht="17.15" hidden="false" customHeight="false" outlineLevel="0" collapsed="false">
      <c r="A14939" s="1" t="s">
        <v>1094</v>
      </c>
      <c r="B14939" s="0" t="s">
        <v>98</v>
      </c>
      <c r="C14939" s="6" t="n">
        <f aca="false">(w_ntm28*Sens!G14922+(1-w_ntm28)*Sens!H14922)*m_sw</f>
        <v>41.7907416024197</v>
      </c>
    </row>
    <row r="14940" customFormat="false" ht="17.15" hidden="false" customHeight="false" outlineLevel="0" collapsed="false">
      <c r="A14940" s="1" t="s">
        <v>1095</v>
      </c>
      <c r="B14940" s="0" t="s">
        <v>98</v>
      </c>
      <c r="C14940" s="6" t="n">
        <f aca="false">(w_ntm28*Sens!G14923+(1-w_ntm28)*Sens!H14923)*m_ads</f>
        <v>115.467626729004</v>
      </c>
    </row>
    <row r="14941" customFormat="false" ht="17.15" hidden="false" customHeight="false" outlineLevel="0" collapsed="false">
      <c r="A14941" s="1" t="s">
        <v>1096</v>
      </c>
      <c r="B14941" s="0" t="s">
        <v>98</v>
      </c>
      <c r="C14941" s="6" t="n">
        <f aca="false">(w_ntm28*Sens!G14928+(1-w_ntm28)*Sens!H14928)*m_game</f>
        <v>98.0506984247457</v>
      </c>
    </row>
    <row r="14942" customFormat="false" ht="17.15" hidden="false" customHeight="false" outlineLevel="0" collapsed="false">
      <c r="A14942" s="1" t="s">
        <v>1097</v>
      </c>
      <c r="B14942" s="0" t="s">
        <v>98</v>
      </c>
      <c r="C14942" s="6" t="n">
        <f aca="false">(w_ntm28*Sens!G14929+(1-w_ntm28)*Sens!H14929)*m_pc</f>
        <v>97.2088080478016</v>
      </c>
    </row>
    <row r="14943" customFormat="false" ht="17.15" hidden="false" customHeight="false" outlineLevel="0" collapsed="false">
      <c r="A14943" s="1" t="s">
        <v>1098</v>
      </c>
      <c r="B14943" s="0" t="s">
        <v>98</v>
      </c>
      <c r="C14943" s="6" t="n">
        <f aca="false">Sens!$C$14933+Sens!$C$14935+Sens!$C$14936+Sens!$C$14937+Sens!$C$14938+Sens!$C$14939+Sens!$C$14940+Sens!$C$14941+Sens!$C$14942</f>
        <v>3416.46772623684</v>
      </c>
    </row>
    <row r="14944" customFormat="false" ht="17.15" hidden="false" customHeight="false" outlineLevel="0" collapsed="false">
      <c r="A14944" s="1" t="s">
        <v>1099</v>
      </c>
      <c r="B14944" s="0" t="s">
        <v>98</v>
      </c>
      <c r="C14944" s="6" t="n">
        <f aca="false">(Sens!G14905-Sens!G14930)*t_stub</f>
        <v>47.9592964551235</v>
      </c>
      <c r="L14944" s="1" t="s">
        <v>1100</v>
      </c>
    </row>
    <row r="14945" customFormat="false" ht="17.15" hidden="false" customHeight="false" outlineLevel="0" collapsed="false">
      <c r="A14945" s="1" t="s">
        <v>1014</v>
      </c>
      <c r="B14945" s="0" t="s">
        <v>98</v>
      </c>
      <c r="C14945" s="6" t="n">
        <f aca="false">Sens!F14894+oai_v-Sens!F14883+Sens!$C$14944</f>
        <v>163.066005497665</v>
      </c>
      <c r="L14945" s="1" t="s">
        <v>1101</v>
      </c>
    </row>
    <row r="14946" customFormat="false" ht="17.15" hidden="false" customHeight="false" outlineLevel="0" collapsed="false">
      <c r="A14946" s="1" t="s">
        <v>1102</v>
      </c>
      <c r="B14946" s="0" t="s">
        <v>75</v>
      </c>
      <c r="C14946" s="5" t="n">
        <f aca="false">(Sens!$C$14943+Sens!$C$14945)/(Sens!F14896+dil_gap)-Sens!G14886*roll_div_q/q_per_yr</f>
        <v>476.486344681764</v>
      </c>
      <c r="L14946" s="1" t="s">
        <v>1103</v>
      </c>
    </row>
    <row r="14947" customFormat="false" ht="17.15" hidden="false" customHeight="false" outlineLevel="0" collapsed="false">
      <c r="A14947" s="1" t="s">
        <v>1104</v>
      </c>
      <c r="B14947" s="0" t="s">
        <v>75</v>
      </c>
      <c r="C14947" s="5" t="n">
        <f aca="false">w_dcf*Sens!$C$14917+(1-w_dcf)*Sens!$C$14946</f>
        <v>418.582197911578</v>
      </c>
    </row>
    <row r="14948" customFormat="false" ht="17.15" hidden="false" customHeight="false" outlineLevel="0" collapsed="false">
      <c r="A14948" s="3" t="s">
        <v>1641</v>
      </c>
    </row>
    <row r="14949" customFormat="false" ht="15" hidden="false" customHeight="false" outlineLevel="0" collapsed="false">
      <c r="A14949" s="4" t="s">
        <v>43</v>
      </c>
      <c r="B14949" s="4" t="s">
        <v>65</v>
      </c>
      <c r="C14949" s="20" t="s">
        <v>799</v>
      </c>
      <c r="D14949" s="20" t="s">
        <v>800</v>
      </c>
      <c r="E14949" s="20" t="s">
        <v>801</v>
      </c>
      <c r="F14949" s="20" t="s">
        <v>802</v>
      </c>
      <c r="G14949" s="20" t="s">
        <v>803</v>
      </c>
      <c r="H14949" s="20" t="s">
        <v>804</v>
      </c>
      <c r="I14949" s="20" t="s">
        <v>805</v>
      </c>
      <c r="J14949" s="20" t="s">
        <v>806</v>
      </c>
      <c r="K14949" s="20" t="s">
        <v>807</v>
      </c>
      <c r="L14949" s="4" t="s">
        <v>47</v>
      </c>
    </row>
    <row r="14950" customFormat="false" ht="17.15" hidden="false" customHeight="false" outlineLevel="0" collapsed="false">
      <c r="A14950" s="1" t="s">
        <v>808</v>
      </c>
      <c r="B14950" s="1" t="s">
        <v>235</v>
      </c>
      <c r="C14950" s="28" t="n">
        <v>2024</v>
      </c>
      <c r="D14950" s="28" t="n">
        <v>2025</v>
      </c>
      <c r="E14950" s="28" t="n">
        <v>2026</v>
      </c>
      <c r="F14950" s="28" t="n">
        <v>2027</v>
      </c>
      <c r="G14950" s="28" t="n">
        <v>2028</v>
      </c>
      <c r="H14950" s="28" t="n">
        <v>2029</v>
      </c>
      <c r="I14950" s="28" t="n">
        <v>2030</v>
      </c>
      <c r="J14950" s="28" t="n">
        <v>2031</v>
      </c>
      <c r="K14950" s="28" t="n">
        <v>2032</v>
      </c>
    </row>
    <row r="14951" customFormat="false" ht="17.15" hidden="false" customHeight="false" outlineLevel="0" collapsed="false">
      <c r="A14951" s="1" t="s">
        <v>809</v>
      </c>
      <c r="B14951" s="0" t="s">
        <v>399</v>
      </c>
      <c r="F14951" s="29" t="n">
        <f aca="false">pace</f>
        <v>2527.2</v>
      </c>
      <c r="G14951" s="29" t="n">
        <f aca="false">pace</f>
        <v>2527.2</v>
      </c>
      <c r="H14951" s="29" t="n">
        <f aca="false">pace</f>
        <v>2527.2</v>
      </c>
      <c r="I14951" s="29" t="n">
        <f aca="false">pace+(g_tv*Sens!H14952-pace)*MIN(1,(Sens!I14950-pace_y0)/(pace_y1-pace_y0))</f>
        <v>1793.116</v>
      </c>
      <c r="J14951" s="29" t="n">
        <f aca="false">pace+(g_tv*Sens!I14952-pace)*MIN(1,(Sens!J14950-pace_y0)/(pace_y1-pace_y0))</f>
        <v>1094.89432</v>
      </c>
      <c r="K14951" s="29" t="n">
        <f aca="false">pace+(g_tv*Sens!J14952-pace)*MIN(1,(Sens!K14950-pace_y0)/(pace_y1-pace_y0))</f>
        <v>411.5883096</v>
      </c>
      <c r="L14951" s="11" t="s">
        <v>810</v>
      </c>
    </row>
    <row r="14952" customFormat="false" ht="17.15" hidden="false" customHeight="false" outlineLevel="0" collapsed="false">
      <c r="A14952" s="1" t="s">
        <v>811</v>
      </c>
      <c r="B14952" s="0" t="s">
        <v>399</v>
      </c>
      <c r="C14952" s="29" t="n">
        <f aca="false">mw_ext_24</f>
        <v>640</v>
      </c>
      <c r="D14952" s="29" t="n">
        <f aca="false">mw_ext_25</f>
        <v>1630</v>
      </c>
      <c r="E14952" s="29" t="n">
        <f aca="false">mw_ext_26</f>
        <v>3250</v>
      </c>
      <c r="F14952" s="29" t="n">
        <f aca="false">Sens!E14952+Sens!F14951</f>
        <v>5777.2</v>
      </c>
      <c r="G14952" s="29" t="n">
        <f aca="false">Sens!F14952+Sens!G14951</f>
        <v>8304.4</v>
      </c>
      <c r="H14952" s="29" t="n">
        <f aca="false">Sens!G14952+Sens!H14951</f>
        <v>10831.6</v>
      </c>
      <c r="I14952" s="29" t="n">
        <f aca="false">Sens!H14952+Sens!I14951</f>
        <v>12624.716</v>
      </c>
      <c r="J14952" s="29" t="n">
        <f aca="false">Sens!I14952+Sens!J14951</f>
        <v>13719.61032</v>
      </c>
      <c r="K14952" s="29" t="n">
        <f aca="false">Sens!J14952+Sens!K14951</f>
        <v>14131.1986296</v>
      </c>
      <c r="L14952" s="1" t="s">
        <v>812</v>
      </c>
    </row>
    <row r="14953" customFormat="false" ht="17.15" hidden="false" customHeight="false" outlineLevel="0" collapsed="false">
      <c r="A14953" s="1" t="s">
        <v>813</v>
      </c>
      <c r="B14953" s="0" t="s">
        <v>399</v>
      </c>
      <c r="C14953" s="29" t="n">
        <f aca="false">rent_ext_24</f>
        <v>150</v>
      </c>
      <c r="D14953" s="29" t="n">
        <f aca="false">rent_ext_25</f>
        <v>400</v>
      </c>
      <c r="E14953" s="29" t="n">
        <f aca="false">rent_ext_26</f>
        <v>550</v>
      </c>
      <c r="F14953" s="29" t="n">
        <f aca="false">rent_ext_f</f>
        <v>756</v>
      </c>
      <c r="G14953" s="29" t="n">
        <f aca="false">rent_ext_f</f>
        <v>756</v>
      </c>
      <c r="H14953" s="29" t="n">
        <f aca="false">rent_ext_f</f>
        <v>756</v>
      </c>
      <c r="I14953" s="29" t="n">
        <f aca="false">rent_ext_f</f>
        <v>756</v>
      </c>
      <c r="J14953" s="29" t="n">
        <f aca="false">rent_ext_f</f>
        <v>756</v>
      </c>
      <c r="K14953" s="29" t="n">
        <f aca="false">rent_ext_f</f>
        <v>756</v>
      </c>
      <c r="L14953" s="1" t="s">
        <v>814</v>
      </c>
    </row>
    <row r="14954" customFormat="false" ht="17.15" hidden="false" customHeight="false" outlineLevel="0" collapsed="false">
      <c r="A14954" s="1" t="s">
        <v>815</v>
      </c>
      <c r="B14954" s="0" t="s">
        <v>399</v>
      </c>
      <c r="C14954" s="29" t="n">
        <f aca="false">Sens!C14952-Sens!C14953</f>
        <v>490</v>
      </c>
      <c r="D14954" s="29" t="n">
        <f aca="false">Sens!D14952-Sens!D14953</f>
        <v>1230</v>
      </c>
      <c r="E14954" s="29" t="n">
        <f aca="false">Sens!E14952-Sens!E14953</f>
        <v>2700</v>
      </c>
      <c r="F14954" s="29" t="n">
        <f aca="false">Sens!F14952-Sens!F14953</f>
        <v>5021.2</v>
      </c>
      <c r="G14954" s="29" t="n">
        <f aca="false">Sens!G14952-Sens!G14953</f>
        <v>7548.4</v>
      </c>
      <c r="H14954" s="29" t="n">
        <f aca="false">Sens!H14952-Sens!H14953</f>
        <v>10075.6</v>
      </c>
      <c r="I14954" s="29" t="n">
        <f aca="false">Sens!I14952-Sens!I14953</f>
        <v>11868.716</v>
      </c>
      <c r="J14954" s="29" t="n">
        <f aca="false">Sens!J14952-Sens!J14953</f>
        <v>12963.61032</v>
      </c>
      <c r="K14954" s="29" t="n">
        <f aca="false">Sens!K14952-Sens!K14953</f>
        <v>13375.1986296</v>
      </c>
    </row>
    <row r="14955" customFormat="false" ht="17.15" hidden="false" customHeight="false" outlineLevel="0" collapsed="false">
      <c r="A14955" s="1" t="s">
        <v>816</v>
      </c>
      <c r="B14955" s="0" t="s">
        <v>399</v>
      </c>
      <c r="C14955" s="29" t="n">
        <f aca="false">Sens!C14954/ext_sh</f>
        <v>816.666666666667</v>
      </c>
      <c r="D14955" s="29" t="n">
        <f aca="false">Sens!D14954/ext_sh</f>
        <v>2050</v>
      </c>
      <c r="E14955" s="29" t="n">
        <f aca="false">Sens!E14954/ext_sh</f>
        <v>4500</v>
      </c>
      <c r="F14955" s="29" t="n">
        <f aca="false">Sens!F14954/ext_sh</f>
        <v>8368.66666666667</v>
      </c>
      <c r="G14955" s="29" t="n">
        <f aca="false">Sens!G14954/ext_sh</f>
        <v>12580.6666666667</v>
      </c>
      <c r="H14955" s="29" t="n">
        <f aca="false">Sens!H14954/ext_sh</f>
        <v>16792.6666666667</v>
      </c>
      <c r="I14955" s="29" t="n">
        <f aca="false">Sens!I14954/ext_sh</f>
        <v>19781.1933333333</v>
      </c>
      <c r="J14955" s="29" t="n">
        <f aca="false">Sens!J14954/ext_sh</f>
        <v>21606.0172</v>
      </c>
      <c r="K14955" s="29" t="n">
        <f aca="false">Sens!K14954/ext_sh</f>
        <v>22291.997716</v>
      </c>
      <c r="L14955" s="1" t="s">
        <v>817</v>
      </c>
    </row>
    <row r="14956" customFormat="false" ht="17.15" hidden="false" customHeight="false" outlineLevel="0" collapsed="false">
      <c r="A14956" s="1" t="s">
        <v>818</v>
      </c>
      <c r="B14956" s="0" t="s">
        <v>399</v>
      </c>
      <c r="C14956" s="29" t="n">
        <f aca="false">Sens!C14955-Sens!C14954</f>
        <v>326.666666666667</v>
      </c>
      <c r="D14956" s="29" t="n">
        <f aca="false">Sens!D14955-Sens!D14954</f>
        <v>820</v>
      </c>
      <c r="E14956" s="29" t="n">
        <f aca="false">Sens!E14955-Sens!E14954</f>
        <v>1800</v>
      </c>
      <c r="F14956" s="29" t="n">
        <f aca="false">Sens!F14955-Sens!F14954</f>
        <v>3347.46666666667</v>
      </c>
      <c r="G14956" s="29" t="n">
        <f aca="false">Sens!G14955-Sens!G14954</f>
        <v>5032.26666666667</v>
      </c>
      <c r="H14956" s="29" t="n">
        <f aca="false">Sens!H14955-Sens!H14954</f>
        <v>6717.06666666667</v>
      </c>
      <c r="I14956" s="29" t="n">
        <f aca="false">Sens!I14955-Sens!I14954</f>
        <v>7912.47733333333</v>
      </c>
      <c r="J14956" s="29" t="n">
        <f aca="false">Sens!J14955-Sens!J14954</f>
        <v>8642.40688</v>
      </c>
      <c r="K14956" s="29" t="n">
        <f aca="false">Sens!K14955-Sens!K14954</f>
        <v>8916.7990864</v>
      </c>
    </row>
    <row r="14957" customFormat="false" ht="17.15" hidden="false" customHeight="false" outlineLevel="0" collapsed="false">
      <c r="A14957" s="1" t="s">
        <v>819</v>
      </c>
      <c r="B14957" s="0" t="s">
        <v>399</v>
      </c>
      <c r="C14957" s="29" t="n">
        <f aca="false">Sens!C14955</f>
        <v>816.666666666667</v>
      </c>
      <c r="D14957" s="29" t="n">
        <f aca="false">Sens!D14955-Sens!C14955</f>
        <v>1233.33333333333</v>
      </c>
      <c r="E14957" s="29" t="n">
        <f aca="false">Sens!E14955-Sens!D14955</f>
        <v>2450</v>
      </c>
      <c r="F14957" s="29" t="n">
        <f aca="false">Sens!F14955-Sens!E14955</f>
        <v>3868.66666666667</v>
      </c>
      <c r="G14957" s="29" t="n">
        <f aca="false">Sens!G14955-Sens!F14955</f>
        <v>4212</v>
      </c>
      <c r="H14957" s="29" t="n">
        <f aca="false">Sens!H14955-Sens!G14955</f>
        <v>4212</v>
      </c>
      <c r="I14957" s="29" t="n">
        <f aca="false">Sens!I14955-Sens!H14955</f>
        <v>2988.52666666667</v>
      </c>
      <c r="J14957" s="29" t="n">
        <f aca="false">Sens!J14955-Sens!I14955</f>
        <v>1824.82386666667</v>
      </c>
      <c r="K14957" s="29" t="n">
        <f aca="false">Sens!K14955-Sens!J14955</f>
        <v>685.980516</v>
      </c>
    </row>
    <row r="14958" customFormat="false" ht="17.15" hidden="false" customHeight="false" outlineLevel="0" collapsed="false">
      <c r="A14958" s="1" t="s">
        <v>820</v>
      </c>
      <c r="B14958" s="0" t="s">
        <v>399</v>
      </c>
      <c r="D14958" s="29" t="n">
        <f aca="false">Sens!D14952-Sens!C14952</f>
        <v>990</v>
      </c>
      <c r="E14958" s="29" t="n">
        <f aca="false">Sens!E14952-Sens!D14952</f>
        <v>1620</v>
      </c>
      <c r="F14958" s="29" t="n">
        <f aca="false">Sens!F14952-Sens!E14952</f>
        <v>2527.2</v>
      </c>
      <c r="G14958" s="29" t="n">
        <f aca="false">Sens!G14952-Sens!F14952</f>
        <v>2527.2</v>
      </c>
      <c r="H14958" s="29" t="n">
        <f aca="false">Sens!H14952-Sens!G14952</f>
        <v>2527.2</v>
      </c>
      <c r="I14958" s="29" t="n">
        <f aca="false">Sens!I14952-Sens!H14952</f>
        <v>1793.116</v>
      </c>
      <c r="J14958" s="29" t="n">
        <f aca="false">Sens!J14952-Sens!I14952</f>
        <v>1094.89432</v>
      </c>
      <c r="K14958" s="29" t="n">
        <f aca="false">Sens!K14952-Sens!J14952</f>
        <v>411.5883096</v>
      </c>
    </row>
    <row r="14959" customFormat="false" ht="17.15" hidden="false" customHeight="false" outlineLevel="0" collapsed="false">
      <c r="A14959" s="1" t="s">
        <v>821</v>
      </c>
      <c r="B14959" s="0" t="s">
        <v>399</v>
      </c>
      <c r="F14959" s="29" t="n">
        <f aca="false">Sens!F14976*ext_sh</f>
        <v>0</v>
      </c>
      <c r="G14959" s="29" t="n">
        <f aca="false">Sens!G14976*ext_sh</f>
        <v>0</v>
      </c>
      <c r="H14959" s="29" t="n">
        <f aca="false">Sens!H14976*ext_sh</f>
        <v>0</v>
      </c>
      <c r="I14959" s="29" t="n">
        <f aca="false">Sens!I14976*ext_sh</f>
        <v>490</v>
      </c>
      <c r="J14959" s="29" t="n">
        <f aca="false">Sens!J14976*ext_sh</f>
        <v>740</v>
      </c>
      <c r="K14959" s="29" t="n">
        <f aca="false">Sens!K14976*ext_sh</f>
        <v>1470</v>
      </c>
      <c r="L14959" s="1" t="s">
        <v>822</v>
      </c>
    </row>
    <row r="14960" customFormat="false" ht="17.15" hidden="false" customHeight="false" outlineLevel="0" collapsed="false">
      <c r="A14960" s="1" t="s">
        <v>823</v>
      </c>
      <c r="B14960" s="0" t="s">
        <v>399</v>
      </c>
      <c r="C14960" s="29" t="n">
        <f aca="false">mix_h*Sens!C14952</f>
        <v>128</v>
      </c>
      <c r="D14960" s="29" t="n">
        <f aca="false">mix_h*Sens!D14952</f>
        <v>326</v>
      </c>
      <c r="E14960" s="29" t="n">
        <f aca="false">mix_h*Sens!E14952</f>
        <v>650</v>
      </c>
      <c r="F14960" s="29" t="n">
        <f aca="false">Sens!E14960-Sens!F14959*mix_h</f>
        <v>650</v>
      </c>
      <c r="G14960" s="29" t="n">
        <f aca="false">Sens!F14960-Sens!G14959*mix_h</f>
        <v>650</v>
      </c>
      <c r="H14960" s="29" t="n">
        <f aca="false">Sens!G14960-Sens!H14959*mix_h</f>
        <v>650</v>
      </c>
      <c r="I14960" s="29" t="n">
        <f aca="false">Sens!H14960-Sens!I14959*mix_h</f>
        <v>552</v>
      </c>
      <c r="J14960" s="29" t="n">
        <f aca="false">Sens!I14960-Sens!J14959*mix_h</f>
        <v>404</v>
      </c>
      <c r="K14960" s="29" t="n">
        <f aca="false">Sens!J14960-Sens!K14959*mix_h</f>
        <v>110</v>
      </c>
    </row>
    <row r="14961" customFormat="false" ht="17.15" hidden="false" customHeight="false" outlineLevel="0" collapsed="false">
      <c r="A14961" s="1" t="s">
        <v>824</v>
      </c>
      <c r="B14961" s="0" t="s">
        <v>399</v>
      </c>
      <c r="C14961" s="29" t="n">
        <f aca="false">mix_g2*Sens!C14952</f>
        <v>288</v>
      </c>
      <c r="D14961" s="29" t="n">
        <f aca="false">mix_g2*Sens!D14952</f>
        <v>733.5</v>
      </c>
      <c r="E14961" s="29" t="n">
        <f aca="false">mix_g2*Sens!E14952</f>
        <v>1462.5</v>
      </c>
      <c r="F14961" s="29" t="n">
        <f aca="false">Sens!E14961-Sens!F14959*mix_g2</f>
        <v>1462.5</v>
      </c>
      <c r="G14961" s="29" t="n">
        <f aca="false">Sens!F14961-Sens!G14959*mix_g2</f>
        <v>1462.5</v>
      </c>
      <c r="H14961" s="29" t="n">
        <f aca="false">Sens!G14961-Sens!H14959*mix_g2</f>
        <v>1462.5</v>
      </c>
      <c r="I14961" s="29" t="n">
        <f aca="false">Sens!H14961-Sens!I14959*mix_g2</f>
        <v>1242</v>
      </c>
      <c r="J14961" s="29" t="n">
        <f aca="false">Sens!I14961-Sens!J14959*mix_g2</f>
        <v>909</v>
      </c>
      <c r="K14961" s="29" t="n">
        <f aca="false">Sens!J14961-Sens!K14959*mix_g2</f>
        <v>247.5</v>
      </c>
    </row>
    <row r="14962" customFormat="false" ht="17.15" hidden="false" customHeight="false" outlineLevel="0" collapsed="false">
      <c r="A14962" s="1" t="s">
        <v>825</v>
      </c>
      <c r="B14962" s="0" t="s">
        <v>399</v>
      </c>
      <c r="C14962" s="29" t="n">
        <f aca="false">mix_g3*Sens!C14952</f>
        <v>224</v>
      </c>
      <c r="D14962" s="29" t="n">
        <f aca="false">mix_g3*Sens!D14952</f>
        <v>570.5</v>
      </c>
      <c r="E14962" s="29" t="n">
        <f aca="false">mix_g3*Sens!E14952</f>
        <v>1137.5</v>
      </c>
      <c r="F14962" s="29" t="n">
        <f aca="false">Sens!E14962+(Sens!F14958+Sens!F14959)*a_g3_27-Sens!F14959*mix_g3</f>
        <v>2906.54</v>
      </c>
      <c r="G14962" s="29" t="n">
        <f aca="false">Sens!F14962+(Sens!G14958+Sens!G14959)*a_g3_28-Sens!G14959*mix_g3</f>
        <v>3664.7</v>
      </c>
      <c r="H14962" s="29" t="n">
        <f aca="false">Sens!G14962+(Sens!H14958+Sens!H14959)*a_g3_29-Sens!H14959*mix_g3</f>
        <v>3917.42</v>
      </c>
      <c r="I14962" s="29" t="n">
        <f aca="false">Sens!H14962+(Sens!I14958+Sens!I14959)*a_g3_29-Sens!I14959*mix_g3</f>
        <v>3974.2316</v>
      </c>
      <c r="J14962" s="29" t="n">
        <f aca="false">Sens!I14962+(Sens!J14958+Sens!J14959)*a_g3_29-Sens!J14959*mix_g3</f>
        <v>3898.721032</v>
      </c>
      <c r="K14962" s="29" t="n">
        <f aca="false">Sens!J14962+(Sens!K14958+Sens!K14959)*a_g3_29-Sens!K14959*mix_g3</f>
        <v>3572.37986296</v>
      </c>
    </row>
    <row r="14963" customFormat="false" ht="17.15" hidden="false" customHeight="false" outlineLevel="0" collapsed="false">
      <c r="A14963" s="1" t="s">
        <v>826</v>
      </c>
      <c r="B14963" s="0" t="s">
        <v>399</v>
      </c>
      <c r="C14963" s="29" t="n">
        <v>0</v>
      </c>
      <c r="D14963" s="29" t="n">
        <v>0</v>
      </c>
      <c r="E14963" s="29" t="n">
        <v>0</v>
      </c>
      <c r="F14963" s="29" t="n">
        <f aca="false">Sens!E14963+(Sens!F14958+Sens!F14959)*(1-a_g3_27)</f>
        <v>758.16</v>
      </c>
      <c r="G14963" s="29" t="n">
        <f aca="false">Sens!F14963+(Sens!G14958+Sens!G14959)*(1-a_g3_28)</f>
        <v>2527.2</v>
      </c>
      <c r="H14963" s="29" t="n">
        <f aca="false">Sens!G14963+(Sens!H14958+Sens!H14959)*(1-a_g3_29)</f>
        <v>4801.68</v>
      </c>
      <c r="I14963" s="29" t="n">
        <f aca="false">Sens!H14963+(Sens!I14958+Sens!I14959)*(1-a_g3_29)</f>
        <v>6856.4844</v>
      </c>
      <c r="J14963" s="29" t="n">
        <f aca="false">Sens!I14963+(Sens!J14958+Sens!J14959)*(1-a_g3_29)</f>
        <v>8507.889288</v>
      </c>
      <c r="K14963" s="29" t="n">
        <f aca="false">Sens!J14963+(Sens!K14958+Sens!K14959)*(1-a_g3_29)</f>
        <v>10201.31876664</v>
      </c>
    </row>
    <row r="14964" customFormat="false" ht="17.15" hidden="false" customHeight="false" outlineLevel="0" collapsed="false">
      <c r="A14964" s="1" t="s">
        <v>827</v>
      </c>
      <c r="B14964" s="0" t="s">
        <v>346</v>
      </c>
      <c r="C14964" s="14" t="n">
        <f aca="false">(Sens!C14960*tk_hold_h100+Sens!C14961*tk_hold_gb200+Sens!C14962*tk_hold_gb300+Sens!C14963*tk_hold_vr200)/Sens!C14952</f>
        <v>9.7235358126469</v>
      </c>
      <c r="D14964" s="14" t="n">
        <f aca="false">(Sens!D14960*tk_hold_h100+Sens!D14961*tk_hold_gb200+Sens!D14962*tk_hold_gb300+Sens!D14963*tk_hold_vr200)/Sens!D14952</f>
        <v>9.7235358126469</v>
      </c>
      <c r="E14964" s="14" t="n">
        <f aca="false">(Sens!E14960*tk_hold_h100+Sens!E14961*tk_hold_gb200+Sens!E14962*tk_hold_gb300+Sens!E14963*tk_hold_vr200)/Sens!E14952</f>
        <v>9.7235358126469</v>
      </c>
      <c r="F14964" s="14" t="n">
        <f aca="false">(Sens!F14960*tk_hold_h100+Sens!F14961*tk_hold_gb200+Sens!F14962*tk_hold_gb300+Sens!F14963*tk_hold_vr200)/Sens!F14952</f>
        <v>10.4079573161931</v>
      </c>
      <c r="G14964" s="14" t="n">
        <f aca="false">(Sens!G14960*tk_hold_h100+Sens!G14961*tk_hold_gb200+Sens!G14962*tk_hold_gb300+Sens!G14963*tk_hold_vr200)/Sens!G14952</f>
        <v>10.8388131109316</v>
      </c>
      <c r="H14964" s="14" t="n">
        <f aca="false">(Sens!H14960*tk_hold_h100+Sens!H14961*tk_hold_gb200+Sens!H14962*tk_hold_gb300+Sens!H14963*tk_hold_vr200)/Sens!H14952</f>
        <v>11.1311018388216</v>
      </c>
      <c r="I14964" s="14" t="n">
        <f aca="false">(Sens!I14960*tk_hold_h100+Sens!I14961*tk_hold_gb200+Sens!I14962*tk_hold_gb300+Sens!I14963*tk_hold_vr200)/Sens!I14952</f>
        <v>11.3594282560989</v>
      </c>
      <c r="J14964" s="14" t="n">
        <f aca="false">(Sens!J14960*tk_hold_h100+Sens!J14961*tk_hold_gb200+Sens!J14962*tk_hold_gb300+Sens!J14963*tk_hold_vr200)/Sens!J14952</f>
        <v>11.5455817917599</v>
      </c>
      <c r="K14964" s="14" t="n">
        <f aca="false">(Sens!K14960*tk_hold_h100+Sens!K14961*tk_hold_gb200+Sens!K14962*tk_hold_gb300+Sens!K14963*tk_hold_vr200)/Sens!K14952</f>
        <v>11.8078187977246</v>
      </c>
    </row>
    <row r="14965" customFormat="false" ht="17.15" hidden="false" customHeight="false" outlineLevel="0" collapsed="false">
      <c r="A14965" s="0" t="s">
        <v>828</v>
      </c>
      <c r="B14965" s="0" t="s">
        <v>185</v>
      </c>
      <c r="C14965" s="14" t="n">
        <f aca="false">k_B</f>
        <v>1.17213932619116</v>
      </c>
      <c r="D14965" s="14" t="n">
        <f aca="false">k_B</f>
        <v>1.17213932619116</v>
      </c>
      <c r="E14965" s="14" t="n">
        <f aca="false">k_B</f>
        <v>1.17213932619116</v>
      </c>
      <c r="F14965" s="14" t="n">
        <f aca="false">(k_B+((ls_B*k_long+(1-ls_B)*k_spot)-k_B)*MIN(1,(Sens!F14950-base_fy)/k_ramp))</f>
        <v>1.17213932619116</v>
      </c>
      <c r="G14965" s="14" t="n">
        <f aca="false">(k_B+((ls_B*k_long+(1-ls_B)*k_spot)-k_B)*MIN(1,(Sens!G14950-base_fy)/k_ramp))</f>
        <v>1.17213932619116</v>
      </c>
      <c r="H14965" s="14" t="n">
        <f aca="false">(k_B+((ls_B*k_long+(1-ls_B)*k_spot)-k_B)*MIN(1,(Sens!H14950-base_fy)/k_ramp))</f>
        <v>1.17213932619116</v>
      </c>
      <c r="I14965" s="14" t="n">
        <f aca="false">(k_B+((ls_B*k_long+(1-ls_B)*k_spot)-k_B)*MIN(1,(Sens!I14950-base_fy)/k_ramp))</f>
        <v>1.17213932619116</v>
      </c>
      <c r="J14965" s="14" t="n">
        <f aca="false">(k_B+((ls_B*k_long+(1-ls_B)*k_spot)-k_B)*MIN(1,(Sens!J14950-base_fy)/k_ramp))</f>
        <v>1.17213932619116</v>
      </c>
      <c r="K14965" s="14" t="n">
        <f aca="false">(k_B+((ls_B*k_long+(1-ls_B)*k_spot)-k_B)*MIN(1,(Sens!K14950-base_fy)/k_ramp))</f>
        <v>1.17213932619116</v>
      </c>
      <c r="L14965" s="1" t="s">
        <v>829</v>
      </c>
    </row>
    <row r="14966" customFormat="false" ht="17.15" hidden="false" customHeight="false" outlineLevel="0" collapsed="false">
      <c r="A14966" s="1" t="s">
        <v>830</v>
      </c>
      <c r="B14966" s="0" t="s">
        <v>346</v>
      </c>
      <c r="C14966" s="14" t="n">
        <f aca="false">Sens!C14964*Sens!C14965*chip_f</f>
        <v>11.3973387156315</v>
      </c>
      <c r="D14966" s="14" t="n">
        <f aca="false">Sens!D14964*Sens!D14965*chip_f</f>
        <v>11.3973387156315</v>
      </c>
      <c r="E14966" s="14" t="n">
        <f aca="false">Sens!E14964*Sens!E14965*chip_f</f>
        <v>11.3973387156315</v>
      </c>
      <c r="F14966" s="14" t="n">
        <f aca="false">Sens!F14964*Sens!F14965*chip_f</f>
        <v>12.1995760756289</v>
      </c>
      <c r="G14966" s="14" t="n">
        <f aca="false">Sens!G14964*Sens!G14965*chip_f</f>
        <v>12.7045990965592</v>
      </c>
      <c r="H14966" s="14" t="n">
        <f aca="false">Sens!H14964*Sens!H14965*chip_f</f>
        <v>13.0472022091214</v>
      </c>
      <c r="I14966" s="14" t="n">
        <f aca="false">Sens!I14964*Sens!I14965*chip_f</f>
        <v>13.3148325820205</v>
      </c>
      <c r="J14966" s="14" t="n">
        <f aca="false">Sens!J14964*Sens!J14965*chip_f</f>
        <v>13.5330304618783</v>
      </c>
      <c r="K14966" s="14" t="n">
        <f aca="false">Sens!K14964*Sens!K14965*chip_f</f>
        <v>13.8404087693522</v>
      </c>
      <c r="L14966" s="1" t="s">
        <v>831</v>
      </c>
    </row>
    <row r="14967" customFormat="false" ht="17.15" hidden="false" customHeight="false" outlineLevel="0" collapsed="false">
      <c r="A14967" s="0" t="s">
        <v>832</v>
      </c>
      <c r="B14967" s="0" t="s">
        <v>98</v>
      </c>
      <c r="D14967" s="6" t="n">
        <f aca="false">(Sens!C14952+Sens!D14952)/2*Sens!D14966/1000</f>
        <v>12.9359794422418</v>
      </c>
      <c r="E14967" s="6" t="n">
        <f aca="false">(Sens!D14952+Sens!E14952)/2*Sens!E14966/1000</f>
        <v>27.8095064661409</v>
      </c>
      <c r="F14967" s="6" t="n">
        <f aca="false">(Sens!E14952+Sens!F14952)/2*Sens!F14966/1000</f>
        <v>55.0640065749585</v>
      </c>
      <c r="G14967" s="6" t="n">
        <f aca="false">(Sens!F14952+Sens!G14952)/2*Sens!G14966/1000</f>
        <v>89.4505413190538</v>
      </c>
      <c r="H14967" s="6" t="n">
        <f aca="false">(Sens!G14952+Sens!H14952)/2*Sens!H14966/1000</f>
        <v>124.835630736874</v>
      </c>
      <c r="I14967" s="6" t="n">
        <f aca="false">(Sens!H14952+Sens!I14952)/2*Sens!I14966/1000</f>
        <v>156.158460265485</v>
      </c>
      <c r="J14967" s="6" t="n">
        <f aca="false">(Sens!I14952+Sens!J14952)/2*Sens!J14966/1000</f>
        <v>178.259285293112</v>
      </c>
      <c r="K14967" s="6" t="n">
        <f aca="false">(Sens!J14952+Sens!K14952)/2*Sens!K14966/1000</f>
        <v>192.733290209798</v>
      </c>
      <c r="L14967" s="11" t="s">
        <v>833</v>
      </c>
    </row>
    <row r="14968" customFormat="false" ht="17.15" hidden="false" customHeight="false" outlineLevel="0" collapsed="false">
      <c r="A14968" s="1" t="s">
        <v>834</v>
      </c>
      <c r="B14968" s="0" t="s">
        <v>346</v>
      </c>
      <c r="C14968" s="14" t="n">
        <f aca="false">(Sens!C14960*tk_opex_h100+Sens!C14961*tk_opex_gb200+Sens!C14962*tk_opex_gb300+Sens!C14963*tk_opex_vr200)/Sens!C14952</f>
        <v>1.88636041306092</v>
      </c>
      <c r="D14968" s="14" t="n">
        <f aca="false">(Sens!D14960*tk_opex_h100+Sens!D14961*tk_opex_gb200+Sens!D14962*tk_opex_gb300+Sens!D14963*tk_opex_vr200)/Sens!D14952</f>
        <v>1.88636041306092</v>
      </c>
      <c r="E14968" s="14" t="n">
        <f aca="false">(Sens!E14960*tk_opex_h100+Sens!E14961*tk_opex_gb200+Sens!E14962*tk_opex_gb300+Sens!E14963*tk_opex_vr200)/Sens!E14952</f>
        <v>1.88636041306092</v>
      </c>
      <c r="F14968" s="14" t="n">
        <f aca="false">(Sens!F14960*tk_opex_h100+Sens!F14961*tk_opex_gb200+Sens!F14962*tk_opex_gb300+Sens!F14963*tk_opex_vr200)/Sens!F14952</f>
        <v>1.9430236476499</v>
      </c>
      <c r="G14968" s="14" t="n">
        <f aca="false">(Sens!G14960*tk_opex_h100+Sens!G14961*tk_opex_gb200+Sens!G14962*tk_opex_gb300+Sens!G14963*tk_opex_vr200)/Sens!G14952</f>
        <v>1.9786941852423</v>
      </c>
      <c r="H14968" s="14" t="n">
        <f aca="false">(Sens!H14960*tk_opex_h100+Sens!H14961*tk_opex_gb200+Sens!H14962*tk_opex_gb300+Sens!H14963*tk_opex_vr200)/Sens!H14952</f>
        <v>2.00289275976156</v>
      </c>
      <c r="I14968" s="14" t="n">
        <f aca="false">(Sens!I14960*tk_opex_h100+Sens!I14961*tk_opex_gb200+Sens!I14962*tk_opex_gb300+Sens!I14963*tk_opex_vr200)/Sens!I14952</f>
        <v>2.02179589661219</v>
      </c>
      <c r="J14968" s="14" t="n">
        <f aca="false">(Sens!J14960*tk_opex_h100+Sens!J14961*tk_opex_gb200+Sens!J14962*tk_opex_gb300+Sens!J14963*tk_opex_vr200)/Sens!J14952</f>
        <v>2.03720754193029</v>
      </c>
      <c r="K14968" s="14" t="n">
        <f aca="false">(Sens!K14960*tk_opex_h100+Sens!K14961*tk_opex_gb200+Sens!K14962*tk_opex_gb300+Sens!K14963*tk_opex_vr200)/Sens!K14952</f>
        <v>2.0589181353437</v>
      </c>
    </row>
    <row r="14969" customFormat="false" ht="17.15" hidden="false" customHeight="false" outlineLevel="0" collapsed="false">
      <c r="A14969" s="0" t="s">
        <v>835</v>
      </c>
      <c r="B14969" s="0" t="s">
        <v>98</v>
      </c>
      <c r="D14969" s="6" t="n">
        <f aca="false">(Sens!C14955+Sens!D14955)/2*Sens!D14968/1000</f>
        <v>2.70378325872065</v>
      </c>
      <c r="E14969" s="6" t="n">
        <f aca="false">(Sens!D14955+Sens!E14955)/2*Sens!E14968/1000</f>
        <v>6.17783035277451</v>
      </c>
      <c r="F14969" s="6" t="n">
        <f aca="false">(Sens!E14955+Sens!F14955)/2*Sens!F14968/1000</f>
        <v>12.5020618235287</v>
      </c>
      <c r="G14969" s="6" t="n">
        <f aca="false">(Sens!F14955+Sens!G14955)/2*Sens!G14968/1000</f>
        <v>20.7261620256847</v>
      </c>
      <c r="H14969" s="6" t="n">
        <f aca="false">(Sens!G14955+Sens!H14955)/2*Sens!H14968/1000</f>
        <v>29.4158183316982</v>
      </c>
      <c r="I14969" s="6" t="n">
        <f aca="false">(Sens!H14955+Sens!I14955)/2*Sens!I14968/1000</f>
        <v>36.9724400356344</v>
      </c>
      <c r="J14969" s="6" t="n">
        <f aca="false">(Sens!I14955+Sens!J14955)/2*Sens!J14968/1000</f>
        <v>42.1571687189816</v>
      </c>
      <c r="K14969" s="6" t="n">
        <f aca="false">(Sens!J14955+Sens!K14955)/2*Sens!K14968/1000</f>
        <v>45.1912095080704</v>
      </c>
    </row>
    <row r="14970" customFormat="false" ht="17.15" hidden="false" customHeight="false" outlineLevel="0" collapsed="false">
      <c r="A14970" s="0" t="s">
        <v>836</v>
      </c>
      <c r="B14970" s="0" t="s">
        <v>98</v>
      </c>
      <c r="D14970" s="6" t="n">
        <f aca="false">(Sens!C14953+Sens!D14953)/2*rent_mw/1000</f>
        <v>2.44475</v>
      </c>
      <c r="E14970" s="6" t="n">
        <f aca="false">(Sens!D14953+Sens!E14953)/2*rent_mw/1000</f>
        <v>4.22275</v>
      </c>
      <c r="F14970" s="6" t="n">
        <f aca="false">(Sens!E14953+Sens!F14953)/2*rent_mw/1000</f>
        <v>5.80517</v>
      </c>
      <c r="G14970" s="6" t="n">
        <f aca="false">(Sens!F14953+Sens!G14953)/2*rent_mw/1000</f>
        <v>6.72084</v>
      </c>
      <c r="H14970" s="6" t="n">
        <f aca="false">(Sens!G14953+Sens!H14953)/2*rent_mw/1000</f>
        <v>6.72084</v>
      </c>
      <c r="I14970" s="6" t="n">
        <f aca="false">(Sens!H14953+Sens!I14953)/2*rent_mw/1000</f>
        <v>6.72084</v>
      </c>
      <c r="J14970" s="6" t="n">
        <f aca="false">(Sens!I14953+Sens!J14953)/2*rent_mw/1000</f>
        <v>6.72084</v>
      </c>
      <c r="K14970" s="6" t="n">
        <f aca="false">(Sens!J14953+Sens!K14953)/2*rent_mw/1000</f>
        <v>6.72084</v>
      </c>
    </row>
    <row r="14971" customFormat="false" ht="17.15" hidden="false" customHeight="false" outlineLevel="0" collapsed="false">
      <c r="A14971" s="0" t="s">
        <v>837</v>
      </c>
      <c r="B14971" s="0" t="s">
        <v>98</v>
      </c>
      <c r="D14971" s="6" t="n">
        <f aca="false">(Sens!C14955+Sens!D14955)/2*(1-self_build)*fac_rent/1000</f>
        <v>0.853242375631075</v>
      </c>
      <c r="E14971" s="6" t="n">
        <f aca="false">(Sens!D14955+Sens!E14955)/2*(1-self_build)*fac_rent/1000</f>
        <v>1.94955961408728</v>
      </c>
      <c r="F14971" s="6" t="n">
        <f aca="false">(Sens!E14955+Sens!F14955)/2*(1-self_build)*fac_rent/1000</f>
        <v>3.83026455274573</v>
      </c>
      <c r="G14971" s="6" t="n">
        <f aca="false">(Sens!F14955+Sens!G14955)/2*(1-self_build)*fac_rent/1000</f>
        <v>6.23541590972812</v>
      </c>
      <c r="H14971" s="6" t="n">
        <f aca="false">(Sens!G14955+Sens!H14955)/2*(1-self_build)*fac_rent/1000</f>
        <v>8.74275792332679</v>
      </c>
      <c r="I14971" s="6" t="n">
        <f aca="false">(Sens!H14955+Sens!I14955)/2*(1-self_build)*fac_rent/1000</f>
        <v>10.8859420438599</v>
      </c>
      <c r="J14971" s="6" t="n">
        <f aca="false">(Sens!I14955+Sens!J14955)/2*(1-self_build)*fac_rent/1000</f>
        <v>12.3186006405366</v>
      </c>
      <c r="K14971" s="6" t="n">
        <f aca="false">(Sens!J14955+Sens!K14955)/2*(1-self_build)*fac_rent/1000</f>
        <v>13.0659232089824</v>
      </c>
      <c r="L14971" s="11" t="s">
        <v>838</v>
      </c>
    </row>
    <row r="14972" customFormat="false" ht="17.15" hidden="false" customHeight="false" outlineLevel="0" collapsed="false">
      <c r="A14972" s="1" t="s">
        <v>839</v>
      </c>
      <c r="B14972" s="0" t="s">
        <v>129</v>
      </c>
      <c r="D14972" s="7" t="n">
        <f aca="false">(Sens!C14954+Sens!D14954)/(Sens!C14955+Sens!D14955)</f>
        <v>0.6</v>
      </c>
      <c r="E14972" s="7" t="n">
        <f aca="false">(Sens!D14954+Sens!E14954)/(Sens!D14955+Sens!E14955)</f>
        <v>0.6</v>
      </c>
      <c r="F14972" s="7" t="n">
        <f aca="false">(Sens!E14954+Sens!F14954)/(Sens!E14955+Sens!F14955)</f>
        <v>0.6</v>
      </c>
      <c r="G14972" s="7" t="n">
        <f aca="false">(Sens!F14954+Sens!G14954)/(Sens!F14955+Sens!G14955)</f>
        <v>0.6</v>
      </c>
      <c r="H14972" s="7" t="n">
        <f aca="false">(Sens!G14954+Sens!H14954)/(Sens!G14955+Sens!H14955)</f>
        <v>0.6</v>
      </c>
      <c r="I14972" s="7" t="n">
        <f aca="false">(Sens!H14954+Sens!I14954)/(Sens!H14955+Sens!I14955)</f>
        <v>0.6</v>
      </c>
      <c r="J14972" s="7" t="n">
        <f aca="false">(Sens!I14954+Sens!J14954)/(Sens!I14955+Sens!J14955)</f>
        <v>0.6</v>
      </c>
      <c r="K14972" s="7" t="n">
        <f aca="false">(Sens!J14954+Sens!K14954)/(Sens!J14955+Sens!K14955)</f>
        <v>0.6</v>
      </c>
    </row>
    <row r="14973" customFormat="false" ht="17.15" hidden="false" customHeight="false" outlineLevel="0" collapsed="false">
      <c r="A14973" s="0" t="s">
        <v>840</v>
      </c>
      <c r="B14973" s="0" t="s">
        <v>98</v>
      </c>
      <c r="D14973" s="6" t="n">
        <f aca="false">Sens!D14967-Sens!D14972*(Sens!D14969+Sens!D14971)-Sens!D14970</f>
        <v>8.35701406163072</v>
      </c>
      <c r="E14973" s="6" t="n">
        <f aca="false">Sens!E14967-Sens!E14972*(Sens!E14969+Sens!E14971)-Sens!E14970</f>
        <v>18.7103224860238</v>
      </c>
      <c r="F14973" s="6" t="n">
        <f aca="false">Sens!F14967-Sens!F14972*(Sens!F14969+Sens!F14971)-Sens!F14970</f>
        <v>39.4594407491938</v>
      </c>
      <c r="G14973" s="6" t="n">
        <f aca="false">Sens!G14967-Sens!G14972*(Sens!G14969+Sens!G14971)-Sens!G14970</f>
        <v>66.5527545578061</v>
      </c>
      <c r="H14973" s="6" t="n">
        <f aca="false">Sens!H14967-Sens!H14972*(Sens!H14969+Sens!H14971)-Sens!H14970</f>
        <v>95.219644983859</v>
      </c>
      <c r="I14973" s="6" t="n">
        <f aca="false">Sens!I14967-Sens!I14972*(Sens!I14969+Sens!I14971)-Sens!I14970</f>
        <v>120.722591017788</v>
      </c>
      <c r="J14973" s="6" t="n">
        <f aca="false">Sens!J14967-Sens!J14972*(Sens!J14969+Sens!J14971)-Sens!J14970</f>
        <v>138.852983677401</v>
      </c>
      <c r="K14973" s="6" t="n">
        <f aca="false">Sens!K14967-Sens!K14972*(Sens!K14969+Sens!K14971)-Sens!K14970</f>
        <v>151.058170579566</v>
      </c>
    </row>
    <row r="14974" customFormat="false" ht="17.15" hidden="false" customHeight="false" outlineLevel="0" collapsed="false">
      <c r="A14974" s="1" t="s">
        <v>841</v>
      </c>
      <c r="B14974" s="0" t="s">
        <v>98</v>
      </c>
      <c r="D14974" s="6" t="n">
        <f aca="false">(1-Sens!D14972)*(Sens!D14969+Sens!D14971)</f>
        <v>1.42281025374069</v>
      </c>
      <c r="E14974" s="6" t="n">
        <f aca="false">(1-Sens!E14972)*(Sens!E14969+Sens!E14971)</f>
        <v>3.25095598674472</v>
      </c>
      <c r="F14974" s="6" t="n">
        <f aca="false">(1-Sens!F14972)*(Sens!F14969+Sens!F14971)</f>
        <v>6.53293055050977</v>
      </c>
      <c r="G14974" s="6" t="n">
        <f aca="false">(1-Sens!G14972)*(Sens!G14969+Sens!G14971)</f>
        <v>10.7846311741651</v>
      </c>
      <c r="H14974" s="6" t="n">
        <f aca="false">(1-Sens!H14972)*(Sens!H14969+Sens!H14971)</f>
        <v>15.26343050201</v>
      </c>
      <c r="I14974" s="6" t="n">
        <f aca="false">(1-Sens!I14972)*(Sens!I14969+Sens!I14971)</f>
        <v>19.1433528317977</v>
      </c>
      <c r="J14974" s="6" t="n">
        <f aca="false">(1-Sens!J14972)*(Sens!J14969+Sens!J14971)</f>
        <v>21.7903077438073</v>
      </c>
      <c r="K14974" s="6" t="n">
        <f aca="false">(1-Sens!K14972)*(Sens!K14969+Sens!K14971)</f>
        <v>23.3028530868211</v>
      </c>
    </row>
    <row r="14975" customFormat="false" ht="17.15" hidden="false" customHeight="false" outlineLevel="0" collapsed="false">
      <c r="A14975" s="1" t="s">
        <v>842</v>
      </c>
      <c r="B14975" s="0" t="s">
        <v>357</v>
      </c>
      <c r="C14975" s="8" t="n">
        <f aca="false">cxit_open</f>
        <v>27.5918995</v>
      </c>
      <c r="D14975" s="8" t="n">
        <f aca="false">cxit_open</f>
        <v>27.5918995</v>
      </c>
      <c r="E14975" s="8" t="n">
        <f aca="false">cxit_open</f>
        <v>27.5918995</v>
      </c>
      <c r="F14975" s="8" t="n">
        <f aca="false">(a_g3_27*tk_cxit_gb300+(1-a_g3_27)*tk_cxit_vr200)</f>
        <v>33.8419624</v>
      </c>
      <c r="G14975" s="8" t="n">
        <f aca="false">(a_g3_28*tk_cxit_gb300+(1-a_g3_28)*tk_cxit_vr200)</f>
        <v>35.9816136</v>
      </c>
      <c r="H14975" s="8" t="n">
        <f aca="false">(a_g3_29*tk_cxit_gb300+(1-a_g3_29)*tk_cxit_vr200)</f>
        <v>37.0514392</v>
      </c>
      <c r="I14975" s="8" t="n">
        <f aca="false">(a_g3_29*tk_cxit_gb300+(1-a_g3_29)*tk_cxit_vr200)</f>
        <v>37.0514392</v>
      </c>
      <c r="J14975" s="8" t="n">
        <f aca="false">(a_g3_29*tk_cxit_gb300+(1-a_g3_29)*tk_cxit_vr200)</f>
        <v>37.0514392</v>
      </c>
      <c r="K14975" s="8" t="n">
        <f aca="false">(a_g3_29*tk_cxit_gb300+(1-a_g3_29)*tk_cxit_vr200)</f>
        <v>37.0514392</v>
      </c>
      <c r="L14975" s="11" t="s">
        <v>843</v>
      </c>
    </row>
    <row r="14976" customFormat="false" ht="17.15" hidden="false" customHeight="false" outlineLevel="0" collapsed="false">
      <c r="A14976" s="0" t="s">
        <v>844</v>
      </c>
      <c r="B14976" s="0" t="s">
        <v>399</v>
      </c>
      <c r="F14976" s="29" t="n">
        <f aca="false">Sens!C14957*IF(Sens!F14950-Sens!C14950=life_it,1,0)+Sens!D14957*IF(Sens!F14950-Sens!D14950=life_it,1,0)+Sens!E14957*IF(Sens!F14950-Sens!E14950=life_it,1,0)</f>
        <v>0</v>
      </c>
      <c r="G14976" s="29" t="n">
        <f aca="false">Sens!C14957*IF(Sens!G14950-Sens!C14950=life_it,1,0)+Sens!D14957*IF(Sens!G14950-Sens!D14950=life_it,1,0)+Sens!E14957*IF(Sens!G14950-Sens!E14950=life_it,1,0)+Sens!F14957*IF(Sens!G14950-Sens!F14950=life_it,1,0)</f>
        <v>0</v>
      </c>
      <c r="H14976" s="29" t="n">
        <f aca="false">Sens!C14957*IF(Sens!H14950-Sens!C14950=life_it,1,0)+Sens!D14957*IF(Sens!H14950-Sens!D14950=life_it,1,0)+Sens!E14957*IF(Sens!H14950-Sens!E14950=life_it,1,0)+Sens!F14957*IF(Sens!H14950-Sens!F14950=life_it,1,0)+Sens!G14957*IF(Sens!H14950-Sens!G14950=life_it,1,0)</f>
        <v>0</v>
      </c>
      <c r="I14976" s="29" t="n">
        <f aca="false">Sens!C14957*IF(Sens!I14950-Sens!C14950=life_it,1,0)+Sens!D14957*IF(Sens!I14950-Sens!D14950=life_it,1,0)+Sens!E14957*IF(Sens!I14950-Sens!E14950=life_it,1,0)+Sens!F14957*IF(Sens!I14950-Sens!F14950=life_it,1,0)+Sens!G14957*IF(Sens!I14950-Sens!G14950=life_it,1,0)+Sens!H14957*IF(Sens!I14950-Sens!H14950=life_it,1,0)</f>
        <v>816.666666666667</v>
      </c>
      <c r="J14976" s="29" t="n">
        <f aca="false">Sens!C14957*IF(Sens!J14950-Sens!C14950=life_it,1,0)+Sens!D14957*IF(Sens!J14950-Sens!D14950=life_it,1,0)+Sens!E14957*IF(Sens!J14950-Sens!E14950=life_it,1,0)+Sens!F14957*IF(Sens!J14950-Sens!F14950=life_it,1,0)+Sens!G14957*IF(Sens!J14950-Sens!G14950=life_it,1,0)+Sens!H14957*IF(Sens!J14950-Sens!H14950=life_it,1,0)+Sens!I14957*IF(Sens!J14950-Sens!I14950=life_it,1,0)</f>
        <v>1233.33333333333</v>
      </c>
      <c r="K14976" s="29" t="n">
        <f aca="false">Sens!C14957*IF(Sens!K14950-Sens!C14950=life_it,1,0)+Sens!D14957*IF(Sens!K14950-Sens!D14950=life_it,1,0)+Sens!E14957*IF(Sens!K14950-Sens!E14950=life_it,1,0)+Sens!F14957*IF(Sens!K14950-Sens!F14950=life_it,1,0)+Sens!G14957*IF(Sens!K14950-Sens!G14950=life_it,1,0)+Sens!H14957*IF(Sens!K14950-Sens!H14950=life_it,1,0)+Sens!I14957*IF(Sens!K14950-Sens!I14950=life_it,1,0)+Sens!J14957*IF(Sens!K14950-Sens!J14950=life_it,1,0)</f>
        <v>2450</v>
      </c>
      <c r="L14976" s="1" t="s">
        <v>845</v>
      </c>
    </row>
    <row r="14977" customFormat="false" ht="17.15" hidden="false" customHeight="false" outlineLevel="0" collapsed="false">
      <c r="A14977" s="0" t="s">
        <v>846</v>
      </c>
      <c r="B14977" s="0" t="s">
        <v>98</v>
      </c>
      <c r="C14977" s="6" t="n">
        <f aca="false">Sens!C14957*Sens!C14975/1000</f>
        <v>22.5333845916667</v>
      </c>
      <c r="D14977" s="6" t="n">
        <f aca="false">Sens!D14957*Sens!D14975/1000</f>
        <v>34.0300093833333</v>
      </c>
      <c r="E14977" s="6" t="n">
        <f aca="false">Sens!E14957*Sens!E14975/1000</f>
        <v>67.600153775</v>
      </c>
      <c r="F14977" s="6" t="n">
        <f aca="false">(Sens!F14957+Sens!F14976)*Sens!F14975/1000</f>
        <v>130.923271871467</v>
      </c>
      <c r="G14977" s="6" t="n">
        <f aca="false">(Sens!G14957+Sens!G14976)*Sens!G14975/1000</f>
        <v>151.5545564832</v>
      </c>
      <c r="H14977" s="6" t="n">
        <f aca="false">(Sens!H14957+Sens!H14976)*Sens!H14975/1000</f>
        <v>156.0606619104</v>
      </c>
      <c r="I14977" s="6" t="n">
        <f aca="false">(Sens!I14957+Sens!I14976)*Sens!I14975/1000</f>
        <v>140.987889434245</v>
      </c>
      <c r="J14977" s="6" t="n">
        <f aca="false">(Sens!J14957+Sens!J14976)*Sens!J14975/1000</f>
        <v>113.309125559842</v>
      </c>
      <c r="K14977" s="6" t="n">
        <f aca="false">(Sens!K14957+Sens!K14976)*Sens!K14975/1000</f>
        <v>116.192591420959</v>
      </c>
    </row>
    <row r="14978" customFormat="false" ht="17.15" hidden="false" customHeight="false" outlineLevel="0" collapsed="false">
      <c r="A14978" s="0" t="s">
        <v>847</v>
      </c>
      <c r="B14978" s="0" t="s">
        <v>98</v>
      </c>
      <c r="C14978" s="6" t="n">
        <f aca="false">Sens!C14957*self_build*tk_cxfac/1000</f>
        <v>6.2083</v>
      </c>
      <c r="D14978" s="6" t="n">
        <f aca="false">Sens!D14957*self_build*tk_cxfac/1000</f>
        <v>9.3758</v>
      </c>
      <c r="E14978" s="6" t="n">
        <f aca="false">Sens!E14957*self_build*tk_cxfac/1000</f>
        <v>18.6249</v>
      </c>
      <c r="F14978" s="6" t="n">
        <f aca="false">Sens!F14957*self_build*tk_cxfac/1000</f>
        <v>29.409604</v>
      </c>
      <c r="G14978" s="6" t="n">
        <f aca="false">Sens!G14957*self_build*tk_cxfac/1000</f>
        <v>32.019624</v>
      </c>
      <c r="H14978" s="6" t="n">
        <f aca="false">Sens!H14957*self_build*tk_cxfac/1000</f>
        <v>32.019624</v>
      </c>
      <c r="I14978" s="6" t="n">
        <f aca="false">Sens!I14957*self_build*tk_cxfac/1000</f>
        <v>22.71877972</v>
      </c>
      <c r="J14978" s="6" t="n">
        <f aca="false">Sens!J14957*self_build*tk_cxfac/1000</f>
        <v>13.8723110344</v>
      </c>
      <c r="K14978" s="6" t="n">
        <f aca="false">Sens!K14957*self_build*tk_cxfac/1000</f>
        <v>5.214823882632</v>
      </c>
    </row>
    <row r="14979" customFormat="false" ht="17.15" hidden="false" customHeight="false" outlineLevel="0" collapsed="false">
      <c r="A14979" s="0" t="s">
        <v>848</v>
      </c>
      <c r="B14979" s="0" t="s">
        <v>98</v>
      </c>
      <c r="F14979" s="6" t="n">
        <f aca="false">MAX(0,capex_floor27-Sens!F14977-Sens!F14978-Sens!F15073)</f>
        <v>8.28777689897088</v>
      </c>
    </row>
    <row r="14980" customFormat="false" ht="17.15" hidden="false" customHeight="false" outlineLevel="0" collapsed="false">
      <c r="A14980" s="0" t="s">
        <v>849</v>
      </c>
      <c r="B14980" s="0" t="s">
        <v>98</v>
      </c>
      <c r="C14980" s="6" t="n">
        <f aca="false">Sens!C14977</f>
        <v>22.5333845916667</v>
      </c>
      <c r="D14980" s="6" t="n">
        <f aca="false">Sens!D14977</f>
        <v>34.0300093833333</v>
      </c>
      <c r="E14980" s="6" t="n">
        <f aca="false">Sens!E14977</f>
        <v>67.600153775</v>
      </c>
      <c r="F14980" s="6" t="n">
        <f aca="false">Sens!F14977</f>
        <v>130.923271871467</v>
      </c>
      <c r="G14980" s="6" t="n">
        <f aca="false">Sens!G14977</f>
        <v>151.5545564832</v>
      </c>
      <c r="H14980" s="6" t="n">
        <f aca="false">Sens!H14977</f>
        <v>156.0606619104</v>
      </c>
      <c r="I14980" s="6" t="n">
        <f aca="false">Sens!I14977</f>
        <v>140.987889434245</v>
      </c>
      <c r="J14980" s="6" t="n">
        <f aca="false">Sens!J14977</f>
        <v>113.309125559842</v>
      </c>
      <c r="K14980" s="6" t="n">
        <f aca="false">Sens!K14977</f>
        <v>116.192591420959</v>
      </c>
    </row>
    <row r="14981" customFormat="false" ht="17.15" hidden="false" customHeight="false" outlineLevel="0" collapsed="false">
      <c r="A14981" s="0" t="s">
        <v>850</v>
      </c>
      <c r="B14981" s="0" t="s">
        <v>98</v>
      </c>
      <c r="C14981" s="6" t="n">
        <f aca="false">Sens!C14980+Sens!C14978</f>
        <v>28.7416845916667</v>
      </c>
      <c r="D14981" s="6" t="n">
        <f aca="false">Sens!D14980+Sens!D14978</f>
        <v>43.4058093833333</v>
      </c>
      <c r="E14981" s="6" t="n">
        <f aca="false">Sens!E14980+Sens!E14978</f>
        <v>86.225053775</v>
      </c>
      <c r="F14981" s="6" t="n">
        <f aca="false">Sens!F14980+Sens!F14978</f>
        <v>160.332875871467</v>
      </c>
      <c r="G14981" s="6" t="n">
        <f aca="false">Sens!G14980+Sens!G14978</f>
        <v>183.5741804832</v>
      </c>
      <c r="H14981" s="6" t="n">
        <f aca="false">Sens!H14980+Sens!H14978</f>
        <v>188.0802859104</v>
      </c>
      <c r="I14981" s="6" t="n">
        <f aca="false">Sens!I14980+Sens!I14978</f>
        <v>163.706669154245</v>
      </c>
      <c r="J14981" s="6" t="n">
        <f aca="false">Sens!J14980+Sens!J14978</f>
        <v>127.181436594242</v>
      </c>
      <c r="K14981" s="6" t="n">
        <f aca="false">Sens!K14980+Sens!K14978</f>
        <v>121.407415303591</v>
      </c>
      <c r="L14981" s="11" t="s">
        <v>851</v>
      </c>
    </row>
    <row r="14982" customFormat="false" ht="17.15" hidden="false" customHeight="false" outlineLevel="0" collapsed="false">
      <c r="A14982" s="0" t="s">
        <v>852</v>
      </c>
      <c r="B14982" s="0" t="s">
        <v>98</v>
      </c>
      <c r="E14982" s="6" t="n">
        <f aca="false">(Sens!C14980*IF(2&lt;life_it,1,IF(2=life_it,0.5,0))+Sens!D14980*IF(1&lt;life_it,1,IF(1=life_it,0.5,0))+Sens!E14980*0.5)/life_it</f>
        <v>15.0605784770833</v>
      </c>
      <c r="F14982" s="6" t="n">
        <f aca="false">(Sens!C14980*IF(3&lt;life_it,1,IF(3=life_it,0.5,0))+Sens!D14980*IF(2&lt;life_it,1,IF(2=life_it,0.5,0))+Sens!E14980*IF(1&lt;life_it,1,IF(1=life_it,0.5,0))+Sens!F14980*0.5)/life_it</f>
        <v>31.6041972809556</v>
      </c>
      <c r="G14982" s="6" t="n">
        <f aca="false">(Sens!C14980*IF(4&lt;life_it,1,IF(4=life_it,0.5,0))+Sens!D14980*IF(3&lt;life_it,1,IF(3=life_it,0.5,0))+Sens!E14980*IF(2&lt;life_it,1,IF(2=life_it,0.5,0))+Sens!F14980*IF(1&lt;life_it,1,IF(1=life_it,0.5,0))+Sens!G14980*0.5)/life_it</f>
        <v>55.1440163105111</v>
      </c>
      <c r="H14982" s="6" t="n">
        <f aca="false">(Sens!C14980*IF(5&lt;life_it,1,IF(5=life_it,0.5,0))+Sens!D14980*IF(4&lt;life_it,1,IF(4=life_it,0.5,0))+Sens!E14980*IF(3&lt;life_it,1,IF(3=life_it,0.5,0))+Sens!F14980*IF(2&lt;life_it,1,IF(2=life_it,0.5,0))+Sens!G14980*IF(1&lt;life_it,1,IF(1=life_it,0.5,0))+Sens!H14980*0.5)/life_it</f>
        <v>80.7786178433111</v>
      </c>
      <c r="I14982" s="6" t="n">
        <f aca="false">(Sens!C14980*IF(6&lt;life_it,1,IF(6=life_it,0.5,0))+Sens!D14980*IF(5&lt;life_it,1,IF(5=life_it,0.5,0))+Sens!E14980*IF(4&lt;life_it,1,IF(4=life_it,0.5,0))+Sens!F14980*IF(3&lt;life_it,1,IF(3=life_it,0.5,0))+Sens!G14980*IF(2&lt;life_it,1,IF(2=life_it,0.5,0))+Sens!H14980*IF(1&lt;life_it,1,IF(1=life_it,0.5,0))+Sens!I14980*0.5)/life_it</f>
        <v>103.654881739393</v>
      </c>
      <c r="J14982" s="6" t="n">
        <f aca="false">(Sens!C14980*IF(7&lt;life_it,1,IF(7=life_it,0.5,0))+Sens!D14980*IF(6&lt;life_it,1,IF(6=life_it,0.5,0))+Sens!E14980*IF(5&lt;life_it,1,IF(5=life_it,0.5,0))+Sens!F14980*IF(4&lt;life_it,1,IF(4=life_it,0.5,0))+Sens!G14980*IF(3&lt;life_it,1,IF(3=life_it,0.5,0))+Sens!H14980*IF(2&lt;life_it,1,IF(2=life_it,0.5,0))+Sens!I14980*IF(1&lt;life_it,1,IF(1=life_it,0.5,0))+Sens!J14980*0.5)/life_it</f>
        <v>120.132683490983</v>
      </c>
      <c r="K14982" s="6" t="n">
        <f aca="false">(Sens!C14980*IF(8&lt;life_it,1,IF(8=life_it,0.5,0))+Sens!D14980*IF(7&lt;life_it,1,IF(7=life_it,0.5,0))+Sens!E14980*IF(6&lt;life_it,1,IF(6=life_it,0.5,0))+Sens!F14980*IF(5&lt;life_it,1,IF(5=life_it,0.5,0))+Sens!G14980*IF(4&lt;life_it,1,IF(4=life_it,0.5,0))+Sens!H14980*IF(3&lt;life_it,1,IF(3=life_it,0.5,0))+Sens!I14980*IF(2&lt;life_it,1,IF(2=life_it,0.5,0))+Sens!J14980*IF(1&lt;life_it,1,IF(1=life_it,0.5,0))+Sens!K14980*0.5)/life_it</f>
        <v>130.788646309522</v>
      </c>
    </row>
    <row r="14983" customFormat="false" ht="17.15" hidden="false" customHeight="false" outlineLevel="0" collapsed="false">
      <c r="A14983" s="0" t="s">
        <v>853</v>
      </c>
      <c r="B14983" s="0" t="s">
        <v>98</v>
      </c>
      <c r="E14983" s="6" t="n">
        <f aca="false">(Sens!C14978*IF(2&lt;life_fac,1,IF(2=life_fac,0.5,0))+Sens!D14978*IF(1&lt;life_fac,1,IF(1=life_fac,0.5,0))+Sens!E14978*0.5)/life_fac</f>
        <v>1.2448275</v>
      </c>
      <c r="F14983" s="6" t="n">
        <f aca="false">(Sens!C14978*IF(3&lt;life_fac,1,IF(3=life_fac,0.5,0))+Sens!D14978*IF(2&lt;life_fac,1,IF(2=life_fac,0.5,0))+Sens!E14978*IF(1&lt;life_fac,1,IF(1=life_fac,0.5,0))+Sens!F14978*0.5)/life_fac</f>
        <v>2.4456901</v>
      </c>
      <c r="G14983" s="6" t="n">
        <f aca="false">(Sens!C14978*IF(4&lt;life_fac,1,IF(4=life_fac,0.5,0))+Sens!D14978*IF(3&lt;life_fac,1,IF(3=life_fac,0.5,0))+Sens!E14978*IF(2&lt;life_fac,1,IF(2=life_fac,0.5,0))+Sens!F14978*IF(1&lt;life_fac,1,IF(1=life_fac,0.5,0))+Sens!G14978*0.5)/life_fac</f>
        <v>3.9814208</v>
      </c>
      <c r="H14983" s="6" t="n">
        <f aca="false">(Sens!C14978*IF(5&lt;life_fac,1,IF(5=life_fac,0.5,0))+Sens!D14978*IF(4&lt;life_fac,1,IF(4=life_fac,0.5,0))+Sens!E14978*IF(3&lt;life_fac,1,IF(3=life_fac,0.5,0))+Sens!F14978*IF(2&lt;life_fac,1,IF(2=life_fac,0.5,0))+Sens!G14978*IF(1&lt;life_fac,1,IF(1=life_fac,0.5,0))+Sens!H14978*0.5)/life_fac</f>
        <v>5.582402</v>
      </c>
      <c r="I14983" s="6" t="n">
        <f aca="false">(Sens!C14978*IF(6&lt;life_fac,1,IF(6=life_fac,0.5,0))+Sens!D14978*IF(5&lt;life_fac,1,IF(5=life_fac,0.5,0))+Sens!E14978*IF(4&lt;life_fac,1,IF(4=life_fac,0.5,0))+Sens!F14978*IF(3&lt;life_fac,1,IF(3=life_fac,0.5,0))+Sens!G14978*IF(2&lt;life_fac,1,IF(2=life_fac,0.5,0))+Sens!H14978*IF(1&lt;life_fac,1,IF(1=life_fac,0.5,0))+Sens!I14978*0.5)/life_fac</f>
        <v>6.950862093</v>
      </c>
      <c r="J14983" s="6" t="n">
        <f aca="false">(Sens!C14978*IF(7&lt;life_fac,1,IF(7=life_fac,0.5,0))+Sens!D14978*IF(6&lt;life_fac,1,IF(6=life_fac,0.5,0))+Sens!E14978*IF(5&lt;life_fac,1,IF(5=life_fac,0.5,0))+Sens!F14978*IF(4&lt;life_fac,1,IF(4=life_fac,0.5,0))+Sens!G14978*IF(3&lt;life_fac,1,IF(3=life_fac,0.5,0))+Sens!H14978*IF(2&lt;life_fac,1,IF(2=life_fac,0.5,0))+Sens!I14978*IF(1&lt;life_fac,1,IF(1=life_fac,0.5,0))+Sens!J14978*0.5)/life_fac</f>
        <v>7.86563936186</v>
      </c>
      <c r="K14983" s="6" t="n">
        <f aca="false">(Sens!C14978*IF(8&lt;life_fac,1,IF(8=life_fac,0.5,0))+Sens!D14978*IF(7&lt;life_fac,1,IF(7=life_fac,0.5,0))+Sens!E14978*IF(6&lt;life_fac,1,IF(6=life_fac,0.5,0))+Sens!F14978*IF(5&lt;life_fac,1,IF(5=life_fac,0.5,0))+Sens!G14978*IF(4&lt;life_fac,1,IF(4=life_fac,0.5,0))+Sens!H14978*IF(3&lt;life_fac,1,IF(3=life_fac,0.5,0))+Sens!I14978*IF(2&lt;life_fac,1,IF(2=life_fac,0.5,0))+Sens!J14978*IF(1&lt;life_fac,1,IF(1=life_fac,0.5,0))+Sens!K14978*0.5)/life_fac</f>
        <v>8.3428177347858</v>
      </c>
    </row>
    <row r="14984" customFormat="false" ht="17.15" hidden="false" customHeight="false" outlineLevel="0" collapsed="false">
      <c r="A14984" s="0" t="s">
        <v>854</v>
      </c>
      <c r="B14984" s="0" t="s">
        <v>98</v>
      </c>
      <c r="E14984" s="6" t="n">
        <f aca="false">Sens!E14982+Sens!E14983</f>
        <v>16.3054059770833</v>
      </c>
      <c r="F14984" s="6" t="n">
        <f aca="false">Sens!F14982+Sens!F14983</f>
        <v>34.0498873809555</v>
      </c>
      <c r="G14984" s="6" t="n">
        <f aca="false">Sens!G14982+Sens!G14983</f>
        <v>59.1254371105111</v>
      </c>
      <c r="H14984" s="6" t="n">
        <f aca="false">Sens!H14982+Sens!H14983</f>
        <v>86.3610198433111</v>
      </c>
      <c r="I14984" s="6" t="n">
        <f aca="false">Sens!I14982+Sens!I14983</f>
        <v>110.605743832393</v>
      </c>
      <c r="J14984" s="6" t="n">
        <f aca="false">Sens!J14982+Sens!J14983</f>
        <v>127.998322852843</v>
      </c>
      <c r="K14984" s="6" t="n">
        <f aca="false">Sens!K14982+Sens!K14983</f>
        <v>139.131464044308</v>
      </c>
    </row>
    <row r="14985" customFormat="false" ht="17.15" hidden="false" customHeight="false" outlineLevel="0" collapsed="false">
      <c r="A14985" s="0" t="s">
        <v>855</v>
      </c>
      <c r="B14985" s="0" t="s">
        <v>98</v>
      </c>
      <c r="E14985" s="6" t="n">
        <f aca="false">Sens!E14973-Sens!E14972*Sens!E14984</f>
        <v>8.92707889977379</v>
      </c>
      <c r="F14985" s="6" t="n">
        <f aca="false">Sens!F14973-Sens!F14972*Sens!F14984</f>
        <v>19.0295083206205</v>
      </c>
      <c r="G14985" s="6" t="n">
        <f aca="false">Sens!G14973-Sens!G14972*Sens!G14984</f>
        <v>31.0774922914994</v>
      </c>
      <c r="H14985" s="6" t="n">
        <f aca="false">Sens!H14973-Sens!H14972*Sens!H14984</f>
        <v>43.4030330778723</v>
      </c>
      <c r="I14985" s="6" t="n">
        <f aca="false">Sens!I14973-Sens!I14972*Sens!I14984</f>
        <v>54.3591447183526</v>
      </c>
      <c r="J14985" s="6" t="n">
        <f aca="false">Sens!J14973-Sens!J14972*Sens!J14984</f>
        <v>62.0539899656947</v>
      </c>
      <c r="K14985" s="6" t="n">
        <f aca="false">Sens!K14973-Sens!K14972*Sens!K14984</f>
        <v>67.5792921529812</v>
      </c>
    </row>
    <row r="14986" customFormat="false" ht="17.15" hidden="false" customHeight="false" outlineLevel="0" collapsed="false">
      <c r="A14986" s="3" t="s">
        <v>1642</v>
      </c>
    </row>
    <row r="14987" customFormat="false" ht="15" hidden="false" customHeight="false" outlineLevel="0" collapsed="false">
      <c r="A14987" s="4" t="s">
        <v>43</v>
      </c>
      <c r="B14987" s="4" t="s">
        <v>65</v>
      </c>
      <c r="C14987" s="20" t="s">
        <v>799</v>
      </c>
      <c r="D14987" s="20" t="s">
        <v>800</v>
      </c>
      <c r="E14987" s="20" t="s">
        <v>801</v>
      </c>
      <c r="F14987" s="20" t="s">
        <v>802</v>
      </c>
      <c r="G14987" s="20" t="s">
        <v>803</v>
      </c>
      <c r="H14987" s="20" t="s">
        <v>804</v>
      </c>
      <c r="I14987" s="20" t="s">
        <v>805</v>
      </c>
      <c r="J14987" s="20" t="s">
        <v>806</v>
      </c>
      <c r="K14987" s="20" t="s">
        <v>807</v>
      </c>
      <c r="L14987" s="4" t="s">
        <v>47</v>
      </c>
    </row>
    <row r="14988" customFormat="false" ht="17.15" hidden="false" customHeight="false" outlineLevel="0" collapsed="false">
      <c r="A14988" s="0" t="s">
        <v>874</v>
      </c>
      <c r="B14988" s="0" t="s">
        <v>98</v>
      </c>
      <c r="D14988" s="6" t="n">
        <f aca="false">Sens!D14967</f>
        <v>12.9359794422418</v>
      </c>
      <c r="E14988" s="6" t="n">
        <f aca="false">Sens!E14967</f>
        <v>27.8095064661409</v>
      </c>
      <c r="F14988" s="6" t="n">
        <f aca="false">Sens!F14967</f>
        <v>55.0640065749585</v>
      </c>
      <c r="G14988" s="6" t="n">
        <f aca="false">Sens!G14967</f>
        <v>89.4505413190538</v>
      </c>
      <c r="H14988" s="6" t="n">
        <f aca="false">Sens!H14967</f>
        <v>124.835630736874</v>
      </c>
      <c r="I14988" s="6" t="n">
        <f aca="false">Sens!I14967</f>
        <v>156.158460265485</v>
      </c>
      <c r="J14988" s="6" t="n">
        <f aca="false">Sens!J14967</f>
        <v>178.259285293112</v>
      </c>
      <c r="K14988" s="6" t="n">
        <f aca="false">Sens!K14967</f>
        <v>192.733290209798</v>
      </c>
    </row>
    <row r="14989" customFormat="false" ht="17.15" hidden="false" customHeight="false" outlineLevel="0" collapsed="false">
      <c r="A14989" s="0" t="s">
        <v>875</v>
      </c>
      <c r="B14989" s="0" t="s">
        <v>98</v>
      </c>
      <c r="D14989" s="6" t="n">
        <f aca="false">Q!L6-Sens!D14988</f>
        <v>59.6740205577583</v>
      </c>
      <c r="E14989" s="6" t="n">
        <f aca="false">Q!M6-Sens!E14988</f>
        <v>74.1284935338591</v>
      </c>
      <c r="F14989" s="6" t="n">
        <f aca="false">Sens!E14989*(1+Sens!F14990)</f>
        <v>90.0799497373663</v>
      </c>
      <c r="G14989" s="6" t="n">
        <f aca="false">Sens!F14989*(1+Sens!G14990)</f>
        <v>107.02842520331</v>
      </c>
      <c r="H14989" s="6" t="n">
        <f aca="false">Sens!G14989*(1+Sens!H14990)</f>
        <v>124.271982585636</v>
      </c>
      <c r="I14989" s="6" t="n">
        <f aca="false">Sens!H14989*(1+Sens!I14990)</f>
        <v>140.933702381855</v>
      </c>
      <c r="J14989" s="6" t="n">
        <f aca="false">Sens!I14989*(1+Sens!J14990)</f>
        <v>156.018867314332</v>
      </c>
      <c r="K14989" s="6" t="n">
        <f aca="false">Sens!J14989*(1+Sens!K14990)</f>
        <v>168.500376699478</v>
      </c>
    </row>
    <row r="14990" customFormat="false" ht="15" hidden="false" customHeight="false" outlineLevel="0" collapsed="false">
      <c r="A14990" s="1" t="s">
        <v>876</v>
      </c>
      <c r="B14990" s="0" t="s">
        <v>129</v>
      </c>
      <c r="E14990" s="7" t="n">
        <f aca="false">Sens!E14989/Sens!D14989-1</f>
        <v>0.242223883039864</v>
      </c>
      <c r="F14990" s="7" t="n">
        <f aca="false">Sens!$E$14990+(glt_azo-Sens!$E$14990)*MIN(1,(Sens!F14950-base_fy)/n_conv)</f>
        <v>0.215186569199887</v>
      </c>
      <c r="G14990" s="7" t="n">
        <f aca="false">Sens!$E$14990+(glt_azo-Sens!$E$14990)*MIN(1,(Sens!G14950-base_fy)/n_conv)</f>
        <v>0.18814925535991</v>
      </c>
      <c r="H14990" s="7" t="n">
        <f aca="false">Sens!$E$14990+(glt_azo-Sens!$E$14990)*MIN(1,(Sens!H14950-base_fy)/n_conv)</f>
        <v>0.161111941519932</v>
      </c>
      <c r="I14990" s="7" t="n">
        <f aca="false">Sens!$E$14990+(glt_azo-Sens!$E$14990)*MIN(1,(Sens!I14950-base_fy)/n_conv)</f>
        <v>0.134074627679955</v>
      </c>
      <c r="J14990" s="7" t="n">
        <f aca="false">Sens!$E$14990+(glt_azo-Sens!$E$14990)*MIN(1,(Sens!J14950-base_fy)/n_conv)</f>
        <v>0.107037313839977</v>
      </c>
      <c r="K14990" s="7" t="n">
        <f aca="false">Sens!$E$14990+(glt_azo-Sens!$E$14990)*MIN(1,(Sens!K14950-base_fy)/n_conv)</f>
        <v>0.08</v>
      </c>
    </row>
    <row r="14991" customFormat="false" ht="15" hidden="false" customHeight="false" outlineLevel="0" collapsed="false">
      <c r="A14991" s="0" t="s">
        <v>877</v>
      </c>
      <c r="B14991" s="0" t="s">
        <v>98</v>
      </c>
      <c r="D14991" s="6" t="n">
        <f aca="false">Sens!D14988+Sens!D14989</f>
        <v>72.61</v>
      </c>
      <c r="E14991" s="6" t="n">
        <f aca="false">Sens!E14988+Sens!E14989</f>
        <v>101.938</v>
      </c>
      <c r="F14991" s="6" t="n">
        <f aca="false">Sens!F14988+Sens!F14989</f>
        <v>145.143956312325</v>
      </c>
      <c r="G14991" s="6" t="n">
        <f aca="false">Sens!G14988+Sens!G14989</f>
        <v>196.478966522364</v>
      </c>
      <c r="H14991" s="6" t="n">
        <f aca="false">Sens!H14988+Sens!H14989</f>
        <v>249.10761332251</v>
      </c>
      <c r="I14991" s="6" t="n">
        <f aca="false">Sens!I14988+Sens!I14989</f>
        <v>297.09216264734</v>
      </c>
      <c r="J14991" s="6" t="n">
        <f aca="false">Sens!J14988+Sens!J14989</f>
        <v>334.278152607443</v>
      </c>
      <c r="K14991" s="6" t="n">
        <f aca="false">Sens!K14988+Sens!K14989</f>
        <v>361.233666909276</v>
      </c>
    </row>
    <row r="14992" customFormat="false" ht="17.15" hidden="false" customHeight="false" outlineLevel="0" collapsed="false">
      <c r="A14992" s="0" t="s">
        <v>878</v>
      </c>
      <c r="B14992" s="1" t="s">
        <v>528</v>
      </c>
      <c r="C14992" s="29" t="n">
        <f aca="false">cop_s24</f>
        <v>1</v>
      </c>
      <c r="D14992" s="29" t="n">
        <f aca="false">cop_s25</f>
        <v>5</v>
      </c>
      <c r="E14992" s="29" t="n">
        <f aca="false">cop_s26</f>
        <v>30</v>
      </c>
      <c r="F14992" s="29" t="n">
        <f aca="false">Sens!E14992+cop_add_B</f>
        <v>50</v>
      </c>
      <c r="G14992" s="29" t="n">
        <f aca="false">Sens!F14992+cop_add_B</f>
        <v>70</v>
      </c>
      <c r="H14992" s="29" t="n">
        <f aca="false">Sens!G14992+cop_add_B</f>
        <v>90</v>
      </c>
      <c r="I14992" s="29" t="n">
        <f aca="false">Sens!H14992+cop_add_B*cop_tail</f>
        <v>100</v>
      </c>
      <c r="J14992" s="29" t="n">
        <f aca="false">Sens!I14992+cop_add_B*cop_tail</f>
        <v>110</v>
      </c>
      <c r="K14992" s="29" t="n">
        <f aca="false">Sens!J14992+cop_add_B*cop_tail</f>
        <v>120</v>
      </c>
      <c r="L14992" s="11" t="s">
        <v>879</v>
      </c>
    </row>
    <row r="14993" customFormat="false" ht="17.15" hidden="false" customHeight="false" outlineLevel="0" collapsed="false">
      <c r="A14993" s="0" t="s">
        <v>880</v>
      </c>
      <c r="B14993" s="0" t="s">
        <v>98</v>
      </c>
      <c r="D14993" s="6" t="n">
        <f aca="false">(Sens!C14992+Sens!D14992)/2*cop_px*12/1000</f>
        <v>0.9</v>
      </c>
      <c r="E14993" s="6" t="n">
        <f aca="false">(Sens!D14992+Sens!E14992)/2*cop_px*12/1000</f>
        <v>5.25</v>
      </c>
      <c r="F14993" s="6" t="n">
        <f aca="false">(Sens!E14992+Sens!F14992)/2*cop_px*12/1000</f>
        <v>12</v>
      </c>
      <c r="G14993" s="6" t="n">
        <f aca="false">(Sens!F14992+Sens!G14992)/2*cop_px*12/1000</f>
        <v>18</v>
      </c>
      <c r="H14993" s="6" t="n">
        <f aca="false">(Sens!G14992+Sens!H14992)/2*cop_px*12/1000</f>
        <v>24</v>
      </c>
      <c r="I14993" s="6" t="n">
        <f aca="false">(Sens!H14992+Sens!I14992)/2*cop_px*12/1000</f>
        <v>28.5</v>
      </c>
      <c r="J14993" s="6" t="n">
        <f aca="false">(Sens!I14992+Sens!J14992)/2*cop_px*12/1000</f>
        <v>31.5</v>
      </c>
      <c r="K14993" s="6" t="n">
        <f aca="false">(Sens!J14992+Sens!K14992)/2*cop_px*12/1000</f>
        <v>34.5</v>
      </c>
      <c r="L14993" s="1" t="s">
        <v>881</v>
      </c>
    </row>
    <row r="14994" customFormat="false" ht="17.15" hidden="false" customHeight="false" outlineLevel="0" collapsed="false">
      <c r="A14994" s="0" t="s">
        <v>882</v>
      </c>
      <c r="B14994" s="0" t="s">
        <v>98</v>
      </c>
      <c r="D14994" s="6" t="n">
        <f aca="false">Q!L7-Sens!D14993</f>
        <v>83.705</v>
      </c>
      <c r="E14994" s="6" t="n">
        <f aca="false">Q!M7-Sens!E14993</f>
        <v>95.049</v>
      </c>
      <c r="F14994" s="6" t="n">
        <f aca="false">Sens!E14994*(1+Sens!F14995)</f>
        <v>106.89238776686</v>
      </c>
      <c r="G14994" s="6" t="n">
        <f aca="false">Sens!F14994*(1+Sens!G14995)</f>
        <v>119.044168448684</v>
      </c>
      <c r="H14994" s="6" t="n">
        <f aca="false">Sens!G14994*(1+Sens!H14995)</f>
        <v>131.277359388781</v>
      </c>
      <c r="I14994" s="6" t="n">
        <f aca="false">Sens!H14994*(1+Sens!I14995)</f>
        <v>143.334028071957</v>
      </c>
      <c r="J14994" s="6" t="n">
        <f aca="false">Sens!I14994*(1+Sens!J14995)</f>
        <v>154.932702785465</v>
      </c>
      <c r="K14994" s="6" t="n">
        <f aca="false">Sens!J14994*(1+Sens!K14995)</f>
        <v>165.777991980448</v>
      </c>
    </row>
    <row r="14995" customFormat="false" ht="15" hidden="false" customHeight="false" outlineLevel="0" collapsed="false">
      <c r="A14995" s="1" t="s">
        <v>876</v>
      </c>
      <c r="B14995" s="0" t="s">
        <v>129</v>
      </c>
      <c r="E14995" s="7" t="n">
        <f aca="false">Sens!E14994/Sens!D14994-1</f>
        <v>0.135523564900544</v>
      </c>
      <c r="F14995" s="7" t="n">
        <f aca="false">Sens!$E$14995+(glt_m365b-Sens!$E$14995)*MIN(1,(Sens!F14950-base_fy)/n_conv)</f>
        <v>0.124602970750453</v>
      </c>
      <c r="G14995" s="7" t="n">
        <f aca="false">Sens!$E$14995+(glt_m365b-Sens!$E$14995)*MIN(1,(Sens!G14950-base_fy)/n_conv)</f>
        <v>0.113682376600363</v>
      </c>
      <c r="H14995" s="7" t="n">
        <f aca="false">Sens!$E$14995+(glt_m365b-Sens!$E$14995)*MIN(1,(Sens!H14950-base_fy)/n_conv)</f>
        <v>0.102761782450272</v>
      </c>
      <c r="I14995" s="7" t="n">
        <f aca="false">Sens!$E$14995+(glt_m365b-Sens!$E$14995)*MIN(1,(Sens!I14950-base_fy)/n_conv)</f>
        <v>0.0918411883001813</v>
      </c>
      <c r="J14995" s="7" t="n">
        <f aca="false">Sens!$E$14995+(glt_m365b-Sens!$E$14995)*MIN(1,(Sens!J14950-base_fy)/n_conv)</f>
        <v>0.0809205941500906</v>
      </c>
      <c r="K14995" s="7" t="n">
        <f aca="false">Sens!$E$14995+(glt_m365b-Sens!$E$14995)*MIN(1,(Sens!K14950-base_fy)/n_conv)</f>
        <v>0.07</v>
      </c>
    </row>
    <row r="14996" customFormat="false" ht="15" hidden="false" customHeight="false" outlineLevel="0" collapsed="false">
      <c r="A14996" s="0" t="s">
        <v>883</v>
      </c>
      <c r="B14996" s="0" t="s">
        <v>98</v>
      </c>
      <c r="D14996" s="6" t="n">
        <f aca="false">Sens!D14994+Sens!D14993</f>
        <v>84.605</v>
      </c>
      <c r="E14996" s="6" t="n">
        <f aca="false">Sens!E14994+Sens!E14993</f>
        <v>100.299</v>
      </c>
      <c r="F14996" s="6" t="n">
        <f aca="false">Sens!F14994+Sens!F14993</f>
        <v>118.89238776686</v>
      </c>
      <c r="G14996" s="6" t="n">
        <f aca="false">Sens!G14994+Sens!G14993</f>
        <v>137.044168448684</v>
      </c>
      <c r="H14996" s="6" t="n">
        <f aca="false">Sens!H14994+Sens!H14993</f>
        <v>155.277359388781</v>
      </c>
      <c r="I14996" s="6" t="n">
        <f aca="false">Sens!I14994+Sens!I14993</f>
        <v>171.834028071957</v>
      </c>
      <c r="J14996" s="6" t="n">
        <f aca="false">Sens!J14994+Sens!J14993</f>
        <v>186.432702785465</v>
      </c>
      <c r="K14996" s="6" t="n">
        <f aca="false">Sens!K14994+Sens!K14993</f>
        <v>200.277991980448</v>
      </c>
    </row>
    <row r="14997" customFormat="false" ht="15" hidden="false" customHeight="false" outlineLevel="0" collapsed="false">
      <c r="A14997" s="0" t="s">
        <v>884</v>
      </c>
      <c r="B14997" s="0" t="s">
        <v>98</v>
      </c>
      <c r="D14997" s="6" t="n">
        <f aca="false">Q!L8</f>
        <v>35.391</v>
      </c>
      <c r="E14997" s="6" t="n">
        <f aca="false">Q!M8</f>
        <v>37.285</v>
      </c>
      <c r="F14997" s="6" t="n">
        <f aca="false">Sens!E14997*(1+Sens!F14998)</f>
        <v>39.0720834331704</v>
      </c>
      <c r="G14997" s="6" t="n">
        <f aca="false">Sens!F14997*(1+Sens!G14998)</f>
        <v>40.726562953769</v>
      </c>
      <c r="H14997" s="6" t="n">
        <f aca="false">Sens!G14997*(1+Sens!H14998)</f>
        <v>42.2235987259198</v>
      </c>
      <c r="I14997" s="6" t="n">
        <f aca="false">Sens!H14997*(1+Sens!I14998)</f>
        <v>43.5397988077414</v>
      </c>
      <c r="J14997" s="6" t="n">
        <f aca="false">Sens!I14997*(1+Sens!J14998)</f>
        <v>44.653811225693</v>
      </c>
      <c r="K14997" s="6" t="n">
        <f aca="false">Sens!J14997*(1+Sens!K14998)</f>
        <v>45.5468874502068</v>
      </c>
    </row>
    <row r="14998" customFormat="false" ht="15" hidden="false" customHeight="false" outlineLevel="0" collapsed="false">
      <c r="A14998" s="1" t="s">
        <v>876</v>
      </c>
      <c r="B14998" s="0" t="s">
        <v>129</v>
      </c>
      <c r="E14998" s="7" t="n">
        <f aca="false">Sens!E14997/Sens!D14997-1</f>
        <v>0.0535164307309768</v>
      </c>
      <c r="F14998" s="7" t="n">
        <f aca="false">Sens!$E$14998+(glt_lic-Sens!$E$14998)*MIN(1,(Sens!F14950-base_fy)/n_conv)</f>
        <v>0.0479303589424807</v>
      </c>
      <c r="G14998" s="7" t="n">
        <f aca="false">Sens!$E$14998+(glt_lic-Sens!$E$14998)*MIN(1,(Sens!G14950-base_fy)/n_conv)</f>
        <v>0.0423442871539845</v>
      </c>
      <c r="H14998" s="7" t="n">
        <f aca="false">Sens!$E$14998+(glt_lic-Sens!$E$14998)*MIN(1,(Sens!H14950-base_fy)/n_conv)</f>
        <v>0.0367582153654884</v>
      </c>
      <c r="I14998" s="7" t="n">
        <f aca="false">Sens!$E$14998+(glt_lic-Sens!$E$14998)*MIN(1,(Sens!I14950-base_fy)/n_conv)</f>
        <v>0.0311721435769923</v>
      </c>
      <c r="J14998" s="7" t="n">
        <f aca="false">Sens!$E$14998+(glt_lic-Sens!$E$14998)*MIN(1,(Sens!J14950-base_fy)/n_conv)</f>
        <v>0.0255860717884961</v>
      </c>
      <c r="K14998" s="7" t="n">
        <f aca="false">Sens!$E$14998+(glt_lic-Sens!$E$14998)*MIN(1,(Sens!K14950-base_fy)/n_conv)</f>
        <v>0.02</v>
      </c>
    </row>
    <row r="14999" customFormat="false" ht="15" hidden="false" customHeight="false" outlineLevel="0" collapsed="false">
      <c r="A14999" s="0" t="s">
        <v>885</v>
      </c>
      <c r="B14999" s="0" t="s">
        <v>98</v>
      </c>
      <c r="D14999" s="6" t="n">
        <f aca="false">Q!L9</f>
        <v>18.417</v>
      </c>
      <c r="E14999" s="6" t="n">
        <f aca="false">Q!M9</f>
        <v>20.345</v>
      </c>
      <c r="F14999" s="6" t="n">
        <f aca="false">Sens!E14999*(1+Sens!F15000)</f>
        <v>22.3572203267814</v>
      </c>
      <c r="G14999" s="6" t="n">
        <f aca="false">Sens!F14999*(1+Sens!G15000)</f>
        <v>24.4392124437232</v>
      </c>
      <c r="H14999" s="6" t="n">
        <f aca="false">Sens!G14999*(1+Sens!H15000)</f>
        <v>26.5738052080665</v>
      </c>
      <c r="I14999" s="6" t="n">
        <f aca="false">Sens!H14999*(1+Sens!I15000)</f>
        <v>28.7412169166967</v>
      </c>
      <c r="J14999" s="6" t="n">
        <f aca="false">Sens!I14999*(1+Sens!J15000)</f>
        <v>30.9192545395413</v>
      </c>
      <c r="K14999" s="6" t="n">
        <f aca="false">Sens!J14999*(1+Sens!K15000)</f>
        <v>33.0836023573092</v>
      </c>
    </row>
    <row r="15000" customFormat="false" ht="15" hidden="false" customHeight="false" outlineLevel="0" collapsed="false">
      <c r="A15000" s="1" t="s">
        <v>876</v>
      </c>
      <c r="B15000" s="0" t="s">
        <v>129</v>
      </c>
      <c r="E15000" s="7" t="n">
        <f aca="false">Sens!E14999/Sens!D14999-1</f>
        <v>0.104685888038225</v>
      </c>
      <c r="F15000" s="7" t="n">
        <f aca="false">Sens!$E$15000+(glt_ind-Sens!$E$15000)*MIN(1,(Sens!F14950-base_fy)/n_conv)</f>
        <v>0.0989049066985211</v>
      </c>
      <c r="G15000" s="7" t="n">
        <f aca="false">Sens!$E$15000+(glt_ind-Sens!$E$15000)*MIN(1,(Sens!G14950-base_fy)/n_conv)</f>
        <v>0.0931239253588169</v>
      </c>
      <c r="H15000" s="7" t="n">
        <f aca="false">Sens!$E$15000+(glt_ind-Sens!$E$15000)*MIN(1,(Sens!H14950-base_fy)/n_conv)</f>
        <v>0.0873429440191127</v>
      </c>
      <c r="I15000" s="7" t="n">
        <f aca="false">Sens!$E$15000+(glt_ind-Sens!$E$15000)*MIN(1,(Sens!I14950-base_fy)/n_conv)</f>
        <v>0.0815619626794085</v>
      </c>
      <c r="J15000" s="7" t="n">
        <f aca="false">Sens!$E$15000+(glt_ind-Sens!$E$15000)*MIN(1,(Sens!J14950-base_fy)/n_conv)</f>
        <v>0.0757809813397042</v>
      </c>
      <c r="K15000" s="7" t="n">
        <f aca="false">Sens!$E$15000+(glt_ind-Sens!$E$15000)*MIN(1,(Sens!K14950-base_fy)/n_conv)</f>
        <v>0.07</v>
      </c>
    </row>
    <row r="15001" customFormat="false" ht="15" hidden="false" customHeight="false" outlineLevel="0" collapsed="false">
      <c r="A15001" s="0" t="s">
        <v>886</v>
      </c>
      <c r="B15001" s="0" t="s">
        <v>98</v>
      </c>
      <c r="D15001" s="6" t="n">
        <f aca="false">Q!L10</f>
        <v>7.76</v>
      </c>
      <c r="E15001" s="6" t="n">
        <f aca="false">Q!M10</f>
        <v>8.26</v>
      </c>
      <c r="F15001" s="6" t="n">
        <f aca="false">Sens!E15001*(1+Sens!F15002)</f>
        <v>8.79988041237113</v>
      </c>
      <c r="G15001" s="6" t="n">
        <f aca="false">Sens!F15001*(1+Sens!G15002)</f>
        <v>9.38321269125306</v>
      </c>
      <c r="H15001" s="6" t="n">
        <f aca="false">Sens!G15001*(1+Sens!H15002)</f>
        <v>10.0139193587476</v>
      </c>
      <c r="I15001" s="6" t="n">
        <f aca="false">Sens!H15001*(1+Sens!I15002)</f>
        <v>10.6963111830911</v>
      </c>
      <c r="J15001" s="6" t="n">
        <f aca="false">Sens!I15001*(1+Sens!J15002)</f>
        <v>11.4351285534696</v>
      </c>
      <c r="K15001" s="6" t="n">
        <f aca="false">Sens!J15001*(1+Sens!K15002)</f>
        <v>12.2355875522124</v>
      </c>
    </row>
    <row r="15002" customFormat="false" ht="15" hidden="false" customHeight="false" outlineLevel="0" collapsed="false">
      <c r="A15002" s="1" t="s">
        <v>876</v>
      </c>
      <c r="B15002" s="0" t="s">
        <v>129</v>
      </c>
      <c r="E15002" s="7" t="n">
        <f aca="false">Sens!E15001/Sens!D15001-1</f>
        <v>0.0644329896907216</v>
      </c>
      <c r="F15002" s="7" t="n">
        <f aca="false">Sens!$E$15002+(glt_fro-Sens!$E$15002)*MIN(1,(Sens!F14950-base_fy)/n_conv)</f>
        <v>0.065360824742268</v>
      </c>
      <c r="G15002" s="7" t="n">
        <f aca="false">Sens!$E$15002+(glt_fro-Sens!$E$15002)*MIN(1,(Sens!G14950-base_fy)/n_conv)</f>
        <v>0.0662886597938144</v>
      </c>
      <c r="H15002" s="7" t="n">
        <f aca="false">Sens!$E$15002+(glt_fro-Sens!$E$15002)*MIN(1,(Sens!H14950-base_fy)/n_conv)</f>
        <v>0.0672164948453608</v>
      </c>
      <c r="I15002" s="7" t="n">
        <f aca="false">Sens!$E$15002+(glt_fro-Sens!$E$15002)*MIN(1,(Sens!I14950-base_fy)/n_conv)</f>
        <v>0.0681443298969072</v>
      </c>
      <c r="J15002" s="7" t="n">
        <f aca="false">Sens!$E$15002+(glt_fro-Sens!$E$15002)*MIN(1,(Sens!J14950-base_fy)/n_conv)</f>
        <v>0.0690721649484536</v>
      </c>
      <c r="K15002" s="7" t="n">
        <f aca="false">Sens!$E$15002+(glt_fro-Sens!$E$15002)*MIN(1,(Sens!K14950-base_fy)/n_conv)</f>
        <v>0.07</v>
      </c>
    </row>
    <row r="15003" customFormat="false" ht="15" hidden="false" customHeight="false" outlineLevel="0" collapsed="false">
      <c r="A15003" s="0" t="s">
        <v>715</v>
      </c>
      <c r="B15003" s="0" t="s">
        <v>98</v>
      </c>
      <c r="D15003" s="6" t="n">
        <f aca="false">Sens!D14991+Sens!D14996+Sens!D14997+Sens!D14999+Sens!D15001</f>
        <v>218.783</v>
      </c>
      <c r="E15003" s="6" t="n">
        <f aca="false">Sens!E14991+Sens!E14996+Sens!E14997+Sens!E14999+Sens!E15001</f>
        <v>268.127</v>
      </c>
      <c r="F15003" s="6" t="n">
        <f aca="false">Sens!F14991+Sens!F14996+Sens!F14997+Sens!F14999+Sens!F15001</f>
        <v>334.265528251508</v>
      </c>
      <c r="G15003" s="6" t="n">
        <f aca="false">Sens!G14991+Sens!G14996+Sens!G14997+Sens!G14999+Sens!G15001</f>
        <v>408.072123059793</v>
      </c>
      <c r="H15003" s="6" t="n">
        <f aca="false">Sens!H14991+Sens!H14996+Sens!H14997+Sens!H14999+Sens!H15001</f>
        <v>483.196296004025</v>
      </c>
      <c r="I15003" s="6" t="n">
        <f aca="false">Sens!I14991+Sens!I14996+Sens!I14997+Sens!I14999+Sens!I15001</f>
        <v>551.903517626826</v>
      </c>
      <c r="J15003" s="6" t="n">
        <f aca="false">Sens!J14991+Sens!J14996+Sens!J14997+Sens!J14999+Sens!J15001</f>
        <v>607.719049711612</v>
      </c>
      <c r="K15003" s="6" t="n">
        <f aca="false">Sens!K14991+Sens!K14996+Sens!K14997+Sens!K14999+Sens!K15001</f>
        <v>652.377736249452</v>
      </c>
    </row>
    <row r="15004" customFormat="false" ht="15" hidden="false" customHeight="false" outlineLevel="0" collapsed="false">
      <c r="A15004" s="0" t="s">
        <v>887</v>
      </c>
      <c r="B15004" s="0" t="s">
        <v>98</v>
      </c>
      <c r="D15004" s="6" t="n">
        <f aca="false">Q!L13</f>
        <v>22.171</v>
      </c>
      <c r="E15004" s="6" t="n">
        <f aca="false">Q!M13</f>
        <v>24.835</v>
      </c>
      <c r="F15004" s="6" t="n">
        <f aca="false">Sens!E15004*(1+Sens!F15005)</f>
        <v>27.6114901218559</v>
      </c>
      <c r="G15004" s="6" t="n">
        <f aca="false">Sens!F15004*(1+Sens!G15005)</f>
        <v>30.4675667338515</v>
      </c>
      <c r="H15004" s="6" t="n">
        <f aca="false">Sens!G15004*(1+Sens!H15005)</f>
        <v>33.3643766955789</v>
      </c>
      <c r="I15004" s="6" t="n">
        <f aca="false">Sens!H15004*(1+Sens!I15005)</f>
        <v>36.2577016533691</v>
      </c>
      <c r="J15004" s="6" t="n">
        <f aca="false">Sens!I15004*(1+Sens!J15005)</f>
        <v>39.0988367952171</v>
      </c>
      <c r="K15004" s="6" t="n">
        <f aca="false">Sens!J15004*(1+Sens!K15005)</f>
        <v>41.8357553708823</v>
      </c>
    </row>
    <row r="15005" customFormat="false" ht="15" hidden="false" customHeight="false" outlineLevel="0" collapsed="false">
      <c r="A15005" s="1" t="s">
        <v>876</v>
      </c>
      <c r="B15005" s="0" t="s">
        <v>129</v>
      </c>
      <c r="E15005" s="7" t="n">
        <f aca="false">Sens!E15004/Sens!D15004-1</f>
        <v>0.120156961796942</v>
      </c>
      <c r="F15005" s="7" t="n">
        <f aca="false">Sens!$E$15005+(glt_srch-Sens!$E$15005)*MIN(1,(Sens!F14950-base_fy)/n_conv)</f>
        <v>0.111797468164118</v>
      </c>
      <c r="G15005" s="7" t="n">
        <f aca="false">Sens!$E$15005+(glt_srch-Sens!$E$15005)*MIN(1,(Sens!G14950-base_fy)/n_conv)</f>
        <v>0.103437974531295</v>
      </c>
      <c r="H15005" s="7" t="n">
        <f aca="false">Sens!$E$15005+(glt_srch-Sens!$E$15005)*MIN(1,(Sens!H14950-base_fy)/n_conv)</f>
        <v>0.095078480898471</v>
      </c>
      <c r="I15005" s="7" t="n">
        <f aca="false">Sens!$E$15005+(glt_srch-Sens!$E$15005)*MIN(1,(Sens!I14950-base_fy)/n_conv)</f>
        <v>0.0867189872656474</v>
      </c>
      <c r="J15005" s="7" t="n">
        <f aca="false">Sens!$E$15005+(glt_srch-Sens!$E$15005)*MIN(1,(Sens!J14950-base_fy)/n_conv)</f>
        <v>0.0783594936328237</v>
      </c>
      <c r="K15005" s="7" t="n">
        <f aca="false">Sens!$E$15005+(glt_srch-Sens!$E$15005)*MIN(1,(Sens!K14950-base_fy)/n_conv)</f>
        <v>0.07</v>
      </c>
    </row>
    <row r="15006" customFormat="false" ht="15" hidden="false" customHeight="false" outlineLevel="0" collapsed="false">
      <c r="A15006" s="0" t="s">
        <v>888</v>
      </c>
      <c r="B15006" s="0" t="s">
        <v>98</v>
      </c>
      <c r="D15006" s="6" t="n">
        <f aca="false">Q!L14</f>
        <v>23.455</v>
      </c>
      <c r="E15006" s="6" t="n">
        <f aca="false">Q!M14</f>
        <v>21.79</v>
      </c>
      <c r="F15006" s="6" t="n">
        <f aca="false">Sens!E15006*(1+Sens!F15007)</f>
        <v>20.5736277908051</v>
      </c>
      <c r="G15006" s="6" t="n">
        <f aca="false">Sens!F15006*(1+Sens!G15007)</f>
        <v>19.7371452817919</v>
      </c>
      <c r="H15006" s="6" t="n">
        <f aca="false">Sens!G15006*(1+Sens!H15007)</f>
        <v>19.2339764043138</v>
      </c>
      <c r="I15006" s="6" t="n">
        <f aca="false">Sens!H15006*(1+Sens!I15007)</f>
        <v>19.0353086852681</v>
      </c>
      <c r="J15006" s="6" t="n">
        <f aca="false">Sens!I15006*(1+Sens!J15007)</f>
        <v>19.1273539319129</v>
      </c>
      <c r="K15006" s="6" t="n">
        <f aca="false">Sens!J15006*(1+Sens!K15007)</f>
        <v>19.5099010105511</v>
      </c>
    </row>
    <row r="15007" customFormat="false" ht="15" hidden="false" customHeight="false" outlineLevel="0" collapsed="false">
      <c r="A15007" s="1" t="s">
        <v>876</v>
      </c>
      <c r="B15007" s="0" t="s">
        <v>129</v>
      </c>
      <c r="E15007" s="7" t="n">
        <f aca="false">Sens!E15006/Sens!D15006-1</f>
        <v>-0.0709869963760392</v>
      </c>
      <c r="F15007" s="7" t="n">
        <f aca="false">Sens!$E$15007+(glt_xbox-Sens!$E$15007)*MIN(1,(Sens!F14950-base_fy)/n_conv)</f>
        <v>-0.0558224969800327</v>
      </c>
      <c r="G15007" s="7" t="n">
        <f aca="false">Sens!$E$15007+(glt_xbox-Sens!$E$15007)*MIN(1,(Sens!G14950-base_fy)/n_conv)</f>
        <v>-0.0406579975840262</v>
      </c>
      <c r="H15007" s="7" t="n">
        <f aca="false">Sens!$E$15007+(glt_xbox-Sens!$E$15007)*MIN(1,(Sens!H14950-base_fy)/n_conv)</f>
        <v>-0.0254934981880196</v>
      </c>
      <c r="I15007" s="7" t="n">
        <f aca="false">Sens!$E$15007+(glt_xbox-Sens!$E$15007)*MIN(1,(Sens!I14950-base_fy)/n_conv)</f>
        <v>-0.0103289987920131</v>
      </c>
      <c r="J15007" s="7" t="n">
        <f aca="false">Sens!$E$15007+(glt_xbox-Sens!$E$15007)*MIN(1,(Sens!J14950-base_fy)/n_conv)</f>
        <v>0.00483550060399347</v>
      </c>
      <c r="K15007" s="7" t="n">
        <f aca="false">Sens!$E$15007+(glt_xbox-Sens!$E$15007)*MIN(1,(Sens!K14950-base_fy)/n_conv)</f>
        <v>0.02</v>
      </c>
    </row>
    <row r="15008" customFormat="false" ht="15" hidden="false" customHeight="false" outlineLevel="0" collapsed="false">
      <c r="A15008" s="0" t="s">
        <v>889</v>
      </c>
      <c r="B15008" s="0" t="s">
        <v>98</v>
      </c>
      <c r="D15008" s="6" t="n">
        <f aca="false">Q!L15</f>
        <v>17.315</v>
      </c>
      <c r="E15008" s="6" t="n">
        <f aca="false">Q!M15</f>
        <v>17.087</v>
      </c>
      <c r="F15008" s="6" t="n">
        <f aca="false">Sens!E15008*(1+Sens!F15009)</f>
        <v>16.9564585436519</v>
      </c>
      <c r="G15008" s="6" t="n">
        <f aca="false">Sens!F15008*(1+Sens!G15009)</f>
        <v>16.9206490624268</v>
      </c>
      <c r="H15008" s="6" t="n">
        <f aca="false">Sens!G15008*(1+Sens!H15009)</f>
        <v>16.9784519149849</v>
      </c>
      <c r="I15008" s="6" t="n">
        <f aca="false">Sens!H15008*(1+Sens!I15009)</f>
        <v>17.1303084701817</v>
      </c>
      <c r="J15008" s="6" t="n">
        <f aca="false">Sens!I15008*(1+Sens!J15009)</f>
        <v>17.3782189407267</v>
      </c>
      <c r="K15008" s="6" t="n">
        <f aca="false">Sens!J15008*(1+Sens!K15009)</f>
        <v>17.7257833195413</v>
      </c>
    </row>
    <row r="15009" customFormat="false" ht="15" hidden="false" customHeight="false" outlineLevel="0" collapsed="false">
      <c r="A15009" s="1" t="s">
        <v>876</v>
      </c>
      <c r="B15009" s="0" t="s">
        <v>129</v>
      </c>
      <c r="E15009" s="7" t="n">
        <f aca="false">Sens!E15008/Sens!D15008-1</f>
        <v>-0.0131677736066995</v>
      </c>
      <c r="F15009" s="7" t="n">
        <f aca="false">Sens!$E$15009+(glt_win-Sens!$E$15009)*MIN(1,(Sens!F14950-base_fy)/n_conv)</f>
        <v>-0.00763981133891627</v>
      </c>
      <c r="G15009" s="7" t="n">
        <f aca="false">Sens!$E$15009+(glt_win-Sens!$E$15009)*MIN(1,(Sens!G14950-base_fy)/n_conv)</f>
        <v>-0.00211184907113301</v>
      </c>
      <c r="H15009" s="7" t="n">
        <f aca="false">Sens!$E$15009+(glt_win-Sens!$E$15009)*MIN(1,(Sens!H14950-base_fy)/n_conv)</f>
        <v>0.00341611319665024</v>
      </c>
      <c r="I15009" s="7" t="n">
        <f aca="false">Sens!$E$15009+(glt_win-Sens!$E$15009)*MIN(1,(Sens!I14950-base_fy)/n_conv)</f>
        <v>0.00894407546443349</v>
      </c>
      <c r="J15009" s="7" t="n">
        <f aca="false">Sens!$E$15009+(glt_win-Sens!$E$15009)*MIN(1,(Sens!J14950-base_fy)/n_conv)</f>
        <v>0.0144720377322168</v>
      </c>
      <c r="K15009" s="7" t="n">
        <f aca="false">Sens!$E$15009+(glt_win-Sens!$E$15009)*MIN(1,(Sens!K14950-base_fy)/n_conv)</f>
        <v>0.02</v>
      </c>
    </row>
    <row r="15010" customFormat="false" ht="15" hidden="false" customHeight="false" outlineLevel="0" collapsed="false">
      <c r="A15010" s="0" t="s">
        <v>729</v>
      </c>
      <c r="B15010" s="0" t="s">
        <v>98</v>
      </c>
      <c r="D15010" s="6" t="n">
        <f aca="false">Sens!D15004+Sens!D15006+Sens!D15008</f>
        <v>62.941</v>
      </c>
      <c r="E15010" s="6" t="n">
        <f aca="false">Sens!E15004+Sens!E15006+Sens!E15008</f>
        <v>63.712</v>
      </c>
      <c r="F15010" s="6" t="n">
        <f aca="false">Sens!F15004+Sens!F15006+Sens!F15008</f>
        <v>65.1415764563129</v>
      </c>
      <c r="G15010" s="6" t="n">
        <f aca="false">Sens!G15004+Sens!G15006+Sens!G15008</f>
        <v>67.1253610780702</v>
      </c>
      <c r="H15010" s="6" t="n">
        <f aca="false">Sens!H15004+Sens!H15006+Sens!H15008</f>
        <v>69.5768050148776</v>
      </c>
      <c r="I15010" s="6" t="n">
        <f aca="false">Sens!I15004+Sens!I15006+Sens!I15008</f>
        <v>72.4233188088189</v>
      </c>
      <c r="J15010" s="6" t="n">
        <f aca="false">Sens!J15004+Sens!J15006+Sens!J15008</f>
        <v>75.6044096678567</v>
      </c>
      <c r="K15010" s="6" t="n">
        <f aca="false">Sens!K15004+Sens!K15006+Sens!K15008</f>
        <v>79.0714397009747</v>
      </c>
    </row>
    <row r="15011" customFormat="false" ht="15" hidden="false" customHeight="false" outlineLevel="0" collapsed="false">
      <c r="A15011" s="1" t="s">
        <v>890</v>
      </c>
      <c r="B15011" s="0" t="s">
        <v>98</v>
      </c>
      <c r="D15011" s="6" t="n">
        <f aca="false">Sens!D15003+Sens!D15010</f>
        <v>281.724</v>
      </c>
      <c r="E15011" s="6" t="n">
        <f aca="false">Sens!E15003+Sens!E15010</f>
        <v>331.839</v>
      </c>
      <c r="F15011" s="6" t="n">
        <f aca="false">Sens!F15003+Sens!F15010</f>
        <v>399.407104707821</v>
      </c>
      <c r="G15011" s="6" t="n">
        <f aca="false">Sens!G15003+Sens!G15010</f>
        <v>475.197484137863</v>
      </c>
      <c r="H15011" s="6" t="n">
        <f aca="false">Sens!H15003+Sens!H15010</f>
        <v>552.773101018903</v>
      </c>
      <c r="I15011" s="6" t="n">
        <f aca="false">Sens!I15003+Sens!I15010</f>
        <v>624.326836435645</v>
      </c>
      <c r="J15011" s="6" t="n">
        <f aca="false">Sens!J15003+Sens!J15010</f>
        <v>683.323459379469</v>
      </c>
      <c r="K15011" s="6" t="n">
        <f aca="false">Sens!K15003+Sens!K15010</f>
        <v>731.449175950427</v>
      </c>
    </row>
    <row r="15012" customFormat="false" ht="15" hidden="false" customHeight="false" outlineLevel="0" collapsed="false">
      <c r="A15012" s="23" t="s">
        <v>891</v>
      </c>
      <c r="B15012" s="30" t="s">
        <v>98</v>
      </c>
      <c r="C15012" s="30"/>
      <c r="D15012" s="24" t="n">
        <f aca="false">(Sens!D14991+Sens!D14996+Sens!D14997+Sens!D14999+Sens!D15001-Sens!D15003)+(Sens!D15004+Sens!D15006+Sens!D15008-Sens!D15010)+(Sens!D15003-Q!L5)+(Sens!D15010-Q!L12)+(Sens!D14991-Q!L6)+(Sens!D14996-Q!L7)</f>
        <v>0</v>
      </c>
      <c r="E15012" s="24" t="n">
        <f aca="false">(Sens!E14991+Sens!E14996+Sens!E14997+Sens!E14999+Sens!E15001-Sens!E15003)+(Sens!E15004+Sens!E15006+Sens!E15008-Sens!E15010)+(Sens!E15003-Q!M5)+(Sens!E15010-Q!M12)+(Sens!E14991-Q!M6)+(Sens!E14996-Q!M7)</f>
        <v>0</v>
      </c>
      <c r="F15012" s="24" t="n">
        <f aca="false">(Sens!F14991+Sens!F14996+Sens!F14997+Sens!F14999+Sens!F15001-Sens!F15003)+(Sens!F15004+Sens!F15006+Sens!F15008-Sens!F15010)</f>
        <v>0</v>
      </c>
      <c r="G15012" s="24" t="n">
        <f aca="false">(Sens!G14991+Sens!G14996+Sens!G14997+Sens!G14999+Sens!G15001-Sens!G15003)+(Sens!G15004+Sens!G15006+Sens!G15008-Sens!G15010)</f>
        <v>0</v>
      </c>
      <c r="H15012" s="24" t="n">
        <f aca="false">(Sens!H14991+Sens!H14996+Sens!H14997+Sens!H14999+Sens!H15001-Sens!H15003)+(Sens!H15004+Sens!H15006+Sens!H15008-Sens!H15010)</f>
        <v>0</v>
      </c>
      <c r="I15012" s="24" t="n">
        <f aca="false">(Sens!I14991+Sens!I14996+Sens!I14997+Sens!I14999+Sens!I15001-Sens!I15003)+(Sens!I15004+Sens!I15006+Sens!I15008-Sens!I15010)</f>
        <v>0</v>
      </c>
      <c r="J15012" s="24" t="n">
        <f aca="false">(Sens!J14991+Sens!J14996+Sens!J14997+Sens!J14999+Sens!J15001-Sens!J15003)+(Sens!J15004+Sens!J15006+Sens!J15008-Sens!J15010)</f>
        <v>0</v>
      </c>
      <c r="K15012" s="24" t="n">
        <f aca="false">(Sens!K14991+Sens!K14996+Sens!K14997+Sens!K14999+Sens!K15001-Sens!K15003)+(Sens!K15004+Sens!K15006+Sens!K15008-Sens!K15010)</f>
        <v>0</v>
      </c>
    </row>
    <row r="15013" customFormat="false" ht="17.15" hidden="false" customHeight="false" outlineLevel="0" collapsed="false">
      <c r="A15013" s="3" t="s">
        <v>1643</v>
      </c>
    </row>
    <row r="15014" customFormat="false" ht="15" hidden="false" customHeight="false" outlineLevel="0" collapsed="false">
      <c r="A15014" s="4" t="s">
        <v>43</v>
      </c>
      <c r="B15014" s="4" t="s">
        <v>65</v>
      </c>
      <c r="C15014" s="20" t="s">
        <v>799</v>
      </c>
      <c r="D15014" s="20" t="s">
        <v>800</v>
      </c>
      <c r="E15014" s="20" t="s">
        <v>801</v>
      </c>
      <c r="F15014" s="20" t="s">
        <v>802</v>
      </c>
      <c r="G15014" s="20" t="s">
        <v>803</v>
      </c>
      <c r="H15014" s="20" t="s">
        <v>804</v>
      </c>
      <c r="I15014" s="20" t="s">
        <v>805</v>
      </c>
      <c r="J15014" s="20" t="s">
        <v>806</v>
      </c>
      <c r="K15014" s="20" t="s">
        <v>807</v>
      </c>
      <c r="L15014" s="4" t="s">
        <v>47</v>
      </c>
    </row>
    <row r="15015" customFormat="false" ht="15" hidden="false" customHeight="false" outlineLevel="0" collapsed="false">
      <c r="A15015" s="0" t="s">
        <v>877</v>
      </c>
      <c r="B15015" s="0" t="s">
        <v>98</v>
      </c>
      <c r="D15015" s="6" t="n">
        <f aca="false">Sens!D14991</f>
        <v>72.61</v>
      </c>
      <c r="E15015" s="6" t="n">
        <f aca="false">Sens!E14991</f>
        <v>101.938</v>
      </c>
      <c r="F15015" s="6" t="n">
        <f aca="false">Sens!F14991</f>
        <v>145.143956312325</v>
      </c>
      <c r="G15015" s="6" t="n">
        <f aca="false">Sens!G14991</f>
        <v>196.478966522364</v>
      </c>
      <c r="H15015" s="6" t="n">
        <f aca="false">Sens!H14991</f>
        <v>249.10761332251</v>
      </c>
      <c r="I15015" s="6" t="n">
        <f aca="false">Sens!I14991</f>
        <v>297.09216264734</v>
      </c>
      <c r="J15015" s="6" t="n">
        <f aca="false">Sens!J14991</f>
        <v>334.278152607443</v>
      </c>
      <c r="K15015" s="6" t="n">
        <f aca="false">Sens!K14991</f>
        <v>361.233666909276</v>
      </c>
    </row>
    <row r="15016" customFormat="false" ht="17.15" hidden="false" customHeight="false" outlineLevel="0" collapsed="false">
      <c r="A15016" s="0" t="s">
        <v>874</v>
      </c>
      <c r="B15016" s="0" t="s">
        <v>98</v>
      </c>
      <c r="D15016" s="6" t="n">
        <f aca="false">Sens!D14988</f>
        <v>12.9359794422418</v>
      </c>
      <c r="E15016" s="6" t="n">
        <f aca="false">Sens!E14988</f>
        <v>27.8095064661409</v>
      </c>
      <c r="F15016" s="6" t="n">
        <f aca="false">Sens!F14988</f>
        <v>55.0640065749585</v>
      </c>
      <c r="G15016" s="6" t="n">
        <f aca="false">Sens!G14988</f>
        <v>89.4505413190538</v>
      </c>
      <c r="H15016" s="6" t="n">
        <f aca="false">Sens!H14988</f>
        <v>124.835630736874</v>
      </c>
      <c r="I15016" s="6" t="n">
        <f aca="false">Sens!I14988</f>
        <v>156.158460265485</v>
      </c>
      <c r="J15016" s="6" t="n">
        <f aca="false">Sens!J14988</f>
        <v>178.259285293112</v>
      </c>
      <c r="K15016" s="6" t="n">
        <f aca="false">Sens!K14988</f>
        <v>192.733290209798</v>
      </c>
    </row>
    <row r="15017" customFormat="false" ht="17.15" hidden="false" customHeight="false" outlineLevel="0" collapsed="false">
      <c r="A15017" s="0" t="s">
        <v>902</v>
      </c>
      <c r="B15017" s="0" t="s">
        <v>98</v>
      </c>
      <c r="D15017" s="6" t="n">
        <f aca="false">Sens!D14989</f>
        <v>59.6740205577583</v>
      </c>
      <c r="E15017" s="6" t="n">
        <f aca="false">Sens!E14989</f>
        <v>74.1284935338591</v>
      </c>
      <c r="F15017" s="6" t="n">
        <f aca="false">Sens!F14989</f>
        <v>90.0799497373663</v>
      </c>
      <c r="G15017" s="6" t="n">
        <f aca="false">Sens!G14989</f>
        <v>107.02842520331</v>
      </c>
      <c r="H15017" s="6" t="n">
        <f aca="false">Sens!H14989</f>
        <v>124.271982585636</v>
      </c>
      <c r="I15017" s="6" t="n">
        <f aca="false">Sens!I14989</f>
        <v>140.933702381855</v>
      </c>
      <c r="J15017" s="6" t="n">
        <f aca="false">Sens!J14989</f>
        <v>156.018867314332</v>
      </c>
      <c r="K15017" s="6" t="n">
        <f aca="false">Sens!K14989</f>
        <v>168.500376699478</v>
      </c>
    </row>
    <row r="15018" customFormat="false" ht="15" hidden="false" customHeight="false" outlineLevel="0" collapsed="false">
      <c r="A15018" s="0" t="s">
        <v>883</v>
      </c>
      <c r="B15018" s="0" t="s">
        <v>98</v>
      </c>
      <c r="D15018" s="6" t="n">
        <f aca="false">Sens!D14996</f>
        <v>84.605</v>
      </c>
      <c r="E15018" s="6" t="n">
        <f aca="false">Sens!E14996</f>
        <v>100.299</v>
      </c>
      <c r="F15018" s="6" t="n">
        <f aca="false">Sens!F14996</f>
        <v>118.89238776686</v>
      </c>
      <c r="G15018" s="6" t="n">
        <f aca="false">Sens!G14996</f>
        <v>137.044168448684</v>
      </c>
      <c r="H15018" s="6" t="n">
        <f aca="false">Sens!H14996</f>
        <v>155.277359388781</v>
      </c>
      <c r="I15018" s="6" t="n">
        <f aca="false">Sens!I14996</f>
        <v>171.834028071957</v>
      </c>
      <c r="J15018" s="6" t="n">
        <f aca="false">Sens!J14996</f>
        <v>186.432702785465</v>
      </c>
      <c r="K15018" s="6" t="n">
        <f aca="false">Sens!K14996</f>
        <v>200.277991980448</v>
      </c>
    </row>
    <row r="15019" customFormat="false" ht="17.15" hidden="false" customHeight="false" outlineLevel="0" collapsed="false">
      <c r="A15019" s="0" t="s">
        <v>903</v>
      </c>
      <c r="B15019" s="0" t="s">
        <v>98</v>
      </c>
      <c r="D15019" s="6" t="n">
        <f aca="false">Sens!D14994</f>
        <v>83.705</v>
      </c>
      <c r="E15019" s="6" t="n">
        <f aca="false">Sens!E14994</f>
        <v>95.049</v>
      </c>
      <c r="F15019" s="6" t="n">
        <f aca="false">Sens!F14994</f>
        <v>106.89238776686</v>
      </c>
      <c r="G15019" s="6" t="n">
        <f aca="false">Sens!G14994</f>
        <v>119.044168448684</v>
      </c>
      <c r="H15019" s="6" t="n">
        <f aca="false">Sens!H14994</f>
        <v>131.277359388781</v>
      </c>
      <c r="I15019" s="6" t="n">
        <f aca="false">Sens!I14994</f>
        <v>143.334028071957</v>
      </c>
      <c r="J15019" s="6" t="n">
        <f aca="false">Sens!J14994</f>
        <v>154.932702785465</v>
      </c>
      <c r="K15019" s="6" t="n">
        <f aca="false">Sens!K14994</f>
        <v>165.777991980448</v>
      </c>
    </row>
    <row r="15020" customFormat="false" ht="17.15" hidden="false" customHeight="false" outlineLevel="0" collapsed="false">
      <c r="A15020" s="0" t="s">
        <v>904</v>
      </c>
      <c r="B15020" s="0" t="s">
        <v>98</v>
      </c>
      <c r="D15020" s="6" t="n">
        <f aca="false">Sens!D14993</f>
        <v>0.9</v>
      </c>
      <c r="E15020" s="6" t="n">
        <f aca="false">Sens!E14993</f>
        <v>5.25</v>
      </c>
      <c r="F15020" s="6" t="n">
        <f aca="false">Sens!F14993</f>
        <v>12</v>
      </c>
      <c r="G15020" s="6" t="n">
        <f aca="false">Sens!G14993</f>
        <v>18</v>
      </c>
      <c r="H15020" s="6" t="n">
        <f aca="false">Sens!H14993</f>
        <v>24</v>
      </c>
      <c r="I15020" s="6" t="n">
        <f aca="false">Sens!I14993</f>
        <v>28.5</v>
      </c>
      <c r="J15020" s="6" t="n">
        <f aca="false">Sens!J14993</f>
        <v>31.5</v>
      </c>
      <c r="K15020" s="6" t="n">
        <f aca="false">Sens!K14993</f>
        <v>34.5</v>
      </c>
    </row>
    <row r="15021" customFormat="false" ht="15" hidden="false" customHeight="false" outlineLevel="0" collapsed="false">
      <c r="A15021" s="0" t="s">
        <v>884</v>
      </c>
      <c r="B15021" s="0" t="s">
        <v>98</v>
      </c>
      <c r="D15021" s="6" t="n">
        <f aca="false">Sens!D14997</f>
        <v>35.391</v>
      </c>
      <c r="E15021" s="6" t="n">
        <f aca="false">Sens!E14997</f>
        <v>37.285</v>
      </c>
      <c r="F15021" s="6" t="n">
        <f aca="false">Sens!F14997</f>
        <v>39.0720834331704</v>
      </c>
      <c r="G15021" s="6" t="n">
        <f aca="false">Sens!G14997</f>
        <v>40.726562953769</v>
      </c>
      <c r="H15021" s="6" t="n">
        <f aca="false">Sens!H14997</f>
        <v>42.2235987259198</v>
      </c>
      <c r="I15021" s="6" t="n">
        <f aca="false">Sens!I14997</f>
        <v>43.5397988077414</v>
      </c>
      <c r="J15021" s="6" t="n">
        <f aca="false">Sens!J14997</f>
        <v>44.653811225693</v>
      </c>
      <c r="K15021" s="6" t="n">
        <f aca="false">Sens!K14997</f>
        <v>45.5468874502068</v>
      </c>
    </row>
    <row r="15022" customFormat="false" ht="15" hidden="false" customHeight="false" outlineLevel="0" collapsed="false">
      <c r="A15022" s="0" t="s">
        <v>885</v>
      </c>
      <c r="B15022" s="0" t="s">
        <v>98</v>
      </c>
      <c r="D15022" s="6" t="n">
        <f aca="false">Sens!D14999</f>
        <v>18.417</v>
      </c>
      <c r="E15022" s="6" t="n">
        <f aca="false">Sens!E14999</f>
        <v>20.345</v>
      </c>
      <c r="F15022" s="6" t="n">
        <f aca="false">Sens!F14999</f>
        <v>22.3572203267814</v>
      </c>
      <c r="G15022" s="6" t="n">
        <f aca="false">Sens!G14999</f>
        <v>24.4392124437232</v>
      </c>
      <c r="H15022" s="6" t="n">
        <f aca="false">Sens!H14999</f>
        <v>26.5738052080665</v>
      </c>
      <c r="I15022" s="6" t="n">
        <f aca="false">Sens!I14999</f>
        <v>28.7412169166967</v>
      </c>
      <c r="J15022" s="6" t="n">
        <f aca="false">Sens!J14999</f>
        <v>30.9192545395413</v>
      </c>
      <c r="K15022" s="6" t="n">
        <f aca="false">Sens!K14999</f>
        <v>33.0836023573092</v>
      </c>
    </row>
    <row r="15023" customFormat="false" ht="15" hidden="false" customHeight="false" outlineLevel="0" collapsed="false">
      <c r="A15023" s="0" t="s">
        <v>886</v>
      </c>
      <c r="B15023" s="0" t="s">
        <v>98</v>
      </c>
      <c r="D15023" s="6" t="n">
        <f aca="false">Sens!D15001</f>
        <v>7.76</v>
      </c>
      <c r="E15023" s="6" t="n">
        <f aca="false">Sens!E15001</f>
        <v>8.26</v>
      </c>
      <c r="F15023" s="6" t="n">
        <f aca="false">Sens!F15001</f>
        <v>8.79988041237113</v>
      </c>
      <c r="G15023" s="6" t="n">
        <f aca="false">Sens!G15001</f>
        <v>9.38321269125306</v>
      </c>
      <c r="H15023" s="6" t="n">
        <f aca="false">Sens!H15001</f>
        <v>10.0139193587476</v>
      </c>
      <c r="I15023" s="6" t="n">
        <f aca="false">Sens!I15001</f>
        <v>10.6963111830911</v>
      </c>
      <c r="J15023" s="6" t="n">
        <f aca="false">Sens!J15001</f>
        <v>11.4351285534696</v>
      </c>
      <c r="K15023" s="6" t="n">
        <f aca="false">Sens!K15001</f>
        <v>12.2355875522124</v>
      </c>
    </row>
    <row r="15024" customFormat="false" ht="15" hidden="false" customHeight="false" outlineLevel="0" collapsed="false">
      <c r="A15024" s="0" t="s">
        <v>715</v>
      </c>
      <c r="B15024" s="0" t="s">
        <v>98</v>
      </c>
      <c r="D15024" s="6" t="n">
        <f aca="false">Sens!D15003</f>
        <v>218.783</v>
      </c>
      <c r="E15024" s="6" t="n">
        <f aca="false">Sens!E15003</f>
        <v>268.127</v>
      </c>
      <c r="F15024" s="6" t="n">
        <f aca="false">Sens!F15003</f>
        <v>334.265528251508</v>
      </c>
      <c r="G15024" s="6" t="n">
        <f aca="false">Sens!G15003</f>
        <v>408.072123059793</v>
      </c>
      <c r="H15024" s="6" t="n">
        <f aca="false">Sens!H15003</f>
        <v>483.196296004025</v>
      </c>
      <c r="I15024" s="6" t="n">
        <f aca="false">Sens!I15003</f>
        <v>551.903517626826</v>
      </c>
      <c r="J15024" s="6" t="n">
        <f aca="false">Sens!J15003</f>
        <v>607.719049711612</v>
      </c>
      <c r="K15024" s="6" t="n">
        <f aca="false">Sens!K15003</f>
        <v>652.377736249452</v>
      </c>
    </row>
    <row r="15025" customFormat="false" ht="15" hidden="false" customHeight="false" outlineLevel="0" collapsed="false">
      <c r="A15025" s="0" t="s">
        <v>887</v>
      </c>
      <c r="B15025" s="0" t="s">
        <v>98</v>
      </c>
      <c r="D15025" s="6" t="n">
        <f aca="false">Sens!D15004</f>
        <v>22.171</v>
      </c>
      <c r="E15025" s="6" t="n">
        <f aca="false">Sens!E15004</f>
        <v>24.835</v>
      </c>
      <c r="F15025" s="6" t="n">
        <f aca="false">Sens!F15004</f>
        <v>27.6114901218559</v>
      </c>
      <c r="G15025" s="6" t="n">
        <f aca="false">Sens!G15004</f>
        <v>30.4675667338515</v>
      </c>
      <c r="H15025" s="6" t="n">
        <f aca="false">Sens!H15004</f>
        <v>33.3643766955789</v>
      </c>
      <c r="I15025" s="6" t="n">
        <f aca="false">Sens!I15004</f>
        <v>36.2577016533691</v>
      </c>
      <c r="J15025" s="6" t="n">
        <f aca="false">Sens!J15004</f>
        <v>39.0988367952171</v>
      </c>
      <c r="K15025" s="6" t="n">
        <f aca="false">Sens!K15004</f>
        <v>41.8357553708823</v>
      </c>
    </row>
    <row r="15026" customFormat="false" ht="15" hidden="false" customHeight="false" outlineLevel="0" collapsed="false">
      <c r="A15026" s="0" t="s">
        <v>888</v>
      </c>
      <c r="B15026" s="0" t="s">
        <v>98</v>
      </c>
      <c r="D15026" s="6" t="n">
        <f aca="false">Sens!D15006</f>
        <v>23.455</v>
      </c>
      <c r="E15026" s="6" t="n">
        <f aca="false">Sens!E15006</f>
        <v>21.79</v>
      </c>
      <c r="F15026" s="6" t="n">
        <f aca="false">Sens!F15006</f>
        <v>20.5736277908051</v>
      </c>
      <c r="G15026" s="6" t="n">
        <f aca="false">Sens!G15006</f>
        <v>19.7371452817919</v>
      </c>
      <c r="H15026" s="6" t="n">
        <f aca="false">Sens!H15006</f>
        <v>19.2339764043138</v>
      </c>
      <c r="I15026" s="6" t="n">
        <f aca="false">Sens!I15006</f>
        <v>19.0353086852681</v>
      </c>
      <c r="J15026" s="6" t="n">
        <f aca="false">Sens!J15006</f>
        <v>19.1273539319129</v>
      </c>
      <c r="K15026" s="6" t="n">
        <f aca="false">Sens!K15006</f>
        <v>19.5099010105511</v>
      </c>
    </row>
    <row r="15027" customFormat="false" ht="15" hidden="false" customHeight="false" outlineLevel="0" collapsed="false">
      <c r="A15027" s="0" t="s">
        <v>889</v>
      </c>
      <c r="B15027" s="0" t="s">
        <v>98</v>
      </c>
      <c r="D15027" s="6" t="n">
        <f aca="false">Sens!D15008</f>
        <v>17.315</v>
      </c>
      <c r="E15027" s="6" t="n">
        <f aca="false">Sens!E15008</f>
        <v>17.087</v>
      </c>
      <c r="F15027" s="6" t="n">
        <f aca="false">Sens!F15008</f>
        <v>16.9564585436519</v>
      </c>
      <c r="G15027" s="6" t="n">
        <f aca="false">Sens!G15008</f>
        <v>16.9206490624268</v>
      </c>
      <c r="H15027" s="6" t="n">
        <f aca="false">Sens!H15008</f>
        <v>16.9784519149849</v>
      </c>
      <c r="I15027" s="6" t="n">
        <f aca="false">Sens!I15008</f>
        <v>17.1303084701817</v>
      </c>
      <c r="J15027" s="6" t="n">
        <f aca="false">Sens!J15008</f>
        <v>17.3782189407267</v>
      </c>
      <c r="K15027" s="6" t="n">
        <f aca="false">Sens!K15008</f>
        <v>17.7257833195413</v>
      </c>
    </row>
    <row r="15028" customFormat="false" ht="15" hidden="false" customHeight="false" outlineLevel="0" collapsed="false">
      <c r="A15028" s="0" t="s">
        <v>729</v>
      </c>
      <c r="B15028" s="0" t="s">
        <v>98</v>
      </c>
      <c r="D15028" s="6" t="n">
        <f aca="false">Sens!D15010</f>
        <v>62.941</v>
      </c>
      <c r="E15028" s="6" t="n">
        <f aca="false">Sens!E15010</f>
        <v>63.712</v>
      </c>
      <c r="F15028" s="6" t="n">
        <f aca="false">Sens!F15010</f>
        <v>65.1415764563129</v>
      </c>
      <c r="G15028" s="6" t="n">
        <f aca="false">Sens!G15010</f>
        <v>67.1253610780702</v>
      </c>
      <c r="H15028" s="6" t="n">
        <f aca="false">Sens!H15010</f>
        <v>69.5768050148776</v>
      </c>
      <c r="I15028" s="6" t="n">
        <f aca="false">Sens!I15010</f>
        <v>72.4233188088189</v>
      </c>
      <c r="J15028" s="6" t="n">
        <f aca="false">Sens!J15010</f>
        <v>75.6044096678567</v>
      </c>
      <c r="K15028" s="6" t="n">
        <f aca="false">Sens!K15010</f>
        <v>79.0714397009747</v>
      </c>
    </row>
    <row r="15029" customFormat="false" ht="15" hidden="false" customHeight="false" outlineLevel="0" collapsed="false">
      <c r="A15029" s="1" t="s">
        <v>905</v>
      </c>
      <c r="B15029" s="0" t="s">
        <v>98</v>
      </c>
      <c r="D15029" s="6" t="n">
        <f aca="false">Sens!D15011</f>
        <v>281.724</v>
      </c>
      <c r="E15029" s="6" t="n">
        <f aca="false">Sens!E15011</f>
        <v>331.839</v>
      </c>
      <c r="F15029" s="6" t="n">
        <f aca="false">Sens!F15011</f>
        <v>399.407104707821</v>
      </c>
      <c r="G15029" s="6" t="n">
        <f aca="false">Sens!G15011</f>
        <v>475.197484137863</v>
      </c>
      <c r="H15029" s="6" t="n">
        <f aca="false">Sens!H15011</f>
        <v>552.773101018903</v>
      </c>
      <c r="I15029" s="6" t="n">
        <f aca="false">Sens!I15011</f>
        <v>624.326836435645</v>
      </c>
      <c r="J15029" s="6" t="n">
        <f aca="false">Sens!J15011</f>
        <v>683.323459379469</v>
      </c>
      <c r="K15029" s="6" t="n">
        <f aca="false">Sens!K15011</f>
        <v>731.449175950427</v>
      </c>
    </row>
    <row r="15030" customFormat="false" ht="15" hidden="false" customHeight="false" outlineLevel="0" collapsed="false">
      <c r="A15030" s="1" t="s">
        <v>906</v>
      </c>
      <c r="B15030" s="0" t="s">
        <v>129</v>
      </c>
      <c r="E15030" s="7" t="n">
        <f aca="false">Sens!E15029/Sens!D15029-1</f>
        <v>0.177886867998467</v>
      </c>
      <c r="F15030" s="7" t="n">
        <f aca="false">Sens!F15029/Sens!E15029-1</f>
        <v>0.203617129715978</v>
      </c>
      <c r="G15030" s="7" t="n">
        <f aca="false">Sens!G15029/Sens!F15029-1</f>
        <v>0.189757213972159</v>
      </c>
      <c r="H15030" s="7" t="n">
        <f aca="false">Sens!H15029/Sens!G15029-1</f>
        <v>0.163249216316418</v>
      </c>
      <c r="I15030" s="7" t="n">
        <f aca="false">Sens!I15029/Sens!H15029-1</f>
        <v>0.129445038633121</v>
      </c>
      <c r="J15030" s="7" t="n">
        <f aca="false">Sens!J15029/Sens!I15029-1</f>
        <v>0.0944963751368479</v>
      </c>
      <c r="K15030" s="7" t="n">
        <f aca="false">Sens!K15029/Sens!J15029-1</f>
        <v>0.0704288955843271</v>
      </c>
    </row>
    <row r="15031" customFormat="false" ht="17.15" hidden="false" customHeight="false" outlineLevel="0" collapsed="false">
      <c r="A15031" s="23" t="s">
        <v>907</v>
      </c>
      <c r="B15031" s="30" t="s">
        <v>98</v>
      </c>
      <c r="C15031" s="30"/>
      <c r="D15031" s="24" t="n">
        <f aca="false">(Sens!D15024+Sens!D15028-Sens!D15029)+(Sens!D15016+Sens!D15017-Sens!D15015)+(Sens!D15019+Sens!D15020-Sens!D15018)+(Sens!D15029-Q!L18)</f>
        <v>0</v>
      </c>
      <c r="E15031" s="24" t="n">
        <f aca="false">(Sens!E15024+Sens!E15028-Sens!E15029)+(Sens!E15016+Sens!E15017-Sens!E15015)+(Sens!E15019+Sens!E15020-Sens!E15018)+(Sens!E15029-Q!M18)</f>
        <v>0</v>
      </c>
      <c r="F15031" s="24" t="n">
        <f aca="false">(Sens!F15024+Sens!F15028-Sens!F15029)+(Sens!F15016+Sens!F15017-Sens!F15015)+(Sens!F15019+Sens!F15020-Sens!F15018)</f>
        <v>0</v>
      </c>
      <c r="G15031" s="24" t="n">
        <f aca="false">(Sens!G15024+Sens!G15028-Sens!G15029)+(Sens!G15016+Sens!G15017-Sens!G15015)+(Sens!G15019+Sens!G15020-Sens!G15018)</f>
        <v>0</v>
      </c>
      <c r="H15031" s="24" t="n">
        <f aca="false">(Sens!H15024+Sens!H15028-Sens!H15029)+(Sens!H15016+Sens!H15017-Sens!H15015)+(Sens!H15019+Sens!H15020-Sens!H15018)</f>
        <v>0</v>
      </c>
      <c r="I15031" s="24" t="n">
        <f aca="false">(Sens!I15024+Sens!I15028-Sens!I15029)+(Sens!I15016+Sens!I15017-Sens!I15015)+(Sens!I15019+Sens!I15020-Sens!I15018)</f>
        <v>0</v>
      </c>
      <c r="J15031" s="24" t="n">
        <f aca="false">(Sens!J15024+Sens!J15028-Sens!J15029)+(Sens!J15016+Sens!J15017-Sens!J15015)+(Sens!J15019+Sens!J15020-Sens!J15018)</f>
        <v>0</v>
      </c>
      <c r="K15031" s="24" t="n">
        <f aca="false">(Sens!K15024+Sens!K15028-Sens!K15029)+(Sens!K15016+Sens!K15017-Sens!K15015)+(Sens!K15019+Sens!K15020-Sens!K15018)</f>
        <v>0</v>
      </c>
    </row>
    <row r="15032" customFormat="false" ht="17.15" hidden="false" customHeight="false" outlineLevel="0" collapsed="false">
      <c r="A15032" s="0" t="s">
        <v>908</v>
      </c>
      <c r="B15032" s="0" t="s">
        <v>129</v>
      </c>
      <c r="E15032" s="7" t="n">
        <f aca="false">(Q!M21+Sens!E14969+Sens!E14970+Sens!E14971+Sens!E14984-Sens!E14967)/(Q!M5-Sens!E14967)</f>
        <v>0.570957350878296</v>
      </c>
      <c r="F15032" s="7" t="n">
        <f aca="false">Sens!$E$15032+dm_seg</f>
        <v>0.570957350878296</v>
      </c>
      <c r="G15032" s="7" t="n">
        <f aca="false">Sens!$E$15032+dm_seg</f>
        <v>0.570957350878296</v>
      </c>
      <c r="H15032" s="7" t="n">
        <f aca="false">Sens!$E$15032+dm_seg</f>
        <v>0.570957350878296</v>
      </c>
      <c r="I15032" s="7" t="n">
        <f aca="false">Sens!$E$15032+dm_seg</f>
        <v>0.570957350878296</v>
      </c>
      <c r="J15032" s="7" t="n">
        <f aca="false">Sens!$E$15032+dm_seg</f>
        <v>0.570957350878296</v>
      </c>
      <c r="K15032" s="7" t="n">
        <f aca="false">Sens!$E$15032+dm_seg</f>
        <v>0.570957350878296</v>
      </c>
      <c r="L15032" s="11" t="s">
        <v>909</v>
      </c>
    </row>
    <row r="15033" customFormat="false" ht="17.15" hidden="false" customHeight="false" outlineLevel="0" collapsed="false">
      <c r="A15033" s="0" t="s">
        <v>743</v>
      </c>
      <c r="B15033" s="0" t="s">
        <v>98</v>
      </c>
      <c r="D15033" s="6" t="n">
        <f aca="false">Q!L21</f>
        <v>110.814</v>
      </c>
      <c r="E15033" s="6" t="n">
        <f aca="false">Q!M21</f>
        <v>136.365</v>
      </c>
      <c r="F15033" s="6" t="n">
        <f aca="false">Sens!F15032*(Sens!F15003-Sens!F14967)+Sens!F14967-(Sens!F14969+Sens!F14970+Sens!F14971)-Sens!F14984-Sens!F15067</f>
        <v>157.460006305463</v>
      </c>
      <c r="G15033" s="6" t="n">
        <f aca="false">Sens!G15032*(Sens!G15003-Sens!G14967)+Sens!G14967-(Sens!G14969+Sens!G14970+Sens!G14971)-Sens!G14984-Sens!G15067</f>
        <v>177.816120595567</v>
      </c>
      <c r="H15033" s="6" t="n">
        <f aca="false">Sens!H15032*(Sens!H15003-Sens!H14967)+Sens!H14967-(Sens!H14969+Sens!H14970+Sens!H14971)-Sens!H14984-Sens!H15067</f>
        <v>197.532540809638</v>
      </c>
      <c r="I15033" s="6" t="n">
        <f aca="false">Sens!I15032*(Sens!I15003-Sens!I14967)+Sens!I14967-(Sens!I14969+Sens!I14970+Sens!I14971)-Sens!I14984-Sens!I15067</f>
        <v>216.322864991873</v>
      </c>
      <c r="J15033" s="6" t="n">
        <f aca="false">Sens!J15032*(Sens!J15003-Sens!J14967)+Sens!J14967-(Sens!J14969+Sens!J14970+Sens!J14971)-Sens!J14984-Sens!J15067</f>
        <v>233.723801439613</v>
      </c>
      <c r="K15033" s="6" t="n">
        <f aca="false">Sens!K15032*(Sens!K15003-Sens!K14967)+Sens!K14967-(Sens!K14969+Sens!K14970+Sens!K14971)-Sens!K14984-Sens!K15067</f>
        <v>250.571843767052</v>
      </c>
      <c r="L15033" s="1" t="s">
        <v>910</v>
      </c>
    </row>
    <row r="15034" customFormat="false" ht="17.15" hidden="false" customHeight="false" outlineLevel="0" collapsed="false">
      <c r="A15034" s="0" t="s">
        <v>911</v>
      </c>
      <c r="B15034" s="0" t="s">
        <v>129</v>
      </c>
      <c r="E15034" s="7" t="n">
        <f aca="false">Q!M22/Q!M12</f>
        <v>0.296207935710698</v>
      </c>
      <c r="F15034" s="7" t="n">
        <f aca="false">Sens!$E$15034+dm_seg</f>
        <v>0.296207935710698</v>
      </c>
      <c r="G15034" s="7" t="n">
        <f aca="false">Sens!$E$15034+dm_seg</f>
        <v>0.296207935710698</v>
      </c>
      <c r="H15034" s="7" t="n">
        <f aca="false">Sens!$E$15034+dm_seg</f>
        <v>0.296207935710698</v>
      </c>
      <c r="I15034" s="7" t="n">
        <f aca="false">Sens!$E$15034+dm_seg</f>
        <v>0.296207935710698</v>
      </c>
      <c r="J15034" s="7" t="n">
        <f aca="false">Sens!$E$15034+dm_seg</f>
        <v>0.296207935710698</v>
      </c>
      <c r="K15034" s="7" t="n">
        <f aca="false">Sens!$E$15034+dm_seg</f>
        <v>0.296207935710698</v>
      </c>
      <c r="L15034" s="11" t="s">
        <v>912</v>
      </c>
    </row>
    <row r="15035" customFormat="false" ht="17.15" hidden="false" customHeight="false" outlineLevel="0" collapsed="false">
      <c r="A15035" s="0" t="s">
        <v>745</v>
      </c>
      <c r="B15035" s="0" t="s">
        <v>98</v>
      </c>
      <c r="D15035" s="6" t="n">
        <f aca="false">Q!L22</f>
        <v>17.714</v>
      </c>
      <c r="E15035" s="6" t="n">
        <f aca="false">Q!M22</f>
        <v>18.872</v>
      </c>
      <c r="F15035" s="6" t="n">
        <f aca="false">Sens!F15010*Sens!F15034</f>
        <v>19.2954518910651</v>
      </c>
      <c r="G15035" s="6" t="n">
        <f aca="false">Sens!G15010*Sens!G15034</f>
        <v>19.8830646387704</v>
      </c>
      <c r="H15035" s="6" t="n">
        <f aca="false">Sens!H15010*Sens!H15034</f>
        <v>20.6092017868026</v>
      </c>
      <c r="I15035" s="6" t="n">
        <f aca="false">Sens!I15010*Sens!I15034</f>
        <v>21.452361761678</v>
      </c>
      <c r="J15035" s="6" t="n">
        <f aca="false">Sens!J15010*Sens!J15034</f>
        <v>22.3946261183418</v>
      </c>
      <c r="K15035" s="6" t="n">
        <f aca="false">Sens!K15010*Sens!K15034</f>
        <v>23.4215879274986</v>
      </c>
    </row>
    <row r="15036" customFormat="false" ht="15" hidden="false" customHeight="false" outlineLevel="0" collapsed="false">
      <c r="A15036" s="1" t="s">
        <v>913</v>
      </c>
      <c r="B15036" s="0" t="s">
        <v>98</v>
      </c>
      <c r="D15036" s="6" t="n">
        <f aca="false">Sens!D15033+Sens!D15035</f>
        <v>128.528</v>
      </c>
      <c r="E15036" s="6" t="n">
        <f aca="false">Sens!E15033+Sens!E15035</f>
        <v>155.237</v>
      </c>
      <c r="F15036" s="6" t="n">
        <f aca="false">Sens!F15033+Sens!F15035</f>
        <v>176.755458196528</v>
      </c>
      <c r="G15036" s="6" t="n">
        <f aca="false">Sens!G15033+Sens!G15035</f>
        <v>197.699185234338</v>
      </c>
      <c r="H15036" s="6" t="n">
        <f aca="false">Sens!H15033+Sens!H15035</f>
        <v>218.14174259644</v>
      </c>
      <c r="I15036" s="6" t="n">
        <f aca="false">Sens!I15033+Sens!I15035</f>
        <v>237.775226753551</v>
      </c>
      <c r="J15036" s="6" t="n">
        <f aca="false">Sens!J15033+Sens!J15035</f>
        <v>256.118427557955</v>
      </c>
      <c r="K15036" s="6" t="n">
        <f aca="false">Sens!K15033+Sens!K15035</f>
        <v>273.993431694551</v>
      </c>
    </row>
    <row r="15037" customFormat="false" ht="15" hidden="false" customHeight="false" outlineLevel="0" collapsed="false">
      <c r="A15037" s="23" t="s">
        <v>914</v>
      </c>
      <c r="B15037" s="30" t="s">
        <v>98</v>
      </c>
      <c r="C15037" s="30"/>
      <c r="D15037" s="24" t="n">
        <f aca="false">Sens!D15036-Q!L23</f>
        <v>0</v>
      </c>
      <c r="E15037" s="24" t="n">
        <f aca="false">Sens!E15036-Q!M23</f>
        <v>0</v>
      </c>
      <c r="F15037" s="30"/>
      <c r="G15037" s="30"/>
      <c r="H15037" s="30"/>
      <c r="I15037" s="30"/>
      <c r="J15037" s="30"/>
      <c r="K15037" s="30"/>
    </row>
    <row r="15038" customFormat="false" ht="15" hidden="false" customHeight="false" outlineLevel="0" collapsed="false">
      <c r="A15038" s="1" t="s">
        <v>915</v>
      </c>
      <c r="B15038" s="0" t="s">
        <v>129</v>
      </c>
      <c r="D15038" s="7" t="n">
        <f aca="false">Sens!D15036/Sens!D15029</f>
        <v>0.456219562408598</v>
      </c>
      <c r="E15038" s="7" t="n">
        <f aca="false">Sens!E15036/Sens!E15029</f>
        <v>0.467808184089272</v>
      </c>
      <c r="F15038" s="7" t="n">
        <f aca="false">Sens!F15036/Sens!F15029</f>
        <v>0.442544602019112</v>
      </c>
      <c r="G15038" s="7" t="n">
        <f aca="false">Sens!G15036/Sens!G15029</f>
        <v>0.41603584158914</v>
      </c>
      <c r="H15038" s="7" t="n">
        <f aca="false">Sens!H15036/Sens!H15029</f>
        <v>0.394631616832203</v>
      </c>
      <c r="I15038" s="7" t="n">
        <f aca="false">Sens!I15036/Sens!I15029</f>
        <v>0.380850562360955</v>
      </c>
      <c r="J15038" s="7" t="n">
        <f aca="false">Sens!J15036/Sens!J15029</f>
        <v>0.374812870892121</v>
      </c>
      <c r="K15038" s="7" t="n">
        <f aca="false">Sens!K15036/Sens!K15029</f>
        <v>0.374589842607357</v>
      </c>
    </row>
    <row r="15039" customFormat="false" ht="17.15" hidden="false" customHeight="false" outlineLevel="0" collapsed="false">
      <c r="A15039" s="1" t="s">
        <v>916</v>
      </c>
      <c r="B15039" s="0" t="s">
        <v>98</v>
      </c>
      <c r="F15039" s="6" t="n">
        <f aca="false">Sens!F15054</f>
        <v>4.19902138902064</v>
      </c>
      <c r="G15039" s="6" t="n">
        <f aca="false">Sens!G15054</f>
        <v>18.6236119363467</v>
      </c>
      <c r="H15039" s="6" t="n">
        <f aca="false">Sens!H15054</f>
        <v>34.6500792969502</v>
      </c>
      <c r="I15039" s="6" t="n">
        <f aca="false">Sens!I15054</f>
        <v>49.3698984748227</v>
      </c>
      <c r="J15039" s="6" t="n">
        <f aca="false">Sens!J15054</f>
        <v>59.7982071833544</v>
      </c>
      <c r="K15039" s="6" t="n">
        <f aca="false">Sens!K15054</f>
        <v>65.7133847924934</v>
      </c>
      <c r="L15039" s="1" t="s">
        <v>917</v>
      </c>
    </row>
    <row r="15040" customFormat="false" ht="17.15" hidden="false" customHeight="false" outlineLevel="0" collapsed="false">
      <c r="A15040" s="1" t="s">
        <v>918</v>
      </c>
      <c r="B15040" s="0" t="s">
        <v>98</v>
      </c>
      <c r="D15040" s="6" t="n">
        <f aca="false">Sens!D15036</f>
        <v>128.528</v>
      </c>
      <c r="E15040" s="6" t="n">
        <f aca="false">Sens!E15036</f>
        <v>155.237</v>
      </c>
      <c r="F15040" s="6" t="n">
        <f aca="false">Sens!F15036+Sens!F15039</f>
        <v>180.954479585549</v>
      </c>
      <c r="G15040" s="6" t="n">
        <f aca="false">Sens!G15036+Sens!G15039</f>
        <v>216.322797170684</v>
      </c>
      <c r="H15040" s="6" t="n">
        <f aca="false">Sens!H15036+Sens!H15039</f>
        <v>252.79182189339</v>
      </c>
      <c r="I15040" s="6" t="n">
        <f aca="false">Sens!I15036+Sens!I15039</f>
        <v>287.145125228374</v>
      </c>
      <c r="J15040" s="6" t="n">
        <f aca="false">Sens!J15036+Sens!J15039</f>
        <v>315.916634741309</v>
      </c>
      <c r="K15040" s="6" t="n">
        <f aca="false">Sens!K15036+Sens!K15039</f>
        <v>339.706816487044</v>
      </c>
    </row>
    <row r="15041" customFormat="false" ht="17.15" hidden="false" customHeight="false" outlineLevel="0" collapsed="false">
      <c r="A15041" s="1" t="s">
        <v>919</v>
      </c>
      <c r="B15041" s="0" t="s">
        <v>98</v>
      </c>
      <c r="E15041" s="6" t="n">
        <f aca="false">Sens!E14984</f>
        <v>16.3054059770833</v>
      </c>
      <c r="F15041" s="6" t="n">
        <f aca="false">Sens!F14984</f>
        <v>34.0498873809555</v>
      </c>
      <c r="G15041" s="6" t="n">
        <f aca="false">Sens!G14984</f>
        <v>59.1254371105111</v>
      </c>
      <c r="H15041" s="6" t="n">
        <f aca="false">Sens!H14984</f>
        <v>86.3610198433111</v>
      </c>
      <c r="I15041" s="6" t="n">
        <f aca="false">Sens!I14984</f>
        <v>110.605743832393</v>
      </c>
      <c r="J15041" s="6" t="n">
        <f aca="false">Sens!J14984</f>
        <v>127.998322852843</v>
      </c>
      <c r="K15041" s="6" t="n">
        <f aca="false">Sens!K14984</f>
        <v>139.131464044308</v>
      </c>
    </row>
    <row r="15042" customFormat="false" ht="17.15" hidden="false" customHeight="false" outlineLevel="0" collapsed="false">
      <c r="A15042" s="1" t="s">
        <v>920</v>
      </c>
      <c r="B15042" s="0" t="s">
        <v>98</v>
      </c>
      <c r="E15042" s="6" t="n">
        <f aca="false">Sens!E15066</f>
        <v>22.2285940229167</v>
      </c>
      <c r="F15042" s="6" t="n">
        <f aca="false">Sens!F15066</f>
        <v>24.3924470334783</v>
      </c>
      <c r="G15042" s="6" t="n">
        <f aca="false">Sens!G15066</f>
        <v>26.0684916871694</v>
      </c>
      <c r="H15042" s="6" t="n">
        <f aca="false">Sens!H15066</f>
        <v>28.1427938828615</v>
      </c>
      <c r="I15042" s="6" t="n">
        <f aca="false">Sens!I15066</f>
        <v>30.5483545257397</v>
      </c>
      <c r="J15042" s="6" t="n">
        <f aca="false">Sens!J15066</f>
        <v>33.2016103982031</v>
      </c>
      <c r="K15042" s="6" t="n">
        <f aca="false">Sens!K15066</f>
        <v>36.0183196325822</v>
      </c>
    </row>
    <row r="15043" customFormat="false" ht="17.15" hidden="false" customHeight="false" outlineLevel="0" collapsed="false">
      <c r="A15043" s="1" t="s">
        <v>921</v>
      </c>
      <c r="B15043" s="0" t="s">
        <v>98</v>
      </c>
      <c r="D15043" s="6" t="n">
        <f aca="false">Q!L27</f>
        <v>-4.901</v>
      </c>
      <c r="E15043" s="6" t="n">
        <f aca="false">Q!M27</f>
        <v>10.697</v>
      </c>
      <c r="F15043" s="6" t="n">
        <f aca="false">oie_f</f>
        <v>-0.4</v>
      </c>
      <c r="G15043" s="6" t="n">
        <f aca="false">oie_f</f>
        <v>-0.4</v>
      </c>
      <c r="H15043" s="6" t="n">
        <f aca="false">oie_f</f>
        <v>-0.4</v>
      </c>
      <c r="I15043" s="6" t="n">
        <f aca="false">oie_f</f>
        <v>-0.4</v>
      </c>
      <c r="J15043" s="6" t="n">
        <f aca="false">oie_f</f>
        <v>-0.4</v>
      </c>
      <c r="K15043" s="6" t="n">
        <f aca="false">oie_f</f>
        <v>-0.4</v>
      </c>
      <c r="L15043" s="11" t="s">
        <v>922</v>
      </c>
    </row>
    <row r="15044" customFormat="false" ht="15" hidden="false" customHeight="false" outlineLevel="0" collapsed="false">
      <c r="A15044" s="1" t="s">
        <v>923</v>
      </c>
      <c r="B15044" s="0" t="s">
        <v>98</v>
      </c>
      <c r="D15044" s="6" t="n">
        <f aca="false">Sens!D15036+Sens!D15043</f>
        <v>123.627</v>
      </c>
      <c r="E15044" s="6" t="n">
        <f aca="false">Sens!E15036+Sens!E15043</f>
        <v>165.934</v>
      </c>
      <c r="F15044" s="6" t="n">
        <f aca="false">Sens!F15036+Sens!F15043</f>
        <v>176.355458196528</v>
      </c>
      <c r="G15044" s="6" t="n">
        <f aca="false">Sens!G15036+Sens!G15043</f>
        <v>197.299185234338</v>
      </c>
      <c r="H15044" s="6" t="n">
        <f aca="false">Sens!H15036+Sens!H15043</f>
        <v>217.74174259644</v>
      </c>
      <c r="I15044" s="6" t="n">
        <f aca="false">Sens!I15036+Sens!I15043</f>
        <v>237.375226753551</v>
      </c>
      <c r="J15044" s="6" t="n">
        <f aca="false">Sens!J15036+Sens!J15043</f>
        <v>255.718427557955</v>
      </c>
      <c r="K15044" s="6" t="n">
        <f aca="false">Sens!K15036+Sens!K15043</f>
        <v>273.593431694551</v>
      </c>
    </row>
    <row r="15045" customFormat="false" ht="15" hidden="false" customHeight="false" outlineLevel="0" collapsed="false">
      <c r="A15045" s="1" t="s">
        <v>924</v>
      </c>
      <c r="B15045" s="0" t="s">
        <v>98</v>
      </c>
      <c r="D15045" s="6" t="n">
        <f aca="false">Q!L29</f>
        <v>21.795</v>
      </c>
      <c r="E15045" s="6" t="n">
        <f aca="false">Q!M29</f>
        <v>32.185</v>
      </c>
      <c r="F15045" s="6" t="n">
        <f aca="false">Sens!F15044*tax_f</f>
        <v>35.2710916393056</v>
      </c>
      <c r="G15045" s="6" t="n">
        <f aca="false">Sens!G15044*tax_f</f>
        <v>39.4598370468676</v>
      </c>
      <c r="H15045" s="6" t="n">
        <f aca="false">Sens!H15044*tax_f</f>
        <v>43.548348519288</v>
      </c>
      <c r="I15045" s="6" t="n">
        <f aca="false">Sens!I15044*tax_f</f>
        <v>47.4750453507103</v>
      </c>
      <c r="J15045" s="6" t="n">
        <f aca="false">Sens!J15044*tax_f</f>
        <v>51.1436855115909</v>
      </c>
      <c r="K15045" s="6" t="n">
        <f aca="false">Sens!K15044*tax_f</f>
        <v>54.7186863389102</v>
      </c>
    </row>
    <row r="15046" customFormat="false" ht="15" hidden="false" customHeight="false" outlineLevel="0" collapsed="false">
      <c r="A15046" s="1" t="s">
        <v>925</v>
      </c>
      <c r="B15046" s="0" t="s">
        <v>98</v>
      </c>
      <c r="D15046" s="6" t="n">
        <f aca="false">Sens!D15044-Sens!D15045</f>
        <v>101.832</v>
      </c>
      <c r="E15046" s="6" t="n">
        <f aca="false">Sens!E15044-Sens!E15045</f>
        <v>133.749</v>
      </c>
      <c r="F15046" s="6" t="n">
        <f aca="false">Sens!F15044-Sens!F15045</f>
        <v>141.084366557223</v>
      </c>
      <c r="G15046" s="6" t="n">
        <f aca="false">Sens!G15044-Sens!G15045</f>
        <v>157.83934818747</v>
      </c>
      <c r="H15046" s="6" t="n">
        <f aca="false">Sens!H15044-Sens!H15045</f>
        <v>174.193394077152</v>
      </c>
      <c r="I15046" s="6" t="n">
        <f aca="false">Sens!I15044-Sens!I15045</f>
        <v>189.900181402841</v>
      </c>
      <c r="J15046" s="6" t="n">
        <f aca="false">Sens!J15044-Sens!J15045</f>
        <v>204.574742046364</v>
      </c>
      <c r="K15046" s="6" t="n">
        <f aca="false">Sens!K15044-Sens!K15045</f>
        <v>218.874745355641</v>
      </c>
    </row>
    <row r="15047" customFormat="false" ht="17.15" hidden="false" customHeight="false" outlineLevel="0" collapsed="false">
      <c r="A15047" s="1" t="s">
        <v>926</v>
      </c>
      <c r="B15047" s="1" t="s">
        <v>81</v>
      </c>
      <c r="D15047" s="14" t="n">
        <f aca="false">Q!L31</f>
        <v>7.465</v>
      </c>
      <c r="E15047" s="14" t="n">
        <f aca="false">Q!M31</f>
        <v>7.453</v>
      </c>
      <c r="F15047" s="14" t="n">
        <f aca="false">Sens!F15090</f>
        <v>7.4735</v>
      </c>
      <c r="G15047" s="14" t="n">
        <f aca="false">Sens!G15090</f>
        <v>7.51806599322388</v>
      </c>
      <c r="H15047" s="14" t="n">
        <f aca="false">Sens!H15090</f>
        <v>7.54538357229772</v>
      </c>
      <c r="I15047" s="14" t="n">
        <f aca="false">Sens!I15090</f>
        <v>7.55716440430503</v>
      </c>
      <c r="J15047" s="14" t="n">
        <f aca="false">Sens!J15090</f>
        <v>7.57140591542291</v>
      </c>
      <c r="K15047" s="14" t="n">
        <f aca="false">Sens!K15090</f>
        <v>7.58792583312465</v>
      </c>
    </row>
    <row r="15048" customFormat="false" ht="17.15" hidden="false" customHeight="false" outlineLevel="0" collapsed="false">
      <c r="A15048" s="0" t="s">
        <v>927</v>
      </c>
      <c r="B15048" s="0" t="s">
        <v>75</v>
      </c>
      <c r="D15048" s="8" t="n">
        <f aca="false">Sens!D15046/Sens!D15047</f>
        <v>13.641259209645</v>
      </c>
      <c r="E15048" s="8" t="n">
        <f aca="false">Sens!E15046/Sens!E15047</f>
        <v>17.9456594659869</v>
      </c>
      <c r="F15048" s="8" t="n">
        <f aca="false">Sens!F15046/Sens!F15047</f>
        <v>18.8779509677156</v>
      </c>
      <c r="G15048" s="8" t="n">
        <f aca="false">Sens!G15046/Sens!G15047</f>
        <v>20.994674472096</v>
      </c>
      <c r="H15048" s="8" t="n">
        <f aca="false">Sens!H15046/Sens!H15047</f>
        <v>23.0860886538213</v>
      </c>
      <c r="I15048" s="8" t="n">
        <f aca="false">Sens!I15046/Sens!I15047</f>
        <v>25.1284967804409</v>
      </c>
      <c r="J15048" s="8" t="n">
        <f aca="false">Sens!J15046/Sens!J15047</f>
        <v>27.0193864034744</v>
      </c>
      <c r="K15048" s="8" t="n">
        <f aca="false">Sens!K15046/Sens!K15047</f>
        <v>28.8451350433811</v>
      </c>
      <c r="L15048" s="1" t="s">
        <v>928</v>
      </c>
    </row>
    <row r="15049" customFormat="false" ht="17.15" hidden="false" customHeight="false" outlineLevel="0" collapsed="false">
      <c r="A15049" s="1" t="s">
        <v>929</v>
      </c>
      <c r="B15049" s="0" t="s">
        <v>98</v>
      </c>
      <c r="D15049" s="6" t="n">
        <f aca="false">Sens!D15046</f>
        <v>101.832</v>
      </c>
      <c r="E15049" s="6" t="n">
        <f aca="false">Sens!E15046</f>
        <v>133.749</v>
      </c>
      <c r="F15049" s="6" t="n">
        <f aca="false">Sens!F15046+Sens!F15039*(1-tax_f)</f>
        <v>144.443583668439</v>
      </c>
      <c r="G15049" s="6" t="n">
        <f aca="false">Sens!G15046+Sens!G15039*(1-tax_f)</f>
        <v>172.738237736548</v>
      </c>
      <c r="H15049" s="6" t="n">
        <f aca="false">Sens!H15046+Sens!H15039*(1-tax_f)</f>
        <v>201.913457514712</v>
      </c>
      <c r="I15049" s="6" t="n">
        <f aca="false">Sens!I15046+Sens!I15039*(1-tax_f)</f>
        <v>229.396100182699</v>
      </c>
      <c r="J15049" s="6" t="n">
        <f aca="false">Sens!J15046+Sens!J15039*(1-tax_f)</f>
        <v>252.413307793047</v>
      </c>
      <c r="K15049" s="6" t="n">
        <f aca="false">Sens!K15046+Sens!K15039*(1-tax_f)</f>
        <v>271.445453189636</v>
      </c>
    </row>
    <row r="15050" customFormat="false" ht="17.15" hidden="false" customHeight="false" outlineLevel="0" collapsed="false">
      <c r="A15050" s="0" t="s">
        <v>930</v>
      </c>
      <c r="B15050" s="0" t="s">
        <v>75</v>
      </c>
      <c r="D15050" s="8" t="n">
        <f aca="false">Sens!D15049/Sens!D15047</f>
        <v>13.641259209645</v>
      </c>
      <c r="E15050" s="8" t="n">
        <f aca="false">Sens!E15049/Sens!E15047</f>
        <v>17.9456594659869</v>
      </c>
      <c r="F15050" s="8" t="n">
        <f aca="false">Sens!F15049/Sens!F15047</f>
        <v>19.3274347586056</v>
      </c>
      <c r="G15050" s="8" t="n">
        <f aca="false">Sens!G15049/Sens!G15047</f>
        <v>22.9764194531198</v>
      </c>
      <c r="H15050" s="8" t="n">
        <f aca="false">Sens!H15049/Sens!H15047</f>
        <v>26.7598665568205</v>
      </c>
      <c r="I15050" s="8" t="n">
        <f aca="false">Sens!I15049/Sens!I15047</f>
        <v>30.3547849312397</v>
      </c>
      <c r="J15050" s="8" t="n">
        <f aca="false">Sens!J15049/Sens!J15047</f>
        <v>33.3377064461546</v>
      </c>
      <c r="K15050" s="8" t="n">
        <f aca="false">Sens!K15049/Sens!K15047</f>
        <v>35.7733403250538</v>
      </c>
      <c r="L15050" s="1" t="s">
        <v>931</v>
      </c>
    </row>
    <row r="15051" customFormat="false" ht="17.15" hidden="false" customHeight="false" outlineLevel="0" collapsed="false">
      <c r="A15051" s="0" t="s">
        <v>932</v>
      </c>
      <c r="B15051" s="0" t="s">
        <v>129</v>
      </c>
      <c r="E15051" s="7" t="n">
        <f aca="false">Sens!E15050/Sens!D15050-1</f>
        <v>0.315542736208578</v>
      </c>
      <c r="F15051" s="7" t="n">
        <f aca="false">Sens!F15050/Sens!E15050-1</f>
        <v>0.0769977439523852</v>
      </c>
      <c r="G15051" s="7" t="n">
        <f aca="false">Sens!G15050/Sens!F15050-1</f>
        <v>0.188798189728177</v>
      </c>
      <c r="H15051" s="7" t="n">
        <f aca="false">Sens!H15050/Sens!G15050-1</f>
        <v>0.164666523059448</v>
      </c>
      <c r="I15051" s="7" t="n">
        <f aca="false">Sens!I15050/Sens!H15050-1</f>
        <v>0.134339921568216</v>
      </c>
      <c r="J15051" s="7" t="n">
        <f aca="false">Sens!J15050/Sens!I15050-1</f>
        <v>0.0982685768214748</v>
      </c>
      <c r="K15051" s="7" t="n">
        <f aca="false">Sens!K15050/Sens!J15050-1</f>
        <v>0.073059431452885</v>
      </c>
    </row>
    <row r="15052" customFormat="false" ht="17.15" hidden="false" customHeight="false" outlineLevel="0" collapsed="false">
      <c r="A15052" s="0" t="s">
        <v>856</v>
      </c>
      <c r="B15052" s="0" t="s">
        <v>98</v>
      </c>
      <c r="E15052" s="6" t="n">
        <f aca="false">Sens!E14993</f>
        <v>5.25</v>
      </c>
      <c r="F15052" s="6" t="n">
        <f aca="false">Sens!F14993</f>
        <v>12</v>
      </c>
      <c r="G15052" s="6" t="n">
        <f aca="false">Sens!G14993</f>
        <v>18</v>
      </c>
      <c r="H15052" s="6" t="n">
        <f aca="false">Sens!H14993</f>
        <v>24</v>
      </c>
      <c r="I15052" s="6" t="n">
        <f aca="false">Sens!I14993</f>
        <v>28.5</v>
      </c>
      <c r="J15052" s="6" t="n">
        <f aca="false">Sens!J14993</f>
        <v>31.5</v>
      </c>
      <c r="K15052" s="6" t="n">
        <f aca="false">Sens!K14993</f>
        <v>34.5</v>
      </c>
    </row>
    <row r="15053" customFormat="false" ht="17.15" hidden="false" customHeight="false" outlineLevel="0" collapsed="false">
      <c r="A15053" s="1" t="s">
        <v>857</v>
      </c>
      <c r="B15053" s="0" t="s">
        <v>98</v>
      </c>
      <c r="F15053" s="6" t="n">
        <f aca="false">MAX(0,((Sens!E14956+Sens!F14956)/2-(0*(Sens!$D$14956+Sens!$E$14956)/2+(1-0)*Sens!$E$14956))*Sens!F14964/1000-(Sens!F15052-Sens!$E$15052)*Sens!F15032)</f>
        <v>4.19902138902064</v>
      </c>
      <c r="G15053" s="6" t="n">
        <f aca="false">MAX(0,((Sens!F14956+Sens!G14956)/2-(0*(Sens!$D$14956+Sens!$E$14956)/2+(1-0)*Sens!$E$14956))*Sens!G14964/1000-(Sens!G15052-Sens!$E$15052)*Sens!G15032)</f>
        <v>18.6236119363467</v>
      </c>
      <c r="H15053" s="6" t="n">
        <f aca="false">MAX(0,((Sens!G14956+Sens!H14956)/2-(0*(Sens!$D$14956+Sens!$E$14956)/2+(1-0)*Sens!$E$14956))*Sens!H14964/1000-(Sens!H15052-Sens!$E$15052)*Sens!H15032)</f>
        <v>34.6500792969502</v>
      </c>
      <c r="I15053" s="6" t="n">
        <f aca="false">MAX(0,((Sens!H14956+Sens!I14956)/2-(0*(Sens!$D$14956+Sens!$E$14956)/2+(1-0)*Sens!$E$14956))*Sens!I14964/1000-(Sens!I15052-Sens!$E$15052)*Sens!I15032)</f>
        <v>49.3698984748227</v>
      </c>
      <c r="J15053" s="6" t="n">
        <f aca="false">MAX(0,((Sens!I14956+Sens!J14956)/2-(0*(Sens!$D$14956+Sens!$E$14956)/2+(1-0)*Sens!$E$14956))*Sens!J14964/1000-(Sens!J15052-Sens!$E$15052)*Sens!J15032)</f>
        <v>59.7982071833544</v>
      </c>
      <c r="K15053" s="6" t="n">
        <f aca="false">MAX(0,((Sens!J14956+Sens!K14956)/2-(0*(Sens!$D$14956+Sens!$E$14956)/2+(1-0)*Sens!$E$14956))*Sens!K14964/1000-(Sens!K15052-Sens!$E$15052)*Sens!K15032)</f>
        <v>65.7133847924934</v>
      </c>
      <c r="L15053" s="1" t="s">
        <v>858</v>
      </c>
    </row>
    <row r="15054" customFormat="false" ht="17.15" hidden="false" customHeight="false" outlineLevel="0" collapsed="false">
      <c r="A15054" s="1" t="s">
        <v>859</v>
      </c>
      <c r="B15054" s="0" t="s">
        <v>98</v>
      </c>
      <c r="F15054" s="6" t="n">
        <f aca="false">IF(internal_ai_reading=2,1,0)*Sens!F15053</f>
        <v>4.19902138902064</v>
      </c>
      <c r="G15054" s="6" t="n">
        <f aca="false">IF(internal_ai_reading=2,1,0)*Sens!G15053</f>
        <v>18.6236119363467</v>
      </c>
      <c r="H15054" s="6" t="n">
        <f aca="false">IF(internal_ai_reading=2,1,0)*Sens!H15053</f>
        <v>34.6500792969502</v>
      </c>
      <c r="I15054" s="6" t="n">
        <f aca="false">IF(internal_ai_reading=2,1,0)*Sens!I15053</f>
        <v>49.3698984748227</v>
      </c>
      <c r="J15054" s="6" t="n">
        <f aca="false">IF(internal_ai_reading=2,1,0)*Sens!J15053</f>
        <v>59.7982071833544</v>
      </c>
      <c r="K15054" s="6" t="n">
        <f aca="false">IF(internal_ai_reading=2,1,0)*Sens!K15053</f>
        <v>65.7133847924934</v>
      </c>
    </row>
    <row r="15055" customFormat="false" ht="17.15" hidden="false" customHeight="false" outlineLevel="0" collapsed="false">
      <c r="A15055" s="0" t="s">
        <v>860</v>
      </c>
      <c r="B15055" s="0" t="s">
        <v>98</v>
      </c>
      <c r="F15055" s="6" t="n">
        <f aca="false">Sens!F14973+Sens!F15052*Sens!F15032+Sens!F15054-Sens!F14974-Sens!F14984</f>
        <v>9.92713241728872</v>
      </c>
      <c r="G15055" s="6" t="n">
        <f aca="false">Sens!G14973+Sens!G15052*Sens!G15032+Sens!G15054-Sens!G14974-Sens!G14984</f>
        <v>25.5435305252859</v>
      </c>
      <c r="H15055" s="6" t="n">
        <f aca="false">Sens!H14973+Sens!H15052*Sens!H15032+Sens!H15054-Sens!H14974-Sens!H14984</f>
        <v>41.9482503565672</v>
      </c>
      <c r="I15055" s="6" t="n">
        <f aca="false">Sens!I14973+Sens!I15052*Sens!I15032+Sens!I15054-Sens!I14974-Sens!I14984</f>
        <v>56.6156773284519</v>
      </c>
      <c r="J15055" s="6" t="n">
        <f aca="false">Sens!J14973+Sens!J15052*Sens!J15032+Sens!J15054-Sens!J14974-Sens!J14984</f>
        <v>66.8477168167708</v>
      </c>
      <c r="K15055" s="6" t="n">
        <f aca="false">Sens!K14973+Sens!K15052*Sens!K15032+Sens!K15054-Sens!K14974-Sens!K14984</f>
        <v>74.0352668462315</v>
      </c>
    </row>
    <row r="15056" customFormat="false" ht="17.15" hidden="false" customHeight="false" outlineLevel="0" collapsed="false">
      <c r="A15056" s="0" t="s">
        <v>861</v>
      </c>
      <c r="B15056" s="0" t="s">
        <v>98</v>
      </c>
      <c r="E15056" s="6" t="n">
        <f aca="false">Sens!E14955*(cxit_open+self_build*tk_cxfac)/1000*ai_net_open</f>
        <v>126.6980382</v>
      </c>
      <c r="F15056" s="6" t="n">
        <f aca="false">Sens!E15056+Sens!F14981-Sens!F14984</f>
        <v>252.981026690511</v>
      </c>
      <c r="G15056" s="6" t="n">
        <f aca="false">Sens!F15056+Sens!G14981-Sens!G14984</f>
        <v>377.4297700632</v>
      </c>
      <c r="H15056" s="6" t="n">
        <f aca="false">Sens!G15056+Sens!H14981-Sens!H14984</f>
        <v>479.149036130289</v>
      </c>
      <c r="I15056" s="6" t="n">
        <f aca="false">Sens!H15056+Sens!I14981-Sens!I14984</f>
        <v>532.249961452141</v>
      </c>
      <c r="J15056" s="6" t="n">
        <f aca="false">Sens!I15056+Sens!J14981-Sens!J14984</f>
        <v>531.43307519354</v>
      </c>
      <c r="K15056" s="6" t="n">
        <f aca="false">Sens!J15056+Sens!K14981-Sens!K14984</f>
        <v>513.709026452823</v>
      </c>
      <c r="L15056" s="1" t="s">
        <v>862</v>
      </c>
    </row>
    <row r="15057" customFormat="false" ht="17.15" hidden="false" customHeight="false" outlineLevel="0" collapsed="false">
      <c r="A15057" s="0" t="s">
        <v>863</v>
      </c>
      <c r="B15057" s="0" t="s">
        <v>129</v>
      </c>
      <c r="F15057" s="7" t="n">
        <f aca="false">Sens!F15055*(1-tax_f)/((Sens!E15056+Sens!F15056)/2)</f>
        <v>0.041833783677913</v>
      </c>
      <c r="G15057" s="7" t="n">
        <f aca="false">Sens!G15055*(1-tax_f)/((Sens!F15056+Sens!G15056)/2)</f>
        <v>0.064830185413884</v>
      </c>
      <c r="H15057" s="7" t="n">
        <f aca="false">Sens!H15055*(1-tax_f)/((Sens!G15056+Sens!H15056)/2)</f>
        <v>0.0783549628886647</v>
      </c>
      <c r="I15057" s="7" t="n">
        <f aca="false">Sens!I15055*(1-tax_f)/((Sens!H15056+Sens!I15056)/2)</f>
        <v>0.0895641422841536</v>
      </c>
      <c r="J15057" s="7" t="n">
        <f aca="false">Sens!J15055*(1-tax_f)/((Sens!I15056+Sens!J15056)/2)</f>
        <v>0.100552836909122</v>
      </c>
      <c r="K15057" s="7" t="n">
        <f aca="false">Sens!K15055*(1-tax_f)/((Sens!J15056+Sens!K15056)/2)</f>
        <v>0.113340020239709</v>
      </c>
    </row>
    <row r="15058" customFormat="false" ht="17.15" hidden="false" customHeight="false" outlineLevel="0" collapsed="false">
      <c r="A15058" s="1" t="s">
        <v>864</v>
      </c>
      <c r="B15058" s="0" t="s">
        <v>129</v>
      </c>
      <c r="F15058" s="7" t="n">
        <f aca="false">(Sens!F15055-Sens!F15054)*(1-tax_f)/((Sens!E15056+Sens!F15056)/2)</f>
        <v>0.0241387489928418</v>
      </c>
      <c r="G15058" s="7" t="n">
        <f aca="false">(Sens!G15055-Sens!G15054)*(1-tax_f)/((Sens!F15056+Sens!G15056)/2)</f>
        <v>0.0175629443520275</v>
      </c>
      <c r="H15058" s="7" t="n">
        <f aca="false">(Sens!H15055-Sens!H15054)*(1-tax_f)/((Sens!G15056+Sens!H15056)/2)</f>
        <v>0.0136322234579657</v>
      </c>
      <c r="I15058" s="7" t="n">
        <f aca="false">(Sens!I15055-Sens!I15054)*(1-tax_f)/((Sens!H15056+Sens!I15056)/2)</f>
        <v>0.0114625841962651</v>
      </c>
      <c r="J15058" s="7" t="n">
        <f aca="false">(Sens!J15055-Sens!J15054)*(1-tax_f)/((Sens!I15056+Sens!J15056)/2)</f>
        <v>0.0106039252529919</v>
      </c>
      <c r="K15058" s="7" t="n">
        <f aca="false">(Sens!K15055-Sens!K15054)*(1-tax_f)/((Sens!J15056+Sens!K15056)/2)</f>
        <v>0.0127399051908887</v>
      </c>
    </row>
    <row r="15059" customFormat="false" ht="17.15" hidden="false" customHeight="false" outlineLevel="0" collapsed="false">
      <c r="A15059" s="1" t="s">
        <v>865</v>
      </c>
      <c r="B15059" s="0" t="s">
        <v>129</v>
      </c>
      <c r="F15059" s="7" t="n">
        <f aca="false">(Sens!F15055-Sens!F15054+Sens!F15053)*(1-tax_f)/((Sens!E15056+Sens!F15056)/2)</f>
        <v>0.041833783677913</v>
      </c>
      <c r="G15059" s="7" t="n">
        <f aca="false">(Sens!G15055-Sens!G15054+Sens!G15053)*(1-tax_f)/((Sens!F15056+Sens!G15056)/2)</f>
        <v>0.064830185413884</v>
      </c>
      <c r="H15059" s="7" t="n">
        <f aca="false">(Sens!H15055-Sens!H15054+Sens!H15053)*(1-tax_f)/((Sens!G15056+Sens!H15056)/2)</f>
        <v>0.0783549628886647</v>
      </c>
      <c r="I15059" s="7" t="n">
        <f aca="false">(Sens!I15055-Sens!I15054+Sens!I15053)*(1-tax_f)/((Sens!H15056+Sens!I15056)/2)</f>
        <v>0.0895641422841536</v>
      </c>
      <c r="J15059" s="7" t="n">
        <f aca="false">(Sens!J15055-Sens!J15054+Sens!J15053)*(1-tax_f)/((Sens!I15056+Sens!J15056)/2)</f>
        <v>0.100552836909122</v>
      </c>
      <c r="K15059" s="7" t="n">
        <f aca="false">(Sens!K15055-Sens!K15054+Sens!K15053)*(1-tax_f)/((Sens!J15056+Sens!K15056)/2)</f>
        <v>0.113340020239709</v>
      </c>
    </row>
    <row r="15060" customFormat="false" ht="17.15" hidden="false" customHeight="false" outlineLevel="0" collapsed="false">
      <c r="A15060" s="1" t="s">
        <v>866</v>
      </c>
      <c r="B15060" s="0" t="s">
        <v>129</v>
      </c>
      <c r="F15060" s="7" t="n">
        <f aca="false">Sens!F14985*(1-tax_f)/(Sens!F14972*(Sens!E15056+Sens!F15056)/2)</f>
        <v>0.133653288300971</v>
      </c>
      <c r="G15060" s="7" t="n">
        <f aca="false">Sens!G14985*(1-tax_f)/(Sens!G14972*(Sens!F15056+Sens!G15056)/2)</f>
        <v>0.131459221834535</v>
      </c>
      <c r="H15060" s="7" t="n">
        <f aca="false">Sens!H14985*(1-tax_f)/(Sens!H14972*(Sens!G15056+Sens!H15056)/2)</f>
        <v>0.135120575835084</v>
      </c>
      <c r="I15060" s="7" t="n">
        <f aca="false">Sens!I14985*(1-tax_f)/(Sens!I14972*(Sens!H15056+Sens!I15056)/2)</f>
        <v>0.143323969665222</v>
      </c>
      <c r="J15060" s="7" t="n">
        <f aca="false">Sens!J14985*(1-tax_f)/(Sens!J14972*(Sens!I15056+Sens!J15056)/2)</f>
        <v>0.155570128388075</v>
      </c>
      <c r="K15060" s="7" t="n">
        <f aca="false">Sens!K14985*(1-tax_f)/(Sens!K14972*(Sens!J15056+Sens!K15056)/2)</f>
        <v>0.172427697111622</v>
      </c>
    </row>
    <row r="15061" customFormat="false" ht="17.15" hidden="false" customHeight="false" outlineLevel="0" collapsed="false">
      <c r="A15061" s="0" t="s">
        <v>867</v>
      </c>
      <c r="B15061" s="0" t="s">
        <v>209</v>
      </c>
      <c r="F15061" s="7" t="n">
        <f aca="false">Sens!F15057-wacc</f>
        <v>-0.0611006364149627</v>
      </c>
      <c r="G15061" s="7" t="n">
        <f aca="false">Sens!G15057-wacc</f>
        <v>-0.0381042346789918</v>
      </c>
      <c r="H15061" s="7" t="n">
        <f aca="false">Sens!H15057-wacc</f>
        <v>-0.024579457204211</v>
      </c>
      <c r="I15061" s="7" t="n">
        <f aca="false">Sens!I15057-wacc</f>
        <v>-0.0133702778087222</v>
      </c>
      <c r="J15061" s="7" t="n">
        <f aca="false">Sens!J15057-wacc</f>
        <v>-0.00238158318375338</v>
      </c>
      <c r="K15061" s="7" t="n">
        <f aca="false">Sens!K15057-wacc</f>
        <v>0.0104056001468328</v>
      </c>
    </row>
    <row r="15062" customFormat="false" ht="17.15" hidden="false" customHeight="false" outlineLevel="0" collapsed="false">
      <c r="A15062" s="0" t="s">
        <v>868</v>
      </c>
      <c r="B15062" s="0" t="s">
        <v>98</v>
      </c>
      <c r="F15062" s="6" t="n">
        <f aca="false">Sens!F15055*(1-tax_f)-wacc*(Sens!E15056+Sens!F15056)/2</f>
        <v>-11.5993162491241</v>
      </c>
      <c r="G15062" s="6" t="n">
        <f aca="false">Sens!G15055*(1-tax_f)-wacc*(Sens!F15056+Sens!G15056)/2</f>
        <v>-12.0106604718368</v>
      </c>
      <c r="H15062" s="6" t="n">
        <f aca="false">Sens!H15055*(1-tax_f)-wacc*(Sens!G15056+Sens!H15056)/2</f>
        <v>-10.5271210544335</v>
      </c>
      <c r="I15062" s="6" t="n">
        <f aca="false">Sens!I15055*(1-tax_f)-wacc*(Sens!H15056+Sens!I15056)/2</f>
        <v>-6.7613427865701</v>
      </c>
      <c r="J15062" s="6" t="n">
        <f aca="false">Sens!J15055*(1-tax_f)-wacc*(Sens!I15056+Sens!J15056)/2</f>
        <v>-1.26662481645955</v>
      </c>
      <c r="K15062" s="6" t="n">
        <f aca="false">Sens!K15055*(1-tax_f)-wacc*(Sens!J15056+Sens!K15056)/2</f>
        <v>5.43766540317627</v>
      </c>
    </row>
    <row r="15063" customFormat="false" ht="17.15" hidden="false" customHeight="false" outlineLevel="0" collapsed="false">
      <c r="A15063" s="3" t="s">
        <v>1644</v>
      </c>
    </row>
    <row r="15064" customFormat="false" ht="15" hidden="false" customHeight="false" outlineLevel="0" collapsed="false">
      <c r="A15064" s="4" t="s">
        <v>43</v>
      </c>
      <c r="B15064" s="4" t="s">
        <v>65</v>
      </c>
      <c r="C15064" s="20" t="s">
        <v>799</v>
      </c>
      <c r="D15064" s="20" t="s">
        <v>800</v>
      </c>
      <c r="E15064" s="20" t="s">
        <v>801</v>
      </c>
      <c r="F15064" s="20" t="s">
        <v>802</v>
      </c>
      <c r="G15064" s="20" t="s">
        <v>803</v>
      </c>
      <c r="H15064" s="20" t="s">
        <v>804</v>
      </c>
      <c r="I15064" s="20" t="s">
        <v>805</v>
      </c>
      <c r="J15064" s="20" t="s">
        <v>806</v>
      </c>
      <c r="K15064" s="20" t="s">
        <v>807</v>
      </c>
      <c r="L15064" s="4" t="s">
        <v>47</v>
      </c>
    </row>
    <row r="15065" customFormat="false" ht="15" hidden="false" customHeight="false" outlineLevel="0" collapsed="false">
      <c r="A15065" s="1" t="s">
        <v>925</v>
      </c>
      <c r="B15065" s="0" t="s">
        <v>98</v>
      </c>
      <c r="F15065" s="6" t="n">
        <f aca="false">Sens!F15046</f>
        <v>141.084366557223</v>
      </c>
      <c r="G15065" s="6" t="n">
        <f aca="false">Sens!G15046</f>
        <v>157.83934818747</v>
      </c>
      <c r="H15065" s="6" t="n">
        <f aca="false">Sens!H15046</f>
        <v>174.193394077152</v>
      </c>
      <c r="I15065" s="6" t="n">
        <f aca="false">Sens!I15046</f>
        <v>189.900181402841</v>
      </c>
      <c r="J15065" s="6" t="n">
        <f aca="false">Sens!J15046</f>
        <v>204.574742046364</v>
      </c>
      <c r="K15065" s="6" t="n">
        <f aca="false">Sens!K15046</f>
        <v>218.874745355641</v>
      </c>
    </row>
    <row r="15066" customFormat="false" ht="17.15" hidden="false" customHeight="false" outlineLevel="0" collapsed="false">
      <c r="A15066" s="1" t="s">
        <v>947</v>
      </c>
      <c r="B15066" s="0" t="s">
        <v>98</v>
      </c>
      <c r="E15066" s="6" t="n">
        <f aca="false">Q!M38-Sens!E14984</f>
        <v>22.2285940229167</v>
      </c>
      <c r="F15066" s="6" t="n">
        <f aca="false">Sens!E15066*(1-1/life_nonai)+(Sens!F15073+Sens!F15074)/life_nonai</f>
        <v>24.3924470334783</v>
      </c>
      <c r="G15066" s="6" t="n">
        <f aca="false">Sens!F15066*(1-1/life_nonai)+(Sens!G15073)/life_nonai</f>
        <v>26.0684916871694</v>
      </c>
      <c r="H15066" s="6" t="n">
        <f aca="false">Sens!G15066*(1-1/life_nonai)+(Sens!H15073)/life_nonai</f>
        <v>28.1427938828615</v>
      </c>
      <c r="I15066" s="6" t="n">
        <f aca="false">Sens!H15066*(1-1/life_nonai)+(Sens!I15073)/life_nonai</f>
        <v>30.5483545257397</v>
      </c>
      <c r="J15066" s="6" t="n">
        <f aca="false">Sens!I15066*(1-1/life_nonai)+(Sens!J15073)/life_nonai</f>
        <v>33.2016103982031</v>
      </c>
      <c r="K15066" s="6" t="n">
        <f aca="false">Sens!J15066*(1-1/life_nonai)+(Sens!K15073)/life_nonai</f>
        <v>36.0183196325822</v>
      </c>
      <c r="L15066" s="11" t="s">
        <v>948</v>
      </c>
    </row>
    <row r="15067" customFormat="false" ht="17.15" hidden="false" customHeight="false" outlineLevel="0" collapsed="false">
      <c r="A15067" s="1" t="s">
        <v>949</v>
      </c>
      <c r="B15067" s="0" t="s">
        <v>98</v>
      </c>
      <c r="F15067" s="6" t="n">
        <f aca="false">Sens!$F$15074/life_nonai*(1-1/life_nonai)^(Sens!F14950-2027)</f>
        <v>0.828777689897088</v>
      </c>
      <c r="G15067" s="6" t="n">
        <f aca="false">Sens!$F$15074/life_nonai*(1-1/life_nonai)^(Sens!G14950-2027)</f>
        <v>0.745899920907379</v>
      </c>
      <c r="H15067" s="6" t="n">
        <f aca="false">Sens!$F$15074/life_nonai*(1-1/life_nonai)^(Sens!H14950-2027)</f>
        <v>0.671309928816642</v>
      </c>
      <c r="I15067" s="6" t="n">
        <f aca="false">Sens!$F$15074/life_nonai*(1-1/life_nonai)^(Sens!I14950-2027)</f>
        <v>0.604178935934977</v>
      </c>
      <c r="J15067" s="6" t="n">
        <f aca="false">Sens!$F$15074/life_nonai*(1-1/life_nonai)^(Sens!J14950-2027)</f>
        <v>0.54376104234148</v>
      </c>
      <c r="K15067" s="6" t="n">
        <f aca="false">Sens!$F$15074/life_nonai*(1-1/life_nonai)^(Sens!K14950-2027)</f>
        <v>0.489384938107332</v>
      </c>
      <c r="L15067" s="1" t="s">
        <v>950</v>
      </c>
    </row>
    <row r="15068" customFormat="false" ht="17.15" hidden="false" customHeight="false" outlineLevel="0" collapsed="false">
      <c r="A15068" s="1" t="s">
        <v>951</v>
      </c>
      <c r="B15068" s="0" t="s">
        <v>98</v>
      </c>
      <c r="E15068" s="6" t="n">
        <f aca="false">Sens!E14984+Sens!E15066</f>
        <v>38.534</v>
      </c>
      <c r="F15068" s="6" t="n">
        <f aca="false">Sens!F14984+Sens!F15066</f>
        <v>58.4423344144339</v>
      </c>
      <c r="G15068" s="6" t="n">
        <f aca="false">Sens!G14984+Sens!G15066</f>
        <v>85.1939287976805</v>
      </c>
      <c r="H15068" s="6" t="n">
        <f aca="false">Sens!H14984+Sens!H15066</f>
        <v>114.503813726173</v>
      </c>
      <c r="I15068" s="6" t="n">
        <f aca="false">Sens!I14984+Sens!I15066</f>
        <v>141.154098358132</v>
      </c>
      <c r="J15068" s="6" t="n">
        <f aca="false">Sens!J14984+Sens!J15066</f>
        <v>161.199933251046</v>
      </c>
      <c r="K15068" s="6" t="n">
        <f aca="false">Sens!K14984+Sens!K15066</f>
        <v>175.14978367689</v>
      </c>
    </row>
    <row r="15069" customFormat="false" ht="17.15" hidden="false" customHeight="false" outlineLevel="0" collapsed="false">
      <c r="A15069" s="1" t="s">
        <v>952</v>
      </c>
      <c r="B15069" s="0" t="s">
        <v>98</v>
      </c>
      <c r="F15069" s="6" t="n">
        <f aca="false">Sens!F15011*sbc_r</f>
        <v>14.9308704941267</v>
      </c>
      <c r="G15069" s="6" t="n">
        <f aca="false">Sens!G15011*sbc_r</f>
        <v>17.7641108812713</v>
      </c>
      <c r="H15069" s="6" t="n">
        <f aca="false">Sens!H15011*sbc_r</f>
        <v>20.6640880611968</v>
      </c>
      <c r="I15069" s="6" t="n">
        <f aca="false">Sens!I15011*sbc_r</f>
        <v>23.3389517385966</v>
      </c>
      <c r="J15069" s="6" t="n">
        <f aca="false">Sens!J15011*sbc_r</f>
        <v>25.5443980773879</v>
      </c>
      <c r="K15069" s="6" t="n">
        <f aca="false">Sens!K15011*sbc_r</f>
        <v>27.3434618223447</v>
      </c>
    </row>
    <row r="15070" customFormat="false" ht="17.15" hidden="false" customHeight="false" outlineLevel="0" collapsed="false">
      <c r="A15070" s="1" t="s">
        <v>953</v>
      </c>
      <c r="B15070" s="0" t="s">
        <v>98</v>
      </c>
      <c r="F15070" s="6" t="n">
        <f aca="false">wc27</f>
        <v>-4.895</v>
      </c>
      <c r="G15070" s="6" t="n">
        <f aca="false">wc_f</f>
        <v>0</v>
      </c>
      <c r="H15070" s="6" t="n">
        <f aca="false">wc_f</f>
        <v>0</v>
      </c>
      <c r="I15070" s="6" t="n">
        <f aca="false">wc_f</f>
        <v>0</v>
      </c>
      <c r="J15070" s="6" t="n">
        <f aca="false">wc_f</f>
        <v>0</v>
      </c>
      <c r="K15070" s="6" t="n">
        <f aca="false">wc_f</f>
        <v>0</v>
      </c>
      <c r="L15070" s="11" t="s">
        <v>954</v>
      </c>
    </row>
    <row r="15071" customFormat="false" ht="15" hidden="false" customHeight="false" outlineLevel="0" collapsed="false">
      <c r="A15071" s="1" t="s">
        <v>767</v>
      </c>
      <c r="B15071" s="0" t="s">
        <v>98</v>
      </c>
      <c r="E15071" s="6" t="n">
        <f aca="false">Q!M35</f>
        <v>182.935</v>
      </c>
      <c r="F15071" s="6" t="n">
        <f aca="false">Sens!F15065+Sens!F15068+Sens!F15069+Sens!F15070</f>
        <v>209.562571465783</v>
      </c>
      <c r="G15071" s="6" t="n">
        <f aca="false">Sens!G15065+Sens!G15068+Sens!G15069+Sens!G15070</f>
        <v>260.797387866422</v>
      </c>
      <c r="H15071" s="6" t="n">
        <f aca="false">Sens!H15065+Sens!H15068+Sens!H15069+Sens!H15070</f>
        <v>309.361295864522</v>
      </c>
      <c r="I15071" s="6" t="n">
        <f aca="false">Sens!I15065+Sens!I15068+Sens!I15069+Sens!I15070</f>
        <v>354.39323149957</v>
      </c>
      <c r="J15071" s="6" t="n">
        <f aca="false">Sens!J15065+Sens!J15068+Sens!J15069+Sens!J15070</f>
        <v>391.319073374798</v>
      </c>
      <c r="K15071" s="6" t="n">
        <f aca="false">Sens!K15065+Sens!K15068+Sens!K15069+Sens!K15070</f>
        <v>421.367990854876</v>
      </c>
    </row>
    <row r="15072" customFormat="false" ht="17.15" hidden="false" customHeight="false" outlineLevel="0" collapsed="false">
      <c r="A15072" s="0" t="s">
        <v>955</v>
      </c>
      <c r="B15072" s="0" t="s">
        <v>98</v>
      </c>
      <c r="F15072" s="6" t="n">
        <f aca="false">Sens!F14981</f>
        <v>160.332875871467</v>
      </c>
      <c r="G15072" s="6" t="n">
        <f aca="false">Sens!G14981</f>
        <v>183.5741804832</v>
      </c>
      <c r="H15072" s="6" t="n">
        <f aca="false">Sens!H14981</f>
        <v>188.0802859104</v>
      </c>
      <c r="I15072" s="6" t="n">
        <f aca="false">Sens!I14981</f>
        <v>163.706669154245</v>
      </c>
      <c r="J15072" s="6" t="n">
        <f aca="false">Sens!J14981</f>
        <v>127.181436594242</v>
      </c>
      <c r="K15072" s="6" t="n">
        <f aca="false">Sens!K14981</f>
        <v>121.407415303591</v>
      </c>
    </row>
    <row r="15073" customFormat="false" ht="17.15" hidden="false" customHeight="false" outlineLevel="0" collapsed="false">
      <c r="A15073" s="1" t="s">
        <v>956</v>
      </c>
      <c r="B15073" s="0" t="s">
        <v>98</v>
      </c>
      <c r="E15073" s="6" t="n">
        <f aca="false">Sens!E14989*cx_azo+Sens!E14996*cx_m365+Sens!E14997*cx_lic+(Sens!E14999+Sens!E15001)*cx_ind+Sens!E15004*cx_srch+(Sens!E15006+Sens!E15008)*cx_dev</f>
        <v>30.1846587067718</v>
      </c>
      <c r="F15073" s="6" t="n">
        <f aca="false">Sens!F14989*cx_azo+Sens!F14996*cx_m365+Sens!F14997*cx_lic+(Sens!F14999+Sens!F15001)*cx_ind+Sens!F15004*cx_srch+(Sens!F15006+Sens!F15008)*cx_dev</f>
        <v>35.5793472295625</v>
      </c>
      <c r="G15073" s="6" t="n">
        <f aca="false">Sens!G14989*cx_azo+Sens!G14996*cx_m365+Sens!G14997*cx_lic+(Sens!G14999+Sens!G15001)*cx_ind+Sens!G15004*cx_srch+(Sens!G15006+Sens!G15008)*cx_dev</f>
        <v>41.1528935703892</v>
      </c>
      <c r="H15073" s="6" t="n">
        <f aca="false">Sens!H14989*cx_azo+Sens!H14996*cx_m365+Sens!H14997*cx_lic+(Sens!H14999+Sens!H15001)*cx_ind+Sens!H15004*cx_srch+(Sens!H15006+Sens!H15008)*cx_dev</f>
        <v>46.8115136440897</v>
      </c>
      <c r="I15073" s="6" t="n">
        <f aca="false">Sens!I14989*cx_azo+Sens!I14996*cx_m365+Sens!I14997*cx_lic+(Sens!I14999+Sens!I15001)*cx_ind+Sens!I15004*cx_srch+(Sens!I15006+Sens!I15008)*cx_dev</f>
        <v>52.1984003116439</v>
      </c>
      <c r="J15073" s="6" t="n">
        <f aca="false">Sens!J14989*cx_azo+Sens!J14996*cx_m365+Sens!J14997*cx_lic+(Sens!J14999+Sens!J15001)*cx_ind+Sens!J15004*cx_srch+(Sens!J15006+Sens!J15008)*cx_dev</f>
        <v>57.0809132503738</v>
      </c>
      <c r="K15073" s="6" t="n">
        <f aca="false">Sens!K14989*cx_azo+Sens!K14996*cx_m365+Sens!K14997*cx_lic+(Sens!K14999+Sens!K15001)*cx_ind+Sens!K15004*cx_srch+(Sens!K15006+Sens!K15008)*cx_dev</f>
        <v>61.368702741994</v>
      </c>
    </row>
    <row r="15074" customFormat="false" ht="17.15" hidden="false" customHeight="false" outlineLevel="0" collapsed="false">
      <c r="A15074" s="0" t="s">
        <v>957</v>
      </c>
      <c r="B15074" s="0" t="s">
        <v>98</v>
      </c>
      <c r="F15074" s="6" t="n">
        <f aca="false">Sens!F14979</f>
        <v>8.28777689897088</v>
      </c>
      <c r="L15074" s="1" t="s">
        <v>958</v>
      </c>
    </row>
    <row r="15075" customFormat="false" ht="17.15" hidden="false" customHeight="false" outlineLevel="0" collapsed="false">
      <c r="A15075" s="1" t="s">
        <v>959</v>
      </c>
      <c r="B15075" s="0" t="s">
        <v>98</v>
      </c>
      <c r="E15075" s="6" t="n">
        <f aca="false">Q!M42</f>
        <v>145.3</v>
      </c>
      <c r="F15075" s="6" t="n">
        <f aca="false">Sens!F15072+Sens!F15073+Sens!F15074</f>
        <v>204.2</v>
      </c>
      <c r="G15075" s="6" t="n">
        <f aca="false">Sens!G15072+Sens!G15073</f>
        <v>224.727074053589</v>
      </c>
      <c r="H15075" s="6" t="n">
        <f aca="false">Sens!H15072+Sens!H15073</f>
        <v>234.89179955449</v>
      </c>
      <c r="I15075" s="6" t="n">
        <f aca="false">Sens!I15072+Sens!I15073</f>
        <v>215.905069465889</v>
      </c>
      <c r="J15075" s="6" t="n">
        <f aca="false">Sens!J15072+Sens!J15073</f>
        <v>184.262349844616</v>
      </c>
      <c r="K15075" s="6" t="n">
        <f aca="false">Sens!K15072+Sens!K15073</f>
        <v>182.776118045585</v>
      </c>
      <c r="L15075" s="1" t="s">
        <v>960</v>
      </c>
    </row>
    <row r="15076" customFormat="false" ht="15" hidden="false" customHeight="false" outlineLevel="0" collapsed="false">
      <c r="A15076" s="1" t="s">
        <v>961</v>
      </c>
      <c r="B15076" s="0" t="s">
        <v>98</v>
      </c>
      <c r="E15076" s="6" t="n">
        <f aca="false">fl_liab</f>
        <v>66.594</v>
      </c>
      <c r="F15076" s="6" t="n">
        <f aca="false">Sens!E15076-Sens!F15077</f>
        <v>62.46973</v>
      </c>
      <c r="G15076" s="6" t="n">
        <f aca="false">Sens!F15076-Sens!G15077</f>
        <v>57.98686785</v>
      </c>
      <c r="H15076" s="6" t="n">
        <f aca="false">Sens!G15076-Sens!H15077</f>
        <v>53.92827690325</v>
      </c>
      <c r="I15076" s="6" t="n">
        <f aca="false">Sens!H15076-Sens!I15077</f>
        <v>49.7850493638962</v>
      </c>
      <c r="J15076" s="6" t="n">
        <f aca="false">Sens!I15076-Sens!J15077</f>
        <v>45.4823765852716</v>
      </c>
      <c r="K15076" s="6" t="n">
        <f aca="false">Sens!J15076-Sens!K15077</f>
        <v>40.9860835316088</v>
      </c>
    </row>
    <row r="15077" customFormat="false" ht="15" hidden="false" customHeight="false" outlineLevel="0" collapsed="false">
      <c r="A15077" s="1" t="s">
        <v>962</v>
      </c>
      <c r="B15077" s="0" t="s">
        <v>98</v>
      </c>
      <c r="F15077" s="6" t="n">
        <f aca="false">fl_pay_27-Sens!E15076*fl_rate</f>
        <v>4.12427</v>
      </c>
      <c r="G15077" s="6" t="n">
        <f aca="false">fl_pay_28-Sens!F15076*fl_rate</f>
        <v>4.48286215</v>
      </c>
      <c r="H15077" s="6" t="n">
        <f aca="false">fl_pay_29-Sens!G15076*fl_rate</f>
        <v>4.05859094675</v>
      </c>
      <c r="I15077" s="6" t="n">
        <f aca="false">fl_pay_30-Sens!H15076*fl_rate</f>
        <v>4.14322753935375</v>
      </c>
      <c r="J15077" s="6" t="n">
        <f aca="false">fl_pay_31-Sens!I15076*fl_rate</f>
        <v>4.30267277862467</v>
      </c>
      <c r="K15077" s="6" t="n">
        <f aca="false">fl_pay_32-Sens!J15076*fl_rate</f>
        <v>4.49629305366278</v>
      </c>
    </row>
    <row r="15078" customFormat="false" ht="17.15" hidden="false" customHeight="false" outlineLevel="0" collapsed="false">
      <c r="A15078" s="1" t="s">
        <v>963</v>
      </c>
      <c r="B15078" s="0" t="s">
        <v>98</v>
      </c>
      <c r="E15078" s="6" t="n">
        <f aca="false">Q!M35-Q!M36-Q!M43</f>
        <v>63.886</v>
      </c>
      <c r="F15078" s="6" t="n">
        <f aca="false">Sens!F15071-Sens!F15075-Sens!F15077</f>
        <v>1.23830146578308</v>
      </c>
      <c r="G15078" s="6" t="n">
        <f aca="false">Sens!G15071-Sens!G15075-Sens!G15077</f>
        <v>31.5874516628328</v>
      </c>
      <c r="H15078" s="6" t="n">
        <f aca="false">Sens!H15071-Sens!H15075-Sens!H15077</f>
        <v>70.4109053632819</v>
      </c>
      <c r="I15078" s="6" t="n">
        <f aca="false">Sens!I15071-Sens!I15075-Sens!I15077</f>
        <v>134.344934494327</v>
      </c>
      <c r="J15078" s="6" t="n">
        <f aca="false">Sens!J15071-Sens!J15075-Sens!J15077</f>
        <v>202.754050751557</v>
      </c>
      <c r="K15078" s="6" t="n">
        <f aca="false">Sens!K15071-Sens!K15075-Sens!K15077</f>
        <v>234.095579755628</v>
      </c>
      <c r="L15078" s="11" t="s">
        <v>964</v>
      </c>
    </row>
    <row r="15079" customFormat="false" ht="15" hidden="false" customHeight="false" outlineLevel="0" collapsed="false">
      <c r="A15079" s="1" t="s">
        <v>965</v>
      </c>
      <c r="B15079" s="0" t="s">
        <v>75</v>
      </c>
      <c r="F15079" s="8" t="n">
        <f aca="false">dps_27</f>
        <v>3.85</v>
      </c>
      <c r="G15079" s="8" t="n">
        <f aca="false">Sens!F15079*(1+dps_g)</f>
        <v>4.158</v>
      </c>
      <c r="H15079" s="8" t="n">
        <f aca="false">Sens!G15079*(1+dps_g)</f>
        <v>4.49064</v>
      </c>
      <c r="I15079" s="8" t="n">
        <f aca="false">Sens!H15079*(1+dps_g)</f>
        <v>4.8498912</v>
      </c>
      <c r="J15079" s="8" t="n">
        <f aca="false">Sens!I15079*(1+dps_g)</f>
        <v>5.237882496</v>
      </c>
      <c r="K15079" s="8" t="n">
        <f aca="false">Sens!J15079*(1+dps_g)</f>
        <v>5.65691309568</v>
      </c>
    </row>
    <row r="15080" customFormat="false" ht="17.15" hidden="false" customHeight="false" outlineLevel="0" collapsed="false">
      <c r="A15080" s="1" t="s">
        <v>966</v>
      </c>
      <c r="B15080" s="0" t="s">
        <v>98</v>
      </c>
      <c r="E15080" s="6" t="n">
        <f aca="false">Q!M41</f>
        <v>26.445</v>
      </c>
      <c r="F15080" s="6" t="n">
        <f aca="false">Sens!F15079*Sens!E15089</f>
        <v>28.59395</v>
      </c>
      <c r="G15080" s="6" t="n">
        <f aca="false">Sens!G15079*Sens!F15089</f>
        <v>31.068576</v>
      </c>
      <c r="H15080" s="6" t="n">
        <f aca="false">Sens!H15079*Sens!G15089</f>
        <v>33.7522429436218</v>
      </c>
      <c r="I15080" s="6" t="n">
        <f aca="false">Sens!I15079*Sens!H15089</f>
        <v>36.503361619111</v>
      </c>
      <c r="J15080" s="6" t="n">
        <f aca="false">Sens!J15079*Sens!I15089</f>
        <v>39.4920293969593</v>
      </c>
      <c r="K15080" s="6" t="n">
        <f aca="false">Sens!K15079*Sens!J15089</f>
        <v>42.7386469740211</v>
      </c>
      <c r="L15080" s="1" t="s">
        <v>967</v>
      </c>
    </row>
    <row r="15081" customFormat="false" ht="15" hidden="false" customHeight="false" outlineLevel="0" collapsed="false">
      <c r="A15081" s="1" t="s">
        <v>968</v>
      </c>
      <c r="B15081" s="0" t="s">
        <v>98</v>
      </c>
      <c r="E15081" s="6" t="n">
        <f aca="false">Sens!E15078-Sens!E15080</f>
        <v>37.441</v>
      </c>
      <c r="F15081" s="6" t="n">
        <f aca="false">Sens!F15078-Sens!F15080</f>
        <v>-27.3556485342169</v>
      </c>
      <c r="G15081" s="6" t="n">
        <f aca="false">Sens!G15078-Sens!G15080</f>
        <v>0.518875662832837</v>
      </c>
      <c r="H15081" s="6" t="n">
        <f aca="false">Sens!H15078-Sens!H15080</f>
        <v>36.6586624196601</v>
      </c>
      <c r="I15081" s="6" t="n">
        <f aca="false">Sens!I15078-Sens!I15080</f>
        <v>97.8415728752161</v>
      </c>
      <c r="J15081" s="6" t="n">
        <f aca="false">Sens!J15078-Sens!J15080</f>
        <v>163.262021354598</v>
      </c>
      <c r="K15081" s="6" t="n">
        <f aca="false">Sens!K15078-Sens!K15080</f>
        <v>191.356932781607</v>
      </c>
    </row>
    <row r="15082" customFormat="false" ht="15" hidden="false" customHeight="false" outlineLevel="0" collapsed="false">
      <c r="A15082" s="1" t="s">
        <v>969</v>
      </c>
      <c r="B15082" s="0" t="s">
        <v>98</v>
      </c>
      <c r="F15082" s="6" t="n">
        <f aca="false">debt_mat_27</f>
        <v>9.25</v>
      </c>
      <c r="G15082" s="6" t="n">
        <f aca="false">debt_mat_28</f>
        <v>0</v>
      </c>
      <c r="H15082" s="6" t="n">
        <f aca="false">debt_mat_29</f>
        <v>2.001</v>
      </c>
      <c r="I15082" s="6" t="n">
        <f aca="false">debt_mat_30</f>
        <v>0</v>
      </c>
      <c r="J15082" s="6" t="n">
        <f aca="false">debt_mat_31</f>
        <v>0.5</v>
      </c>
      <c r="K15082" s="6" t="n">
        <f aca="false">debt_mat_32</f>
        <v>0</v>
      </c>
    </row>
    <row r="15083" customFormat="false" ht="15" hidden="false" customHeight="false" outlineLevel="0" collapsed="false">
      <c r="A15083" s="1" t="s">
        <v>970</v>
      </c>
      <c r="B15083" s="0" t="s">
        <v>98</v>
      </c>
      <c r="E15083" s="6" t="n">
        <f aca="false">Q!M40</f>
        <v>22.271</v>
      </c>
      <c r="F15083" s="6" t="n">
        <f aca="false">MAX(0,MIN(bb_target,Sens!E15085+Sens!F15081-Sens!F15082-min_cash))</f>
        <v>0</v>
      </c>
      <c r="G15083" s="6" t="n">
        <f aca="false">MAX(0,MIN(bb_target,Sens!F15085+Sens!G15081-Sens!G15082-min_cash))</f>
        <v>0.518875662832841</v>
      </c>
      <c r="H15083" s="6" t="n">
        <f aca="false">MAX(0,MIN(bb_target,Sens!G15085+Sens!H15081-Sens!H15082-min_cash))</f>
        <v>22.271</v>
      </c>
      <c r="I15083" s="6" t="n">
        <f aca="false">MAX(0,MIN(bb_target,Sens!H15085+Sens!I15081-Sens!I15082-min_cash))</f>
        <v>22.271</v>
      </c>
      <c r="J15083" s="6" t="n">
        <f aca="false">MAX(0,MIN(bb_target,Sens!I15085+Sens!J15081-Sens!J15082-min_cash))</f>
        <v>22.271</v>
      </c>
      <c r="K15083" s="6" t="n">
        <f aca="false">MAX(0,MIN(bb_target,Sens!J15085+Sens!K15081-Sens!K15082-min_cash))</f>
        <v>22.271</v>
      </c>
    </row>
    <row r="15084" customFormat="false" ht="15" hidden="false" customHeight="false" outlineLevel="0" collapsed="false">
      <c r="A15084" s="1" t="s">
        <v>971</v>
      </c>
      <c r="B15084" s="0" t="s">
        <v>98</v>
      </c>
      <c r="F15084" s="6" t="n">
        <f aca="false">MAX(0,min_cash-(Sens!E15085+Sens!F15081-Sens!F15082-Sens!F15083))</f>
        <v>9.76264853421692</v>
      </c>
      <c r="G15084" s="6" t="n">
        <f aca="false">MAX(0,min_cash-(Sens!F15085+Sens!G15081-Sens!G15082-Sens!G15083))</f>
        <v>0</v>
      </c>
      <c r="H15084" s="6" t="n">
        <f aca="false">MAX(0,min_cash-(Sens!G15085+Sens!H15081-Sens!H15082-Sens!H15083))</f>
        <v>0</v>
      </c>
      <c r="I15084" s="6" t="n">
        <f aca="false">MAX(0,min_cash-(Sens!H15085+Sens!I15081-Sens!I15082-Sens!I15083))</f>
        <v>0</v>
      </c>
      <c r="J15084" s="6" t="n">
        <f aca="false">MAX(0,min_cash-(Sens!I15085+Sens!J15081-Sens!J15082-Sens!J15083))</f>
        <v>0</v>
      </c>
      <c r="K15084" s="6" t="n">
        <f aca="false">MAX(0,min_cash-(Sens!J15085+Sens!K15081-Sens!K15082-Sens!K15083))</f>
        <v>0</v>
      </c>
    </row>
    <row r="15085" customFormat="false" ht="15" hidden="false" customHeight="false" outlineLevel="0" collapsed="false">
      <c r="A15085" s="1" t="s">
        <v>972</v>
      </c>
      <c r="B15085" s="0" t="s">
        <v>98</v>
      </c>
      <c r="E15085" s="6" t="n">
        <f aca="false">cash_open</f>
        <v>76.843</v>
      </c>
      <c r="F15085" s="6" t="n">
        <f aca="false">Sens!E15085+Sens!F15081-Sens!F15082-Sens!F15083+Sens!F15084</f>
        <v>50</v>
      </c>
      <c r="G15085" s="6" t="n">
        <f aca="false">Sens!F15085+Sens!G15081-Sens!G15082-Sens!G15083+Sens!G15084</f>
        <v>50</v>
      </c>
      <c r="H15085" s="6" t="n">
        <f aca="false">Sens!G15085+Sens!H15081-Sens!H15082-Sens!H15083+Sens!H15084</f>
        <v>62.3866624196601</v>
      </c>
      <c r="I15085" s="6" t="n">
        <f aca="false">Sens!H15085+Sens!I15081-Sens!I15082-Sens!I15083+Sens!I15084</f>
        <v>137.957235294876</v>
      </c>
      <c r="J15085" s="6" t="n">
        <f aca="false">Sens!I15085+Sens!J15081-Sens!J15082-Sens!J15083+Sens!J15084</f>
        <v>278.448256649474</v>
      </c>
      <c r="K15085" s="6" t="n">
        <f aca="false">Sens!J15085+Sens!K15081-Sens!K15082-Sens!K15083+Sens!K15084</f>
        <v>447.534189431081</v>
      </c>
    </row>
    <row r="15086" customFormat="false" ht="15" hidden="false" customHeight="false" outlineLevel="0" collapsed="false">
      <c r="A15086" s="1" t="s">
        <v>973</v>
      </c>
      <c r="B15086" s="0" t="s">
        <v>98</v>
      </c>
      <c r="E15086" s="6" t="n">
        <f aca="false">debt_face</f>
        <v>46.136</v>
      </c>
      <c r="F15086" s="6" t="n">
        <f aca="false">Sens!E15086-Sens!F15082+Sens!F15084</f>
        <v>46.6486485342169</v>
      </c>
      <c r="G15086" s="6" t="n">
        <f aca="false">Sens!F15086-Sens!G15082+Sens!G15084</f>
        <v>46.6486485342169</v>
      </c>
      <c r="H15086" s="6" t="n">
        <f aca="false">Sens!G15086-Sens!H15082+Sens!H15084</f>
        <v>44.6476485342169</v>
      </c>
      <c r="I15086" s="6" t="n">
        <f aca="false">Sens!H15086-Sens!I15082+Sens!I15084</f>
        <v>44.6476485342169</v>
      </c>
      <c r="J15086" s="6" t="n">
        <f aca="false">Sens!I15086-Sens!J15082+Sens!J15084</f>
        <v>44.1476485342169</v>
      </c>
      <c r="K15086" s="6" t="n">
        <f aca="false">Sens!J15086-Sens!K15082+Sens!K15084</f>
        <v>44.1476485342169</v>
      </c>
    </row>
    <row r="15087" customFormat="false" ht="15" hidden="false" customHeight="false" outlineLevel="0" collapsed="false">
      <c r="A15087" s="1" t="s">
        <v>974</v>
      </c>
      <c r="B15087" s="0" t="s">
        <v>98</v>
      </c>
      <c r="E15087" s="6" t="n">
        <f aca="false">Sens!E15085-Sens!E15086</f>
        <v>30.707</v>
      </c>
      <c r="F15087" s="6" t="n">
        <f aca="false">Sens!F15085-Sens!F15086</f>
        <v>3.35135146578308</v>
      </c>
      <c r="G15087" s="6" t="n">
        <f aca="false">Sens!G15085-Sens!G15086</f>
        <v>3.35135146578308</v>
      </c>
      <c r="H15087" s="6" t="n">
        <f aca="false">Sens!H15085-Sens!H15086</f>
        <v>17.7390138854432</v>
      </c>
      <c r="I15087" s="6" t="n">
        <f aca="false">Sens!I15085-Sens!I15086</f>
        <v>93.3095867606592</v>
      </c>
      <c r="J15087" s="6" t="n">
        <f aca="false">Sens!J15085-Sens!J15086</f>
        <v>234.300608115257</v>
      </c>
      <c r="K15087" s="6" t="n">
        <f aca="false">Sens!K15085-Sens!K15086</f>
        <v>403.386540896865</v>
      </c>
    </row>
    <row r="15088" customFormat="false" ht="15" hidden="false" customHeight="false" outlineLevel="0" collapsed="false">
      <c r="A15088" s="1" t="s">
        <v>975</v>
      </c>
      <c r="B15088" s="0" t="s">
        <v>75</v>
      </c>
      <c r="F15088" s="29" t="n">
        <f aca="false">px*(1+bb_g)^(Sens!F14950-base_fy-mid_yr)</f>
        <v>553.494156066711</v>
      </c>
      <c r="G15088" s="29" t="n">
        <f aca="false">px*(1+bb_g)^(Sens!G14950-base_fy-mid_yr)</f>
        <v>597.773688552047</v>
      </c>
      <c r="H15088" s="29" t="n">
        <f aca="false">px*(1+bb_g)^(Sens!H14950-base_fy-mid_yr)</f>
        <v>645.595583636211</v>
      </c>
      <c r="I15088" s="29" t="n">
        <f aca="false">px*(1+bb_g)^(Sens!I14950-base_fy-mid_yr)</f>
        <v>697.243230327108</v>
      </c>
      <c r="J15088" s="29" t="n">
        <f aca="false">px*(1+bb_g)^(Sens!J14950-base_fy-mid_yr)</f>
        <v>753.022688753277</v>
      </c>
      <c r="K15088" s="29" t="n">
        <f aca="false">px*(1+bb_g)^(Sens!K14950-base_fy-mid_yr)</f>
        <v>813.264503853539</v>
      </c>
    </row>
    <row r="15089" customFormat="false" ht="15" hidden="false" customHeight="false" outlineLevel="0" collapsed="false">
      <c r="A15089" s="1" t="s">
        <v>976</v>
      </c>
      <c r="B15089" s="1" t="s">
        <v>81</v>
      </c>
      <c r="E15089" s="14" t="n">
        <f aca="false">sh_out26</f>
        <v>7.427</v>
      </c>
      <c r="F15089" s="14" t="n">
        <f aca="false">Sens!E15089+sh_iss-Sens!F15083/Sens!F15088</f>
        <v>7.472</v>
      </c>
      <c r="G15089" s="14" t="n">
        <f aca="false">Sens!F15089+sh_iss-Sens!G15083/Sens!G15088</f>
        <v>7.51613198644776</v>
      </c>
      <c r="H15089" s="14" t="n">
        <f aca="false">Sens!G15089+sh_iss-Sens!H15083/Sens!H15088</f>
        <v>7.52663515814767</v>
      </c>
      <c r="I15089" s="14" t="n">
        <f aca="false">Sens!H15089+sh_iss-Sens!I15083/Sens!I15088</f>
        <v>7.53969365046239</v>
      </c>
      <c r="J15089" s="14" t="n">
        <f aca="false">Sens!I15089+sh_iss-Sens!J15083/Sens!J15088</f>
        <v>7.55511818038343</v>
      </c>
      <c r="K15089" s="14" t="n">
        <f aca="false">Sens!J15089+sh_iss-Sens!K15083/Sens!K15088</f>
        <v>7.57273348586588</v>
      </c>
    </row>
    <row r="15090" customFormat="false" ht="15" hidden="false" customHeight="false" outlineLevel="0" collapsed="false">
      <c r="A15090" s="1" t="s">
        <v>977</v>
      </c>
      <c r="B15090" s="1" t="s">
        <v>81</v>
      </c>
      <c r="E15090" s="14" t="n">
        <f aca="false">sh_dil26</f>
        <v>7.453</v>
      </c>
      <c r="F15090" s="14" t="n">
        <f aca="false">(Sens!E15089+Sens!F15089)/2+dil_gap</f>
        <v>7.4735</v>
      </c>
      <c r="G15090" s="14" t="n">
        <f aca="false">(Sens!F15089+Sens!G15089)/2+dil_gap</f>
        <v>7.51806599322388</v>
      </c>
      <c r="H15090" s="14" t="n">
        <f aca="false">(Sens!G15089+Sens!H15089)/2+dil_gap</f>
        <v>7.54538357229772</v>
      </c>
      <c r="I15090" s="14" t="n">
        <f aca="false">(Sens!H15089+Sens!I15089)/2+dil_gap</f>
        <v>7.55716440430503</v>
      </c>
      <c r="J15090" s="14" t="n">
        <f aca="false">(Sens!I15089+Sens!J15089)/2+dil_gap</f>
        <v>7.57140591542291</v>
      </c>
      <c r="K15090" s="14" t="n">
        <f aca="false">(Sens!J15089+Sens!K15089)/2+dil_gap</f>
        <v>7.58792583312465</v>
      </c>
    </row>
    <row r="15091" customFormat="false" ht="17.15" hidden="false" customHeight="false" outlineLevel="0" collapsed="false">
      <c r="A15091" s="1" t="s">
        <v>978</v>
      </c>
      <c r="B15091" s="0" t="s">
        <v>98</v>
      </c>
      <c r="C15091" s="6" t="n">
        <f aca="false">SUM(Sens!F15081:J15081)</f>
        <v>270.92548377809</v>
      </c>
    </row>
    <row r="15092" customFormat="false" ht="15" hidden="false" customHeight="false" outlineLevel="0" collapsed="false">
      <c r="A15092" s="23" t="s">
        <v>945</v>
      </c>
      <c r="B15092" s="30" t="s">
        <v>98</v>
      </c>
      <c r="C15092" s="24" t="n">
        <f aca="false">Sens!$C$15091-(Sens!F15081+Sens!G15081+Sens!H15081+Sens!I15081+Sens!J15081)</f>
        <v>0</v>
      </c>
      <c r="D15092" s="30"/>
      <c r="E15092" s="30"/>
      <c r="F15092" s="30"/>
      <c r="G15092" s="30"/>
      <c r="H15092" s="30"/>
      <c r="I15092" s="30"/>
      <c r="J15092" s="30"/>
      <c r="K15092" s="30"/>
    </row>
    <row r="15093" customFormat="false" ht="17.15" hidden="false" customHeight="false" outlineLevel="0" collapsed="false">
      <c r="A15093" s="1" t="s">
        <v>939</v>
      </c>
      <c r="B15093" s="1" t="s">
        <v>979</v>
      </c>
      <c r="C15093" s="32" t="str">
        <f aca="false">IF(SUM(Sens!F15084:J15084)&gt;0.05,"需要舉債 "&amp;TEXT(SUM(Sens!F15084:J15084),"0.0")&amp;" 十億美元","不需舉債")&amp;"；"&amp;IF(SUM(Sens!F15083:J15083)&lt;COUNT(Sens!F15083:J15083)*bb_target-0.05,"回購較每年 "&amp;TEXT(bb_target,"0.0")&amp;" 的目標少 "&amp;TEXT(COUNT(Sens!F15083:J15083)*bb_target-SUM(Sens!F15083:J15083),"0.0")&amp;" 十億美元（"&amp;TEXT(COUNTIF(Sens!F15083:J15083,"&lt;"&amp;(bb_target-0.05)),"0")&amp;" 年減少）","回購不減")</f>
        <v>需要舉債 9.8 十億美元；回購較每年 22.3 的目標少 44.0 十億美元（2 年減少）</v>
      </c>
    </row>
    <row r="15094" customFormat="false" ht="17.15" hidden="false" customHeight="false" outlineLevel="0" collapsed="false">
      <c r="A15094" s="3" t="s">
        <v>1645</v>
      </c>
    </row>
    <row r="15095" customFormat="false" ht="15" hidden="false" customHeight="false" outlineLevel="0" collapsed="false">
      <c r="A15095" s="4" t="s">
        <v>43</v>
      </c>
      <c r="B15095" s="4" t="s">
        <v>65</v>
      </c>
      <c r="C15095" s="20" t="s">
        <v>799</v>
      </c>
      <c r="D15095" s="20" t="s">
        <v>800</v>
      </c>
      <c r="E15095" s="20" t="s">
        <v>801</v>
      </c>
      <c r="F15095" s="20" t="s">
        <v>802</v>
      </c>
      <c r="G15095" s="20" t="s">
        <v>803</v>
      </c>
      <c r="H15095" s="20" t="s">
        <v>804</v>
      </c>
      <c r="I15095" s="20" t="s">
        <v>805</v>
      </c>
      <c r="J15095" s="20" t="s">
        <v>806</v>
      </c>
      <c r="K15095" s="20" t="s">
        <v>807</v>
      </c>
      <c r="L15095" s="4" t="s">
        <v>47</v>
      </c>
    </row>
    <row r="15096" customFormat="false" ht="15" hidden="false" customHeight="false" outlineLevel="0" collapsed="false">
      <c r="A15096" s="1" t="s">
        <v>1057</v>
      </c>
      <c r="B15096" s="1" t="s">
        <v>235</v>
      </c>
      <c r="F15096" s="36" t="n">
        <f aca="false">Sens!F14950-base_fy-mid_yr</f>
        <v>0.5</v>
      </c>
      <c r="G15096" s="36" t="n">
        <f aca="false">Sens!G14950-base_fy-mid_yr</f>
        <v>1.5</v>
      </c>
      <c r="H15096" s="36" t="n">
        <f aca="false">Sens!H14950-base_fy-mid_yr</f>
        <v>2.5</v>
      </c>
      <c r="I15096" s="36" t="n">
        <f aca="false">Sens!I14950-base_fy-mid_yr</f>
        <v>3.5</v>
      </c>
      <c r="J15096" s="36" t="n">
        <f aca="false">Sens!J14950-base_fy-mid_yr</f>
        <v>4.5</v>
      </c>
      <c r="K15096" s="36" t="n">
        <f aca="false">Sens!K14950-base_fy-mid_yr</f>
        <v>5.5</v>
      </c>
    </row>
    <row r="15097" customFormat="false" ht="15" hidden="false" customHeight="false" outlineLevel="0" collapsed="false">
      <c r="A15097" s="1" t="s">
        <v>1058</v>
      </c>
      <c r="B15097" s="0" t="s">
        <v>185</v>
      </c>
      <c r="F15097" s="14" t="n">
        <f aca="false">1/(1+wacc)^Sens!F15096</f>
        <v>0.952193373608246</v>
      </c>
      <c r="G15097" s="14" t="n">
        <f aca="false">1/(1+wacc)^Sens!G15096</f>
        <v>0.863327280626589</v>
      </c>
      <c r="H15097" s="14" t="n">
        <f aca="false">1/(1+wacc)^Sens!H15096</f>
        <v>0.782754862754115</v>
      </c>
      <c r="I15097" s="14" t="n">
        <f aca="false">1/(1+wacc)^Sens!I15096</f>
        <v>0.709702089711011</v>
      </c>
      <c r="J15097" s="14" t="n">
        <f aca="false">1/(1+wacc)^Sens!J15096</f>
        <v>0.643467169744551</v>
      </c>
      <c r="K15097" s="14" t="n">
        <f aca="false">1/(1+wacc)^Sens!K15096</f>
        <v>0.583413807767797</v>
      </c>
    </row>
    <row r="15098" customFormat="false" ht="17.15" hidden="false" customHeight="false" outlineLevel="0" collapsed="false">
      <c r="A15098" s="1" t="s">
        <v>1059</v>
      </c>
      <c r="B15098" s="0" t="s">
        <v>98</v>
      </c>
      <c r="F15098" s="6" t="n">
        <f aca="false">Sens!F15071-Sens!F15069-Sens!F15075+Sens!F15054*(1-tax_f)</f>
        <v>-6.20908191712712</v>
      </c>
      <c r="G15098" s="6" t="n">
        <f aca="false">Sens!G15071-Sens!G15069-Sens!G15075+Sens!G15054*(1-tax_f)</f>
        <v>33.2050924806389</v>
      </c>
      <c r="H15098" s="6" t="n">
        <f aca="false">Sens!H15071-Sens!H15069-Sens!H15075+Sens!H15054*(1-tax_f)</f>
        <v>81.5254716863953</v>
      </c>
      <c r="I15098" s="6" t="n">
        <f aca="false">Sens!I15071-Sens!I15069-Sens!I15075+Sens!I15054*(1-tax_f)</f>
        <v>154.645129074942</v>
      </c>
      <c r="J15098" s="6" t="n">
        <f aca="false">Sens!J15071-Sens!J15069-Sens!J15075+Sens!J15054*(1-tax_f)</f>
        <v>229.350891199478</v>
      </c>
      <c r="K15098" s="6" t="n">
        <f aca="false">Sens!K15071-Sens!K15069-Sens!K15075+Sens!K15054*(1-tax_f)</f>
        <v>263.819118820941</v>
      </c>
      <c r="L15098" s="1" t="s">
        <v>1060</v>
      </c>
    </row>
    <row r="15099" customFormat="false" ht="15" hidden="false" customHeight="false" outlineLevel="0" collapsed="false">
      <c r="A15099" s="1" t="s">
        <v>1061</v>
      </c>
      <c r="B15099" s="0" t="s">
        <v>98</v>
      </c>
      <c r="F15099" s="6" t="n">
        <f aca="false">Sens!F15098*Sens!F15097</f>
        <v>-5.91224665767923</v>
      </c>
      <c r="G15099" s="6" t="n">
        <f aca="false">Sens!G15098*Sens!G15097</f>
        <v>28.6668621942644</v>
      </c>
      <c r="H15099" s="6" t="n">
        <f aca="false">Sens!H15098*Sens!H15097</f>
        <v>63.8144594008489</v>
      </c>
      <c r="I15099" s="6" t="n">
        <f aca="false">Sens!I15098*Sens!I15097</f>
        <v>109.751971268116</v>
      </c>
      <c r="J15099" s="6" t="n">
        <f aca="false">Sens!J15098*Sens!J15097</f>
        <v>147.579768838518</v>
      </c>
      <c r="K15099" s="6" t="n">
        <f aca="false">Sens!K15098*Sens!K15097</f>
        <v>153.91571667327</v>
      </c>
    </row>
    <row r="15100" customFormat="false" ht="17.15" hidden="false" customHeight="false" outlineLevel="0" collapsed="false">
      <c r="A15100" s="1" t="s">
        <v>1062</v>
      </c>
      <c r="B15100" s="0" t="s">
        <v>98</v>
      </c>
      <c r="C15100" s="6" t="n">
        <f aca="false">SUM(Sens!F15099:K15099)</f>
        <v>497.816531717338</v>
      </c>
    </row>
    <row r="15101" customFormat="false" ht="17.15" hidden="false" customHeight="false" outlineLevel="0" collapsed="false">
      <c r="A15101" s="1" t="s">
        <v>1063</v>
      </c>
      <c r="B15101" s="0" t="s">
        <v>98</v>
      </c>
      <c r="C15101" s="6" t="n">
        <f aca="false">Sens!K15040*(1+g_tv)*(1-tax_f)</f>
        <v>279.918416785325</v>
      </c>
    </row>
    <row r="15102" customFormat="false" ht="17.15" hidden="false" customHeight="false" outlineLevel="0" collapsed="false">
      <c r="A15102" s="1" t="s">
        <v>1064</v>
      </c>
      <c r="B15102" s="0" t="s">
        <v>98</v>
      </c>
      <c r="C15102" s="6" t="n">
        <f aca="false">Sens!$C$15101*(1-g_tv/(wacc+ronic_prem))</f>
        <v>198.336837989983</v>
      </c>
    </row>
    <row r="15103" customFormat="false" ht="17.15" hidden="false" customHeight="false" outlineLevel="0" collapsed="false">
      <c r="A15103" s="1" t="s">
        <v>1065</v>
      </c>
      <c r="B15103" s="0" t="s">
        <v>98</v>
      </c>
      <c r="C15103" s="6" t="n">
        <f aca="false">Sens!$C$15102/(wacc-g_tv)</f>
        <v>2719.38595984472</v>
      </c>
    </row>
    <row r="15104" customFormat="false" ht="15" hidden="false" customHeight="false" outlineLevel="0" collapsed="false">
      <c r="A15104" s="1" t="s">
        <v>1066</v>
      </c>
      <c r="B15104" s="0" t="s">
        <v>98</v>
      </c>
      <c r="C15104" s="6" t="n">
        <f aca="false">Sens!$C$15103/(1+wacc)^(Sens!K15096+mid_yr)</f>
        <v>1510.68079888937</v>
      </c>
    </row>
    <row r="15105" customFormat="false" ht="17.15" hidden="false" customHeight="false" outlineLevel="0" collapsed="false">
      <c r="A15105" s="0" t="s">
        <v>986</v>
      </c>
      <c r="B15105" s="0" t="s">
        <v>98</v>
      </c>
      <c r="C15105" s="6" t="n">
        <f aca="false">Sens!$C$15100+Sens!$C$15104</f>
        <v>2008.4973306067</v>
      </c>
    </row>
    <row r="15106" customFormat="false" ht="15" hidden="false" customHeight="false" outlineLevel="0" collapsed="false">
      <c r="A15106" s="1" t="s">
        <v>987</v>
      </c>
      <c r="B15106" s="0" t="s">
        <v>129</v>
      </c>
      <c r="C15106" s="7" t="n">
        <f aca="false">Sens!$C$15104/Sens!$C$15105</f>
        <v>0.752144787980892</v>
      </c>
    </row>
    <row r="15107" customFormat="false" ht="17.15" hidden="false" customHeight="false" outlineLevel="0" collapsed="false">
      <c r="A15107" s="1" t="s">
        <v>1067</v>
      </c>
      <c r="B15107" s="0" t="s">
        <v>98</v>
      </c>
      <c r="C15107" s="6" t="n">
        <f aca="false">Sens!$C$15105+Sens!E15087-Sens!E15076+oai_v</f>
        <v>2143.0103306067</v>
      </c>
    </row>
    <row r="15108" customFormat="false" ht="17.15" hidden="false" customHeight="false" outlineLevel="0" collapsed="false">
      <c r="A15108" s="0" t="s">
        <v>994</v>
      </c>
      <c r="B15108" s="0" t="s">
        <v>75</v>
      </c>
      <c r="C15108" s="5" t="n">
        <f aca="false">Sens!$C$15107/sh_dil26</f>
        <v>287.536606816947</v>
      </c>
    </row>
    <row r="15109" customFormat="false" ht="15" hidden="false" customHeight="false" outlineLevel="0" collapsed="false">
      <c r="A15109" s="1" t="s">
        <v>1068</v>
      </c>
      <c r="B15109" s="0" t="s">
        <v>75</v>
      </c>
      <c r="C15109" s="8" t="n">
        <f aca="false">dps_27+Sens!G15079*roll_div_q/q_per_yr</f>
        <v>4.8895</v>
      </c>
    </row>
    <row r="15110" customFormat="false" ht="17.15" hidden="false" customHeight="false" outlineLevel="0" collapsed="false">
      <c r="A15110" s="0" t="s">
        <v>1069</v>
      </c>
      <c r="B15110" s="0" t="s">
        <v>75</v>
      </c>
      <c r="C15110" s="5" t="n">
        <f aca="false">Sens!$C$15108*(1+wacc)^t_roll-Sens!$C$15109</f>
        <v>322.538034893392</v>
      </c>
    </row>
    <row r="15111" customFormat="false" ht="17.15" hidden="false" customHeight="false" outlineLevel="0" collapsed="false">
      <c r="A15111" s="1" t="s">
        <v>1070</v>
      </c>
      <c r="B15111" s="0" t="s">
        <v>129</v>
      </c>
      <c r="F15111" s="7" t="n">
        <f aca="false">Sens!F15066/(Sens!F15011-Sens!F14967)</f>
        <v>0.0708376243512414</v>
      </c>
      <c r="G15111" s="7" t="n">
        <f aca="false">Sens!G15066/(Sens!G15011-Sens!G14967)</f>
        <v>0.0675792567445289</v>
      </c>
      <c r="H15111" s="7" t="n">
        <f aca="false">Sens!H15066/(Sens!H15011-Sens!H14967)</f>
        <v>0.0657637992399081</v>
      </c>
      <c r="I15111" s="7" t="n">
        <f aca="false">Sens!I15066/(Sens!I15011-Sens!I14967)</f>
        <v>0.0652507860006261</v>
      </c>
      <c r="J15111" s="7" t="n">
        <f aca="false">Sens!J15066/(Sens!J15011-Sens!J14967)</f>
        <v>0.0657374094257698</v>
      </c>
      <c r="K15111" s="7" t="n">
        <f aca="false">Sens!K15066/(Sens!K15011-Sens!K14967)</f>
        <v>0.0668595832904836</v>
      </c>
    </row>
    <row r="15112" customFormat="false" ht="17.15" hidden="false" customHeight="false" outlineLevel="0" collapsed="false">
      <c r="A15112" s="0" t="s">
        <v>1071</v>
      </c>
      <c r="B15112" s="0" t="s">
        <v>98</v>
      </c>
      <c r="F15112" s="6" t="n">
        <f aca="false">Sens!F14996*(al_m365+Sens!F15111+sbc_r)</f>
        <v>84.2019918892952</v>
      </c>
      <c r="G15112" s="6" t="n">
        <f aca="false">Sens!G14996*(al_m365+Sens!G15111+sbc_r)</f>
        <v>96.61090954529</v>
      </c>
      <c r="H15112" s="6" t="n">
        <f aca="false">Sens!H14996*(al_m365+Sens!H15111+sbc_r)</f>
        <v>109.18271398457</v>
      </c>
      <c r="I15112" s="6" t="n">
        <f aca="false">Sens!I14996*(al_m365+Sens!I15111+sbc_r)</f>
        <v>120.736322591613</v>
      </c>
      <c r="J15112" s="6" t="n">
        <f aca="false">Sens!J14996*(al_m365+Sens!J15111+sbc_r)</f>
        <v>131.084561154645</v>
      </c>
      <c r="K15112" s="6" t="n">
        <f aca="false">Sens!K14996*(al_m365+Sens!K15111+sbc_r)</f>
        <v>141.044207560217</v>
      </c>
      <c r="L15112" s="11" t="s">
        <v>1072</v>
      </c>
    </row>
    <row r="15113" customFormat="false" ht="17.15" hidden="false" customHeight="false" outlineLevel="0" collapsed="false">
      <c r="A15113" s="0" t="s">
        <v>1073</v>
      </c>
      <c r="B15113" s="0" t="s">
        <v>98</v>
      </c>
      <c r="F15113" s="6" t="n">
        <f aca="false">Sens!F14997*(al_lic+Sens!F15111+sbc_r)</f>
        <v>33.5324516680982</v>
      </c>
      <c r="G15113" s="6" t="n">
        <f aca="false">Sens!G14997*(al_lic+Sens!G15111+sbc_r)</f>
        <v>34.819657317048</v>
      </c>
      <c r="H15113" s="6" t="n">
        <f aca="false">Sens!H14997*(al_lic+Sens!H15111+sbc_r)</f>
        <v>36.0229106304815</v>
      </c>
      <c r="I15113" s="6" t="n">
        <f aca="false">Sens!I14997*(al_lic+Sens!I15111+sbc_r)</f>
        <v>37.1234854794919</v>
      </c>
      <c r="J15113" s="6" t="n">
        <f aca="false">Sens!J14997*(al_lic+Sens!J15111+sbc_r)</f>
        <v>38.0950592345738</v>
      </c>
      <c r="K15113" s="6" t="n">
        <f aca="false">Sens!K14997*(al_lic+Sens!K15111+sbc_r)</f>
        <v>38.9080719459809</v>
      </c>
    </row>
    <row r="15114" customFormat="false" ht="17.15" hidden="false" customHeight="false" outlineLevel="0" collapsed="false">
      <c r="A15114" s="0" t="s">
        <v>1074</v>
      </c>
      <c r="B15114" s="0" t="s">
        <v>98</v>
      </c>
      <c r="F15114" s="6" t="n">
        <f aca="false">Sens!F14999*(al_ind+Sens!F15111+sbc_r)</f>
        <v>9.12666918765551</v>
      </c>
      <c r="G15114" s="6" t="n">
        <f aca="false">Sens!G14999*(al_ind+Sens!G15111+sbc_r)</f>
        <v>9.89694850970116</v>
      </c>
      <c r="H15114" s="6" t="n">
        <f aca="false">Sens!H14999*(al_ind+Sens!H15111+sbc_r)</f>
        <v>10.7131335152527</v>
      </c>
      <c r="I15114" s="6" t="n">
        <f aca="false">Sens!I14999*(al_ind+Sens!I15111+sbc_r)</f>
        <v>11.5721730864119</v>
      </c>
      <c r="J15114" s="6" t="n">
        <f aca="false">Sens!J14999*(al_ind+Sens!J15111+sbc_r)</f>
        <v>12.4641697526801</v>
      </c>
      <c r="K15114" s="6" t="n">
        <f aca="false">Sens!K14999*(al_ind+Sens!K15111+sbc_r)</f>
        <v>13.3737871892836</v>
      </c>
    </row>
    <row r="15115" customFormat="false" ht="17.15" hidden="false" customHeight="false" outlineLevel="0" collapsed="false">
      <c r="A15115" s="0" t="s">
        <v>1075</v>
      </c>
      <c r="B15115" s="0" t="s">
        <v>98</v>
      </c>
      <c r="F15115" s="6" t="n">
        <f aca="false">Sens!F15001*(al_fro+Sens!F15111+sbc_r)</f>
        <v>3.5922890341799</v>
      </c>
      <c r="G15115" s="6" t="n">
        <f aca="false">Sens!G15001*(al_fro+Sens!G15111+sbc_r)</f>
        <v>3.79984310356763</v>
      </c>
      <c r="H15115" s="6" t="n">
        <f aca="false">Sens!H15001*(al_fro+Sens!H15111+sbc_r)</f>
        <v>4.03707539290126</v>
      </c>
      <c r="I15115" s="6" t="n">
        <f aca="false">Sens!I15001*(al_fro+Sens!I15111+sbc_r)</f>
        <v>4.30669184104541</v>
      </c>
      <c r="J15115" s="6" t="n">
        <f aca="false">Sens!J15001*(al_fro+Sens!J15111+sbc_r)</f>
        <v>4.6097289716959</v>
      </c>
      <c r="K15115" s="6" t="n">
        <f aca="false">Sens!K15001*(al_fro+Sens!K15111+sbc_r)</f>
        <v>4.94614045628512</v>
      </c>
    </row>
    <row r="15116" customFormat="false" ht="17.15" hidden="false" customHeight="false" outlineLevel="0" collapsed="false">
      <c r="A15116" s="0" t="s">
        <v>1076</v>
      </c>
      <c r="B15116" s="0" t="s">
        <v>98</v>
      </c>
      <c r="F15116" s="6" t="n">
        <f aca="false">Sens!F15004*(al_srch+Sens!F15111+sbc_r)</f>
        <v>11.2715683093452</v>
      </c>
      <c r="G15116" s="6" t="n">
        <f aca="false">Sens!G15004*(al_srch+Sens!G15111+sbc_r)</f>
        <v>12.338201972554</v>
      </c>
      <c r="H15116" s="6" t="n">
        <f aca="false">Sens!H15004*(al_srch+Sens!H15111+sbc_r)</f>
        <v>13.450727865064</v>
      </c>
      <c r="I15116" s="6" t="n">
        <f aca="false">Sens!I15004*(al_srch+Sens!I15111+sbc_r)</f>
        <v>14.598560682534</v>
      </c>
      <c r="J15116" s="6" t="n">
        <f aca="false">Sens!J15004*(al_srch+Sens!J15111+sbc_r)</f>
        <v>15.7615229152659</v>
      </c>
      <c r="K15116" s="6" t="n">
        <f aca="false">Sens!K15004*(al_srch+Sens!K15111+sbc_r)</f>
        <v>16.9117765106222</v>
      </c>
    </row>
    <row r="15117" customFormat="false" ht="17.15" hidden="false" customHeight="false" outlineLevel="0" collapsed="false">
      <c r="A15117" s="0" t="s">
        <v>1077</v>
      </c>
      <c r="B15117" s="0" t="s">
        <v>98</v>
      </c>
      <c r="F15117" s="6" t="n">
        <f aca="false">Sens!F14973-Sens!F14974+Sens!F15054</f>
        <v>37.1255315877047</v>
      </c>
      <c r="G15117" s="6" t="n">
        <f aca="false">Sens!G14973-Sens!G14974+Sens!G15054</f>
        <v>74.3917353199877</v>
      </c>
      <c r="H15117" s="6" t="n">
        <f aca="false">Sens!H14973-Sens!H14974+Sens!H15054</f>
        <v>114.606293778799</v>
      </c>
      <c r="I15117" s="6" t="n">
        <f aca="false">Sens!I14973-Sens!I14974+Sens!I15054</f>
        <v>150.949136660813</v>
      </c>
      <c r="J15117" s="6" t="n">
        <f aca="false">Sens!J14973-Sens!J14974+Sens!J15054</f>
        <v>176.860883116948</v>
      </c>
      <c r="K15117" s="6" t="n">
        <f aca="false">Sens!K14973-Sens!K14974+Sens!K15054</f>
        <v>193.468702285238</v>
      </c>
    </row>
    <row r="15118" customFormat="false" ht="17.15" hidden="false" customHeight="false" outlineLevel="0" collapsed="false">
      <c r="A15118" s="0" t="s">
        <v>1078</v>
      </c>
      <c r="B15118" s="0" t="s">
        <v>98</v>
      </c>
      <c r="F15118" s="6" t="n">
        <f aca="false">Sens!F15033+Sens!F15054+Sens!F14984+Sens!F15111*(Sens!F15003-Sens!F14967)+sbc_r*Sens!F15003</f>
        <v>227.982597487625</v>
      </c>
      <c r="G15118" s="6" t="n">
        <f aca="false">Sens!G15033+Sens!G15054+Sens!G14984+Sens!G15111*(Sens!G15003-Sens!G14967)+sbc_r*Sens!G15003</f>
        <v>292.352170608249</v>
      </c>
      <c r="H15118" s="6" t="n">
        <f aca="false">Sens!H15033+Sens!H15054+Sens!H14984+Sens!H15111*(Sens!H15003-Sens!H14967)+sbc_r*Sens!H15003</f>
        <v>360.173925950833</v>
      </c>
      <c r="I15118" s="6" t="n">
        <f aca="false">Sens!I15033+Sens!I15054+Sens!I14984+Sens!I15111*(Sens!I15003-Sens!I14967)+sbc_r*Sens!I15003</f>
        <v>422.752764132921</v>
      </c>
      <c r="J15118" s="6" t="n">
        <f aca="false">Sens!J15033+Sens!J15054+Sens!J14984+Sens!J15111*(Sens!J15003-Sens!J14967)+sbc_r*Sens!J15003</f>
        <v>472.47001356218</v>
      </c>
      <c r="K15118" s="6" t="n">
        <f aca="false">Sens!K15033+Sens!K15054+Sens!K14984+Sens!K15111*(Sens!K15003-Sens!K14967)+sbc_r*Sens!K15003</f>
        <v>510.535895644863</v>
      </c>
    </row>
    <row r="15119" customFormat="false" ht="17.15" hidden="false" customHeight="false" outlineLevel="0" collapsed="false">
      <c r="A15119" s="0" t="s">
        <v>1079</v>
      </c>
      <c r="B15119" s="0" t="s">
        <v>98</v>
      </c>
      <c r="F15119" s="6" t="n">
        <f aca="false">Sens!F15118-Sens!F15112-Sens!F15113-Sens!F15114-Sens!F15115-Sens!F15117</f>
        <v>60.4036641206917</v>
      </c>
      <c r="G15119" s="6" t="n">
        <f aca="false">Sens!G15118-Sens!G15112-Sens!G15113-Sens!G15114-Sens!G15115-Sens!G15117</f>
        <v>72.8330768126548</v>
      </c>
      <c r="H15119" s="6" t="n">
        <f aca="false">Sens!H15118-Sens!H15112-Sens!H15113-Sens!H15114-Sens!H15115-Sens!H15117</f>
        <v>85.6117986488275</v>
      </c>
      <c r="I15119" s="6" t="n">
        <f aca="false">Sens!I15118-Sens!I15112-Sens!I15113-Sens!I15114-Sens!I15115-Sens!I15117</f>
        <v>98.0649544735462</v>
      </c>
      <c r="J15119" s="6" t="n">
        <f aca="false">Sens!J15118-Sens!J15112-Sens!J15113-Sens!J15114-Sens!J15115-Sens!J15117</f>
        <v>109.355611331638</v>
      </c>
      <c r="K15119" s="6" t="n">
        <f aca="false">Sens!K15118-Sens!K15112-Sens!K15113-Sens!K15114-Sens!K15115-Sens!K15117</f>
        <v>118.794986207857</v>
      </c>
    </row>
    <row r="15120" customFormat="false" ht="17.15" hidden="false" customHeight="false" outlineLevel="0" collapsed="false">
      <c r="A15120" s="0" t="s">
        <v>1080</v>
      </c>
      <c r="B15120" s="0" t="s">
        <v>98</v>
      </c>
      <c r="F15120" s="6" t="n">
        <f aca="false">Sens!F15035+Sens!F15111*Sens!F15010+sbc_r*Sens!F15010</f>
        <v>26.345087006484</v>
      </c>
      <c r="G15120" s="6" t="n">
        <f aca="false">Sens!G15035+Sens!G15111*Sens!G15010+sbc_r*Sens!G15010</f>
        <v>26.928666241387</v>
      </c>
      <c r="H15120" s="6" t="n">
        <f aca="false">Sens!H15035+Sens!H15111*Sens!H15010+sbc_r*Sens!H15010</f>
        <v>27.7857977299272</v>
      </c>
      <c r="I15120" s="6" t="n">
        <f aca="false">Sens!I15035+Sens!I15111*Sens!I15010+sbc_r*Sens!I15010</f>
        <v>28.8854111921819</v>
      </c>
      <c r="J15120" s="6" t="n">
        <f aca="false">Sens!J15035+Sens!J15111*Sens!J15010+sbc_r*Sens!J15010</f>
        <v>30.1909525075627</v>
      </c>
      <c r="K15120" s="6" t="n">
        <f aca="false">Sens!K15035+Sens!K15111*Sens!K15010+sbc_r*Sens!K15010</f>
        <v>31.6641663414168</v>
      </c>
    </row>
    <row r="15121" customFormat="false" ht="17.15" hidden="false" customHeight="false" outlineLevel="0" collapsed="false">
      <c r="A15121" s="0" t="s">
        <v>1081</v>
      </c>
      <c r="B15121" s="0" t="s">
        <v>98</v>
      </c>
      <c r="F15121" s="6" t="n">
        <f aca="false">(Sens!F15120-Sens!F15116)*Sens!F15006/(Sens!F15006+Sens!F15008)</f>
        <v>8.26315613582677</v>
      </c>
      <c r="G15121" s="6" t="n">
        <f aca="false">(Sens!G15120-Sens!G15116)*Sens!G15006/(Sens!G15006+Sens!G15008)</f>
        <v>7.85574031810689</v>
      </c>
      <c r="H15121" s="6" t="n">
        <f aca="false">(Sens!H15120-Sens!H15116)*Sens!H15006/(Sens!H15006+Sens!H15008)</f>
        <v>7.61397145487838</v>
      </c>
      <c r="I15121" s="6" t="n">
        <f aca="false">(Sens!I15120-Sens!I15116)*Sens!I15006/(Sens!I15006+Sens!I15008)</f>
        <v>7.51970050510933</v>
      </c>
      <c r="J15121" s="6" t="n">
        <f aca="false">(Sens!J15120-Sens!J15116)*Sens!J15006/(Sens!J15006+Sens!J15008)</f>
        <v>7.56040201890202</v>
      </c>
      <c r="K15121" s="6" t="n">
        <f aca="false">(Sens!K15120-Sens!K15116)*Sens!K15006/(Sens!K15006+Sens!K15008)</f>
        <v>7.72961932742727</v>
      </c>
    </row>
    <row r="15122" customFormat="false" ht="17.15" hidden="false" customHeight="false" outlineLevel="0" collapsed="false">
      <c r="A15122" s="0" t="s">
        <v>1082</v>
      </c>
      <c r="B15122" s="0" t="s">
        <v>98</v>
      </c>
      <c r="F15122" s="6" t="n">
        <f aca="false">Sens!F15120-Sens!F15116-Sens!F15121</f>
        <v>6.81036256131213</v>
      </c>
      <c r="G15122" s="6" t="n">
        <f aca="false">Sens!G15120-Sens!G15116-Sens!G15121</f>
        <v>6.73472395072608</v>
      </c>
      <c r="H15122" s="6" t="n">
        <f aca="false">Sens!H15120-Sens!H15116-Sens!H15121</f>
        <v>6.72109840998485</v>
      </c>
      <c r="I15122" s="6" t="n">
        <f aca="false">Sens!I15120-Sens!I15116-Sens!I15121</f>
        <v>6.76715000453853</v>
      </c>
      <c r="J15122" s="6" t="n">
        <f aca="false">Sens!J15120-Sens!J15116-Sens!J15121</f>
        <v>6.86902757339483</v>
      </c>
      <c r="K15122" s="6" t="n">
        <f aca="false">Sens!K15120-Sens!K15116-Sens!K15121</f>
        <v>7.02277050336727</v>
      </c>
    </row>
    <row r="15123" customFormat="false" ht="17.15" hidden="false" customHeight="false" outlineLevel="0" collapsed="false">
      <c r="A15123" s="0" t="s">
        <v>1083</v>
      </c>
      <c r="B15123" s="0" t="s">
        <v>98</v>
      </c>
      <c r="F15123" s="6" t="n">
        <f aca="false">Sens!F15117-tax_f*(Sens!F15117-Sens!F14984)-Sens!F14981</f>
        <v>-123.822473125112</v>
      </c>
      <c r="G15123" s="6" t="n">
        <f aca="false">Sens!G15117-tax_f*(Sens!G15117-Sens!G14984)-Sens!G14981</f>
        <v>-112.235704805108</v>
      </c>
      <c r="H15123" s="6" t="n">
        <f aca="false">Sens!H15117-tax_f*(Sens!H15117-Sens!H14984)-Sens!H14981</f>
        <v>-79.1230469186983</v>
      </c>
      <c r="I15123" s="6" t="n">
        <f aca="false">Sens!I15117-tax_f*(Sens!I15117-Sens!I14984)-Sens!I14981</f>
        <v>-20.8262110591164</v>
      </c>
      <c r="J15123" s="6" t="n">
        <f aca="false">Sens!J15117-tax_f*(Sens!J15117-Sens!J14984)-Sens!J14981</f>
        <v>39.9069344698847</v>
      </c>
      <c r="K15123" s="6" t="n">
        <f aca="false">Sens!K15117-tax_f*(Sens!K15117-Sens!K14984)-Sens!K14981</f>
        <v>61.1938393334616</v>
      </c>
    </row>
    <row r="15124" customFormat="false" ht="17.15" hidden="false" customHeight="false" outlineLevel="0" collapsed="false">
      <c r="A15124" s="0" t="s">
        <v>1084</v>
      </c>
      <c r="B15124" s="0" t="s">
        <v>98</v>
      </c>
      <c r="G15124" s="6" t="n">
        <f aca="false">Sens!G15123/(1+wacc)^(Sens!G15096-(Sens!F15096+mid_yr))</f>
        <v>-106.870094397675</v>
      </c>
      <c r="H15124" s="6" t="n">
        <f aca="false">Sens!H15123/(1+wacc)^(Sens!H15096-(Sens!F15096+mid_yr))</f>
        <v>-68.3090849312098</v>
      </c>
      <c r="I15124" s="6" t="n">
        <f aca="false">Sens!I15123/(1+wacc)^(Sens!I15096-(Sens!F15096+mid_yr))</f>
        <v>-16.3018179792669</v>
      </c>
      <c r="J15124" s="6" t="n">
        <f aca="false">Sens!J15123/(1+wacc)^(Sens!J15096-(Sens!F15096+mid_yr))</f>
        <v>28.3220347872375</v>
      </c>
      <c r="K15124" s="6" t="n">
        <f aca="false">Sens!K15123/(1+wacc)^(Sens!K15096-(Sens!F15096+mid_yr))</f>
        <v>39.3762266017054</v>
      </c>
      <c r="L15124" s="1" t="s">
        <v>1085</v>
      </c>
    </row>
    <row r="15125" customFormat="false" ht="17.15" hidden="false" customHeight="false" outlineLevel="0" collapsed="false">
      <c r="A15125" s="0" t="s">
        <v>1086</v>
      </c>
      <c r="B15125" s="0" t="s">
        <v>98</v>
      </c>
      <c r="C15125" s="6" t="n">
        <f aca="false">(Sens!K15117-Sens!K14984)*(1-tax_f)*(1+g_tv)*(1-g_tv/(wacc+ronic_prem))/(wacc-g_tv)/(1+wacc)^(Sens!K15096+mid_yr-(Sens!F15096+mid_yr))</f>
        <v>266.511343868803</v>
      </c>
    </row>
    <row r="15126" customFormat="false" ht="17.15" hidden="false" customHeight="false" outlineLevel="0" collapsed="false">
      <c r="A15126" s="1" t="s">
        <v>1087</v>
      </c>
      <c r="B15126" s="0" t="s">
        <v>98</v>
      </c>
      <c r="C15126" s="6" t="n">
        <f aca="false">(SUM(Sens!G15124:K15124)+Sens!$C$15125)*(1+wacc)^(t_roll-(Sens!F15096+mid_yr))</f>
        <v>147.361283274708</v>
      </c>
      <c r="L15126" s="11" t="s">
        <v>1088</v>
      </c>
    </row>
    <row r="15127" customFormat="false" ht="17.15" hidden="false" customHeight="false" outlineLevel="0" collapsed="false">
      <c r="A15127" s="1" t="s">
        <v>1089</v>
      </c>
      <c r="B15127" s="0" t="s">
        <v>98</v>
      </c>
      <c r="C15127" s="6" t="n">
        <f aca="false">(w_ntm28*Sens!G14973+(1-w_ntm28)*Sens!H14973)*m_ai</f>
        <v>454.922440830797</v>
      </c>
    </row>
    <row r="15128" customFormat="false" ht="17.15" hidden="false" customHeight="false" outlineLevel="0" collapsed="false">
      <c r="A15128" s="1" t="s">
        <v>1090</v>
      </c>
      <c r="B15128" s="0" t="s">
        <v>98</v>
      </c>
      <c r="C15128" s="6" t="n">
        <f aca="false">(w_ntm28*Sens!G15119+(1-w_ntm28)*Sens!H15119)*m_cloud</f>
        <v>1063.6463501031</v>
      </c>
    </row>
    <row r="15129" customFormat="false" ht="17.15" hidden="false" customHeight="false" outlineLevel="0" collapsed="false">
      <c r="A15129" s="1" t="s">
        <v>1091</v>
      </c>
      <c r="B15129" s="0" t="s">
        <v>98</v>
      </c>
      <c r="C15129" s="6" t="n">
        <f aca="false">(w_ntm28*Sens!G15112+(1-w_ntm28)*Sens!H15112)*m_sw</f>
        <v>1087.29236439713</v>
      </c>
    </row>
    <row r="15130" customFormat="false" ht="17.15" hidden="false" customHeight="false" outlineLevel="0" collapsed="false">
      <c r="A15130" s="1" t="s">
        <v>1092</v>
      </c>
      <c r="B15130" s="0" t="s">
        <v>98</v>
      </c>
      <c r="C15130" s="6" t="n">
        <f aca="false">(w_ntm28*Sens!G15113+(1-w_ntm28)*Sens!H15113)*m_sw</f>
        <v>380.253466209432</v>
      </c>
    </row>
    <row r="15131" customFormat="false" ht="17.15" hidden="false" customHeight="false" outlineLevel="0" collapsed="false">
      <c r="A15131" s="1" t="s">
        <v>1093</v>
      </c>
      <c r="B15131" s="0" t="s">
        <v>98</v>
      </c>
      <c r="C15131" s="6" t="n">
        <f aca="false">(w_ntm28*Sens!G15114+(1-w_ntm28)*Sens!H15114)*m_sw</f>
        <v>109.736759441964</v>
      </c>
    </row>
    <row r="15132" customFormat="false" ht="17.15" hidden="false" customHeight="false" outlineLevel="0" collapsed="false">
      <c r="A15132" s="1" t="s">
        <v>1094</v>
      </c>
      <c r="B15132" s="0" t="s">
        <v>98</v>
      </c>
      <c r="C15132" s="6" t="n">
        <f aca="false">(w_ntm28*Sens!G15115+(1-w_ntm28)*Sens!H15115)*m_sw</f>
        <v>41.8666036816175</v>
      </c>
    </row>
    <row r="15133" customFormat="false" ht="17.15" hidden="false" customHeight="false" outlineLevel="0" collapsed="false">
      <c r="A15133" s="1" t="s">
        <v>1095</v>
      </c>
      <c r="B15133" s="0" t="s">
        <v>98</v>
      </c>
      <c r="C15133" s="6" t="n">
        <f aca="false">(w_ntm28*Sens!G15116+(1-w_ntm28)*Sens!H15116)*m_ads</f>
        <v>115.677576364297</v>
      </c>
    </row>
    <row r="15134" customFormat="false" ht="17.15" hidden="false" customHeight="false" outlineLevel="0" collapsed="false">
      <c r="A15134" s="1" t="s">
        <v>1096</v>
      </c>
      <c r="B15134" s="0" t="s">
        <v>98</v>
      </c>
      <c r="C15134" s="6" t="n">
        <f aca="false">(w_ntm28*Sens!G15121+(1-w_ntm28)*Sens!H15121)*m_game</f>
        <v>98.230828142008</v>
      </c>
    </row>
    <row r="15135" customFormat="false" ht="17.15" hidden="false" customHeight="false" outlineLevel="0" collapsed="false">
      <c r="A15135" s="1" t="s">
        <v>1097</v>
      </c>
      <c r="B15135" s="0" t="s">
        <v>98</v>
      </c>
      <c r="C15135" s="6" t="n">
        <f aca="false">(w_ntm28*Sens!G15122+(1-w_ntm28)*Sens!H15122)*m_pc</f>
        <v>97.3877156607214</v>
      </c>
    </row>
    <row r="15136" customFormat="false" ht="17.15" hidden="false" customHeight="false" outlineLevel="0" collapsed="false">
      <c r="A15136" s="1" t="s">
        <v>1098</v>
      </c>
      <c r="B15136" s="0" t="s">
        <v>98</v>
      </c>
      <c r="C15136" s="6" t="n">
        <f aca="false">Sens!$C$15126+Sens!$C$15128+Sens!$C$15129+Sens!$C$15130+Sens!$C$15131+Sens!$C$15132+Sens!$C$15133+Sens!$C$15134+Sens!$C$15135</f>
        <v>3141.45294727498</v>
      </c>
    </row>
    <row r="15137" customFormat="false" ht="17.15" hidden="false" customHeight="false" outlineLevel="0" collapsed="false">
      <c r="A15137" s="1" t="s">
        <v>1099</v>
      </c>
      <c r="B15137" s="0" t="s">
        <v>98</v>
      </c>
      <c r="C15137" s="6" t="n">
        <f aca="false">(Sens!G15098-Sens!G15123)*t_stub</f>
        <v>47.417684594531</v>
      </c>
      <c r="L15137" s="1" t="s">
        <v>1100</v>
      </c>
    </row>
    <row r="15138" customFormat="false" ht="17.15" hidden="false" customHeight="false" outlineLevel="0" collapsed="false">
      <c r="A15138" s="1" t="s">
        <v>1014</v>
      </c>
      <c r="B15138" s="0" t="s">
        <v>98</v>
      </c>
      <c r="C15138" s="6" t="n">
        <f aca="false">Sens!F15087+oai_v-Sens!F15076+Sens!$C$15137</f>
        <v>158.699306060314</v>
      </c>
      <c r="L15138" s="1" t="s">
        <v>1101</v>
      </c>
    </row>
    <row r="15139" customFormat="false" ht="17.15" hidden="false" customHeight="false" outlineLevel="0" collapsed="false">
      <c r="A15139" s="1" t="s">
        <v>1102</v>
      </c>
      <c r="B15139" s="0" t="s">
        <v>75</v>
      </c>
      <c r="C15139" s="5" t="n">
        <f aca="false">(Sens!$C$15136+Sens!$C$15138)/(Sens!F15089+dil_gap)-Sens!G15079*roll_div_q/q_per_yr</f>
        <v>439.215603166394</v>
      </c>
      <c r="L15139" s="1" t="s">
        <v>1103</v>
      </c>
    </row>
    <row r="15140" customFormat="false" ht="17.15" hidden="false" customHeight="false" outlineLevel="0" collapsed="false">
      <c r="A15140" s="1" t="s">
        <v>1104</v>
      </c>
      <c r="B15140" s="0" t="s">
        <v>75</v>
      </c>
      <c r="C15140" s="5" t="n">
        <f aca="false">w_dcf*Sens!$C$15110+(1-w_dcf)*Sens!$C$15139</f>
        <v>380.876819029893</v>
      </c>
    </row>
    <row r="15141" customFormat="false" ht="17.15" hidden="false" customHeight="false" outlineLevel="0" collapsed="false">
      <c r="A15141" s="3" t="s">
        <v>1646</v>
      </c>
    </row>
    <row r="15142" customFormat="false" ht="15" hidden="false" customHeight="false" outlineLevel="0" collapsed="false">
      <c r="A15142" s="4" t="s">
        <v>43</v>
      </c>
      <c r="B15142" s="4" t="s">
        <v>65</v>
      </c>
      <c r="C15142" s="20" t="s">
        <v>799</v>
      </c>
      <c r="D15142" s="20" t="s">
        <v>800</v>
      </c>
      <c r="E15142" s="20" t="s">
        <v>801</v>
      </c>
      <c r="F15142" s="20" t="s">
        <v>802</v>
      </c>
      <c r="G15142" s="20" t="s">
        <v>803</v>
      </c>
      <c r="H15142" s="20" t="s">
        <v>804</v>
      </c>
      <c r="I15142" s="20" t="s">
        <v>805</v>
      </c>
      <c r="J15142" s="20" t="s">
        <v>806</v>
      </c>
      <c r="K15142" s="20" t="s">
        <v>807</v>
      </c>
      <c r="L15142" s="4" t="s">
        <v>47</v>
      </c>
    </row>
    <row r="15143" customFormat="false" ht="17.15" hidden="false" customHeight="false" outlineLevel="0" collapsed="false">
      <c r="A15143" s="1" t="s">
        <v>808</v>
      </c>
      <c r="B15143" s="1" t="s">
        <v>235</v>
      </c>
      <c r="C15143" s="28" t="n">
        <v>2024</v>
      </c>
      <c r="D15143" s="28" t="n">
        <v>2025</v>
      </c>
      <c r="E15143" s="28" t="n">
        <v>2026</v>
      </c>
      <c r="F15143" s="28" t="n">
        <v>2027</v>
      </c>
      <c r="G15143" s="28" t="n">
        <v>2028</v>
      </c>
      <c r="H15143" s="28" t="n">
        <v>2029</v>
      </c>
      <c r="I15143" s="28" t="n">
        <v>2030</v>
      </c>
      <c r="J15143" s="28" t="n">
        <v>2031</v>
      </c>
      <c r="K15143" s="28" t="n">
        <v>2032</v>
      </c>
    </row>
    <row r="15144" customFormat="false" ht="17.15" hidden="false" customHeight="false" outlineLevel="0" collapsed="false">
      <c r="A15144" s="1" t="s">
        <v>809</v>
      </c>
      <c r="B15144" s="0" t="s">
        <v>399</v>
      </c>
      <c r="F15144" s="29" t="n">
        <f aca="false">pace</f>
        <v>2527.2</v>
      </c>
      <c r="G15144" s="29" t="n">
        <f aca="false">pace</f>
        <v>2527.2</v>
      </c>
      <c r="H15144" s="29" t="n">
        <f aca="false">pace</f>
        <v>2527.2</v>
      </c>
      <c r="I15144" s="29" t="n">
        <f aca="false">pace+(g_tv*Sens!H15145-pace)*MIN(1,(Sens!I15143-pace_y0)/(pace_y1-pace_y0))</f>
        <v>1793.116</v>
      </c>
      <c r="J15144" s="29" t="n">
        <f aca="false">pace+(g_tv*Sens!I15145-pace)*MIN(1,(Sens!J15143-pace_y0)/(pace_y1-pace_y0))</f>
        <v>1094.89432</v>
      </c>
      <c r="K15144" s="29" t="n">
        <f aca="false">pace+(g_tv*Sens!J15145-pace)*MIN(1,(Sens!K15143-pace_y0)/(pace_y1-pace_y0))</f>
        <v>411.5883096</v>
      </c>
      <c r="L15144" s="11" t="s">
        <v>810</v>
      </c>
    </row>
    <row r="15145" customFormat="false" ht="17.15" hidden="false" customHeight="false" outlineLevel="0" collapsed="false">
      <c r="A15145" s="1" t="s">
        <v>811</v>
      </c>
      <c r="B15145" s="0" t="s">
        <v>399</v>
      </c>
      <c r="C15145" s="29" t="n">
        <f aca="false">mw_ext_24</f>
        <v>640</v>
      </c>
      <c r="D15145" s="29" t="n">
        <f aca="false">mw_ext_25</f>
        <v>1630</v>
      </c>
      <c r="E15145" s="29" t="n">
        <f aca="false">mw_ext_26</f>
        <v>3250</v>
      </c>
      <c r="F15145" s="29" t="n">
        <f aca="false">Sens!E15145+Sens!F15144</f>
        <v>5777.2</v>
      </c>
      <c r="G15145" s="29" t="n">
        <f aca="false">Sens!F15145+Sens!G15144</f>
        <v>8304.4</v>
      </c>
      <c r="H15145" s="29" t="n">
        <f aca="false">Sens!G15145+Sens!H15144</f>
        <v>10831.6</v>
      </c>
      <c r="I15145" s="29" t="n">
        <f aca="false">Sens!H15145+Sens!I15144</f>
        <v>12624.716</v>
      </c>
      <c r="J15145" s="29" t="n">
        <f aca="false">Sens!I15145+Sens!J15144</f>
        <v>13719.61032</v>
      </c>
      <c r="K15145" s="29" t="n">
        <f aca="false">Sens!J15145+Sens!K15144</f>
        <v>14131.1986296</v>
      </c>
      <c r="L15145" s="1" t="s">
        <v>812</v>
      </c>
    </row>
    <row r="15146" customFormat="false" ht="17.15" hidden="false" customHeight="false" outlineLevel="0" collapsed="false">
      <c r="A15146" s="1" t="s">
        <v>813</v>
      </c>
      <c r="B15146" s="0" t="s">
        <v>399</v>
      </c>
      <c r="C15146" s="29" t="n">
        <f aca="false">rent_ext_24</f>
        <v>150</v>
      </c>
      <c r="D15146" s="29" t="n">
        <f aca="false">rent_ext_25</f>
        <v>400</v>
      </c>
      <c r="E15146" s="29" t="n">
        <f aca="false">rent_ext_26</f>
        <v>550</v>
      </c>
      <c r="F15146" s="29" t="n">
        <f aca="false">rent_ext_f</f>
        <v>756</v>
      </c>
      <c r="G15146" s="29" t="n">
        <f aca="false">rent_ext_f</f>
        <v>756</v>
      </c>
      <c r="H15146" s="29" t="n">
        <f aca="false">rent_ext_f</f>
        <v>756</v>
      </c>
      <c r="I15146" s="29" t="n">
        <f aca="false">rent_ext_f</f>
        <v>756</v>
      </c>
      <c r="J15146" s="29" t="n">
        <f aca="false">rent_ext_f</f>
        <v>756</v>
      </c>
      <c r="K15146" s="29" t="n">
        <f aca="false">rent_ext_f</f>
        <v>756</v>
      </c>
      <c r="L15146" s="1" t="s">
        <v>814</v>
      </c>
    </row>
    <row r="15147" customFormat="false" ht="17.15" hidden="false" customHeight="false" outlineLevel="0" collapsed="false">
      <c r="A15147" s="1" t="s">
        <v>815</v>
      </c>
      <c r="B15147" s="0" t="s">
        <v>399</v>
      </c>
      <c r="C15147" s="29" t="n">
        <f aca="false">Sens!C15145-Sens!C15146</f>
        <v>490</v>
      </c>
      <c r="D15147" s="29" t="n">
        <f aca="false">Sens!D15145-Sens!D15146</f>
        <v>1230</v>
      </c>
      <c r="E15147" s="29" t="n">
        <f aca="false">Sens!E15145-Sens!E15146</f>
        <v>2700</v>
      </c>
      <c r="F15147" s="29" t="n">
        <f aca="false">Sens!F15145-Sens!F15146</f>
        <v>5021.2</v>
      </c>
      <c r="G15147" s="29" t="n">
        <f aca="false">Sens!G15145-Sens!G15146</f>
        <v>7548.4</v>
      </c>
      <c r="H15147" s="29" t="n">
        <f aca="false">Sens!H15145-Sens!H15146</f>
        <v>10075.6</v>
      </c>
      <c r="I15147" s="29" t="n">
        <f aca="false">Sens!I15145-Sens!I15146</f>
        <v>11868.716</v>
      </c>
      <c r="J15147" s="29" t="n">
        <f aca="false">Sens!J15145-Sens!J15146</f>
        <v>12963.61032</v>
      </c>
      <c r="K15147" s="29" t="n">
        <f aca="false">Sens!K15145-Sens!K15146</f>
        <v>13375.1986296</v>
      </c>
    </row>
    <row r="15148" customFormat="false" ht="17.15" hidden="false" customHeight="false" outlineLevel="0" collapsed="false">
      <c r="A15148" s="1" t="s">
        <v>816</v>
      </c>
      <c r="B15148" s="0" t="s">
        <v>399</v>
      </c>
      <c r="C15148" s="29" t="n">
        <f aca="false">Sens!C15147/ext_sh</f>
        <v>816.666666666667</v>
      </c>
      <c r="D15148" s="29" t="n">
        <f aca="false">Sens!D15147/ext_sh</f>
        <v>2050</v>
      </c>
      <c r="E15148" s="29" t="n">
        <f aca="false">Sens!E15147/ext_sh</f>
        <v>4500</v>
      </c>
      <c r="F15148" s="29" t="n">
        <f aca="false">Sens!F15147/ext_sh</f>
        <v>8368.66666666667</v>
      </c>
      <c r="G15148" s="29" t="n">
        <f aca="false">Sens!G15147/ext_sh</f>
        <v>12580.6666666667</v>
      </c>
      <c r="H15148" s="29" t="n">
        <f aca="false">Sens!H15147/ext_sh</f>
        <v>16792.6666666667</v>
      </c>
      <c r="I15148" s="29" t="n">
        <f aca="false">Sens!I15147/ext_sh</f>
        <v>19781.1933333333</v>
      </c>
      <c r="J15148" s="29" t="n">
        <f aca="false">Sens!J15147/ext_sh</f>
        <v>21606.0172</v>
      </c>
      <c r="K15148" s="29" t="n">
        <f aca="false">Sens!K15147/ext_sh</f>
        <v>22291.997716</v>
      </c>
      <c r="L15148" s="1" t="s">
        <v>817</v>
      </c>
    </row>
    <row r="15149" customFormat="false" ht="17.15" hidden="false" customHeight="false" outlineLevel="0" collapsed="false">
      <c r="A15149" s="1" t="s">
        <v>818</v>
      </c>
      <c r="B15149" s="0" t="s">
        <v>399</v>
      </c>
      <c r="C15149" s="29" t="n">
        <f aca="false">Sens!C15148-Sens!C15147</f>
        <v>326.666666666667</v>
      </c>
      <c r="D15149" s="29" t="n">
        <f aca="false">Sens!D15148-Sens!D15147</f>
        <v>820</v>
      </c>
      <c r="E15149" s="29" t="n">
        <f aca="false">Sens!E15148-Sens!E15147</f>
        <v>1800</v>
      </c>
      <c r="F15149" s="29" t="n">
        <f aca="false">Sens!F15148-Sens!F15147</f>
        <v>3347.46666666667</v>
      </c>
      <c r="G15149" s="29" t="n">
        <f aca="false">Sens!G15148-Sens!G15147</f>
        <v>5032.26666666667</v>
      </c>
      <c r="H15149" s="29" t="n">
        <f aca="false">Sens!H15148-Sens!H15147</f>
        <v>6717.06666666667</v>
      </c>
      <c r="I15149" s="29" t="n">
        <f aca="false">Sens!I15148-Sens!I15147</f>
        <v>7912.47733333333</v>
      </c>
      <c r="J15149" s="29" t="n">
        <f aca="false">Sens!J15148-Sens!J15147</f>
        <v>8642.40688</v>
      </c>
      <c r="K15149" s="29" t="n">
        <f aca="false">Sens!K15148-Sens!K15147</f>
        <v>8916.7990864</v>
      </c>
    </row>
    <row r="15150" customFormat="false" ht="17.15" hidden="false" customHeight="false" outlineLevel="0" collapsed="false">
      <c r="A15150" s="1" t="s">
        <v>819</v>
      </c>
      <c r="B15150" s="0" t="s">
        <v>399</v>
      </c>
      <c r="C15150" s="29" t="n">
        <f aca="false">Sens!C15148</f>
        <v>816.666666666667</v>
      </c>
      <c r="D15150" s="29" t="n">
        <f aca="false">Sens!D15148-Sens!C15148</f>
        <v>1233.33333333333</v>
      </c>
      <c r="E15150" s="29" t="n">
        <f aca="false">Sens!E15148-Sens!D15148</f>
        <v>2450</v>
      </c>
      <c r="F15150" s="29" t="n">
        <f aca="false">Sens!F15148-Sens!E15148</f>
        <v>3868.66666666667</v>
      </c>
      <c r="G15150" s="29" t="n">
        <f aca="false">Sens!G15148-Sens!F15148</f>
        <v>4212</v>
      </c>
      <c r="H15150" s="29" t="n">
        <f aca="false">Sens!H15148-Sens!G15148</f>
        <v>4212</v>
      </c>
      <c r="I15150" s="29" t="n">
        <f aca="false">Sens!I15148-Sens!H15148</f>
        <v>2988.52666666667</v>
      </c>
      <c r="J15150" s="29" t="n">
        <f aca="false">Sens!J15148-Sens!I15148</f>
        <v>1824.82386666667</v>
      </c>
      <c r="K15150" s="29" t="n">
        <f aca="false">Sens!K15148-Sens!J15148</f>
        <v>685.980516</v>
      </c>
    </row>
    <row r="15151" customFormat="false" ht="17.15" hidden="false" customHeight="false" outlineLevel="0" collapsed="false">
      <c r="A15151" s="1" t="s">
        <v>820</v>
      </c>
      <c r="B15151" s="0" t="s">
        <v>399</v>
      </c>
      <c r="D15151" s="29" t="n">
        <f aca="false">Sens!D15145-Sens!C15145</f>
        <v>990</v>
      </c>
      <c r="E15151" s="29" t="n">
        <f aca="false">Sens!E15145-Sens!D15145</f>
        <v>1620</v>
      </c>
      <c r="F15151" s="29" t="n">
        <f aca="false">Sens!F15145-Sens!E15145</f>
        <v>2527.2</v>
      </c>
      <c r="G15151" s="29" t="n">
        <f aca="false">Sens!G15145-Sens!F15145</f>
        <v>2527.2</v>
      </c>
      <c r="H15151" s="29" t="n">
        <f aca="false">Sens!H15145-Sens!G15145</f>
        <v>2527.2</v>
      </c>
      <c r="I15151" s="29" t="n">
        <f aca="false">Sens!I15145-Sens!H15145</f>
        <v>1793.116</v>
      </c>
      <c r="J15151" s="29" t="n">
        <f aca="false">Sens!J15145-Sens!I15145</f>
        <v>1094.89432</v>
      </c>
      <c r="K15151" s="29" t="n">
        <f aca="false">Sens!K15145-Sens!J15145</f>
        <v>411.5883096</v>
      </c>
    </row>
    <row r="15152" customFormat="false" ht="17.15" hidden="false" customHeight="false" outlineLevel="0" collapsed="false">
      <c r="A15152" s="1" t="s">
        <v>821</v>
      </c>
      <c r="B15152" s="0" t="s">
        <v>399</v>
      </c>
      <c r="F15152" s="29" t="n">
        <f aca="false">Sens!F15169*ext_sh</f>
        <v>0</v>
      </c>
      <c r="G15152" s="29" t="n">
        <f aca="false">Sens!G15169*ext_sh</f>
        <v>0</v>
      </c>
      <c r="H15152" s="29" t="n">
        <f aca="false">Sens!H15169*ext_sh</f>
        <v>0</v>
      </c>
      <c r="I15152" s="29" t="n">
        <f aca="false">Sens!I15169*ext_sh</f>
        <v>490</v>
      </c>
      <c r="J15152" s="29" t="n">
        <f aca="false">Sens!J15169*ext_sh</f>
        <v>740</v>
      </c>
      <c r="K15152" s="29" t="n">
        <f aca="false">Sens!K15169*ext_sh</f>
        <v>1470</v>
      </c>
      <c r="L15152" s="1" t="s">
        <v>822</v>
      </c>
    </row>
    <row r="15153" customFormat="false" ht="17.15" hidden="false" customHeight="false" outlineLevel="0" collapsed="false">
      <c r="A15153" s="1" t="s">
        <v>823</v>
      </c>
      <c r="B15153" s="0" t="s">
        <v>399</v>
      </c>
      <c r="C15153" s="29" t="n">
        <f aca="false">mix_h*Sens!C15145</f>
        <v>128</v>
      </c>
      <c r="D15153" s="29" t="n">
        <f aca="false">mix_h*Sens!D15145</f>
        <v>326</v>
      </c>
      <c r="E15153" s="29" t="n">
        <f aca="false">mix_h*Sens!E15145</f>
        <v>650</v>
      </c>
      <c r="F15153" s="29" t="n">
        <f aca="false">Sens!E15153-Sens!F15152*mix_h</f>
        <v>650</v>
      </c>
      <c r="G15153" s="29" t="n">
        <f aca="false">Sens!F15153-Sens!G15152*mix_h</f>
        <v>650</v>
      </c>
      <c r="H15153" s="29" t="n">
        <f aca="false">Sens!G15153-Sens!H15152*mix_h</f>
        <v>650</v>
      </c>
      <c r="I15153" s="29" t="n">
        <f aca="false">Sens!H15153-Sens!I15152*mix_h</f>
        <v>552</v>
      </c>
      <c r="J15153" s="29" t="n">
        <f aca="false">Sens!I15153-Sens!J15152*mix_h</f>
        <v>404</v>
      </c>
      <c r="K15153" s="29" t="n">
        <f aca="false">Sens!J15153-Sens!K15152*mix_h</f>
        <v>110</v>
      </c>
    </row>
    <row r="15154" customFormat="false" ht="17.15" hidden="false" customHeight="false" outlineLevel="0" collapsed="false">
      <c r="A15154" s="1" t="s">
        <v>824</v>
      </c>
      <c r="B15154" s="0" t="s">
        <v>399</v>
      </c>
      <c r="C15154" s="29" t="n">
        <f aca="false">mix_g2*Sens!C15145</f>
        <v>288</v>
      </c>
      <c r="D15154" s="29" t="n">
        <f aca="false">mix_g2*Sens!D15145</f>
        <v>733.5</v>
      </c>
      <c r="E15154" s="29" t="n">
        <f aca="false">mix_g2*Sens!E15145</f>
        <v>1462.5</v>
      </c>
      <c r="F15154" s="29" t="n">
        <f aca="false">Sens!E15154-Sens!F15152*mix_g2</f>
        <v>1462.5</v>
      </c>
      <c r="G15154" s="29" t="n">
        <f aca="false">Sens!F15154-Sens!G15152*mix_g2</f>
        <v>1462.5</v>
      </c>
      <c r="H15154" s="29" t="n">
        <f aca="false">Sens!G15154-Sens!H15152*mix_g2</f>
        <v>1462.5</v>
      </c>
      <c r="I15154" s="29" t="n">
        <f aca="false">Sens!H15154-Sens!I15152*mix_g2</f>
        <v>1242</v>
      </c>
      <c r="J15154" s="29" t="n">
        <f aca="false">Sens!I15154-Sens!J15152*mix_g2</f>
        <v>909</v>
      </c>
      <c r="K15154" s="29" t="n">
        <f aca="false">Sens!J15154-Sens!K15152*mix_g2</f>
        <v>247.5</v>
      </c>
    </row>
    <row r="15155" customFormat="false" ht="17.15" hidden="false" customHeight="false" outlineLevel="0" collapsed="false">
      <c r="A15155" s="1" t="s">
        <v>825</v>
      </c>
      <c r="B15155" s="0" t="s">
        <v>399</v>
      </c>
      <c r="C15155" s="29" t="n">
        <f aca="false">mix_g3*Sens!C15145</f>
        <v>224</v>
      </c>
      <c r="D15155" s="29" t="n">
        <f aca="false">mix_g3*Sens!D15145</f>
        <v>570.5</v>
      </c>
      <c r="E15155" s="29" t="n">
        <f aca="false">mix_g3*Sens!E15145</f>
        <v>1137.5</v>
      </c>
      <c r="F15155" s="29" t="n">
        <f aca="false">Sens!E15155+(Sens!F15151+Sens!F15152)*a_g3_27-Sens!F15152*mix_g3</f>
        <v>2906.54</v>
      </c>
      <c r="G15155" s="29" t="n">
        <f aca="false">Sens!F15155+(Sens!G15151+Sens!G15152)*a_g3_28-Sens!G15152*mix_g3</f>
        <v>3664.7</v>
      </c>
      <c r="H15155" s="29" t="n">
        <f aca="false">Sens!G15155+(Sens!H15151+Sens!H15152)*a_g3_29-Sens!H15152*mix_g3</f>
        <v>3917.42</v>
      </c>
      <c r="I15155" s="29" t="n">
        <f aca="false">Sens!H15155+(Sens!I15151+Sens!I15152)*a_g3_29-Sens!I15152*mix_g3</f>
        <v>3974.2316</v>
      </c>
      <c r="J15155" s="29" t="n">
        <f aca="false">Sens!I15155+(Sens!J15151+Sens!J15152)*a_g3_29-Sens!J15152*mix_g3</f>
        <v>3898.721032</v>
      </c>
      <c r="K15155" s="29" t="n">
        <f aca="false">Sens!J15155+(Sens!K15151+Sens!K15152)*a_g3_29-Sens!K15152*mix_g3</f>
        <v>3572.37986296</v>
      </c>
    </row>
    <row r="15156" customFormat="false" ht="17.15" hidden="false" customHeight="false" outlineLevel="0" collapsed="false">
      <c r="A15156" s="1" t="s">
        <v>826</v>
      </c>
      <c r="B15156" s="0" t="s">
        <v>399</v>
      </c>
      <c r="C15156" s="29" t="n">
        <v>0</v>
      </c>
      <c r="D15156" s="29" t="n">
        <v>0</v>
      </c>
      <c r="E15156" s="29" t="n">
        <v>0</v>
      </c>
      <c r="F15156" s="29" t="n">
        <f aca="false">Sens!E15156+(Sens!F15151+Sens!F15152)*(1-a_g3_27)</f>
        <v>758.16</v>
      </c>
      <c r="G15156" s="29" t="n">
        <f aca="false">Sens!F15156+(Sens!G15151+Sens!G15152)*(1-a_g3_28)</f>
        <v>2527.2</v>
      </c>
      <c r="H15156" s="29" t="n">
        <f aca="false">Sens!G15156+(Sens!H15151+Sens!H15152)*(1-a_g3_29)</f>
        <v>4801.68</v>
      </c>
      <c r="I15156" s="29" t="n">
        <f aca="false">Sens!H15156+(Sens!I15151+Sens!I15152)*(1-a_g3_29)</f>
        <v>6856.4844</v>
      </c>
      <c r="J15156" s="29" t="n">
        <f aca="false">Sens!I15156+(Sens!J15151+Sens!J15152)*(1-a_g3_29)</f>
        <v>8507.889288</v>
      </c>
      <c r="K15156" s="29" t="n">
        <f aca="false">Sens!J15156+(Sens!K15151+Sens!K15152)*(1-a_g3_29)</f>
        <v>10201.31876664</v>
      </c>
    </row>
    <row r="15157" customFormat="false" ht="17.15" hidden="false" customHeight="false" outlineLevel="0" collapsed="false">
      <c r="A15157" s="1" t="s">
        <v>827</v>
      </c>
      <c r="B15157" s="0" t="s">
        <v>346</v>
      </c>
      <c r="C15157" s="14" t="n">
        <f aca="false">(Sens!C15153*tk_hold_h100+Sens!C15154*tk_hold_gb200+Sens!C15155*tk_hold_gb300+Sens!C15156*tk_hold_vr200)/Sens!C15145</f>
        <v>9.7235358126469</v>
      </c>
      <c r="D15157" s="14" t="n">
        <f aca="false">(Sens!D15153*tk_hold_h100+Sens!D15154*tk_hold_gb200+Sens!D15155*tk_hold_gb300+Sens!D15156*tk_hold_vr200)/Sens!D15145</f>
        <v>9.7235358126469</v>
      </c>
      <c r="E15157" s="14" t="n">
        <f aca="false">(Sens!E15153*tk_hold_h100+Sens!E15154*tk_hold_gb200+Sens!E15155*tk_hold_gb300+Sens!E15156*tk_hold_vr200)/Sens!E15145</f>
        <v>9.7235358126469</v>
      </c>
      <c r="F15157" s="14" t="n">
        <f aca="false">(Sens!F15153*tk_hold_h100+Sens!F15154*tk_hold_gb200+Sens!F15155*tk_hold_gb300+Sens!F15156*tk_hold_vr200)/Sens!F15145</f>
        <v>10.4079573161931</v>
      </c>
      <c r="G15157" s="14" t="n">
        <f aca="false">(Sens!G15153*tk_hold_h100+Sens!G15154*tk_hold_gb200+Sens!G15155*tk_hold_gb300+Sens!G15156*tk_hold_vr200)/Sens!G15145</f>
        <v>10.8388131109316</v>
      </c>
      <c r="H15157" s="14" t="n">
        <f aca="false">(Sens!H15153*tk_hold_h100+Sens!H15154*tk_hold_gb200+Sens!H15155*tk_hold_gb300+Sens!H15156*tk_hold_vr200)/Sens!H15145</f>
        <v>11.1311018388216</v>
      </c>
      <c r="I15157" s="14" t="n">
        <f aca="false">(Sens!I15153*tk_hold_h100+Sens!I15154*tk_hold_gb200+Sens!I15155*tk_hold_gb300+Sens!I15156*tk_hold_vr200)/Sens!I15145</f>
        <v>11.3594282560989</v>
      </c>
      <c r="J15157" s="14" t="n">
        <f aca="false">(Sens!J15153*tk_hold_h100+Sens!J15154*tk_hold_gb200+Sens!J15155*tk_hold_gb300+Sens!J15156*tk_hold_vr200)/Sens!J15145</f>
        <v>11.5455817917599</v>
      </c>
      <c r="K15157" s="14" t="n">
        <f aca="false">(Sens!K15153*tk_hold_h100+Sens!K15154*tk_hold_gb200+Sens!K15155*tk_hold_gb300+Sens!K15156*tk_hold_vr200)/Sens!K15145</f>
        <v>11.8078187977246</v>
      </c>
    </row>
    <row r="15158" customFormat="false" ht="17.15" hidden="false" customHeight="false" outlineLevel="0" collapsed="false">
      <c r="A15158" s="0" t="s">
        <v>828</v>
      </c>
      <c r="B15158" s="0" t="s">
        <v>185</v>
      </c>
      <c r="C15158" s="14" t="n">
        <f aca="false">k_B</f>
        <v>1.17213932619116</v>
      </c>
      <c r="D15158" s="14" t="n">
        <f aca="false">k_B</f>
        <v>1.17213932619116</v>
      </c>
      <c r="E15158" s="14" t="n">
        <f aca="false">k_B</f>
        <v>1.17213932619116</v>
      </c>
      <c r="F15158" s="14" t="n">
        <f aca="false">(k_B+((ls_C*k_long+(1-ls_C)*k_spot)-k_B)*MIN(1,(Sens!F15143-base_fy)/k_ramp))</f>
        <v>1.07843258004497</v>
      </c>
      <c r="G15158" s="14" t="n">
        <f aca="false">(k_B+((ls_C*k_long+(1-ls_C)*k_spot)-k_B)*MIN(1,(Sens!G15143-base_fy)/k_ramp))</f>
        <v>0.984725833898784</v>
      </c>
      <c r="H15158" s="14" t="n">
        <f aca="false">(k_B+((ls_C*k_long+(1-ls_C)*k_spot)-k_B)*MIN(1,(Sens!H15143-base_fy)/k_ramp))</f>
        <v>0.891019087752599</v>
      </c>
      <c r="I15158" s="14" t="n">
        <f aca="false">(k_B+((ls_C*k_long+(1-ls_C)*k_spot)-k_B)*MIN(1,(Sens!I15143-base_fy)/k_ramp))</f>
        <v>0.891019087752599</v>
      </c>
      <c r="J15158" s="14" t="n">
        <f aca="false">(k_B+((ls_C*k_long+(1-ls_C)*k_spot)-k_B)*MIN(1,(Sens!J15143-base_fy)/k_ramp))</f>
        <v>0.891019087752599</v>
      </c>
      <c r="K15158" s="14" t="n">
        <f aca="false">(k_B+((ls_C*k_long+(1-ls_C)*k_spot)-k_B)*MIN(1,(Sens!K15143-base_fy)/k_ramp))</f>
        <v>0.891019087752599</v>
      </c>
      <c r="L15158" s="1" t="s">
        <v>829</v>
      </c>
    </row>
    <row r="15159" customFormat="false" ht="17.15" hidden="false" customHeight="false" outlineLevel="0" collapsed="false">
      <c r="A15159" s="1" t="s">
        <v>830</v>
      </c>
      <c r="B15159" s="0" t="s">
        <v>346</v>
      </c>
      <c r="C15159" s="14" t="n">
        <f aca="false">Sens!C15157*Sens!C15158*chip_f</f>
        <v>11.3973387156315</v>
      </c>
      <c r="D15159" s="14" t="n">
        <f aca="false">Sens!D15157*Sens!D15158*chip_f</f>
        <v>11.3973387156315</v>
      </c>
      <c r="E15159" s="14" t="n">
        <f aca="false">Sens!E15157*Sens!E15158*chip_f</f>
        <v>11.3973387156315</v>
      </c>
      <c r="F15159" s="14" t="n">
        <f aca="false">Sens!F15157*Sens!F15158*chip_f</f>
        <v>11.2242802615</v>
      </c>
      <c r="G15159" s="14" t="n">
        <f aca="false">Sens!G15157*Sens!G15158*chip_f</f>
        <v>10.6732592791352</v>
      </c>
      <c r="H15159" s="14" t="n">
        <f aca="false">Sens!H15157*Sens!H15158*chip_f</f>
        <v>9.91802420610807</v>
      </c>
      <c r="I15159" s="14" t="n">
        <f aca="false">Sens!I15157*Sens!I15158*chip_f</f>
        <v>10.1214674021403</v>
      </c>
      <c r="J15159" s="14" t="n">
        <f aca="false">Sens!J15157*Sens!J15158*chip_f</f>
        <v>10.2873337556669</v>
      </c>
      <c r="K15159" s="14" t="n">
        <f aca="false">Sens!K15157*Sens!K15158*chip_f</f>
        <v>10.5209919334966</v>
      </c>
      <c r="L15159" s="1" t="s">
        <v>831</v>
      </c>
    </row>
    <row r="15160" customFormat="false" ht="17.15" hidden="false" customHeight="false" outlineLevel="0" collapsed="false">
      <c r="A15160" s="0" t="s">
        <v>832</v>
      </c>
      <c r="B15160" s="0" t="s">
        <v>98</v>
      </c>
      <c r="D15160" s="6" t="n">
        <f aca="false">(Sens!C15145+Sens!D15145)/2*Sens!D15159/1000</f>
        <v>12.9359794422418</v>
      </c>
      <c r="E15160" s="6" t="n">
        <f aca="false">(Sens!D15145+Sens!E15145)/2*Sens!E15159/1000</f>
        <v>27.8095064661409</v>
      </c>
      <c r="F15160" s="6" t="n">
        <f aca="false">(Sens!E15145+Sens!F15145)/2*Sens!F15159/1000</f>
        <v>50.6619113883066</v>
      </c>
      <c r="G15160" s="6" t="n">
        <f aca="false">(Sens!F15145+Sens!G15145)/2*Sens!G15159/1000</f>
        <v>75.1482839325348</v>
      </c>
      <c r="H15160" s="6" t="n">
        <f aca="false">(Sens!G15145+Sens!H15145)/2*Sens!H15159/1000</f>
        <v>94.895655604042</v>
      </c>
      <c r="I15160" s="6" t="n">
        <f aca="false">(Sens!H15145+Sens!I15145)/2*Sens!I15159/1000</f>
        <v>118.706168884151</v>
      </c>
      <c r="J15160" s="6" t="n">
        <f aca="false">(Sens!I15145+Sens!J15145)/2*Sens!J15159/1000</f>
        <v>135.50643871102</v>
      </c>
      <c r="K15160" s="6" t="n">
        <f aca="false">(Sens!J15145+Sens!K15145)/2*Sens!K15159/1000</f>
        <v>146.509068150048</v>
      </c>
      <c r="L15160" s="11" t="s">
        <v>833</v>
      </c>
    </row>
    <row r="15161" customFormat="false" ht="17.15" hidden="false" customHeight="false" outlineLevel="0" collapsed="false">
      <c r="A15161" s="1" t="s">
        <v>834</v>
      </c>
      <c r="B15161" s="0" t="s">
        <v>346</v>
      </c>
      <c r="C15161" s="14" t="n">
        <f aca="false">(Sens!C15153*tk_opex_h100+Sens!C15154*tk_opex_gb200+Sens!C15155*tk_opex_gb300+Sens!C15156*tk_opex_vr200)/Sens!C15145</f>
        <v>1.88636041306092</v>
      </c>
      <c r="D15161" s="14" t="n">
        <f aca="false">(Sens!D15153*tk_opex_h100+Sens!D15154*tk_opex_gb200+Sens!D15155*tk_opex_gb300+Sens!D15156*tk_opex_vr200)/Sens!D15145</f>
        <v>1.88636041306092</v>
      </c>
      <c r="E15161" s="14" t="n">
        <f aca="false">(Sens!E15153*tk_opex_h100+Sens!E15154*tk_opex_gb200+Sens!E15155*tk_opex_gb300+Sens!E15156*tk_opex_vr200)/Sens!E15145</f>
        <v>1.88636041306092</v>
      </c>
      <c r="F15161" s="14" t="n">
        <f aca="false">(Sens!F15153*tk_opex_h100+Sens!F15154*tk_opex_gb200+Sens!F15155*tk_opex_gb300+Sens!F15156*tk_opex_vr200)/Sens!F15145</f>
        <v>1.9430236476499</v>
      </c>
      <c r="G15161" s="14" t="n">
        <f aca="false">(Sens!G15153*tk_opex_h100+Sens!G15154*tk_opex_gb200+Sens!G15155*tk_opex_gb300+Sens!G15156*tk_opex_vr200)/Sens!G15145</f>
        <v>1.9786941852423</v>
      </c>
      <c r="H15161" s="14" t="n">
        <f aca="false">(Sens!H15153*tk_opex_h100+Sens!H15154*tk_opex_gb200+Sens!H15155*tk_opex_gb300+Sens!H15156*tk_opex_vr200)/Sens!H15145</f>
        <v>2.00289275976156</v>
      </c>
      <c r="I15161" s="14" t="n">
        <f aca="false">(Sens!I15153*tk_opex_h100+Sens!I15154*tk_opex_gb200+Sens!I15155*tk_opex_gb300+Sens!I15156*tk_opex_vr200)/Sens!I15145</f>
        <v>2.02179589661219</v>
      </c>
      <c r="J15161" s="14" t="n">
        <f aca="false">(Sens!J15153*tk_opex_h100+Sens!J15154*tk_opex_gb200+Sens!J15155*tk_opex_gb300+Sens!J15156*tk_opex_vr200)/Sens!J15145</f>
        <v>2.03720754193029</v>
      </c>
      <c r="K15161" s="14" t="n">
        <f aca="false">(Sens!K15153*tk_opex_h100+Sens!K15154*tk_opex_gb200+Sens!K15155*tk_opex_gb300+Sens!K15156*tk_opex_vr200)/Sens!K15145</f>
        <v>2.0589181353437</v>
      </c>
    </row>
    <row r="15162" customFormat="false" ht="17.15" hidden="false" customHeight="false" outlineLevel="0" collapsed="false">
      <c r="A15162" s="0" t="s">
        <v>835</v>
      </c>
      <c r="B15162" s="0" t="s">
        <v>98</v>
      </c>
      <c r="D15162" s="6" t="n">
        <f aca="false">(Sens!C15148+Sens!D15148)/2*Sens!D15161/1000</f>
        <v>2.70378325872065</v>
      </c>
      <c r="E15162" s="6" t="n">
        <f aca="false">(Sens!D15148+Sens!E15148)/2*Sens!E15161/1000</f>
        <v>6.17783035277451</v>
      </c>
      <c r="F15162" s="6" t="n">
        <f aca="false">(Sens!E15148+Sens!F15148)/2*Sens!F15161/1000</f>
        <v>12.5020618235287</v>
      </c>
      <c r="G15162" s="6" t="n">
        <f aca="false">(Sens!F15148+Sens!G15148)/2*Sens!G15161/1000</f>
        <v>20.7261620256847</v>
      </c>
      <c r="H15162" s="6" t="n">
        <f aca="false">(Sens!G15148+Sens!H15148)/2*Sens!H15161/1000</f>
        <v>29.4158183316982</v>
      </c>
      <c r="I15162" s="6" t="n">
        <f aca="false">(Sens!H15148+Sens!I15148)/2*Sens!I15161/1000</f>
        <v>36.9724400356344</v>
      </c>
      <c r="J15162" s="6" t="n">
        <f aca="false">(Sens!I15148+Sens!J15148)/2*Sens!J15161/1000</f>
        <v>42.1571687189816</v>
      </c>
      <c r="K15162" s="6" t="n">
        <f aca="false">(Sens!J15148+Sens!K15148)/2*Sens!K15161/1000</f>
        <v>45.1912095080704</v>
      </c>
    </row>
    <row r="15163" customFormat="false" ht="17.15" hidden="false" customHeight="false" outlineLevel="0" collapsed="false">
      <c r="A15163" s="0" t="s">
        <v>836</v>
      </c>
      <c r="B15163" s="0" t="s">
        <v>98</v>
      </c>
      <c r="D15163" s="6" t="n">
        <f aca="false">(Sens!C15146+Sens!D15146)/2*rent_mw/1000</f>
        <v>2.44475</v>
      </c>
      <c r="E15163" s="6" t="n">
        <f aca="false">(Sens!D15146+Sens!E15146)/2*rent_mw/1000</f>
        <v>4.22275</v>
      </c>
      <c r="F15163" s="6" t="n">
        <f aca="false">(Sens!E15146+Sens!F15146)/2*rent_mw/1000</f>
        <v>5.80517</v>
      </c>
      <c r="G15163" s="6" t="n">
        <f aca="false">(Sens!F15146+Sens!G15146)/2*rent_mw/1000</f>
        <v>6.72084</v>
      </c>
      <c r="H15163" s="6" t="n">
        <f aca="false">(Sens!G15146+Sens!H15146)/2*rent_mw/1000</f>
        <v>6.72084</v>
      </c>
      <c r="I15163" s="6" t="n">
        <f aca="false">(Sens!H15146+Sens!I15146)/2*rent_mw/1000</f>
        <v>6.72084</v>
      </c>
      <c r="J15163" s="6" t="n">
        <f aca="false">(Sens!I15146+Sens!J15146)/2*rent_mw/1000</f>
        <v>6.72084</v>
      </c>
      <c r="K15163" s="6" t="n">
        <f aca="false">(Sens!J15146+Sens!K15146)/2*rent_mw/1000</f>
        <v>6.72084</v>
      </c>
    </row>
    <row r="15164" customFormat="false" ht="17.15" hidden="false" customHeight="false" outlineLevel="0" collapsed="false">
      <c r="A15164" s="0" t="s">
        <v>837</v>
      </c>
      <c r="B15164" s="0" t="s">
        <v>98</v>
      </c>
      <c r="D15164" s="6" t="n">
        <f aca="false">(Sens!C15148+Sens!D15148)/2*(1-self_build)*fac_rent/1000</f>
        <v>0.853242375631075</v>
      </c>
      <c r="E15164" s="6" t="n">
        <f aca="false">(Sens!D15148+Sens!E15148)/2*(1-self_build)*fac_rent/1000</f>
        <v>1.94955961408728</v>
      </c>
      <c r="F15164" s="6" t="n">
        <f aca="false">(Sens!E15148+Sens!F15148)/2*(1-self_build)*fac_rent/1000</f>
        <v>3.83026455274573</v>
      </c>
      <c r="G15164" s="6" t="n">
        <f aca="false">(Sens!F15148+Sens!G15148)/2*(1-self_build)*fac_rent/1000</f>
        <v>6.23541590972812</v>
      </c>
      <c r="H15164" s="6" t="n">
        <f aca="false">(Sens!G15148+Sens!H15148)/2*(1-self_build)*fac_rent/1000</f>
        <v>8.74275792332679</v>
      </c>
      <c r="I15164" s="6" t="n">
        <f aca="false">(Sens!H15148+Sens!I15148)/2*(1-self_build)*fac_rent/1000</f>
        <v>10.8859420438599</v>
      </c>
      <c r="J15164" s="6" t="n">
        <f aca="false">(Sens!I15148+Sens!J15148)/2*(1-self_build)*fac_rent/1000</f>
        <v>12.3186006405366</v>
      </c>
      <c r="K15164" s="6" t="n">
        <f aca="false">(Sens!J15148+Sens!K15148)/2*(1-self_build)*fac_rent/1000</f>
        <v>13.0659232089824</v>
      </c>
      <c r="L15164" s="11" t="s">
        <v>838</v>
      </c>
    </row>
    <row r="15165" customFormat="false" ht="17.15" hidden="false" customHeight="false" outlineLevel="0" collapsed="false">
      <c r="A15165" s="1" t="s">
        <v>839</v>
      </c>
      <c r="B15165" s="0" t="s">
        <v>129</v>
      </c>
      <c r="D15165" s="7" t="n">
        <f aca="false">(Sens!C15147+Sens!D15147)/(Sens!C15148+Sens!D15148)</f>
        <v>0.6</v>
      </c>
      <c r="E15165" s="7" t="n">
        <f aca="false">(Sens!D15147+Sens!E15147)/(Sens!D15148+Sens!E15148)</f>
        <v>0.6</v>
      </c>
      <c r="F15165" s="7" t="n">
        <f aca="false">(Sens!E15147+Sens!F15147)/(Sens!E15148+Sens!F15148)</f>
        <v>0.6</v>
      </c>
      <c r="G15165" s="7" t="n">
        <f aca="false">(Sens!F15147+Sens!G15147)/(Sens!F15148+Sens!G15148)</f>
        <v>0.6</v>
      </c>
      <c r="H15165" s="7" t="n">
        <f aca="false">(Sens!G15147+Sens!H15147)/(Sens!G15148+Sens!H15148)</f>
        <v>0.6</v>
      </c>
      <c r="I15165" s="7" t="n">
        <f aca="false">(Sens!H15147+Sens!I15147)/(Sens!H15148+Sens!I15148)</f>
        <v>0.6</v>
      </c>
      <c r="J15165" s="7" t="n">
        <f aca="false">(Sens!I15147+Sens!J15147)/(Sens!I15148+Sens!J15148)</f>
        <v>0.6</v>
      </c>
      <c r="K15165" s="7" t="n">
        <f aca="false">(Sens!J15147+Sens!K15147)/(Sens!J15148+Sens!K15148)</f>
        <v>0.6</v>
      </c>
    </row>
    <row r="15166" customFormat="false" ht="17.15" hidden="false" customHeight="false" outlineLevel="0" collapsed="false">
      <c r="A15166" s="0" t="s">
        <v>840</v>
      </c>
      <c r="B15166" s="0" t="s">
        <v>98</v>
      </c>
      <c r="D15166" s="6" t="n">
        <f aca="false">Sens!D15160-Sens!D15165*(Sens!D15162+Sens!D15164)-Sens!D15163</f>
        <v>8.35701406163072</v>
      </c>
      <c r="E15166" s="6" t="n">
        <f aca="false">Sens!E15160-Sens!E15165*(Sens!E15162+Sens!E15164)-Sens!E15163</f>
        <v>18.7103224860238</v>
      </c>
      <c r="F15166" s="6" t="n">
        <f aca="false">Sens!F15160-Sens!F15165*(Sens!F15162+Sens!F15164)-Sens!F15163</f>
        <v>35.0573455625419</v>
      </c>
      <c r="G15166" s="6" t="n">
        <f aca="false">Sens!G15160-Sens!G15165*(Sens!G15162+Sens!G15164)-Sens!G15163</f>
        <v>52.2504971712871</v>
      </c>
      <c r="H15166" s="6" t="n">
        <f aca="false">Sens!H15160-Sens!H15165*(Sens!H15162+Sens!H15164)-Sens!H15163</f>
        <v>65.2796698510271</v>
      </c>
      <c r="I15166" s="6" t="n">
        <f aca="false">Sens!I15160-Sens!I15165*(Sens!I15162+Sens!I15164)-Sens!I15163</f>
        <v>83.2702996364549</v>
      </c>
      <c r="J15166" s="6" t="n">
        <f aca="false">Sens!J15160-Sens!J15165*(Sens!J15162+Sens!J15164)-Sens!J15163</f>
        <v>96.1001370953095</v>
      </c>
      <c r="K15166" s="6" t="n">
        <f aca="false">Sens!K15160-Sens!K15165*(Sens!K15162+Sens!K15164)-Sens!K15163</f>
        <v>104.833948519816</v>
      </c>
    </row>
    <row r="15167" customFormat="false" ht="17.15" hidden="false" customHeight="false" outlineLevel="0" collapsed="false">
      <c r="A15167" s="1" t="s">
        <v>841</v>
      </c>
      <c r="B15167" s="0" t="s">
        <v>98</v>
      </c>
      <c r="D15167" s="6" t="n">
        <f aca="false">(1-Sens!D15165)*(Sens!D15162+Sens!D15164)</f>
        <v>1.42281025374069</v>
      </c>
      <c r="E15167" s="6" t="n">
        <f aca="false">(1-Sens!E15165)*(Sens!E15162+Sens!E15164)</f>
        <v>3.25095598674472</v>
      </c>
      <c r="F15167" s="6" t="n">
        <f aca="false">(1-Sens!F15165)*(Sens!F15162+Sens!F15164)</f>
        <v>6.53293055050977</v>
      </c>
      <c r="G15167" s="6" t="n">
        <f aca="false">(1-Sens!G15165)*(Sens!G15162+Sens!G15164)</f>
        <v>10.7846311741651</v>
      </c>
      <c r="H15167" s="6" t="n">
        <f aca="false">(1-Sens!H15165)*(Sens!H15162+Sens!H15164)</f>
        <v>15.26343050201</v>
      </c>
      <c r="I15167" s="6" t="n">
        <f aca="false">(1-Sens!I15165)*(Sens!I15162+Sens!I15164)</f>
        <v>19.1433528317977</v>
      </c>
      <c r="J15167" s="6" t="n">
        <f aca="false">(1-Sens!J15165)*(Sens!J15162+Sens!J15164)</f>
        <v>21.7903077438073</v>
      </c>
      <c r="K15167" s="6" t="n">
        <f aca="false">(1-Sens!K15165)*(Sens!K15162+Sens!K15164)</f>
        <v>23.3028530868211</v>
      </c>
    </row>
    <row r="15168" customFormat="false" ht="17.15" hidden="false" customHeight="false" outlineLevel="0" collapsed="false">
      <c r="A15168" s="1" t="s">
        <v>842</v>
      </c>
      <c r="B15168" s="0" t="s">
        <v>357</v>
      </c>
      <c r="C15168" s="8" t="n">
        <f aca="false">cxit_open</f>
        <v>27.5918995</v>
      </c>
      <c r="D15168" s="8" t="n">
        <f aca="false">cxit_open</f>
        <v>27.5918995</v>
      </c>
      <c r="E15168" s="8" t="n">
        <f aca="false">cxit_open</f>
        <v>27.5918995</v>
      </c>
      <c r="F15168" s="8" t="n">
        <f aca="false">(a_g3_27*tk_cxit_gb300+(1-a_g3_27)*tk_cxit_vr200)</f>
        <v>33.8419624</v>
      </c>
      <c r="G15168" s="8" t="n">
        <f aca="false">(a_g3_28*tk_cxit_gb300+(1-a_g3_28)*tk_cxit_vr200)</f>
        <v>35.9816136</v>
      </c>
      <c r="H15168" s="8" t="n">
        <f aca="false">(a_g3_29*tk_cxit_gb300+(1-a_g3_29)*tk_cxit_vr200)</f>
        <v>37.0514392</v>
      </c>
      <c r="I15168" s="8" t="n">
        <f aca="false">(a_g3_29*tk_cxit_gb300+(1-a_g3_29)*tk_cxit_vr200)</f>
        <v>37.0514392</v>
      </c>
      <c r="J15168" s="8" t="n">
        <f aca="false">(a_g3_29*tk_cxit_gb300+(1-a_g3_29)*tk_cxit_vr200)</f>
        <v>37.0514392</v>
      </c>
      <c r="K15168" s="8" t="n">
        <f aca="false">(a_g3_29*tk_cxit_gb300+(1-a_g3_29)*tk_cxit_vr200)</f>
        <v>37.0514392</v>
      </c>
      <c r="L15168" s="11" t="s">
        <v>843</v>
      </c>
    </row>
    <row r="15169" customFormat="false" ht="17.15" hidden="false" customHeight="false" outlineLevel="0" collapsed="false">
      <c r="A15169" s="0" t="s">
        <v>844</v>
      </c>
      <c r="B15169" s="0" t="s">
        <v>399</v>
      </c>
      <c r="F15169" s="29" t="n">
        <f aca="false">Sens!C15150*IF(Sens!F15143-Sens!C15143=life_it,1,0)+Sens!D15150*IF(Sens!F15143-Sens!D15143=life_it,1,0)+Sens!E15150*IF(Sens!F15143-Sens!E15143=life_it,1,0)</f>
        <v>0</v>
      </c>
      <c r="G15169" s="29" t="n">
        <f aca="false">Sens!C15150*IF(Sens!G15143-Sens!C15143=life_it,1,0)+Sens!D15150*IF(Sens!G15143-Sens!D15143=life_it,1,0)+Sens!E15150*IF(Sens!G15143-Sens!E15143=life_it,1,0)+Sens!F15150*IF(Sens!G15143-Sens!F15143=life_it,1,0)</f>
        <v>0</v>
      </c>
      <c r="H15169" s="29" t="n">
        <f aca="false">Sens!C15150*IF(Sens!H15143-Sens!C15143=life_it,1,0)+Sens!D15150*IF(Sens!H15143-Sens!D15143=life_it,1,0)+Sens!E15150*IF(Sens!H15143-Sens!E15143=life_it,1,0)+Sens!F15150*IF(Sens!H15143-Sens!F15143=life_it,1,0)+Sens!G15150*IF(Sens!H15143-Sens!G15143=life_it,1,0)</f>
        <v>0</v>
      </c>
      <c r="I15169" s="29" t="n">
        <f aca="false">Sens!C15150*IF(Sens!I15143-Sens!C15143=life_it,1,0)+Sens!D15150*IF(Sens!I15143-Sens!D15143=life_it,1,0)+Sens!E15150*IF(Sens!I15143-Sens!E15143=life_it,1,0)+Sens!F15150*IF(Sens!I15143-Sens!F15143=life_it,1,0)+Sens!G15150*IF(Sens!I15143-Sens!G15143=life_it,1,0)+Sens!H15150*IF(Sens!I15143-Sens!H15143=life_it,1,0)</f>
        <v>816.666666666667</v>
      </c>
      <c r="J15169" s="29" t="n">
        <f aca="false">Sens!C15150*IF(Sens!J15143-Sens!C15143=life_it,1,0)+Sens!D15150*IF(Sens!J15143-Sens!D15143=life_it,1,0)+Sens!E15150*IF(Sens!J15143-Sens!E15143=life_it,1,0)+Sens!F15150*IF(Sens!J15143-Sens!F15143=life_it,1,0)+Sens!G15150*IF(Sens!J15143-Sens!G15143=life_it,1,0)+Sens!H15150*IF(Sens!J15143-Sens!H15143=life_it,1,0)+Sens!I15150*IF(Sens!J15143-Sens!I15143=life_it,1,0)</f>
        <v>1233.33333333333</v>
      </c>
      <c r="K15169" s="29" t="n">
        <f aca="false">Sens!C15150*IF(Sens!K15143-Sens!C15143=life_it,1,0)+Sens!D15150*IF(Sens!K15143-Sens!D15143=life_it,1,0)+Sens!E15150*IF(Sens!K15143-Sens!E15143=life_it,1,0)+Sens!F15150*IF(Sens!K15143-Sens!F15143=life_it,1,0)+Sens!G15150*IF(Sens!K15143-Sens!G15143=life_it,1,0)+Sens!H15150*IF(Sens!K15143-Sens!H15143=life_it,1,0)+Sens!I15150*IF(Sens!K15143-Sens!I15143=life_it,1,0)+Sens!J15150*IF(Sens!K15143-Sens!J15143=life_it,1,0)</f>
        <v>2450</v>
      </c>
      <c r="L15169" s="1" t="s">
        <v>845</v>
      </c>
    </row>
    <row r="15170" customFormat="false" ht="17.15" hidden="false" customHeight="false" outlineLevel="0" collapsed="false">
      <c r="A15170" s="0" t="s">
        <v>846</v>
      </c>
      <c r="B15170" s="0" t="s">
        <v>98</v>
      </c>
      <c r="C15170" s="6" t="n">
        <f aca="false">Sens!C15150*Sens!C15168/1000</f>
        <v>22.5333845916667</v>
      </c>
      <c r="D15170" s="6" t="n">
        <f aca="false">Sens!D15150*Sens!D15168/1000</f>
        <v>34.0300093833333</v>
      </c>
      <c r="E15170" s="6" t="n">
        <f aca="false">Sens!E15150*Sens!E15168/1000</f>
        <v>67.600153775</v>
      </c>
      <c r="F15170" s="6" t="n">
        <f aca="false">(Sens!F15150+Sens!F15169)*Sens!F15168/1000</f>
        <v>130.923271871467</v>
      </c>
      <c r="G15170" s="6" t="n">
        <f aca="false">(Sens!G15150+Sens!G15169)*Sens!G15168/1000</f>
        <v>151.5545564832</v>
      </c>
      <c r="H15170" s="6" t="n">
        <f aca="false">(Sens!H15150+Sens!H15169)*Sens!H15168/1000</f>
        <v>156.0606619104</v>
      </c>
      <c r="I15170" s="6" t="n">
        <f aca="false">(Sens!I15150+Sens!I15169)*Sens!I15168/1000</f>
        <v>140.987889434245</v>
      </c>
      <c r="J15170" s="6" t="n">
        <f aca="false">(Sens!J15150+Sens!J15169)*Sens!J15168/1000</f>
        <v>113.309125559842</v>
      </c>
      <c r="K15170" s="6" t="n">
        <f aca="false">(Sens!K15150+Sens!K15169)*Sens!K15168/1000</f>
        <v>116.192591420959</v>
      </c>
    </row>
    <row r="15171" customFormat="false" ht="17.15" hidden="false" customHeight="false" outlineLevel="0" collapsed="false">
      <c r="A15171" s="0" t="s">
        <v>847</v>
      </c>
      <c r="B15171" s="0" t="s">
        <v>98</v>
      </c>
      <c r="C15171" s="6" t="n">
        <f aca="false">Sens!C15150*self_build*tk_cxfac/1000</f>
        <v>6.2083</v>
      </c>
      <c r="D15171" s="6" t="n">
        <f aca="false">Sens!D15150*self_build*tk_cxfac/1000</f>
        <v>9.3758</v>
      </c>
      <c r="E15171" s="6" t="n">
        <f aca="false">Sens!E15150*self_build*tk_cxfac/1000</f>
        <v>18.6249</v>
      </c>
      <c r="F15171" s="6" t="n">
        <f aca="false">Sens!F15150*self_build*tk_cxfac/1000</f>
        <v>29.409604</v>
      </c>
      <c r="G15171" s="6" t="n">
        <f aca="false">Sens!G15150*self_build*tk_cxfac/1000</f>
        <v>32.019624</v>
      </c>
      <c r="H15171" s="6" t="n">
        <f aca="false">Sens!H15150*self_build*tk_cxfac/1000</f>
        <v>32.019624</v>
      </c>
      <c r="I15171" s="6" t="n">
        <f aca="false">Sens!I15150*self_build*tk_cxfac/1000</f>
        <v>22.71877972</v>
      </c>
      <c r="J15171" s="6" t="n">
        <f aca="false">Sens!J15150*self_build*tk_cxfac/1000</f>
        <v>13.8723110344</v>
      </c>
      <c r="K15171" s="6" t="n">
        <f aca="false">Sens!K15150*self_build*tk_cxfac/1000</f>
        <v>5.214823882632</v>
      </c>
    </row>
    <row r="15172" customFormat="false" ht="17.15" hidden="false" customHeight="false" outlineLevel="0" collapsed="false">
      <c r="A15172" s="0" t="s">
        <v>848</v>
      </c>
      <c r="B15172" s="0" t="s">
        <v>98</v>
      </c>
      <c r="F15172" s="6" t="n">
        <f aca="false">MAX(0,capex_floor27-Sens!F15170-Sens!F15171-Sens!F15266)</f>
        <v>8.43777689897088</v>
      </c>
    </row>
    <row r="15173" customFormat="false" ht="17.15" hidden="false" customHeight="false" outlineLevel="0" collapsed="false">
      <c r="A15173" s="0" t="s">
        <v>849</v>
      </c>
      <c r="B15173" s="0" t="s">
        <v>98</v>
      </c>
      <c r="C15173" s="6" t="n">
        <f aca="false">Sens!C15170</f>
        <v>22.5333845916667</v>
      </c>
      <c r="D15173" s="6" t="n">
        <f aca="false">Sens!D15170</f>
        <v>34.0300093833333</v>
      </c>
      <c r="E15173" s="6" t="n">
        <f aca="false">Sens!E15170</f>
        <v>67.600153775</v>
      </c>
      <c r="F15173" s="6" t="n">
        <f aca="false">Sens!F15170</f>
        <v>130.923271871467</v>
      </c>
      <c r="G15173" s="6" t="n">
        <f aca="false">Sens!G15170</f>
        <v>151.5545564832</v>
      </c>
      <c r="H15173" s="6" t="n">
        <f aca="false">Sens!H15170</f>
        <v>156.0606619104</v>
      </c>
      <c r="I15173" s="6" t="n">
        <f aca="false">Sens!I15170</f>
        <v>140.987889434245</v>
      </c>
      <c r="J15173" s="6" t="n">
        <f aca="false">Sens!J15170</f>
        <v>113.309125559842</v>
      </c>
      <c r="K15173" s="6" t="n">
        <f aca="false">Sens!K15170</f>
        <v>116.192591420959</v>
      </c>
    </row>
    <row r="15174" customFormat="false" ht="17.15" hidden="false" customHeight="false" outlineLevel="0" collapsed="false">
      <c r="A15174" s="0" t="s">
        <v>850</v>
      </c>
      <c r="B15174" s="0" t="s">
        <v>98</v>
      </c>
      <c r="C15174" s="6" t="n">
        <f aca="false">Sens!C15173+Sens!C15171</f>
        <v>28.7416845916667</v>
      </c>
      <c r="D15174" s="6" t="n">
        <f aca="false">Sens!D15173+Sens!D15171</f>
        <v>43.4058093833333</v>
      </c>
      <c r="E15174" s="6" t="n">
        <f aca="false">Sens!E15173+Sens!E15171</f>
        <v>86.225053775</v>
      </c>
      <c r="F15174" s="6" t="n">
        <f aca="false">Sens!F15173+Sens!F15171</f>
        <v>160.332875871467</v>
      </c>
      <c r="G15174" s="6" t="n">
        <f aca="false">Sens!G15173+Sens!G15171</f>
        <v>183.5741804832</v>
      </c>
      <c r="H15174" s="6" t="n">
        <f aca="false">Sens!H15173+Sens!H15171</f>
        <v>188.0802859104</v>
      </c>
      <c r="I15174" s="6" t="n">
        <f aca="false">Sens!I15173+Sens!I15171</f>
        <v>163.706669154245</v>
      </c>
      <c r="J15174" s="6" t="n">
        <f aca="false">Sens!J15173+Sens!J15171</f>
        <v>127.181436594242</v>
      </c>
      <c r="K15174" s="6" t="n">
        <f aca="false">Sens!K15173+Sens!K15171</f>
        <v>121.407415303591</v>
      </c>
      <c r="L15174" s="11" t="s">
        <v>851</v>
      </c>
    </row>
    <row r="15175" customFormat="false" ht="17.15" hidden="false" customHeight="false" outlineLevel="0" collapsed="false">
      <c r="A15175" s="0" t="s">
        <v>852</v>
      </c>
      <c r="B15175" s="0" t="s">
        <v>98</v>
      </c>
      <c r="E15175" s="6" t="n">
        <f aca="false">(Sens!C15173*IF(2&lt;life_it,1,IF(2=life_it,0.5,0))+Sens!D15173*IF(1&lt;life_it,1,IF(1=life_it,0.5,0))+Sens!E15173*0.5)/life_it</f>
        <v>15.0605784770833</v>
      </c>
      <c r="F15175" s="6" t="n">
        <f aca="false">(Sens!C15173*IF(3&lt;life_it,1,IF(3=life_it,0.5,0))+Sens!D15173*IF(2&lt;life_it,1,IF(2=life_it,0.5,0))+Sens!E15173*IF(1&lt;life_it,1,IF(1=life_it,0.5,0))+Sens!F15173*0.5)/life_it</f>
        <v>31.6041972809556</v>
      </c>
      <c r="G15175" s="6" t="n">
        <f aca="false">(Sens!C15173*IF(4&lt;life_it,1,IF(4=life_it,0.5,0))+Sens!D15173*IF(3&lt;life_it,1,IF(3=life_it,0.5,0))+Sens!E15173*IF(2&lt;life_it,1,IF(2=life_it,0.5,0))+Sens!F15173*IF(1&lt;life_it,1,IF(1=life_it,0.5,0))+Sens!G15173*0.5)/life_it</f>
        <v>55.1440163105111</v>
      </c>
      <c r="H15175" s="6" t="n">
        <f aca="false">(Sens!C15173*IF(5&lt;life_it,1,IF(5=life_it,0.5,0))+Sens!D15173*IF(4&lt;life_it,1,IF(4=life_it,0.5,0))+Sens!E15173*IF(3&lt;life_it,1,IF(3=life_it,0.5,0))+Sens!F15173*IF(2&lt;life_it,1,IF(2=life_it,0.5,0))+Sens!G15173*IF(1&lt;life_it,1,IF(1=life_it,0.5,0))+Sens!H15173*0.5)/life_it</f>
        <v>80.7786178433111</v>
      </c>
      <c r="I15175" s="6" t="n">
        <f aca="false">(Sens!C15173*IF(6&lt;life_it,1,IF(6=life_it,0.5,0))+Sens!D15173*IF(5&lt;life_it,1,IF(5=life_it,0.5,0))+Sens!E15173*IF(4&lt;life_it,1,IF(4=life_it,0.5,0))+Sens!F15173*IF(3&lt;life_it,1,IF(3=life_it,0.5,0))+Sens!G15173*IF(2&lt;life_it,1,IF(2=life_it,0.5,0))+Sens!H15173*IF(1&lt;life_it,1,IF(1=life_it,0.5,0))+Sens!I15173*0.5)/life_it</f>
        <v>103.654881739393</v>
      </c>
      <c r="J15175" s="6" t="n">
        <f aca="false">(Sens!C15173*IF(7&lt;life_it,1,IF(7=life_it,0.5,0))+Sens!D15173*IF(6&lt;life_it,1,IF(6=life_it,0.5,0))+Sens!E15173*IF(5&lt;life_it,1,IF(5=life_it,0.5,0))+Sens!F15173*IF(4&lt;life_it,1,IF(4=life_it,0.5,0))+Sens!G15173*IF(3&lt;life_it,1,IF(3=life_it,0.5,0))+Sens!H15173*IF(2&lt;life_it,1,IF(2=life_it,0.5,0))+Sens!I15173*IF(1&lt;life_it,1,IF(1=life_it,0.5,0))+Sens!J15173*0.5)/life_it</f>
        <v>120.132683490983</v>
      </c>
      <c r="K15175" s="6" t="n">
        <f aca="false">(Sens!C15173*IF(8&lt;life_it,1,IF(8=life_it,0.5,0))+Sens!D15173*IF(7&lt;life_it,1,IF(7=life_it,0.5,0))+Sens!E15173*IF(6&lt;life_it,1,IF(6=life_it,0.5,0))+Sens!F15173*IF(5&lt;life_it,1,IF(5=life_it,0.5,0))+Sens!G15173*IF(4&lt;life_it,1,IF(4=life_it,0.5,0))+Sens!H15173*IF(3&lt;life_it,1,IF(3=life_it,0.5,0))+Sens!I15173*IF(2&lt;life_it,1,IF(2=life_it,0.5,0))+Sens!J15173*IF(1&lt;life_it,1,IF(1=life_it,0.5,0))+Sens!K15173*0.5)/life_it</f>
        <v>130.788646309522</v>
      </c>
    </row>
    <row r="15176" customFormat="false" ht="17.15" hidden="false" customHeight="false" outlineLevel="0" collapsed="false">
      <c r="A15176" s="0" t="s">
        <v>853</v>
      </c>
      <c r="B15176" s="0" t="s">
        <v>98</v>
      </c>
      <c r="E15176" s="6" t="n">
        <f aca="false">(Sens!C15171*IF(2&lt;life_fac,1,IF(2=life_fac,0.5,0))+Sens!D15171*IF(1&lt;life_fac,1,IF(1=life_fac,0.5,0))+Sens!E15171*0.5)/life_fac</f>
        <v>1.2448275</v>
      </c>
      <c r="F15176" s="6" t="n">
        <f aca="false">(Sens!C15171*IF(3&lt;life_fac,1,IF(3=life_fac,0.5,0))+Sens!D15171*IF(2&lt;life_fac,1,IF(2=life_fac,0.5,0))+Sens!E15171*IF(1&lt;life_fac,1,IF(1=life_fac,0.5,0))+Sens!F15171*0.5)/life_fac</f>
        <v>2.4456901</v>
      </c>
      <c r="G15176" s="6" t="n">
        <f aca="false">(Sens!C15171*IF(4&lt;life_fac,1,IF(4=life_fac,0.5,0))+Sens!D15171*IF(3&lt;life_fac,1,IF(3=life_fac,0.5,0))+Sens!E15171*IF(2&lt;life_fac,1,IF(2=life_fac,0.5,0))+Sens!F15171*IF(1&lt;life_fac,1,IF(1=life_fac,0.5,0))+Sens!G15171*0.5)/life_fac</f>
        <v>3.9814208</v>
      </c>
      <c r="H15176" s="6" t="n">
        <f aca="false">(Sens!C15171*IF(5&lt;life_fac,1,IF(5=life_fac,0.5,0))+Sens!D15171*IF(4&lt;life_fac,1,IF(4=life_fac,0.5,0))+Sens!E15171*IF(3&lt;life_fac,1,IF(3=life_fac,0.5,0))+Sens!F15171*IF(2&lt;life_fac,1,IF(2=life_fac,0.5,0))+Sens!G15171*IF(1&lt;life_fac,1,IF(1=life_fac,0.5,0))+Sens!H15171*0.5)/life_fac</f>
        <v>5.582402</v>
      </c>
      <c r="I15176" s="6" t="n">
        <f aca="false">(Sens!C15171*IF(6&lt;life_fac,1,IF(6=life_fac,0.5,0))+Sens!D15171*IF(5&lt;life_fac,1,IF(5=life_fac,0.5,0))+Sens!E15171*IF(4&lt;life_fac,1,IF(4=life_fac,0.5,0))+Sens!F15171*IF(3&lt;life_fac,1,IF(3=life_fac,0.5,0))+Sens!G15171*IF(2&lt;life_fac,1,IF(2=life_fac,0.5,0))+Sens!H15171*IF(1&lt;life_fac,1,IF(1=life_fac,0.5,0))+Sens!I15171*0.5)/life_fac</f>
        <v>6.950862093</v>
      </c>
      <c r="J15176" s="6" t="n">
        <f aca="false">(Sens!C15171*IF(7&lt;life_fac,1,IF(7=life_fac,0.5,0))+Sens!D15171*IF(6&lt;life_fac,1,IF(6=life_fac,0.5,0))+Sens!E15171*IF(5&lt;life_fac,1,IF(5=life_fac,0.5,0))+Sens!F15171*IF(4&lt;life_fac,1,IF(4=life_fac,0.5,0))+Sens!G15171*IF(3&lt;life_fac,1,IF(3=life_fac,0.5,0))+Sens!H15171*IF(2&lt;life_fac,1,IF(2=life_fac,0.5,0))+Sens!I15171*IF(1&lt;life_fac,1,IF(1=life_fac,0.5,0))+Sens!J15171*0.5)/life_fac</f>
        <v>7.86563936186</v>
      </c>
      <c r="K15176" s="6" t="n">
        <f aca="false">(Sens!C15171*IF(8&lt;life_fac,1,IF(8=life_fac,0.5,0))+Sens!D15171*IF(7&lt;life_fac,1,IF(7=life_fac,0.5,0))+Sens!E15171*IF(6&lt;life_fac,1,IF(6=life_fac,0.5,0))+Sens!F15171*IF(5&lt;life_fac,1,IF(5=life_fac,0.5,0))+Sens!G15171*IF(4&lt;life_fac,1,IF(4=life_fac,0.5,0))+Sens!H15171*IF(3&lt;life_fac,1,IF(3=life_fac,0.5,0))+Sens!I15171*IF(2&lt;life_fac,1,IF(2=life_fac,0.5,0))+Sens!J15171*IF(1&lt;life_fac,1,IF(1=life_fac,0.5,0))+Sens!K15171*0.5)/life_fac</f>
        <v>8.3428177347858</v>
      </c>
    </row>
    <row r="15177" customFormat="false" ht="17.15" hidden="false" customHeight="false" outlineLevel="0" collapsed="false">
      <c r="A15177" s="0" t="s">
        <v>854</v>
      </c>
      <c r="B15177" s="0" t="s">
        <v>98</v>
      </c>
      <c r="E15177" s="6" t="n">
        <f aca="false">Sens!E15175+Sens!E15176</f>
        <v>16.3054059770833</v>
      </c>
      <c r="F15177" s="6" t="n">
        <f aca="false">Sens!F15175+Sens!F15176</f>
        <v>34.0498873809555</v>
      </c>
      <c r="G15177" s="6" t="n">
        <f aca="false">Sens!G15175+Sens!G15176</f>
        <v>59.1254371105111</v>
      </c>
      <c r="H15177" s="6" t="n">
        <f aca="false">Sens!H15175+Sens!H15176</f>
        <v>86.3610198433111</v>
      </c>
      <c r="I15177" s="6" t="n">
        <f aca="false">Sens!I15175+Sens!I15176</f>
        <v>110.605743832393</v>
      </c>
      <c r="J15177" s="6" t="n">
        <f aca="false">Sens!J15175+Sens!J15176</f>
        <v>127.998322852843</v>
      </c>
      <c r="K15177" s="6" t="n">
        <f aca="false">Sens!K15175+Sens!K15176</f>
        <v>139.131464044308</v>
      </c>
    </row>
    <row r="15178" customFormat="false" ht="17.15" hidden="false" customHeight="false" outlineLevel="0" collapsed="false">
      <c r="A15178" s="0" t="s">
        <v>855</v>
      </c>
      <c r="B15178" s="0" t="s">
        <v>98</v>
      </c>
      <c r="E15178" s="6" t="n">
        <f aca="false">Sens!E15166-Sens!E15165*Sens!E15177</f>
        <v>8.92707889977379</v>
      </c>
      <c r="F15178" s="6" t="n">
        <f aca="false">Sens!F15166-Sens!F15165*Sens!F15177</f>
        <v>14.6274131339686</v>
      </c>
      <c r="G15178" s="6" t="n">
        <f aca="false">Sens!G15166-Sens!G15165*Sens!G15177</f>
        <v>16.7752349049804</v>
      </c>
      <c r="H15178" s="6" t="n">
        <f aca="false">Sens!H15166-Sens!H15165*Sens!H15177</f>
        <v>13.4630579450404</v>
      </c>
      <c r="I15178" s="6" t="n">
        <f aca="false">Sens!I15166-Sens!I15165*Sens!I15177</f>
        <v>16.9068533370192</v>
      </c>
      <c r="J15178" s="6" t="n">
        <f aca="false">Sens!J15166-Sens!J15165*Sens!J15177</f>
        <v>19.3011433836036</v>
      </c>
      <c r="K15178" s="6" t="n">
        <f aca="false">Sens!K15166-Sens!K15165*Sens!K15177</f>
        <v>21.3550700932312</v>
      </c>
    </row>
    <row r="15179" customFormat="false" ht="17.15" hidden="false" customHeight="false" outlineLevel="0" collapsed="false">
      <c r="A15179" s="3" t="s">
        <v>1647</v>
      </c>
    </row>
    <row r="15180" customFormat="false" ht="15" hidden="false" customHeight="false" outlineLevel="0" collapsed="false">
      <c r="A15180" s="4" t="s">
        <v>43</v>
      </c>
      <c r="B15180" s="4" t="s">
        <v>65</v>
      </c>
      <c r="C15180" s="20" t="s">
        <v>799</v>
      </c>
      <c r="D15180" s="20" t="s">
        <v>800</v>
      </c>
      <c r="E15180" s="20" t="s">
        <v>801</v>
      </c>
      <c r="F15180" s="20" t="s">
        <v>802</v>
      </c>
      <c r="G15180" s="20" t="s">
        <v>803</v>
      </c>
      <c r="H15180" s="20" t="s">
        <v>804</v>
      </c>
      <c r="I15180" s="20" t="s">
        <v>805</v>
      </c>
      <c r="J15180" s="20" t="s">
        <v>806</v>
      </c>
      <c r="K15180" s="20" t="s">
        <v>807</v>
      </c>
      <c r="L15180" s="4" t="s">
        <v>47</v>
      </c>
    </row>
    <row r="15181" customFormat="false" ht="17.15" hidden="false" customHeight="false" outlineLevel="0" collapsed="false">
      <c r="A15181" s="0" t="s">
        <v>874</v>
      </c>
      <c r="B15181" s="0" t="s">
        <v>98</v>
      </c>
      <c r="D15181" s="6" t="n">
        <f aca="false">Sens!D15160</f>
        <v>12.9359794422418</v>
      </c>
      <c r="E15181" s="6" t="n">
        <f aca="false">Sens!E15160</f>
        <v>27.8095064661409</v>
      </c>
      <c r="F15181" s="6" t="n">
        <f aca="false">Sens!F15160</f>
        <v>50.6619113883066</v>
      </c>
      <c r="G15181" s="6" t="n">
        <f aca="false">Sens!G15160</f>
        <v>75.1482839325348</v>
      </c>
      <c r="H15181" s="6" t="n">
        <f aca="false">Sens!H15160</f>
        <v>94.895655604042</v>
      </c>
      <c r="I15181" s="6" t="n">
        <f aca="false">Sens!I15160</f>
        <v>118.706168884151</v>
      </c>
      <c r="J15181" s="6" t="n">
        <f aca="false">Sens!J15160</f>
        <v>135.50643871102</v>
      </c>
      <c r="K15181" s="6" t="n">
        <f aca="false">Sens!K15160</f>
        <v>146.509068150048</v>
      </c>
    </row>
    <row r="15182" customFormat="false" ht="17.15" hidden="false" customHeight="false" outlineLevel="0" collapsed="false">
      <c r="A15182" s="0" t="s">
        <v>875</v>
      </c>
      <c r="B15182" s="0" t="s">
        <v>98</v>
      </c>
      <c r="D15182" s="6" t="n">
        <f aca="false">Q!L6-Sens!D15181</f>
        <v>59.6740205577583</v>
      </c>
      <c r="E15182" s="6" t="n">
        <f aca="false">Q!M6-Sens!E15181</f>
        <v>74.1284935338591</v>
      </c>
      <c r="F15182" s="6" t="n">
        <f aca="false">Sens!E15182*(1+Sens!F15183)</f>
        <v>90.0799497373663</v>
      </c>
      <c r="G15182" s="6" t="n">
        <f aca="false">Sens!F15182*(1+Sens!G15183)</f>
        <v>107.02842520331</v>
      </c>
      <c r="H15182" s="6" t="n">
        <f aca="false">Sens!G15182*(1+Sens!H15183)</f>
        <v>124.271982585636</v>
      </c>
      <c r="I15182" s="6" t="n">
        <f aca="false">Sens!H15182*(1+Sens!I15183)</f>
        <v>140.933702381855</v>
      </c>
      <c r="J15182" s="6" t="n">
        <f aca="false">Sens!I15182*(1+Sens!J15183)</f>
        <v>156.018867314332</v>
      </c>
      <c r="K15182" s="6" t="n">
        <f aca="false">Sens!J15182*(1+Sens!K15183)</f>
        <v>168.500376699478</v>
      </c>
    </row>
    <row r="15183" customFormat="false" ht="15" hidden="false" customHeight="false" outlineLevel="0" collapsed="false">
      <c r="A15183" s="1" t="s">
        <v>876</v>
      </c>
      <c r="B15183" s="0" t="s">
        <v>129</v>
      </c>
      <c r="E15183" s="7" t="n">
        <f aca="false">Sens!E15182/Sens!D15182-1</f>
        <v>0.242223883039864</v>
      </c>
      <c r="F15183" s="7" t="n">
        <f aca="false">Sens!$E$15183+(glt_azo-Sens!$E$15183)*MIN(1,(Sens!F15143-base_fy)/n_conv)</f>
        <v>0.215186569199887</v>
      </c>
      <c r="G15183" s="7" t="n">
        <f aca="false">Sens!$E$15183+(glt_azo-Sens!$E$15183)*MIN(1,(Sens!G15143-base_fy)/n_conv)</f>
        <v>0.18814925535991</v>
      </c>
      <c r="H15183" s="7" t="n">
        <f aca="false">Sens!$E$15183+(glt_azo-Sens!$E$15183)*MIN(1,(Sens!H15143-base_fy)/n_conv)</f>
        <v>0.161111941519932</v>
      </c>
      <c r="I15183" s="7" t="n">
        <f aca="false">Sens!$E$15183+(glt_azo-Sens!$E$15183)*MIN(1,(Sens!I15143-base_fy)/n_conv)</f>
        <v>0.134074627679955</v>
      </c>
      <c r="J15183" s="7" t="n">
        <f aca="false">Sens!$E$15183+(glt_azo-Sens!$E$15183)*MIN(1,(Sens!J15143-base_fy)/n_conv)</f>
        <v>0.107037313839977</v>
      </c>
      <c r="K15183" s="7" t="n">
        <f aca="false">Sens!$E$15183+(glt_azo-Sens!$E$15183)*MIN(1,(Sens!K15143-base_fy)/n_conv)</f>
        <v>0.08</v>
      </c>
    </row>
    <row r="15184" customFormat="false" ht="15" hidden="false" customHeight="false" outlineLevel="0" collapsed="false">
      <c r="A15184" s="0" t="s">
        <v>877</v>
      </c>
      <c r="B15184" s="0" t="s">
        <v>98</v>
      </c>
      <c r="D15184" s="6" t="n">
        <f aca="false">Sens!D15181+Sens!D15182</f>
        <v>72.61</v>
      </c>
      <c r="E15184" s="6" t="n">
        <f aca="false">Sens!E15181+Sens!E15182</f>
        <v>101.938</v>
      </c>
      <c r="F15184" s="6" t="n">
        <f aca="false">Sens!F15181+Sens!F15182</f>
        <v>140.741861125673</v>
      </c>
      <c r="G15184" s="6" t="n">
        <f aca="false">Sens!G15181+Sens!G15182</f>
        <v>182.176709135845</v>
      </c>
      <c r="H15184" s="6" t="n">
        <f aca="false">Sens!H15181+Sens!H15182</f>
        <v>219.167638189678</v>
      </c>
      <c r="I15184" s="6" t="n">
        <f aca="false">Sens!I15181+Sens!I15182</f>
        <v>259.639871266006</v>
      </c>
      <c r="J15184" s="6" t="n">
        <f aca="false">Sens!J15181+Sens!J15182</f>
        <v>291.525306025352</v>
      </c>
      <c r="K15184" s="6" t="n">
        <f aca="false">Sens!K15181+Sens!K15182</f>
        <v>315.009444849526</v>
      </c>
    </row>
    <row r="15185" customFormat="false" ht="17.15" hidden="false" customHeight="false" outlineLevel="0" collapsed="false">
      <c r="A15185" s="0" t="s">
        <v>878</v>
      </c>
      <c r="B15185" s="1" t="s">
        <v>528</v>
      </c>
      <c r="C15185" s="29" t="n">
        <f aca="false">cop_s24</f>
        <v>1</v>
      </c>
      <c r="D15185" s="29" t="n">
        <f aca="false">cop_s25</f>
        <v>5</v>
      </c>
      <c r="E15185" s="29" t="n">
        <f aca="false">cop_s26</f>
        <v>30</v>
      </c>
      <c r="F15185" s="29" t="n">
        <f aca="false">Sens!E15185+cop_add_C</f>
        <v>40</v>
      </c>
      <c r="G15185" s="29" t="n">
        <f aca="false">Sens!F15185+cop_add_C</f>
        <v>50</v>
      </c>
      <c r="H15185" s="29" t="n">
        <f aca="false">Sens!G15185+cop_add_C</f>
        <v>60</v>
      </c>
      <c r="I15185" s="29" t="n">
        <f aca="false">Sens!H15185+cop_add_C*cop_tail</f>
        <v>65</v>
      </c>
      <c r="J15185" s="29" t="n">
        <f aca="false">Sens!I15185+cop_add_C*cop_tail</f>
        <v>70</v>
      </c>
      <c r="K15185" s="29" t="n">
        <f aca="false">Sens!J15185+cop_add_C*cop_tail</f>
        <v>75</v>
      </c>
      <c r="L15185" s="11" t="s">
        <v>879</v>
      </c>
    </row>
    <row r="15186" customFormat="false" ht="17.15" hidden="false" customHeight="false" outlineLevel="0" collapsed="false">
      <c r="A15186" s="0" t="s">
        <v>880</v>
      </c>
      <c r="B15186" s="0" t="s">
        <v>98</v>
      </c>
      <c r="D15186" s="6" t="n">
        <f aca="false">(Sens!C15185+Sens!D15185)/2*cop_px*12/1000</f>
        <v>0.9</v>
      </c>
      <c r="E15186" s="6" t="n">
        <f aca="false">(Sens!D15185+Sens!E15185)/2*cop_px*12/1000</f>
        <v>5.25</v>
      </c>
      <c r="F15186" s="6" t="n">
        <f aca="false">(Sens!E15185+Sens!F15185)/2*cop_px*12/1000</f>
        <v>10.5</v>
      </c>
      <c r="G15186" s="6" t="n">
        <f aca="false">(Sens!F15185+Sens!G15185)/2*cop_px*12/1000</f>
        <v>13.5</v>
      </c>
      <c r="H15186" s="6" t="n">
        <f aca="false">(Sens!G15185+Sens!H15185)/2*cop_px*12/1000</f>
        <v>16.5</v>
      </c>
      <c r="I15186" s="6" t="n">
        <f aca="false">(Sens!H15185+Sens!I15185)/2*cop_px*12/1000</f>
        <v>18.75</v>
      </c>
      <c r="J15186" s="6" t="n">
        <f aca="false">(Sens!I15185+Sens!J15185)/2*cop_px*12/1000</f>
        <v>20.25</v>
      </c>
      <c r="K15186" s="6" t="n">
        <f aca="false">(Sens!J15185+Sens!K15185)/2*cop_px*12/1000</f>
        <v>21.75</v>
      </c>
      <c r="L15186" s="1" t="s">
        <v>881</v>
      </c>
    </row>
    <row r="15187" customFormat="false" ht="17.15" hidden="false" customHeight="false" outlineLevel="0" collapsed="false">
      <c r="A15187" s="0" t="s">
        <v>882</v>
      </c>
      <c r="B15187" s="0" t="s">
        <v>98</v>
      </c>
      <c r="D15187" s="6" t="n">
        <f aca="false">Q!L7-Sens!D15186</f>
        <v>83.705</v>
      </c>
      <c r="E15187" s="6" t="n">
        <f aca="false">Q!M7-Sens!E15186</f>
        <v>95.049</v>
      </c>
      <c r="F15187" s="6" t="n">
        <f aca="false">Sens!E15187*(1+Sens!F15188)</f>
        <v>106.89238776686</v>
      </c>
      <c r="G15187" s="6" t="n">
        <f aca="false">Sens!F15187*(1+Sens!G15188)</f>
        <v>119.044168448684</v>
      </c>
      <c r="H15187" s="6" t="n">
        <f aca="false">Sens!G15187*(1+Sens!H15188)</f>
        <v>131.277359388781</v>
      </c>
      <c r="I15187" s="6" t="n">
        <f aca="false">Sens!H15187*(1+Sens!I15188)</f>
        <v>143.334028071957</v>
      </c>
      <c r="J15187" s="6" t="n">
        <f aca="false">Sens!I15187*(1+Sens!J15188)</f>
        <v>154.932702785465</v>
      </c>
      <c r="K15187" s="6" t="n">
        <f aca="false">Sens!J15187*(1+Sens!K15188)</f>
        <v>165.777991980448</v>
      </c>
    </row>
    <row r="15188" customFormat="false" ht="15" hidden="false" customHeight="false" outlineLevel="0" collapsed="false">
      <c r="A15188" s="1" t="s">
        <v>876</v>
      </c>
      <c r="B15188" s="0" t="s">
        <v>129</v>
      </c>
      <c r="E15188" s="7" t="n">
        <f aca="false">Sens!E15187/Sens!D15187-1</f>
        <v>0.135523564900544</v>
      </c>
      <c r="F15188" s="7" t="n">
        <f aca="false">Sens!$E$15188+(glt_m365b-Sens!$E$15188)*MIN(1,(Sens!F15143-base_fy)/n_conv)</f>
        <v>0.124602970750453</v>
      </c>
      <c r="G15188" s="7" t="n">
        <f aca="false">Sens!$E$15188+(glt_m365b-Sens!$E$15188)*MIN(1,(Sens!G15143-base_fy)/n_conv)</f>
        <v>0.113682376600363</v>
      </c>
      <c r="H15188" s="7" t="n">
        <f aca="false">Sens!$E$15188+(glt_m365b-Sens!$E$15188)*MIN(1,(Sens!H15143-base_fy)/n_conv)</f>
        <v>0.102761782450272</v>
      </c>
      <c r="I15188" s="7" t="n">
        <f aca="false">Sens!$E$15188+(glt_m365b-Sens!$E$15188)*MIN(1,(Sens!I15143-base_fy)/n_conv)</f>
        <v>0.0918411883001813</v>
      </c>
      <c r="J15188" s="7" t="n">
        <f aca="false">Sens!$E$15188+(glt_m365b-Sens!$E$15188)*MIN(1,(Sens!J15143-base_fy)/n_conv)</f>
        <v>0.0809205941500906</v>
      </c>
      <c r="K15188" s="7" t="n">
        <f aca="false">Sens!$E$15188+(glt_m365b-Sens!$E$15188)*MIN(1,(Sens!K15143-base_fy)/n_conv)</f>
        <v>0.07</v>
      </c>
    </row>
    <row r="15189" customFormat="false" ht="15" hidden="false" customHeight="false" outlineLevel="0" collapsed="false">
      <c r="A15189" s="0" t="s">
        <v>883</v>
      </c>
      <c r="B15189" s="0" t="s">
        <v>98</v>
      </c>
      <c r="D15189" s="6" t="n">
        <f aca="false">Sens!D15187+Sens!D15186</f>
        <v>84.605</v>
      </c>
      <c r="E15189" s="6" t="n">
        <f aca="false">Sens!E15187+Sens!E15186</f>
        <v>100.299</v>
      </c>
      <c r="F15189" s="6" t="n">
        <f aca="false">Sens!F15187+Sens!F15186</f>
        <v>117.39238776686</v>
      </c>
      <c r="G15189" s="6" t="n">
        <f aca="false">Sens!G15187+Sens!G15186</f>
        <v>132.544168448684</v>
      </c>
      <c r="H15189" s="6" t="n">
        <f aca="false">Sens!H15187+Sens!H15186</f>
        <v>147.777359388781</v>
      </c>
      <c r="I15189" s="6" t="n">
        <f aca="false">Sens!I15187+Sens!I15186</f>
        <v>162.084028071957</v>
      </c>
      <c r="J15189" s="6" t="n">
        <f aca="false">Sens!J15187+Sens!J15186</f>
        <v>175.182702785465</v>
      </c>
      <c r="K15189" s="6" t="n">
        <f aca="false">Sens!K15187+Sens!K15186</f>
        <v>187.527991980448</v>
      </c>
    </row>
    <row r="15190" customFormat="false" ht="15" hidden="false" customHeight="false" outlineLevel="0" collapsed="false">
      <c r="A15190" s="0" t="s">
        <v>884</v>
      </c>
      <c r="B15190" s="0" t="s">
        <v>98</v>
      </c>
      <c r="D15190" s="6" t="n">
        <f aca="false">Q!L8</f>
        <v>35.391</v>
      </c>
      <c r="E15190" s="6" t="n">
        <f aca="false">Q!M8</f>
        <v>37.285</v>
      </c>
      <c r="F15190" s="6" t="n">
        <f aca="false">Sens!E15190*(1+Sens!F15191)</f>
        <v>39.0720834331704</v>
      </c>
      <c r="G15190" s="6" t="n">
        <f aca="false">Sens!F15190*(1+Sens!G15191)</f>
        <v>40.726562953769</v>
      </c>
      <c r="H15190" s="6" t="n">
        <f aca="false">Sens!G15190*(1+Sens!H15191)</f>
        <v>42.2235987259198</v>
      </c>
      <c r="I15190" s="6" t="n">
        <f aca="false">Sens!H15190*(1+Sens!I15191)</f>
        <v>43.5397988077414</v>
      </c>
      <c r="J15190" s="6" t="n">
        <f aca="false">Sens!I15190*(1+Sens!J15191)</f>
        <v>44.653811225693</v>
      </c>
      <c r="K15190" s="6" t="n">
        <f aca="false">Sens!J15190*(1+Sens!K15191)</f>
        <v>45.5468874502068</v>
      </c>
    </row>
    <row r="15191" customFormat="false" ht="15" hidden="false" customHeight="false" outlineLevel="0" collapsed="false">
      <c r="A15191" s="1" t="s">
        <v>876</v>
      </c>
      <c r="B15191" s="0" t="s">
        <v>129</v>
      </c>
      <c r="E15191" s="7" t="n">
        <f aca="false">Sens!E15190/Sens!D15190-1</f>
        <v>0.0535164307309768</v>
      </c>
      <c r="F15191" s="7" t="n">
        <f aca="false">Sens!$E$15191+(glt_lic-Sens!$E$15191)*MIN(1,(Sens!F15143-base_fy)/n_conv)</f>
        <v>0.0479303589424807</v>
      </c>
      <c r="G15191" s="7" t="n">
        <f aca="false">Sens!$E$15191+(glt_lic-Sens!$E$15191)*MIN(1,(Sens!G15143-base_fy)/n_conv)</f>
        <v>0.0423442871539845</v>
      </c>
      <c r="H15191" s="7" t="n">
        <f aca="false">Sens!$E$15191+(glt_lic-Sens!$E$15191)*MIN(1,(Sens!H15143-base_fy)/n_conv)</f>
        <v>0.0367582153654884</v>
      </c>
      <c r="I15191" s="7" t="n">
        <f aca="false">Sens!$E$15191+(glt_lic-Sens!$E$15191)*MIN(1,(Sens!I15143-base_fy)/n_conv)</f>
        <v>0.0311721435769923</v>
      </c>
      <c r="J15191" s="7" t="n">
        <f aca="false">Sens!$E$15191+(glt_lic-Sens!$E$15191)*MIN(1,(Sens!J15143-base_fy)/n_conv)</f>
        <v>0.0255860717884961</v>
      </c>
      <c r="K15191" s="7" t="n">
        <f aca="false">Sens!$E$15191+(glt_lic-Sens!$E$15191)*MIN(1,(Sens!K15143-base_fy)/n_conv)</f>
        <v>0.02</v>
      </c>
    </row>
    <row r="15192" customFormat="false" ht="15" hidden="false" customHeight="false" outlineLevel="0" collapsed="false">
      <c r="A15192" s="0" t="s">
        <v>885</v>
      </c>
      <c r="B15192" s="0" t="s">
        <v>98</v>
      </c>
      <c r="D15192" s="6" t="n">
        <f aca="false">Q!L9</f>
        <v>18.417</v>
      </c>
      <c r="E15192" s="6" t="n">
        <f aca="false">Q!M9</f>
        <v>20.345</v>
      </c>
      <c r="F15192" s="6" t="n">
        <f aca="false">Sens!E15192*(1+Sens!F15193)</f>
        <v>22.3572203267814</v>
      </c>
      <c r="G15192" s="6" t="n">
        <f aca="false">Sens!F15192*(1+Sens!G15193)</f>
        <v>24.4392124437232</v>
      </c>
      <c r="H15192" s="6" t="n">
        <f aca="false">Sens!G15192*(1+Sens!H15193)</f>
        <v>26.5738052080665</v>
      </c>
      <c r="I15192" s="6" t="n">
        <f aca="false">Sens!H15192*(1+Sens!I15193)</f>
        <v>28.7412169166967</v>
      </c>
      <c r="J15192" s="6" t="n">
        <f aca="false">Sens!I15192*(1+Sens!J15193)</f>
        <v>30.9192545395413</v>
      </c>
      <c r="K15192" s="6" t="n">
        <f aca="false">Sens!J15192*(1+Sens!K15193)</f>
        <v>33.0836023573092</v>
      </c>
    </row>
    <row r="15193" customFormat="false" ht="15" hidden="false" customHeight="false" outlineLevel="0" collapsed="false">
      <c r="A15193" s="1" t="s">
        <v>876</v>
      </c>
      <c r="B15193" s="0" t="s">
        <v>129</v>
      </c>
      <c r="E15193" s="7" t="n">
        <f aca="false">Sens!E15192/Sens!D15192-1</f>
        <v>0.104685888038225</v>
      </c>
      <c r="F15193" s="7" t="n">
        <f aca="false">Sens!$E$15193+(glt_ind-Sens!$E$15193)*MIN(1,(Sens!F15143-base_fy)/n_conv)</f>
        <v>0.0989049066985211</v>
      </c>
      <c r="G15193" s="7" t="n">
        <f aca="false">Sens!$E$15193+(glt_ind-Sens!$E$15193)*MIN(1,(Sens!G15143-base_fy)/n_conv)</f>
        <v>0.0931239253588169</v>
      </c>
      <c r="H15193" s="7" t="n">
        <f aca="false">Sens!$E$15193+(glt_ind-Sens!$E$15193)*MIN(1,(Sens!H15143-base_fy)/n_conv)</f>
        <v>0.0873429440191127</v>
      </c>
      <c r="I15193" s="7" t="n">
        <f aca="false">Sens!$E$15193+(glt_ind-Sens!$E$15193)*MIN(1,(Sens!I15143-base_fy)/n_conv)</f>
        <v>0.0815619626794085</v>
      </c>
      <c r="J15193" s="7" t="n">
        <f aca="false">Sens!$E$15193+(glt_ind-Sens!$E$15193)*MIN(1,(Sens!J15143-base_fy)/n_conv)</f>
        <v>0.0757809813397042</v>
      </c>
      <c r="K15193" s="7" t="n">
        <f aca="false">Sens!$E$15193+(glt_ind-Sens!$E$15193)*MIN(1,(Sens!K15143-base_fy)/n_conv)</f>
        <v>0.07</v>
      </c>
    </row>
    <row r="15194" customFormat="false" ht="15" hidden="false" customHeight="false" outlineLevel="0" collapsed="false">
      <c r="A15194" s="0" t="s">
        <v>886</v>
      </c>
      <c r="B15194" s="0" t="s">
        <v>98</v>
      </c>
      <c r="D15194" s="6" t="n">
        <f aca="false">Q!L10</f>
        <v>7.76</v>
      </c>
      <c r="E15194" s="6" t="n">
        <f aca="false">Q!M10</f>
        <v>8.26</v>
      </c>
      <c r="F15194" s="6" t="n">
        <f aca="false">Sens!E15194*(1+Sens!F15195)</f>
        <v>8.79988041237113</v>
      </c>
      <c r="G15194" s="6" t="n">
        <f aca="false">Sens!F15194*(1+Sens!G15195)</f>
        <v>9.38321269125306</v>
      </c>
      <c r="H15194" s="6" t="n">
        <f aca="false">Sens!G15194*(1+Sens!H15195)</f>
        <v>10.0139193587476</v>
      </c>
      <c r="I15194" s="6" t="n">
        <f aca="false">Sens!H15194*(1+Sens!I15195)</f>
        <v>10.6963111830911</v>
      </c>
      <c r="J15194" s="6" t="n">
        <f aca="false">Sens!I15194*(1+Sens!J15195)</f>
        <v>11.4351285534696</v>
      </c>
      <c r="K15194" s="6" t="n">
        <f aca="false">Sens!J15194*(1+Sens!K15195)</f>
        <v>12.2355875522124</v>
      </c>
    </row>
    <row r="15195" customFormat="false" ht="15" hidden="false" customHeight="false" outlineLevel="0" collapsed="false">
      <c r="A15195" s="1" t="s">
        <v>876</v>
      </c>
      <c r="B15195" s="0" t="s">
        <v>129</v>
      </c>
      <c r="E15195" s="7" t="n">
        <f aca="false">Sens!E15194/Sens!D15194-1</f>
        <v>0.0644329896907216</v>
      </c>
      <c r="F15195" s="7" t="n">
        <f aca="false">Sens!$E$15195+(glt_fro-Sens!$E$15195)*MIN(1,(Sens!F15143-base_fy)/n_conv)</f>
        <v>0.065360824742268</v>
      </c>
      <c r="G15195" s="7" t="n">
        <f aca="false">Sens!$E$15195+(glt_fro-Sens!$E$15195)*MIN(1,(Sens!G15143-base_fy)/n_conv)</f>
        <v>0.0662886597938144</v>
      </c>
      <c r="H15195" s="7" t="n">
        <f aca="false">Sens!$E$15195+(glt_fro-Sens!$E$15195)*MIN(1,(Sens!H15143-base_fy)/n_conv)</f>
        <v>0.0672164948453608</v>
      </c>
      <c r="I15195" s="7" t="n">
        <f aca="false">Sens!$E$15195+(glt_fro-Sens!$E$15195)*MIN(1,(Sens!I15143-base_fy)/n_conv)</f>
        <v>0.0681443298969072</v>
      </c>
      <c r="J15195" s="7" t="n">
        <f aca="false">Sens!$E$15195+(glt_fro-Sens!$E$15195)*MIN(1,(Sens!J15143-base_fy)/n_conv)</f>
        <v>0.0690721649484536</v>
      </c>
      <c r="K15195" s="7" t="n">
        <f aca="false">Sens!$E$15195+(glt_fro-Sens!$E$15195)*MIN(1,(Sens!K15143-base_fy)/n_conv)</f>
        <v>0.07</v>
      </c>
    </row>
    <row r="15196" customFormat="false" ht="15" hidden="false" customHeight="false" outlineLevel="0" collapsed="false">
      <c r="A15196" s="0" t="s">
        <v>715</v>
      </c>
      <c r="B15196" s="0" t="s">
        <v>98</v>
      </c>
      <c r="D15196" s="6" t="n">
        <f aca="false">Sens!D15184+Sens!D15189+Sens!D15190+Sens!D15192+Sens!D15194</f>
        <v>218.783</v>
      </c>
      <c r="E15196" s="6" t="n">
        <f aca="false">Sens!E15184+Sens!E15189+Sens!E15190+Sens!E15192+Sens!E15194</f>
        <v>268.127</v>
      </c>
      <c r="F15196" s="6" t="n">
        <f aca="false">Sens!F15184+Sens!F15189+Sens!F15190+Sens!F15192+Sens!F15194</f>
        <v>328.363433064856</v>
      </c>
      <c r="G15196" s="6" t="n">
        <f aca="false">Sens!G15184+Sens!G15189+Sens!G15190+Sens!G15192+Sens!G15194</f>
        <v>389.269865673274</v>
      </c>
      <c r="H15196" s="6" t="n">
        <f aca="false">Sens!H15184+Sens!H15189+Sens!H15190+Sens!H15192+Sens!H15194</f>
        <v>445.756320871193</v>
      </c>
      <c r="I15196" s="6" t="n">
        <f aca="false">Sens!I15184+Sens!I15189+Sens!I15190+Sens!I15192+Sens!I15194</f>
        <v>504.701226245492</v>
      </c>
      <c r="J15196" s="6" t="n">
        <f aca="false">Sens!J15184+Sens!J15189+Sens!J15190+Sens!J15192+Sens!J15194</f>
        <v>553.716203129521</v>
      </c>
      <c r="K15196" s="6" t="n">
        <f aca="false">Sens!K15184+Sens!K15189+Sens!K15190+Sens!K15192+Sens!K15194</f>
        <v>593.403514189702</v>
      </c>
    </row>
    <row r="15197" customFormat="false" ht="15" hidden="false" customHeight="false" outlineLevel="0" collapsed="false">
      <c r="A15197" s="0" t="s">
        <v>887</v>
      </c>
      <c r="B15197" s="0" t="s">
        <v>98</v>
      </c>
      <c r="D15197" s="6" t="n">
        <f aca="false">Q!L13</f>
        <v>22.171</v>
      </c>
      <c r="E15197" s="6" t="n">
        <f aca="false">Q!M13</f>
        <v>24.835</v>
      </c>
      <c r="F15197" s="6" t="n">
        <f aca="false">Sens!E15197*(1+Sens!F15198)</f>
        <v>27.6114901218559</v>
      </c>
      <c r="G15197" s="6" t="n">
        <f aca="false">Sens!F15197*(1+Sens!G15198)</f>
        <v>30.4675667338515</v>
      </c>
      <c r="H15197" s="6" t="n">
        <f aca="false">Sens!G15197*(1+Sens!H15198)</f>
        <v>33.3643766955789</v>
      </c>
      <c r="I15197" s="6" t="n">
        <f aca="false">Sens!H15197*(1+Sens!I15198)</f>
        <v>36.2577016533691</v>
      </c>
      <c r="J15197" s="6" t="n">
        <f aca="false">Sens!I15197*(1+Sens!J15198)</f>
        <v>39.0988367952171</v>
      </c>
      <c r="K15197" s="6" t="n">
        <f aca="false">Sens!J15197*(1+Sens!K15198)</f>
        <v>41.8357553708823</v>
      </c>
    </row>
    <row r="15198" customFormat="false" ht="15" hidden="false" customHeight="false" outlineLevel="0" collapsed="false">
      <c r="A15198" s="1" t="s">
        <v>876</v>
      </c>
      <c r="B15198" s="0" t="s">
        <v>129</v>
      </c>
      <c r="E15198" s="7" t="n">
        <f aca="false">Sens!E15197/Sens!D15197-1</f>
        <v>0.120156961796942</v>
      </c>
      <c r="F15198" s="7" t="n">
        <f aca="false">Sens!$E$15198+(glt_srch-Sens!$E$15198)*MIN(1,(Sens!F15143-base_fy)/n_conv)</f>
        <v>0.111797468164118</v>
      </c>
      <c r="G15198" s="7" t="n">
        <f aca="false">Sens!$E$15198+(glt_srch-Sens!$E$15198)*MIN(1,(Sens!G15143-base_fy)/n_conv)</f>
        <v>0.103437974531295</v>
      </c>
      <c r="H15198" s="7" t="n">
        <f aca="false">Sens!$E$15198+(glt_srch-Sens!$E$15198)*MIN(1,(Sens!H15143-base_fy)/n_conv)</f>
        <v>0.095078480898471</v>
      </c>
      <c r="I15198" s="7" t="n">
        <f aca="false">Sens!$E$15198+(glt_srch-Sens!$E$15198)*MIN(1,(Sens!I15143-base_fy)/n_conv)</f>
        <v>0.0867189872656474</v>
      </c>
      <c r="J15198" s="7" t="n">
        <f aca="false">Sens!$E$15198+(glt_srch-Sens!$E$15198)*MIN(1,(Sens!J15143-base_fy)/n_conv)</f>
        <v>0.0783594936328237</v>
      </c>
      <c r="K15198" s="7" t="n">
        <f aca="false">Sens!$E$15198+(glt_srch-Sens!$E$15198)*MIN(1,(Sens!K15143-base_fy)/n_conv)</f>
        <v>0.07</v>
      </c>
    </row>
    <row r="15199" customFormat="false" ht="15" hidden="false" customHeight="false" outlineLevel="0" collapsed="false">
      <c r="A15199" s="0" t="s">
        <v>888</v>
      </c>
      <c r="B15199" s="0" t="s">
        <v>98</v>
      </c>
      <c r="D15199" s="6" t="n">
        <f aca="false">Q!L14</f>
        <v>23.455</v>
      </c>
      <c r="E15199" s="6" t="n">
        <f aca="false">Q!M14</f>
        <v>21.79</v>
      </c>
      <c r="F15199" s="6" t="n">
        <f aca="false">Sens!E15199*(1+Sens!F15200)</f>
        <v>20.5736277908051</v>
      </c>
      <c r="G15199" s="6" t="n">
        <f aca="false">Sens!F15199*(1+Sens!G15200)</f>
        <v>19.7371452817919</v>
      </c>
      <c r="H15199" s="6" t="n">
        <f aca="false">Sens!G15199*(1+Sens!H15200)</f>
        <v>19.2339764043138</v>
      </c>
      <c r="I15199" s="6" t="n">
        <f aca="false">Sens!H15199*(1+Sens!I15200)</f>
        <v>19.0353086852681</v>
      </c>
      <c r="J15199" s="6" t="n">
        <f aca="false">Sens!I15199*(1+Sens!J15200)</f>
        <v>19.1273539319129</v>
      </c>
      <c r="K15199" s="6" t="n">
        <f aca="false">Sens!J15199*(1+Sens!K15200)</f>
        <v>19.5099010105511</v>
      </c>
    </row>
    <row r="15200" customFormat="false" ht="15" hidden="false" customHeight="false" outlineLevel="0" collapsed="false">
      <c r="A15200" s="1" t="s">
        <v>876</v>
      </c>
      <c r="B15200" s="0" t="s">
        <v>129</v>
      </c>
      <c r="E15200" s="7" t="n">
        <f aca="false">Sens!E15199/Sens!D15199-1</f>
        <v>-0.0709869963760392</v>
      </c>
      <c r="F15200" s="7" t="n">
        <f aca="false">Sens!$E$15200+(glt_xbox-Sens!$E$15200)*MIN(1,(Sens!F15143-base_fy)/n_conv)</f>
        <v>-0.0558224969800327</v>
      </c>
      <c r="G15200" s="7" t="n">
        <f aca="false">Sens!$E$15200+(glt_xbox-Sens!$E$15200)*MIN(1,(Sens!G15143-base_fy)/n_conv)</f>
        <v>-0.0406579975840262</v>
      </c>
      <c r="H15200" s="7" t="n">
        <f aca="false">Sens!$E$15200+(glt_xbox-Sens!$E$15200)*MIN(1,(Sens!H15143-base_fy)/n_conv)</f>
        <v>-0.0254934981880196</v>
      </c>
      <c r="I15200" s="7" t="n">
        <f aca="false">Sens!$E$15200+(glt_xbox-Sens!$E$15200)*MIN(1,(Sens!I15143-base_fy)/n_conv)</f>
        <v>-0.0103289987920131</v>
      </c>
      <c r="J15200" s="7" t="n">
        <f aca="false">Sens!$E$15200+(glt_xbox-Sens!$E$15200)*MIN(1,(Sens!J15143-base_fy)/n_conv)</f>
        <v>0.00483550060399347</v>
      </c>
      <c r="K15200" s="7" t="n">
        <f aca="false">Sens!$E$15200+(glt_xbox-Sens!$E$15200)*MIN(1,(Sens!K15143-base_fy)/n_conv)</f>
        <v>0.02</v>
      </c>
    </row>
    <row r="15201" customFormat="false" ht="15" hidden="false" customHeight="false" outlineLevel="0" collapsed="false">
      <c r="A15201" s="0" t="s">
        <v>889</v>
      </c>
      <c r="B15201" s="0" t="s">
        <v>98</v>
      </c>
      <c r="D15201" s="6" t="n">
        <f aca="false">Q!L15</f>
        <v>17.315</v>
      </c>
      <c r="E15201" s="6" t="n">
        <f aca="false">Q!M15</f>
        <v>17.087</v>
      </c>
      <c r="F15201" s="6" t="n">
        <f aca="false">Sens!E15201*(1+Sens!F15202)</f>
        <v>16.9564585436519</v>
      </c>
      <c r="G15201" s="6" t="n">
        <f aca="false">Sens!F15201*(1+Sens!G15202)</f>
        <v>16.9206490624268</v>
      </c>
      <c r="H15201" s="6" t="n">
        <f aca="false">Sens!G15201*(1+Sens!H15202)</f>
        <v>16.9784519149849</v>
      </c>
      <c r="I15201" s="6" t="n">
        <f aca="false">Sens!H15201*(1+Sens!I15202)</f>
        <v>17.1303084701817</v>
      </c>
      <c r="J15201" s="6" t="n">
        <f aca="false">Sens!I15201*(1+Sens!J15202)</f>
        <v>17.3782189407267</v>
      </c>
      <c r="K15201" s="6" t="n">
        <f aca="false">Sens!J15201*(1+Sens!K15202)</f>
        <v>17.7257833195413</v>
      </c>
    </row>
    <row r="15202" customFormat="false" ht="15" hidden="false" customHeight="false" outlineLevel="0" collapsed="false">
      <c r="A15202" s="1" t="s">
        <v>876</v>
      </c>
      <c r="B15202" s="0" t="s">
        <v>129</v>
      </c>
      <c r="E15202" s="7" t="n">
        <f aca="false">Sens!E15201/Sens!D15201-1</f>
        <v>-0.0131677736066995</v>
      </c>
      <c r="F15202" s="7" t="n">
        <f aca="false">Sens!$E$15202+(glt_win-Sens!$E$15202)*MIN(1,(Sens!F15143-base_fy)/n_conv)</f>
        <v>-0.00763981133891627</v>
      </c>
      <c r="G15202" s="7" t="n">
        <f aca="false">Sens!$E$15202+(glt_win-Sens!$E$15202)*MIN(1,(Sens!G15143-base_fy)/n_conv)</f>
        <v>-0.00211184907113301</v>
      </c>
      <c r="H15202" s="7" t="n">
        <f aca="false">Sens!$E$15202+(glt_win-Sens!$E$15202)*MIN(1,(Sens!H15143-base_fy)/n_conv)</f>
        <v>0.00341611319665024</v>
      </c>
      <c r="I15202" s="7" t="n">
        <f aca="false">Sens!$E$15202+(glt_win-Sens!$E$15202)*MIN(1,(Sens!I15143-base_fy)/n_conv)</f>
        <v>0.00894407546443349</v>
      </c>
      <c r="J15202" s="7" t="n">
        <f aca="false">Sens!$E$15202+(glt_win-Sens!$E$15202)*MIN(1,(Sens!J15143-base_fy)/n_conv)</f>
        <v>0.0144720377322168</v>
      </c>
      <c r="K15202" s="7" t="n">
        <f aca="false">Sens!$E$15202+(glt_win-Sens!$E$15202)*MIN(1,(Sens!K15143-base_fy)/n_conv)</f>
        <v>0.02</v>
      </c>
    </row>
    <row r="15203" customFormat="false" ht="15" hidden="false" customHeight="false" outlineLevel="0" collapsed="false">
      <c r="A15203" s="0" t="s">
        <v>729</v>
      </c>
      <c r="B15203" s="0" t="s">
        <v>98</v>
      </c>
      <c r="D15203" s="6" t="n">
        <f aca="false">Sens!D15197+Sens!D15199+Sens!D15201</f>
        <v>62.941</v>
      </c>
      <c r="E15203" s="6" t="n">
        <f aca="false">Sens!E15197+Sens!E15199+Sens!E15201</f>
        <v>63.712</v>
      </c>
      <c r="F15203" s="6" t="n">
        <f aca="false">Sens!F15197+Sens!F15199+Sens!F15201</f>
        <v>65.1415764563129</v>
      </c>
      <c r="G15203" s="6" t="n">
        <f aca="false">Sens!G15197+Sens!G15199+Sens!G15201</f>
        <v>67.1253610780702</v>
      </c>
      <c r="H15203" s="6" t="n">
        <f aca="false">Sens!H15197+Sens!H15199+Sens!H15201</f>
        <v>69.5768050148776</v>
      </c>
      <c r="I15203" s="6" t="n">
        <f aca="false">Sens!I15197+Sens!I15199+Sens!I15201</f>
        <v>72.4233188088189</v>
      </c>
      <c r="J15203" s="6" t="n">
        <f aca="false">Sens!J15197+Sens!J15199+Sens!J15201</f>
        <v>75.6044096678567</v>
      </c>
      <c r="K15203" s="6" t="n">
        <f aca="false">Sens!K15197+Sens!K15199+Sens!K15201</f>
        <v>79.0714397009747</v>
      </c>
    </row>
    <row r="15204" customFormat="false" ht="15" hidden="false" customHeight="false" outlineLevel="0" collapsed="false">
      <c r="A15204" s="1" t="s">
        <v>890</v>
      </c>
      <c r="B15204" s="0" t="s">
        <v>98</v>
      </c>
      <c r="D15204" s="6" t="n">
        <f aca="false">Sens!D15196+Sens!D15203</f>
        <v>281.724</v>
      </c>
      <c r="E15204" s="6" t="n">
        <f aca="false">Sens!E15196+Sens!E15203</f>
        <v>331.839</v>
      </c>
      <c r="F15204" s="6" t="n">
        <f aca="false">Sens!F15196+Sens!F15203</f>
        <v>393.505009521169</v>
      </c>
      <c r="G15204" s="6" t="n">
        <f aca="false">Sens!G15196+Sens!G15203</f>
        <v>456.395226751344</v>
      </c>
      <c r="H15204" s="6" t="n">
        <f aca="false">Sens!H15196+Sens!H15203</f>
        <v>515.333125886071</v>
      </c>
      <c r="I15204" s="6" t="n">
        <f aca="false">Sens!I15196+Sens!I15203</f>
        <v>577.124545054311</v>
      </c>
      <c r="J15204" s="6" t="n">
        <f aca="false">Sens!J15196+Sens!J15203</f>
        <v>629.320612797378</v>
      </c>
      <c r="K15204" s="6" t="n">
        <f aca="false">Sens!K15196+Sens!K15203</f>
        <v>672.474953890677</v>
      </c>
    </row>
    <row r="15205" customFormat="false" ht="15" hidden="false" customHeight="false" outlineLevel="0" collapsed="false">
      <c r="A15205" s="23" t="s">
        <v>891</v>
      </c>
      <c r="B15205" s="30" t="s">
        <v>98</v>
      </c>
      <c r="C15205" s="30"/>
      <c r="D15205" s="24" t="n">
        <f aca="false">(Sens!D15184+Sens!D15189+Sens!D15190+Sens!D15192+Sens!D15194-Sens!D15196)+(Sens!D15197+Sens!D15199+Sens!D15201-Sens!D15203)+(Sens!D15196-Q!L5)+(Sens!D15203-Q!L12)+(Sens!D15184-Q!L6)+(Sens!D15189-Q!L7)</f>
        <v>0</v>
      </c>
      <c r="E15205" s="24" t="n">
        <f aca="false">(Sens!E15184+Sens!E15189+Sens!E15190+Sens!E15192+Sens!E15194-Sens!E15196)+(Sens!E15197+Sens!E15199+Sens!E15201-Sens!E15203)+(Sens!E15196-Q!M5)+(Sens!E15203-Q!M12)+(Sens!E15184-Q!M6)+(Sens!E15189-Q!M7)</f>
        <v>0</v>
      </c>
      <c r="F15205" s="24" t="n">
        <f aca="false">(Sens!F15184+Sens!F15189+Sens!F15190+Sens!F15192+Sens!F15194-Sens!F15196)+(Sens!F15197+Sens!F15199+Sens!F15201-Sens!F15203)</f>
        <v>0</v>
      </c>
      <c r="G15205" s="24" t="n">
        <f aca="false">(Sens!G15184+Sens!G15189+Sens!G15190+Sens!G15192+Sens!G15194-Sens!G15196)+(Sens!G15197+Sens!G15199+Sens!G15201-Sens!G15203)</f>
        <v>0</v>
      </c>
      <c r="H15205" s="24" t="n">
        <f aca="false">(Sens!H15184+Sens!H15189+Sens!H15190+Sens!H15192+Sens!H15194-Sens!H15196)+(Sens!H15197+Sens!H15199+Sens!H15201-Sens!H15203)</f>
        <v>0</v>
      </c>
      <c r="I15205" s="24" t="n">
        <f aca="false">(Sens!I15184+Sens!I15189+Sens!I15190+Sens!I15192+Sens!I15194-Sens!I15196)+(Sens!I15197+Sens!I15199+Sens!I15201-Sens!I15203)</f>
        <v>0</v>
      </c>
      <c r="J15205" s="24" t="n">
        <f aca="false">(Sens!J15184+Sens!J15189+Sens!J15190+Sens!J15192+Sens!J15194-Sens!J15196)+(Sens!J15197+Sens!J15199+Sens!J15201-Sens!J15203)</f>
        <v>0</v>
      </c>
      <c r="K15205" s="24" t="n">
        <f aca="false">(Sens!K15184+Sens!K15189+Sens!K15190+Sens!K15192+Sens!K15194-Sens!K15196)+(Sens!K15197+Sens!K15199+Sens!K15201-Sens!K15203)</f>
        <v>0</v>
      </c>
    </row>
    <row r="15206" customFormat="false" ht="17.15" hidden="false" customHeight="false" outlineLevel="0" collapsed="false">
      <c r="A15206" s="3" t="s">
        <v>1648</v>
      </c>
    </row>
    <row r="15207" customFormat="false" ht="15" hidden="false" customHeight="false" outlineLevel="0" collapsed="false">
      <c r="A15207" s="4" t="s">
        <v>43</v>
      </c>
      <c r="B15207" s="4" t="s">
        <v>65</v>
      </c>
      <c r="C15207" s="20" t="s">
        <v>799</v>
      </c>
      <c r="D15207" s="20" t="s">
        <v>800</v>
      </c>
      <c r="E15207" s="20" t="s">
        <v>801</v>
      </c>
      <c r="F15207" s="20" t="s">
        <v>802</v>
      </c>
      <c r="G15207" s="20" t="s">
        <v>803</v>
      </c>
      <c r="H15207" s="20" t="s">
        <v>804</v>
      </c>
      <c r="I15207" s="20" t="s">
        <v>805</v>
      </c>
      <c r="J15207" s="20" t="s">
        <v>806</v>
      </c>
      <c r="K15207" s="20" t="s">
        <v>807</v>
      </c>
      <c r="L15207" s="4" t="s">
        <v>47</v>
      </c>
    </row>
    <row r="15208" customFormat="false" ht="15" hidden="false" customHeight="false" outlineLevel="0" collapsed="false">
      <c r="A15208" s="0" t="s">
        <v>877</v>
      </c>
      <c r="B15208" s="0" t="s">
        <v>98</v>
      </c>
      <c r="D15208" s="6" t="n">
        <f aca="false">Sens!D15184</f>
        <v>72.61</v>
      </c>
      <c r="E15208" s="6" t="n">
        <f aca="false">Sens!E15184</f>
        <v>101.938</v>
      </c>
      <c r="F15208" s="6" t="n">
        <f aca="false">Sens!F15184</f>
        <v>140.741861125673</v>
      </c>
      <c r="G15208" s="6" t="n">
        <f aca="false">Sens!G15184</f>
        <v>182.176709135845</v>
      </c>
      <c r="H15208" s="6" t="n">
        <f aca="false">Sens!H15184</f>
        <v>219.167638189678</v>
      </c>
      <c r="I15208" s="6" t="n">
        <f aca="false">Sens!I15184</f>
        <v>259.639871266006</v>
      </c>
      <c r="J15208" s="6" t="n">
        <f aca="false">Sens!J15184</f>
        <v>291.525306025352</v>
      </c>
      <c r="K15208" s="6" t="n">
        <f aca="false">Sens!K15184</f>
        <v>315.009444849526</v>
      </c>
    </row>
    <row r="15209" customFormat="false" ht="17.15" hidden="false" customHeight="false" outlineLevel="0" collapsed="false">
      <c r="A15209" s="0" t="s">
        <v>874</v>
      </c>
      <c r="B15209" s="0" t="s">
        <v>98</v>
      </c>
      <c r="D15209" s="6" t="n">
        <f aca="false">Sens!D15181</f>
        <v>12.9359794422418</v>
      </c>
      <c r="E15209" s="6" t="n">
        <f aca="false">Sens!E15181</f>
        <v>27.8095064661409</v>
      </c>
      <c r="F15209" s="6" t="n">
        <f aca="false">Sens!F15181</f>
        <v>50.6619113883066</v>
      </c>
      <c r="G15209" s="6" t="n">
        <f aca="false">Sens!G15181</f>
        <v>75.1482839325348</v>
      </c>
      <c r="H15209" s="6" t="n">
        <f aca="false">Sens!H15181</f>
        <v>94.895655604042</v>
      </c>
      <c r="I15209" s="6" t="n">
        <f aca="false">Sens!I15181</f>
        <v>118.706168884151</v>
      </c>
      <c r="J15209" s="6" t="n">
        <f aca="false">Sens!J15181</f>
        <v>135.50643871102</v>
      </c>
      <c r="K15209" s="6" t="n">
        <f aca="false">Sens!K15181</f>
        <v>146.509068150048</v>
      </c>
    </row>
    <row r="15210" customFormat="false" ht="17.15" hidden="false" customHeight="false" outlineLevel="0" collapsed="false">
      <c r="A15210" s="0" t="s">
        <v>902</v>
      </c>
      <c r="B15210" s="0" t="s">
        <v>98</v>
      </c>
      <c r="D15210" s="6" t="n">
        <f aca="false">Sens!D15182</f>
        <v>59.6740205577583</v>
      </c>
      <c r="E15210" s="6" t="n">
        <f aca="false">Sens!E15182</f>
        <v>74.1284935338591</v>
      </c>
      <c r="F15210" s="6" t="n">
        <f aca="false">Sens!F15182</f>
        <v>90.0799497373663</v>
      </c>
      <c r="G15210" s="6" t="n">
        <f aca="false">Sens!G15182</f>
        <v>107.02842520331</v>
      </c>
      <c r="H15210" s="6" t="n">
        <f aca="false">Sens!H15182</f>
        <v>124.271982585636</v>
      </c>
      <c r="I15210" s="6" t="n">
        <f aca="false">Sens!I15182</f>
        <v>140.933702381855</v>
      </c>
      <c r="J15210" s="6" t="n">
        <f aca="false">Sens!J15182</f>
        <v>156.018867314332</v>
      </c>
      <c r="K15210" s="6" t="n">
        <f aca="false">Sens!K15182</f>
        <v>168.500376699478</v>
      </c>
    </row>
    <row r="15211" customFormat="false" ht="15" hidden="false" customHeight="false" outlineLevel="0" collapsed="false">
      <c r="A15211" s="0" t="s">
        <v>883</v>
      </c>
      <c r="B15211" s="0" t="s">
        <v>98</v>
      </c>
      <c r="D15211" s="6" t="n">
        <f aca="false">Sens!D15189</f>
        <v>84.605</v>
      </c>
      <c r="E15211" s="6" t="n">
        <f aca="false">Sens!E15189</f>
        <v>100.299</v>
      </c>
      <c r="F15211" s="6" t="n">
        <f aca="false">Sens!F15189</f>
        <v>117.39238776686</v>
      </c>
      <c r="G15211" s="6" t="n">
        <f aca="false">Sens!G15189</f>
        <v>132.544168448684</v>
      </c>
      <c r="H15211" s="6" t="n">
        <f aca="false">Sens!H15189</f>
        <v>147.777359388781</v>
      </c>
      <c r="I15211" s="6" t="n">
        <f aca="false">Sens!I15189</f>
        <v>162.084028071957</v>
      </c>
      <c r="J15211" s="6" t="n">
        <f aca="false">Sens!J15189</f>
        <v>175.182702785465</v>
      </c>
      <c r="K15211" s="6" t="n">
        <f aca="false">Sens!K15189</f>
        <v>187.527991980448</v>
      </c>
    </row>
    <row r="15212" customFormat="false" ht="17.15" hidden="false" customHeight="false" outlineLevel="0" collapsed="false">
      <c r="A15212" s="0" t="s">
        <v>903</v>
      </c>
      <c r="B15212" s="0" t="s">
        <v>98</v>
      </c>
      <c r="D15212" s="6" t="n">
        <f aca="false">Sens!D15187</f>
        <v>83.705</v>
      </c>
      <c r="E15212" s="6" t="n">
        <f aca="false">Sens!E15187</f>
        <v>95.049</v>
      </c>
      <c r="F15212" s="6" t="n">
        <f aca="false">Sens!F15187</f>
        <v>106.89238776686</v>
      </c>
      <c r="G15212" s="6" t="n">
        <f aca="false">Sens!G15187</f>
        <v>119.044168448684</v>
      </c>
      <c r="H15212" s="6" t="n">
        <f aca="false">Sens!H15187</f>
        <v>131.277359388781</v>
      </c>
      <c r="I15212" s="6" t="n">
        <f aca="false">Sens!I15187</f>
        <v>143.334028071957</v>
      </c>
      <c r="J15212" s="6" t="n">
        <f aca="false">Sens!J15187</f>
        <v>154.932702785465</v>
      </c>
      <c r="K15212" s="6" t="n">
        <f aca="false">Sens!K15187</f>
        <v>165.777991980448</v>
      </c>
    </row>
    <row r="15213" customFormat="false" ht="17.15" hidden="false" customHeight="false" outlineLevel="0" collapsed="false">
      <c r="A15213" s="0" t="s">
        <v>904</v>
      </c>
      <c r="B15213" s="0" t="s">
        <v>98</v>
      </c>
      <c r="D15213" s="6" t="n">
        <f aca="false">Sens!D15186</f>
        <v>0.9</v>
      </c>
      <c r="E15213" s="6" t="n">
        <f aca="false">Sens!E15186</f>
        <v>5.25</v>
      </c>
      <c r="F15213" s="6" t="n">
        <f aca="false">Sens!F15186</f>
        <v>10.5</v>
      </c>
      <c r="G15213" s="6" t="n">
        <f aca="false">Sens!G15186</f>
        <v>13.5</v>
      </c>
      <c r="H15213" s="6" t="n">
        <f aca="false">Sens!H15186</f>
        <v>16.5</v>
      </c>
      <c r="I15213" s="6" t="n">
        <f aca="false">Sens!I15186</f>
        <v>18.75</v>
      </c>
      <c r="J15213" s="6" t="n">
        <f aca="false">Sens!J15186</f>
        <v>20.25</v>
      </c>
      <c r="K15213" s="6" t="n">
        <f aca="false">Sens!K15186</f>
        <v>21.75</v>
      </c>
    </row>
    <row r="15214" customFormat="false" ht="15" hidden="false" customHeight="false" outlineLevel="0" collapsed="false">
      <c r="A15214" s="0" t="s">
        <v>884</v>
      </c>
      <c r="B15214" s="0" t="s">
        <v>98</v>
      </c>
      <c r="D15214" s="6" t="n">
        <f aca="false">Sens!D15190</f>
        <v>35.391</v>
      </c>
      <c r="E15214" s="6" t="n">
        <f aca="false">Sens!E15190</f>
        <v>37.285</v>
      </c>
      <c r="F15214" s="6" t="n">
        <f aca="false">Sens!F15190</f>
        <v>39.0720834331704</v>
      </c>
      <c r="G15214" s="6" t="n">
        <f aca="false">Sens!G15190</f>
        <v>40.726562953769</v>
      </c>
      <c r="H15214" s="6" t="n">
        <f aca="false">Sens!H15190</f>
        <v>42.2235987259198</v>
      </c>
      <c r="I15214" s="6" t="n">
        <f aca="false">Sens!I15190</f>
        <v>43.5397988077414</v>
      </c>
      <c r="J15214" s="6" t="n">
        <f aca="false">Sens!J15190</f>
        <v>44.653811225693</v>
      </c>
      <c r="K15214" s="6" t="n">
        <f aca="false">Sens!K15190</f>
        <v>45.5468874502068</v>
      </c>
    </row>
    <row r="15215" customFormat="false" ht="15" hidden="false" customHeight="false" outlineLevel="0" collapsed="false">
      <c r="A15215" s="0" t="s">
        <v>885</v>
      </c>
      <c r="B15215" s="0" t="s">
        <v>98</v>
      </c>
      <c r="D15215" s="6" t="n">
        <f aca="false">Sens!D15192</f>
        <v>18.417</v>
      </c>
      <c r="E15215" s="6" t="n">
        <f aca="false">Sens!E15192</f>
        <v>20.345</v>
      </c>
      <c r="F15215" s="6" t="n">
        <f aca="false">Sens!F15192</f>
        <v>22.3572203267814</v>
      </c>
      <c r="G15215" s="6" t="n">
        <f aca="false">Sens!G15192</f>
        <v>24.4392124437232</v>
      </c>
      <c r="H15215" s="6" t="n">
        <f aca="false">Sens!H15192</f>
        <v>26.5738052080665</v>
      </c>
      <c r="I15215" s="6" t="n">
        <f aca="false">Sens!I15192</f>
        <v>28.7412169166967</v>
      </c>
      <c r="J15215" s="6" t="n">
        <f aca="false">Sens!J15192</f>
        <v>30.9192545395413</v>
      </c>
      <c r="K15215" s="6" t="n">
        <f aca="false">Sens!K15192</f>
        <v>33.0836023573092</v>
      </c>
    </row>
    <row r="15216" customFormat="false" ht="15" hidden="false" customHeight="false" outlineLevel="0" collapsed="false">
      <c r="A15216" s="0" t="s">
        <v>886</v>
      </c>
      <c r="B15216" s="0" t="s">
        <v>98</v>
      </c>
      <c r="D15216" s="6" t="n">
        <f aca="false">Sens!D15194</f>
        <v>7.76</v>
      </c>
      <c r="E15216" s="6" t="n">
        <f aca="false">Sens!E15194</f>
        <v>8.26</v>
      </c>
      <c r="F15216" s="6" t="n">
        <f aca="false">Sens!F15194</f>
        <v>8.79988041237113</v>
      </c>
      <c r="G15216" s="6" t="n">
        <f aca="false">Sens!G15194</f>
        <v>9.38321269125306</v>
      </c>
      <c r="H15216" s="6" t="n">
        <f aca="false">Sens!H15194</f>
        <v>10.0139193587476</v>
      </c>
      <c r="I15216" s="6" t="n">
        <f aca="false">Sens!I15194</f>
        <v>10.6963111830911</v>
      </c>
      <c r="J15216" s="6" t="n">
        <f aca="false">Sens!J15194</f>
        <v>11.4351285534696</v>
      </c>
      <c r="K15216" s="6" t="n">
        <f aca="false">Sens!K15194</f>
        <v>12.2355875522124</v>
      </c>
    </row>
    <row r="15217" customFormat="false" ht="15" hidden="false" customHeight="false" outlineLevel="0" collapsed="false">
      <c r="A15217" s="0" t="s">
        <v>715</v>
      </c>
      <c r="B15217" s="0" t="s">
        <v>98</v>
      </c>
      <c r="D15217" s="6" t="n">
        <f aca="false">Sens!D15196</f>
        <v>218.783</v>
      </c>
      <c r="E15217" s="6" t="n">
        <f aca="false">Sens!E15196</f>
        <v>268.127</v>
      </c>
      <c r="F15217" s="6" t="n">
        <f aca="false">Sens!F15196</f>
        <v>328.363433064856</v>
      </c>
      <c r="G15217" s="6" t="n">
        <f aca="false">Sens!G15196</f>
        <v>389.269865673274</v>
      </c>
      <c r="H15217" s="6" t="n">
        <f aca="false">Sens!H15196</f>
        <v>445.756320871193</v>
      </c>
      <c r="I15217" s="6" t="n">
        <f aca="false">Sens!I15196</f>
        <v>504.701226245492</v>
      </c>
      <c r="J15217" s="6" t="n">
        <f aca="false">Sens!J15196</f>
        <v>553.716203129521</v>
      </c>
      <c r="K15217" s="6" t="n">
        <f aca="false">Sens!K15196</f>
        <v>593.403514189702</v>
      </c>
    </row>
    <row r="15218" customFormat="false" ht="15" hidden="false" customHeight="false" outlineLevel="0" collapsed="false">
      <c r="A15218" s="0" t="s">
        <v>887</v>
      </c>
      <c r="B15218" s="0" t="s">
        <v>98</v>
      </c>
      <c r="D15218" s="6" t="n">
        <f aca="false">Sens!D15197</f>
        <v>22.171</v>
      </c>
      <c r="E15218" s="6" t="n">
        <f aca="false">Sens!E15197</f>
        <v>24.835</v>
      </c>
      <c r="F15218" s="6" t="n">
        <f aca="false">Sens!F15197</f>
        <v>27.6114901218559</v>
      </c>
      <c r="G15218" s="6" t="n">
        <f aca="false">Sens!G15197</f>
        <v>30.4675667338515</v>
      </c>
      <c r="H15218" s="6" t="n">
        <f aca="false">Sens!H15197</f>
        <v>33.3643766955789</v>
      </c>
      <c r="I15218" s="6" t="n">
        <f aca="false">Sens!I15197</f>
        <v>36.2577016533691</v>
      </c>
      <c r="J15218" s="6" t="n">
        <f aca="false">Sens!J15197</f>
        <v>39.0988367952171</v>
      </c>
      <c r="K15218" s="6" t="n">
        <f aca="false">Sens!K15197</f>
        <v>41.8357553708823</v>
      </c>
    </row>
    <row r="15219" customFormat="false" ht="15" hidden="false" customHeight="false" outlineLevel="0" collapsed="false">
      <c r="A15219" s="0" t="s">
        <v>888</v>
      </c>
      <c r="B15219" s="0" t="s">
        <v>98</v>
      </c>
      <c r="D15219" s="6" t="n">
        <f aca="false">Sens!D15199</f>
        <v>23.455</v>
      </c>
      <c r="E15219" s="6" t="n">
        <f aca="false">Sens!E15199</f>
        <v>21.79</v>
      </c>
      <c r="F15219" s="6" t="n">
        <f aca="false">Sens!F15199</f>
        <v>20.5736277908051</v>
      </c>
      <c r="G15219" s="6" t="n">
        <f aca="false">Sens!G15199</f>
        <v>19.7371452817919</v>
      </c>
      <c r="H15219" s="6" t="n">
        <f aca="false">Sens!H15199</f>
        <v>19.2339764043138</v>
      </c>
      <c r="I15219" s="6" t="n">
        <f aca="false">Sens!I15199</f>
        <v>19.0353086852681</v>
      </c>
      <c r="J15219" s="6" t="n">
        <f aca="false">Sens!J15199</f>
        <v>19.1273539319129</v>
      </c>
      <c r="K15219" s="6" t="n">
        <f aca="false">Sens!K15199</f>
        <v>19.5099010105511</v>
      </c>
    </row>
    <row r="15220" customFormat="false" ht="15" hidden="false" customHeight="false" outlineLevel="0" collapsed="false">
      <c r="A15220" s="0" t="s">
        <v>889</v>
      </c>
      <c r="B15220" s="0" t="s">
        <v>98</v>
      </c>
      <c r="D15220" s="6" t="n">
        <f aca="false">Sens!D15201</f>
        <v>17.315</v>
      </c>
      <c r="E15220" s="6" t="n">
        <f aca="false">Sens!E15201</f>
        <v>17.087</v>
      </c>
      <c r="F15220" s="6" t="n">
        <f aca="false">Sens!F15201</f>
        <v>16.9564585436519</v>
      </c>
      <c r="G15220" s="6" t="n">
        <f aca="false">Sens!G15201</f>
        <v>16.9206490624268</v>
      </c>
      <c r="H15220" s="6" t="n">
        <f aca="false">Sens!H15201</f>
        <v>16.9784519149849</v>
      </c>
      <c r="I15220" s="6" t="n">
        <f aca="false">Sens!I15201</f>
        <v>17.1303084701817</v>
      </c>
      <c r="J15220" s="6" t="n">
        <f aca="false">Sens!J15201</f>
        <v>17.3782189407267</v>
      </c>
      <c r="K15220" s="6" t="n">
        <f aca="false">Sens!K15201</f>
        <v>17.7257833195413</v>
      </c>
    </row>
    <row r="15221" customFormat="false" ht="15" hidden="false" customHeight="false" outlineLevel="0" collapsed="false">
      <c r="A15221" s="0" t="s">
        <v>729</v>
      </c>
      <c r="B15221" s="0" t="s">
        <v>98</v>
      </c>
      <c r="D15221" s="6" t="n">
        <f aca="false">Sens!D15203</f>
        <v>62.941</v>
      </c>
      <c r="E15221" s="6" t="n">
        <f aca="false">Sens!E15203</f>
        <v>63.712</v>
      </c>
      <c r="F15221" s="6" t="n">
        <f aca="false">Sens!F15203</f>
        <v>65.1415764563129</v>
      </c>
      <c r="G15221" s="6" t="n">
        <f aca="false">Sens!G15203</f>
        <v>67.1253610780702</v>
      </c>
      <c r="H15221" s="6" t="n">
        <f aca="false">Sens!H15203</f>
        <v>69.5768050148776</v>
      </c>
      <c r="I15221" s="6" t="n">
        <f aca="false">Sens!I15203</f>
        <v>72.4233188088189</v>
      </c>
      <c r="J15221" s="6" t="n">
        <f aca="false">Sens!J15203</f>
        <v>75.6044096678567</v>
      </c>
      <c r="K15221" s="6" t="n">
        <f aca="false">Sens!K15203</f>
        <v>79.0714397009747</v>
      </c>
    </row>
    <row r="15222" customFormat="false" ht="15" hidden="false" customHeight="false" outlineLevel="0" collapsed="false">
      <c r="A15222" s="1" t="s">
        <v>905</v>
      </c>
      <c r="B15222" s="0" t="s">
        <v>98</v>
      </c>
      <c r="D15222" s="6" t="n">
        <f aca="false">Sens!D15204</f>
        <v>281.724</v>
      </c>
      <c r="E15222" s="6" t="n">
        <f aca="false">Sens!E15204</f>
        <v>331.839</v>
      </c>
      <c r="F15222" s="6" t="n">
        <f aca="false">Sens!F15204</f>
        <v>393.505009521169</v>
      </c>
      <c r="G15222" s="6" t="n">
        <f aca="false">Sens!G15204</f>
        <v>456.395226751344</v>
      </c>
      <c r="H15222" s="6" t="n">
        <f aca="false">Sens!H15204</f>
        <v>515.333125886071</v>
      </c>
      <c r="I15222" s="6" t="n">
        <f aca="false">Sens!I15204</f>
        <v>577.124545054311</v>
      </c>
      <c r="J15222" s="6" t="n">
        <f aca="false">Sens!J15204</f>
        <v>629.320612797378</v>
      </c>
      <c r="K15222" s="6" t="n">
        <f aca="false">Sens!K15204</f>
        <v>672.474953890677</v>
      </c>
    </row>
    <row r="15223" customFormat="false" ht="15" hidden="false" customHeight="false" outlineLevel="0" collapsed="false">
      <c r="A15223" s="1" t="s">
        <v>906</v>
      </c>
      <c r="B15223" s="0" t="s">
        <v>129</v>
      </c>
      <c r="E15223" s="7" t="n">
        <f aca="false">Sens!E15222/Sens!D15222-1</f>
        <v>0.177886867998467</v>
      </c>
      <c r="F15223" s="7" t="n">
        <f aca="false">Sens!F15222/Sens!E15222-1</f>
        <v>0.185831109427067</v>
      </c>
      <c r="G15223" s="7" t="n">
        <f aca="false">Sens!G15222/Sens!F15222-1</f>
        <v>0.159820626697237</v>
      </c>
      <c r="H15223" s="7" t="n">
        <f aca="false">Sens!H15222/Sens!G15222-1</f>
        <v>0.129137851756801</v>
      </c>
      <c r="I15223" s="7" t="n">
        <f aca="false">Sens!I15222/Sens!H15222-1</f>
        <v>0.119905777572508</v>
      </c>
      <c r="J15223" s="7" t="n">
        <f aca="false">Sens!J15222/Sens!I15222-1</f>
        <v>0.0904416008474471</v>
      </c>
      <c r="K15223" s="7" t="n">
        <f aca="false">Sens!K15222/Sens!J15222-1</f>
        <v>0.0685729026123501</v>
      </c>
    </row>
    <row r="15224" customFormat="false" ht="17.15" hidden="false" customHeight="false" outlineLevel="0" collapsed="false">
      <c r="A15224" s="23" t="s">
        <v>907</v>
      </c>
      <c r="B15224" s="30" t="s">
        <v>98</v>
      </c>
      <c r="C15224" s="30"/>
      <c r="D15224" s="24" t="n">
        <f aca="false">(Sens!D15217+Sens!D15221-Sens!D15222)+(Sens!D15209+Sens!D15210-Sens!D15208)+(Sens!D15212+Sens!D15213-Sens!D15211)+(Sens!D15222-Q!L18)</f>
        <v>0</v>
      </c>
      <c r="E15224" s="24" t="n">
        <f aca="false">(Sens!E15217+Sens!E15221-Sens!E15222)+(Sens!E15209+Sens!E15210-Sens!E15208)+(Sens!E15212+Sens!E15213-Sens!E15211)+(Sens!E15222-Q!M18)</f>
        <v>0</v>
      </c>
      <c r="F15224" s="24" t="n">
        <f aca="false">(Sens!F15217+Sens!F15221-Sens!F15222)+(Sens!F15209+Sens!F15210-Sens!F15208)+(Sens!F15212+Sens!F15213-Sens!F15211)</f>
        <v>0</v>
      </c>
      <c r="G15224" s="24" t="n">
        <f aca="false">(Sens!G15217+Sens!G15221-Sens!G15222)+(Sens!G15209+Sens!G15210-Sens!G15208)+(Sens!G15212+Sens!G15213-Sens!G15211)</f>
        <v>0</v>
      </c>
      <c r="H15224" s="24" t="n">
        <f aca="false">(Sens!H15217+Sens!H15221-Sens!H15222)+(Sens!H15209+Sens!H15210-Sens!H15208)+(Sens!H15212+Sens!H15213-Sens!H15211)</f>
        <v>0</v>
      </c>
      <c r="I15224" s="24" t="n">
        <f aca="false">(Sens!I15217+Sens!I15221-Sens!I15222)+(Sens!I15209+Sens!I15210-Sens!I15208)+(Sens!I15212+Sens!I15213-Sens!I15211)</f>
        <v>0</v>
      </c>
      <c r="J15224" s="24" t="n">
        <f aca="false">(Sens!J15217+Sens!J15221-Sens!J15222)+(Sens!J15209+Sens!J15210-Sens!J15208)+(Sens!J15212+Sens!J15213-Sens!J15211)</f>
        <v>0</v>
      </c>
      <c r="K15224" s="24" t="n">
        <f aca="false">(Sens!K15217+Sens!K15221-Sens!K15222)+(Sens!K15209+Sens!K15210-Sens!K15208)+(Sens!K15212+Sens!K15213-Sens!K15211)</f>
        <v>0</v>
      </c>
    </row>
    <row r="15225" customFormat="false" ht="17.15" hidden="false" customHeight="false" outlineLevel="0" collapsed="false">
      <c r="A15225" s="0" t="s">
        <v>908</v>
      </c>
      <c r="B15225" s="0" t="s">
        <v>129</v>
      </c>
      <c r="E15225" s="7" t="n">
        <f aca="false">(Q!M21+Sens!E15162+Sens!E15163+Sens!E15164+Sens!E15177-Sens!E15160)/(Q!M5-Sens!E15160)</f>
        <v>0.570957350878296</v>
      </c>
      <c r="F15225" s="7" t="n">
        <f aca="false">Sens!$E$15225+dm_seg</f>
        <v>0.570957350878296</v>
      </c>
      <c r="G15225" s="7" t="n">
        <f aca="false">Sens!$E$15225+dm_seg</f>
        <v>0.570957350878296</v>
      </c>
      <c r="H15225" s="7" t="n">
        <f aca="false">Sens!$E$15225+dm_seg</f>
        <v>0.570957350878296</v>
      </c>
      <c r="I15225" s="7" t="n">
        <f aca="false">Sens!$E$15225+dm_seg</f>
        <v>0.570957350878296</v>
      </c>
      <c r="J15225" s="7" t="n">
        <f aca="false">Sens!$E$15225+dm_seg</f>
        <v>0.570957350878296</v>
      </c>
      <c r="K15225" s="7" t="n">
        <f aca="false">Sens!$E$15225+dm_seg</f>
        <v>0.570957350878296</v>
      </c>
      <c r="L15225" s="11" t="s">
        <v>909</v>
      </c>
    </row>
    <row r="15226" customFormat="false" ht="17.15" hidden="false" customHeight="false" outlineLevel="0" collapsed="false">
      <c r="A15226" s="0" t="s">
        <v>743</v>
      </c>
      <c r="B15226" s="0" t="s">
        <v>98</v>
      </c>
      <c r="D15226" s="6" t="n">
        <f aca="false">Q!L21</f>
        <v>110.814</v>
      </c>
      <c r="E15226" s="6" t="n">
        <f aca="false">Q!M21</f>
        <v>136.365</v>
      </c>
      <c r="F15226" s="6" t="n">
        <f aca="false">Sens!F15225*(Sens!F15196-Sens!F15160)+Sens!F15160-(Sens!F15162+Sens!F15163+Sens!F15164)-Sens!F15177-Sens!F15260</f>
        <v>152.186475092494</v>
      </c>
      <c r="G15226" s="6" t="n">
        <f aca="false">Sens!G15225*(Sens!G15196-Sens!G15160)+Sens!G15160-(Sens!G15162+Sens!G15163+Sens!G15164)-Sens!G15177-Sens!G15260</f>
        <v>160.931055130096</v>
      </c>
      <c r="H15226" s="6" t="n">
        <f aca="false">Sens!H15225*(Sens!H15196-Sens!H15160)+Sens!H15160-(Sens!H15162+Sens!H15163+Sens!H15164)-Sens!H15177-Sens!H15260</f>
        <v>163.298235545219</v>
      </c>
      <c r="I15226" s="6" t="n">
        <f aca="false">Sens!I15225*(Sens!I15196-Sens!I15160)+Sens!I15160-(Sens!I15162+Sens!I15163+Sens!I15164)-Sens!I15177-Sens!I15260</f>
        <v>173.292804439477</v>
      </c>
      <c r="J15226" s="6" t="n">
        <f aca="false">Sens!J15225*(Sens!J15196-Sens!J15160)+Sens!J15160-(Sens!J15162+Sens!J15163+Sens!J15164)-Sens!J15177-Sens!J15260</f>
        <v>184.537843160141</v>
      </c>
      <c r="K15226" s="6" t="n">
        <f aca="false">Sens!K15225*(Sens!K15196-Sens!K15160)+Sens!K15160-(Sens!K15162+Sens!K15163+Sens!K15164)-Sens!K15177-Sens!K15260</f>
        <v>197.059058133604</v>
      </c>
      <c r="L15226" s="1" t="s">
        <v>910</v>
      </c>
    </row>
    <row r="15227" customFormat="false" ht="17.15" hidden="false" customHeight="false" outlineLevel="0" collapsed="false">
      <c r="A15227" s="0" t="s">
        <v>911</v>
      </c>
      <c r="B15227" s="0" t="s">
        <v>129</v>
      </c>
      <c r="E15227" s="7" t="n">
        <f aca="false">Q!M22/Q!M12</f>
        <v>0.296207935710698</v>
      </c>
      <c r="F15227" s="7" t="n">
        <f aca="false">Sens!$E$15227+dm_seg</f>
        <v>0.296207935710698</v>
      </c>
      <c r="G15227" s="7" t="n">
        <f aca="false">Sens!$E$15227+dm_seg</f>
        <v>0.296207935710698</v>
      </c>
      <c r="H15227" s="7" t="n">
        <f aca="false">Sens!$E$15227+dm_seg</f>
        <v>0.296207935710698</v>
      </c>
      <c r="I15227" s="7" t="n">
        <f aca="false">Sens!$E$15227+dm_seg</f>
        <v>0.296207935710698</v>
      </c>
      <c r="J15227" s="7" t="n">
        <f aca="false">Sens!$E$15227+dm_seg</f>
        <v>0.296207935710698</v>
      </c>
      <c r="K15227" s="7" t="n">
        <f aca="false">Sens!$E$15227+dm_seg</f>
        <v>0.296207935710698</v>
      </c>
      <c r="L15227" s="11" t="s">
        <v>912</v>
      </c>
    </row>
    <row r="15228" customFormat="false" ht="17.15" hidden="false" customHeight="false" outlineLevel="0" collapsed="false">
      <c r="A15228" s="0" t="s">
        <v>745</v>
      </c>
      <c r="B15228" s="0" t="s">
        <v>98</v>
      </c>
      <c r="D15228" s="6" t="n">
        <f aca="false">Q!L22</f>
        <v>17.714</v>
      </c>
      <c r="E15228" s="6" t="n">
        <f aca="false">Q!M22</f>
        <v>18.872</v>
      </c>
      <c r="F15228" s="6" t="n">
        <f aca="false">Sens!F15203*Sens!F15227</f>
        <v>19.2954518910651</v>
      </c>
      <c r="G15228" s="6" t="n">
        <f aca="false">Sens!G15203*Sens!G15227</f>
        <v>19.8830646387704</v>
      </c>
      <c r="H15228" s="6" t="n">
        <f aca="false">Sens!H15203*Sens!H15227</f>
        <v>20.6092017868026</v>
      </c>
      <c r="I15228" s="6" t="n">
        <f aca="false">Sens!I15203*Sens!I15227</f>
        <v>21.452361761678</v>
      </c>
      <c r="J15228" s="6" t="n">
        <f aca="false">Sens!J15203*Sens!J15227</f>
        <v>22.3946261183418</v>
      </c>
      <c r="K15228" s="6" t="n">
        <f aca="false">Sens!K15203*Sens!K15227</f>
        <v>23.4215879274986</v>
      </c>
    </row>
    <row r="15229" customFormat="false" ht="15" hidden="false" customHeight="false" outlineLevel="0" collapsed="false">
      <c r="A15229" s="1" t="s">
        <v>913</v>
      </c>
      <c r="B15229" s="0" t="s">
        <v>98</v>
      </c>
      <c r="D15229" s="6" t="n">
        <f aca="false">Sens!D15226+Sens!D15228</f>
        <v>128.528</v>
      </c>
      <c r="E15229" s="6" t="n">
        <f aca="false">Sens!E15226+Sens!E15228</f>
        <v>155.237</v>
      </c>
      <c r="F15229" s="6" t="n">
        <f aca="false">Sens!F15226+Sens!F15228</f>
        <v>171.481926983559</v>
      </c>
      <c r="G15229" s="6" t="n">
        <f aca="false">Sens!G15226+Sens!G15228</f>
        <v>180.814119768866</v>
      </c>
      <c r="H15229" s="6" t="n">
        <f aca="false">Sens!H15226+Sens!H15228</f>
        <v>183.907437332021</v>
      </c>
      <c r="I15229" s="6" t="n">
        <f aca="false">Sens!I15226+Sens!I15228</f>
        <v>194.745166201155</v>
      </c>
      <c r="J15229" s="6" t="n">
        <f aca="false">Sens!J15226+Sens!J15228</f>
        <v>206.932469278483</v>
      </c>
      <c r="K15229" s="6" t="n">
        <f aca="false">Sens!K15226+Sens!K15228</f>
        <v>220.480646061103</v>
      </c>
    </row>
    <row r="15230" customFormat="false" ht="15" hidden="false" customHeight="false" outlineLevel="0" collapsed="false">
      <c r="A15230" s="23" t="s">
        <v>914</v>
      </c>
      <c r="B15230" s="30" t="s">
        <v>98</v>
      </c>
      <c r="C15230" s="30"/>
      <c r="D15230" s="24" t="n">
        <f aca="false">Sens!D15229-Q!L23</f>
        <v>0</v>
      </c>
      <c r="E15230" s="24" t="n">
        <f aca="false">Sens!E15229-Q!M23</f>
        <v>0</v>
      </c>
      <c r="F15230" s="30"/>
      <c r="G15230" s="30"/>
      <c r="H15230" s="30"/>
      <c r="I15230" s="30"/>
      <c r="J15230" s="30"/>
      <c r="K15230" s="30"/>
    </row>
    <row r="15231" customFormat="false" ht="15" hidden="false" customHeight="false" outlineLevel="0" collapsed="false">
      <c r="A15231" s="1" t="s">
        <v>915</v>
      </c>
      <c r="B15231" s="0" t="s">
        <v>129</v>
      </c>
      <c r="D15231" s="7" t="n">
        <f aca="false">Sens!D15229/Sens!D15222</f>
        <v>0.456219562408598</v>
      </c>
      <c r="E15231" s="7" t="n">
        <f aca="false">Sens!E15229/Sens!E15222</f>
        <v>0.467808184089272</v>
      </c>
      <c r="F15231" s="7" t="n">
        <f aca="false">Sens!F15229/Sens!F15222</f>
        <v>0.435780797790159</v>
      </c>
      <c r="G15231" s="7" t="n">
        <f aca="false">Sens!G15229/Sens!G15222</f>
        <v>0.396178814261304</v>
      </c>
      <c r="H15231" s="7" t="n">
        <f aca="false">Sens!H15229/Sens!H15222</f>
        <v>0.356870979360794</v>
      </c>
      <c r="I15231" s="7" t="n">
        <f aca="false">Sens!I15229/Sens!I15222</f>
        <v>0.337440450020763</v>
      </c>
      <c r="J15231" s="7" t="n">
        <f aca="false">Sens!J15229/Sens!J15222</f>
        <v>0.328818832675212</v>
      </c>
      <c r="K15231" s="7" t="n">
        <f aca="false">Sens!K15229/Sens!K15222</f>
        <v>0.327864472550967</v>
      </c>
    </row>
    <row r="15232" customFormat="false" ht="17.15" hidden="false" customHeight="false" outlineLevel="0" collapsed="false">
      <c r="A15232" s="1" t="s">
        <v>916</v>
      </c>
      <c r="B15232" s="0" t="s">
        <v>98</v>
      </c>
      <c r="F15232" s="6" t="n">
        <f aca="false">Sens!F15247</f>
        <v>5.05545741533808</v>
      </c>
      <c r="G15232" s="6" t="n">
        <f aca="false">Sens!G15247</f>
        <v>21.192920015299</v>
      </c>
      <c r="H15232" s="6" t="n">
        <f aca="false">Sens!H15247</f>
        <v>38.9322594285374</v>
      </c>
      <c r="I15232" s="6" t="n">
        <f aca="false">Sens!I15247</f>
        <v>54.9367326458861</v>
      </c>
      <c r="J15232" s="6" t="n">
        <f aca="false">Sens!J15247</f>
        <v>66.2214773807352</v>
      </c>
      <c r="K15232" s="6" t="n">
        <f aca="false">Sens!K15247</f>
        <v>72.9930910161917</v>
      </c>
      <c r="L15232" s="1" t="s">
        <v>917</v>
      </c>
    </row>
    <row r="15233" customFormat="false" ht="17.15" hidden="false" customHeight="false" outlineLevel="0" collapsed="false">
      <c r="A15233" s="1" t="s">
        <v>918</v>
      </c>
      <c r="B15233" s="0" t="s">
        <v>98</v>
      </c>
      <c r="D15233" s="6" t="n">
        <f aca="false">Sens!D15229</f>
        <v>128.528</v>
      </c>
      <c r="E15233" s="6" t="n">
        <f aca="false">Sens!E15229</f>
        <v>155.237</v>
      </c>
      <c r="F15233" s="6" t="n">
        <f aca="false">Sens!F15229+Sens!F15232</f>
        <v>176.537384398897</v>
      </c>
      <c r="G15233" s="6" t="n">
        <f aca="false">Sens!G15229+Sens!G15232</f>
        <v>202.007039784165</v>
      </c>
      <c r="H15233" s="6" t="n">
        <f aca="false">Sens!H15229+Sens!H15232</f>
        <v>222.839696760559</v>
      </c>
      <c r="I15233" s="6" t="n">
        <f aca="false">Sens!I15229+Sens!I15232</f>
        <v>249.681898847041</v>
      </c>
      <c r="J15233" s="6" t="n">
        <f aca="false">Sens!J15229+Sens!J15232</f>
        <v>273.153946659218</v>
      </c>
      <c r="K15233" s="6" t="n">
        <f aca="false">Sens!K15229+Sens!K15232</f>
        <v>293.473737077295</v>
      </c>
    </row>
    <row r="15234" customFormat="false" ht="17.15" hidden="false" customHeight="false" outlineLevel="0" collapsed="false">
      <c r="A15234" s="1" t="s">
        <v>919</v>
      </c>
      <c r="B15234" s="0" t="s">
        <v>98</v>
      </c>
      <c r="E15234" s="6" t="n">
        <f aca="false">Sens!E15177</f>
        <v>16.3054059770833</v>
      </c>
      <c r="F15234" s="6" t="n">
        <f aca="false">Sens!F15177</f>
        <v>34.0498873809555</v>
      </c>
      <c r="G15234" s="6" t="n">
        <f aca="false">Sens!G15177</f>
        <v>59.1254371105111</v>
      </c>
      <c r="H15234" s="6" t="n">
        <f aca="false">Sens!H15177</f>
        <v>86.3610198433111</v>
      </c>
      <c r="I15234" s="6" t="n">
        <f aca="false">Sens!I15177</f>
        <v>110.605743832393</v>
      </c>
      <c r="J15234" s="6" t="n">
        <f aca="false">Sens!J15177</f>
        <v>127.998322852843</v>
      </c>
      <c r="K15234" s="6" t="n">
        <f aca="false">Sens!K15177</f>
        <v>139.131464044308</v>
      </c>
    </row>
    <row r="15235" customFormat="false" ht="17.15" hidden="false" customHeight="false" outlineLevel="0" collapsed="false">
      <c r="A15235" s="1" t="s">
        <v>920</v>
      </c>
      <c r="B15235" s="0" t="s">
        <v>98</v>
      </c>
      <c r="E15235" s="6" t="n">
        <f aca="false">Sens!E15259</f>
        <v>22.2285940229167</v>
      </c>
      <c r="F15235" s="6" t="n">
        <f aca="false">Sens!F15259</f>
        <v>24.3924470334783</v>
      </c>
      <c r="G15235" s="6" t="n">
        <f aca="false">Sens!G15259</f>
        <v>26.0234916871694</v>
      </c>
      <c r="H15235" s="6" t="n">
        <f aca="false">Sens!H15259</f>
        <v>28.0272938828615</v>
      </c>
      <c r="I15235" s="6" t="n">
        <f aca="false">Sens!I15259</f>
        <v>30.3469045257397</v>
      </c>
      <c r="J15235" s="6" t="n">
        <f aca="false">Sens!J15259</f>
        <v>32.9078053982031</v>
      </c>
      <c r="K15235" s="6" t="n">
        <f aca="false">Sens!K15259</f>
        <v>35.6263951325822</v>
      </c>
    </row>
    <row r="15236" customFormat="false" ht="17.15" hidden="false" customHeight="false" outlineLevel="0" collapsed="false">
      <c r="A15236" s="1" t="s">
        <v>921</v>
      </c>
      <c r="B15236" s="0" t="s">
        <v>98</v>
      </c>
      <c r="D15236" s="6" t="n">
        <f aca="false">Q!L27</f>
        <v>-4.901</v>
      </c>
      <c r="E15236" s="6" t="n">
        <f aca="false">Q!M27</f>
        <v>10.697</v>
      </c>
      <c r="F15236" s="6" t="n">
        <f aca="false">oie_f</f>
        <v>-0.4</v>
      </c>
      <c r="G15236" s="6" t="n">
        <f aca="false">oie_f</f>
        <v>-0.4</v>
      </c>
      <c r="H15236" s="6" t="n">
        <f aca="false">oie_f</f>
        <v>-0.4</v>
      </c>
      <c r="I15236" s="6" t="n">
        <f aca="false">oie_f</f>
        <v>-0.4</v>
      </c>
      <c r="J15236" s="6" t="n">
        <f aca="false">oie_f</f>
        <v>-0.4</v>
      </c>
      <c r="K15236" s="6" t="n">
        <f aca="false">oie_f</f>
        <v>-0.4</v>
      </c>
      <c r="L15236" s="11" t="s">
        <v>922</v>
      </c>
    </row>
    <row r="15237" customFormat="false" ht="15" hidden="false" customHeight="false" outlineLevel="0" collapsed="false">
      <c r="A15237" s="1" t="s">
        <v>923</v>
      </c>
      <c r="B15237" s="0" t="s">
        <v>98</v>
      </c>
      <c r="D15237" s="6" t="n">
        <f aca="false">Sens!D15229+Sens!D15236</f>
        <v>123.627</v>
      </c>
      <c r="E15237" s="6" t="n">
        <f aca="false">Sens!E15229+Sens!E15236</f>
        <v>165.934</v>
      </c>
      <c r="F15237" s="6" t="n">
        <f aca="false">Sens!F15229+Sens!F15236</f>
        <v>171.081926983559</v>
      </c>
      <c r="G15237" s="6" t="n">
        <f aca="false">Sens!G15229+Sens!G15236</f>
        <v>180.414119768866</v>
      </c>
      <c r="H15237" s="6" t="n">
        <f aca="false">Sens!H15229+Sens!H15236</f>
        <v>183.507437332021</v>
      </c>
      <c r="I15237" s="6" t="n">
        <f aca="false">Sens!I15229+Sens!I15236</f>
        <v>194.345166201155</v>
      </c>
      <c r="J15237" s="6" t="n">
        <f aca="false">Sens!J15229+Sens!J15236</f>
        <v>206.532469278483</v>
      </c>
      <c r="K15237" s="6" t="n">
        <f aca="false">Sens!K15229+Sens!K15236</f>
        <v>220.080646061103</v>
      </c>
    </row>
    <row r="15238" customFormat="false" ht="15" hidden="false" customHeight="false" outlineLevel="0" collapsed="false">
      <c r="A15238" s="1" t="s">
        <v>924</v>
      </c>
      <c r="B15238" s="0" t="s">
        <v>98</v>
      </c>
      <c r="D15238" s="6" t="n">
        <f aca="false">Q!L29</f>
        <v>21.795</v>
      </c>
      <c r="E15238" s="6" t="n">
        <f aca="false">Q!M29</f>
        <v>32.185</v>
      </c>
      <c r="F15238" s="6" t="n">
        <f aca="false">Sens!F15237*tax_f</f>
        <v>34.2163853967118</v>
      </c>
      <c r="G15238" s="6" t="n">
        <f aca="false">Sens!G15237*tax_f</f>
        <v>36.0828239537733</v>
      </c>
      <c r="H15238" s="6" t="n">
        <f aca="false">Sens!H15237*tax_f</f>
        <v>36.7014874664042</v>
      </c>
      <c r="I15238" s="6" t="n">
        <f aca="false">Sens!I15237*tax_f</f>
        <v>38.8690332402309</v>
      </c>
      <c r="J15238" s="6" t="n">
        <f aca="false">Sens!J15237*tax_f</f>
        <v>41.3064938556965</v>
      </c>
      <c r="K15238" s="6" t="n">
        <f aca="false">Sens!K15237*tax_f</f>
        <v>44.0161292122206</v>
      </c>
    </row>
    <row r="15239" customFormat="false" ht="15" hidden="false" customHeight="false" outlineLevel="0" collapsed="false">
      <c r="A15239" s="1" t="s">
        <v>925</v>
      </c>
      <c r="B15239" s="0" t="s">
        <v>98</v>
      </c>
      <c r="D15239" s="6" t="n">
        <f aca="false">Sens!D15237-Sens!D15238</f>
        <v>101.832</v>
      </c>
      <c r="E15239" s="6" t="n">
        <f aca="false">Sens!E15237-Sens!E15238</f>
        <v>133.749</v>
      </c>
      <c r="F15239" s="6" t="n">
        <f aca="false">Sens!F15237-Sens!F15238</f>
        <v>136.865541586847</v>
      </c>
      <c r="G15239" s="6" t="n">
        <f aca="false">Sens!G15237-Sens!G15238</f>
        <v>144.331295815093</v>
      </c>
      <c r="H15239" s="6" t="n">
        <f aca="false">Sens!H15237-Sens!H15238</f>
        <v>146.805949865617</v>
      </c>
      <c r="I15239" s="6" t="n">
        <f aca="false">Sens!I15237-Sens!I15238</f>
        <v>155.476132960924</v>
      </c>
      <c r="J15239" s="6" t="n">
        <f aca="false">Sens!J15237-Sens!J15238</f>
        <v>165.225975422786</v>
      </c>
      <c r="K15239" s="6" t="n">
        <f aca="false">Sens!K15237-Sens!K15238</f>
        <v>176.064516848882</v>
      </c>
    </row>
    <row r="15240" customFormat="false" ht="17.15" hidden="false" customHeight="false" outlineLevel="0" collapsed="false">
      <c r="A15240" s="1" t="s">
        <v>926</v>
      </c>
      <c r="B15240" s="1" t="s">
        <v>81</v>
      </c>
      <c r="D15240" s="14" t="n">
        <f aca="false">Q!L31</f>
        <v>7.465</v>
      </c>
      <c r="E15240" s="14" t="n">
        <f aca="false">Q!M31</f>
        <v>7.453</v>
      </c>
      <c r="F15240" s="14" t="n">
        <f aca="false">Sens!F15283</f>
        <v>7.4735</v>
      </c>
      <c r="G15240" s="14" t="n">
        <f aca="false">Sens!G15283</f>
        <v>7.5185</v>
      </c>
      <c r="H15240" s="14" t="n">
        <f aca="false">Sens!H15283</f>
        <v>7.55846494605811</v>
      </c>
      <c r="I15240" s="14" t="n">
        <f aca="false">Sens!I15283</f>
        <v>7.58245913827359</v>
      </c>
      <c r="J15240" s="14" t="n">
        <f aca="false">Sens!J15283</f>
        <v>7.59670064939147</v>
      </c>
      <c r="K15240" s="14" t="n">
        <f aca="false">Sens!K15283</f>
        <v>7.61322056709322</v>
      </c>
    </row>
    <row r="15241" customFormat="false" ht="17.15" hidden="false" customHeight="false" outlineLevel="0" collapsed="false">
      <c r="A15241" s="0" t="s">
        <v>927</v>
      </c>
      <c r="B15241" s="0" t="s">
        <v>75</v>
      </c>
      <c r="D15241" s="8" t="n">
        <f aca="false">Sens!D15239/Sens!D15240</f>
        <v>13.641259209645</v>
      </c>
      <c r="E15241" s="8" t="n">
        <f aca="false">Sens!E15239/Sens!E15240</f>
        <v>17.9456594659869</v>
      </c>
      <c r="F15241" s="8" t="n">
        <f aca="false">Sens!F15239/Sens!F15240</f>
        <v>18.3134463888201</v>
      </c>
      <c r="G15241" s="8" t="n">
        <f aca="false">Sens!G15239/Sens!G15240</f>
        <v>19.1968206178218</v>
      </c>
      <c r="H15241" s="8" t="n">
        <f aca="false">Sens!H15239/Sens!H15240</f>
        <v>19.4227202101637</v>
      </c>
      <c r="I15241" s="8" t="n">
        <f aca="false">Sens!I15239/Sens!I15240</f>
        <v>20.504710955333</v>
      </c>
      <c r="J15241" s="8" t="n">
        <f aca="false">Sens!J15239/Sens!J15240</f>
        <v>21.7497020151796</v>
      </c>
      <c r="K15241" s="8" t="n">
        <f aca="false">Sens!K15239/Sens!K15240</f>
        <v>23.1261547327145</v>
      </c>
      <c r="L15241" s="1" t="s">
        <v>928</v>
      </c>
    </row>
    <row r="15242" customFormat="false" ht="17.15" hidden="false" customHeight="false" outlineLevel="0" collapsed="false">
      <c r="A15242" s="1" t="s">
        <v>929</v>
      </c>
      <c r="B15242" s="0" t="s">
        <v>98</v>
      </c>
      <c r="D15242" s="6" t="n">
        <f aca="false">Sens!D15239</f>
        <v>101.832</v>
      </c>
      <c r="E15242" s="6" t="n">
        <f aca="false">Sens!E15239</f>
        <v>133.749</v>
      </c>
      <c r="F15242" s="6" t="n">
        <f aca="false">Sens!F15239+Sens!F15232*(1-tax_f)</f>
        <v>140.909907519117</v>
      </c>
      <c r="G15242" s="6" t="n">
        <f aca="false">Sens!G15239+Sens!G15232*(1-tax_f)</f>
        <v>161.285631827332</v>
      </c>
      <c r="H15242" s="6" t="n">
        <f aca="false">Sens!H15239+Sens!H15232*(1-tax_f)</f>
        <v>177.951757408447</v>
      </c>
      <c r="I15242" s="6" t="n">
        <f aca="false">Sens!I15239+Sens!I15232*(1-tax_f)</f>
        <v>199.425519077633</v>
      </c>
      <c r="J15242" s="6" t="n">
        <f aca="false">Sens!J15239+Sens!J15232*(1-tax_f)</f>
        <v>218.203157327374</v>
      </c>
      <c r="K15242" s="6" t="n">
        <f aca="false">Sens!K15239+Sens!K15232*(1-tax_f)</f>
        <v>234.458989661836</v>
      </c>
    </row>
    <row r="15243" customFormat="false" ht="17.15" hidden="false" customHeight="false" outlineLevel="0" collapsed="false">
      <c r="A15243" s="0" t="s">
        <v>930</v>
      </c>
      <c r="B15243" s="0" t="s">
        <v>75</v>
      </c>
      <c r="D15243" s="8" t="n">
        <f aca="false">Sens!D15242/Sens!D15240</f>
        <v>13.641259209645</v>
      </c>
      <c r="E15243" s="8" t="n">
        <f aca="false">Sens!E15242/Sens!E15240</f>
        <v>17.9456594659869</v>
      </c>
      <c r="F15243" s="8" t="n">
        <f aca="false">Sens!F15242/Sens!F15240</f>
        <v>18.8546072816107</v>
      </c>
      <c r="G15243" s="8" t="n">
        <f aca="false">Sens!G15242/Sens!G15240</f>
        <v>21.4518363805722</v>
      </c>
      <c r="H15243" s="8" t="n">
        <f aca="false">Sens!H15242/Sens!H15240</f>
        <v>23.5433727189874</v>
      </c>
      <c r="I15243" s="8" t="n">
        <f aca="false">Sens!I15242/Sens!I15240</f>
        <v>26.3009025753931</v>
      </c>
      <c r="J15243" s="8" t="n">
        <f aca="false">Sens!J15242/Sens!J15240</f>
        <v>28.7234113068353</v>
      </c>
      <c r="K15243" s="8" t="n">
        <f aca="false">Sens!K15242/Sens!K15240</f>
        <v>30.7962954173747</v>
      </c>
      <c r="L15243" s="1" t="s">
        <v>931</v>
      </c>
    </row>
    <row r="15244" customFormat="false" ht="17.15" hidden="false" customHeight="false" outlineLevel="0" collapsed="false">
      <c r="A15244" s="0" t="s">
        <v>932</v>
      </c>
      <c r="B15244" s="0" t="s">
        <v>129</v>
      </c>
      <c r="E15244" s="7" t="n">
        <f aca="false">Sens!E15243/Sens!D15243-1</f>
        <v>0.315542736208578</v>
      </c>
      <c r="F15244" s="7" t="n">
        <f aca="false">Sens!F15243/Sens!E15243-1</f>
        <v>0.0506500091204003</v>
      </c>
      <c r="G15244" s="7" t="n">
        <f aca="false">Sens!G15243/Sens!F15243-1</f>
        <v>0.137750368393761</v>
      </c>
      <c r="H15244" s="7" t="n">
        <f aca="false">Sens!H15243/Sens!G15243-1</f>
        <v>0.0974991744906888</v>
      </c>
      <c r="I15244" s="7" t="n">
        <f aca="false">Sens!I15243/Sens!H15243-1</f>
        <v>0.11712552357385</v>
      </c>
      <c r="J15244" s="7" t="n">
        <f aca="false">Sens!J15243/Sens!I15243-1</f>
        <v>0.0921074371686674</v>
      </c>
      <c r="K15244" s="7" t="n">
        <f aca="false">Sens!K15243/Sens!J15243-1</f>
        <v>0.0721670587241878</v>
      </c>
    </row>
    <row r="15245" customFormat="false" ht="17.15" hidden="false" customHeight="false" outlineLevel="0" collapsed="false">
      <c r="A15245" s="0" t="s">
        <v>856</v>
      </c>
      <c r="B15245" s="0" t="s">
        <v>98</v>
      </c>
      <c r="E15245" s="6" t="n">
        <f aca="false">Sens!E15186</f>
        <v>5.25</v>
      </c>
      <c r="F15245" s="6" t="n">
        <f aca="false">Sens!F15186</f>
        <v>10.5</v>
      </c>
      <c r="G15245" s="6" t="n">
        <f aca="false">Sens!G15186</f>
        <v>13.5</v>
      </c>
      <c r="H15245" s="6" t="n">
        <f aca="false">Sens!H15186</f>
        <v>16.5</v>
      </c>
      <c r="I15245" s="6" t="n">
        <f aca="false">Sens!I15186</f>
        <v>18.75</v>
      </c>
      <c r="J15245" s="6" t="n">
        <f aca="false">Sens!J15186</f>
        <v>20.25</v>
      </c>
      <c r="K15245" s="6" t="n">
        <f aca="false">Sens!K15186</f>
        <v>21.75</v>
      </c>
    </row>
    <row r="15246" customFormat="false" ht="17.15" hidden="false" customHeight="false" outlineLevel="0" collapsed="false">
      <c r="A15246" s="1" t="s">
        <v>857</v>
      </c>
      <c r="B15246" s="0" t="s">
        <v>98</v>
      </c>
      <c r="F15246" s="6" t="n">
        <f aca="false">MAX(0,((Sens!E15149+Sens!F15149)/2-(0*(Sens!$D$15149+Sens!$E$15149)/2+(1-0)*Sens!$E$15149))*Sens!F15157/1000-(Sens!F15245-Sens!$E$15245)*Sens!F15225)</f>
        <v>5.05545741533808</v>
      </c>
      <c r="G15246" s="6" t="n">
        <f aca="false">MAX(0,((Sens!F15149+Sens!G15149)/2-(0*(Sens!$D$15149+Sens!$E$15149)/2+(1-0)*Sens!$E$15149))*Sens!G15157/1000-(Sens!G15245-Sens!$E$15245)*Sens!G15225)</f>
        <v>21.192920015299</v>
      </c>
      <c r="H15246" s="6" t="n">
        <f aca="false">MAX(0,((Sens!G15149+Sens!H15149)/2-(0*(Sens!$D$15149+Sens!$E$15149)/2+(1-0)*Sens!$E$15149))*Sens!H15157/1000-(Sens!H15245-Sens!$E$15245)*Sens!H15225)</f>
        <v>38.9322594285374</v>
      </c>
      <c r="I15246" s="6" t="n">
        <f aca="false">MAX(0,((Sens!H15149+Sens!I15149)/2-(0*(Sens!$D$15149+Sens!$E$15149)/2+(1-0)*Sens!$E$15149))*Sens!I15157/1000-(Sens!I15245-Sens!$E$15245)*Sens!I15225)</f>
        <v>54.9367326458861</v>
      </c>
      <c r="J15246" s="6" t="n">
        <f aca="false">MAX(0,((Sens!I15149+Sens!J15149)/2-(0*(Sens!$D$15149+Sens!$E$15149)/2+(1-0)*Sens!$E$15149))*Sens!J15157/1000-(Sens!J15245-Sens!$E$15245)*Sens!J15225)</f>
        <v>66.2214773807352</v>
      </c>
      <c r="K15246" s="6" t="n">
        <f aca="false">MAX(0,((Sens!J15149+Sens!K15149)/2-(0*(Sens!$D$15149+Sens!$E$15149)/2+(1-0)*Sens!$E$15149))*Sens!K15157/1000-(Sens!K15245-Sens!$E$15245)*Sens!K15225)</f>
        <v>72.9930910161917</v>
      </c>
      <c r="L15246" s="1" t="s">
        <v>858</v>
      </c>
    </row>
    <row r="15247" customFormat="false" ht="17.15" hidden="false" customHeight="false" outlineLevel="0" collapsed="false">
      <c r="A15247" s="1" t="s">
        <v>859</v>
      </c>
      <c r="B15247" s="0" t="s">
        <v>98</v>
      </c>
      <c r="F15247" s="6" t="n">
        <f aca="false">IF(internal_ai_reading=2,1,0)*Sens!F15246</f>
        <v>5.05545741533808</v>
      </c>
      <c r="G15247" s="6" t="n">
        <f aca="false">IF(internal_ai_reading=2,1,0)*Sens!G15246</f>
        <v>21.192920015299</v>
      </c>
      <c r="H15247" s="6" t="n">
        <f aca="false">IF(internal_ai_reading=2,1,0)*Sens!H15246</f>
        <v>38.9322594285374</v>
      </c>
      <c r="I15247" s="6" t="n">
        <f aca="false">IF(internal_ai_reading=2,1,0)*Sens!I15246</f>
        <v>54.9367326458861</v>
      </c>
      <c r="J15247" s="6" t="n">
        <f aca="false">IF(internal_ai_reading=2,1,0)*Sens!J15246</f>
        <v>66.2214773807352</v>
      </c>
      <c r="K15247" s="6" t="n">
        <f aca="false">IF(internal_ai_reading=2,1,0)*Sens!K15246</f>
        <v>72.9930910161917</v>
      </c>
    </row>
    <row r="15248" customFormat="false" ht="17.15" hidden="false" customHeight="false" outlineLevel="0" collapsed="false">
      <c r="A15248" s="0" t="s">
        <v>860</v>
      </c>
      <c r="B15248" s="0" t="s">
        <v>98</v>
      </c>
      <c r="F15248" s="6" t="n">
        <f aca="false">Sens!F15166+Sens!F15245*Sens!F15225+Sens!F15247-Sens!F15167-Sens!F15177</f>
        <v>5.52503723063681</v>
      </c>
      <c r="G15248" s="6" t="n">
        <f aca="false">Sens!G15166+Sens!G15245*Sens!G15225+Sens!G15247-Sens!G15167-Sens!G15177</f>
        <v>11.2412731387669</v>
      </c>
      <c r="H15248" s="6" t="n">
        <f aca="false">Sens!H15166+Sens!H15245*Sens!H15225+Sens!H15247-Sens!H15167-Sens!H15177</f>
        <v>12.0082752237353</v>
      </c>
      <c r="I15248" s="6" t="n">
        <f aca="false">Sens!I15166+Sens!I15245*Sens!I15225+Sens!I15247-Sens!I15167-Sens!I15177</f>
        <v>19.1633859471186</v>
      </c>
      <c r="J15248" s="6" t="n">
        <f aca="false">Sens!J15166+Sens!J15245*Sens!J15225+Sens!J15247-Sens!J15167-Sens!J15177</f>
        <v>24.0948702346797</v>
      </c>
      <c r="K15248" s="6" t="n">
        <f aca="false">Sens!K15166+Sens!K15245*Sens!K15225+Sens!K15247-Sens!K15167-Sens!K15177</f>
        <v>27.8110447864815</v>
      </c>
    </row>
    <row r="15249" customFormat="false" ht="17.15" hidden="false" customHeight="false" outlineLevel="0" collapsed="false">
      <c r="A15249" s="0" t="s">
        <v>861</v>
      </c>
      <c r="B15249" s="0" t="s">
        <v>98</v>
      </c>
      <c r="E15249" s="6" t="n">
        <f aca="false">Sens!E15148*(cxit_open+self_build*tk_cxfac)/1000*ai_net_open</f>
        <v>126.6980382</v>
      </c>
      <c r="F15249" s="6" t="n">
        <f aca="false">Sens!E15249+Sens!F15174-Sens!F15177</f>
        <v>252.981026690511</v>
      </c>
      <c r="G15249" s="6" t="n">
        <f aca="false">Sens!F15249+Sens!G15174-Sens!G15177</f>
        <v>377.4297700632</v>
      </c>
      <c r="H15249" s="6" t="n">
        <f aca="false">Sens!G15249+Sens!H15174-Sens!H15177</f>
        <v>479.149036130289</v>
      </c>
      <c r="I15249" s="6" t="n">
        <f aca="false">Sens!H15249+Sens!I15174-Sens!I15177</f>
        <v>532.249961452141</v>
      </c>
      <c r="J15249" s="6" t="n">
        <f aca="false">Sens!I15249+Sens!J15174-Sens!J15177</f>
        <v>531.43307519354</v>
      </c>
      <c r="K15249" s="6" t="n">
        <f aca="false">Sens!J15249+Sens!K15174-Sens!K15177</f>
        <v>513.709026452823</v>
      </c>
      <c r="L15249" s="1" t="s">
        <v>862</v>
      </c>
    </row>
    <row r="15250" customFormat="false" ht="17.15" hidden="false" customHeight="false" outlineLevel="0" collapsed="false">
      <c r="A15250" s="0" t="s">
        <v>863</v>
      </c>
      <c r="B15250" s="0" t="s">
        <v>129</v>
      </c>
      <c r="F15250" s="7" t="n">
        <f aca="false">Sens!F15248*(1-tax_f)/((Sens!E15249+Sens!F15249)/2)</f>
        <v>0.0232829786692825</v>
      </c>
      <c r="G15250" s="7" t="n">
        <f aca="false">Sens!G15248*(1-tax_f)/((Sens!F15249+Sens!G15249)/2)</f>
        <v>0.0285306614586009</v>
      </c>
      <c r="H15250" s="7" t="n">
        <f aca="false">Sens!H15248*(1-tax_f)/((Sens!G15249+Sens!H15249)/2)</f>
        <v>0.0224302074941095</v>
      </c>
      <c r="I15250" s="7" t="n">
        <f aca="false">Sens!I15248*(1-tax_f)/((Sens!H15249+Sens!I15249)/2)</f>
        <v>0.0303158472459241</v>
      </c>
      <c r="J15250" s="7" t="n">
        <f aca="false">Sens!J15248*(1-tax_f)/((Sens!I15249+Sens!J15249)/2)</f>
        <v>0.0362436844880599</v>
      </c>
      <c r="K15250" s="7" t="n">
        <f aca="false">Sens!K15248*(1-tax_f)/((Sens!J15249+Sens!K15249)/2)</f>
        <v>0.0425757144299089</v>
      </c>
    </row>
    <row r="15251" customFormat="false" ht="17.15" hidden="false" customHeight="false" outlineLevel="0" collapsed="false">
      <c r="A15251" s="1" t="s">
        <v>864</v>
      </c>
      <c r="B15251" s="0" t="s">
        <v>129</v>
      </c>
      <c r="F15251" s="7" t="n">
        <f aca="false">(Sens!F15248-Sens!F15247)*(1-tax_f)/((Sens!E15249+Sens!F15249)/2)</f>
        <v>0.00197884943878751</v>
      </c>
      <c r="G15251" s="7" t="n">
        <f aca="false">(Sens!G15248-Sens!G15247)*(1-tax_f)/((Sens!F15249+Sens!G15249)/2)</f>
        <v>-0.0252575544144306</v>
      </c>
      <c r="H15251" s="7" t="n">
        <f aca="false">(Sens!H15248-Sens!H15247)*(1-tax_f)/((Sens!G15249+Sens!H15249)/2)</f>
        <v>-0.0502911984468976</v>
      </c>
      <c r="I15251" s="7" t="n">
        <f aca="false">(Sens!I15248-Sens!I15247)*(1-tax_f)/((Sens!H15249+Sens!I15249)/2)</f>
        <v>-0.0565922596866753</v>
      </c>
      <c r="J15251" s="7" t="n">
        <f aca="false">(Sens!J15248-Sens!J15247)*(1-tax_f)/((Sens!I15249+Sens!J15249)/2)</f>
        <v>-0.063367158365374</v>
      </c>
      <c r="K15251" s="7" t="n">
        <f aca="false">(Sens!K15248-Sens!K15247)*(1-tax_f)/((Sens!J15249+Sens!K15249)/2)</f>
        <v>-0.0691688468521739</v>
      </c>
    </row>
    <row r="15252" customFormat="false" ht="17.15" hidden="false" customHeight="false" outlineLevel="0" collapsed="false">
      <c r="A15252" s="1" t="s">
        <v>865</v>
      </c>
      <c r="B15252" s="0" t="s">
        <v>129</v>
      </c>
      <c r="F15252" s="7" t="n">
        <f aca="false">(Sens!F15248-Sens!F15247+Sens!F15246)*(1-tax_f)/((Sens!E15249+Sens!F15249)/2)</f>
        <v>0.0232829786692825</v>
      </c>
      <c r="G15252" s="7" t="n">
        <f aca="false">(Sens!G15248-Sens!G15247+Sens!G15246)*(1-tax_f)/((Sens!F15249+Sens!G15249)/2)</f>
        <v>0.0285306614586009</v>
      </c>
      <c r="H15252" s="7" t="n">
        <f aca="false">(Sens!H15248-Sens!H15247+Sens!H15246)*(1-tax_f)/((Sens!G15249+Sens!H15249)/2)</f>
        <v>0.0224302074941095</v>
      </c>
      <c r="I15252" s="7" t="n">
        <f aca="false">(Sens!I15248-Sens!I15247+Sens!I15246)*(1-tax_f)/((Sens!H15249+Sens!I15249)/2)</f>
        <v>0.0303158472459241</v>
      </c>
      <c r="J15252" s="7" t="n">
        <f aca="false">(Sens!J15248-Sens!J15247+Sens!J15246)*(1-tax_f)/((Sens!I15249+Sens!J15249)/2)</f>
        <v>0.0362436844880599</v>
      </c>
      <c r="K15252" s="7" t="n">
        <f aca="false">(Sens!K15248-Sens!K15247+Sens!K15246)*(1-tax_f)/((Sens!J15249+Sens!K15249)/2)</f>
        <v>0.0425757144299089</v>
      </c>
    </row>
    <row r="15253" customFormat="false" ht="17.15" hidden="false" customHeight="false" outlineLevel="0" collapsed="false">
      <c r="A15253" s="1" t="s">
        <v>866</v>
      </c>
      <c r="B15253" s="0" t="s">
        <v>129</v>
      </c>
      <c r="F15253" s="7" t="n">
        <f aca="false">Sens!F15178*(1-tax_f)/(Sens!F15165*(Sens!E15249+Sens!F15249)/2)</f>
        <v>0.102735279953254</v>
      </c>
      <c r="G15253" s="7" t="n">
        <f aca="false">Sens!G15178*(1-tax_f)/(Sens!G15165*(Sens!F15249+Sens!G15249)/2)</f>
        <v>0.0709600152423962</v>
      </c>
      <c r="H15253" s="7" t="n">
        <f aca="false">Sens!H15178*(1-tax_f)/(Sens!H15165*(Sens!G15249+Sens!H15249)/2)</f>
        <v>0.0419126501774916</v>
      </c>
      <c r="I15253" s="7" t="n">
        <f aca="false">Sens!I15178*(1-tax_f)/(Sens!I15165*(Sens!H15249+Sens!I15249)/2)</f>
        <v>0.044576811268173</v>
      </c>
      <c r="J15253" s="7" t="n">
        <f aca="false">Sens!J15178*(1-tax_f)/(Sens!J15165*(Sens!I15249+Sens!J15249)/2)</f>
        <v>0.0483882076863038</v>
      </c>
      <c r="K15253" s="7" t="n">
        <f aca="false">Sens!K15178*(1-tax_f)/(Sens!K15165*(Sens!J15249+Sens!K15249)/2)</f>
        <v>0.0544871874286225</v>
      </c>
    </row>
    <row r="15254" customFormat="false" ht="17.15" hidden="false" customHeight="false" outlineLevel="0" collapsed="false">
      <c r="A15254" s="0" t="s">
        <v>867</v>
      </c>
      <c r="B15254" s="0" t="s">
        <v>209</v>
      </c>
      <c r="F15254" s="7" t="n">
        <f aca="false">Sens!F15250-wacc</f>
        <v>-0.0796514414235933</v>
      </c>
      <c r="G15254" s="7" t="n">
        <f aca="false">Sens!G15250-wacc</f>
        <v>-0.0744037586342748</v>
      </c>
      <c r="H15254" s="7" t="n">
        <f aca="false">Sens!H15250-wacc</f>
        <v>-0.0805042125987663</v>
      </c>
      <c r="I15254" s="7" t="n">
        <f aca="false">Sens!I15250-wacc</f>
        <v>-0.0726185728469516</v>
      </c>
      <c r="J15254" s="7" t="n">
        <f aca="false">Sens!J15250-wacc</f>
        <v>-0.0666907356048159</v>
      </c>
      <c r="K15254" s="7" t="n">
        <f aca="false">Sens!K15250-wacc</f>
        <v>-0.0603587056629669</v>
      </c>
    </row>
    <row r="15255" customFormat="false" ht="17.15" hidden="false" customHeight="false" outlineLevel="0" collapsed="false">
      <c r="A15255" s="0" t="s">
        <v>868</v>
      </c>
      <c r="B15255" s="0" t="s">
        <v>98</v>
      </c>
      <c r="F15255" s="6" t="n">
        <f aca="false">Sens!F15248*(1-tax_f)-wacc*(Sens!E15249+Sens!F15249)/2</f>
        <v>-15.1209923984456</v>
      </c>
      <c r="G15255" s="6" t="n">
        <f aca="false">Sens!G15248*(1-tax_f)-wacc*(Sens!F15249+Sens!G15249)/2</f>
        <v>-23.452466381052</v>
      </c>
      <c r="H15255" s="6" t="n">
        <f aca="false">Sens!H15248*(1-tax_f)-wacc*(Sens!G15249+Sens!H15249)/2</f>
        <v>-34.479101160699</v>
      </c>
      <c r="I15255" s="6" t="n">
        <f aca="false">Sens!I15248*(1-tax_f)-wacc*(Sens!H15249+Sens!I15249)/2</f>
        <v>-36.7231758916368</v>
      </c>
      <c r="J15255" s="6" t="n">
        <f aca="false">Sens!J15248*(1-tax_f)-wacc*(Sens!I15249+Sens!J15249)/2</f>
        <v>-35.4689020821324</v>
      </c>
      <c r="K15255" s="6" t="n">
        <f aca="false">Sens!K15248*(1-tax_f)-wacc*(Sens!J15249+Sens!K15249)/2</f>
        <v>-31.5417122446237</v>
      </c>
    </row>
    <row r="15256" customFormat="false" ht="17.15" hidden="false" customHeight="false" outlineLevel="0" collapsed="false">
      <c r="A15256" s="3" t="s">
        <v>1649</v>
      </c>
    </row>
    <row r="15257" customFormat="false" ht="15" hidden="false" customHeight="false" outlineLevel="0" collapsed="false">
      <c r="A15257" s="4" t="s">
        <v>43</v>
      </c>
      <c r="B15257" s="4" t="s">
        <v>65</v>
      </c>
      <c r="C15257" s="20" t="s">
        <v>799</v>
      </c>
      <c r="D15257" s="20" t="s">
        <v>800</v>
      </c>
      <c r="E15257" s="20" t="s">
        <v>801</v>
      </c>
      <c r="F15257" s="20" t="s">
        <v>802</v>
      </c>
      <c r="G15257" s="20" t="s">
        <v>803</v>
      </c>
      <c r="H15257" s="20" t="s">
        <v>804</v>
      </c>
      <c r="I15257" s="20" t="s">
        <v>805</v>
      </c>
      <c r="J15257" s="20" t="s">
        <v>806</v>
      </c>
      <c r="K15257" s="20" t="s">
        <v>807</v>
      </c>
      <c r="L15257" s="4" t="s">
        <v>47</v>
      </c>
    </row>
    <row r="15258" customFormat="false" ht="15" hidden="false" customHeight="false" outlineLevel="0" collapsed="false">
      <c r="A15258" s="1" t="s">
        <v>925</v>
      </c>
      <c r="B15258" s="0" t="s">
        <v>98</v>
      </c>
      <c r="F15258" s="6" t="n">
        <f aca="false">Sens!F15239</f>
        <v>136.865541586847</v>
      </c>
      <c r="G15258" s="6" t="n">
        <f aca="false">Sens!G15239</f>
        <v>144.331295815093</v>
      </c>
      <c r="H15258" s="6" t="n">
        <f aca="false">Sens!H15239</f>
        <v>146.805949865617</v>
      </c>
      <c r="I15258" s="6" t="n">
        <f aca="false">Sens!I15239</f>
        <v>155.476132960924</v>
      </c>
      <c r="J15258" s="6" t="n">
        <f aca="false">Sens!J15239</f>
        <v>165.225975422786</v>
      </c>
      <c r="K15258" s="6" t="n">
        <f aca="false">Sens!K15239</f>
        <v>176.064516848882</v>
      </c>
    </row>
    <row r="15259" customFormat="false" ht="17.15" hidden="false" customHeight="false" outlineLevel="0" collapsed="false">
      <c r="A15259" s="1" t="s">
        <v>947</v>
      </c>
      <c r="B15259" s="0" t="s">
        <v>98</v>
      </c>
      <c r="E15259" s="6" t="n">
        <f aca="false">Q!M38-Sens!E15177</f>
        <v>22.2285940229167</v>
      </c>
      <c r="F15259" s="6" t="n">
        <f aca="false">Sens!E15259*(1-1/life_nonai)+(Sens!F15266+Sens!F15267)/life_nonai</f>
        <v>24.3924470334783</v>
      </c>
      <c r="G15259" s="6" t="n">
        <f aca="false">Sens!F15259*(1-1/life_nonai)+(Sens!G15266)/life_nonai</f>
        <v>26.0234916871694</v>
      </c>
      <c r="H15259" s="6" t="n">
        <f aca="false">Sens!G15259*(1-1/life_nonai)+(Sens!H15266)/life_nonai</f>
        <v>28.0272938828615</v>
      </c>
      <c r="I15259" s="6" t="n">
        <f aca="false">Sens!H15259*(1-1/life_nonai)+(Sens!I15266)/life_nonai</f>
        <v>30.3469045257397</v>
      </c>
      <c r="J15259" s="6" t="n">
        <f aca="false">Sens!I15259*(1-1/life_nonai)+(Sens!J15266)/life_nonai</f>
        <v>32.9078053982031</v>
      </c>
      <c r="K15259" s="6" t="n">
        <f aca="false">Sens!J15259*(1-1/life_nonai)+(Sens!K15266)/life_nonai</f>
        <v>35.6263951325822</v>
      </c>
      <c r="L15259" s="11" t="s">
        <v>948</v>
      </c>
    </row>
    <row r="15260" customFormat="false" ht="17.15" hidden="false" customHeight="false" outlineLevel="0" collapsed="false">
      <c r="A15260" s="1" t="s">
        <v>949</v>
      </c>
      <c r="B15260" s="0" t="s">
        <v>98</v>
      </c>
      <c r="F15260" s="6" t="n">
        <f aca="false">Sens!$F$15267/life_nonai*(1-1/life_nonai)^(Sens!F15143-2027)</f>
        <v>0.843777689897088</v>
      </c>
      <c r="G15260" s="6" t="n">
        <f aca="false">Sens!$F$15267/life_nonai*(1-1/life_nonai)^(Sens!G15143-2027)</f>
        <v>0.759399920907379</v>
      </c>
      <c r="H15260" s="6" t="n">
        <f aca="false">Sens!$F$15267/life_nonai*(1-1/life_nonai)^(Sens!H15143-2027)</f>
        <v>0.683459928816641</v>
      </c>
      <c r="I15260" s="6" t="n">
        <f aca="false">Sens!$F$15267/life_nonai*(1-1/life_nonai)^(Sens!I15143-2027)</f>
        <v>0.615113935934977</v>
      </c>
      <c r="J15260" s="6" t="n">
        <f aca="false">Sens!$F$15267/life_nonai*(1-1/life_nonai)^(Sens!J15143-2027)</f>
        <v>0.55360254234148</v>
      </c>
      <c r="K15260" s="6" t="n">
        <f aca="false">Sens!$F$15267/life_nonai*(1-1/life_nonai)^(Sens!K15143-2027)</f>
        <v>0.498242288107332</v>
      </c>
      <c r="L15260" s="1" t="s">
        <v>950</v>
      </c>
    </row>
    <row r="15261" customFormat="false" ht="17.15" hidden="false" customHeight="false" outlineLevel="0" collapsed="false">
      <c r="A15261" s="1" t="s">
        <v>951</v>
      </c>
      <c r="B15261" s="0" t="s">
        <v>98</v>
      </c>
      <c r="E15261" s="6" t="n">
        <f aca="false">Sens!E15177+Sens!E15259</f>
        <v>38.534</v>
      </c>
      <c r="F15261" s="6" t="n">
        <f aca="false">Sens!F15177+Sens!F15259</f>
        <v>58.4423344144339</v>
      </c>
      <c r="G15261" s="6" t="n">
        <f aca="false">Sens!G15177+Sens!G15259</f>
        <v>85.1489287976805</v>
      </c>
      <c r="H15261" s="6" t="n">
        <f aca="false">Sens!H15177+Sens!H15259</f>
        <v>114.388313726173</v>
      </c>
      <c r="I15261" s="6" t="n">
        <f aca="false">Sens!I15177+Sens!I15259</f>
        <v>140.952648358132</v>
      </c>
      <c r="J15261" s="6" t="n">
        <f aca="false">Sens!J15177+Sens!J15259</f>
        <v>160.906128251046</v>
      </c>
      <c r="K15261" s="6" t="n">
        <f aca="false">Sens!K15177+Sens!K15259</f>
        <v>174.75785917689</v>
      </c>
    </row>
    <row r="15262" customFormat="false" ht="17.15" hidden="false" customHeight="false" outlineLevel="0" collapsed="false">
      <c r="A15262" s="1" t="s">
        <v>952</v>
      </c>
      <c r="B15262" s="0" t="s">
        <v>98</v>
      </c>
      <c r="F15262" s="6" t="n">
        <f aca="false">Sens!F15204*sbc_r</f>
        <v>14.7102349124428</v>
      </c>
      <c r="G15262" s="6" t="n">
        <f aca="false">Sens!G15204*sbc_r</f>
        <v>17.061233875013</v>
      </c>
      <c r="H15262" s="6" t="n">
        <f aca="false">Sens!H15204*sbc_r</f>
        <v>19.2644849659525</v>
      </c>
      <c r="I15262" s="6" t="n">
        <f aca="false">Sens!I15204*sbc_r</f>
        <v>21.5744080153289</v>
      </c>
      <c r="J15262" s="6" t="n">
        <f aca="false">Sens!J15204*sbc_r</f>
        <v>23.5256320135712</v>
      </c>
      <c r="K15262" s="6" t="n">
        <f aca="false">Sens!K15204*sbc_r</f>
        <v>25.1388528865318</v>
      </c>
    </row>
    <row r="15263" customFormat="false" ht="17.15" hidden="false" customHeight="false" outlineLevel="0" collapsed="false">
      <c r="A15263" s="1" t="s">
        <v>953</v>
      </c>
      <c r="B15263" s="0" t="s">
        <v>98</v>
      </c>
      <c r="F15263" s="6" t="n">
        <f aca="false">wc27</f>
        <v>-4.895</v>
      </c>
      <c r="G15263" s="6" t="n">
        <f aca="false">wc_f</f>
        <v>0</v>
      </c>
      <c r="H15263" s="6" t="n">
        <f aca="false">wc_f</f>
        <v>0</v>
      </c>
      <c r="I15263" s="6" t="n">
        <f aca="false">wc_f</f>
        <v>0</v>
      </c>
      <c r="J15263" s="6" t="n">
        <f aca="false">wc_f</f>
        <v>0</v>
      </c>
      <c r="K15263" s="6" t="n">
        <f aca="false">wc_f</f>
        <v>0</v>
      </c>
      <c r="L15263" s="11" t="s">
        <v>954</v>
      </c>
    </row>
    <row r="15264" customFormat="false" ht="15" hidden="false" customHeight="false" outlineLevel="0" collapsed="false">
      <c r="A15264" s="1" t="s">
        <v>767</v>
      </c>
      <c r="B15264" s="0" t="s">
        <v>98</v>
      </c>
      <c r="E15264" s="6" t="n">
        <f aca="false">Q!M35</f>
        <v>182.935</v>
      </c>
      <c r="F15264" s="6" t="n">
        <f aca="false">Sens!F15258+Sens!F15261+Sens!F15262+Sens!F15263</f>
        <v>205.123110913724</v>
      </c>
      <c r="G15264" s="6" t="n">
        <f aca="false">Sens!G15258+Sens!G15261+Sens!G15262+Sens!G15263</f>
        <v>246.541458487787</v>
      </c>
      <c r="H15264" s="6" t="n">
        <f aca="false">Sens!H15258+Sens!H15261+Sens!H15262+Sens!H15263</f>
        <v>280.458748557742</v>
      </c>
      <c r="I15264" s="6" t="n">
        <f aca="false">Sens!I15258+Sens!I15261+Sens!I15262+Sens!I15263</f>
        <v>318.003189334385</v>
      </c>
      <c r="J15264" s="6" t="n">
        <f aca="false">Sens!J15258+Sens!J15261+Sens!J15262+Sens!J15263</f>
        <v>349.657735687404</v>
      </c>
      <c r="K15264" s="6" t="n">
        <f aca="false">Sens!K15258+Sens!K15261+Sens!K15262+Sens!K15263</f>
        <v>375.961228912304</v>
      </c>
    </row>
    <row r="15265" customFormat="false" ht="17.15" hidden="false" customHeight="false" outlineLevel="0" collapsed="false">
      <c r="A15265" s="0" t="s">
        <v>955</v>
      </c>
      <c r="B15265" s="0" t="s">
        <v>98</v>
      </c>
      <c r="F15265" s="6" t="n">
        <f aca="false">Sens!F15174</f>
        <v>160.332875871467</v>
      </c>
      <c r="G15265" s="6" t="n">
        <f aca="false">Sens!G15174</f>
        <v>183.5741804832</v>
      </c>
      <c r="H15265" s="6" t="n">
        <f aca="false">Sens!H15174</f>
        <v>188.0802859104</v>
      </c>
      <c r="I15265" s="6" t="n">
        <f aca="false">Sens!I15174</f>
        <v>163.706669154245</v>
      </c>
      <c r="J15265" s="6" t="n">
        <f aca="false">Sens!J15174</f>
        <v>127.181436594242</v>
      </c>
      <c r="K15265" s="6" t="n">
        <f aca="false">Sens!K15174</f>
        <v>121.407415303591</v>
      </c>
    </row>
    <row r="15266" customFormat="false" ht="17.15" hidden="false" customHeight="false" outlineLevel="0" collapsed="false">
      <c r="A15266" s="1" t="s">
        <v>956</v>
      </c>
      <c r="B15266" s="0" t="s">
        <v>98</v>
      </c>
      <c r="E15266" s="6" t="n">
        <f aca="false">Sens!E15182*cx_azo+Sens!E15189*cx_m365+Sens!E15190*cx_lic+(Sens!E15192+Sens!E15194)*cx_ind+Sens!E15197*cx_srch+(Sens!E15199+Sens!E15201)*cx_dev</f>
        <v>30.1846587067718</v>
      </c>
      <c r="F15266" s="6" t="n">
        <f aca="false">Sens!F15182*cx_azo+Sens!F15189*cx_m365+Sens!F15190*cx_lic+(Sens!F15192+Sens!F15194)*cx_ind+Sens!F15197*cx_srch+(Sens!F15199+Sens!F15201)*cx_dev</f>
        <v>35.4293472295625</v>
      </c>
      <c r="G15266" s="6" t="n">
        <f aca="false">Sens!G15182*cx_azo+Sens!G15189*cx_m365+Sens!G15190*cx_lic+(Sens!G15192+Sens!G15194)*cx_ind+Sens!G15197*cx_srch+(Sens!G15199+Sens!G15201)*cx_dev</f>
        <v>40.7028935703892</v>
      </c>
      <c r="H15266" s="6" t="n">
        <f aca="false">Sens!H15182*cx_azo+Sens!H15189*cx_m365+Sens!H15190*cx_lic+(Sens!H15192+Sens!H15194)*cx_ind+Sens!H15197*cx_srch+(Sens!H15199+Sens!H15201)*cx_dev</f>
        <v>46.0615136440897</v>
      </c>
      <c r="I15266" s="6" t="n">
        <f aca="false">Sens!I15182*cx_azo+Sens!I15189*cx_m365+Sens!I15190*cx_lic+(Sens!I15192+Sens!I15194)*cx_ind+Sens!I15197*cx_srch+(Sens!I15199+Sens!I15201)*cx_dev</f>
        <v>51.2234003116439</v>
      </c>
      <c r="J15266" s="6" t="n">
        <f aca="false">Sens!J15182*cx_azo+Sens!J15189*cx_m365+Sens!J15190*cx_lic+(Sens!J15192+Sens!J15194)*cx_ind+Sens!J15197*cx_srch+(Sens!J15199+Sens!J15201)*cx_dev</f>
        <v>55.9559132503738</v>
      </c>
      <c r="K15266" s="6" t="n">
        <f aca="false">Sens!K15182*cx_azo+Sens!K15189*cx_m365+Sens!K15190*cx_lic+(Sens!K15192+Sens!K15194)*cx_ind+Sens!K15197*cx_srch+(Sens!K15199+Sens!K15201)*cx_dev</f>
        <v>60.093702741994</v>
      </c>
    </row>
    <row r="15267" customFormat="false" ht="17.15" hidden="false" customHeight="false" outlineLevel="0" collapsed="false">
      <c r="A15267" s="0" t="s">
        <v>957</v>
      </c>
      <c r="B15267" s="0" t="s">
        <v>98</v>
      </c>
      <c r="F15267" s="6" t="n">
        <f aca="false">Sens!F15172</f>
        <v>8.43777689897088</v>
      </c>
      <c r="L15267" s="1" t="s">
        <v>958</v>
      </c>
    </row>
    <row r="15268" customFormat="false" ht="17.15" hidden="false" customHeight="false" outlineLevel="0" collapsed="false">
      <c r="A15268" s="1" t="s">
        <v>959</v>
      </c>
      <c r="B15268" s="0" t="s">
        <v>98</v>
      </c>
      <c r="E15268" s="6" t="n">
        <f aca="false">Q!M42</f>
        <v>145.3</v>
      </c>
      <c r="F15268" s="6" t="n">
        <f aca="false">Sens!F15265+Sens!F15266+Sens!F15267</f>
        <v>204.2</v>
      </c>
      <c r="G15268" s="6" t="n">
        <f aca="false">Sens!G15265+Sens!G15266</f>
        <v>224.277074053589</v>
      </c>
      <c r="H15268" s="6" t="n">
        <f aca="false">Sens!H15265+Sens!H15266</f>
        <v>234.14179955449</v>
      </c>
      <c r="I15268" s="6" t="n">
        <f aca="false">Sens!I15265+Sens!I15266</f>
        <v>214.930069465889</v>
      </c>
      <c r="J15268" s="6" t="n">
        <f aca="false">Sens!J15265+Sens!J15266</f>
        <v>183.137349844616</v>
      </c>
      <c r="K15268" s="6" t="n">
        <f aca="false">Sens!K15265+Sens!K15266</f>
        <v>181.501118045585</v>
      </c>
      <c r="L15268" s="1" t="s">
        <v>960</v>
      </c>
    </row>
    <row r="15269" customFormat="false" ht="15" hidden="false" customHeight="false" outlineLevel="0" collapsed="false">
      <c r="A15269" s="1" t="s">
        <v>961</v>
      </c>
      <c r="B15269" s="0" t="s">
        <v>98</v>
      </c>
      <c r="E15269" s="6" t="n">
        <f aca="false">fl_liab</f>
        <v>66.594</v>
      </c>
      <c r="F15269" s="6" t="n">
        <f aca="false">Sens!E15269-Sens!F15270</f>
        <v>62.46973</v>
      </c>
      <c r="G15269" s="6" t="n">
        <f aca="false">Sens!F15269-Sens!G15270</f>
        <v>57.98686785</v>
      </c>
      <c r="H15269" s="6" t="n">
        <f aca="false">Sens!G15269-Sens!H15270</f>
        <v>53.92827690325</v>
      </c>
      <c r="I15269" s="6" t="n">
        <f aca="false">Sens!H15269-Sens!I15270</f>
        <v>49.7850493638962</v>
      </c>
      <c r="J15269" s="6" t="n">
        <f aca="false">Sens!I15269-Sens!J15270</f>
        <v>45.4823765852716</v>
      </c>
      <c r="K15269" s="6" t="n">
        <f aca="false">Sens!J15269-Sens!K15270</f>
        <v>40.9860835316088</v>
      </c>
    </row>
    <row r="15270" customFormat="false" ht="15" hidden="false" customHeight="false" outlineLevel="0" collapsed="false">
      <c r="A15270" s="1" t="s">
        <v>962</v>
      </c>
      <c r="B15270" s="0" t="s">
        <v>98</v>
      </c>
      <c r="F15270" s="6" t="n">
        <f aca="false">fl_pay_27-Sens!E15269*fl_rate</f>
        <v>4.12427</v>
      </c>
      <c r="G15270" s="6" t="n">
        <f aca="false">fl_pay_28-Sens!F15269*fl_rate</f>
        <v>4.48286215</v>
      </c>
      <c r="H15270" s="6" t="n">
        <f aca="false">fl_pay_29-Sens!G15269*fl_rate</f>
        <v>4.05859094675</v>
      </c>
      <c r="I15270" s="6" t="n">
        <f aca="false">fl_pay_30-Sens!H15269*fl_rate</f>
        <v>4.14322753935375</v>
      </c>
      <c r="J15270" s="6" t="n">
        <f aca="false">fl_pay_31-Sens!I15269*fl_rate</f>
        <v>4.30267277862467</v>
      </c>
      <c r="K15270" s="6" t="n">
        <f aca="false">fl_pay_32-Sens!J15269*fl_rate</f>
        <v>4.49629305366278</v>
      </c>
    </row>
    <row r="15271" customFormat="false" ht="17.15" hidden="false" customHeight="false" outlineLevel="0" collapsed="false">
      <c r="A15271" s="1" t="s">
        <v>963</v>
      </c>
      <c r="B15271" s="0" t="s">
        <v>98</v>
      </c>
      <c r="E15271" s="6" t="n">
        <f aca="false">Q!M35-Q!M36-Q!M43</f>
        <v>63.886</v>
      </c>
      <c r="F15271" s="6" t="n">
        <f aca="false">Sens!F15264-Sens!F15268-Sens!F15270</f>
        <v>-3.20115908627637</v>
      </c>
      <c r="G15271" s="6" t="n">
        <f aca="false">Sens!G15264-Sens!G15268-Sens!G15270</f>
        <v>17.7815222841974</v>
      </c>
      <c r="H15271" s="6" t="n">
        <f aca="false">Sens!H15264-Sens!H15268-Sens!H15270</f>
        <v>42.2583580565023</v>
      </c>
      <c r="I15271" s="6" t="n">
        <f aca="false">Sens!I15264-Sens!I15268-Sens!I15270</f>
        <v>98.9298923291419</v>
      </c>
      <c r="J15271" s="6" t="n">
        <f aca="false">Sens!J15264-Sens!J15268-Sens!J15270</f>
        <v>162.217713064163</v>
      </c>
      <c r="K15271" s="6" t="n">
        <f aca="false">Sens!K15264-Sens!K15268-Sens!K15270</f>
        <v>189.963817813057</v>
      </c>
      <c r="L15271" s="11" t="s">
        <v>964</v>
      </c>
    </row>
    <row r="15272" customFormat="false" ht="15" hidden="false" customHeight="false" outlineLevel="0" collapsed="false">
      <c r="A15272" s="1" t="s">
        <v>965</v>
      </c>
      <c r="B15272" s="0" t="s">
        <v>75</v>
      </c>
      <c r="F15272" s="8" t="n">
        <f aca="false">dps_27</f>
        <v>3.85</v>
      </c>
      <c r="G15272" s="8" t="n">
        <f aca="false">Sens!F15272*(1+dps_g)</f>
        <v>4.158</v>
      </c>
      <c r="H15272" s="8" t="n">
        <f aca="false">Sens!G15272*(1+dps_g)</f>
        <v>4.49064</v>
      </c>
      <c r="I15272" s="8" t="n">
        <f aca="false">Sens!H15272*(1+dps_g)</f>
        <v>4.8498912</v>
      </c>
      <c r="J15272" s="8" t="n">
        <f aca="false">Sens!I15272*(1+dps_g)</f>
        <v>5.237882496</v>
      </c>
      <c r="K15272" s="8" t="n">
        <f aca="false">Sens!J15272*(1+dps_g)</f>
        <v>5.65691309568</v>
      </c>
    </row>
    <row r="15273" customFormat="false" ht="17.15" hidden="false" customHeight="false" outlineLevel="0" collapsed="false">
      <c r="A15273" s="1" t="s">
        <v>966</v>
      </c>
      <c r="B15273" s="0" t="s">
        <v>98</v>
      </c>
      <c r="E15273" s="6" t="n">
        <f aca="false">Q!M41</f>
        <v>26.445</v>
      </c>
      <c r="F15273" s="6" t="n">
        <f aca="false">Sens!F15272*Sens!E15282</f>
        <v>28.59395</v>
      </c>
      <c r="G15273" s="6" t="n">
        <f aca="false">Sens!G15272*Sens!F15282</f>
        <v>31.068576</v>
      </c>
      <c r="H15273" s="6" t="n">
        <f aca="false">Sens!H15272*Sens!G15282</f>
        <v>33.75614088</v>
      </c>
      <c r="I15273" s="6" t="n">
        <f aca="false">Sens!I15272*Sens!H15282</f>
        <v>36.6260383267915</v>
      </c>
      <c r="J15273" s="6" t="n">
        <f aca="false">Sens!J15272*Sens!I15282</f>
        <v>39.6245202412542</v>
      </c>
      <c r="K15273" s="6" t="n">
        <f aca="false">Sens!K15272*Sens!J15282</f>
        <v>42.8817370858596</v>
      </c>
      <c r="L15273" s="1" t="s">
        <v>967</v>
      </c>
    </row>
    <row r="15274" customFormat="false" ht="15" hidden="false" customHeight="false" outlineLevel="0" collapsed="false">
      <c r="A15274" s="1" t="s">
        <v>968</v>
      </c>
      <c r="B15274" s="0" t="s">
        <v>98</v>
      </c>
      <c r="E15274" s="6" t="n">
        <f aca="false">Sens!E15271-Sens!E15273</f>
        <v>37.441</v>
      </c>
      <c r="F15274" s="6" t="n">
        <f aca="false">Sens!F15271-Sens!F15273</f>
        <v>-31.7951090862764</v>
      </c>
      <c r="G15274" s="6" t="n">
        <f aca="false">Sens!G15271-Sens!G15273</f>
        <v>-13.2870537158026</v>
      </c>
      <c r="H15274" s="6" t="n">
        <f aca="false">Sens!H15271-Sens!H15273</f>
        <v>8.50221717650231</v>
      </c>
      <c r="I15274" s="6" t="n">
        <f aca="false">Sens!I15271-Sens!I15273</f>
        <v>62.3038540023504</v>
      </c>
      <c r="J15274" s="6" t="n">
        <f aca="false">Sens!J15271-Sens!J15273</f>
        <v>122.593192822909</v>
      </c>
      <c r="K15274" s="6" t="n">
        <f aca="false">Sens!K15271-Sens!K15273</f>
        <v>147.082080727197</v>
      </c>
    </row>
    <row r="15275" customFormat="false" ht="15" hidden="false" customHeight="false" outlineLevel="0" collapsed="false">
      <c r="A15275" s="1" t="s">
        <v>969</v>
      </c>
      <c r="B15275" s="0" t="s">
        <v>98</v>
      </c>
      <c r="F15275" s="6" t="n">
        <f aca="false">debt_mat_27</f>
        <v>9.25</v>
      </c>
      <c r="G15275" s="6" t="n">
        <f aca="false">debt_mat_28</f>
        <v>0</v>
      </c>
      <c r="H15275" s="6" t="n">
        <f aca="false">debt_mat_29</f>
        <v>2.001</v>
      </c>
      <c r="I15275" s="6" t="n">
        <f aca="false">debt_mat_30</f>
        <v>0</v>
      </c>
      <c r="J15275" s="6" t="n">
        <f aca="false">debt_mat_31</f>
        <v>0.5</v>
      </c>
      <c r="K15275" s="6" t="n">
        <f aca="false">debt_mat_32</f>
        <v>0</v>
      </c>
    </row>
    <row r="15276" customFormat="false" ht="15" hidden="false" customHeight="false" outlineLevel="0" collapsed="false">
      <c r="A15276" s="1" t="s">
        <v>970</v>
      </c>
      <c r="B15276" s="0" t="s">
        <v>98</v>
      </c>
      <c r="E15276" s="6" t="n">
        <f aca="false">Q!M40</f>
        <v>22.271</v>
      </c>
      <c r="F15276" s="6" t="n">
        <f aca="false">MAX(0,MIN(bb_target,Sens!E15278+Sens!F15274-Sens!F15275-min_cash))</f>
        <v>0</v>
      </c>
      <c r="G15276" s="6" t="n">
        <f aca="false">MAX(0,MIN(bb_target,Sens!F15278+Sens!G15274-Sens!G15275-min_cash))</f>
        <v>0</v>
      </c>
      <c r="H15276" s="6" t="n">
        <f aca="false">MAX(0,MIN(bb_target,Sens!G15278+Sens!H15274-Sens!H15275-min_cash))</f>
        <v>6.50121717650232</v>
      </c>
      <c r="I15276" s="6" t="n">
        <f aca="false">MAX(0,MIN(bb_target,Sens!H15278+Sens!I15274-Sens!I15275-min_cash))</f>
        <v>22.271</v>
      </c>
      <c r="J15276" s="6" t="n">
        <f aca="false">MAX(0,MIN(bb_target,Sens!I15278+Sens!J15274-Sens!J15275-min_cash))</f>
        <v>22.271</v>
      </c>
      <c r="K15276" s="6" t="n">
        <f aca="false">MAX(0,MIN(bb_target,Sens!J15278+Sens!K15274-Sens!K15275-min_cash))</f>
        <v>22.271</v>
      </c>
    </row>
    <row r="15277" customFormat="false" ht="15" hidden="false" customHeight="false" outlineLevel="0" collapsed="false">
      <c r="A15277" s="1" t="s">
        <v>971</v>
      </c>
      <c r="B15277" s="0" t="s">
        <v>98</v>
      </c>
      <c r="F15277" s="6" t="n">
        <f aca="false">MAX(0,min_cash-(Sens!E15278+Sens!F15274-Sens!F15275-Sens!F15276))</f>
        <v>14.2021090862764</v>
      </c>
      <c r="G15277" s="6" t="n">
        <f aca="false">MAX(0,min_cash-(Sens!F15278+Sens!G15274-Sens!G15275-Sens!G15276))</f>
        <v>13.2870537158026</v>
      </c>
      <c r="H15277" s="6" t="n">
        <f aca="false">MAX(0,min_cash-(Sens!G15278+Sens!H15274-Sens!H15275-Sens!H15276))</f>
        <v>0</v>
      </c>
      <c r="I15277" s="6" t="n">
        <f aca="false">MAX(0,min_cash-(Sens!H15278+Sens!I15274-Sens!I15275-Sens!I15276))</f>
        <v>0</v>
      </c>
      <c r="J15277" s="6" t="n">
        <f aca="false">MAX(0,min_cash-(Sens!I15278+Sens!J15274-Sens!J15275-Sens!J15276))</f>
        <v>0</v>
      </c>
      <c r="K15277" s="6" t="n">
        <f aca="false">MAX(0,min_cash-(Sens!J15278+Sens!K15274-Sens!K15275-Sens!K15276))</f>
        <v>0</v>
      </c>
    </row>
    <row r="15278" customFormat="false" ht="15" hidden="false" customHeight="false" outlineLevel="0" collapsed="false">
      <c r="A15278" s="1" t="s">
        <v>972</v>
      </c>
      <c r="B15278" s="0" t="s">
        <v>98</v>
      </c>
      <c r="E15278" s="6" t="n">
        <f aca="false">cash_open</f>
        <v>76.843</v>
      </c>
      <c r="F15278" s="6" t="n">
        <f aca="false">Sens!E15278+Sens!F15274-Sens!F15275-Sens!F15276+Sens!F15277</f>
        <v>50</v>
      </c>
      <c r="G15278" s="6" t="n">
        <f aca="false">Sens!F15278+Sens!G15274-Sens!G15275-Sens!G15276+Sens!G15277</f>
        <v>50</v>
      </c>
      <c r="H15278" s="6" t="n">
        <f aca="false">Sens!G15278+Sens!H15274-Sens!H15275-Sens!H15276+Sens!H15277</f>
        <v>50</v>
      </c>
      <c r="I15278" s="6" t="n">
        <f aca="false">Sens!H15278+Sens!I15274-Sens!I15275-Sens!I15276+Sens!I15277</f>
        <v>90.0328540023504</v>
      </c>
      <c r="J15278" s="6" t="n">
        <f aca="false">Sens!I15278+Sens!J15274-Sens!J15275-Sens!J15276+Sens!J15277</f>
        <v>189.855046825259</v>
      </c>
      <c r="K15278" s="6" t="n">
        <f aca="false">Sens!J15278+Sens!K15274-Sens!K15275-Sens!K15276+Sens!K15277</f>
        <v>314.666127552457</v>
      </c>
    </row>
    <row r="15279" customFormat="false" ht="15" hidden="false" customHeight="false" outlineLevel="0" collapsed="false">
      <c r="A15279" s="1" t="s">
        <v>973</v>
      </c>
      <c r="B15279" s="0" t="s">
        <v>98</v>
      </c>
      <c r="E15279" s="6" t="n">
        <f aca="false">debt_face</f>
        <v>46.136</v>
      </c>
      <c r="F15279" s="6" t="n">
        <f aca="false">Sens!E15279-Sens!F15275+Sens!F15277</f>
        <v>51.0881090862764</v>
      </c>
      <c r="G15279" s="6" t="n">
        <f aca="false">Sens!F15279-Sens!G15275+Sens!G15277</f>
        <v>64.375162802079</v>
      </c>
      <c r="H15279" s="6" t="n">
        <f aca="false">Sens!G15279-Sens!H15275+Sens!H15277</f>
        <v>62.374162802079</v>
      </c>
      <c r="I15279" s="6" t="n">
        <f aca="false">Sens!H15279-Sens!I15275+Sens!I15277</f>
        <v>62.374162802079</v>
      </c>
      <c r="J15279" s="6" t="n">
        <f aca="false">Sens!I15279-Sens!J15275+Sens!J15277</f>
        <v>61.874162802079</v>
      </c>
      <c r="K15279" s="6" t="n">
        <f aca="false">Sens!J15279-Sens!K15275+Sens!K15277</f>
        <v>61.874162802079</v>
      </c>
    </row>
    <row r="15280" customFormat="false" ht="15" hidden="false" customHeight="false" outlineLevel="0" collapsed="false">
      <c r="A15280" s="1" t="s">
        <v>974</v>
      </c>
      <c r="B15280" s="0" t="s">
        <v>98</v>
      </c>
      <c r="E15280" s="6" t="n">
        <f aca="false">Sens!E15278-Sens!E15279</f>
        <v>30.707</v>
      </c>
      <c r="F15280" s="6" t="n">
        <f aca="false">Sens!F15278-Sens!F15279</f>
        <v>-1.08810908627637</v>
      </c>
      <c r="G15280" s="6" t="n">
        <f aca="false">Sens!G15278-Sens!G15279</f>
        <v>-14.375162802079</v>
      </c>
      <c r="H15280" s="6" t="n">
        <f aca="false">Sens!H15278-Sens!H15279</f>
        <v>-12.374162802079</v>
      </c>
      <c r="I15280" s="6" t="n">
        <f aca="false">Sens!I15278-Sens!I15279</f>
        <v>27.6586912002714</v>
      </c>
      <c r="J15280" s="6" t="n">
        <f aca="false">Sens!J15278-Sens!J15279</f>
        <v>127.98088402318</v>
      </c>
      <c r="K15280" s="6" t="n">
        <f aca="false">Sens!K15278-Sens!K15279</f>
        <v>252.791964750378</v>
      </c>
    </row>
    <row r="15281" customFormat="false" ht="15" hidden="false" customHeight="false" outlineLevel="0" collapsed="false">
      <c r="A15281" s="1" t="s">
        <v>975</v>
      </c>
      <c r="B15281" s="0" t="s">
        <v>75</v>
      </c>
      <c r="F15281" s="29" t="n">
        <f aca="false">px*(1+bb_g)^(Sens!F15143-base_fy-mid_yr)</f>
        <v>553.494156066711</v>
      </c>
      <c r="G15281" s="29" t="n">
        <f aca="false">px*(1+bb_g)^(Sens!G15143-base_fy-mid_yr)</f>
        <v>597.773688552047</v>
      </c>
      <c r="H15281" s="29" t="n">
        <f aca="false">px*(1+bb_g)^(Sens!H15143-base_fy-mid_yr)</f>
        <v>645.595583636211</v>
      </c>
      <c r="I15281" s="29" t="n">
        <f aca="false">px*(1+bb_g)^(Sens!I15143-base_fy-mid_yr)</f>
        <v>697.243230327108</v>
      </c>
      <c r="J15281" s="29" t="n">
        <f aca="false">px*(1+bb_g)^(Sens!J15143-base_fy-mid_yr)</f>
        <v>753.022688753277</v>
      </c>
      <c r="K15281" s="29" t="n">
        <f aca="false">px*(1+bb_g)^(Sens!K15143-base_fy-mid_yr)</f>
        <v>813.264503853539</v>
      </c>
    </row>
    <row r="15282" customFormat="false" ht="15" hidden="false" customHeight="false" outlineLevel="0" collapsed="false">
      <c r="A15282" s="1" t="s">
        <v>976</v>
      </c>
      <c r="B15282" s="1" t="s">
        <v>81</v>
      </c>
      <c r="E15282" s="14" t="n">
        <f aca="false">sh_out26</f>
        <v>7.427</v>
      </c>
      <c r="F15282" s="14" t="n">
        <f aca="false">Sens!E15282+sh_iss-Sens!F15276/Sens!F15281</f>
        <v>7.472</v>
      </c>
      <c r="G15282" s="14" t="n">
        <f aca="false">Sens!F15282+sh_iss-Sens!G15276/Sens!G15281</f>
        <v>7.517</v>
      </c>
      <c r="H15282" s="14" t="n">
        <f aca="false">Sens!G15282+sh_iss-Sens!H15276/Sens!H15281</f>
        <v>7.55192989211623</v>
      </c>
      <c r="I15282" s="14" t="n">
        <f aca="false">Sens!H15282+sh_iss-Sens!I15276/Sens!I15281</f>
        <v>7.56498838443095</v>
      </c>
      <c r="J15282" s="14" t="n">
        <f aca="false">Sens!I15282+sh_iss-Sens!J15276/Sens!J15281</f>
        <v>7.58041291435199</v>
      </c>
      <c r="K15282" s="14" t="n">
        <f aca="false">Sens!J15282+sh_iss-Sens!K15276/Sens!K15281</f>
        <v>7.59802821983444</v>
      </c>
    </row>
    <row r="15283" customFormat="false" ht="15" hidden="false" customHeight="false" outlineLevel="0" collapsed="false">
      <c r="A15283" s="1" t="s">
        <v>977</v>
      </c>
      <c r="B15283" s="1" t="s">
        <v>81</v>
      </c>
      <c r="E15283" s="14" t="n">
        <f aca="false">sh_dil26</f>
        <v>7.453</v>
      </c>
      <c r="F15283" s="14" t="n">
        <f aca="false">(Sens!E15282+Sens!F15282)/2+dil_gap</f>
        <v>7.4735</v>
      </c>
      <c r="G15283" s="14" t="n">
        <f aca="false">(Sens!F15282+Sens!G15282)/2+dil_gap</f>
        <v>7.5185</v>
      </c>
      <c r="H15283" s="14" t="n">
        <f aca="false">(Sens!G15282+Sens!H15282)/2+dil_gap</f>
        <v>7.55846494605811</v>
      </c>
      <c r="I15283" s="14" t="n">
        <f aca="false">(Sens!H15282+Sens!I15282)/2+dil_gap</f>
        <v>7.58245913827359</v>
      </c>
      <c r="J15283" s="14" t="n">
        <f aca="false">(Sens!I15282+Sens!J15282)/2+dil_gap</f>
        <v>7.59670064939147</v>
      </c>
      <c r="K15283" s="14" t="n">
        <f aca="false">(Sens!J15282+Sens!K15282)/2+dil_gap</f>
        <v>7.61322056709322</v>
      </c>
    </row>
    <row r="15284" customFormat="false" ht="17.15" hidden="false" customHeight="false" outlineLevel="0" collapsed="false">
      <c r="A15284" s="1" t="s">
        <v>978</v>
      </c>
      <c r="B15284" s="0" t="s">
        <v>98</v>
      </c>
      <c r="C15284" s="6" t="n">
        <f aca="false">SUM(Sens!F15274:J15274)</f>
        <v>148.317101199683</v>
      </c>
    </row>
    <row r="15285" customFormat="false" ht="15" hidden="false" customHeight="false" outlineLevel="0" collapsed="false">
      <c r="A15285" s="23" t="s">
        <v>945</v>
      </c>
      <c r="B15285" s="30" t="s">
        <v>98</v>
      </c>
      <c r="C15285" s="24" t="n">
        <f aca="false">Sens!$C$15284-(Sens!F15274+Sens!G15274+Sens!H15274+Sens!I15274+Sens!J15274)</f>
        <v>0</v>
      </c>
      <c r="D15285" s="30"/>
      <c r="E15285" s="30"/>
      <c r="F15285" s="30"/>
      <c r="G15285" s="30"/>
      <c r="H15285" s="30"/>
      <c r="I15285" s="30"/>
      <c r="J15285" s="30"/>
      <c r="K15285" s="30"/>
    </row>
    <row r="15286" customFormat="false" ht="17.15" hidden="false" customHeight="false" outlineLevel="0" collapsed="false">
      <c r="A15286" s="1" t="s">
        <v>939</v>
      </c>
      <c r="B15286" s="1" t="s">
        <v>979</v>
      </c>
      <c r="C15286" s="32" t="str">
        <f aca="false">IF(SUM(Sens!F15277:J15277)&gt;0.05,"需要舉債 "&amp;TEXT(SUM(Sens!F15277:J15277),"0.0")&amp;" 十億美元","不需舉債")&amp;"；"&amp;IF(SUM(Sens!F15276:J15276)&lt;COUNT(Sens!F15276:J15276)*bb_target-0.05,"回購較每年 "&amp;TEXT(bb_target,"0.0")&amp;" 的目標少 "&amp;TEXT(COUNT(Sens!F15276:J15276)*bb_target-SUM(Sens!F15276:J15276),"0.0")&amp;" 十億美元（"&amp;TEXT(COUNTIF(Sens!F15276:J15276,"&lt;"&amp;(bb_target-0.05)),"0")&amp;" 年減少）","回購不減")</f>
        <v>需要舉債 27.5 十億美元；回購較每年 22.3 的目標少 60.3 十億美元（3 年減少）</v>
      </c>
    </row>
    <row r="15287" customFormat="false" ht="17.15" hidden="false" customHeight="false" outlineLevel="0" collapsed="false">
      <c r="A15287" s="3" t="s">
        <v>1650</v>
      </c>
    </row>
    <row r="15288" customFormat="false" ht="15" hidden="false" customHeight="false" outlineLevel="0" collapsed="false">
      <c r="A15288" s="4" t="s">
        <v>43</v>
      </c>
      <c r="B15288" s="4" t="s">
        <v>65</v>
      </c>
      <c r="C15288" s="20" t="s">
        <v>799</v>
      </c>
      <c r="D15288" s="20" t="s">
        <v>800</v>
      </c>
      <c r="E15288" s="20" t="s">
        <v>801</v>
      </c>
      <c r="F15288" s="20" t="s">
        <v>802</v>
      </c>
      <c r="G15288" s="20" t="s">
        <v>803</v>
      </c>
      <c r="H15288" s="20" t="s">
        <v>804</v>
      </c>
      <c r="I15288" s="20" t="s">
        <v>805</v>
      </c>
      <c r="J15288" s="20" t="s">
        <v>806</v>
      </c>
      <c r="K15288" s="20" t="s">
        <v>807</v>
      </c>
      <c r="L15288" s="4" t="s">
        <v>47</v>
      </c>
    </row>
    <row r="15289" customFormat="false" ht="15" hidden="false" customHeight="false" outlineLevel="0" collapsed="false">
      <c r="A15289" s="1" t="s">
        <v>1057</v>
      </c>
      <c r="B15289" s="1" t="s">
        <v>235</v>
      </c>
      <c r="F15289" s="36" t="n">
        <f aca="false">Sens!F15143-base_fy-mid_yr</f>
        <v>0.5</v>
      </c>
      <c r="G15289" s="36" t="n">
        <f aca="false">Sens!G15143-base_fy-mid_yr</f>
        <v>1.5</v>
      </c>
      <c r="H15289" s="36" t="n">
        <f aca="false">Sens!H15143-base_fy-mid_yr</f>
        <v>2.5</v>
      </c>
      <c r="I15289" s="36" t="n">
        <f aca="false">Sens!I15143-base_fy-mid_yr</f>
        <v>3.5</v>
      </c>
      <c r="J15289" s="36" t="n">
        <f aca="false">Sens!J15143-base_fy-mid_yr</f>
        <v>4.5</v>
      </c>
      <c r="K15289" s="36" t="n">
        <f aca="false">Sens!K15143-base_fy-mid_yr</f>
        <v>5.5</v>
      </c>
    </row>
    <row r="15290" customFormat="false" ht="15" hidden="false" customHeight="false" outlineLevel="0" collapsed="false">
      <c r="A15290" s="1" t="s">
        <v>1058</v>
      </c>
      <c r="B15290" s="0" t="s">
        <v>185</v>
      </c>
      <c r="F15290" s="14" t="n">
        <f aca="false">1/(1+wacc)^Sens!F15289</f>
        <v>0.952193373608246</v>
      </c>
      <c r="G15290" s="14" t="n">
        <f aca="false">1/(1+wacc)^Sens!G15289</f>
        <v>0.863327280626589</v>
      </c>
      <c r="H15290" s="14" t="n">
        <f aca="false">1/(1+wacc)^Sens!H15289</f>
        <v>0.782754862754115</v>
      </c>
      <c r="I15290" s="14" t="n">
        <f aca="false">1/(1+wacc)^Sens!I15289</f>
        <v>0.709702089711011</v>
      </c>
      <c r="J15290" s="14" t="n">
        <f aca="false">1/(1+wacc)^Sens!J15289</f>
        <v>0.643467169744551</v>
      </c>
      <c r="K15290" s="14" t="n">
        <f aca="false">1/(1+wacc)^Sens!K15289</f>
        <v>0.583413807767797</v>
      </c>
    </row>
    <row r="15291" customFormat="false" ht="17.15" hidden="false" customHeight="false" outlineLevel="0" collapsed="false">
      <c r="A15291" s="1" t="s">
        <v>1059</v>
      </c>
      <c r="B15291" s="0" t="s">
        <v>98</v>
      </c>
      <c r="F15291" s="6" t="n">
        <f aca="false">Sens!F15264-Sens!F15262-Sens!F15268+Sens!F15247*(1-tax_f)</f>
        <v>-9.74275806644866</v>
      </c>
      <c r="G15291" s="6" t="n">
        <f aca="false">Sens!G15264-Sens!G15262-Sens!G15268+Sens!G15247*(1-tax_f)</f>
        <v>22.1574865714236</v>
      </c>
      <c r="H15291" s="6" t="n">
        <f aca="false">Sens!H15264-Sens!H15262-Sens!H15268+Sens!H15247*(1-tax_f)</f>
        <v>58.1982715801298</v>
      </c>
      <c r="I15291" s="6" t="n">
        <f aca="false">Sens!I15264-Sens!I15262-Sens!I15268+Sens!I15247*(1-tax_f)</f>
        <v>125.448097969876</v>
      </c>
      <c r="J15291" s="6" t="n">
        <f aca="false">Sens!J15264-Sens!J15262-Sens!J15268+Sens!J15247*(1-tax_f)</f>
        <v>195.971935733805</v>
      </c>
      <c r="K15291" s="6" t="n">
        <f aca="false">Sens!K15264-Sens!K15262-Sens!K15268+Sens!K15247*(1-tax_f)</f>
        <v>227.715730793141</v>
      </c>
      <c r="L15291" s="1" t="s">
        <v>1060</v>
      </c>
    </row>
    <row r="15292" customFormat="false" ht="15" hidden="false" customHeight="false" outlineLevel="0" collapsed="false">
      <c r="A15292" s="1" t="s">
        <v>1061</v>
      </c>
      <c r="B15292" s="0" t="s">
        <v>98</v>
      </c>
      <c r="F15292" s="6" t="n">
        <f aca="false">Sens!F15291*Sens!F15290</f>
        <v>-9.2769896715407</v>
      </c>
      <c r="G15292" s="6" t="n">
        <f aca="false">Sens!G15291*Sens!G15290</f>
        <v>19.1291626272273</v>
      </c>
      <c r="H15292" s="6" t="n">
        <f aca="false">Sens!H15291*Sens!H15290</f>
        <v>45.5549800832312</v>
      </c>
      <c r="I15292" s="6" t="n">
        <f aca="false">Sens!I15291*Sens!I15290</f>
        <v>89.0307772794923</v>
      </c>
      <c r="J15292" s="6" t="n">
        <f aca="false">Sens!J15291*Sens!J15290</f>
        <v>126.101506835992</v>
      </c>
      <c r="K15292" s="6" t="n">
        <f aca="false">Sens!K15291*Sens!K15290</f>
        <v>132.852501590653</v>
      </c>
    </row>
    <row r="15293" customFormat="false" ht="17.15" hidden="false" customHeight="false" outlineLevel="0" collapsed="false">
      <c r="A15293" s="1" t="s">
        <v>1062</v>
      </c>
      <c r="B15293" s="0" t="s">
        <v>98</v>
      </c>
      <c r="C15293" s="6" t="n">
        <f aca="false">SUM(Sens!F15292:K15292)</f>
        <v>403.391938745056</v>
      </c>
    </row>
    <row r="15294" customFormat="false" ht="17.15" hidden="false" customHeight="false" outlineLevel="0" collapsed="false">
      <c r="A15294" s="1" t="s">
        <v>1063</v>
      </c>
      <c r="B15294" s="0" t="s">
        <v>98</v>
      </c>
      <c r="C15294" s="6" t="n">
        <f aca="false">Sens!K15233*(1+g_tv)*(1-tax_f)</f>
        <v>241.822359351691</v>
      </c>
    </row>
    <row r="15295" customFormat="false" ht="17.15" hidden="false" customHeight="false" outlineLevel="0" collapsed="false">
      <c r="A15295" s="1" t="s">
        <v>1064</v>
      </c>
      <c r="B15295" s="0" t="s">
        <v>98</v>
      </c>
      <c r="C15295" s="6" t="n">
        <f aca="false">Sens!$C$15294*(1-g_tv/(wacc+ronic_prem))</f>
        <v>171.343788879297</v>
      </c>
    </row>
    <row r="15296" customFormat="false" ht="17.15" hidden="false" customHeight="false" outlineLevel="0" collapsed="false">
      <c r="A15296" s="1" t="s">
        <v>1065</v>
      </c>
      <c r="B15296" s="0" t="s">
        <v>98</v>
      </c>
      <c r="C15296" s="6" t="n">
        <f aca="false">Sens!$C$15295/(wacc-g_tv)</f>
        <v>2349.28568241312</v>
      </c>
    </row>
    <row r="15297" customFormat="false" ht="15" hidden="false" customHeight="false" outlineLevel="0" collapsed="false">
      <c r="A15297" s="1" t="s">
        <v>1066</v>
      </c>
      <c r="B15297" s="0" t="s">
        <v>98</v>
      </c>
      <c r="C15297" s="6" t="n">
        <f aca="false">Sens!$C$15296/(1+wacc)^(Sens!K15289+mid_yr)</f>
        <v>1305.08167061724</v>
      </c>
    </row>
    <row r="15298" customFormat="false" ht="17.15" hidden="false" customHeight="false" outlineLevel="0" collapsed="false">
      <c r="A15298" s="0" t="s">
        <v>986</v>
      </c>
      <c r="B15298" s="0" t="s">
        <v>98</v>
      </c>
      <c r="C15298" s="6" t="n">
        <f aca="false">Sens!$C$15293+Sens!$C$15297</f>
        <v>1708.47360936229</v>
      </c>
    </row>
    <row r="15299" customFormat="false" ht="15" hidden="false" customHeight="false" outlineLevel="0" collapsed="false">
      <c r="A15299" s="1" t="s">
        <v>987</v>
      </c>
      <c r="B15299" s="0" t="s">
        <v>129</v>
      </c>
      <c r="C15299" s="7" t="n">
        <f aca="false">Sens!$C$15297/Sens!$C$15298</f>
        <v>0.763887521273667</v>
      </c>
    </row>
    <row r="15300" customFormat="false" ht="17.15" hidden="false" customHeight="false" outlineLevel="0" collapsed="false">
      <c r="A15300" s="1" t="s">
        <v>1067</v>
      </c>
      <c r="B15300" s="0" t="s">
        <v>98</v>
      </c>
      <c r="C15300" s="6" t="n">
        <f aca="false">Sens!$C$15298+Sens!E15280-Sens!E15269+oai_v</f>
        <v>1842.98660936229</v>
      </c>
    </row>
    <row r="15301" customFormat="false" ht="17.15" hidden="false" customHeight="false" outlineLevel="0" collapsed="false">
      <c r="A15301" s="0" t="s">
        <v>994</v>
      </c>
      <c r="B15301" s="0" t="s">
        <v>75</v>
      </c>
      <c r="C15301" s="5" t="n">
        <f aca="false">Sens!$C$15300/sh_dil26</f>
        <v>247.281176621802</v>
      </c>
    </row>
    <row r="15302" customFormat="false" ht="15" hidden="false" customHeight="false" outlineLevel="0" collapsed="false">
      <c r="A15302" s="1" t="s">
        <v>1068</v>
      </c>
      <c r="B15302" s="0" t="s">
        <v>75</v>
      </c>
      <c r="C15302" s="8" t="n">
        <f aca="false">dps_27+Sens!G15272*roll_div_q/q_per_yr</f>
        <v>4.8895</v>
      </c>
    </row>
    <row r="15303" customFormat="false" ht="17.15" hidden="false" customHeight="false" outlineLevel="0" collapsed="false">
      <c r="A15303" s="0" t="s">
        <v>1069</v>
      </c>
      <c r="B15303" s="0" t="s">
        <v>75</v>
      </c>
      <c r="C15303" s="5" t="n">
        <f aca="false">Sens!$C$15301*(1+wacc)^t_roll-Sens!$C$15302</f>
        <v>276.697832420459</v>
      </c>
    </row>
    <row r="15304" customFormat="false" ht="17.15" hidden="false" customHeight="false" outlineLevel="0" collapsed="false">
      <c r="A15304" s="1" t="s">
        <v>1070</v>
      </c>
      <c r="B15304" s="0" t="s">
        <v>129</v>
      </c>
      <c r="F15304" s="7" t="n">
        <f aca="false">Sens!F15259/(Sens!F15204-Sens!F15160)</f>
        <v>0.0711475516535717</v>
      </c>
      <c r="G15304" s="7" t="n">
        <f aca="false">Sens!G15259/(Sens!G15204-Sens!G15160)</f>
        <v>0.0682588862083999</v>
      </c>
      <c r="H15304" s="7" t="n">
        <f aca="false">Sens!H15259/(Sens!H15204-Sens!H15160)</f>
        <v>0.0666622170094897</v>
      </c>
      <c r="I15304" s="7" t="n">
        <f aca="false">Sens!I15259/(Sens!I15204-Sens!I15160)</f>
        <v>0.0661991449367101</v>
      </c>
      <c r="J15304" s="7" t="n">
        <f aca="false">Sens!J15259/(Sens!J15204-Sens!J15160)</f>
        <v>0.0666400583966394</v>
      </c>
      <c r="K15304" s="7" t="n">
        <f aca="false">Sens!K15259/(Sens!K15204-Sens!K15160)</f>
        <v>0.0677351822588561</v>
      </c>
    </row>
    <row r="15305" customFormat="false" ht="17.15" hidden="false" customHeight="false" outlineLevel="0" collapsed="false">
      <c r="A15305" s="0" t="s">
        <v>1071</v>
      </c>
      <c r="B15305" s="0" t="s">
        <v>98</v>
      </c>
      <c r="F15305" s="6" t="n">
        <f aca="false">Sens!F15189*(al_m365+Sens!F15304+sbc_r)</f>
        <v>83.1760446796226</v>
      </c>
      <c r="G15305" s="6" t="n">
        <f aca="false">Sens!G15189*(al_m365+Sens!G15304+sbc_r)</f>
        <v>93.5286621744803</v>
      </c>
      <c r="H15305" s="6" t="n">
        <f aca="false">Sens!H15189*(al_m365+Sens!H15304+sbc_r)</f>
        <v>104.041881899886</v>
      </c>
      <c r="I15305" s="6" t="n">
        <f aca="false">Sens!I15189*(al_m365+Sens!I15304+sbc_r)</f>
        <v>114.039361049722</v>
      </c>
      <c r="J15305" s="6" t="n">
        <f aca="false">Sens!J15189*(al_m365+Sens!J15304+sbc_r)</f>
        <v>123.332589690985</v>
      </c>
      <c r="K15305" s="6" t="n">
        <f aca="false">Sens!K15189*(al_m365+Sens!K15304+sbc_r)</f>
        <v>132.229319216379</v>
      </c>
      <c r="L15305" s="11" t="s">
        <v>1072</v>
      </c>
    </row>
    <row r="15306" customFormat="false" ht="17.15" hidden="false" customHeight="false" outlineLevel="0" collapsed="false">
      <c r="A15306" s="0" t="s">
        <v>1073</v>
      </c>
      <c r="B15306" s="0" t="s">
        <v>98</v>
      </c>
      <c r="F15306" s="6" t="n">
        <f aca="false">Sens!F15190*(al_lic+Sens!F15304+sbc_r)</f>
        <v>33.5445611735131</v>
      </c>
      <c r="G15306" s="6" t="n">
        <f aca="false">Sens!G15190*(al_lic+Sens!G15304+sbc_r)</f>
        <v>34.8473362891936</v>
      </c>
      <c r="H15306" s="6" t="n">
        <f aca="false">Sens!H15190*(al_lic+Sens!H15304+sbc_r)</f>
        <v>36.0608450618725</v>
      </c>
      <c r="I15306" s="6" t="n">
        <f aca="false">Sens!I15190*(al_lic+Sens!I15304+sbc_r)</f>
        <v>37.1647768367666</v>
      </c>
      <c r="J15306" s="6" t="n">
        <f aca="false">Sens!J15190*(al_lic+Sens!J15304+sbc_r)</f>
        <v>38.1353659513221</v>
      </c>
      <c r="K15306" s="6" t="n">
        <f aca="false">Sens!K15190*(al_lic+Sens!K15304+sbc_r)</f>
        <v>38.9479527536449</v>
      </c>
    </row>
    <row r="15307" customFormat="false" ht="17.15" hidden="false" customHeight="false" outlineLevel="0" collapsed="false">
      <c r="A15307" s="0" t="s">
        <v>1074</v>
      </c>
      <c r="B15307" s="0" t="s">
        <v>98</v>
      </c>
      <c r="F15307" s="6" t="n">
        <f aca="false">Sens!F15192*(al_ind+Sens!F15304+sbc_r)</f>
        <v>9.13359830063899</v>
      </c>
      <c r="G15307" s="6" t="n">
        <f aca="false">Sens!G15192*(al_ind+Sens!G15304+sbc_r)</f>
        <v>9.91355811855172</v>
      </c>
      <c r="H15307" s="6" t="n">
        <f aca="false">Sens!H15192*(al_ind+Sens!H15304+sbc_r)</f>
        <v>10.737007894057</v>
      </c>
      <c r="I15307" s="6" t="n">
        <f aca="false">Sens!I15192*(al_ind+Sens!I15304+sbc_r)</f>
        <v>11.5994300763088</v>
      </c>
      <c r="J15307" s="6" t="n">
        <f aca="false">Sens!J15192*(al_ind+Sens!J15304+sbc_r)</f>
        <v>12.4920789859702</v>
      </c>
      <c r="K15307" s="6" t="n">
        <f aca="false">Sens!K15192*(al_ind+Sens!K15304+sbc_r)</f>
        <v>13.4027551573777</v>
      </c>
    </row>
    <row r="15308" customFormat="false" ht="17.15" hidden="false" customHeight="false" outlineLevel="0" collapsed="false">
      <c r="A15308" s="0" t="s">
        <v>1075</v>
      </c>
      <c r="B15308" s="0" t="s">
        <v>98</v>
      </c>
      <c r="F15308" s="6" t="n">
        <f aca="false">Sens!F15194*(al_fro+Sens!F15304+sbc_r)</f>
        <v>3.59501635737694</v>
      </c>
      <c r="G15308" s="6" t="n">
        <f aca="false">Sens!G15194*(al_fro+Sens!G15304+sbc_r)</f>
        <v>3.80622021137838</v>
      </c>
      <c r="H15308" s="6" t="n">
        <f aca="false">Sens!H15194*(al_fro+Sens!H15304+sbc_r)</f>
        <v>4.04607207599632</v>
      </c>
      <c r="I15308" s="6" t="n">
        <f aca="false">Sens!I15194*(al_fro+Sens!I15304+sbc_r)</f>
        <v>4.31683578333903</v>
      </c>
      <c r="J15308" s="6" t="n">
        <f aca="false">Sens!J15194*(al_fro+Sens!J15304+sbc_r)</f>
        <v>4.62005087871645</v>
      </c>
      <c r="K15308" s="6" t="n">
        <f aca="false">Sens!K15194*(al_fro+Sens!K15304+sbc_r)</f>
        <v>4.95685392412327</v>
      </c>
    </row>
    <row r="15309" customFormat="false" ht="17.15" hidden="false" customHeight="false" outlineLevel="0" collapsed="false">
      <c r="A15309" s="0" t="s">
        <v>1076</v>
      </c>
      <c r="B15309" s="0" t="s">
        <v>98</v>
      </c>
      <c r="F15309" s="6" t="n">
        <f aca="false">Sens!F15197*(al_srch+Sens!F15304+sbc_r)</f>
        <v>11.2801258639919</v>
      </c>
      <c r="G15309" s="6" t="n">
        <f aca="false">Sens!G15197*(al_srch+Sens!G15304+sbc_r)</f>
        <v>12.3589086285988</v>
      </c>
      <c r="H15309" s="6" t="n">
        <f aca="false">Sens!H15197*(al_srch+Sens!H15304+sbc_r)</f>
        <v>13.4807030139583</v>
      </c>
      <c r="I15309" s="6" t="n">
        <f aca="false">Sens!I15197*(al_srch+Sens!I15304+sbc_r)</f>
        <v>14.6329459978989</v>
      </c>
      <c r="J15309" s="6" t="n">
        <f aca="false">Sens!J15197*(al_srch+Sens!J15304+sbc_r)</f>
        <v>15.7968154400613</v>
      </c>
      <c r="K15309" s="6" t="n">
        <f aca="false">Sens!K15197*(al_srch+Sens!K15304+sbc_r)</f>
        <v>16.9484078548661</v>
      </c>
    </row>
    <row r="15310" customFormat="false" ht="17.15" hidden="false" customHeight="false" outlineLevel="0" collapsed="false">
      <c r="A15310" s="0" t="s">
        <v>1077</v>
      </c>
      <c r="B15310" s="0" t="s">
        <v>98</v>
      </c>
      <c r="F15310" s="6" t="n">
        <f aca="false">Sens!F15166-Sens!F15167+Sens!F15247</f>
        <v>33.5798724273702</v>
      </c>
      <c r="G15310" s="6" t="n">
        <f aca="false">Sens!G15166-Sens!G15167+Sens!G15247</f>
        <v>62.658786012421</v>
      </c>
      <c r="H15310" s="6" t="n">
        <f aca="false">Sens!H15166-Sens!H15167+Sens!H15247</f>
        <v>88.9484987775545</v>
      </c>
      <c r="I15310" s="6" t="n">
        <f aca="false">Sens!I15166-Sens!I15167+Sens!I15247</f>
        <v>119.063679450543</v>
      </c>
      <c r="J15310" s="6" t="n">
        <f aca="false">Sens!J15166-Sens!J15167+Sens!J15247</f>
        <v>140.531306732237</v>
      </c>
      <c r="K15310" s="6" t="n">
        <f aca="false">Sens!K15166-Sens!K15167+Sens!K15247</f>
        <v>154.524186449187</v>
      </c>
    </row>
    <row r="15311" customFormat="false" ht="17.15" hidden="false" customHeight="false" outlineLevel="0" collapsed="false">
      <c r="A15311" s="0" t="s">
        <v>1078</v>
      </c>
      <c r="B15311" s="0" t="s">
        <v>98</v>
      </c>
      <c r="F15311" s="6" t="n">
        <f aca="false">Sens!F15226+Sens!F15247+Sens!F15177+Sens!F15304*(Sens!F15196-Sens!F15160)+sbc_r*Sens!F15196</f>
        <v>223.324677566229</v>
      </c>
      <c r="G15311" s="6" t="n">
        <f aca="false">Sens!G15226+Sens!G15247+Sens!G15177+Sens!G15304*(Sens!G15196-Sens!G15160)+sbc_r*Sens!G15196</f>
        <v>277.24291584231</v>
      </c>
      <c r="H15311" s="6" t="n">
        <f aca="false">Sens!H15226+Sens!H15247+Sens!H15177+Sens!H15304*(Sens!H15196-Sens!H15160)+sbc_r*Sens!H15196</f>
        <v>328.64418868478</v>
      </c>
      <c r="I15311" s="6" t="n">
        <f aca="false">Sens!I15226+Sens!I15247+Sens!I15177+Sens!I15304*(Sens!I15196-Sens!I15160)+sbc_r*Sens!I15196</f>
        <v>383.254860726747</v>
      </c>
      <c r="J15311" s="6" t="n">
        <f aca="false">Sens!J15226+Sens!J15247+Sens!J15177+Sens!J15304*(Sens!J15196-Sens!J15160)+sbc_r*Sens!J15196</f>
        <v>427.326510173693</v>
      </c>
      <c r="K15311" s="6" t="n">
        <f aca="false">Sens!K15226+Sens!K15247+Sens!K15177+Sens!K15304*(Sens!K15196-Sens!K15160)+sbc_r*Sens!K15196</f>
        <v>461.63704792827</v>
      </c>
    </row>
    <row r="15312" customFormat="false" ht="17.15" hidden="false" customHeight="false" outlineLevel="0" collapsed="false">
      <c r="A15312" s="0" t="s">
        <v>1079</v>
      </c>
      <c r="B15312" s="0" t="s">
        <v>98</v>
      </c>
      <c r="F15312" s="6" t="n">
        <f aca="false">Sens!F15311-Sens!F15305-Sens!F15306-Sens!F15307-Sens!F15308-Sens!F15310</f>
        <v>60.2955846277069</v>
      </c>
      <c r="G15312" s="6" t="n">
        <f aca="false">Sens!G15311-Sens!G15305-Sens!G15306-Sens!G15307-Sens!G15308-Sens!G15310</f>
        <v>72.4883530362854</v>
      </c>
      <c r="H15312" s="6" t="n">
        <f aca="false">Sens!H15311-Sens!H15305-Sens!H15306-Sens!H15307-Sens!H15308-Sens!H15310</f>
        <v>84.8098829754144</v>
      </c>
      <c r="I15312" s="6" t="n">
        <f aca="false">Sens!I15311-Sens!I15305-Sens!I15306-Sens!I15307-Sens!I15308-Sens!I15310</f>
        <v>97.0707775300672</v>
      </c>
      <c r="J15312" s="6" t="n">
        <f aca="false">Sens!J15311-Sens!J15305-Sens!J15306-Sens!J15307-Sens!J15308-Sens!J15310</f>
        <v>108.215117934462</v>
      </c>
      <c r="K15312" s="6" t="n">
        <f aca="false">Sens!K15311-Sens!K15305-Sens!K15306-Sens!K15307-Sens!K15308-Sens!K15310</f>
        <v>117.575980427559</v>
      </c>
    </row>
    <row r="15313" customFormat="false" ht="17.15" hidden="false" customHeight="false" outlineLevel="0" collapsed="false">
      <c r="A15313" s="0" t="s">
        <v>1080</v>
      </c>
      <c r="B15313" s="0" t="s">
        <v>98</v>
      </c>
      <c r="F15313" s="6" t="n">
        <f aca="false">Sens!F15228+Sens!F15304*Sens!F15203+sbc_r*Sens!F15203</f>
        <v>26.3652761595447</v>
      </c>
      <c r="G15313" s="6" t="n">
        <f aca="false">Sens!G15228+Sens!G15304*Sens!G15203+sbc_r*Sens!G15203</f>
        <v>26.9742866145486</v>
      </c>
      <c r="H15313" s="6" t="n">
        <f aca="false">Sens!H15228+Sens!H15304*Sens!H15203+sbc_r*Sens!H15203</f>
        <v>27.8483067679033</v>
      </c>
      <c r="I15313" s="6" t="n">
        <f aca="false">Sens!I15228+Sens!I15304*Sens!I15203+sbc_r*Sens!I15203</f>
        <v>28.9540944937551</v>
      </c>
      <c r="J15313" s="6" t="n">
        <f aca="false">Sens!J15228+Sens!J15304*Sens!J15203+sbc_r*Sens!J15203</f>
        <v>30.2591967501426</v>
      </c>
      <c r="K15313" s="6" t="n">
        <f aca="false">Sens!K15228+Sens!K15304*Sens!K15203+sbc_r*Sens!K15203</f>
        <v>31.7334012124467</v>
      </c>
    </row>
    <row r="15314" customFormat="false" ht="17.15" hidden="false" customHeight="false" outlineLevel="0" collapsed="false">
      <c r="A15314" s="0" t="s">
        <v>1081</v>
      </c>
      <c r="B15314" s="0" t="s">
        <v>98</v>
      </c>
      <c r="F15314" s="6" t="n">
        <f aca="false">(Sens!F15313-Sens!F15309)*Sens!F15199/(Sens!F15199+Sens!F15201)</f>
        <v>8.26953246478712</v>
      </c>
      <c r="G15314" s="6" t="n">
        <f aca="false">(Sens!G15313-Sens!G15309)*Sens!G15199/(Sens!G15199+Sens!G15201)</f>
        <v>7.8691542635731</v>
      </c>
      <c r="H15314" s="6" t="n">
        <f aca="false">(Sens!H15313-Sens!H15309)*Sens!H15199/(Sens!H15199+Sens!H15201)</f>
        <v>7.63125160105973</v>
      </c>
      <c r="I15314" s="6" t="n">
        <f aca="false">(Sens!I15313-Sens!I15309)*Sens!I15199/(Sens!I15199+Sens!I15201)</f>
        <v>7.53775281020212</v>
      </c>
      <c r="J15314" s="6" t="n">
        <f aca="false">(Sens!J15313-Sens!J15309)*Sens!J15199/(Sens!J15199+Sens!J15201)</f>
        <v>7.57766730524412</v>
      </c>
      <c r="K15314" s="6" t="n">
        <f aca="false">(Sens!K15313-Sens!K15309)*Sens!K15199/(Sens!K15199+Sens!K15201)</f>
        <v>7.74670217662515</v>
      </c>
    </row>
    <row r="15315" customFormat="false" ht="17.15" hidden="false" customHeight="false" outlineLevel="0" collapsed="false">
      <c r="A15315" s="0" t="s">
        <v>1082</v>
      </c>
      <c r="B15315" s="0" t="s">
        <v>98</v>
      </c>
      <c r="F15315" s="6" t="n">
        <f aca="false">Sens!F15313-Sens!F15309-Sens!F15314</f>
        <v>6.81561783076564</v>
      </c>
      <c r="G15315" s="6" t="n">
        <f aca="false">Sens!G15313-Sens!G15309-Sens!G15314</f>
        <v>6.74622372237672</v>
      </c>
      <c r="H15315" s="6" t="n">
        <f aca="false">Sens!H15313-Sens!H15309-Sens!H15314</f>
        <v>6.73635215288526</v>
      </c>
      <c r="I15315" s="6" t="n">
        <f aca="false">Sens!I15313-Sens!I15309-Sens!I15314</f>
        <v>6.78339568565411</v>
      </c>
      <c r="J15315" s="6" t="n">
        <f aca="false">Sens!J15313-Sens!J15309-Sens!J15314</f>
        <v>6.88471400483723</v>
      </c>
      <c r="K15315" s="6" t="n">
        <f aca="false">Sens!K15313-Sens!K15309-Sens!K15314</f>
        <v>7.03829118095546</v>
      </c>
    </row>
    <row r="15316" customFormat="false" ht="17.15" hidden="false" customHeight="false" outlineLevel="0" collapsed="false">
      <c r="A15316" s="0" t="s">
        <v>1083</v>
      </c>
      <c r="B15316" s="0" t="s">
        <v>98</v>
      </c>
      <c r="F15316" s="6" t="n">
        <f aca="false">Sens!F15310-tax_f*(Sens!F15310-Sens!F15177)-Sens!F15174</f>
        <v>-126.659000453379</v>
      </c>
      <c r="G15316" s="6" t="n">
        <f aca="false">Sens!G15310-tax_f*(Sens!G15310-Sens!G15177)-Sens!G15174</f>
        <v>-121.622064251161</v>
      </c>
      <c r="H15316" s="6" t="n">
        <f aca="false">Sens!H15310-tax_f*(Sens!H15310-Sens!H15177)-Sens!H15174</f>
        <v>-99.6492829196941</v>
      </c>
      <c r="I15316" s="6" t="n">
        <f aca="false">Sens!I15310-tax_f*(Sens!I15310-Sens!I15177)-Sens!I15174</f>
        <v>-46.3345768273324</v>
      </c>
      <c r="J15316" s="6" t="n">
        <f aca="false">Sens!J15310-tax_f*(Sens!J15310-Sens!J15177)-Sens!J15174</f>
        <v>10.8432733621165</v>
      </c>
      <c r="K15316" s="6" t="n">
        <f aca="false">Sens!K15310-tax_f*(Sens!K15310-Sens!K15177)-Sens!K15174</f>
        <v>30.0382266646203</v>
      </c>
    </row>
    <row r="15317" customFormat="false" ht="17.15" hidden="false" customHeight="false" outlineLevel="0" collapsed="false">
      <c r="A15317" s="0" t="s">
        <v>1084</v>
      </c>
      <c r="B15317" s="0" t="s">
        <v>98</v>
      </c>
      <c r="G15317" s="6" t="n">
        <f aca="false">Sens!G15316/(1+wacc)^(Sens!G15289-(Sens!F15289+mid_yr))</f>
        <v>-115.807723664512</v>
      </c>
      <c r="H15317" s="6" t="n">
        <f aca="false">Sens!H15316/(1+wacc)^(Sens!H15289-(Sens!F15289+mid_yr))</f>
        <v>-86.0299444394491</v>
      </c>
      <c r="I15317" s="6" t="n">
        <f aca="false">Sens!I15316/(1+wacc)^(Sens!I15289-(Sens!F15289+mid_yr))</f>
        <v>-36.2686153252486</v>
      </c>
      <c r="J15317" s="6" t="n">
        <f aca="false">Sens!J15316/(1+wacc)^(Sens!J15289-(Sens!F15289+mid_yr))</f>
        <v>7.69549376440179</v>
      </c>
      <c r="K15317" s="6" t="n">
        <f aca="false">Sens!K15316/(1+wacc)^(Sens!K15289-(Sens!F15289+mid_yr))</f>
        <v>19.3286126960285</v>
      </c>
      <c r="L15317" s="1" t="s">
        <v>1085</v>
      </c>
    </row>
    <row r="15318" customFormat="false" ht="17.15" hidden="false" customHeight="false" outlineLevel="0" collapsed="false">
      <c r="A15318" s="0" t="s">
        <v>1086</v>
      </c>
      <c r="B15318" s="0" t="s">
        <v>98</v>
      </c>
      <c r="C15318" s="6" t="n">
        <f aca="false">(Sens!K15310-Sens!K15177)*(1-tax_f)*(1+g_tv)*(1-g_tv/(wacc+ronic_prem))/(wacc-g_tv)/(1+wacc)^(Sens!K15289+mid_yr-(Sens!F15289+mid_yr))</f>
        <v>75.4976746468771</v>
      </c>
    </row>
    <row r="15319" customFormat="false" ht="17.15" hidden="false" customHeight="false" outlineLevel="0" collapsed="false">
      <c r="A15319" s="1" t="s">
        <v>1087</v>
      </c>
      <c r="B15319" s="0" t="s">
        <v>98</v>
      </c>
      <c r="C15319" s="6" t="n">
        <f aca="false">(SUM(Sens!G15317:K15317)+Sens!$C$15318)*(1+wacc)^(t_roll-(Sens!F15289+mid_yr))</f>
        <v>-139.985294758667</v>
      </c>
      <c r="L15319" s="11" t="s">
        <v>1088</v>
      </c>
    </row>
    <row r="15320" customFormat="false" ht="17.15" hidden="false" customHeight="false" outlineLevel="0" collapsed="false">
      <c r="A15320" s="1" t="s">
        <v>1089</v>
      </c>
      <c r="B15320" s="0" t="s">
        <v>98</v>
      </c>
      <c r="C15320" s="6" t="n">
        <f aca="false">(w_ntm28*Sens!G15166+(1-w_ntm28)*Sens!H15166)*m_ai</f>
        <v>338.776008390068</v>
      </c>
    </row>
    <row r="15321" customFormat="false" ht="17.15" hidden="false" customHeight="false" outlineLevel="0" collapsed="false">
      <c r="A15321" s="1" t="s">
        <v>1090</v>
      </c>
      <c r="B15321" s="0" t="s">
        <v>98</v>
      </c>
      <c r="C15321" s="6" t="n">
        <f aca="false">(w_ntm28*Sens!G15312+(1-w_ntm28)*Sens!H15312)*m_cloud</f>
        <v>1056.83960927252</v>
      </c>
    </row>
    <row r="15322" customFormat="false" ht="17.15" hidden="false" customHeight="false" outlineLevel="0" collapsed="false">
      <c r="A15322" s="1" t="s">
        <v>1091</v>
      </c>
      <c r="B15322" s="0" t="s">
        <v>98</v>
      </c>
      <c r="C15322" s="6" t="n">
        <f aca="false">(w_ntm28*Sens!G15305+(1-w_ntm28)*Sens!H15305)*m_sw</f>
        <v>1046.81653016399</v>
      </c>
    </row>
    <row r="15323" customFormat="false" ht="17.15" hidden="false" customHeight="false" outlineLevel="0" collapsed="false">
      <c r="A15323" s="1" t="s">
        <v>1092</v>
      </c>
      <c r="B15323" s="0" t="s">
        <v>98</v>
      </c>
      <c r="C15323" s="6" t="n">
        <f aca="false">(w_ntm28*Sens!G15306+(1-w_ntm28)*Sens!H15306)*m_sw</f>
        <v>380.588206114803</v>
      </c>
    </row>
    <row r="15324" customFormat="false" ht="17.15" hidden="false" customHeight="false" outlineLevel="0" collapsed="false">
      <c r="A15324" s="1" t="s">
        <v>1093</v>
      </c>
      <c r="B15324" s="0" t="s">
        <v>98</v>
      </c>
      <c r="C15324" s="6" t="n">
        <f aca="false">(w_ntm28*Sens!G15307+(1-w_ntm28)*Sens!H15307)*m_sw</f>
        <v>109.941508211602</v>
      </c>
    </row>
    <row r="15325" customFormat="false" ht="17.15" hidden="false" customHeight="false" outlineLevel="0" collapsed="false">
      <c r="A15325" s="1" t="s">
        <v>1094</v>
      </c>
      <c r="B15325" s="0" t="s">
        <v>98</v>
      </c>
      <c r="C15325" s="6" t="n">
        <f aca="false">(w_ntm28*Sens!G15308+(1-w_ntm28)*Sens!H15308)*m_sw</f>
        <v>41.944622711021</v>
      </c>
    </row>
    <row r="15326" customFormat="false" ht="17.15" hidden="false" customHeight="false" outlineLevel="0" collapsed="false">
      <c r="A15326" s="1" t="s">
        <v>1095</v>
      </c>
      <c r="B15326" s="0" t="s">
        <v>98</v>
      </c>
      <c r="C15326" s="6" t="n">
        <f aca="false">(w_ntm28*Sens!G15309+(1-w_ntm28)*Sens!H15309)*m_ads</f>
        <v>115.893511108929</v>
      </c>
    </row>
    <row r="15327" customFormat="false" ht="17.15" hidden="false" customHeight="false" outlineLevel="0" collapsed="false">
      <c r="A15327" s="1" t="s">
        <v>1096</v>
      </c>
      <c r="B15327" s="0" t="s">
        <v>98</v>
      </c>
      <c r="C15327" s="6" t="n">
        <f aca="false">(w_ntm28*Sens!G15314+(1-w_ntm28)*Sens!H15314)*m_game</f>
        <v>98.416032447421</v>
      </c>
    </row>
    <row r="15328" customFormat="false" ht="17.15" hidden="false" customHeight="false" outlineLevel="0" collapsed="false">
      <c r="A15328" s="1" t="s">
        <v>1097</v>
      </c>
      <c r="B15328" s="0" t="s">
        <v>98</v>
      </c>
      <c r="C15328" s="6" t="n">
        <f aca="false">(w_ntm28*Sens!G15315+(1-w_ntm28)*Sens!H15315)*m_pc</f>
        <v>97.5716783311641</v>
      </c>
    </row>
    <row r="15329" customFormat="false" ht="17.15" hidden="false" customHeight="false" outlineLevel="0" collapsed="false">
      <c r="A15329" s="1" t="s">
        <v>1098</v>
      </c>
      <c r="B15329" s="0" t="s">
        <v>98</v>
      </c>
      <c r="C15329" s="6" t="n">
        <f aca="false">Sens!$C$15319+Sens!$C$15321+Sens!$C$15322+Sens!$C$15323+Sens!$C$15324+Sens!$C$15325+Sens!$C$15326+Sens!$C$15327+Sens!$C$15328</f>
        <v>2808.02640360278</v>
      </c>
    </row>
    <row r="15330" customFormat="false" ht="17.15" hidden="false" customHeight="false" outlineLevel="0" collapsed="false">
      <c r="A15330" s="1" t="s">
        <v>1099</v>
      </c>
      <c r="B15330" s="0" t="s">
        <v>98</v>
      </c>
      <c r="C15330" s="6" t="n">
        <f aca="false">(Sens!G15291-Sens!G15316)*t_stub</f>
        <v>46.8760727339385</v>
      </c>
      <c r="L15330" s="1" t="s">
        <v>1100</v>
      </c>
    </row>
    <row r="15331" customFormat="false" ht="17.15" hidden="false" customHeight="false" outlineLevel="0" collapsed="false">
      <c r="A15331" s="1" t="s">
        <v>1014</v>
      </c>
      <c r="B15331" s="0" t="s">
        <v>98</v>
      </c>
      <c r="C15331" s="6" t="n">
        <f aca="false">Sens!F15280+oai_v-Sens!F15269+Sens!$C$15330</f>
        <v>153.718233647662</v>
      </c>
      <c r="L15331" s="1" t="s">
        <v>1101</v>
      </c>
    </row>
    <row r="15332" customFormat="false" ht="17.15" hidden="false" customHeight="false" outlineLevel="0" collapsed="false">
      <c r="A15332" s="1" t="s">
        <v>1102</v>
      </c>
      <c r="B15332" s="0" t="s">
        <v>75</v>
      </c>
      <c r="C15332" s="5" t="n">
        <f aca="false">(Sens!$C$15329+Sens!$C$15331)/(Sens!F15282+dil_gap)-Sens!G15272*roll_div_q/q_per_yr</f>
        <v>394.070510305556</v>
      </c>
      <c r="L15332" s="1" t="s">
        <v>1103</v>
      </c>
    </row>
    <row r="15333" customFormat="false" ht="17.15" hidden="false" customHeight="false" outlineLevel="0" collapsed="false">
      <c r="A15333" s="1" t="s">
        <v>1104</v>
      </c>
      <c r="B15333" s="0" t="s">
        <v>75</v>
      </c>
      <c r="C15333" s="5" t="n">
        <f aca="false">w_dcf*Sens!$C$15303+(1-w_dcf)*Sens!$C$15332</f>
        <v>335.384171363007</v>
      </c>
    </row>
    <row r="15334" customFormat="false" ht="17.15" hidden="false" customHeight="false" outlineLevel="0" collapsed="false">
      <c r="A15334" s="3" t="s">
        <v>1651</v>
      </c>
    </row>
    <row r="15335" customFormat="false" ht="15" hidden="false" customHeight="false" outlineLevel="0" collapsed="false">
      <c r="A15335" s="4" t="s">
        <v>43</v>
      </c>
      <c r="B15335" s="4" t="s">
        <v>65</v>
      </c>
      <c r="C15335" s="20" t="s">
        <v>799</v>
      </c>
      <c r="D15335" s="20" t="s">
        <v>800</v>
      </c>
      <c r="E15335" s="20" t="s">
        <v>801</v>
      </c>
      <c r="F15335" s="20" t="s">
        <v>802</v>
      </c>
      <c r="G15335" s="20" t="s">
        <v>803</v>
      </c>
      <c r="H15335" s="20" t="s">
        <v>804</v>
      </c>
      <c r="I15335" s="20" t="s">
        <v>805</v>
      </c>
      <c r="J15335" s="20" t="s">
        <v>806</v>
      </c>
      <c r="K15335" s="20" t="s">
        <v>807</v>
      </c>
      <c r="L15335" s="4" t="s">
        <v>47</v>
      </c>
    </row>
    <row r="15336" customFormat="false" ht="17.15" hidden="false" customHeight="false" outlineLevel="0" collapsed="false">
      <c r="A15336" s="1" t="s">
        <v>808</v>
      </c>
      <c r="B15336" s="1" t="s">
        <v>235</v>
      </c>
      <c r="C15336" s="28" t="n">
        <v>2024</v>
      </c>
      <c r="D15336" s="28" t="n">
        <v>2025</v>
      </c>
      <c r="E15336" s="28" t="n">
        <v>2026</v>
      </c>
      <c r="F15336" s="28" t="n">
        <v>2027</v>
      </c>
      <c r="G15336" s="28" t="n">
        <v>2028</v>
      </c>
      <c r="H15336" s="28" t="n">
        <v>2029</v>
      </c>
      <c r="I15336" s="28" t="n">
        <v>2030</v>
      </c>
      <c r="J15336" s="28" t="n">
        <v>2031</v>
      </c>
      <c r="K15336" s="28" t="n">
        <v>2032</v>
      </c>
    </row>
    <row r="15337" customFormat="false" ht="17.15" hidden="false" customHeight="false" outlineLevel="0" collapsed="false">
      <c r="A15337" s="1" t="s">
        <v>809</v>
      </c>
      <c r="B15337" s="0" t="s">
        <v>399</v>
      </c>
      <c r="F15337" s="29" t="n">
        <f aca="false">pace</f>
        <v>2527.2</v>
      </c>
      <c r="G15337" s="29" t="n">
        <f aca="false">pace</f>
        <v>2527.2</v>
      </c>
      <c r="H15337" s="29" t="n">
        <f aca="false">pace</f>
        <v>2527.2</v>
      </c>
      <c r="I15337" s="29" t="n">
        <f aca="false">pace+(g_tv*Sens!H15338-pace)*MIN(1,(Sens!I15336-pace_y0)/(pace_y1-pace_y0))</f>
        <v>1793.116</v>
      </c>
      <c r="J15337" s="29" t="n">
        <f aca="false">pace+(g_tv*Sens!I15338-pace)*MIN(1,(Sens!J15336-pace_y0)/(pace_y1-pace_y0))</f>
        <v>1094.89432</v>
      </c>
      <c r="K15337" s="29" t="n">
        <f aca="false">pace+(g_tv*Sens!J15338-pace)*MIN(1,(Sens!K15336-pace_y0)/(pace_y1-pace_y0))</f>
        <v>411.5883096</v>
      </c>
      <c r="L15337" s="11" t="s">
        <v>810</v>
      </c>
    </row>
    <row r="15338" customFormat="false" ht="17.15" hidden="false" customHeight="false" outlineLevel="0" collapsed="false">
      <c r="A15338" s="1" t="s">
        <v>811</v>
      </c>
      <c r="B15338" s="0" t="s">
        <v>399</v>
      </c>
      <c r="C15338" s="29" t="n">
        <f aca="false">mw_ext_24</f>
        <v>640</v>
      </c>
      <c r="D15338" s="29" t="n">
        <f aca="false">mw_ext_25</f>
        <v>1630</v>
      </c>
      <c r="E15338" s="29" t="n">
        <f aca="false">mw_ext_26</f>
        <v>3250</v>
      </c>
      <c r="F15338" s="29" t="n">
        <f aca="false">Sens!E15338+Sens!F15337</f>
        <v>5777.2</v>
      </c>
      <c r="G15338" s="29" t="n">
        <f aca="false">Sens!F15338+Sens!G15337</f>
        <v>8304.4</v>
      </c>
      <c r="H15338" s="29" t="n">
        <f aca="false">Sens!G15338+Sens!H15337</f>
        <v>10831.6</v>
      </c>
      <c r="I15338" s="29" t="n">
        <f aca="false">Sens!H15338+Sens!I15337</f>
        <v>12624.716</v>
      </c>
      <c r="J15338" s="29" t="n">
        <f aca="false">Sens!I15338+Sens!J15337</f>
        <v>13719.61032</v>
      </c>
      <c r="K15338" s="29" t="n">
        <f aca="false">Sens!J15338+Sens!K15337</f>
        <v>14131.1986296</v>
      </c>
      <c r="L15338" s="1" t="s">
        <v>812</v>
      </c>
    </row>
    <row r="15339" customFormat="false" ht="17.15" hidden="false" customHeight="false" outlineLevel="0" collapsed="false">
      <c r="A15339" s="1" t="s">
        <v>813</v>
      </c>
      <c r="B15339" s="0" t="s">
        <v>399</v>
      </c>
      <c r="C15339" s="29" t="n">
        <f aca="false">rent_ext_24</f>
        <v>150</v>
      </c>
      <c r="D15339" s="29" t="n">
        <f aca="false">rent_ext_25</f>
        <v>400</v>
      </c>
      <c r="E15339" s="29" t="n">
        <f aca="false">rent_ext_26</f>
        <v>550</v>
      </c>
      <c r="F15339" s="29" t="n">
        <f aca="false">rent_ext_f</f>
        <v>756</v>
      </c>
      <c r="G15339" s="29" t="n">
        <f aca="false">rent_ext_f</f>
        <v>756</v>
      </c>
      <c r="H15339" s="29" t="n">
        <f aca="false">rent_ext_f</f>
        <v>756</v>
      </c>
      <c r="I15339" s="29" t="n">
        <f aca="false">rent_ext_f</f>
        <v>756</v>
      </c>
      <c r="J15339" s="29" t="n">
        <f aca="false">rent_ext_f</f>
        <v>756</v>
      </c>
      <c r="K15339" s="29" t="n">
        <f aca="false">rent_ext_f</f>
        <v>756</v>
      </c>
      <c r="L15339" s="1" t="s">
        <v>814</v>
      </c>
    </row>
    <row r="15340" customFormat="false" ht="17.15" hidden="false" customHeight="false" outlineLevel="0" collapsed="false">
      <c r="A15340" s="1" t="s">
        <v>815</v>
      </c>
      <c r="B15340" s="0" t="s">
        <v>399</v>
      </c>
      <c r="C15340" s="29" t="n">
        <f aca="false">Sens!C15338-Sens!C15339</f>
        <v>490</v>
      </c>
      <c r="D15340" s="29" t="n">
        <f aca="false">Sens!D15338-Sens!D15339</f>
        <v>1230</v>
      </c>
      <c r="E15340" s="29" t="n">
        <f aca="false">Sens!E15338-Sens!E15339</f>
        <v>2700</v>
      </c>
      <c r="F15340" s="29" t="n">
        <f aca="false">Sens!F15338-Sens!F15339</f>
        <v>5021.2</v>
      </c>
      <c r="G15340" s="29" t="n">
        <f aca="false">Sens!G15338-Sens!G15339</f>
        <v>7548.4</v>
      </c>
      <c r="H15340" s="29" t="n">
        <f aca="false">Sens!H15338-Sens!H15339</f>
        <v>10075.6</v>
      </c>
      <c r="I15340" s="29" t="n">
        <f aca="false">Sens!I15338-Sens!I15339</f>
        <v>11868.716</v>
      </c>
      <c r="J15340" s="29" t="n">
        <f aca="false">Sens!J15338-Sens!J15339</f>
        <v>12963.61032</v>
      </c>
      <c r="K15340" s="29" t="n">
        <f aca="false">Sens!K15338-Sens!K15339</f>
        <v>13375.1986296</v>
      </c>
    </row>
    <row r="15341" customFormat="false" ht="17.15" hidden="false" customHeight="false" outlineLevel="0" collapsed="false">
      <c r="A15341" s="1" t="s">
        <v>816</v>
      </c>
      <c r="B15341" s="0" t="s">
        <v>399</v>
      </c>
      <c r="C15341" s="29" t="n">
        <f aca="false">Sens!C15340/ext_sh</f>
        <v>816.666666666667</v>
      </c>
      <c r="D15341" s="29" t="n">
        <f aca="false">Sens!D15340/ext_sh</f>
        <v>2050</v>
      </c>
      <c r="E15341" s="29" t="n">
        <f aca="false">Sens!E15340/ext_sh</f>
        <v>4500</v>
      </c>
      <c r="F15341" s="29" t="n">
        <f aca="false">Sens!F15340/ext_sh</f>
        <v>8368.66666666667</v>
      </c>
      <c r="G15341" s="29" t="n">
        <f aca="false">Sens!G15340/ext_sh</f>
        <v>12580.6666666667</v>
      </c>
      <c r="H15341" s="29" t="n">
        <f aca="false">Sens!H15340/ext_sh</f>
        <v>16792.6666666667</v>
      </c>
      <c r="I15341" s="29" t="n">
        <f aca="false">Sens!I15340/ext_sh</f>
        <v>19781.1933333333</v>
      </c>
      <c r="J15341" s="29" t="n">
        <f aca="false">Sens!J15340/ext_sh</f>
        <v>21606.0172</v>
      </c>
      <c r="K15341" s="29" t="n">
        <f aca="false">Sens!K15340/ext_sh</f>
        <v>22291.997716</v>
      </c>
      <c r="L15341" s="1" t="s">
        <v>817</v>
      </c>
    </row>
    <row r="15342" customFormat="false" ht="17.15" hidden="false" customHeight="false" outlineLevel="0" collapsed="false">
      <c r="A15342" s="1" t="s">
        <v>818</v>
      </c>
      <c r="B15342" s="0" t="s">
        <v>399</v>
      </c>
      <c r="C15342" s="29" t="n">
        <f aca="false">Sens!C15341-Sens!C15340</f>
        <v>326.666666666667</v>
      </c>
      <c r="D15342" s="29" t="n">
        <f aca="false">Sens!D15341-Sens!D15340</f>
        <v>820</v>
      </c>
      <c r="E15342" s="29" t="n">
        <f aca="false">Sens!E15341-Sens!E15340</f>
        <v>1800</v>
      </c>
      <c r="F15342" s="29" t="n">
        <f aca="false">Sens!F15341-Sens!F15340</f>
        <v>3347.46666666667</v>
      </c>
      <c r="G15342" s="29" t="n">
        <f aca="false">Sens!G15341-Sens!G15340</f>
        <v>5032.26666666667</v>
      </c>
      <c r="H15342" s="29" t="n">
        <f aca="false">Sens!H15341-Sens!H15340</f>
        <v>6717.06666666667</v>
      </c>
      <c r="I15342" s="29" t="n">
        <f aca="false">Sens!I15341-Sens!I15340</f>
        <v>7912.47733333333</v>
      </c>
      <c r="J15342" s="29" t="n">
        <f aca="false">Sens!J15341-Sens!J15340</f>
        <v>8642.40688</v>
      </c>
      <c r="K15342" s="29" t="n">
        <f aca="false">Sens!K15341-Sens!K15340</f>
        <v>8916.7990864</v>
      </c>
    </row>
    <row r="15343" customFormat="false" ht="17.15" hidden="false" customHeight="false" outlineLevel="0" collapsed="false">
      <c r="A15343" s="1" t="s">
        <v>819</v>
      </c>
      <c r="B15343" s="0" t="s">
        <v>399</v>
      </c>
      <c r="C15343" s="29" t="n">
        <f aca="false">Sens!C15341</f>
        <v>816.666666666667</v>
      </c>
      <c r="D15343" s="29" t="n">
        <f aca="false">Sens!D15341-Sens!C15341</f>
        <v>1233.33333333333</v>
      </c>
      <c r="E15343" s="29" t="n">
        <f aca="false">Sens!E15341-Sens!D15341</f>
        <v>2450</v>
      </c>
      <c r="F15343" s="29" t="n">
        <f aca="false">Sens!F15341-Sens!E15341</f>
        <v>3868.66666666667</v>
      </c>
      <c r="G15343" s="29" t="n">
        <f aca="false">Sens!G15341-Sens!F15341</f>
        <v>4212</v>
      </c>
      <c r="H15343" s="29" t="n">
        <f aca="false">Sens!H15341-Sens!G15341</f>
        <v>4212</v>
      </c>
      <c r="I15343" s="29" t="n">
        <f aca="false">Sens!I15341-Sens!H15341</f>
        <v>2988.52666666667</v>
      </c>
      <c r="J15343" s="29" t="n">
        <f aca="false">Sens!J15341-Sens!I15341</f>
        <v>1824.82386666667</v>
      </c>
      <c r="K15343" s="29" t="n">
        <f aca="false">Sens!K15341-Sens!J15341</f>
        <v>685.980516</v>
      </c>
    </row>
    <row r="15344" customFormat="false" ht="17.15" hidden="false" customHeight="false" outlineLevel="0" collapsed="false">
      <c r="A15344" s="1" t="s">
        <v>820</v>
      </c>
      <c r="B15344" s="0" t="s">
        <v>399</v>
      </c>
      <c r="D15344" s="29" t="n">
        <f aca="false">Sens!D15338-Sens!C15338</f>
        <v>990</v>
      </c>
      <c r="E15344" s="29" t="n">
        <f aca="false">Sens!E15338-Sens!D15338</f>
        <v>1620</v>
      </c>
      <c r="F15344" s="29" t="n">
        <f aca="false">Sens!F15338-Sens!E15338</f>
        <v>2527.2</v>
      </c>
      <c r="G15344" s="29" t="n">
        <f aca="false">Sens!G15338-Sens!F15338</f>
        <v>2527.2</v>
      </c>
      <c r="H15344" s="29" t="n">
        <f aca="false">Sens!H15338-Sens!G15338</f>
        <v>2527.2</v>
      </c>
      <c r="I15344" s="29" t="n">
        <f aca="false">Sens!I15338-Sens!H15338</f>
        <v>1793.116</v>
      </c>
      <c r="J15344" s="29" t="n">
        <f aca="false">Sens!J15338-Sens!I15338</f>
        <v>1094.89432</v>
      </c>
      <c r="K15344" s="29" t="n">
        <f aca="false">Sens!K15338-Sens!J15338</f>
        <v>411.5883096</v>
      </c>
    </row>
    <row r="15345" customFormat="false" ht="17.15" hidden="false" customHeight="false" outlineLevel="0" collapsed="false">
      <c r="A15345" s="1" t="s">
        <v>821</v>
      </c>
      <c r="B15345" s="0" t="s">
        <v>399</v>
      </c>
      <c r="F15345" s="29" t="n">
        <f aca="false">Sens!F15362*ext_sh</f>
        <v>0</v>
      </c>
      <c r="G15345" s="29" t="n">
        <f aca="false">Sens!G15362*ext_sh</f>
        <v>0</v>
      </c>
      <c r="H15345" s="29" t="n">
        <f aca="false">Sens!H15362*ext_sh</f>
        <v>0</v>
      </c>
      <c r="I15345" s="29" t="n">
        <f aca="false">Sens!I15362*ext_sh</f>
        <v>490</v>
      </c>
      <c r="J15345" s="29" t="n">
        <f aca="false">Sens!J15362*ext_sh</f>
        <v>740</v>
      </c>
      <c r="K15345" s="29" t="n">
        <f aca="false">Sens!K15362*ext_sh</f>
        <v>1470</v>
      </c>
      <c r="L15345" s="1" t="s">
        <v>822</v>
      </c>
    </row>
    <row r="15346" customFormat="false" ht="17.15" hidden="false" customHeight="false" outlineLevel="0" collapsed="false">
      <c r="A15346" s="1" t="s">
        <v>823</v>
      </c>
      <c r="B15346" s="0" t="s">
        <v>399</v>
      </c>
      <c r="C15346" s="29" t="n">
        <f aca="false">mix_h*Sens!C15338</f>
        <v>128</v>
      </c>
      <c r="D15346" s="29" t="n">
        <f aca="false">mix_h*Sens!D15338</f>
        <v>326</v>
      </c>
      <c r="E15346" s="29" t="n">
        <f aca="false">mix_h*Sens!E15338</f>
        <v>650</v>
      </c>
      <c r="F15346" s="29" t="n">
        <f aca="false">Sens!E15346-Sens!F15345*mix_h</f>
        <v>650</v>
      </c>
      <c r="G15346" s="29" t="n">
        <f aca="false">Sens!F15346-Sens!G15345*mix_h</f>
        <v>650</v>
      </c>
      <c r="H15346" s="29" t="n">
        <f aca="false">Sens!G15346-Sens!H15345*mix_h</f>
        <v>650</v>
      </c>
      <c r="I15346" s="29" t="n">
        <f aca="false">Sens!H15346-Sens!I15345*mix_h</f>
        <v>552</v>
      </c>
      <c r="J15346" s="29" t="n">
        <f aca="false">Sens!I15346-Sens!J15345*mix_h</f>
        <v>404</v>
      </c>
      <c r="K15346" s="29" t="n">
        <f aca="false">Sens!J15346-Sens!K15345*mix_h</f>
        <v>110</v>
      </c>
    </row>
    <row r="15347" customFormat="false" ht="17.15" hidden="false" customHeight="false" outlineLevel="0" collapsed="false">
      <c r="A15347" s="1" t="s">
        <v>824</v>
      </c>
      <c r="B15347" s="0" t="s">
        <v>399</v>
      </c>
      <c r="C15347" s="29" t="n">
        <f aca="false">mix_g2*Sens!C15338</f>
        <v>288</v>
      </c>
      <c r="D15347" s="29" t="n">
        <f aca="false">mix_g2*Sens!D15338</f>
        <v>733.5</v>
      </c>
      <c r="E15347" s="29" t="n">
        <f aca="false">mix_g2*Sens!E15338</f>
        <v>1462.5</v>
      </c>
      <c r="F15347" s="29" t="n">
        <f aca="false">Sens!E15347-Sens!F15345*mix_g2</f>
        <v>1462.5</v>
      </c>
      <c r="G15347" s="29" t="n">
        <f aca="false">Sens!F15347-Sens!G15345*mix_g2</f>
        <v>1462.5</v>
      </c>
      <c r="H15347" s="29" t="n">
        <f aca="false">Sens!G15347-Sens!H15345*mix_g2</f>
        <v>1462.5</v>
      </c>
      <c r="I15347" s="29" t="n">
        <f aca="false">Sens!H15347-Sens!I15345*mix_g2</f>
        <v>1242</v>
      </c>
      <c r="J15347" s="29" t="n">
        <f aca="false">Sens!I15347-Sens!J15345*mix_g2</f>
        <v>909</v>
      </c>
      <c r="K15347" s="29" t="n">
        <f aca="false">Sens!J15347-Sens!K15345*mix_g2</f>
        <v>247.5</v>
      </c>
    </row>
    <row r="15348" customFormat="false" ht="17.15" hidden="false" customHeight="false" outlineLevel="0" collapsed="false">
      <c r="A15348" s="1" t="s">
        <v>825</v>
      </c>
      <c r="B15348" s="0" t="s">
        <v>399</v>
      </c>
      <c r="C15348" s="29" t="n">
        <f aca="false">mix_g3*Sens!C15338</f>
        <v>224</v>
      </c>
      <c r="D15348" s="29" t="n">
        <f aca="false">mix_g3*Sens!D15338</f>
        <v>570.5</v>
      </c>
      <c r="E15348" s="29" t="n">
        <f aca="false">mix_g3*Sens!E15338</f>
        <v>1137.5</v>
      </c>
      <c r="F15348" s="29" t="n">
        <f aca="false">Sens!E15348+(Sens!F15344+Sens!F15345)*a_g3_27-Sens!F15345*mix_g3</f>
        <v>2906.54</v>
      </c>
      <c r="G15348" s="29" t="n">
        <f aca="false">Sens!F15348+(Sens!G15344+Sens!G15345)*a_g3_28-Sens!G15345*mix_g3</f>
        <v>3664.7</v>
      </c>
      <c r="H15348" s="29" t="n">
        <f aca="false">Sens!G15348+(Sens!H15344+Sens!H15345)*a_g3_29-Sens!H15345*mix_g3</f>
        <v>3917.42</v>
      </c>
      <c r="I15348" s="29" t="n">
        <f aca="false">Sens!H15348+(Sens!I15344+Sens!I15345)*a_g3_29-Sens!I15345*mix_g3</f>
        <v>3974.2316</v>
      </c>
      <c r="J15348" s="29" t="n">
        <f aca="false">Sens!I15348+(Sens!J15344+Sens!J15345)*a_g3_29-Sens!J15345*mix_g3</f>
        <v>3898.721032</v>
      </c>
      <c r="K15348" s="29" t="n">
        <f aca="false">Sens!J15348+(Sens!K15344+Sens!K15345)*a_g3_29-Sens!K15345*mix_g3</f>
        <v>3572.37986296</v>
      </c>
    </row>
    <row r="15349" customFormat="false" ht="17.15" hidden="false" customHeight="false" outlineLevel="0" collapsed="false">
      <c r="A15349" s="1" t="s">
        <v>826</v>
      </c>
      <c r="B15349" s="0" t="s">
        <v>399</v>
      </c>
      <c r="C15349" s="29" t="n">
        <v>0</v>
      </c>
      <c r="D15349" s="29" t="n">
        <v>0</v>
      </c>
      <c r="E15349" s="29" t="n">
        <v>0</v>
      </c>
      <c r="F15349" s="29" t="n">
        <f aca="false">Sens!E15349+(Sens!F15344+Sens!F15345)*(1-a_g3_27)</f>
        <v>758.16</v>
      </c>
      <c r="G15349" s="29" t="n">
        <f aca="false">Sens!F15349+(Sens!G15344+Sens!G15345)*(1-a_g3_28)</f>
        <v>2527.2</v>
      </c>
      <c r="H15349" s="29" t="n">
        <f aca="false">Sens!G15349+(Sens!H15344+Sens!H15345)*(1-a_g3_29)</f>
        <v>4801.68</v>
      </c>
      <c r="I15349" s="29" t="n">
        <f aca="false">Sens!H15349+(Sens!I15344+Sens!I15345)*(1-a_g3_29)</f>
        <v>6856.4844</v>
      </c>
      <c r="J15349" s="29" t="n">
        <f aca="false">Sens!I15349+(Sens!J15344+Sens!J15345)*(1-a_g3_29)</f>
        <v>8507.889288</v>
      </c>
      <c r="K15349" s="29" t="n">
        <f aca="false">Sens!J15349+(Sens!K15344+Sens!K15345)*(1-a_g3_29)</f>
        <v>10201.31876664</v>
      </c>
    </row>
    <row r="15350" customFormat="false" ht="17.15" hidden="false" customHeight="false" outlineLevel="0" collapsed="false">
      <c r="A15350" s="1" t="s">
        <v>827</v>
      </c>
      <c r="B15350" s="0" t="s">
        <v>346</v>
      </c>
      <c r="C15350" s="14" t="n">
        <f aca="false">(Sens!C15346*tk_hold_h100+Sens!C15347*tk_hold_gb200+Sens!C15348*tk_hold_gb300+Sens!C15349*tk_hold_vr200)/Sens!C15338</f>
        <v>9.7235358126469</v>
      </c>
      <c r="D15350" s="14" t="n">
        <f aca="false">(Sens!D15346*tk_hold_h100+Sens!D15347*tk_hold_gb200+Sens!D15348*tk_hold_gb300+Sens!D15349*tk_hold_vr200)/Sens!D15338</f>
        <v>9.7235358126469</v>
      </c>
      <c r="E15350" s="14" t="n">
        <f aca="false">(Sens!E15346*tk_hold_h100+Sens!E15347*tk_hold_gb200+Sens!E15348*tk_hold_gb300+Sens!E15349*tk_hold_vr200)/Sens!E15338</f>
        <v>9.7235358126469</v>
      </c>
      <c r="F15350" s="14" t="n">
        <f aca="false">(Sens!F15346*tk_hold_h100+Sens!F15347*tk_hold_gb200+Sens!F15348*tk_hold_gb300+Sens!F15349*tk_hold_vr200)/Sens!F15338</f>
        <v>10.4079573161931</v>
      </c>
      <c r="G15350" s="14" t="n">
        <f aca="false">(Sens!G15346*tk_hold_h100+Sens!G15347*tk_hold_gb200+Sens!G15348*tk_hold_gb300+Sens!G15349*tk_hold_vr200)/Sens!G15338</f>
        <v>10.8388131109316</v>
      </c>
      <c r="H15350" s="14" t="n">
        <f aca="false">(Sens!H15346*tk_hold_h100+Sens!H15347*tk_hold_gb200+Sens!H15348*tk_hold_gb300+Sens!H15349*tk_hold_vr200)/Sens!H15338</f>
        <v>11.1311018388216</v>
      </c>
      <c r="I15350" s="14" t="n">
        <f aca="false">(Sens!I15346*tk_hold_h100+Sens!I15347*tk_hold_gb200+Sens!I15348*tk_hold_gb300+Sens!I15349*tk_hold_vr200)/Sens!I15338</f>
        <v>11.3594282560989</v>
      </c>
      <c r="J15350" s="14" t="n">
        <f aca="false">(Sens!J15346*tk_hold_h100+Sens!J15347*tk_hold_gb200+Sens!J15348*tk_hold_gb300+Sens!J15349*tk_hold_vr200)/Sens!J15338</f>
        <v>11.5455817917599</v>
      </c>
      <c r="K15350" s="14" t="n">
        <f aca="false">(Sens!K15346*tk_hold_h100+Sens!K15347*tk_hold_gb200+Sens!K15348*tk_hold_gb300+Sens!K15349*tk_hold_vr200)/Sens!K15338</f>
        <v>11.8078187977246</v>
      </c>
    </row>
    <row r="15351" customFormat="false" ht="17.15" hidden="false" customHeight="false" outlineLevel="0" collapsed="false">
      <c r="A15351" s="0" t="s">
        <v>828</v>
      </c>
      <c r="B15351" s="0" t="s">
        <v>185</v>
      </c>
      <c r="C15351" s="14" t="n">
        <f aca="false">k_B</f>
        <v>1.17213932619116</v>
      </c>
      <c r="D15351" s="14" t="n">
        <f aca="false">k_B</f>
        <v>1.17213932619116</v>
      </c>
      <c r="E15351" s="14" t="n">
        <f aca="false">k_B</f>
        <v>1.17213932619116</v>
      </c>
      <c r="F15351" s="14" t="n">
        <f aca="false">(k_B+((ls_A*k_long+(1-ls_A)*k_spot)-k_B)*MIN(1,(Sens!F15336-base_fy)/k_ramp))</f>
        <v>1.25022828131298</v>
      </c>
      <c r="G15351" s="14" t="n">
        <f aca="false">(k_B+((ls_A*k_long+(1-ls_A)*k_spot)-k_B)*MIN(1,(Sens!G15336-base_fy)/k_ramp))</f>
        <v>1.3283172364348</v>
      </c>
      <c r="H15351" s="14" t="n">
        <f aca="false">(k_B+((ls_A*k_long+(1-ls_A)*k_spot)-k_B)*MIN(1,(Sens!H15336-base_fy)/k_ramp))</f>
        <v>1.40640619155662</v>
      </c>
      <c r="I15351" s="14" t="n">
        <f aca="false">(k_B+((ls_A*k_long+(1-ls_A)*k_spot)-k_B)*MIN(1,(Sens!I15336-base_fy)/k_ramp))</f>
        <v>1.40640619155662</v>
      </c>
      <c r="J15351" s="14" t="n">
        <f aca="false">(k_B+((ls_A*k_long+(1-ls_A)*k_spot)-k_B)*MIN(1,(Sens!J15336-base_fy)/k_ramp))</f>
        <v>1.40640619155662</v>
      </c>
      <c r="K15351" s="14" t="n">
        <f aca="false">(k_B+((ls_A*k_long+(1-ls_A)*k_spot)-k_B)*MIN(1,(Sens!K15336-base_fy)/k_ramp))</f>
        <v>1.40640619155662</v>
      </c>
      <c r="L15351" s="1" t="s">
        <v>829</v>
      </c>
    </row>
    <row r="15352" customFormat="false" ht="17.15" hidden="false" customHeight="false" outlineLevel="0" collapsed="false">
      <c r="A15352" s="1" t="s">
        <v>830</v>
      </c>
      <c r="B15352" s="0" t="s">
        <v>346</v>
      </c>
      <c r="C15352" s="14" t="n">
        <f aca="false">Sens!C15350*Sens!C15351*chip_f</f>
        <v>11.3973387156315</v>
      </c>
      <c r="D15352" s="14" t="n">
        <f aca="false">Sens!D15350*Sens!D15351*chip_f</f>
        <v>11.3973387156315</v>
      </c>
      <c r="E15352" s="14" t="n">
        <f aca="false">Sens!E15350*Sens!E15351*chip_f</f>
        <v>11.3973387156315</v>
      </c>
      <c r="F15352" s="14" t="n">
        <f aca="false">Sens!F15350*Sens!F15351*chip_f</f>
        <v>13.0123225874029</v>
      </c>
      <c r="G15352" s="14" t="n">
        <f aca="false">Sens!G15350*Sens!G15351*chip_f</f>
        <v>14.3973822777458</v>
      </c>
      <c r="H15352" s="14" t="n">
        <f aca="false">Sens!H15350*Sens!H15351*chip_f</f>
        <v>15.6548505449659</v>
      </c>
      <c r="I15352" s="14" t="n">
        <f aca="false">Sens!I15350*Sens!I15351*chip_f</f>
        <v>15.9759702319207</v>
      </c>
      <c r="J15352" s="14" t="n">
        <f aca="false">Sens!J15350*Sens!J15351*chip_f</f>
        <v>16.2377777170545</v>
      </c>
      <c r="K15352" s="14" t="n">
        <f aca="false">Sens!K15350*Sens!K15351*chip_f</f>
        <v>16.6065894658985</v>
      </c>
      <c r="L15352" s="1" t="s">
        <v>831</v>
      </c>
    </row>
    <row r="15353" customFormat="false" ht="17.15" hidden="false" customHeight="false" outlineLevel="0" collapsed="false">
      <c r="A15353" s="0" t="s">
        <v>832</v>
      </c>
      <c r="B15353" s="0" t="s">
        <v>98</v>
      </c>
      <c r="D15353" s="6" t="n">
        <f aca="false">(Sens!C15338+Sens!D15338)/2*Sens!D15352/1000</f>
        <v>12.9359794422418</v>
      </c>
      <c r="E15353" s="6" t="n">
        <f aca="false">(Sens!D15338+Sens!E15338)/2*Sens!E15352/1000</f>
        <v>27.8095064661409</v>
      </c>
      <c r="F15353" s="6" t="n">
        <f aca="false">(Sens!E15338+Sens!F15338)/2*Sens!F15352/1000</f>
        <v>58.7324192305018</v>
      </c>
      <c r="G15353" s="6" t="n">
        <f aca="false">(Sens!F15338+Sens!G15338)/2*Sens!G15352/1000</f>
        <v>101.369089141153</v>
      </c>
      <c r="H15353" s="6" t="n">
        <f aca="false">(Sens!G15338+Sens!H15338)/2*Sens!H15352/1000</f>
        <v>149.785610014234</v>
      </c>
      <c r="I15353" s="6" t="n">
        <f aca="false">(Sens!H15338+Sens!I15338)/2*Sens!I15352/1000</f>
        <v>187.368703083263</v>
      </c>
      <c r="J15353" s="6" t="n">
        <f aca="false">(Sens!I15338+Sens!J15338)/2*Sens!J15352/1000</f>
        <v>213.886657444854</v>
      </c>
      <c r="K15353" s="6" t="n">
        <f aca="false">(Sens!J15338+Sens!K15338)/2*Sens!K15352/1000</f>
        <v>231.253475259589</v>
      </c>
      <c r="L15353" s="11" t="s">
        <v>833</v>
      </c>
    </row>
    <row r="15354" customFormat="false" ht="17.15" hidden="false" customHeight="false" outlineLevel="0" collapsed="false">
      <c r="A15354" s="1" t="s">
        <v>834</v>
      </c>
      <c r="B15354" s="0" t="s">
        <v>346</v>
      </c>
      <c r="C15354" s="14" t="n">
        <f aca="false">(Sens!C15346*tk_opex_h100+Sens!C15347*tk_opex_gb200+Sens!C15348*tk_opex_gb300+Sens!C15349*tk_opex_vr200)/Sens!C15338</f>
        <v>1.88636041306092</v>
      </c>
      <c r="D15354" s="14" t="n">
        <f aca="false">(Sens!D15346*tk_opex_h100+Sens!D15347*tk_opex_gb200+Sens!D15348*tk_opex_gb300+Sens!D15349*tk_opex_vr200)/Sens!D15338</f>
        <v>1.88636041306092</v>
      </c>
      <c r="E15354" s="14" t="n">
        <f aca="false">(Sens!E15346*tk_opex_h100+Sens!E15347*tk_opex_gb200+Sens!E15348*tk_opex_gb300+Sens!E15349*tk_opex_vr200)/Sens!E15338</f>
        <v>1.88636041306092</v>
      </c>
      <c r="F15354" s="14" t="n">
        <f aca="false">(Sens!F15346*tk_opex_h100+Sens!F15347*tk_opex_gb200+Sens!F15348*tk_opex_gb300+Sens!F15349*tk_opex_vr200)/Sens!F15338</f>
        <v>1.9430236476499</v>
      </c>
      <c r="G15354" s="14" t="n">
        <f aca="false">(Sens!G15346*tk_opex_h100+Sens!G15347*tk_opex_gb200+Sens!G15348*tk_opex_gb300+Sens!G15349*tk_opex_vr200)/Sens!G15338</f>
        <v>1.9786941852423</v>
      </c>
      <c r="H15354" s="14" t="n">
        <f aca="false">(Sens!H15346*tk_opex_h100+Sens!H15347*tk_opex_gb200+Sens!H15348*tk_opex_gb300+Sens!H15349*tk_opex_vr200)/Sens!H15338</f>
        <v>2.00289275976156</v>
      </c>
      <c r="I15354" s="14" t="n">
        <f aca="false">(Sens!I15346*tk_opex_h100+Sens!I15347*tk_opex_gb200+Sens!I15348*tk_opex_gb300+Sens!I15349*tk_opex_vr200)/Sens!I15338</f>
        <v>2.02179589661219</v>
      </c>
      <c r="J15354" s="14" t="n">
        <f aca="false">(Sens!J15346*tk_opex_h100+Sens!J15347*tk_opex_gb200+Sens!J15348*tk_opex_gb300+Sens!J15349*tk_opex_vr200)/Sens!J15338</f>
        <v>2.03720754193029</v>
      </c>
      <c r="K15354" s="14" t="n">
        <f aca="false">(Sens!K15346*tk_opex_h100+Sens!K15347*tk_opex_gb200+Sens!K15348*tk_opex_gb300+Sens!K15349*tk_opex_vr200)/Sens!K15338</f>
        <v>2.0589181353437</v>
      </c>
    </row>
    <row r="15355" customFormat="false" ht="17.15" hidden="false" customHeight="false" outlineLevel="0" collapsed="false">
      <c r="A15355" s="0" t="s">
        <v>835</v>
      </c>
      <c r="B15355" s="0" t="s">
        <v>98</v>
      </c>
      <c r="D15355" s="6" t="n">
        <f aca="false">(Sens!C15341+Sens!D15341)/2*Sens!D15354/1000</f>
        <v>2.70378325872065</v>
      </c>
      <c r="E15355" s="6" t="n">
        <f aca="false">(Sens!D15341+Sens!E15341)/2*Sens!E15354/1000</f>
        <v>6.17783035277451</v>
      </c>
      <c r="F15355" s="6" t="n">
        <f aca="false">(Sens!E15341+Sens!F15341)/2*Sens!F15354/1000</f>
        <v>12.5020618235287</v>
      </c>
      <c r="G15355" s="6" t="n">
        <f aca="false">(Sens!F15341+Sens!G15341)/2*Sens!G15354/1000</f>
        <v>20.7261620256847</v>
      </c>
      <c r="H15355" s="6" t="n">
        <f aca="false">(Sens!G15341+Sens!H15341)/2*Sens!H15354/1000</f>
        <v>29.4158183316982</v>
      </c>
      <c r="I15355" s="6" t="n">
        <f aca="false">(Sens!H15341+Sens!I15341)/2*Sens!I15354/1000</f>
        <v>36.9724400356344</v>
      </c>
      <c r="J15355" s="6" t="n">
        <f aca="false">(Sens!I15341+Sens!J15341)/2*Sens!J15354/1000</f>
        <v>42.1571687189816</v>
      </c>
      <c r="K15355" s="6" t="n">
        <f aca="false">(Sens!J15341+Sens!K15341)/2*Sens!K15354/1000</f>
        <v>45.1912095080704</v>
      </c>
    </row>
    <row r="15356" customFormat="false" ht="17.15" hidden="false" customHeight="false" outlineLevel="0" collapsed="false">
      <c r="A15356" s="0" t="s">
        <v>836</v>
      </c>
      <c r="B15356" s="0" t="s">
        <v>98</v>
      </c>
      <c r="D15356" s="6" t="n">
        <f aca="false">(Sens!C15339+Sens!D15339)/2*rent_mw/1000</f>
        <v>2.44475</v>
      </c>
      <c r="E15356" s="6" t="n">
        <f aca="false">(Sens!D15339+Sens!E15339)/2*rent_mw/1000</f>
        <v>4.22275</v>
      </c>
      <c r="F15356" s="6" t="n">
        <f aca="false">(Sens!E15339+Sens!F15339)/2*rent_mw/1000</f>
        <v>5.80517</v>
      </c>
      <c r="G15356" s="6" t="n">
        <f aca="false">(Sens!F15339+Sens!G15339)/2*rent_mw/1000</f>
        <v>6.72084</v>
      </c>
      <c r="H15356" s="6" t="n">
        <f aca="false">(Sens!G15339+Sens!H15339)/2*rent_mw/1000</f>
        <v>6.72084</v>
      </c>
      <c r="I15356" s="6" t="n">
        <f aca="false">(Sens!H15339+Sens!I15339)/2*rent_mw/1000</f>
        <v>6.72084</v>
      </c>
      <c r="J15356" s="6" t="n">
        <f aca="false">(Sens!I15339+Sens!J15339)/2*rent_mw/1000</f>
        <v>6.72084</v>
      </c>
      <c r="K15356" s="6" t="n">
        <f aca="false">(Sens!J15339+Sens!K15339)/2*rent_mw/1000</f>
        <v>6.72084</v>
      </c>
    </row>
    <row r="15357" customFormat="false" ht="17.15" hidden="false" customHeight="false" outlineLevel="0" collapsed="false">
      <c r="A15357" s="0" t="s">
        <v>837</v>
      </c>
      <c r="B15357" s="0" t="s">
        <v>98</v>
      </c>
      <c r="D15357" s="6" t="n">
        <f aca="false">(Sens!C15341+Sens!D15341)/2*(1-self_build)*fac_rent/1000</f>
        <v>0.853242375631075</v>
      </c>
      <c r="E15357" s="6" t="n">
        <f aca="false">(Sens!D15341+Sens!E15341)/2*(1-self_build)*fac_rent/1000</f>
        <v>1.94955961408728</v>
      </c>
      <c r="F15357" s="6" t="n">
        <f aca="false">(Sens!E15341+Sens!F15341)/2*(1-self_build)*fac_rent/1000</f>
        <v>3.83026455274573</v>
      </c>
      <c r="G15357" s="6" t="n">
        <f aca="false">(Sens!F15341+Sens!G15341)/2*(1-self_build)*fac_rent/1000</f>
        <v>6.23541590972812</v>
      </c>
      <c r="H15357" s="6" t="n">
        <f aca="false">(Sens!G15341+Sens!H15341)/2*(1-self_build)*fac_rent/1000</f>
        <v>8.74275792332679</v>
      </c>
      <c r="I15357" s="6" t="n">
        <f aca="false">(Sens!H15341+Sens!I15341)/2*(1-self_build)*fac_rent/1000</f>
        <v>10.8859420438599</v>
      </c>
      <c r="J15357" s="6" t="n">
        <f aca="false">(Sens!I15341+Sens!J15341)/2*(1-self_build)*fac_rent/1000</f>
        <v>12.3186006405366</v>
      </c>
      <c r="K15357" s="6" t="n">
        <f aca="false">(Sens!J15341+Sens!K15341)/2*(1-self_build)*fac_rent/1000</f>
        <v>13.0659232089824</v>
      </c>
      <c r="L15357" s="11" t="s">
        <v>838</v>
      </c>
    </row>
    <row r="15358" customFormat="false" ht="17.15" hidden="false" customHeight="false" outlineLevel="0" collapsed="false">
      <c r="A15358" s="1" t="s">
        <v>839</v>
      </c>
      <c r="B15358" s="0" t="s">
        <v>129</v>
      </c>
      <c r="D15358" s="7" t="n">
        <f aca="false">(Sens!C15340+Sens!D15340)/(Sens!C15341+Sens!D15341)</f>
        <v>0.6</v>
      </c>
      <c r="E15358" s="7" t="n">
        <f aca="false">(Sens!D15340+Sens!E15340)/(Sens!D15341+Sens!E15341)</f>
        <v>0.6</v>
      </c>
      <c r="F15358" s="7" t="n">
        <f aca="false">(Sens!E15340+Sens!F15340)/(Sens!E15341+Sens!F15341)</f>
        <v>0.6</v>
      </c>
      <c r="G15358" s="7" t="n">
        <f aca="false">(Sens!F15340+Sens!G15340)/(Sens!F15341+Sens!G15341)</f>
        <v>0.6</v>
      </c>
      <c r="H15358" s="7" t="n">
        <f aca="false">(Sens!G15340+Sens!H15340)/(Sens!G15341+Sens!H15341)</f>
        <v>0.6</v>
      </c>
      <c r="I15358" s="7" t="n">
        <f aca="false">(Sens!H15340+Sens!I15340)/(Sens!H15341+Sens!I15341)</f>
        <v>0.6</v>
      </c>
      <c r="J15358" s="7" t="n">
        <f aca="false">(Sens!I15340+Sens!J15340)/(Sens!I15341+Sens!J15341)</f>
        <v>0.6</v>
      </c>
      <c r="K15358" s="7" t="n">
        <f aca="false">(Sens!J15340+Sens!K15340)/(Sens!J15341+Sens!K15341)</f>
        <v>0.6</v>
      </c>
    </row>
    <row r="15359" customFormat="false" ht="17.15" hidden="false" customHeight="false" outlineLevel="0" collapsed="false">
      <c r="A15359" s="0" t="s">
        <v>840</v>
      </c>
      <c r="B15359" s="0" t="s">
        <v>98</v>
      </c>
      <c r="D15359" s="6" t="n">
        <f aca="false">Sens!D15353-Sens!D15358*(Sens!D15355+Sens!D15357)-Sens!D15356</f>
        <v>8.35701406163072</v>
      </c>
      <c r="E15359" s="6" t="n">
        <f aca="false">Sens!E15353-Sens!E15358*(Sens!E15355+Sens!E15357)-Sens!E15356</f>
        <v>18.7103224860238</v>
      </c>
      <c r="F15359" s="6" t="n">
        <f aca="false">Sens!F15353-Sens!F15358*(Sens!F15355+Sens!F15357)-Sens!F15356</f>
        <v>43.1278534047371</v>
      </c>
      <c r="G15359" s="6" t="n">
        <f aca="false">Sens!G15353-Sens!G15358*(Sens!G15355+Sens!G15357)-Sens!G15356</f>
        <v>78.4713023799053</v>
      </c>
      <c r="H15359" s="6" t="n">
        <f aca="false">Sens!H15353-Sens!H15358*(Sens!H15355+Sens!H15357)-Sens!H15356</f>
        <v>120.169624261219</v>
      </c>
      <c r="I15359" s="6" t="n">
        <f aca="false">Sens!I15353-Sens!I15358*(Sens!I15355+Sens!I15357)-Sens!I15356</f>
        <v>151.932833835566</v>
      </c>
      <c r="J15359" s="6" t="n">
        <f aca="false">Sens!J15353-Sens!J15358*(Sens!J15355+Sens!J15357)-Sens!J15356</f>
        <v>174.480355829143</v>
      </c>
      <c r="K15359" s="6" t="n">
        <f aca="false">Sens!K15353-Sens!K15358*(Sens!K15355+Sens!K15357)-Sens!K15356</f>
        <v>189.578355629358</v>
      </c>
    </row>
    <row r="15360" customFormat="false" ht="17.15" hidden="false" customHeight="false" outlineLevel="0" collapsed="false">
      <c r="A15360" s="1" t="s">
        <v>841</v>
      </c>
      <c r="B15360" s="0" t="s">
        <v>98</v>
      </c>
      <c r="D15360" s="6" t="n">
        <f aca="false">(1-Sens!D15358)*(Sens!D15355+Sens!D15357)</f>
        <v>1.42281025374069</v>
      </c>
      <c r="E15360" s="6" t="n">
        <f aca="false">(1-Sens!E15358)*(Sens!E15355+Sens!E15357)</f>
        <v>3.25095598674472</v>
      </c>
      <c r="F15360" s="6" t="n">
        <f aca="false">(1-Sens!F15358)*(Sens!F15355+Sens!F15357)</f>
        <v>6.53293055050977</v>
      </c>
      <c r="G15360" s="6" t="n">
        <f aca="false">(1-Sens!G15358)*(Sens!G15355+Sens!G15357)</f>
        <v>10.7846311741651</v>
      </c>
      <c r="H15360" s="6" t="n">
        <f aca="false">(1-Sens!H15358)*(Sens!H15355+Sens!H15357)</f>
        <v>15.26343050201</v>
      </c>
      <c r="I15360" s="6" t="n">
        <f aca="false">(1-Sens!I15358)*(Sens!I15355+Sens!I15357)</f>
        <v>19.1433528317977</v>
      </c>
      <c r="J15360" s="6" t="n">
        <f aca="false">(1-Sens!J15358)*(Sens!J15355+Sens!J15357)</f>
        <v>21.7903077438073</v>
      </c>
      <c r="K15360" s="6" t="n">
        <f aca="false">(1-Sens!K15358)*(Sens!K15355+Sens!K15357)</f>
        <v>23.3028530868211</v>
      </c>
    </row>
    <row r="15361" customFormat="false" ht="17.15" hidden="false" customHeight="false" outlineLevel="0" collapsed="false">
      <c r="A15361" s="1" t="s">
        <v>842</v>
      </c>
      <c r="B15361" s="0" t="s">
        <v>357</v>
      </c>
      <c r="C15361" s="8" t="n">
        <f aca="false">cxit_open</f>
        <v>27.5918995</v>
      </c>
      <c r="D15361" s="8" t="n">
        <f aca="false">cxit_open</f>
        <v>27.5918995</v>
      </c>
      <c r="E15361" s="8" t="n">
        <f aca="false">cxit_open</f>
        <v>27.5918995</v>
      </c>
      <c r="F15361" s="8" t="n">
        <f aca="false">(a_g3_27*tk_cxit_gb300+(1-a_g3_27)*tk_cxit_vr200)</f>
        <v>33.8419624</v>
      </c>
      <c r="G15361" s="8" t="n">
        <f aca="false">(a_g3_28*tk_cxit_gb300+(1-a_g3_28)*tk_cxit_vr200)</f>
        <v>35.9816136</v>
      </c>
      <c r="H15361" s="8" t="n">
        <f aca="false">(a_g3_29*tk_cxit_gb300+(1-a_g3_29)*tk_cxit_vr200)</f>
        <v>37.0514392</v>
      </c>
      <c r="I15361" s="8" t="n">
        <f aca="false">(a_g3_29*tk_cxit_gb300+(1-a_g3_29)*tk_cxit_vr200)</f>
        <v>37.0514392</v>
      </c>
      <c r="J15361" s="8" t="n">
        <f aca="false">(a_g3_29*tk_cxit_gb300+(1-a_g3_29)*tk_cxit_vr200)</f>
        <v>37.0514392</v>
      </c>
      <c r="K15361" s="8" t="n">
        <f aca="false">(a_g3_29*tk_cxit_gb300+(1-a_g3_29)*tk_cxit_vr200)</f>
        <v>37.0514392</v>
      </c>
      <c r="L15361" s="11" t="s">
        <v>843</v>
      </c>
    </row>
    <row r="15362" customFormat="false" ht="17.15" hidden="false" customHeight="false" outlineLevel="0" collapsed="false">
      <c r="A15362" s="0" t="s">
        <v>844</v>
      </c>
      <c r="B15362" s="0" t="s">
        <v>399</v>
      </c>
      <c r="F15362" s="29" t="n">
        <f aca="false">Sens!C15343*IF(Sens!F15336-Sens!C15336=life_it,1,0)+Sens!D15343*IF(Sens!F15336-Sens!D15336=life_it,1,0)+Sens!E15343*IF(Sens!F15336-Sens!E15336=life_it,1,0)</f>
        <v>0</v>
      </c>
      <c r="G15362" s="29" t="n">
        <f aca="false">Sens!C15343*IF(Sens!G15336-Sens!C15336=life_it,1,0)+Sens!D15343*IF(Sens!G15336-Sens!D15336=life_it,1,0)+Sens!E15343*IF(Sens!G15336-Sens!E15336=life_it,1,0)+Sens!F15343*IF(Sens!G15336-Sens!F15336=life_it,1,0)</f>
        <v>0</v>
      </c>
      <c r="H15362" s="29" t="n">
        <f aca="false">Sens!C15343*IF(Sens!H15336-Sens!C15336=life_it,1,0)+Sens!D15343*IF(Sens!H15336-Sens!D15336=life_it,1,0)+Sens!E15343*IF(Sens!H15336-Sens!E15336=life_it,1,0)+Sens!F15343*IF(Sens!H15336-Sens!F15336=life_it,1,0)+Sens!G15343*IF(Sens!H15336-Sens!G15336=life_it,1,0)</f>
        <v>0</v>
      </c>
      <c r="I15362" s="29" t="n">
        <f aca="false">Sens!C15343*IF(Sens!I15336-Sens!C15336=life_it,1,0)+Sens!D15343*IF(Sens!I15336-Sens!D15336=life_it,1,0)+Sens!E15343*IF(Sens!I15336-Sens!E15336=life_it,1,0)+Sens!F15343*IF(Sens!I15336-Sens!F15336=life_it,1,0)+Sens!G15343*IF(Sens!I15336-Sens!G15336=life_it,1,0)+Sens!H15343*IF(Sens!I15336-Sens!H15336=life_it,1,0)</f>
        <v>816.666666666667</v>
      </c>
      <c r="J15362" s="29" t="n">
        <f aca="false">Sens!C15343*IF(Sens!J15336-Sens!C15336=life_it,1,0)+Sens!D15343*IF(Sens!J15336-Sens!D15336=life_it,1,0)+Sens!E15343*IF(Sens!J15336-Sens!E15336=life_it,1,0)+Sens!F15343*IF(Sens!J15336-Sens!F15336=life_it,1,0)+Sens!G15343*IF(Sens!J15336-Sens!G15336=life_it,1,0)+Sens!H15343*IF(Sens!J15336-Sens!H15336=life_it,1,0)+Sens!I15343*IF(Sens!J15336-Sens!I15336=life_it,1,0)</f>
        <v>1233.33333333333</v>
      </c>
      <c r="K15362" s="29" t="n">
        <f aca="false">Sens!C15343*IF(Sens!K15336-Sens!C15336=life_it,1,0)+Sens!D15343*IF(Sens!K15336-Sens!D15336=life_it,1,0)+Sens!E15343*IF(Sens!K15336-Sens!E15336=life_it,1,0)+Sens!F15343*IF(Sens!K15336-Sens!F15336=life_it,1,0)+Sens!G15343*IF(Sens!K15336-Sens!G15336=life_it,1,0)+Sens!H15343*IF(Sens!K15336-Sens!H15336=life_it,1,0)+Sens!I15343*IF(Sens!K15336-Sens!I15336=life_it,1,0)+Sens!J15343*IF(Sens!K15336-Sens!J15336=life_it,1,0)</f>
        <v>2450</v>
      </c>
      <c r="L15362" s="1" t="s">
        <v>845</v>
      </c>
    </row>
    <row r="15363" customFormat="false" ht="17.15" hidden="false" customHeight="false" outlineLevel="0" collapsed="false">
      <c r="A15363" s="0" t="s">
        <v>846</v>
      </c>
      <c r="B15363" s="0" t="s">
        <v>98</v>
      </c>
      <c r="C15363" s="6" t="n">
        <f aca="false">Sens!C15343*Sens!C15361/1000</f>
        <v>22.5333845916667</v>
      </c>
      <c r="D15363" s="6" t="n">
        <f aca="false">Sens!D15343*Sens!D15361/1000</f>
        <v>34.0300093833333</v>
      </c>
      <c r="E15363" s="6" t="n">
        <f aca="false">Sens!E15343*Sens!E15361/1000</f>
        <v>67.600153775</v>
      </c>
      <c r="F15363" s="6" t="n">
        <f aca="false">(Sens!F15343+Sens!F15362)*Sens!F15361/1000</f>
        <v>130.923271871467</v>
      </c>
      <c r="G15363" s="6" t="n">
        <f aca="false">(Sens!G15343+Sens!G15362)*Sens!G15361/1000</f>
        <v>151.5545564832</v>
      </c>
      <c r="H15363" s="6" t="n">
        <f aca="false">(Sens!H15343+Sens!H15362)*Sens!H15361/1000</f>
        <v>156.0606619104</v>
      </c>
      <c r="I15363" s="6" t="n">
        <f aca="false">(Sens!I15343+Sens!I15362)*Sens!I15361/1000</f>
        <v>140.987889434245</v>
      </c>
      <c r="J15363" s="6" t="n">
        <f aca="false">(Sens!J15343+Sens!J15362)*Sens!J15361/1000</f>
        <v>113.309125559842</v>
      </c>
      <c r="K15363" s="6" t="n">
        <f aca="false">(Sens!K15343+Sens!K15362)*Sens!K15361/1000</f>
        <v>116.192591420959</v>
      </c>
    </row>
    <row r="15364" customFormat="false" ht="17.15" hidden="false" customHeight="false" outlineLevel="0" collapsed="false">
      <c r="A15364" s="0" t="s">
        <v>847</v>
      </c>
      <c r="B15364" s="0" t="s">
        <v>98</v>
      </c>
      <c r="C15364" s="6" t="n">
        <f aca="false">Sens!C15343*self_build*tk_cxfac/1000</f>
        <v>6.2083</v>
      </c>
      <c r="D15364" s="6" t="n">
        <f aca="false">Sens!D15343*self_build*tk_cxfac/1000</f>
        <v>9.3758</v>
      </c>
      <c r="E15364" s="6" t="n">
        <f aca="false">Sens!E15343*self_build*tk_cxfac/1000</f>
        <v>18.6249</v>
      </c>
      <c r="F15364" s="6" t="n">
        <f aca="false">Sens!F15343*self_build*tk_cxfac/1000</f>
        <v>29.409604</v>
      </c>
      <c r="G15364" s="6" t="n">
        <f aca="false">Sens!G15343*self_build*tk_cxfac/1000</f>
        <v>32.019624</v>
      </c>
      <c r="H15364" s="6" t="n">
        <f aca="false">Sens!H15343*self_build*tk_cxfac/1000</f>
        <v>32.019624</v>
      </c>
      <c r="I15364" s="6" t="n">
        <f aca="false">Sens!I15343*self_build*tk_cxfac/1000</f>
        <v>22.71877972</v>
      </c>
      <c r="J15364" s="6" t="n">
        <f aca="false">Sens!J15343*self_build*tk_cxfac/1000</f>
        <v>13.8723110344</v>
      </c>
      <c r="K15364" s="6" t="n">
        <f aca="false">Sens!K15343*self_build*tk_cxfac/1000</f>
        <v>5.214823882632</v>
      </c>
    </row>
    <row r="15365" customFormat="false" ht="17.15" hidden="false" customHeight="false" outlineLevel="0" collapsed="false">
      <c r="A15365" s="0" t="s">
        <v>848</v>
      </c>
      <c r="B15365" s="0" t="s">
        <v>98</v>
      </c>
      <c r="F15365" s="6" t="n">
        <f aca="false">MAX(0,capex_floor27-Sens!F15363-Sens!F15364-Sens!F15459)</f>
        <v>8.13777689897088</v>
      </c>
    </row>
    <row r="15366" customFormat="false" ht="17.15" hidden="false" customHeight="false" outlineLevel="0" collapsed="false">
      <c r="A15366" s="0" t="s">
        <v>849</v>
      </c>
      <c r="B15366" s="0" t="s">
        <v>98</v>
      </c>
      <c r="C15366" s="6" t="n">
        <f aca="false">Sens!C15363</f>
        <v>22.5333845916667</v>
      </c>
      <c r="D15366" s="6" t="n">
        <f aca="false">Sens!D15363</f>
        <v>34.0300093833333</v>
      </c>
      <c r="E15366" s="6" t="n">
        <f aca="false">Sens!E15363</f>
        <v>67.600153775</v>
      </c>
      <c r="F15366" s="6" t="n">
        <f aca="false">Sens!F15363</f>
        <v>130.923271871467</v>
      </c>
      <c r="G15366" s="6" t="n">
        <f aca="false">Sens!G15363</f>
        <v>151.5545564832</v>
      </c>
      <c r="H15366" s="6" t="n">
        <f aca="false">Sens!H15363</f>
        <v>156.0606619104</v>
      </c>
      <c r="I15366" s="6" t="n">
        <f aca="false">Sens!I15363</f>
        <v>140.987889434245</v>
      </c>
      <c r="J15366" s="6" t="n">
        <f aca="false">Sens!J15363</f>
        <v>113.309125559842</v>
      </c>
      <c r="K15366" s="6" t="n">
        <f aca="false">Sens!K15363</f>
        <v>116.192591420959</v>
      </c>
    </row>
    <row r="15367" customFormat="false" ht="17.15" hidden="false" customHeight="false" outlineLevel="0" collapsed="false">
      <c r="A15367" s="0" t="s">
        <v>850</v>
      </c>
      <c r="B15367" s="0" t="s">
        <v>98</v>
      </c>
      <c r="C15367" s="6" t="n">
        <f aca="false">Sens!C15366+Sens!C15364</f>
        <v>28.7416845916667</v>
      </c>
      <c r="D15367" s="6" t="n">
        <f aca="false">Sens!D15366+Sens!D15364</f>
        <v>43.4058093833333</v>
      </c>
      <c r="E15367" s="6" t="n">
        <f aca="false">Sens!E15366+Sens!E15364</f>
        <v>86.225053775</v>
      </c>
      <c r="F15367" s="6" t="n">
        <f aca="false">Sens!F15366+Sens!F15364</f>
        <v>160.332875871467</v>
      </c>
      <c r="G15367" s="6" t="n">
        <f aca="false">Sens!G15366+Sens!G15364</f>
        <v>183.5741804832</v>
      </c>
      <c r="H15367" s="6" t="n">
        <f aca="false">Sens!H15366+Sens!H15364</f>
        <v>188.0802859104</v>
      </c>
      <c r="I15367" s="6" t="n">
        <f aca="false">Sens!I15366+Sens!I15364</f>
        <v>163.706669154245</v>
      </c>
      <c r="J15367" s="6" t="n">
        <f aca="false">Sens!J15366+Sens!J15364</f>
        <v>127.181436594242</v>
      </c>
      <c r="K15367" s="6" t="n">
        <f aca="false">Sens!K15366+Sens!K15364</f>
        <v>121.407415303591</v>
      </c>
      <c r="L15367" s="11" t="s">
        <v>851</v>
      </c>
    </row>
    <row r="15368" customFormat="false" ht="17.15" hidden="false" customHeight="false" outlineLevel="0" collapsed="false">
      <c r="A15368" s="0" t="s">
        <v>852</v>
      </c>
      <c r="B15368" s="0" t="s">
        <v>98</v>
      </c>
      <c r="E15368" s="6" t="n">
        <f aca="false">(Sens!C15366*IF(2&lt;life_it,1,IF(2=life_it,0.5,0))+Sens!D15366*IF(1&lt;life_it,1,IF(1=life_it,0.5,0))+Sens!E15366*0.5)/life_it</f>
        <v>15.0605784770833</v>
      </c>
      <c r="F15368" s="6" t="n">
        <f aca="false">(Sens!C15366*IF(3&lt;life_it,1,IF(3=life_it,0.5,0))+Sens!D15366*IF(2&lt;life_it,1,IF(2=life_it,0.5,0))+Sens!E15366*IF(1&lt;life_it,1,IF(1=life_it,0.5,0))+Sens!F15366*0.5)/life_it</f>
        <v>31.6041972809556</v>
      </c>
      <c r="G15368" s="6" t="n">
        <f aca="false">(Sens!C15366*IF(4&lt;life_it,1,IF(4=life_it,0.5,0))+Sens!D15366*IF(3&lt;life_it,1,IF(3=life_it,0.5,0))+Sens!E15366*IF(2&lt;life_it,1,IF(2=life_it,0.5,0))+Sens!F15366*IF(1&lt;life_it,1,IF(1=life_it,0.5,0))+Sens!G15366*0.5)/life_it</f>
        <v>55.1440163105111</v>
      </c>
      <c r="H15368" s="6" t="n">
        <f aca="false">(Sens!C15366*IF(5&lt;life_it,1,IF(5=life_it,0.5,0))+Sens!D15366*IF(4&lt;life_it,1,IF(4=life_it,0.5,0))+Sens!E15366*IF(3&lt;life_it,1,IF(3=life_it,0.5,0))+Sens!F15366*IF(2&lt;life_it,1,IF(2=life_it,0.5,0))+Sens!G15366*IF(1&lt;life_it,1,IF(1=life_it,0.5,0))+Sens!H15366*0.5)/life_it</f>
        <v>80.7786178433111</v>
      </c>
      <c r="I15368" s="6" t="n">
        <f aca="false">(Sens!C15366*IF(6&lt;life_it,1,IF(6=life_it,0.5,0))+Sens!D15366*IF(5&lt;life_it,1,IF(5=life_it,0.5,0))+Sens!E15366*IF(4&lt;life_it,1,IF(4=life_it,0.5,0))+Sens!F15366*IF(3&lt;life_it,1,IF(3=life_it,0.5,0))+Sens!G15366*IF(2&lt;life_it,1,IF(2=life_it,0.5,0))+Sens!H15366*IF(1&lt;life_it,1,IF(1=life_it,0.5,0))+Sens!I15366*0.5)/life_it</f>
        <v>103.654881739393</v>
      </c>
      <c r="J15368" s="6" t="n">
        <f aca="false">(Sens!C15366*IF(7&lt;life_it,1,IF(7=life_it,0.5,0))+Sens!D15366*IF(6&lt;life_it,1,IF(6=life_it,0.5,0))+Sens!E15366*IF(5&lt;life_it,1,IF(5=life_it,0.5,0))+Sens!F15366*IF(4&lt;life_it,1,IF(4=life_it,0.5,0))+Sens!G15366*IF(3&lt;life_it,1,IF(3=life_it,0.5,0))+Sens!H15366*IF(2&lt;life_it,1,IF(2=life_it,0.5,0))+Sens!I15366*IF(1&lt;life_it,1,IF(1=life_it,0.5,0))+Sens!J15366*0.5)/life_it</f>
        <v>120.132683490983</v>
      </c>
      <c r="K15368" s="6" t="n">
        <f aca="false">(Sens!C15366*IF(8&lt;life_it,1,IF(8=life_it,0.5,0))+Sens!D15366*IF(7&lt;life_it,1,IF(7=life_it,0.5,0))+Sens!E15366*IF(6&lt;life_it,1,IF(6=life_it,0.5,0))+Sens!F15366*IF(5&lt;life_it,1,IF(5=life_it,0.5,0))+Sens!G15366*IF(4&lt;life_it,1,IF(4=life_it,0.5,0))+Sens!H15366*IF(3&lt;life_it,1,IF(3=life_it,0.5,0))+Sens!I15366*IF(2&lt;life_it,1,IF(2=life_it,0.5,0))+Sens!J15366*IF(1&lt;life_it,1,IF(1=life_it,0.5,0))+Sens!K15366*0.5)/life_it</f>
        <v>130.788646309522</v>
      </c>
    </row>
    <row r="15369" customFormat="false" ht="17.15" hidden="false" customHeight="false" outlineLevel="0" collapsed="false">
      <c r="A15369" s="0" t="s">
        <v>853</v>
      </c>
      <c r="B15369" s="0" t="s">
        <v>98</v>
      </c>
      <c r="E15369" s="6" t="n">
        <f aca="false">(Sens!C15364*IF(2&lt;life_fac,1,IF(2=life_fac,0.5,0))+Sens!D15364*IF(1&lt;life_fac,1,IF(1=life_fac,0.5,0))+Sens!E15364*0.5)/life_fac</f>
        <v>1.2448275</v>
      </c>
      <c r="F15369" s="6" t="n">
        <f aca="false">(Sens!C15364*IF(3&lt;life_fac,1,IF(3=life_fac,0.5,0))+Sens!D15364*IF(2&lt;life_fac,1,IF(2=life_fac,0.5,0))+Sens!E15364*IF(1&lt;life_fac,1,IF(1=life_fac,0.5,0))+Sens!F15364*0.5)/life_fac</f>
        <v>2.4456901</v>
      </c>
      <c r="G15369" s="6" t="n">
        <f aca="false">(Sens!C15364*IF(4&lt;life_fac,1,IF(4=life_fac,0.5,0))+Sens!D15364*IF(3&lt;life_fac,1,IF(3=life_fac,0.5,0))+Sens!E15364*IF(2&lt;life_fac,1,IF(2=life_fac,0.5,0))+Sens!F15364*IF(1&lt;life_fac,1,IF(1=life_fac,0.5,0))+Sens!G15364*0.5)/life_fac</f>
        <v>3.9814208</v>
      </c>
      <c r="H15369" s="6" t="n">
        <f aca="false">(Sens!C15364*IF(5&lt;life_fac,1,IF(5=life_fac,0.5,0))+Sens!D15364*IF(4&lt;life_fac,1,IF(4=life_fac,0.5,0))+Sens!E15364*IF(3&lt;life_fac,1,IF(3=life_fac,0.5,0))+Sens!F15364*IF(2&lt;life_fac,1,IF(2=life_fac,0.5,0))+Sens!G15364*IF(1&lt;life_fac,1,IF(1=life_fac,0.5,0))+Sens!H15364*0.5)/life_fac</f>
        <v>5.582402</v>
      </c>
      <c r="I15369" s="6" t="n">
        <f aca="false">(Sens!C15364*IF(6&lt;life_fac,1,IF(6=life_fac,0.5,0))+Sens!D15364*IF(5&lt;life_fac,1,IF(5=life_fac,0.5,0))+Sens!E15364*IF(4&lt;life_fac,1,IF(4=life_fac,0.5,0))+Sens!F15364*IF(3&lt;life_fac,1,IF(3=life_fac,0.5,0))+Sens!G15364*IF(2&lt;life_fac,1,IF(2=life_fac,0.5,0))+Sens!H15364*IF(1&lt;life_fac,1,IF(1=life_fac,0.5,0))+Sens!I15364*0.5)/life_fac</f>
        <v>6.950862093</v>
      </c>
      <c r="J15369" s="6" t="n">
        <f aca="false">(Sens!C15364*IF(7&lt;life_fac,1,IF(7=life_fac,0.5,0))+Sens!D15364*IF(6&lt;life_fac,1,IF(6=life_fac,0.5,0))+Sens!E15364*IF(5&lt;life_fac,1,IF(5=life_fac,0.5,0))+Sens!F15364*IF(4&lt;life_fac,1,IF(4=life_fac,0.5,0))+Sens!G15364*IF(3&lt;life_fac,1,IF(3=life_fac,0.5,0))+Sens!H15364*IF(2&lt;life_fac,1,IF(2=life_fac,0.5,0))+Sens!I15364*IF(1&lt;life_fac,1,IF(1=life_fac,0.5,0))+Sens!J15364*0.5)/life_fac</f>
        <v>7.86563936186</v>
      </c>
      <c r="K15369" s="6" t="n">
        <f aca="false">(Sens!C15364*IF(8&lt;life_fac,1,IF(8=life_fac,0.5,0))+Sens!D15364*IF(7&lt;life_fac,1,IF(7=life_fac,0.5,0))+Sens!E15364*IF(6&lt;life_fac,1,IF(6=life_fac,0.5,0))+Sens!F15364*IF(5&lt;life_fac,1,IF(5=life_fac,0.5,0))+Sens!G15364*IF(4&lt;life_fac,1,IF(4=life_fac,0.5,0))+Sens!H15364*IF(3&lt;life_fac,1,IF(3=life_fac,0.5,0))+Sens!I15364*IF(2&lt;life_fac,1,IF(2=life_fac,0.5,0))+Sens!J15364*IF(1&lt;life_fac,1,IF(1=life_fac,0.5,0))+Sens!K15364*0.5)/life_fac</f>
        <v>8.3428177347858</v>
      </c>
    </row>
    <row r="15370" customFormat="false" ht="17.15" hidden="false" customHeight="false" outlineLevel="0" collapsed="false">
      <c r="A15370" s="0" t="s">
        <v>854</v>
      </c>
      <c r="B15370" s="0" t="s">
        <v>98</v>
      </c>
      <c r="E15370" s="6" t="n">
        <f aca="false">Sens!E15368+Sens!E15369</f>
        <v>16.3054059770833</v>
      </c>
      <c r="F15370" s="6" t="n">
        <f aca="false">Sens!F15368+Sens!F15369</f>
        <v>34.0498873809555</v>
      </c>
      <c r="G15370" s="6" t="n">
        <f aca="false">Sens!G15368+Sens!G15369</f>
        <v>59.1254371105111</v>
      </c>
      <c r="H15370" s="6" t="n">
        <f aca="false">Sens!H15368+Sens!H15369</f>
        <v>86.3610198433111</v>
      </c>
      <c r="I15370" s="6" t="n">
        <f aca="false">Sens!I15368+Sens!I15369</f>
        <v>110.605743832393</v>
      </c>
      <c r="J15370" s="6" t="n">
        <f aca="false">Sens!J15368+Sens!J15369</f>
        <v>127.998322852843</v>
      </c>
      <c r="K15370" s="6" t="n">
        <f aca="false">Sens!K15368+Sens!K15369</f>
        <v>139.131464044308</v>
      </c>
    </row>
    <row r="15371" customFormat="false" ht="17.15" hidden="false" customHeight="false" outlineLevel="0" collapsed="false">
      <c r="A15371" s="0" t="s">
        <v>855</v>
      </c>
      <c r="B15371" s="0" t="s">
        <v>98</v>
      </c>
      <c r="E15371" s="6" t="n">
        <f aca="false">Sens!E15359-Sens!E15358*Sens!E15370</f>
        <v>8.92707889977379</v>
      </c>
      <c r="F15371" s="6" t="n">
        <f aca="false">Sens!F15359-Sens!F15358*Sens!F15370</f>
        <v>22.6979209761638</v>
      </c>
      <c r="G15371" s="6" t="n">
        <f aca="false">Sens!G15359-Sens!G15358*Sens!G15370</f>
        <v>42.9960401135986</v>
      </c>
      <c r="H15371" s="6" t="n">
        <f aca="false">Sens!H15359-Sens!H15358*Sens!H15370</f>
        <v>68.3530123552322</v>
      </c>
      <c r="I15371" s="6" t="n">
        <f aca="false">Sens!I15359-Sens!I15358*Sens!I15370</f>
        <v>85.5693875361303</v>
      </c>
      <c r="J15371" s="6" t="n">
        <f aca="false">Sens!J15359-Sens!J15358*Sens!J15370</f>
        <v>97.6813621174372</v>
      </c>
      <c r="K15371" s="6" t="n">
        <f aca="false">Sens!K15359-Sens!K15358*Sens!K15370</f>
        <v>106.099477202773</v>
      </c>
    </row>
    <row r="15372" customFormat="false" ht="17.15" hidden="false" customHeight="false" outlineLevel="0" collapsed="false">
      <c r="A15372" s="3" t="s">
        <v>1652</v>
      </c>
    </row>
    <row r="15373" customFormat="false" ht="15" hidden="false" customHeight="false" outlineLevel="0" collapsed="false">
      <c r="A15373" s="4" t="s">
        <v>43</v>
      </c>
      <c r="B15373" s="4" t="s">
        <v>65</v>
      </c>
      <c r="C15373" s="20" t="s">
        <v>799</v>
      </c>
      <c r="D15373" s="20" t="s">
        <v>800</v>
      </c>
      <c r="E15373" s="20" t="s">
        <v>801</v>
      </c>
      <c r="F15373" s="20" t="s">
        <v>802</v>
      </c>
      <c r="G15373" s="20" t="s">
        <v>803</v>
      </c>
      <c r="H15373" s="20" t="s">
        <v>804</v>
      </c>
      <c r="I15373" s="20" t="s">
        <v>805</v>
      </c>
      <c r="J15373" s="20" t="s">
        <v>806</v>
      </c>
      <c r="K15373" s="20" t="s">
        <v>807</v>
      </c>
      <c r="L15373" s="4" t="s">
        <v>47</v>
      </c>
    </row>
    <row r="15374" customFormat="false" ht="17.15" hidden="false" customHeight="false" outlineLevel="0" collapsed="false">
      <c r="A15374" s="0" t="s">
        <v>874</v>
      </c>
      <c r="B15374" s="0" t="s">
        <v>98</v>
      </c>
      <c r="D15374" s="6" t="n">
        <f aca="false">Sens!D15353</f>
        <v>12.9359794422418</v>
      </c>
      <c r="E15374" s="6" t="n">
        <f aca="false">Sens!E15353</f>
        <v>27.8095064661409</v>
      </c>
      <c r="F15374" s="6" t="n">
        <f aca="false">Sens!F15353</f>
        <v>58.7324192305018</v>
      </c>
      <c r="G15374" s="6" t="n">
        <f aca="false">Sens!G15353</f>
        <v>101.369089141153</v>
      </c>
      <c r="H15374" s="6" t="n">
        <f aca="false">Sens!H15353</f>
        <v>149.785610014234</v>
      </c>
      <c r="I15374" s="6" t="n">
        <f aca="false">Sens!I15353</f>
        <v>187.368703083263</v>
      </c>
      <c r="J15374" s="6" t="n">
        <f aca="false">Sens!J15353</f>
        <v>213.886657444854</v>
      </c>
      <c r="K15374" s="6" t="n">
        <f aca="false">Sens!K15353</f>
        <v>231.253475259589</v>
      </c>
    </row>
    <row r="15375" customFormat="false" ht="17.15" hidden="false" customHeight="false" outlineLevel="0" collapsed="false">
      <c r="A15375" s="0" t="s">
        <v>875</v>
      </c>
      <c r="B15375" s="0" t="s">
        <v>98</v>
      </c>
      <c r="D15375" s="6" t="n">
        <f aca="false">Q!L6-Sens!D15374</f>
        <v>59.6740205577583</v>
      </c>
      <c r="E15375" s="6" t="n">
        <f aca="false">Q!M6-Sens!E15374</f>
        <v>74.1284935338591</v>
      </c>
      <c r="F15375" s="6" t="n">
        <f aca="false">Sens!E15375*(1+Sens!F15376)</f>
        <v>90.0799497373663</v>
      </c>
      <c r="G15375" s="6" t="n">
        <f aca="false">Sens!F15375*(1+Sens!G15376)</f>
        <v>107.02842520331</v>
      </c>
      <c r="H15375" s="6" t="n">
        <f aca="false">Sens!G15375*(1+Sens!H15376)</f>
        <v>124.271982585636</v>
      </c>
      <c r="I15375" s="6" t="n">
        <f aca="false">Sens!H15375*(1+Sens!I15376)</f>
        <v>140.933702381855</v>
      </c>
      <c r="J15375" s="6" t="n">
        <f aca="false">Sens!I15375*(1+Sens!J15376)</f>
        <v>156.018867314332</v>
      </c>
      <c r="K15375" s="6" t="n">
        <f aca="false">Sens!J15375*(1+Sens!K15376)</f>
        <v>168.500376699478</v>
      </c>
    </row>
    <row r="15376" customFormat="false" ht="15" hidden="false" customHeight="false" outlineLevel="0" collapsed="false">
      <c r="A15376" s="1" t="s">
        <v>876</v>
      </c>
      <c r="B15376" s="0" t="s">
        <v>129</v>
      </c>
      <c r="E15376" s="7" t="n">
        <f aca="false">Sens!E15375/Sens!D15375-1</f>
        <v>0.242223883039864</v>
      </c>
      <c r="F15376" s="7" t="n">
        <f aca="false">Sens!$E$15376+(glt_azo-Sens!$E$15376)*MIN(1,(Sens!F15336-base_fy)/n_conv)</f>
        <v>0.215186569199887</v>
      </c>
      <c r="G15376" s="7" t="n">
        <f aca="false">Sens!$E$15376+(glt_azo-Sens!$E$15376)*MIN(1,(Sens!G15336-base_fy)/n_conv)</f>
        <v>0.18814925535991</v>
      </c>
      <c r="H15376" s="7" t="n">
        <f aca="false">Sens!$E$15376+(glt_azo-Sens!$E$15376)*MIN(1,(Sens!H15336-base_fy)/n_conv)</f>
        <v>0.161111941519932</v>
      </c>
      <c r="I15376" s="7" t="n">
        <f aca="false">Sens!$E$15376+(glt_azo-Sens!$E$15376)*MIN(1,(Sens!I15336-base_fy)/n_conv)</f>
        <v>0.134074627679955</v>
      </c>
      <c r="J15376" s="7" t="n">
        <f aca="false">Sens!$E$15376+(glt_azo-Sens!$E$15376)*MIN(1,(Sens!J15336-base_fy)/n_conv)</f>
        <v>0.107037313839977</v>
      </c>
      <c r="K15376" s="7" t="n">
        <f aca="false">Sens!$E$15376+(glt_azo-Sens!$E$15376)*MIN(1,(Sens!K15336-base_fy)/n_conv)</f>
        <v>0.08</v>
      </c>
    </row>
    <row r="15377" customFormat="false" ht="15" hidden="false" customHeight="false" outlineLevel="0" collapsed="false">
      <c r="A15377" s="0" t="s">
        <v>877</v>
      </c>
      <c r="B15377" s="0" t="s">
        <v>98</v>
      </c>
      <c r="D15377" s="6" t="n">
        <f aca="false">Sens!D15374+Sens!D15375</f>
        <v>72.61</v>
      </c>
      <c r="E15377" s="6" t="n">
        <f aca="false">Sens!E15374+Sens!E15375</f>
        <v>101.938</v>
      </c>
      <c r="F15377" s="6" t="n">
        <f aca="false">Sens!F15374+Sens!F15375</f>
        <v>148.812368967868</v>
      </c>
      <c r="G15377" s="6" t="n">
        <f aca="false">Sens!G15374+Sens!G15375</f>
        <v>208.397514344463</v>
      </c>
      <c r="H15377" s="6" t="n">
        <f aca="false">Sens!H15374+Sens!H15375</f>
        <v>274.05759259987</v>
      </c>
      <c r="I15377" s="6" t="n">
        <f aca="false">Sens!I15374+Sens!I15375</f>
        <v>328.302405465117</v>
      </c>
      <c r="J15377" s="6" t="n">
        <f aca="false">Sens!J15374+Sens!J15375</f>
        <v>369.905524759186</v>
      </c>
      <c r="K15377" s="6" t="n">
        <f aca="false">Sens!K15374+Sens!K15375</f>
        <v>399.753851959067</v>
      </c>
    </row>
    <row r="15378" customFormat="false" ht="17.15" hidden="false" customHeight="false" outlineLevel="0" collapsed="false">
      <c r="A15378" s="0" t="s">
        <v>878</v>
      </c>
      <c r="B15378" s="1" t="s">
        <v>528</v>
      </c>
      <c r="C15378" s="29" t="n">
        <f aca="false">cop_s24</f>
        <v>1</v>
      </c>
      <c r="D15378" s="29" t="n">
        <f aca="false">cop_s25</f>
        <v>5</v>
      </c>
      <c r="E15378" s="29" t="n">
        <f aca="false">cop_s26</f>
        <v>30</v>
      </c>
      <c r="F15378" s="29" t="n">
        <f aca="false">Sens!E15378+cop_add_A</f>
        <v>60</v>
      </c>
      <c r="G15378" s="29" t="n">
        <f aca="false">Sens!F15378+cop_add_A</f>
        <v>90</v>
      </c>
      <c r="H15378" s="29" t="n">
        <f aca="false">Sens!G15378+cop_add_A</f>
        <v>120</v>
      </c>
      <c r="I15378" s="29" t="n">
        <f aca="false">Sens!H15378+cop_add_A*cop_tail</f>
        <v>135</v>
      </c>
      <c r="J15378" s="29" t="n">
        <f aca="false">Sens!I15378+cop_add_A*cop_tail</f>
        <v>150</v>
      </c>
      <c r="K15378" s="29" t="n">
        <f aca="false">Sens!J15378+cop_add_A*cop_tail</f>
        <v>165</v>
      </c>
      <c r="L15378" s="11" t="s">
        <v>879</v>
      </c>
    </row>
    <row r="15379" customFormat="false" ht="17.15" hidden="false" customHeight="false" outlineLevel="0" collapsed="false">
      <c r="A15379" s="0" t="s">
        <v>880</v>
      </c>
      <c r="B15379" s="0" t="s">
        <v>98</v>
      </c>
      <c r="D15379" s="6" t="n">
        <f aca="false">(Sens!C15378+Sens!D15378)/2*cop_px*12/1000</f>
        <v>0.9</v>
      </c>
      <c r="E15379" s="6" t="n">
        <f aca="false">(Sens!D15378+Sens!E15378)/2*cop_px*12/1000</f>
        <v>5.25</v>
      </c>
      <c r="F15379" s="6" t="n">
        <f aca="false">(Sens!E15378+Sens!F15378)/2*cop_px*12/1000</f>
        <v>13.5</v>
      </c>
      <c r="G15379" s="6" t="n">
        <f aca="false">(Sens!F15378+Sens!G15378)/2*cop_px*12/1000</f>
        <v>22.5</v>
      </c>
      <c r="H15379" s="6" t="n">
        <f aca="false">(Sens!G15378+Sens!H15378)/2*cop_px*12/1000</f>
        <v>31.5</v>
      </c>
      <c r="I15379" s="6" t="n">
        <f aca="false">(Sens!H15378+Sens!I15378)/2*cop_px*12/1000</f>
        <v>38.25</v>
      </c>
      <c r="J15379" s="6" t="n">
        <f aca="false">(Sens!I15378+Sens!J15378)/2*cop_px*12/1000</f>
        <v>42.75</v>
      </c>
      <c r="K15379" s="6" t="n">
        <f aca="false">(Sens!J15378+Sens!K15378)/2*cop_px*12/1000</f>
        <v>47.25</v>
      </c>
      <c r="L15379" s="1" t="s">
        <v>881</v>
      </c>
    </row>
    <row r="15380" customFormat="false" ht="17.15" hidden="false" customHeight="false" outlineLevel="0" collapsed="false">
      <c r="A15380" s="0" t="s">
        <v>882</v>
      </c>
      <c r="B15380" s="0" t="s">
        <v>98</v>
      </c>
      <c r="D15380" s="6" t="n">
        <f aca="false">Q!L7-Sens!D15379</f>
        <v>83.705</v>
      </c>
      <c r="E15380" s="6" t="n">
        <f aca="false">Q!M7-Sens!E15379</f>
        <v>95.049</v>
      </c>
      <c r="F15380" s="6" t="n">
        <f aca="false">Sens!E15380*(1+Sens!F15381)</f>
        <v>106.89238776686</v>
      </c>
      <c r="G15380" s="6" t="n">
        <f aca="false">Sens!F15380*(1+Sens!G15381)</f>
        <v>119.044168448684</v>
      </c>
      <c r="H15380" s="6" t="n">
        <f aca="false">Sens!G15380*(1+Sens!H15381)</f>
        <v>131.277359388781</v>
      </c>
      <c r="I15380" s="6" t="n">
        <f aca="false">Sens!H15380*(1+Sens!I15381)</f>
        <v>143.334028071957</v>
      </c>
      <c r="J15380" s="6" t="n">
        <f aca="false">Sens!I15380*(1+Sens!J15381)</f>
        <v>154.932702785465</v>
      </c>
      <c r="K15380" s="6" t="n">
        <f aca="false">Sens!J15380*(1+Sens!K15381)</f>
        <v>165.777991980448</v>
      </c>
    </row>
    <row r="15381" customFormat="false" ht="15" hidden="false" customHeight="false" outlineLevel="0" collapsed="false">
      <c r="A15381" s="1" t="s">
        <v>876</v>
      </c>
      <c r="B15381" s="0" t="s">
        <v>129</v>
      </c>
      <c r="E15381" s="7" t="n">
        <f aca="false">Sens!E15380/Sens!D15380-1</f>
        <v>0.135523564900544</v>
      </c>
      <c r="F15381" s="7" t="n">
        <f aca="false">Sens!$E$15381+(glt_m365b-Sens!$E$15381)*MIN(1,(Sens!F15336-base_fy)/n_conv)</f>
        <v>0.124602970750453</v>
      </c>
      <c r="G15381" s="7" t="n">
        <f aca="false">Sens!$E$15381+(glt_m365b-Sens!$E$15381)*MIN(1,(Sens!G15336-base_fy)/n_conv)</f>
        <v>0.113682376600363</v>
      </c>
      <c r="H15381" s="7" t="n">
        <f aca="false">Sens!$E$15381+(glt_m365b-Sens!$E$15381)*MIN(1,(Sens!H15336-base_fy)/n_conv)</f>
        <v>0.102761782450272</v>
      </c>
      <c r="I15381" s="7" t="n">
        <f aca="false">Sens!$E$15381+(glt_m365b-Sens!$E$15381)*MIN(1,(Sens!I15336-base_fy)/n_conv)</f>
        <v>0.0918411883001813</v>
      </c>
      <c r="J15381" s="7" t="n">
        <f aca="false">Sens!$E$15381+(glt_m365b-Sens!$E$15381)*MIN(1,(Sens!J15336-base_fy)/n_conv)</f>
        <v>0.0809205941500906</v>
      </c>
      <c r="K15381" s="7" t="n">
        <f aca="false">Sens!$E$15381+(glt_m365b-Sens!$E$15381)*MIN(1,(Sens!K15336-base_fy)/n_conv)</f>
        <v>0.07</v>
      </c>
    </row>
    <row r="15382" customFormat="false" ht="15" hidden="false" customHeight="false" outlineLevel="0" collapsed="false">
      <c r="A15382" s="0" t="s">
        <v>883</v>
      </c>
      <c r="B15382" s="0" t="s">
        <v>98</v>
      </c>
      <c r="D15382" s="6" t="n">
        <f aca="false">Sens!D15380+Sens!D15379</f>
        <v>84.605</v>
      </c>
      <c r="E15382" s="6" t="n">
        <f aca="false">Sens!E15380+Sens!E15379</f>
        <v>100.299</v>
      </c>
      <c r="F15382" s="6" t="n">
        <f aca="false">Sens!F15380+Sens!F15379</f>
        <v>120.39238776686</v>
      </c>
      <c r="G15382" s="6" t="n">
        <f aca="false">Sens!G15380+Sens!G15379</f>
        <v>141.544168448684</v>
      </c>
      <c r="H15382" s="6" t="n">
        <f aca="false">Sens!H15380+Sens!H15379</f>
        <v>162.777359388781</v>
      </c>
      <c r="I15382" s="6" t="n">
        <f aca="false">Sens!I15380+Sens!I15379</f>
        <v>181.584028071957</v>
      </c>
      <c r="J15382" s="6" t="n">
        <f aca="false">Sens!J15380+Sens!J15379</f>
        <v>197.682702785465</v>
      </c>
      <c r="K15382" s="6" t="n">
        <f aca="false">Sens!K15380+Sens!K15379</f>
        <v>213.027991980448</v>
      </c>
    </row>
    <row r="15383" customFormat="false" ht="15" hidden="false" customHeight="false" outlineLevel="0" collapsed="false">
      <c r="A15383" s="0" t="s">
        <v>884</v>
      </c>
      <c r="B15383" s="0" t="s">
        <v>98</v>
      </c>
      <c r="D15383" s="6" t="n">
        <f aca="false">Q!L8</f>
        <v>35.391</v>
      </c>
      <c r="E15383" s="6" t="n">
        <f aca="false">Q!M8</f>
        <v>37.285</v>
      </c>
      <c r="F15383" s="6" t="n">
        <f aca="false">Sens!E15383*(1+Sens!F15384)</f>
        <v>39.0720834331704</v>
      </c>
      <c r="G15383" s="6" t="n">
        <f aca="false">Sens!F15383*(1+Sens!G15384)</f>
        <v>40.726562953769</v>
      </c>
      <c r="H15383" s="6" t="n">
        <f aca="false">Sens!G15383*(1+Sens!H15384)</f>
        <v>42.2235987259198</v>
      </c>
      <c r="I15383" s="6" t="n">
        <f aca="false">Sens!H15383*(1+Sens!I15384)</f>
        <v>43.5397988077414</v>
      </c>
      <c r="J15383" s="6" t="n">
        <f aca="false">Sens!I15383*(1+Sens!J15384)</f>
        <v>44.653811225693</v>
      </c>
      <c r="K15383" s="6" t="n">
        <f aca="false">Sens!J15383*(1+Sens!K15384)</f>
        <v>45.5468874502068</v>
      </c>
    </row>
    <row r="15384" customFormat="false" ht="15" hidden="false" customHeight="false" outlineLevel="0" collapsed="false">
      <c r="A15384" s="1" t="s">
        <v>876</v>
      </c>
      <c r="B15384" s="0" t="s">
        <v>129</v>
      </c>
      <c r="E15384" s="7" t="n">
        <f aca="false">Sens!E15383/Sens!D15383-1</f>
        <v>0.0535164307309768</v>
      </c>
      <c r="F15384" s="7" t="n">
        <f aca="false">Sens!$E$15384+(glt_lic-Sens!$E$15384)*MIN(1,(Sens!F15336-base_fy)/n_conv)</f>
        <v>0.0479303589424807</v>
      </c>
      <c r="G15384" s="7" t="n">
        <f aca="false">Sens!$E$15384+(glt_lic-Sens!$E$15384)*MIN(1,(Sens!G15336-base_fy)/n_conv)</f>
        <v>0.0423442871539845</v>
      </c>
      <c r="H15384" s="7" t="n">
        <f aca="false">Sens!$E$15384+(glt_lic-Sens!$E$15384)*MIN(1,(Sens!H15336-base_fy)/n_conv)</f>
        <v>0.0367582153654884</v>
      </c>
      <c r="I15384" s="7" t="n">
        <f aca="false">Sens!$E$15384+(glt_lic-Sens!$E$15384)*MIN(1,(Sens!I15336-base_fy)/n_conv)</f>
        <v>0.0311721435769923</v>
      </c>
      <c r="J15384" s="7" t="n">
        <f aca="false">Sens!$E$15384+(glt_lic-Sens!$E$15384)*MIN(1,(Sens!J15336-base_fy)/n_conv)</f>
        <v>0.0255860717884961</v>
      </c>
      <c r="K15384" s="7" t="n">
        <f aca="false">Sens!$E$15384+(glt_lic-Sens!$E$15384)*MIN(1,(Sens!K15336-base_fy)/n_conv)</f>
        <v>0.02</v>
      </c>
    </row>
    <row r="15385" customFormat="false" ht="15" hidden="false" customHeight="false" outlineLevel="0" collapsed="false">
      <c r="A15385" s="0" t="s">
        <v>885</v>
      </c>
      <c r="B15385" s="0" t="s">
        <v>98</v>
      </c>
      <c r="D15385" s="6" t="n">
        <f aca="false">Q!L9</f>
        <v>18.417</v>
      </c>
      <c r="E15385" s="6" t="n">
        <f aca="false">Q!M9</f>
        <v>20.345</v>
      </c>
      <c r="F15385" s="6" t="n">
        <f aca="false">Sens!E15385*(1+Sens!F15386)</f>
        <v>22.3572203267814</v>
      </c>
      <c r="G15385" s="6" t="n">
        <f aca="false">Sens!F15385*(1+Sens!G15386)</f>
        <v>24.4392124437232</v>
      </c>
      <c r="H15385" s="6" t="n">
        <f aca="false">Sens!G15385*(1+Sens!H15386)</f>
        <v>26.5738052080665</v>
      </c>
      <c r="I15385" s="6" t="n">
        <f aca="false">Sens!H15385*(1+Sens!I15386)</f>
        <v>28.7412169166967</v>
      </c>
      <c r="J15385" s="6" t="n">
        <f aca="false">Sens!I15385*(1+Sens!J15386)</f>
        <v>30.9192545395413</v>
      </c>
      <c r="K15385" s="6" t="n">
        <f aca="false">Sens!J15385*(1+Sens!K15386)</f>
        <v>33.0836023573092</v>
      </c>
    </row>
    <row r="15386" customFormat="false" ht="15" hidden="false" customHeight="false" outlineLevel="0" collapsed="false">
      <c r="A15386" s="1" t="s">
        <v>876</v>
      </c>
      <c r="B15386" s="0" t="s">
        <v>129</v>
      </c>
      <c r="E15386" s="7" t="n">
        <f aca="false">Sens!E15385/Sens!D15385-1</f>
        <v>0.104685888038225</v>
      </c>
      <c r="F15386" s="7" t="n">
        <f aca="false">Sens!$E$15386+(glt_ind-Sens!$E$15386)*MIN(1,(Sens!F15336-base_fy)/n_conv)</f>
        <v>0.0989049066985211</v>
      </c>
      <c r="G15386" s="7" t="n">
        <f aca="false">Sens!$E$15386+(glt_ind-Sens!$E$15386)*MIN(1,(Sens!G15336-base_fy)/n_conv)</f>
        <v>0.0931239253588169</v>
      </c>
      <c r="H15386" s="7" t="n">
        <f aca="false">Sens!$E$15386+(glt_ind-Sens!$E$15386)*MIN(1,(Sens!H15336-base_fy)/n_conv)</f>
        <v>0.0873429440191127</v>
      </c>
      <c r="I15386" s="7" t="n">
        <f aca="false">Sens!$E$15386+(glt_ind-Sens!$E$15386)*MIN(1,(Sens!I15336-base_fy)/n_conv)</f>
        <v>0.0815619626794085</v>
      </c>
      <c r="J15386" s="7" t="n">
        <f aca="false">Sens!$E$15386+(glt_ind-Sens!$E$15386)*MIN(1,(Sens!J15336-base_fy)/n_conv)</f>
        <v>0.0757809813397042</v>
      </c>
      <c r="K15386" s="7" t="n">
        <f aca="false">Sens!$E$15386+(glt_ind-Sens!$E$15386)*MIN(1,(Sens!K15336-base_fy)/n_conv)</f>
        <v>0.07</v>
      </c>
    </row>
    <row r="15387" customFormat="false" ht="15" hidden="false" customHeight="false" outlineLevel="0" collapsed="false">
      <c r="A15387" s="0" t="s">
        <v>886</v>
      </c>
      <c r="B15387" s="0" t="s">
        <v>98</v>
      </c>
      <c r="D15387" s="6" t="n">
        <f aca="false">Q!L10</f>
        <v>7.76</v>
      </c>
      <c r="E15387" s="6" t="n">
        <f aca="false">Q!M10</f>
        <v>8.26</v>
      </c>
      <c r="F15387" s="6" t="n">
        <f aca="false">Sens!E15387*(1+Sens!F15388)</f>
        <v>8.79988041237113</v>
      </c>
      <c r="G15387" s="6" t="n">
        <f aca="false">Sens!F15387*(1+Sens!G15388)</f>
        <v>9.38321269125306</v>
      </c>
      <c r="H15387" s="6" t="n">
        <f aca="false">Sens!G15387*(1+Sens!H15388)</f>
        <v>10.0139193587476</v>
      </c>
      <c r="I15387" s="6" t="n">
        <f aca="false">Sens!H15387*(1+Sens!I15388)</f>
        <v>10.6963111830911</v>
      </c>
      <c r="J15387" s="6" t="n">
        <f aca="false">Sens!I15387*(1+Sens!J15388)</f>
        <v>11.4351285534696</v>
      </c>
      <c r="K15387" s="6" t="n">
        <f aca="false">Sens!J15387*(1+Sens!K15388)</f>
        <v>12.2355875522124</v>
      </c>
    </row>
    <row r="15388" customFormat="false" ht="15" hidden="false" customHeight="false" outlineLevel="0" collapsed="false">
      <c r="A15388" s="1" t="s">
        <v>876</v>
      </c>
      <c r="B15388" s="0" t="s">
        <v>129</v>
      </c>
      <c r="E15388" s="7" t="n">
        <f aca="false">Sens!E15387/Sens!D15387-1</f>
        <v>0.0644329896907216</v>
      </c>
      <c r="F15388" s="7" t="n">
        <f aca="false">Sens!$E$15388+(glt_fro-Sens!$E$15388)*MIN(1,(Sens!F15336-base_fy)/n_conv)</f>
        <v>0.065360824742268</v>
      </c>
      <c r="G15388" s="7" t="n">
        <f aca="false">Sens!$E$15388+(glt_fro-Sens!$E$15388)*MIN(1,(Sens!G15336-base_fy)/n_conv)</f>
        <v>0.0662886597938144</v>
      </c>
      <c r="H15388" s="7" t="n">
        <f aca="false">Sens!$E$15388+(glt_fro-Sens!$E$15388)*MIN(1,(Sens!H15336-base_fy)/n_conv)</f>
        <v>0.0672164948453608</v>
      </c>
      <c r="I15388" s="7" t="n">
        <f aca="false">Sens!$E$15388+(glt_fro-Sens!$E$15388)*MIN(1,(Sens!I15336-base_fy)/n_conv)</f>
        <v>0.0681443298969072</v>
      </c>
      <c r="J15388" s="7" t="n">
        <f aca="false">Sens!$E$15388+(glt_fro-Sens!$E$15388)*MIN(1,(Sens!J15336-base_fy)/n_conv)</f>
        <v>0.0690721649484536</v>
      </c>
      <c r="K15388" s="7" t="n">
        <f aca="false">Sens!$E$15388+(glt_fro-Sens!$E$15388)*MIN(1,(Sens!K15336-base_fy)/n_conv)</f>
        <v>0.07</v>
      </c>
    </row>
    <row r="15389" customFormat="false" ht="15" hidden="false" customHeight="false" outlineLevel="0" collapsed="false">
      <c r="A15389" s="0" t="s">
        <v>715</v>
      </c>
      <c r="B15389" s="0" t="s">
        <v>98</v>
      </c>
      <c r="D15389" s="6" t="n">
        <f aca="false">Sens!D15377+Sens!D15382+Sens!D15383+Sens!D15385+Sens!D15387</f>
        <v>218.783</v>
      </c>
      <c r="E15389" s="6" t="n">
        <f aca="false">Sens!E15377+Sens!E15382+Sens!E15383+Sens!E15385+Sens!E15387</f>
        <v>268.127</v>
      </c>
      <c r="F15389" s="6" t="n">
        <f aca="false">Sens!F15377+Sens!F15382+Sens!F15383+Sens!F15385+Sens!F15387</f>
        <v>339.433940907051</v>
      </c>
      <c r="G15389" s="6" t="n">
        <f aca="false">Sens!G15377+Sens!G15382+Sens!G15383+Sens!G15385+Sens!G15387</f>
        <v>424.490670881892</v>
      </c>
      <c r="H15389" s="6" t="n">
        <f aca="false">Sens!H15377+Sens!H15382+Sens!H15383+Sens!H15385+Sens!H15387</f>
        <v>515.646275281385</v>
      </c>
      <c r="I15389" s="6" t="n">
        <f aca="false">Sens!I15377+Sens!I15382+Sens!I15383+Sens!I15385+Sens!I15387</f>
        <v>592.863760444604</v>
      </c>
      <c r="J15389" s="6" t="n">
        <f aca="false">Sens!J15377+Sens!J15382+Sens!J15383+Sens!J15385+Sens!J15387</f>
        <v>654.596421863355</v>
      </c>
      <c r="K15389" s="6" t="n">
        <f aca="false">Sens!K15377+Sens!K15382+Sens!K15383+Sens!K15385+Sens!K15387</f>
        <v>703.647921299244</v>
      </c>
    </row>
    <row r="15390" customFormat="false" ht="15" hidden="false" customHeight="false" outlineLevel="0" collapsed="false">
      <c r="A15390" s="0" t="s">
        <v>887</v>
      </c>
      <c r="B15390" s="0" t="s">
        <v>98</v>
      </c>
      <c r="D15390" s="6" t="n">
        <f aca="false">Q!L13</f>
        <v>22.171</v>
      </c>
      <c r="E15390" s="6" t="n">
        <f aca="false">Q!M13</f>
        <v>24.835</v>
      </c>
      <c r="F15390" s="6" t="n">
        <f aca="false">Sens!E15390*(1+Sens!F15391)</f>
        <v>27.6114901218559</v>
      </c>
      <c r="G15390" s="6" t="n">
        <f aca="false">Sens!F15390*(1+Sens!G15391)</f>
        <v>30.4675667338515</v>
      </c>
      <c r="H15390" s="6" t="n">
        <f aca="false">Sens!G15390*(1+Sens!H15391)</f>
        <v>33.3643766955789</v>
      </c>
      <c r="I15390" s="6" t="n">
        <f aca="false">Sens!H15390*(1+Sens!I15391)</f>
        <v>36.2577016533691</v>
      </c>
      <c r="J15390" s="6" t="n">
        <f aca="false">Sens!I15390*(1+Sens!J15391)</f>
        <v>39.0988367952171</v>
      </c>
      <c r="K15390" s="6" t="n">
        <f aca="false">Sens!J15390*(1+Sens!K15391)</f>
        <v>41.8357553708823</v>
      </c>
    </row>
    <row r="15391" customFormat="false" ht="15" hidden="false" customHeight="false" outlineLevel="0" collapsed="false">
      <c r="A15391" s="1" t="s">
        <v>876</v>
      </c>
      <c r="B15391" s="0" t="s">
        <v>129</v>
      </c>
      <c r="E15391" s="7" t="n">
        <f aca="false">Sens!E15390/Sens!D15390-1</f>
        <v>0.120156961796942</v>
      </c>
      <c r="F15391" s="7" t="n">
        <f aca="false">Sens!$E$15391+(glt_srch-Sens!$E$15391)*MIN(1,(Sens!F15336-base_fy)/n_conv)</f>
        <v>0.111797468164118</v>
      </c>
      <c r="G15391" s="7" t="n">
        <f aca="false">Sens!$E$15391+(glt_srch-Sens!$E$15391)*MIN(1,(Sens!G15336-base_fy)/n_conv)</f>
        <v>0.103437974531295</v>
      </c>
      <c r="H15391" s="7" t="n">
        <f aca="false">Sens!$E$15391+(glt_srch-Sens!$E$15391)*MIN(1,(Sens!H15336-base_fy)/n_conv)</f>
        <v>0.095078480898471</v>
      </c>
      <c r="I15391" s="7" t="n">
        <f aca="false">Sens!$E$15391+(glt_srch-Sens!$E$15391)*MIN(1,(Sens!I15336-base_fy)/n_conv)</f>
        <v>0.0867189872656474</v>
      </c>
      <c r="J15391" s="7" t="n">
        <f aca="false">Sens!$E$15391+(glt_srch-Sens!$E$15391)*MIN(1,(Sens!J15336-base_fy)/n_conv)</f>
        <v>0.0783594936328237</v>
      </c>
      <c r="K15391" s="7" t="n">
        <f aca="false">Sens!$E$15391+(glt_srch-Sens!$E$15391)*MIN(1,(Sens!K15336-base_fy)/n_conv)</f>
        <v>0.07</v>
      </c>
    </row>
    <row r="15392" customFormat="false" ht="15" hidden="false" customHeight="false" outlineLevel="0" collapsed="false">
      <c r="A15392" s="0" t="s">
        <v>888</v>
      </c>
      <c r="B15392" s="0" t="s">
        <v>98</v>
      </c>
      <c r="D15392" s="6" t="n">
        <f aca="false">Q!L14</f>
        <v>23.455</v>
      </c>
      <c r="E15392" s="6" t="n">
        <f aca="false">Q!M14</f>
        <v>21.79</v>
      </c>
      <c r="F15392" s="6" t="n">
        <f aca="false">Sens!E15392*(1+Sens!F15393)</f>
        <v>20.5736277908051</v>
      </c>
      <c r="G15392" s="6" t="n">
        <f aca="false">Sens!F15392*(1+Sens!G15393)</f>
        <v>19.7371452817919</v>
      </c>
      <c r="H15392" s="6" t="n">
        <f aca="false">Sens!G15392*(1+Sens!H15393)</f>
        <v>19.2339764043138</v>
      </c>
      <c r="I15392" s="6" t="n">
        <f aca="false">Sens!H15392*(1+Sens!I15393)</f>
        <v>19.0353086852681</v>
      </c>
      <c r="J15392" s="6" t="n">
        <f aca="false">Sens!I15392*(1+Sens!J15393)</f>
        <v>19.1273539319129</v>
      </c>
      <c r="K15392" s="6" t="n">
        <f aca="false">Sens!J15392*(1+Sens!K15393)</f>
        <v>19.5099010105511</v>
      </c>
    </row>
    <row r="15393" customFormat="false" ht="15" hidden="false" customHeight="false" outlineLevel="0" collapsed="false">
      <c r="A15393" s="1" t="s">
        <v>876</v>
      </c>
      <c r="B15393" s="0" t="s">
        <v>129</v>
      </c>
      <c r="E15393" s="7" t="n">
        <f aca="false">Sens!E15392/Sens!D15392-1</f>
        <v>-0.0709869963760392</v>
      </c>
      <c r="F15393" s="7" t="n">
        <f aca="false">Sens!$E$15393+(glt_xbox-Sens!$E$15393)*MIN(1,(Sens!F15336-base_fy)/n_conv)</f>
        <v>-0.0558224969800327</v>
      </c>
      <c r="G15393" s="7" t="n">
        <f aca="false">Sens!$E$15393+(glt_xbox-Sens!$E$15393)*MIN(1,(Sens!G15336-base_fy)/n_conv)</f>
        <v>-0.0406579975840262</v>
      </c>
      <c r="H15393" s="7" t="n">
        <f aca="false">Sens!$E$15393+(glt_xbox-Sens!$E$15393)*MIN(1,(Sens!H15336-base_fy)/n_conv)</f>
        <v>-0.0254934981880196</v>
      </c>
      <c r="I15393" s="7" t="n">
        <f aca="false">Sens!$E$15393+(glt_xbox-Sens!$E$15393)*MIN(1,(Sens!I15336-base_fy)/n_conv)</f>
        <v>-0.0103289987920131</v>
      </c>
      <c r="J15393" s="7" t="n">
        <f aca="false">Sens!$E$15393+(glt_xbox-Sens!$E$15393)*MIN(1,(Sens!J15336-base_fy)/n_conv)</f>
        <v>0.00483550060399347</v>
      </c>
      <c r="K15393" s="7" t="n">
        <f aca="false">Sens!$E$15393+(glt_xbox-Sens!$E$15393)*MIN(1,(Sens!K15336-base_fy)/n_conv)</f>
        <v>0.02</v>
      </c>
    </row>
    <row r="15394" customFormat="false" ht="15" hidden="false" customHeight="false" outlineLevel="0" collapsed="false">
      <c r="A15394" s="0" t="s">
        <v>889</v>
      </c>
      <c r="B15394" s="0" t="s">
        <v>98</v>
      </c>
      <c r="D15394" s="6" t="n">
        <f aca="false">Q!L15</f>
        <v>17.315</v>
      </c>
      <c r="E15394" s="6" t="n">
        <f aca="false">Q!M15</f>
        <v>17.087</v>
      </c>
      <c r="F15394" s="6" t="n">
        <f aca="false">Sens!E15394*(1+Sens!F15395)</f>
        <v>16.9564585436519</v>
      </c>
      <c r="G15394" s="6" t="n">
        <f aca="false">Sens!F15394*(1+Sens!G15395)</f>
        <v>16.9206490624268</v>
      </c>
      <c r="H15394" s="6" t="n">
        <f aca="false">Sens!G15394*(1+Sens!H15395)</f>
        <v>16.9784519149849</v>
      </c>
      <c r="I15394" s="6" t="n">
        <f aca="false">Sens!H15394*(1+Sens!I15395)</f>
        <v>17.1303084701817</v>
      </c>
      <c r="J15394" s="6" t="n">
        <f aca="false">Sens!I15394*(1+Sens!J15395)</f>
        <v>17.3782189407267</v>
      </c>
      <c r="K15394" s="6" t="n">
        <f aca="false">Sens!J15394*(1+Sens!K15395)</f>
        <v>17.7257833195413</v>
      </c>
    </row>
    <row r="15395" customFormat="false" ht="15" hidden="false" customHeight="false" outlineLevel="0" collapsed="false">
      <c r="A15395" s="1" t="s">
        <v>876</v>
      </c>
      <c r="B15395" s="0" t="s">
        <v>129</v>
      </c>
      <c r="E15395" s="7" t="n">
        <f aca="false">Sens!E15394/Sens!D15394-1</f>
        <v>-0.0131677736066995</v>
      </c>
      <c r="F15395" s="7" t="n">
        <f aca="false">Sens!$E$15395+(glt_win-Sens!$E$15395)*MIN(1,(Sens!F15336-base_fy)/n_conv)</f>
        <v>-0.00763981133891627</v>
      </c>
      <c r="G15395" s="7" t="n">
        <f aca="false">Sens!$E$15395+(glt_win-Sens!$E$15395)*MIN(1,(Sens!G15336-base_fy)/n_conv)</f>
        <v>-0.00211184907113301</v>
      </c>
      <c r="H15395" s="7" t="n">
        <f aca="false">Sens!$E$15395+(glt_win-Sens!$E$15395)*MIN(1,(Sens!H15336-base_fy)/n_conv)</f>
        <v>0.00341611319665024</v>
      </c>
      <c r="I15395" s="7" t="n">
        <f aca="false">Sens!$E$15395+(glt_win-Sens!$E$15395)*MIN(1,(Sens!I15336-base_fy)/n_conv)</f>
        <v>0.00894407546443349</v>
      </c>
      <c r="J15395" s="7" t="n">
        <f aca="false">Sens!$E$15395+(glt_win-Sens!$E$15395)*MIN(1,(Sens!J15336-base_fy)/n_conv)</f>
        <v>0.0144720377322168</v>
      </c>
      <c r="K15395" s="7" t="n">
        <f aca="false">Sens!$E$15395+(glt_win-Sens!$E$15395)*MIN(1,(Sens!K15336-base_fy)/n_conv)</f>
        <v>0.02</v>
      </c>
    </row>
    <row r="15396" customFormat="false" ht="15" hidden="false" customHeight="false" outlineLevel="0" collapsed="false">
      <c r="A15396" s="0" t="s">
        <v>729</v>
      </c>
      <c r="B15396" s="0" t="s">
        <v>98</v>
      </c>
      <c r="D15396" s="6" t="n">
        <f aca="false">Sens!D15390+Sens!D15392+Sens!D15394</f>
        <v>62.941</v>
      </c>
      <c r="E15396" s="6" t="n">
        <f aca="false">Sens!E15390+Sens!E15392+Sens!E15394</f>
        <v>63.712</v>
      </c>
      <c r="F15396" s="6" t="n">
        <f aca="false">Sens!F15390+Sens!F15392+Sens!F15394</f>
        <v>65.1415764563129</v>
      </c>
      <c r="G15396" s="6" t="n">
        <f aca="false">Sens!G15390+Sens!G15392+Sens!G15394</f>
        <v>67.1253610780702</v>
      </c>
      <c r="H15396" s="6" t="n">
        <f aca="false">Sens!H15390+Sens!H15392+Sens!H15394</f>
        <v>69.5768050148776</v>
      </c>
      <c r="I15396" s="6" t="n">
        <f aca="false">Sens!I15390+Sens!I15392+Sens!I15394</f>
        <v>72.4233188088189</v>
      </c>
      <c r="J15396" s="6" t="n">
        <f aca="false">Sens!J15390+Sens!J15392+Sens!J15394</f>
        <v>75.6044096678567</v>
      </c>
      <c r="K15396" s="6" t="n">
        <f aca="false">Sens!K15390+Sens!K15392+Sens!K15394</f>
        <v>79.0714397009747</v>
      </c>
    </row>
    <row r="15397" customFormat="false" ht="15" hidden="false" customHeight="false" outlineLevel="0" collapsed="false">
      <c r="A15397" s="1" t="s">
        <v>890</v>
      </c>
      <c r="B15397" s="0" t="s">
        <v>98</v>
      </c>
      <c r="D15397" s="6" t="n">
        <f aca="false">Sens!D15389+Sens!D15396</f>
        <v>281.724</v>
      </c>
      <c r="E15397" s="6" t="n">
        <f aca="false">Sens!E15389+Sens!E15396</f>
        <v>331.839</v>
      </c>
      <c r="F15397" s="6" t="n">
        <f aca="false">Sens!F15389+Sens!F15396</f>
        <v>404.575517363364</v>
      </c>
      <c r="G15397" s="6" t="n">
        <f aca="false">Sens!G15389+Sens!G15396</f>
        <v>491.616031959962</v>
      </c>
      <c r="H15397" s="6" t="n">
        <f aca="false">Sens!H15389+Sens!H15396</f>
        <v>585.223080296262</v>
      </c>
      <c r="I15397" s="6" t="n">
        <f aca="false">Sens!I15389+Sens!I15396</f>
        <v>665.287079253422</v>
      </c>
      <c r="J15397" s="6" t="n">
        <f aca="false">Sens!J15389+Sens!J15396</f>
        <v>730.200831531211</v>
      </c>
      <c r="K15397" s="6" t="n">
        <f aca="false">Sens!K15389+Sens!K15396</f>
        <v>782.719361000218</v>
      </c>
    </row>
    <row r="15398" customFormat="false" ht="15" hidden="false" customHeight="false" outlineLevel="0" collapsed="false">
      <c r="A15398" s="23" t="s">
        <v>891</v>
      </c>
      <c r="B15398" s="30" t="s">
        <v>98</v>
      </c>
      <c r="C15398" s="30"/>
      <c r="D15398" s="24" t="n">
        <f aca="false">(Sens!D15377+Sens!D15382+Sens!D15383+Sens!D15385+Sens!D15387-Sens!D15389)+(Sens!D15390+Sens!D15392+Sens!D15394-Sens!D15396)+(Sens!D15389-Q!L5)+(Sens!D15396-Q!L12)+(Sens!D15377-Q!L6)+(Sens!D15382-Q!L7)</f>
        <v>0</v>
      </c>
      <c r="E15398" s="24" t="n">
        <f aca="false">(Sens!E15377+Sens!E15382+Sens!E15383+Sens!E15385+Sens!E15387-Sens!E15389)+(Sens!E15390+Sens!E15392+Sens!E15394-Sens!E15396)+(Sens!E15389-Q!M5)+(Sens!E15396-Q!M12)+(Sens!E15377-Q!M6)+(Sens!E15382-Q!M7)</f>
        <v>0</v>
      </c>
      <c r="F15398" s="24" t="n">
        <f aca="false">(Sens!F15377+Sens!F15382+Sens!F15383+Sens!F15385+Sens!F15387-Sens!F15389)+(Sens!F15390+Sens!F15392+Sens!F15394-Sens!F15396)</f>
        <v>0</v>
      </c>
      <c r="G15398" s="24" t="n">
        <f aca="false">(Sens!G15377+Sens!G15382+Sens!G15383+Sens!G15385+Sens!G15387-Sens!G15389)+(Sens!G15390+Sens!G15392+Sens!G15394-Sens!G15396)</f>
        <v>0</v>
      </c>
      <c r="H15398" s="24" t="n">
        <f aca="false">(Sens!H15377+Sens!H15382+Sens!H15383+Sens!H15385+Sens!H15387-Sens!H15389)+(Sens!H15390+Sens!H15392+Sens!H15394-Sens!H15396)</f>
        <v>0</v>
      </c>
      <c r="I15398" s="24" t="n">
        <f aca="false">(Sens!I15377+Sens!I15382+Sens!I15383+Sens!I15385+Sens!I15387-Sens!I15389)+(Sens!I15390+Sens!I15392+Sens!I15394-Sens!I15396)</f>
        <v>0</v>
      </c>
      <c r="J15398" s="24" t="n">
        <f aca="false">(Sens!J15377+Sens!J15382+Sens!J15383+Sens!J15385+Sens!J15387-Sens!J15389)+(Sens!J15390+Sens!J15392+Sens!J15394-Sens!J15396)</f>
        <v>0</v>
      </c>
      <c r="K15398" s="24" t="n">
        <f aca="false">(Sens!K15377+Sens!K15382+Sens!K15383+Sens!K15385+Sens!K15387-Sens!K15389)+(Sens!K15390+Sens!K15392+Sens!K15394-Sens!K15396)</f>
        <v>0</v>
      </c>
    </row>
    <row r="15399" customFormat="false" ht="17.15" hidden="false" customHeight="false" outlineLevel="0" collapsed="false">
      <c r="A15399" s="3" t="s">
        <v>1653</v>
      </c>
    </row>
    <row r="15400" customFormat="false" ht="15" hidden="false" customHeight="false" outlineLevel="0" collapsed="false">
      <c r="A15400" s="4" t="s">
        <v>43</v>
      </c>
      <c r="B15400" s="4" t="s">
        <v>65</v>
      </c>
      <c r="C15400" s="20" t="s">
        <v>799</v>
      </c>
      <c r="D15400" s="20" t="s">
        <v>800</v>
      </c>
      <c r="E15400" s="20" t="s">
        <v>801</v>
      </c>
      <c r="F15400" s="20" t="s">
        <v>802</v>
      </c>
      <c r="G15400" s="20" t="s">
        <v>803</v>
      </c>
      <c r="H15400" s="20" t="s">
        <v>804</v>
      </c>
      <c r="I15400" s="20" t="s">
        <v>805</v>
      </c>
      <c r="J15400" s="20" t="s">
        <v>806</v>
      </c>
      <c r="K15400" s="20" t="s">
        <v>807</v>
      </c>
      <c r="L15400" s="4" t="s">
        <v>47</v>
      </c>
    </row>
    <row r="15401" customFormat="false" ht="15" hidden="false" customHeight="false" outlineLevel="0" collapsed="false">
      <c r="A15401" s="0" t="s">
        <v>877</v>
      </c>
      <c r="B15401" s="0" t="s">
        <v>98</v>
      </c>
      <c r="D15401" s="6" t="n">
        <f aca="false">Sens!D15377</f>
        <v>72.61</v>
      </c>
      <c r="E15401" s="6" t="n">
        <f aca="false">Sens!E15377</f>
        <v>101.938</v>
      </c>
      <c r="F15401" s="6" t="n">
        <f aca="false">Sens!F15377</f>
        <v>148.812368967868</v>
      </c>
      <c r="G15401" s="6" t="n">
        <f aca="false">Sens!G15377</f>
        <v>208.397514344463</v>
      </c>
      <c r="H15401" s="6" t="n">
        <f aca="false">Sens!H15377</f>
        <v>274.05759259987</v>
      </c>
      <c r="I15401" s="6" t="n">
        <f aca="false">Sens!I15377</f>
        <v>328.302405465117</v>
      </c>
      <c r="J15401" s="6" t="n">
        <f aca="false">Sens!J15377</f>
        <v>369.905524759186</v>
      </c>
      <c r="K15401" s="6" t="n">
        <f aca="false">Sens!K15377</f>
        <v>399.753851959067</v>
      </c>
    </row>
    <row r="15402" customFormat="false" ht="17.15" hidden="false" customHeight="false" outlineLevel="0" collapsed="false">
      <c r="A15402" s="0" t="s">
        <v>874</v>
      </c>
      <c r="B15402" s="0" t="s">
        <v>98</v>
      </c>
      <c r="D15402" s="6" t="n">
        <f aca="false">Sens!D15374</f>
        <v>12.9359794422418</v>
      </c>
      <c r="E15402" s="6" t="n">
        <f aca="false">Sens!E15374</f>
        <v>27.8095064661409</v>
      </c>
      <c r="F15402" s="6" t="n">
        <f aca="false">Sens!F15374</f>
        <v>58.7324192305018</v>
      </c>
      <c r="G15402" s="6" t="n">
        <f aca="false">Sens!G15374</f>
        <v>101.369089141153</v>
      </c>
      <c r="H15402" s="6" t="n">
        <f aca="false">Sens!H15374</f>
        <v>149.785610014234</v>
      </c>
      <c r="I15402" s="6" t="n">
        <f aca="false">Sens!I15374</f>
        <v>187.368703083263</v>
      </c>
      <c r="J15402" s="6" t="n">
        <f aca="false">Sens!J15374</f>
        <v>213.886657444854</v>
      </c>
      <c r="K15402" s="6" t="n">
        <f aca="false">Sens!K15374</f>
        <v>231.253475259589</v>
      </c>
    </row>
    <row r="15403" customFormat="false" ht="17.15" hidden="false" customHeight="false" outlineLevel="0" collapsed="false">
      <c r="A15403" s="0" t="s">
        <v>902</v>
      </c>
      <c r="B15403" s="0" t="s">
        <v>98</v>
      </c>
      <c r="D15403" s="6" t="n">
        <f aca="false">Sens!D15375</f>
        <v>59.6740205577583</v>
      </c>
      <c r="E15403" s="6" t="n">
        <f aca="false">Sens!E15375</f>
        <v>74.1284935338591</v>
      </c>
      <c r="F15403" s="6" t="n">
        <f aca="false">Sens!F15375</f>
        <v>90.0799497373663</v>
      </c>
      <c r="G15403" s="6" t="n">
        <f aca="false">Sens!G15375</f>
        <v>107.02842520331</v>
      </c>
      <c r="H15403" s="6" t="n">
        <f aca="false">Sens!H15375</f>
        <v>124.271982585636</v>
      </c>
      <c r="I15403" s="6" t="n">
        <f aca="false">Sens!I15375</f>
        <v>140.933702381855</v>
      </c>
      <c r="J15403" s="6" t="n">
        <f aca="false">Sens!J15375</f>
        <v>156.018867314332</v>
      </c>
      <c r="K15403" s="6" t="n">
        <f aca="false">Sens!K15375</f>
        <v>168.500376699478</v>
      </c>
    </row>
    <row r="15404" customFormat="false" ht="15" hidden="false" customHeight="false" outlineLevel="0" collapsed="false">
      <c r="A15404" s="0" t="s">
        <v>883</v>
      </c>
      <c r="B15404" s="0" t="s">
        <v>98</v>
      </c>
      <c r="D15404" s="6" t="n">
        <f aca="false">Sens!D15382</f>
        <v>84.605</v>
      </c>
      <c r="E15404" s="6" t="n">
        <f aca="false">Sens!E15382</f>
        <v>100.299</v>
      </c>
      <c r="F15404" s="6" t="n">
        <f aca="false">Sens!F15382</f>
        <v>120.39238776686</v>
      </c>
      <c r="G15404" s="6" t="n">
        <f aca="false">Sens!G15382</f>
        <v>141.544168448684</v>
      </c>
      <c r="H15404" s="6" t="n">
        <f aca="false">Sens!H15382</f>
        <v>162.777359388781</v>
      </c>
      <c r="I15404" s="6" t="n">
        <f aca="false">Sens!I15382</f>
        <v>181.584028071957</v>
      </c>
      <c r="J15404" s="6" t="n">
        <f aca="false">Sens!J15382</f>
        <v>197.682702785465</v>
      </c>
      <c r="K15404" s="6" t="n">
        <f aca="false">Sens!K15382</f>
        <v>213.027991980448</v>
      </c>
    </row>
    <row r="15405" customFormat="false" ht="17.15" hidden="false" customHeight="false" outlineLevel="0" collapsed="false">
      <c r="A15405" s="0" t="s">
        <v>903</v>
      </c>
      <c r="B15405" s="0" t="s">
        <v>98</v>
      </c>
      <c r="D15405" s="6" t="n">
        <f aca="false">Sens!D15380</f>
        <v>83.705</v>
      </c>
      <c r="E15405" s="6" t="n">
        <f aca="false">Sens!E15380</f>
        <v>95.049</v>
      </c>
      <c r="F15405" s="6" t="n">
        <f aca="false">Sens!F15380</f>
        <v>106.89238776686</v>
      </c>
      <c r="G15405" s="6" t="n">
        <f aca="false">Sens!G15380</f>
        <v>119.044168448684</v>
      </c>
      <c r="H15405" s="6" t="n">
        <f aca="false">Sens!H15380</f>
        <v>131.277359388781</v>
      </c>
      <c r="I15405" s="6" t="n">
        <f aca="false">Sens!I15380</f>
        <v>143.334028071957</v>
      </c>
      <c r="J15405" s="6" t="n">
        <f aca="false">Sens!J15380</f>
        <v>154.932702785465</v>
      </c>
      <c r="K15405" s="6" t="n">
        <f aca="false">Sens!K15380</f>
        <v>165.777991980448</v>
      </c>
    </row>
    <row r="15406" customFormat="false" ht="17.15" hidden="false" customHeight="false" outlineLevel="0" collapsed="false">
      <c r="A15406" s="0" t="s">
        <v>904</v>
      </c>
      <c r="B15406" s="0" t="s">
        <v>98</v>
      </c>
      <c r="D15406" s="6" t="n">
        <f aca="false">Sens!D15379</f>
        <v>0.9</v>
      </c>
      <c r="E15406" s="6" t="n">
        <f aca="false">Sens!E15379</f>
        <v>5.25</v>
      </c>
      <c r="F15406" s="6" t="n">
        <f aca="false">Sens!F15379</f>
        <v>13.5</v>
      </c>
      <c r="G15406" s="6" t="n">
        <f aca="false">Sens!G15379</f>
        <v>22.5</v>
      </c>
      <c r="H15406" s="6" t="n">
        <f aca="false">Sens!H15379</f>
        <v>31.5</v>
      </c>
      <c r="I15406" s="6" t="n">
        <f aca="false">Sens!I15379</f>
        <v>38.25</v>
      </c>
      <c r="J15406" s="6" t="n">
        <f aca="false">Sens!J15379</f>
        <v>42.75</v>
      </c>
      <c r="K15406" s="6" t="n">
        <f aca="false">Sens!K15379</f>
        <v>47.25</v>
      </c>
    </row>
    <row r="15407" customFormat="false" ht="15" hidden="false" customHeight="false" outlineLevel="0" collapsed="false">
      <c r="A15407" s="0" t="s">
        <v>884</v>
      </c>
      <c r="B15407" s="0" t="s">
        <v>98</v>
      </c>
      <c r="D15407" s="6" t="n">
        <f aca="false">Sens!D15383</f>
        <v>35.391</v>
      </c>
      <c r="E15407" s="6" t="n">
        <f aca="false">Sens!E15383</f>
        <v>37.285</v>
      </c>
      <c r="F15407" s="6" t="n">
        <f aca="false">Sens!F15383</f>
        <v>39.0720834331704</v>
      </c>
      <c r="G15407" s="6" t="n">
        <f aca="false">Sens!G15383</f>
        <v>40.726562953769</v>
      </c>
      <c r="H15407" s="6" t="n">
        <f aca="false">Sens!H15383</f>
        <v>42.2235987259198</v>
      </c>
      <c r="I15407" s="6" t="n">
        <f aca="false">Sens!I15383</f>
        <v>43.5397988077414</v>
      </c>
      <c r="J15407" s="6" t="n">
        <f aca="false">Sens!J15383</f>
        <v>44.653811225693</v>
      </c>
      <c r="K15407" s="6" t="n">
        <f aca="false">Sens!K15383</f>
        <v>45.5468874502068</v>
      </c>
    </row>
    <row r="15408" customFormat="false" ht="15" hidden="false" customHeight="false" outlineLevel="0" collapsed="false">
      <c r="A15408" s="0" t="s">
        <v>885</v>
      </c>
      <c r="B15408" s="0" t="s">
        <v>98</v>
      </c>
      <c r="D15408" s="6" t="n">
        <f aca="false">Sens!D15385</f>
        <v>18.417</v>
      </c>
      <c r="E15408" s="6" t="n">
        <f aca="false">Sens!E15385</f>
        <v>20.345</v>
      </c>
      <c r="F15408" s="6" t="n">
        <f aca="false">Sens!F15385</f>
        <v>22.3572203267814</v>
      </c>
      <c r="G15408" s="6" t="n">
        <f aca="false">Sens!G15385</f>
        <v>24.4392124437232</v>
      </c>
      <c r="H15408" s="6" t="n">
        <f aca="false">Sens!H15385</f>
        <v>26.5738052080665</v>
      </c>
      <c r="I15408" s="6" t="n">
        <f aca="false">Sens!I15385</f>
        <v>28.7412169166967</v>
      </c>
      <c r="J15408" s="6" t="n">
        <f aca="false">Sens!J15385</f>
        <v>30.9192545395413</v>
      </c>
      <c r="K15408" s="6" t="n">
        <f aca="false">Sens!K15385</f>
        <v>33.0836023573092</v>
      </c>
    </row>
    <row r="15409" customFormat="false" ht="15" hidden="false" customHeight="false" outlineLevel="0" collapsed="false">
      <c r="A15409" s="0" t="s">
        <v>886</v>
      </c>
      <c r="B15409" s="0" t="s">
        <v>98</v>
      </c>
      <c r="D15409" s="6" t="n">
        <f aca="false">Sens!D15387</f>
        <v>7.76</v>
      </c>
      <c r="E15409" s="6" t="n">
        <f aca="false">Sens!E15387</f>
        <v>8.26</v>
      </c>
      <c r="F15409" s="6" t="n">
        <f aca="false">Sens!F15387</f>
        <v>8.79988041237113</v>
      </c>
      <c r="G15409" s="6" t="n">
        <f aca="false">Sens!G15387</f>
        <v>9.38321269125306</v>
      </c>
      <c r="H15409" s="6" t="n">
        <f aca="false">Sens!H15387</f>
        <v>10.0139193587476</v>
      </c>
      <c r="I15409" s="6" t="n">
        <f aca="false">Sens!I15387</f>
        <v>10.6963111830911</v>
      </c>
      <c r="J15409" s="6" t="n">
        <f aca="false">Sens!J15387</f>
        <v>11.4351285534696</v>
      </c>
      <c r="K15409" s="6" t="n">
        <f aca="false">Sens!K15387</f>
        <v>12.2355875522124</v>
      </c>
    </row>
    <row r="15410" customFormat="false" ht="15" hidden="false" customHeight="false" outlineLevel="0" collapsed="false">
      <c r="A15410" s="0" t="s">
        <v>715</v>
      </c>
      <c r="B15410" s="0" t="s">
        <v>98</v>
      </c>
      <c r="D15410" s="6" t="n">
        <f aca="false">Sens!D15389</f>
        <v>218.783</v>
      </c>
      <c r="E15410" s="6" t="n">
        <f aca="false">Sens!E15389</f>
        <v>268.127</v>
      </c>
      <c r="F15410" s="6" t="n">
        <f aca="false">Sens!F15389</f>
        <v>339.433940907051</v>
      </c>
      <c r="G15410" s="6" t="n">
        <f aca="false">Sens!G15389</f>
        <v>424.490670881892</v>
      </c>
      <c r="H15410" s="6" t="n">
        <f aca="false">Sens!H15389</f>
        <v>515.646275281385</v>
      </c>
      <c r="I15410" s="6" t="n">
        <f aca="false">Sens!I15389</f>
        <v>592.863760444604</v>
      </c>
      <c r="J15410" s="6" t="n">
        <f aca="false">Sens!J15389</f>
        <v>654.596421863355</v>
      </c>
      <c r="K15410" s="6" t="n">
        <f aca="false">Sens!K15389</f>
        <v>703.647921299244</v>
      </c>
    </row>
    <row r="15411" customFormat="false" ht="15" hidden="false" customHeight="false" outlineLevel="0" collapsed="false">
      <c r="A15411" s="0" t="s">
        <v>887</v>
      </c>
      <c r="B15411" s="0" t="s">
        <v>98</v>
      </c>
      <c r="D15411" s="6" t="n">
        <f aca="false">Sens!D15390</f>
        <v>22.171</v>
      </c>
      <c r="E15411" s="6" t="n">
        <f aca="false">Sens!E15390</f>
        <v>24.835</v>
      </c>
      <c r="F15411" s="6" t="n">
        <f aca="false">Sens!F15390</f>
        <v>27.6114901218559</v>
      </c>
      <c r="G15411" s="6" t="n">
        <f aca="false">Sens!G15390</f>
        <v>30.4675667338515</v>
      </c>
      <c r="H15411" s="6" t="n">
        <f aca="false">Sens!H15390</f>
        <v>33.3643766955789</v>
      </c>
      <c r="I15411" s="6" t="n">
        <f aca="false">Sens!I15390</f>
        <v>36.2577016533691</v>
      </c>
      <c r="J15411" s="6" t="n">
        <f aca="false">Sens!J15390</f>
        <v>39.0988367952171</v>
      </c>
      <c r="K15411" s="6" t="n">
        <f aca="false">Sens!K15390</f>
        <v>41.8357553708823</v>
      </c>
    </row>
    <row r="15412" customFormat="false" ht="15" hidden="false" customHeight="false" outlineLevel="0" collapsed="false">
      <c r="A15412" s="0" t="s">
        <v>888</v>
      </c>
      <c r="B15412" s="0" t="s">
        <v>98</v>
      </c>
      <c r="D15412" s="6" t="n">
        <f aca="false">Sens!D15392</f>
        <v>23.455</v>
      </c>
      <c r="E15412" s="6" t="n">
        <f aca="false">Sens!E15392</f>
        <v>21.79</v>
      </c>
      <c r="F15412" s="6" t="n">
        <f aca="false">Sens!F15392</f>
        <v>20.5736277908051</v>
      </c>
      <c r="G15412" s="6" t="n">
        <f aca="false">Sens!G15392</f>
        <v>19.7371452817919</v>
      </c>
      <c r="H15412" s="6" t="n">
        <f aca="false">Sens!H15392</f>
        <v>19.2339764043138</v>
      </c>
      <c r="I15412" s="6" t="n">
        <f aca="false">Sens!I15392</f>
        <v>19.0353086852681</v>
      </c>
      <c r="J15412" s="6" t="n">
        <f aca="false">Sens!J15392</f>
        <v>19.1273539319129</v>
      </c>
      <c r="K15412" s="6" t="n">
        <f aca="false">Sens!K15392</f>
        <v>19.5099010105511</v>
      </c>
    </row>
    <row r="15413" customFormat="false" ht="15" hidden="false" customHeight="false" outlineLevel="0" collapsed="false">
      <c r="A15413" s="0" t="s">
        <v>889</v>
      </c>
      <c r="B15413" s="0" t="s">
        <v>98</v>
      </c>
      <c r="D15413" s="6" t="n">
        <f aca="false">Sens!D15394</f>
        <v>17.315</v>
      </c>
      <c r="E15413" s="6" t="n">
        <f aca="false">Sens!E15394</f>
        <v>17.087</v>
      </c>
      <c r="F15413" s="6" t="n">
        <f aca="false">Sens!F15394</f>
        <v>16.9564585436519</v>
      </c>
      <c r="G15413" s="6" t="n">
        <f aca="false">Sens!G15394</f>
        <v>16.9206490624268</v>
      </c>
      <c r="H15413" s="6" t="n">
        <f aca="false">Sens!H15394</f>
        <v>16.9784519149849</v>
      </c>
      <c r="I15413" s="6" t="n">
        <f aca="false">Sens!I15394</f>
        <v>17.1303084701817</v>
      </c>
      <c r="J15413" s="6" t="n">
        <f aca="false">Sens!J15394</f>
        <v>17.3782189407267</v>
      </c>
      <c r="K15413" s="6" t="n">
        <f aca="false">Sens!K15394</f>
        <v>17.7257833195413</v>
      </c>
    </row>
    <row r="15414" customFormat="false" ht="15" hidden="false" customHeight="false" outlineLevel="0" collapsed="false">
      <c r="A15414" s="0" t="s">
        <v>729</v>
      </c>
      <c r="B15414" s="0" t="s">
        <v>98</v>
      </c>
      <c r="D15414" s="6" t="n">
        <f aca="false">Sens!D15396</f>
        <v>62.941</v>
      </c>
      <c r="E15414" s="6" t="n">
        <f aca="false">Sens!E15396</f>
        <v>63.712</v>
      </c>
      <c r="F15414" s="6" t="n">
        <f aca="false">Sens!F15396</f>
        <v>65.1415764563129</v>
      </c>
      <c r="G15414" s="6" t="n">
        <f aca="false">Sens!G15396</f>
        <v>67.1253610780702</v>
      </c>
      <c r="H15414" s="6" t="n">
        <f aca="false">Sens!H15396</f>
        <v>69.5768050148776</v>
      </c>
      <c r="I15414" s="6" t="n">
        <f aca="false">Sens!I15396</f>
        <v>72.4233188088189</v>
      </c>
      <c r="J15414" s="6" t="n">
        <f aca="false">Sens!J15396</f>
        <v>75.6044096678567</v>
      </c>
      <c r="K15414" s="6" t="n">
        <f aca="false">Sens!K15396</f>
        <v>79.0714397009747</v>
      </c>
    </row>
    <row r="15415" customFormat="false" ht="15" hidden="false" customHeight="false" outlineLevel="0" collapsed="false">
      <c r="A15415" s="1" t="s">
        <v>905</v>
      </c>
      <c r="B15415" s="0" t="s">
        <v>98</v>
      </c>
      <c r="D15415" s="6" t="n">
        <f aca="false">Sens!D15397</f>
        <v>281.724</v>
      </c>
      <c r="E15415" s="6" t="n">
        <f aca="false">Sens!E15397</f>
        <v>331.839</v>
      </c>
      <c r="F15415" s="6" t="n">
        <f aca="false">Sens!F15397</f>
        <v>404.575517363364</v>
      </c>
      <c r="G15415" s="6" t="n">
        <f aca="false">Sens!G15397</f>
        <v>491.616031959962</v>
      </c>
      <c r="H15415" s="6" t="n">
        <f aca="false">Sens!H15397</f>
        <v>585.223080296262</v>
      </c>
      <c r="I15415" s="6" t="n">
        <f aca="false">Sens!I15397</f>
        <v>665.287079253422</v>
      </c>
      <c r="J15415" s="6" t="n">
        <f aca="false">Sens!J15397</f>
        <v>730.200831531211</v>
      </c>
      <c r="K15415" s="6" t="n">
        <f aca="false">Sens!K15397</f>
        <v>782.719361000218</v>
      </c>
    </row>
    <row r="15416" customFormat="false" ht="15" hidden="false" customHeight="false" outlineLevel="0" collapsed="false">
      <c r="A15416" s="1" t="s">
        <v>906</v>
      </c>
      <c r="B15416" s="0" t="s">
        <v>129</v>
      </c>
      <c r="E15416" s="7" t="n">
        <f aca="false">Sens!E15415/Sens!D15415-1</f>
        <v>0.177886867998467</v>
      </c>
      <c r="F15416" s="7" t="n">
        <f aca="false">Sens!F15415/Sens!E15415-1</f>
        <v>0.219192190680914</v>
      </c>
      <c r="G15416" s="7" t="n">
        <f aca="false">Sens!G15415/Sens!F15415-1</f>
        <v>0.215140340581766</v>
      </c>
      <c r="H15416" s="7" t="n">
        <f aca="false">Sens!H15415/Sens!G15415-1</f>
        <v>0.19040682616291</v>
      </c>
      <c r="I15416" s="7" t="n">
        <f aca="false">Sens!I15415/Sens!H15415-1</f>
        <v>0.13680936663781</v>
      </c>
      <c r="J15416" s="7" t="n">
        <f aca="false">Sens!J15415/Sens!I15415-1</f>
        <v>0.0975725431953893</v>
      </c>
      <c r="K15416" s="7" t="n">
        <f aca="false">Sens!K15415/Sens!J15415-1</f>
        <v>0.0719234040844312</v>
      </c>
    </row>
    <row r="15417" customFormat="false" ht="17.15" hidden="false" customHeight="false" outlineLevel="0" collapsed="false">
      <c r="A15417" s="23" t="s">
        <v>907</v>
      </c>
      <c r="B15417" s="30" t="s">
        <v>98</v>
      </c>
      <c r="C15417" s="30"/>
      <c r="D15417" s="24" t="n">
        <f aca="false">(Sens!D15410+Sens!D15414-Sens!D15415)+(Sens!D15402+Sens!D15403-Sens!D15401)+(Sens!D15405+Sens!D15406-Sens!D15404)+(Sens!D15415-Q!L18)</f>
        <v>0</v>
      </c>
      <c r="E15417" s="24" t="n">
        <f aca="false">(Sens!E15410+Sens!E15414-Sens!E15415)+(Sens!E15402+Sens!E15403-Sens!E15401)+(Sens!E15405+Sens!E15406-Sens!E15404)+(Sens!E15415-Q!M18)</f>
        <v>0</v>
      </c>
      <c r="F15417" s="24" t="n">
        <f aca="false">(Sens!F15410+Sens!F15414-Sens!F15415)+(Sens!F15402+Sens!F15403-Sens!F15401)+(Sens!F15405+Sens!F15406-Sens!F15404)</f>
        <v>0</v>
      </c>
      <c r="G15417" s="24" t="n">
        <f aca="false">(Sens!G15410+Sens!G15414-Sens!G15415)+(Sens!G15402+Sens!G15403-Sens!G15401)+(Sens!G15405+Sens!G15406-Sens!G15404)</f>
        <v>0</v>
      </c>
      <c r="H15417" s="24" t="n">
        <f aca="false">(Sens!H15410+Sens!H15414-Sens!H15415)+(Sens!H15402+Sens!H15403-Sens!H15401)+(Sens!H15405+Sens!H15406-Sens!H15404)</f>
        <v>0</v>
      </c>
      <c r="I15417" s="24" t="n">
        <f aca="false">(Sens!I15410+Sens!I15414-Sens!I15415)+(Sens!I15402+Sens!I15403-Sens!I15401)+(Sens!I15405+Sens!I15406-Sens!I15404)</f>
        <v>0</v>
      </c>
      <c r="J15417" s="24" t="n">
        <f aca="false">(Sens!J15410+Sens!J15414-Sens!J15415)+(Sens!J15402+Sens!J15403-Sens!J15401)+(Sens!J15405+Sens!J15406-Sens!J15404)</f>
        <v>0</v>
      </c>
      <c r="K15417" s="24" t="n">
        <f aca="false">(Sens!K15410+Sens!K15414-Sens!K15415)+(Sens!K15402+Sens!K15403-Sens!K15401)+(Sens!K15405+Sens!K15406-Sens!K15404)</f>
        <v>0</v>
      </c>
    </row>
    <row r="15418" customFormat="false" ht="17.15" hidden="false" customHeight="false" outlineLevel="0" collapsed="false">
      <c r="A15418" s="0" t="s">
        <v>908</v>
      </c>
      <c r="B15418" s="0" t="s">
        <v>129</v>
      </c>
      <c r="E15418" s="7" t="n">
        <f aca="false">(Q!M21+Sens!E15355+Sens!E15356+Sens!E15357+Sens!E15370-Sens!E15353)/(Q!M5-Sens!E15353)</f>
        <v>0.570957350878296</v>
      </c>
      <c r="F15418" s="7" t="n">
        <f aca="false">Sens!$E$15418+dm_seg</f>
        <v>0.570957350878296</v>
      </c>
      <c r="G15418" s="7" t="n">
        <f aca="false">Sens!$E$15418+dm_seg</f>
        <v>0.570957350878296</v>
      </c>
      <c r="H15418" s="7" t="n">
        <f aca="false">Sens!$E$15418+dm_seg</f>
        <v>0.570957350878296</v>
      </c>
      <c r="I15418" s="7" t="n">
        <f aca="false">Sens!$E$15418+dm_seg</f>
        <v>0.570957350878296</v>
      </c>
      <c r="J15418" s="7" t="n">
        <f aca="false">Sens!$E$15418+dm_seg</f>
        <v>0.570957350878296</v>
      </c>
      <c r="K15418" s="7" t="n">
        <f aca="false">Sens!$E$15418+dm_seg</f>
        <v>0.570957350878296</v>
      </c>
      <c r="L15418" s="11" t="s">
        <v>909</v>
      </c>
    </row>
    <row r="15419" customFormat="false" ht="17.15" hidden="false" customHeight="false" outlineLevel="0" collapsed="false">
      <c r="A15419" s="0" t="s">
        <v>743</v>
      </c>
      <c r="B15419" s="0" t="s">
        <v>98</v>
      </c>
      <c r="D15419" s="6" t="n">
        <f aca="false">Q!L21</f>
        <v>110.814</v>
      </c>
      <c r="E15419" s="6" t="n">
        <f aca="false">Q!M21</f>
        <v>136.365</v>
      </c>
      <c r="F15419" s="6" t="n">
        <f aca="false">Sens!F15418*(Sens!F15389-Sens!F15353)+Sens!F15353-(Sens!F15355+Sens!F15356+Sens!F15357)-Sens!F15370-Sens!F15453</f>
        <v>162.813632677221</v>
      </c>
      <c r="G15419" s="6" t="n">
        <f aca="false">Sens!G15418*(Sens!G15389-Sens!G15353)+Sens!G15353-(Sens!G15355+Sens!G15356+Sens!G15357)-Sens!G15370-Sens!G15453</f>
        <v>193.049876417526</v>
      </c>
      <c r="H15419" s="6" t="n">
        <f aca="false">Sens!H15418*(Sens!H15389-Sens!H15353)+Sens!H15353-(Sens!H15355+Sens!H15356+Sens!H15357)-Sens!H15370-Sens!H15453</f>
        <v>227.436010147401</v>
      </c>
      <c r="I15419" s="6" t="n">
        <f aca="false">Sens!I15418*(Sens!I15389-Sens!I15353)+Sens!I15353-(Sens!I15355+Sens!I15356+Sens!I15357)-Sens!I15370-Sens!I15453</f>
        <v>253.704120916649</v>
      </c>
      <c r="J15419" s="6" t="n">
        <f aca="false">Sens!J15418*(Sens!J15389-Sens!J15353)+Sens!J15353-(Sens!J15355+Sens!J15356+Sens!J15357)-Sens!J15370-Sens!J15453</f>
        <v>276.318204831078</v>
      </c>
      <c r="K15419" s="6" t="n">
        <f aca="false">Sens!K15418*(Sens!K15389-Sens!K15353)+Sens!K15353-(Sens!K15355+Sens!K15356+Sens!K15357)-Sens!K15370-Sens!K15453</f>
        <v>296.86111997865</v>
      </c>
      <c r="L15419" s="1" t="s">
        <v>910</v>
      </c>
    </row>
    <row r="15420" customFormat="false" ht="17.15" hidden="false" customHeight="false" outlineLevel="0" collapsed="false">
      <c r="A15420" s="0" t="s">
        <v>911</v>
      </c>
      <c r="B15420" s="0" t="s">
        <v>129</v>
      </c>
      <c r="E15420" s="7" t="n">
        <f aca="false">Q!M22/Q!M12</f>
        <v>0.296207935710698</v>
      </c>
      <c r="F15420" s="7" t="n">
        <f aca="false">Sens!$E$15420+dm_seg</f>
        <v>0.296207935710698</v>
      </c>
      <c r="G15420" s="7" t="n">
        <f aca="false">Sens!$E$15420+dm_seg</f>
        <v>0.296207935710698</v>
      </c>
      <c r="H15420" s="7" t="n">
        <f aca="false">Sens!$E$15420+dm_seg</f>
        <v>0.296207935710698</v>
      </c>
      <c r="I15420" s="7" t="n">
        <f aca="false">Sens!$E$15420+dm_seg</f>
        <v>0.296207935710698</v>
      </c>
      <c r="J15420" s="7" t="n">
        <f aca="false">Sens!$E$15420+dm_seg</f>
        <v>0.296207935710698</v>
      </c>
      <c r="K15420" s="7" t="n">
        <f aca="false">Sens!$E$15420+dm_seg</f>
        <v>0.296207935710698</v>
      </c>
      <c r="L15420" s="11" t="s">
        <v>912</v>
      </c>
    </row>
    <row r="15421" customFormat="false" ht="17.15" hidden="false" customHeight="false" outlineLevel="0" collapsed="false">
      <c r="A15421" s="0" t="s">
        <v>745</v>
      </c>
      <c r="B15421" s="0" t="s">
        <v>98</v>
      </c>
      <c r="D15421" s="6" t="n">
        <f aca="false">Q!L22</f>
        <v>17.714</v>
      </c>
      <c r="E15421" s="6" t="n">
        <f aca="false">Q!M22</f>
        <v>18.872</v>
      </c>
      <c r="F15421" s="6" t="n">
        <f aca="false">Sens!F15396*Sens!F15420</f>
        <v>19.2954518910651</v>
      </c>
      <c r="G15421" s="6" t="n">
        <f aca="false">Sens!G15396*Sens!G15420</f>
        <v>19.8830646387704</v>
      </c>
      <c r="H15421" s="6" t="n">
        <f aca="false">Sens!H15396*Sens!H15420</f>
        <v>20.6092017868026</v>
      </c>
      <c r="I15421" s="6" t="n">
        <f aca="false">Sens!I15396*Sens!I15420</f>
        <v>21.452361761678</v>
      </c>
      <c r="J15421" s="6" t="n">
        <f aca="false">Sens!J15396*Sens!J15420</f>
        <v>22.3946261183418</v>
      </c>
      <c r="K15421" s="6" t="n">
        <f aca="false">Sens!K15396*Sens!K15420</f>
        <v>23.4215879274986</v>
      </c>
    </row>
    <row r="15422" customFormat="false" ht="15" hidden="false" customHeight="false" outlineLevel="0" collapsed="false">
      <c r="A15422" s="1" t="s">
        <v>913</v>
      </c>
      <c r="B15422" s="0" t="s">
        <v>98</v>
      </c>
      <c r="D15422" s="6" t="n">
        <f aca="false">Sens!D15419+Sens!D15421</f>
        <v>128.528</v>
      </c>
      <c r="E15422" s="6" t="n">
        <f aca="false">Sens!E15419+Sens!E15421</f>
        <v>155.237</v>
      </c>
      <c r="F15422" s="6" t="n">
        <f aca="false">Sens!F15419+Sens!F15421</f>
        <v>182.109084568286</v>
      </c>
      <c r="G15422" s="6" t="n">
        <f aca="false">Sens!G15419+Sens!G15421</f>
        <v>212.932941056297</v>
      </c>
      <c r="H15422" s="6" t="n">
        <f aca="false">Sens!H15419+Sens!H15421</f>
        <v>248.045211934204</v>
      </c>
      <c r="I15422" s="6" t="n">
        <f aca="false">Sens!I15419+Sens!I15421</f>
        <v>275.156482678327</v>
      </c>
      <c r="J15422" s="6" t="n">
        <f aca="false">Sens!J15419+Sens!J15421</f>
        <v>298.712830949419</v>
      </c>
      <c r="K15422" s="6" t="n">
        <f aca="false">Sens!K15419+Sens!K15421</f>
        <v>320.282707906148</v>
      </c>
    </row>
    <row r="15423" customFormat="false" ht="15" hidden="false" customHeight="false" outlineLevel="0" collapsed="false">
      <c r="A15423" s="23" t="s">
        <v>914</v>
      </c>
      <c r="B15423" s="30" t="s">
        <v>98</v>
      </c>
      <c r="C15423" s="30"/>
      <c r="D15423" s="24" t="n">
        <f aca="false">Sens!D15422-Q!L23</f>
        <v>0</v>
      </c>
      <c r="E15423" s="24" t="n">
        <f aca="false">Sens!E15422-Q!M23</f>
        <v>0</v>
      </c>
      <c r="F15423" s="30"/>
      <c r="G15423" s="30"/>
      <c r="H15423" s="30"/>
      <c r="I15423" s="30"/>
      <c r="J15423" s="30"/>
      <c r="K15423" s="30"/>
    </row>
    <row r="15424" customFormat="false" ht="15" hidden="false" customHeight="false" outlineLevel="0" collapsed="false">
      <c r="A15424" s="1" t="s">
        <v>915</v>
      </c>
      <c r="B15424" s="0" t="s">
        <v>129</v>
      </c>
      <c r="D15424" s="7" t="n">
        <f aca="false">Sens!D15422/Sens!D15415</f>
        <v>0.456219562408598</v>
      </c>
      <c r="E15424" s="7" t="n">
        <f aca="false">Sens!E15422/Sens!E15415</f>
        <v>0.467808184089272</v>
      </c>
      <c r="F15424" s="7" t="n">
        <f aca="false">Sens!F15422/Sens!F15415</f>
        <v>0.450123837831559</v>
      </c>
      <c r="G15424" s="7" t="n">
        <f aca="false">Sens!G15422/Sens!G15415</f>
        <v>0.433128554020871</v>
      </c>
      <c r="H15424" s="7" t="n">
        <f aca="false">Sens!H15422/Sens!H15415</f>
        <v>0.423847281977727</v>
      </c>
      <c r="I15424" s="7" t="n">
        <f aca="false">Sens!I15422/Sens!I15415</f>
        <v>0.413590600597722</v>
      </c>
      <c r="J15424" s="7" t="n">
        <f aca="false">Sens!J15422/Sens!J15415</f>
        <v>0.409083115289018</v>
      </c>
      <c r="K15424" s="7" t="n">
        <f aca="false">Sens!K15422/Sens!K15415</f>
        <v>0.409192264641144</v>
      </c>
    </row>
    <row r="15425" customFormat="false" ht="17.15" hidden="false" customHeight="false" outlineLevel="0" collapsed="false">
      <c r="A15425" s="1" t="s">
        <v>916</v>
      </c>
      <c r="B15425" s="0" t="s">
        <v>98</v>
      </c>
      <c r="F15425" s="6" t="n">
        <f aca="false">Sens!F15440</f>
        <v>8.44248444763781</v>
      </c>
      <c r="G15425" s="6" t="n">
        <f aca="false">Sens!G15440</f>
        <v>21.3653222817508</v>
      </c>
      <c r="H15425" s="6" t="n">
        <f aca="false">Sens!H15440</f>
        <v>35.8221390663856</v>
      </c>
      <c r="I15425" s="6" t="n">
        <f aca="false">Sens!I15440</f>
        <v>49.3691841492478</v>
      </c>
      <c r="J15425" s="6" t="n">
        <f aca="false">Sens!J15440</f>
        <v>59.0322720639359</v>
      </c>
      <c r="K15425" s="6" t="n">
        <f aca="false">Sens!K15440</f>
        <v>64.2195097796802</v>
      </c>
      <c r="L15425" s="1" t="s">
        <v>917</v>
      </c>
    </row>
    <row r="15426" customFormat="false" ht="17.15" hidden="false" customHeight="false" outlineLevel="0" collapsed="false">
      <c r="A15426" s="1" t="s">
        <v>918</v>
      </c>
      <c r="B15426" s="0" t="s">
        <v>98</v>
      </c>
      <c r="D15426" s="6" t="n">
        <f aca="false">Sens!D15422</f>
        <v>128.528</v>
      </c>
      <c r="E15426" s="6" t="n">
        <f aca="false">Sens!E15422</f>
        <v>155.237</v>
      </c>
      <c r="F15426" s="6" t="n">
        <f aca="false">Sens!F15422+Sens!F15425</f>
        <v>190.551569015924</v>
      </c>
      <c r="G15426" s="6" t="n">
        <f aca="false">Sens!G15422+Sens!G15425</f>
        <v>234.298263338047</v>
      </c>
      <c r="H15426" s="6" t="n">
        <f aca="false">Sens!H15422+Sens!H15425</f>
        <v>283.86735100059</v>
      </c>
      <c r="I15426" s="6" t="n">
        <f aca="false">Sens!I15422+Sens!I15425</f>
        <v>324.525666827575</v>
      </c>
      <c r="J15426" s="6" t="n">
        <f aca="false">Sens!J15422+Sens!J15425</f>
        <v>357.745103013355</v>
      </c>
      <c r="K15426" s="6" t="n">
        <f aca="false">Sens!K15422+Sens!K15425</f>
        <v>384.502217685829</v>
      </c>
    </row>
    <row r="15427" customFormat="false" ht="17.15" hidden="false" customHeight="false" outlineLevel="0" collapsed="false">
      <c r="A15427" s="1" t="s">
        <v>919</v>
      </c>
      <c r="B15427" s="0" t="s">
        <v>98</v>
      </c>
      <c r="E15427" s="6" t="n">
        <f aca="false">Sens!E15370</f>
        <v>16.3054059770833</v>
      </c>
      <c r="F15427" s="6" t="n">
        <f aca="false">Sens!F15370</f>
        <v>34.0498873809555</v>
      </c>
      <c r="G15427" s="6" t="n">
        <f aca="false">Sens!G15370</f>
        <v>59.1254371105111</v>
      </c>
      <c r="H15427" s="6" t="n">
        <f aca="false">Sens!H15370</f>
        <v>86.3610198433111</v>
      </c>
      <c r="I15427" s="6" t="n">
        <f aca="false">Sens!I15370</f>
        <v>110.605743832393</v>
      </c>
      <c r="J15427" s="6" t="n">
        <f aca="false">Sens!J15370</f>
        <v>127.998322852843</v>
      </c>
      <c r="K15427" s="6" t="n">
        <f aca="false">Sens!K15370</f>
        <v>139.131464044308</v>
      </c>
    </row>
    <row r="15428" customFormat="false" ht="17.15" hidden="false" customHeight="false" outlineLevel="0" collapsed="false">
      <c r="A15428" s="1" t="s">
        <v>920</v>
      </c>
      <c r="B15428" s="0" t="s">
        <v>98</v>
      </c>
      <c r="E15428" s="6" t="n">
        <f aca="false">Sens!E15452</f>
        <v>22.2285940229167</v>
      </c>
      <c r="F15428" s="6" t="n">
        <f aca="false">Sens!F15452</f>
        <v>23.5786693435813</v>
      </c>
      <c r="G15428" s="6" t="n">
        <f aca="false">Sens!G15452</f>
        <v>25.3810917662621</v>
      </c>
      <c r="H15428" s="6" t="n">
        <f aca="false">Sens!H15452</f>
        <v>27.5991339540448</v>
      </c>
      <c r="I15428" s="6" t="n">
        <f aca="false">Sens!I15452</f>
        <v>30.1565605898047</v>
      </c>
      <c r="J15428" s="6" t="n">
        <f aca="false">Sens!J15452</f>
        <v>32.9614958558616</v>
      </c>
      <c r="K15428" s="6" t="n">
        <f aca="false">Sens!K15452</f>
        <v>35.9297165444749</v>
      </c>
    </row>
    <row r="15429" customFormat="false" ht="17.15" hidden="false" customHeight="false" outlineLevel="0" collapsed="false">
      <c r="A15429" s="1" t="s">
        <v>921</v>
      </c>
      <c r="B15429" s="0" t="s">
        <v>98</v>
      </c>
      <c r="D15429" s="6" t="n">
        <f aca="false">Q!L27</f>
        <v>-4.901</v>
      </c>
      <c r="E15429" s="6" t="n">
        <f aca="false">Q!M27</f>
        <v>10.697</v>
      </c>
      <c r="F15429" s="6" t="n">
        <f aca="false">oie_f</f>
        <v>-0.4</v>
      </c>
      <c r="G15429" s="6" t="n">
        <f aca="false">oie_f</f>
        <v>-0.4</v>
      </c>
      <c r="H15429" s="6" t="n">
        <f aca="false">oie_f</f>
        <v>-0.4</v>
      </c>
      <c r="I15429" s="6" t="n">
        <f aca="false">oie_f</f>
        <v>-0.4</v>
      </c>
      <c r="J15429" s="6" t="n">
        <f aca="false">oie_f</f>
        <v>-0.4</v>
      </c>
      <c r="K15429" s="6" t="n">
        <f aca="false">oie_f</f>
        <v>-0.4</v>
      </c>
      <c r="L15429" s="11" t="s">
        <v>922</v>
      </c>
    </row>
    <row r="15430" customFormat="false" ht="15" hidden="false" customHeight="false" outlineLevel="0" collapsed="false">
      <c r="A15430" s="1" t="s">
        <v>923</v>
      </c>
      <c r="B15430" s="0" t="s">
        <v>98</v>
      </c>
      <c r="D15430" s="6" t="n">
        <f aca="false">Sens!D15422+Sens!D15429</f>
        <v>123.627</v>
      </c>
      <c r="E15430" s="6" t="n">
        <f aca="false">Sens!E15422+Sens!E15429</f>
        <v>165.934</v>
      </c>
      <c r="F15430" s="6" t="n">
        <f aca="false">Sens!F15422+Sens!F15429</f>
        <v>181.709084568286</v>
      </c>
      <c r="G15430" s="6" t="n">
        <f aca="false">Sens!G15422+Sens!G15429</f>
        <v>212.532941056297</v>
      </c>
      <c r="H15430" s="6" t="n">
        <f aca="false">Sens!H15422+Sens!H15429</f>
        <v>247.645211934204</v>
      </c>
      <c r="I15430" s="6" t="n">
        <f aca="false">Sens!I15422+Sens!I15429</f>
        <v>274.756482678328</v>
      </c>
      <c r="J15430" s="6" t="n">
        <f aca="false">Sens!J15422+Sens!J15429</f>
        <v>298.312830949419</v>
      </c>
      <c r="K15430" s="6" t="n">
        <f aca="false">Sens!K15422+Sens!K15429</f>
        <v>319.882707906148</v>
      </c>
    </row>
    <row r="15431" customFormat="false" ht="15" hidden="false" customHeight="false" outlineLevel="0" collapsed="false">
      <c r="A15431" s="1" t="s">
        <v>924</v>
      </c>
      <c r="B15431" s="0" t="s">
        <v>98</v>
      </c>
      <c r="D15431" s="6" t="n">
        <f aca="false">Q!L29</f>
        <v>21.795</v>
      </c>
      <c r="E15431" s="6" t="n">
        <f aca="false">Q!M29</f>
        <v>32.185</v>
      </c>
      <c r="F15431" s="6" t="n">
        <f aca="false">Sens!F15430*tax_f</f>
        <v>36.3418169136572</v>
      </c>
      <c r="G15431" s="6" t="n">
        <f aca="false">Sens!G15430*tax_f</f>
        <v>42.5065882112593</v>
      </c>
      <c r="H15431" s="6" t="n">
        <f aca="false">Sens!H15430*tax_f</f>
        <v>49.5290423868408</v>
      </c>
      <c r="I15431" s="6" t="n">
        <f aca="false">Sens!I15430*tax_f</f>
        <v>54.9512965356655</v>
      </c>
      <c r="J15431" s="6" t="n">
        <f aca="false">Sens!J15430*tax_f</f>
        <v>59.6625661898839</v>
      </c>
      <c r="K15431" s="6" t="n">
        <f aca="false">Sens!K15430*tax_f</f>
        <v>63.9765415812297</v>
      </c>
    </row>
    <row r="15432" customFormat="false" ht="15" hidden="false" customHeight="false" outlineLevel="0" collapsed="false">
      <c r="A15432" s="1" t="s">
        <v>925</v>
      </c>
      <c r="B15432" s="0" t="s">
        <v>98</v>
      </c>
      <c r="D15432" s="6" t="n">
        <f aca="false">Sens!D15430-Sens!D15431</f>
        <v>101.832</v>
      </c>
      <c r="E15432" s="6" t="n">
        <f aca="false">Sens!E15430-Sens!E15431</f>
        <v>133.749</v>
      </c>
      <c r="F15432" s="6" t="n">
        <f aca="false">Sens!F15430-Sens!F15431</f>
        <v>145.367267654629</v>
      </c>
      <c r="G15432" s="6" t="n">
        <f aca="false">Sens!G15430-Sens!G15431</f>
        <v>170.026352845037</v>
      </c>
      <c r="H15432" s="6" t="n">
        <f aca="false">Sens!H15430-Sens!H15431</f>
        <v>198.116169547363</v>
      </c>
      <c r="I15432" s="6" t="n">
        <f aca="false">Sens!I15430-Sens!I15431</f>
        <v>219.805186142662</v>
      </c>
      <c r="J15432" s="6" t="n">
        <f aca="false">Sens!J15430-Sens!J15431</f>
        <v>238.650264759535</v>
      </c>
      <c r="K15432" s="6" t="n">
        <f aca="false">Sens!K15430-Sens!K15431</f>
        <v>255.906166324919</v>
      </c>
    </row>
    <row r="15433" customFormat="false" ht="17.15" hidden="false" customHeight="false" outlineLevel="0" collapsed="false">
      <c r="A15433" s="1" t="s">
        <v>926</v>
      </c>
      <c r="B15433" s="1" t="s">
        <v>81</v>
      </c>
      <c r="D15433" s="14" t="n">
        <f aca="false">Q!L31</f>
        <v>7.465</v>
      </c>
      <c r="E15433" s="14" t="n">
        <f aca="false">Q!M31</f>
        <v>7.453</v>
      </c>
      <c r="F15433" s="14" t="n">
        <f aca="false">Sens!F15476</f>
        <v>7.47165945626417</v>
      </c>
      <c r="G15433" s="14" t="n">
        <f aca="false">Sens!G15476</f>
        <v>7.50461642756376</v>
      </c>
      <c r="H15433" s="14" t="n">
        <f aca="false">Sens!H15476</f>
        <v>7.52216552844913</v>
      </c>
      <c r="I15433" s="14" t="n">
        <f aca="false">Sens!I15476</f>
        <v>7.53394636045644</v>
      </c>
      <c r="J15433" s="14" t="n">
        <f aca="false">Sens!J15476</f>
        <v>7.54818787157433</v>
      </c>
      <c r="K15433" s="14" t="n">
        <f aca="false">Sens!K15476</f>
        <v>7.56470778927607</v>
      </c>
    </row>
    <row r="15434" customFormat="false" ht="17.15" hidden="false" customHeight="false" outlineLevel="0" collapsed="false">
      <c r="A15434" s="0" t="s">
        <v>927</v>
      </c>
      <c r="B15434" s="0" t="s">
        <v>75</v>
      </c>
      <c r="D15434" s="8" t="n">
        <f aca="false">Sens!D15432/Sens!D15433</f>
        <v>13.641259209645</v>
      </c>
      <c r="E15434" s="8" t="n">
        <f aca="false">Sens!E15432/Sens!E15433</f>
        <v>17.9456594659869</v>
      </c>
      <c r="F15434" s="8" t="n">
        <f aca="false">Sens!F15432/Sens!F15433</f>
        <v>19.4558208260889</v>
      </c>
      <c r="G15434" s="8" t="n">
        <f aca="false">Sens!G15432/Sens!G15433</f>
        <v>22.6562349303485</v>
      </c>
      <c r="H15434" s="8" t="n">
        <f aca="false">Sens!H15432/Sens!H15433</f>
        <v>26.3376508796676</v>
      </c>
      <c r="I15434" s="8" t="n">
        <f aca="false">Sens!I15432/Sens!I15433</f>
        <v>29.1753054277579</v>
      </c>
      <c r="J15434" s="8" t="n">
        <f aca="false">Sens!J15432/Sens!J15433</f>
        <v>31.6168951833151</v>
      </c>
      <c r="K15434" s="8" t="n">
        <f aca="false">Sens!K15432/Sens!K15433</f>
        <v>33.8289559165389</v>
      </c>
      <c r="L15434" s="1" t="s">
        <v>928</v>
      </c>
    </row>
    <row r="15435" customFormat="false" ht="17.15" hidden="false" customHeight="false" outlineLevel="0" collapsed="false">
      <c r="A15435" s="1" t="s">
        <v>929</v>
      </c>
      <c r="B15435" s="0" t="s">
        <v>98</v>
      </c>
      <c r="D15435" s="6" t="n">
        <f aca="false">Sens!D15432</f>
        <v>101.832</v>
      </c>
      <c r="E15435" s="6" t="n">
        <f aca="false">Sens!E15432</f>
        <v>133.749</v>
      </c>
      <c r="F15435" s="6" t="n">
        <f aca="false">Sens!F15432+Sens!F15425*(1-tax_f)</f>
        <v>152.121255212739</v>
      </c>
      <c r="G15435" s="6" t="n">
        <f aca="false">Sens!G15432+Sens!G15425*(1-tax_f)</f>
        <v>187.118610670438</v>
      </c>
      <c r="H15435" s="6" t="n">
        <f aca="false">Sens!H15432+Sens!H15425*(1-tax_f)</f>
        <v>226.773880800472</v>
      </c>
      <c r="I15435" s="6" t="n">
        <f aca="false">Sens!I15432+Sens!I15425*(1-tax_f)</f>
        <v>259.30053346206</v>
      </c>
      <c r="J15435" s="6" t="n">
        <f aca="false">Sens!J15432+Sens!J15425*(1-tax_f)</f>
        <v>285.876082410684</v>
      </c>
      <c r="K15435" s="6" t="n">
        <f aca="false">Sens!K15432+Sens!K15425*(1-tax_f)</f>
        <v>307.281774148663</v>
      </c>
    </row>
    <row r="15436" customFormat="false" ht="17.15" hidden="false" customHeight="false" outlineLevel="0" collapsed="false">
      <c r="A15436" s="0" t="s">
        <v>930</v>
      </c>
      <c r="B15436" s="0" t="s">
        <v>75</v>
      </c>
      <c r="D15436" s="8" t="n">
        <f aca="false">Sens!D15435/Sens!D15433</f>
        <v>13.641259209645</v>
      </c>
      <c r="E15436" s="8" t="n">
        <f aca="false">Sens!E15435/Sens!E15433</f>
        <v>17.9456594659869</v>
      </c>
      <c r="F15436" s="8" t="n">
        <f aca="false">Sens!F15435/Sens!F15433</f>
        <v>20.3597682821588</v>
      </c>
      <c r="G15436" s="8" t="n">
        <f aca="false">Sens!G15435/Sens!G15433</f>
        <v>24.9338007447214</v>
      </c>
      <c r="H15436" s="8" t="n">
        <f aca="false">Sens!H15435/Sens!H15433</f>
        <v>30.1474196416981</v>
      </c>
      <c r="I15436" s="8" t="n">
        <f aca="false">Sens!I15435/Sens!I15433</f>
        <v>34.4176240519916</v>
      </c>
      <c r="J15436" s="8" t="n">
        <f aca="false">Sens!J15435/Sens!J15433</f>
        <v>37.8734720537711</v>
      </c>
      <c r="K15436" s="8" t="n">
        <f aca="false">Sens!K15435/Sens!K15433</f>
        <v>40.6204420194887</v>
      </c>
      <c r="L15436" s="1" t="s">
        <v>931</v>
      </c>
    </row>
    <row r="15437" customFormat="false" ht="17.15" hidden="false" customHeight="false" outlineLevel="0" collapsed="false">
      <c r="A15437" s="0" t="s">
        <v>932</v>
      </c>
      <c r="B15437" s="0" t="s">
        <v>129</v>
      </c>
      <c r="E15437" s="7" t="n">
        <f aca="false">Sens!E15436/Sens!D15436-1</f>
        <v>0.315542736208578</v>
      </c>
      <c r="F15437" s="7" t="n">
        <f aca="false">Sens!F15436/Sens!E15436-1</f>
        <v>0.134523271253836</v>
      </c>
      <c r="G15437" s="7" t="n">
        <f aca="false">Sens!G15436/Sens!F15436-1</f>
        <v>0.224660339900374</v>
      </c>
      <c r="H15437" s="7" t="n">
        <f aca="false">Sens!H15436/Sens!G15436-1</f>
        <v>0.209098442325541</v>
      </c>
      <c r="I15437" s="7" t="n">
        <f aca="false">Sens!I15436/Sens!H15436-1</f>
        <v>0.14164410954718</v>
      </c>
      <c r="J15437" s="7" t="n">
        <f aca="false">Sens!J15436/Sens!I15436-1</f>
        <v>0.10040925534427</v>
      </c>
      <c r="K15437" s="7" t="n">
        <f aca="false">Sens!K15436/Sens!J15436-1</f>
        <v>0.0725301858202367</v>
      </c>
    </row>
    <row r="15438" customFormat="false" ht="17.15" hidden="false" customHeight="false" outlineLevel="0" collapsed="false">
      <c r="A15438" s="0" t="s">
        <v>856</v>
      </c>
      <c r="B15438" s="0" t="s">
        <v>98</v>
      </c>
      <c r="E15438" s="6" t="n">
        <f aca="false">Sens!E15379</f>
        <v>5.25</v>
      </c>
      <c r="F15438" s="6" t="n">
        <f aca="false">Sens!F15379</f>
        <v>13.5</v>
      </c>
      <c r="G15438" s="6" t="n">
        <f aca="false">Sens!G15379</f>
        <v>22.5</v>
      </c>
      <c r="H15438" s="6" t="n">
        <f aca="false">Sens!H15379</f>
        <v>31.5</v>
      </c>
      <c r="I15438" s="6" t="n">
        <f aca="false">Sens!I15379</f>
        <v>38.25</v>
      </c>
      <c r="J15438" s="6" t="n">
        <f aca="false">Sens!J15379</f>
        <v>42.75</v>
      </c>
      <c r="K15438" s="6" t="n">
        <f aca="false">Sens!K15379</f>
        <v>47.25</v>
      </c>
    </row>
    <row r="15439" customFormat="false" ht="17.15" hidden="false" customHeight="false" outlineLevel="0" collapsed="false">
      <c r="A15439" s="1" t="s">
        <v>857</v>
      </c>
      <c r="B15439" s="0" t="s">
        <v>98</v>
      </c>
      <c r="F15439" s="6" t="n">
        <f aca="false">MAX(0,((Sens!E15342+Sens!F15342)/2-(shadow_base*(Sens!$D$15342+Sens!$E$15342)/2+(1-shadow_base)*Sens!$E$15342))*Sens!F15350/1000-(Sens!F15438-Sens!$E$15438)*Sens!F15418)</f>
        <v>8.44248444763781</v>
      </c>
      <c r="G15439" s="6" t="n">
        <f aca="false">MAX(0,((Sens!F15342+Sens!G15342)/2-(shadow_base*(Sens!$D$15342+Sens!$E$15342)/2+(1-shadow_base)*Sens!$E$15342))*Sens!G15350/1000-(Sens!G15438-Sens!$E$15438)*Sens!G15418)</f>
        <v>21.3653222817508</v>
      </c>
      <c r="H15439" s="6" t="n">
        <f aca="false">MAX(0,((Sens!G15342+Sens!H15342)/2-(shadow_base*(Sens!$D$15342+Sens!$E$15342)/2+(1-shadow_base)*Sens!$E$15342))*Sens!H15350/1000-(Sens!H15438-Sens!$E$15438)*Sens!H15418)</f>
        <v>35.8221390663856</v>
      </c>
      <c r="I15439" s="6" t="n">
        <f aca="false">MAX(0,((Sens!H15342+Sens!I15342)/2-(shadow_base*(Sens!$D$15342+Sens!$E$15342)/2+(1-shadow_base)*Sens!$E$15342))*Sens!I15350/1000-(Sens!I15438-Sens!$E$15438)*Sens!I15418)</f>
        <v>49.3691841492478</v>
      </c>
      <c r="J15439" s="6" t="n">
        <f aca="false">MAX(0,((Sens!I15342+Sens!J15342)/2-(shadow_base*(Sens!$D$15342+Sens!$E$15342)/2+(1-shadow_base)*Sens!$E$15342))*Sens!J15350/1000-(Sens!J15438-Sens!$E$15438)*Sens!J15418)</f>
        <v>59.0322720639359</v>
      </c>
      <c r="K15439" s="6" t="n">
        <f aca="false">MAX(0,((Sens!J15342+Sens!K15342)/2-(shadow_base*(Sens!$D$15342+Sens!$E$15342)/2+(1-shadow_base)*Sens!$E$15342))*Sens!K15350/1000-(Sens!K15438-Sens!$E$15438)*Sens!K15418)</f>
        <v>64.2195097796802</v>
      </c>
      <c r="L15439" s="1" t="s">
        <v>858</v>
      </c>
    </row>
    <row r="15440" customFormat="false" ht="17.15" hidden="false" customHeight="false" outlineLevel="0" collapsed="false">
      <c r="A15440" s="1" t="s">
        <v>859</v>
      </c>
      <c r="B15440" s="0" t="s">
        <v>98</v>
      </c>
      <c r="F15440" s="6" t="n">
        <f aca="false">IF(internal_ai_reading=2,1,0)*Sens!F15439</f>
        <v>8.44248444763781</v>
      </c>
      <c r="G15440" s="6" t="n">
        <f aca="false">IF(internal_ai_reading=2,1,0)*Sens!G15439</f>
        <v>21.3653222817508</v>
      </c>
      <c r="H15440" s="6" t="n">
        <f aca="false">IF(internal_ai_reading=2,1,0)*Sens!H15439</f>
        <v>35.8221390663856</v>
      </c>
      <c r="I15440" s="6" t="n">
        <f aca="false">IF(internal_ai_reading=2,1,0)*Sens!I15439</f>
        <v>49.3691841492478</v>
      </c>
      <c r="J15440" s="6" t="n">
        <f aca="false">IF(internal_ai_reading=2,1,0)*Sens!J15439</f>
        <v>59.0322720639359</v>
      </c>
      <c r="K15440" s="6" t="n">
        <f aca="false">IF(internal_ai_reading=2,1,0)*Sens!K15439</f>
        <v>64.2195097796802</v>
      </c>
    </row>
    <row r="15441" customFormat="false" ht="17.15" hidden="false" customHeight="false" outlineLevel="0" collapsed="false">
      <c r="A15441" s="0" t="s">
        <v>860</v>
      </c>
      <c r="B15441" s="0" t="s">
        <v>98</v>
      </c>
      <c r="F15441" s="6" t="n">
        <f aca="false">Sens!F15359+Sens!F15438*Sens!F15418+Sens!F15440-Sens!F15360-Sens!F15370</f>
        <v>18.6954441577666</v>
      </c>
      <c r="G15441" s="6" t="n">
        <f aca="false">Sens!G15359+Sens!G15438*Sens!G15418+Sens!G15440-Sens!G15360-Sens!G15370</f>
        <v>42.7730967717415</v>
      </c>
      <c r="H15441" s="6" t="n">
        <f aca="false">Sens!H15359+Sens!H15438*Sens!H15418+Sens!H15440-Sens!H15360-Sens!H15370</f>
        <v>72.3524695349497</v>
      </c>
      <c r="I15441" s="6" t="n">
        <f aca="false">Sens!I15359+Sens!I15438*Sens!I15418+Sens!I15440-Sens!I15360-Sens!I15370</f>
        <v>93.3920399917181</v>
      </c>
      <c r="J15441" s="6" t="n">
        <f aca="false">Sens!J15359+Sens!J15438*Sens!J15418+Sens!J15440-Sens!J15360-Sens!J15370</f>
        <v>108.132424046476</v>
      </c>
      <c r="K15441" s="6" t="n">
        <f aca="false">Sens!K15359+Sens!K15438*Sens!K15418+Sens!K15440-Sens!K15360-Sens!K15370</f>
        <v>118.341283106908</v>
      </c>
    </row>
    <row r="15442" customFormat="false" ht="17.15" hidden="false" customHeight="false" outlineLevel="0" collapsed="false">
      <c r="A15442" s="0" t="s">
        <v>861</v>
      </c>
      <c r="B15442" s="0" t="s">
        <v>98</v>
      </c>
      <c r="E15442" s="6" t="n">
        <f aca="false">Sens!E15341*(cxit_open+self_build*tk_cxfac)/1000*ai_net_open</f>
        <v>126.6980382</v>
      </c>
      <c r="F15442" s="6" t="n">
        <f aca="false">Sens!E15442+Sens!F15367-Sens!F15370</f>
        <v>252.981026690511</v>
      </c>
      <c r="G15442" s="6" t="n">
        <f aca="false">Sens!F15442+Sens!G15367-Sens!G15370</f>
        <v>377.4297700632</v>
      </c>
      <c r="H15442" s="6" t="n">
        <f aca="false">Sens!G15442+Sens!H15367-Sens!H15370</f>
        <v>479.149036130289</v>
      </c>
      <c r="I15442" s="6" t="n">
        <f aca="false">Sens!H15442+Sens!I15367-Sens!I15370</f>
        <v>532.249961452141</v>
      </c>
      <c r="J15442" s="6" t="n">
        <f aca="false">Sens!I15442+Sens!J15367-Sens!J15370</f>
        <v>531.43307519354</v>
      </c>
      <c r="K15442" s="6" t="n">
        <f aca="false">Sens!J15442+Sens!K15367-Sens!K15370</f>
        <v>513.709026452823</v>
      </c>
      <c r="L15442" s="1" t="s">
        <v>862</v>
      </c>
    </row>
    <row r="15443" customFormat="false" ht="17.15" hidden="false" customHeight="false" outlineLevel="0" collapsed="false">
      <c r="A15443" s="0" t="s">
        <v>863</v>
      </c>
      <c r="B15443" s="0" t="s">
        <v>129</v>
      </c>
      <c r="F15443" s="7" t="n">
        <f aca="false">Sens!F15441*(1-tax_f)/((Sens!E15442+Sens!F15442)/2)</f>
        <v>0.0787841980727922</v>
      </c>
      <c r="G15443" s="7" t="n">
        <f aca="false">Sens!G15441*(1-tax_f)/((Sens!F15442+Sens!G15442)/2)</f>
        <v>0.108559300042451</v>
      </c>
      <c r="H15443" s="7" t="n">
        <f aca="false">Sens!H15441*(1-tax_f)/((Sens!G15442+Sens!H15442)/2)</f>
        <v>0.135146877810762</v>
      </c>
      <c r="I15443" s="7" t="n">
        <f aca="false">Sens!I15441*(1-tax_f)/((Sens!H15442+Sens!I15442)/2)</f>
        <v>0.147743140287788</v>
      </c>
      <c r="J15443" s="7" t="n">
        <f aca="false">Sens!J15441*(1-tax_f)/((Sens!I15442+Sens!J15442)/2)</f>
        <v>0.162653603107137</v>
      </c>
      <c r="K15443" s="7" t="n">
        <f aca="false">Sens!K15441*(1-tax_f)/((Sens!J15442+Sens!K15442)/2)</f>
        <v>0.181167759554213</v>
      </c>
    </row>
    <row r="15444" customFormat="false" ht="17.15" hidden="false" customHeight="false" outlineLevel="0" collapsed="false">
      <c r="A15444" s="1" t="s">
        <v>864</v>
      </c>
      <c r="B15444" s="0" t="s">
        <v>129</v>
      </c>
      <c r="F15444" s="7" t="n">
        <f aca="false">(Sens!F15441-Sens!F15440)*(1-tax_f)/((Sens!E15442+Sens!F15442)/2)</f>
        <v>0.0432068477121243</v>
      </c>
      <c r="G15444" s="7" t="n">
        <f aca="false">(Sens!G15441-Sens!G15440)*(1-tax_f)/((Sens!F15442+Sens!G15442)/2)</f>
        <v>0.0543335224592717</v>
      </c>
      <c r="H15444" s="7" t="n">
        <f aca="false">(Sens!H15441-Sens!H15440)*(1-tax_f)/((Sens!G15442+Sens!H15442)/2)</f>
        <v>0.0682348527970699</v>
      </c>
      <c r="I15444" s="7" t="n">
        <f aca="false">(Sens!I15441-Sens!I15440)*(1-tax_f)/((Sens!H15442+Sens!I15442)/2)</f>
        <v>0.0696427122395006</v>
      </c>
      <c r="J15444" s="7" t="n">
        <f aca="false">(Sens!J15441-Sens!J15440)*(1-tax_f)/((Sens!I15442+Sens!J15442)/2)</f>
        <v>0.0738568168011806</v>
      </c>
      <c r="K15444" s="7" t="n">
        <f aca="false">(Sens!K15441-Sens!K15440)*(1-tax_f)/((Sens!J15442+Sens!K15442)/2)</f>
        <v>0.0828546062656513</v>
      </c>
    </row>
    <row r="15445" customFormat="false" ht="17.15" hidden="false" customHeight="false" outlineLevel="0" collapsed="false">
      <c r="A15445" s="1" t="s">
        <v>865</v>
      </c>
      <c r="B15445" s="0" t="s">
        <v>129</v>
      </c>
      <c r="F15445" s="7" t="n">
        <f aca="false">(Sens!F15441-Sens!F15440+Sens!F15439)*(1-tax_f)/((Sens!E15442+Sens!F15442)/2)</f>
        <v>0.0787841980727922</v>
      </c>
      <c r="G15445" s="7" t="n">
        <f aca="false">(Sens!G15441-Sens!G15440+Sens!G15439)*(1-tax_f)/((Sens!F15442+Sens!G15442)/2)</f>
        <v>0.108559300042451</v>
      </c>
      <c r="H15445" s="7" t="n">
        <f aca="false">(Sens!H15441-Sens!H15440+Sens!H15439)*(1-tax_f)/((Sens!G15442+Sens!H15442)/2)</f>
        <v>0.135146877810762</v>
      </c>
      <c r="I15445" s="7" t="n">
        <f aca="false">(Sens!I15441-Sens!I15440+Sens!I15439)*(1-tax_f)/((Sens!H15442+Sens!I15442)/2)</f>
        <v>0.147743140287788</v>
      </c>
      <c r="J15445" s="7" t="n">
        <f aca="false">(Sens!J15441-Sens!J15440+Sens!J15439)*(1-tax_f)/((Sens!I15442+Sens!J15442)/2)</f>
        <v>0.162653603107137</v>
      </c>
      <c r="K15445" s="7" t="n">
        <f aca="false">(Sens!K15441-Sens!K15440+Sens!K15439)*(1-tax_f)/((Sens!J15442+Sens!K15442)/2)</f>
        <v>0.181167759554213</v>
      </c>
    </row>
    <row r="15446" customFormat="false" ht="17.15" hidden="false" customHeight="false" outlineLevel="0" collapsed="false">
      <c r="A15446" s="1" t="s">
        <v>866</v>
      </c>
      <c r="B15446" s="0" t="s">
        <v>129</v>
      </c>
      <c r="F15446" s="7" t="n">
        <f aca="false">Sens!F15371*(1-tax_f)/(Sens!F15358*(Sens!E15442+Sens!F15442)/2)</f>
        <v>0.159418295257403</v>
      </c>
      <c r="G15446" s="7" t="n">
        <f aca="false">Sens!G15371*(1-tax_f)/(Sens!G15358*(Sens!F15442+Sens!G15442)/2)</f>
        <v>0.181875227327983</v>
      </c>
      <c r="H15446" s="7" t="n">
        <f aca="false">Sens!H15371*(1-tax_f)/(Sens!H15358*(Sens!G15442+Sens!H15442)/2)</f>
        <v>0.212793847216411</v>
      </c>
      <c r="I15446" s="7" t="n">
        <f aca="false">Sens!I15371*(1-tax_f)/(Sens!I15358*(Sens!H15442+Sens!I15442)/2)</f>
        <v>0.225613268329429</v>
      </c>
      <c r="J15446" s="7" t="n">
        <f aca="false">Sens!J15371*(1-tax_f)/(Sens!J15358*(Sens!I15442+Sens!J15442)/2)</f>
        <v>0.24488839563955</v>
      </c>
      <c r="K15446" s="7" t="n">
        <f aca="false">Sens!K15371*(1-tax_f)/(Sens!K15358*(Sens!J15442+Sens!K15442)/2)</f>
        <v>0.270711455180788</v>
      </c>
    </row>
    <row r="15447" customFormat="false" ht="17.15" hidden="false" customHeight="false" outlineLevel="0" collapsed="false">
      <c r="A15447" s="0" t="s">
        <v>867</v>
      </c>
      <c r="B15447" s="0" t="s">
        <v>209</v>
      </c>
      <c r="F15447" s="7" t="n">
        <f aca="false">Sens!F15443-wacc</f>
        <v>-0.0241502220200835</v>
      </c>
      <c r="G15447" s="7" t="n">
        <f aca="false">Sens!G15443-wacc</f>
        <v>0.00562487994957479</v>
      </c>
      <c r="H15447" s="7" t="n">
        <f aca="false">Sens!H15443-wacc</f>
        <v>0.0322124577178859</v>
      </c>
      <c r="I15447" s="7" t="n">
        <f aca="false">Sens!I15443-wacc</f>
        <v>0.0448087201949121</v>
      </c>
      <c r="J15447" s="7" t="n">
        <f aca="false">Sens!J15443-wacc</f>
        <v>0.0597191830142614</v>
      </c>
      <c r="K15447" s="7" t="n">
        <f aca="false">Sens!K15443-wacc</f>
        <v>0.0782333394613372</v>
      </c>
    </row>
    <row r="15448" customFormat="false" ht="17.15" hidden="false" customHeight="false" outlineLevel="0" collapsed="false">
      <c r="A15448" s="0" t="s">
        <v>868</v>
      </c>
      <c r="B15448" s="0" t="s">
        <v>98</v>
      </c>
      <c r="F15448" s="6" t="n">
        <f aca="false">Sens!F15441*(1-tax_f)-wacc*(Sens!E15442+Sens!F15442)/2</f>
        <v>-4.58466685674177</v>
      </c>
      <c r="G15448" s="6" t="n">
        <f aca="false">Sens!G15441*(1-tax_f)-wacc*(Sens!F15442+Sens!G15442)/2</f>
        <v>1.77299252532771</v>
      </c>
      <c r="H15448" s="6" t="n">
        <f aca="false">Sens!H15441*(1-tax_f)-wacc*(Sens!G15442+Sens!H15442)/2</f>
        <v>13.7962542882725</v>
      </c>
      <c r="I15448" s="6" t="n">
        <f aca="false">Sens!I15441*(1-tax_f)-wacc*(Sens!H15442+Sens!I15442)/2</f>
        <v>22.6597473440428</v>
      </c>
      <c r="J15448" s="6" t="n">
        <f aca="false">Sens!J15441*(1-tax_f)-wacc*(Sens!I15442+Sens!J15442)/2</f>
        <v>31.7611409673044</v>
      </c>
      <c r="K15448" s="6" t="n">
        <f aca="false">Sens!K15441*(1-tax_f)-wacc*(Sens!J15442+Sens!K15442)/2</f>
        <v>40.8824784117176</v>
      </c>
    </row>
    <row r="15449" customFormat="false" ht="17.15" hidden="false" customHeight="false" outlineLevel="0" collapsed="false">
      <c r="A15449" s="3" t="s">
        <v>1654</v>
      </c>
    </row>
    <row r="15450" customFormat="false" ht="15" hidden="false" customHeight="false" outlineLevel="0" collapsed="false">
      <c r="A15450" s="4" t="s">
        <v>43</v>
      </c>
      <c r="B15450" s="4" t="s">
        <v>65</v>
      </c>
      <c r="C15450" s="20" t="s">
        <v>799</v>
      </c>
      <c r="D15450" s="20" t="s">
        <v>800</v>
      </c>
      <c r="E15450" s="20" t="s">
        <v>801</v>
      </c>
      <c r="F15450" s="20" t="s">
        <v>802</v>
      </c>
      <c r="G15450" s="20" t="s">
        <v>803</v>
      </c>
      <c r="H15450" s="20" t="s">
        <v>804</v>
      </c>
      <c r="I15450" s="20" t="s">
        <v>805</v>
      </c>
      <c r="J15450" s="20" t="s">
        <v>806</v>
      </c>
      <c r="K15450" s="20" t="s">
        <v>807</v>
      </c>
      <c r="L15450" s="4" t="s">
        <v>47</v>
      </c>
    </row>
    <row r="15451" customFormat="false" ht="15" hidden="false" customHeight="false" outlineLevel="0" collapsed="false">
      <c r="A15451" s="1" t="s">
        <v>925</v>
      </c>
      <c r="B15451" s="0" t="s">
        <v>98</v>
      </c>
      <c r="F15451" s="6" t="n">
        <f aca="false">Sens!F15432</f>
        <v>145.367267654629</v>
      </c>
      <c r="G15451" s="6" t="n">
        <f aca="false">Sens!G15432</f>
        <v>170.026352845037</v>
      </c>
      <c r="H15451" s="6" t="n">
        <f aca="false">Sens!H15432</f>
        <v>198.116169547363</v>
      </c>
      <c r="I15451" s="6" t="n">
        <f aca="false">Sens!I15432</f>
        <v>219.805186142662</v>
      </c>
      <c r="J15451" s="6" t="n">
        <f aca="false">Sens!J15432</f>
        <v>238.650264759535</v>
      </c>
      <c r="K15451" s="6" t="n">
        <f aca="false">Sens!K15432</f>
        <v>255.906166324919</v>
      </c>
    </row>
    <row r="15452" customFormat="false" ht="17.15" hidden="false" customHeight="false" outlineLevel="0" collapsed="false">
      <c r="A15452" s="1" t="s">
        <v>947</v>
      </c>
      <c r="B15452" s="0" t="s">
        <v>98</v>
      </c>
      <c r="E15452" s="6" t="n">
        <f aca="false">Q!M38-Sens!E15370</f>
        <v>22.2285940229167</v>
      </c>
      <c r="F15452" s="6" t="n">
        <f aca="false">Sens!E15452*(1-1/life_nonai)+(Sens!F15459+Sens!F15460)/life_nonai</f>
        <v>23.5786693435813</v>
      </c>
      <c r="G15452" s="6" t="n">
        <f aca="false">Sens!F15452*(1-1/life_nonai)+(Sens!G15459)/life_nonai</f>
        <v>25.3810917662621</v>
      </c>
      <c r="H15452" s="6" t="n">
        <f aca="false">Sens!G15452*(1-1/life_nonai)+(Sens!H15459)/life_nonai</f>
        <v>27.5991339540448</v>
      </c>
      <c r="I15452" s="6" t="n">
        <f aca="false">Sens!H15452*(1-1/life_nonai)+(Sens!I15459)/life_nonai</f>
        <v>30.1565605898047</v>
      </c>
      <c r="J15452" s="6" t="n">
        <f aca="false">Sens!I15452*(1-1/life_nonai)+(Sens!J15459)/life_nonai</f>
        <v>32.9614958558616</v>
      </c>
      <c r="K15452" s="6" t="n">
        <f aca="false">Sens!J15452*(1-1/life_nonai)+(Sens!K15459)/life_nonai</f>
        <v>35.9297165444749</v>
      </c>
      <c r="L15452" s="11" t="s">
        <v>948</v>
      </c>
    </row>
    <row r="15453" customFormat="false" ht="17.15" hidden="false" customHeight="false" outlineLevel="0" collapsed="false">
      <c r="A15453" s="1" t="s">
        <v>949</v>
      </c>
      <c r="B15453" s="0" t="s">
        <v>98</v>
      </c>
      <c r="F15453" s="6" t="n">
        <f aca="false">Sens!$F$15460/life_nonai*(1-1/life_nonai)^(Sens!F15336-2027)</f>
        <v>0</v>
      </c>
      <c r="G15453" s="6" t="n">
        <f aca="false">Sens!$F$15460/life_nonai*(1-1/life_nonai)^(Sens!G15336-2027)</f>
        <v>0</v>
      </c>
      <c r="H15453" s="6" t="n">
        <f aca="false">Sens!$F$15460/life_nonai*(1-1/life_nonai)^(Sens!H15336-2027)</f>
        <v>0</v>
      </c>
      <c r="I15453" s="6" t="n">
        <f aca="false">Sens!$F$15460/life_nonai*(1-1/life_nonai)^(Sens!I15336-2027)</f>
        <v>0</v>
      </c>
      <c r="J15453" s="6" t="n">
        <f aca="false">Sens!$F$15460/life_nonai*(1-1/life_nonai)^(Sens!J15336-2027)</f>
        <v>0</v>
      </c>
      <c r="K15453" s="6" t="n">
        <f aca="false">Sens!$F$15460/life_nonai*(1-1/life_nonai)^(Sens!K15336-2027)</f>
        <v>0</v>
      </c>
      <c r="L15453" s="1" t="s">
        <v>950</v>
      </c>
    </row>
    <row r="15454" customFormat="false" ht="17.15" hidden="false" customHeight="false" outlineLevel="0" collapsed="false">
      <c r="A15454" s="1" t="s">
        <v>951</v>
      </c>
      <c r="B15454" s="0" t="s">
        <v>98</v>
      </c>
      <c r="E15454" s="6" t="n">
        <f aca="false">Sens!E15370+Sens!E15452</f>
        <v>38.534</v>
      </c>
      <c r="F15454" s="6" t="n">
        <f aca="false">Sens!F15370+Sens!F15452</f>
        <v>57.6285567245368</v>
      </c>
      <c r="G15454" s="6" t="n">
        <f aca="false">Sens!G15370+Sens!G15452</f>
        <v>84.5065288767732</v>
      </c>
      <c r="H15454" s="6" t="n">
        <f aca="false">Sens!H15370+Sens!H15452</f>
        <v>113.960153797356</v>
      </c>
      <c r="I15454" s="6" t="n">
        <f aca="false">Sens!I15370+Sens!I15452</f>
        <v>140.762304422197</v>
      </c>
      <c r="J15454" s="6" t="n">
        <f aca="false">Sens!J15370+Sens!J15452</f>
        <v>160.959818708705</v>
      </c>
      <c r="K15454" s="6" t="n">
        <f aca="false">Sens!K15370+Sens!K15452</f>
        <v>175.061180588783</v>
      </c>
    </row>
    <row r="15455" customFormat="false" ht="17.15" hidden="false" customHeight="false" outlineLevel="0" collapsed="false">
      <c r="A15455" s="1" t="s">
        <v>952</v>
      </c>
      <c r="B15455" s="0" t="s">
        <v>98</v>
      </c>
      <c r="F15455" s="6" t="n">
        <f aca="false">Sens!F15397*sbc_r</f>
        <v>15.1240791253967</v>
      </c>
      <c r="G15455" s="6" t="n">
        <f aca="false">Sens!G15397*sbc_r</f>
        <v>18.3778786594202</v>
      </c>
      <c r="H15455" s="6" t="n">
        <f aca="false">Sens!H15397*sbc_r</f>
        <v>21.8771522065674</v>
      </c>
      <c r="I15455" s="6" t="n">
        <f aca="false">Sens!I15397*sbc_r</f>
        <v>24.8701515437869</v>
      </c>
      <c r="J15455" s="6" t="n">
        <f aca="false">Sens!J15397*sbc_r</f>
        <v>27.2967954795689</v>
      </c>
      <c r="K15455" s="6" t="n">
        <f aca="false">Sens!K15397*sbc_r</f>
        <v>29.260073931056</v>
      </c>
    </row>
    <row r="15456" customFormat="false" ht="17.15" hidden="false" customHeight="false" outlineLevel="0" collapsed="false">
      <c r="A15456" s="1" t="s">
        <v>953</v>
      </c>
      <c r="B15456" s="0" t="s">
        <v>98</v>
      </c>
      <c r="F15456" s="6" t="n">
        <f aca="false">wc27</f>
        <v>-4.895</v>
      </c>
      <c r="G15456" s="6" t="n">
        <f aca="false">wc_f</f>
        <v>0</v>
      </c>
      <c r="H15456" s="6" t="n">
        <f aca="false">wc_f</f>
        <v>0</v>
      </c>
      <c r="I15456" s="6" t="n">
        <f aca="false">wc_f</f>
        <v>0</v>
      </c>
      <c r="J15456" s="6" t="n">
        <f aca="false">wc_f</f>
        <v>0</v>
      </c>
      <c r="K15456" s="6" t="n">
        <f aca="false">wc_f</f>
        <v>0</v>
      </c>
      <c r="L15456" s="11" t="s">
        <v>954</v>
      </c>
    </row>
    <row r="15457" customFormat="false" ht="15" hidden="false" customHeight="false" outlineLevel="0" collapsed="false">
      <c r="A15457" s="1" t="s">
        <v>767</v>
      </c>
      <c r="B15457" s="0" t="s">
        <v>98</v>
      </c>
      <c r="E15457" s="6" t="n">
        <f aca="false">Q!M35</f>
        <v>182.935</v>
      </c>
      <c r="F15457" s="6" t="n">
        <f aca="false">Sens!F15451+Sens!F15454+Sens!F15455+Sens!F15456</f>
        <v>213.224903504562</v>
      </c>
      <c r="G15457" s="6" t="n">
        <f aca="false">Sens!G15451+Sens!G15454+Sens!G15455+Sens!G15456</f>
        <v>272.910760381231</v>
      </c>
      <c r="H15457" s="6" t="n">
        <f aca="false">Sens!H15451+Sens!H15454+Sens!H15455+Sens!H15456</f>
        <v>333.953475551287</v>
      </c>
      <c r="I15457" s="6" t="n">
        <f aca="false">Sens!I15451+Sens!I15454+Sens!I15455+Sens!I15456</f>
        <v>385.437642108646</v>
      </c>
      <c r="J15457" s="6" t="n">
        <f aca="false">Sens!J15451+Sens!J15454+Sens!J15455+Sens!J15456</f>
        <v>426.906878947809</v>
      </c>
      <c r="K15457" s="6" t="n">
        <f aca="false">Sens!K15451+Sens!K15454+Sens!K15455+Sens!K15456</f>
        <v>460.227420844758</v>
      </c>
    </row>
    <row r="15458" customFormat="false" ht="17.15" hidden="false" customHeight="false" outlineLevel="0" collapsed="false">
      <c r="A15458" s="0" t="s">
        <v>955</v>
      </c>
      <c r="B15458" s="0" t="s">
        <v>98</v>
      </c>
      <c r="F15458" s="6" t="n">
        <f aca="false">Sens!F15367</f>
        <v>160.332875871467</v>
      </c>
      <c r="G15458" s="6" t="n">
        <f aca="false">Sens!G15367</f>
        <v>183.5741804832</v>
      </c>
      <c r="H15458" s="6" t="n">
        <f aca="false">Sens!H15367</f>
        <v>188.0802859104</v>
      </c>
      <c r="I15458" s="6" t="n">
        <f aca="false">Sens!I15367</f>
        <v>163.706669154245</v>
      </c>
      <c r="J15458" s="6" t="n">
        <f aca="false">Sens!J15367</f>
        <v>127.181436594242</v>
      </c>
      <c r="K15458" s="6" t="n">
        <f aca="false">Sens!K15367</f>
        <v>121.407415303591</v>
      </c>
    </row>
    <row r="15459" customFormat="false" ht="17.15" hidden="false" customHeight="false" outlineLevel="0" collapsed="false">
      <c r="A15459" s="1" t="s">
        <v>956</v>
      </c>
      <c r="B15459" s="0" t="s">
        <v>98</v>
      </c>
      <c r="E15459" s="6" t="n">
        <f aca="false">Sens!E15375*cx_azo+Sens!E15382*cx_m365+Sens!E15383*cx_lic+(Sens!E15385+Sens!E15387)*cx_ind+Sens!E15390*cx_srch+(Sens!E15392+Sens!E15394)*cx_dev</f>
        <v>30.1846587067718</v>
      </c>
      <c r="F15459" s="6" t="n">
        <f aca="false">Sens!F15375*cx_azo+Sens!F15382*cx_m365+Sens!F15383*cx_lic+(Sens!F15385+Sens!F15387)*cx_ind+Sens!F15390*cx_srch+(Sens!F15392+Sens!F15394)*cx_dev</f>
        <v>35.7293472295625</v>
      </c>
      <c r="G15459" s="6" t="n">
        <f aca="false">Sens!G15375*cx_azo+Sens!G15382*cx_m365+Sens!G15383*cx_lic+(Sens!G15385+Sens!G15387)*cx_ind+Sens!G15390*cx_srch+(Sens!G15392+Sens!G15394)*cx_dev</f>
        <v>41.6028935703892</v>
      </c>
      <c r="H15459" s="6" t="n">
        <f aca="false">Sens!H15375*cx_azo+Sens!H15382*cx_m365+Sens!H15383*cx_lic+(Sens!H15385+Sens!H15387)*cx_ind+Sens!H15390*cx_srch+(Sens!H15392+Sens!H15394)*cx_dev</f>
        <v>47.5615136440897</v>
      </c>
      <c r="I15459" s="6" t="n">
        <f aca="false">Sens!I15375*cx_azo+Sens!I15382*cx_m365+Sens!I15383*cx_lic+(Sens!I15385+Sens!I15387)*cx_ind+Sens!I15390*cx_srch+(Sens!I15392+Sens!I15394)*cx_dev</f>
        <v>53.1734003116439</v>
      </c>
      <c r="J15459" s="6" t="n">
        <f aca="false">Sens!J15375*cx_azo+Sens!J15382*cx_m365+Sens!J15383*cx_lic+(Sens!J15385+Sens!J15387)*cx_ind+Sens!J15390*cx_srch+(Sens!J15392+Sens!J15394)*cx_dev</f>
        <v>58.2059132503738</v>
      </c>
      <c r="K15459" s="6" t="n">
        <f aca="false">Sens!K15375*cx_azo+Sens!K15382*cx_m365+Sens!K15383*cx_lic+(Sens!K15385+Sens!K15387)*cx_ind+Sens!K15390*cx_srch+(Sens!K15392+Sens!K15394)*cx_dev</f>
        <v>62.643702741994</v>
      </c>
    </row>
    <row r="15460" customFormat="false" ht="17.15" hidden="false" customHeight="false" outlineLevel="0" collapsed="false">
      <c r="A15460" s="0" t="s">
        <v>957</v>
      </c>
      <c r="B15460" s="0" t="s">
        <v>98</v>
      </c>
      <c r="F15460" s="6" t="n">
        <f aca="false">0</f>
        <v>0</v>
      </c>
      <c r="L15460" s="1" t="s">
        <v>958</v>
      </c>
    </row>
    <row r="15461" customFormat="false" ht="17.15" hidden="false" customHeight="false" outlineLevel="0" collapsed="false">
      <c r="A15461" s="1" t="s">
        <v>959</v>
      </c>
      <c r="B15461" s="0" t="s">
        <v>98</v>
      </c>
      <c r="E15461" s="6" t="n">
        <f aca="false">Q!M42</f>
        <v>145.3</v>
      </c>
      <c r="F15461" s="6" t="n">
        <f aca="false">Sens!F15458+Sens!F15459+Sens!F15460</f>
        <v>196.062223101029</v>
      </c>
      <c r="G15461" s="6" t="n">
        <f aca="false">Sens!G15458+Sens!G15459</f>
        <v>225.177074053589</v>
      </c>
      <c r="H15461" s="6" t="n">
        <f aca="false">Sens!H15458+Sens!H15459</f>
        <v>235.64179955449</v>
      </c>
      <c r="I15461" s="6" t="n">
        <f aca="false">Sens!I15458+Sens!I15459</f>
        <v>216.880069465889</v>
      </c>
      <c r="J15461" s="6" t="n">
        <f aca="false">Sens!J15458+Sens!J15459</f>
        <v>185.387349844616</v>
      </c>
      <c r="K15461" s="6" t="n">
        <f aca="false">Sens!K15458+Sens!K15459</f>
        <v>184.051118045585</v>
      </c>
      <c r="L15461" s="1" t="s">
        <v>960</v>
      </c>
    </row>
    <row r="15462" customFormat="false" ht="15" hidden="false" customHeight="false" outlineLevel="0" collapsed="false">
      <c r="A15462" s="1" t="s">
        <v>961</v>
      </c>
      <c r="B15462" s="0" t="s">
        <v>98</v>
      </c>
      <c r="E15462" s="6" t="n">
        <f aca="false">fl_liab</f>
        <v>66.594</v>
      </c>
      <c r="F15462" s="6" t="n">
        <f aca="false">Sens!E15462-Sens!F15463</f>
        <v>62.46973</v>
      </c>
      <c r="G15462" s="6" t="n">
        <f aca="false">Sens!F15462-Sens!G15463</f>
        <v>57.98686785</v>
      </c>
      <c r="H15462" s="6" t="n">
        <f aca="false">Sens!G15462-Sens!H15463</f>
        <v>53.92827690325</v>
      </c>
      <c r="I15462" s="6" t="n">
        <f aca="false">Sens!H15462-Sens!I15463</f>
        <v>49.7850493638962</v>
      </c>
      <c r="J15462" s="6" t="n">
        <f aca="false">Sens!I15462-Sens!J15463</f>
        <v>45.4823765852716</v>
      </c>
      <c r="K15462" s="6" t="n">
        <f aca="false">Sens!J15462-Sens!K15463</f>
        <v>40.9860835316088</v>
      </c>
    </row>
    <row r="15463" customFormat="false" ht="15" hidden="false" customHeight="false" outlineLevel="0" collapsed="false">
      <c r="A15463" s="1" t="s">
        <v>962</v>
      </c>
      <c r="B15463" s="0" t="s">
        <v>98</v>
      </c>
      <c r="F15463" s="6" t="n">
        <f aca="false">fl_pay_27-Sens!E15462*fl_rate</f>
        <v>4.12427</v>
      </c>
      <c r="G15463" s="6" t="n">
        <f aca="false">fl_pay_28-Sens!F15462*fl_rate</f>
        <v>4.48286215</v>
      </c>
      <c r="H15463" s="6" t="n">
        <f aca="false">fl_pay_29-Sens!G15462*fl_rate</f>
        <v>4.05859094675</v>
      </c>
      <c r="I15463" s="6" t="n">
        <f aca="false">fl_pay_30-Sens!H15462*fl_rate</f>
        <v>4.14322753935375</v>
      </c>
      <c r="J15463" s="6" t="n">
        <f aca="false">fl_pay_31-Sens!I15462*fl_rate</f>
        <v>4.30267277862467</v>
      </c>
      <c r="K15463" s="6" t="n">
        <f aca="false">fl_pay_32-Sens!J15462*fl_rate</f>
        <v>4.49629305366278</v>
      </c>
    </row>
    <row r="15464" customFormat="false" ht="17.15" hidden="false" customHeight="false" outlineLevel="0" collapsed="false">
      <c r="A15464" s="1" t="s">
        <v>963</v>
      </c>
      <c r="B15464" s="0" t="s">
        <v>98</v>
      </c>
      <c r="E15464" s="6" t="n">
        <f aca="false">Q!M35-Q!M36-Q!M43</f>
        <v>63.886</v>
      </c>
      <c r="F15464" s="6" t="n">
        <f aca="false">Sens!F15457-Sens!F15461-Sens!F15463</f>
        <v>13.0384104035331</v>
      </c>
      <c r="G15464" s="6" t="n">
        <f aca="false">Sens!G15457-Sens!G15461-Sens!G15463</f>
        <v>43.2508241776414</v>
      </c>
      <c r="H15464" s="6" t="n">
        <f aca="false">Sens!H15457-Sens!H15461-Sens!H15463</f>
        <v>94.2530850500469</v>
      </c>
      <c r="I15464" s="6" t="n">
        <f aca="false">Sens!I15457-Sens!I15461-Sens!I15463</f>
        <v>164.414345103403</v>
      </c>
      <c r="J15464" s="6" t="n">
        <f aca="false">Sens!J15457-Sens!J15461-Sens!J15463</f>
        <v>237.216856324569</v>
      </c>
      <c r="K15464" s="6" t="n">
        <f aca="false">Sens!K15457-Sens!K15461-Sens!K15463</f>
        <v>271.68000974551</v>
      </c>
      <c r="L15464" s="11" t="s">
        <v>964</v>
      </c>
    </row>
    <row r="15465" customFormat="false" ht="15" hidden="false" customHeight="false" outlineLevel="0" collapsed="false">
      <c r="A15465" s="1" t="s">
        <v>965</v>
      </c>
      <c r="B15465" s="0" t="s">
        <v>75</v>
      </c>
      <c r="F15465" s="8" t="n">
        <f aca="false">dps_27</f>
        <v>3.85</v>
      </c>
      <c r="G15465" s="8" t="n">
        <f aca="false">Sens!F15465*(1+dps_g)</f>
        <v>4.158</v>
      </c>
      <c r="H15465" s="8" t="n">
        <f aca="false">Sens!G15465*(1+dps_g)</f>
        <v>4.49064</v>
      </c>
      <c r="I15465" s="8" t="n">
        <f aca="false">Sens!H15465*(1+dps_g)</f>
        <v>4.8498912</v>
      </c>
      <c r="J15465" s="8" t="n">
        <f aca="false">Sens!I15465*(1+dps_g)</f>
        <v>5.237882496</v>
      </c>
      <c r="K15465" s="8" t="n">
        <f aca="false">Sens!J15465*(1+dps_g)</f>
        <v>5.65691309568</v>
      </c>
    </row>
    <row r="15466" customFormat="false" ht="17.15" hidden="false" customHeight="false" outlineLevel="0" collapsed="false">
      <c r="A15466" s="1" t="s">
        <v>966</v>
      </c>
      <c r="B15466" s="0" t="s">
        <v>98</v>
      </c>
      <c r="E15466" s="6" t="n">
        <f aca="false">Q!M41</f>
        <v>26.445</v>
      </c>
      <c r="F15466" s="6" t="n">
        <f aca="false">Sens!F15465*Sens!E15475</f>
        <v>28.59395</v>
      </c>
      <c r="G15466" s="6" t="n">
        <f aca="false">Sens!G15465*Sens!F15475</f>
        <v>31.0532700382928</v>
      </c>
      <c r="H15466" s="6" t="n">
        <f aca="false">Sens!H15465*Sens!G15475</f>
        <v>33.6479790671936</v>
      </c>
      <c r="I15466" s="6" t="n">
        <f aca="false">Sens!I15465*Sens!H15475</f>
        <v>36.3907566325685</v>
      </c>
      <c r="J15466" s="6" t="n">
        <f aca="false">Sens!J15465*Sens!I15475</f>
        <v>39.3704160114935</v>
      </c>
      <c r="K15466" s="6" t="n">
        <f aca="false">Sens!K15465*Sens!J15475</f>
        <v>42.607304517718</v>
      </c>
      <c r="L15466" s="1" t="s">
        <v>967</v>
      </c>
    </row>
    <row r="15467" customFormat="false" ht="15" hidden="false" customHeight="false" outlineLevel="0" collapsed="false">
      <c r="A15467" s="1" t="s">
        <v>968</v>
      </c>
      <c r="B15467" s="0" t="s">
        <v>98</v>
      </c>
      <c r="E15467" s="6" t="n">
        <f aca="false">Sens!E15464-Sens!E15466</f>
        <v>37.441</v>
      </c>
      <c r="F15467" s="6" t="n">
        <f aca="false">Sens!F15464-Sens!F15466</f>
        <v>-15.5555395964669</v>
      </c>
      <c r="G15467" s="6" t="n">
        <f aca="false">Sens!G15464-Sens!G15466</f>
        <v>12.1975541393485</v>
      </c>
      <c r="H15467" s="6" t="n">
        <f aca="false">Sens!H15464-Sens!H15466</f>
        <v>60.6051059828533</v>
      </c>
      <c r="I15467" s="6" t="n">
        <f aca="false">Sens!I15464-Sens!I15466</f>
        <v>128.023588470835</v>
      </c>
      <c r="J15467" s="6" t="n">
        <f aca="false">Sens!J15464-Sens!J15466</f>
        <v>197.846440313075</v>
      </c>
      <c r="K15467" s="6" t="n">
        <f aca="false">Sens!K15464-Sens!K15466</f>
        <v>229.072705227792</v>
      </c>
    </row>
    <row r="15468" customFormat="false" ht="15" hidden="false" customHeight="false" outlineLevel="0" collapsed="false">
      <c r="A15468" s="1" t="s">
        <v>969</v>
      </c>
      <c r="B15468" s="0" t="s">
        <v>98</v>
      </c>
      <c r="F15468" s="6" t="n">
        <f aca="false">debt_mat_27</f>
        <v>9.25</v>
      </c>
      <c r="G15468" s="6" t="n">
        <f aca="false">debt_mat_28</f>
        <v>0</v>
      </c>
      <c r="H15468" s="6" t="n">
        <f aca="false">debt_mat_29</f>
        <v>2.001</v>
      </c>
      <c r="I15468" s="6" t="n">
        <f aca="false">debt_mat_30</f>
        <v>0</v>
      </c>
      <c r="J15468" s="6" t="n">
        <f aca="false">debt_mat_31</f>
        <v>0.5</v>
      </c>
      <c r="K15468" s="6" t="n">
        <f aca="false">debt_mat_32</f>
        <v>0</v>
      </c>
    </row>
    <row r="15469" customFormat="false" ht="15" hidden="false" customHeight="false" outlineLevel="0" collapsed="false">
      <c r="A15469" s="1" t="s">
        <v>970</v>
      </c>
      <c r="B15469" s="0" t="s">
        <v>98</v>
      </c>
      <c r="E15469" s="6" t="n">
        <f aca="false">Q!M40</f>
        <v>22.271</v>
      </c>
      <c r="F15469" s="6" t="n">
        <f aca="false">MAX(0,MIN(bb_target,Sens!E15471+Sens!F15467-Sens!F15468-min_cash))</f>
        <v>2.03746040353313</v>
      </c>
      <c r="G15469" s="6" t="n">
        <f aca="false">MAX(0,MIN(bb_target,Sens!F15471+Sens!G15467-Sens!G15468-min_cash))</f>
        <v>12.1975541393485</v>
      </c>
      <c r="H15469" s="6" t="n">
        <f aca="false">MAX(0,MIN(bb_target,Sens!G15471+Sens!H15467-Sens!H15468-min_cash))</f>
        <v>22.271</v>
      </c>
      <c r="I15469" s="6" t="n">
        <f aca="false">MAX(0,MIN(bb_target,Sens!H15471+Sens!I15467-Sens!I15468-min_cash))</f>
        <v>22.271</v>
      </c>
      <c r="J15469" s="6" t="n">
        <f aca="false">MAX(0,MIN(bb_target,Sens!I15471+Sens!J15467-Sens!J15468-min_cash))</f>
        <v>22.271</v>
      </c>
      <c r="K15469" s="6" t="n">
        <f aca="false">MAX(0,MIN(bb_target,Sens!J15471+Sens!K15467-Sens!K15468-min_cash))</f>
        <v>22.271</v>
      </c>
    </row>
    <row r="15470" customFormat="false" ht="15" hidden="false" customHeight="false" outlineLevel="0" collapsed="false">
      <c r="A15470" s="1" t="s">
        <v>971</v>
      </c>
      <c r="B15470" s="0" t="s">
        <v>98</v>
      </c>
      <c r="F15470" s="6" t="n">
        <f aca="false">MAX(0,min_cash-(Sens!E15471+Sens!F15467-Sens!F15468-Sens!F15469))</f>
        <v>0</v>
      </c>
      <c r="G15470" s="6" t="n">
        <f aca="false">MAX(0,min_cash-(Sens!F15471+Sens!G15467-Sens!G15468-Sens!G15469))</f>
        <v>0</v>
      </c>
      <c r="H15470" s="6" t="n">
        <f aca="false">MAX(0,min_cash-(Sens!G15471+Sens!H15467-Sens!H15468-Sens!H15469))</f>
        <v>0</v>
      </c>
      <c r="I15470" s="6" t="n">
        <f aca="false">MAX(0,min_cash-(Sens!H15471+Sens!I15467-Sens!I15468-Sens!I15469))</f>
        <v>0</v>
      </c>
      <c r="J15470" s="6" t="n">
        <f aca="false">MAX(0,min_cash-(Sens!I15471+Sens!J15467-Sens!J15468-Sens!J15469))</f>
        <v>0</v>
      </c>
      <c r="K15470" s="6" t="n">
        <f aca="false">MAX(0,min_cash-(Sens!J15471+Sens!K15467-Sens!K15468-Sens!K15469))</f>
        <v>0</v>
      </c>
    </row>
    <row r="15471" customFormat="false" ht="15" hidden="false" customHeight="false" outlineLevel="0" collapsed="false">
      <c r="A15471" s="1" t="s">
        <v>972</v>
      </c>
      <c r="B15471" s="0" t="s">
        <v>98</v>
      </c>
      <c r="E15471" s="6" t="n">
        <f aca="false">cash_open</f>
        <v>76.843</v>
      </c>
      <c r="F15471" s="6" t="n">
        <f aca="false">Sens!E15471+Sens!F15467-Sens!F15468-Sens!F15469+Sens!F15470</f>
        <v>50</v>
      </c>
      <c r="G15471" s="6" t="n">
        <f aca="false">Sens!F15471+Sens!G15467-Sens!G15468-Sens!G15469+Sens!G15470</f>
        <v>50</v>
      </c>
      <c r="H15471" s="6" t="n">
        <f aca="false">Sens!G15471+Sens!H15467-Sens!H15468-Sens!H15469+Sens!H15470</f>
        <v>86.3331059828533</v>
      </c>
      <c r="I15471" s="6" t="n">
        <f aca="false">Sens!H15471+Sens!I15467-Sens!I15468-Sens!I15469+Sens!I15470</f>
        <v>192.085694453688</v>
      </c>
      <c r="J15471" s="6" t="n">
        <f aca="false">Sens!I15471+Sens!J15467-Sens!J15468-Sens!J15469+Sens!J15470</f>
        <v>367.161134766763</v>
      </c>
      <c r="K15471" s="6" t="n">
        <f aca="false">Sens!J15471+Sens!K15467-Sens!K15468-Sens!K15469+Sens!K15470</f>
        <v>573.962839994556</v>
      </c>
    </row>
    <row r="15472" customFormat="false" ht="15" hidden="false" customHeight="false" outlineLevel="0" collapsed="false">
      <c r="A15472" s="1" t="s">
        <v>973</v>
      </c>
      <c r="B15472" s="0" t="s">
        <v>98</v>
      </c>
      <c r="E15472" s="6" t="n">
        <f aca="false">debt_face</f>
        <v>46.136</v>
      </c>
      <c r="F15472" s="6" t="n">
        <f aca="false">Sens!E15472-Sens!F15468+Sens!F15470</f>
        <v>36.886</v>
      </c>
      <c r="G15472" s="6" t="n">
        <f aca="false">Sens!F15472-Sens!G15468+Sens!G15470</f>
        <v>36.886</v>
      </c>
      <c r="H15472" s="6" t="n">
        <f aca="false">Sens!G15472-Sens!H15468+Sens!H15470</f>
        <v>34.885</v>
      </c>
      <c r="I15472" s="6" t="n">
        <f aca="false">Sens!H15472-Sens!I15468+Sens!I15470</f>
        <v>34.885</v>
      </c>
      <c r="J15472" s="6" t="n">
        <f aca="false">Sens!I15472-Sens!J15468+Sens!J15470</f>
        <v>34.385</v>
      </c>
      <c r="K15472" s="6" t="n">
        <f aca="false">Sens!J15472-Sens!K15468+Sens!K15470</f>
        <v>34.385</v>
      </c>
    </row>
    <row r="15473" customFormat="false" ht="15" hidden="false" customHeight="false" outlineLevel="0" collapsed="false">
      <c r="A15473" s="1" t="s">
        <v>974</v>
      </c>
      <c r="B15473" s="0" t="s">
        <v>98</v>
      </c>
      <c r="E15473" s="6" t="n">
        <f aca="false">Sens!E15471-Sens!E15472</f>
        <v>30.707</v>
      </c>
      <c r="F15473" s="6" t="n">
        <f aca="false">Sens!F15471-Sens!F15472</f>
        <v>13.114</v>
      </c>
      <c r="G15473" s="6" t="n">
        <f aca="false">Sens!G15471-Sens!G15472</f>
        <v>13.114</v>
      </c>
      <c r="H15473" s="6" t="n">
        <f aca="false">Sens!H15471-Sens!H15472</f>
        <v>51.4481059828533</v>
      </c>
      <c r="I15473" s="6" t="n">
        <f aca="false">Sens!I15471-Sens!I15472</f>
        <v>157.200694453688</v>
      </c>
      <c r="J15473" s="6" t="n">
        <f aca="false">Sens!J15471-Sens!J15472</f>
        <v>332.776134766763</v>
      </c>
      <c r="K15473" s="6" t="n">
        <f aca="false">Sens!K15471-Sens!K15472</f>
        <v>539.577839994556</v>
      </c>
    </row>
    <row r="15474" customFormat="false" ht="15" hidden="false" customHeight="false" outlineLevel="0" collapsed="false">
      <c r="A15474" s="1" t="s">
        <v>975</v>
      </c>
      <c r="B15474" s="0" t="s">
        <v>75</v>
      </c>
      <c r="F15474" s="29" t="n">
        <f aca="false">px*(1+bb_g)^(Sens!F15336-base_fy-mid_yr)</f>
        <v>553.494156066711</v>
      </c>
      <c r="G15474" s="29" t="n">
        <f aca="false">px*(1+bb_g)^(Sens!G15336-base_fy-mid_yr)</f>
        <v>597.773688552047</v>
      </c>
      <c r="H15474" s="29" t="n">
        <f aca="false">px*(1+bb_g)^(Sens!H15336-base_fy-mid_yr)</f>
        <v>645.595583636211</v>
      </c>
      <c r="I15474" s="29" t="n">
        <f aca="false">px*(1+bb_g)^(Sens!I15336-base_fy-mid_yr)</f>
        <v>697.243230327108</v>
      </c>
      <c r="J15474" s="29" t="n">
        <f aca="false">px*(1+bb_g)^(Sens!J15336-base_fy-mid_yr)</f>
        <v>753.022688753277</v>
      </c>
      <c r="K15474" s="29" t="n">
        <f aca="false">px*(1+bb_g)^(Sens!K15336-base_fy-mid_yr)</f>
        <v>813.264503853539</v>
      </c>
    </row>
    <row r="15475" customFormat="false" ht="15" hidden="false" customHeight="false" outlineLevel="0" collapsed="false">
      <c r="A15475" s="1" t="s">
        <v>976</v>
      </c>
      <c r="B15475" s="1" t="s">
        <v>81</v>
      </c>
      <c r="E15475" s="14" t="n">
        <f aca="false">sh_out26</f>
        <v>7.427</v>
      </c>
      <c r="F15475" s="14" t="n">
        <f aca="false">Sens!E15475+sh_iss-Sens!F15469/Sens!F15474</f>
        <v>7.46831891252834</v>
      </c>
      <c r="G15475" s="14" t="n">
        <f aca="false">Sens!F15475+sh_iss-Sens!G15469/Sens!G15474</f>
        <v>7.49291394259918</v>
      </c>
      <c r="H15475" s="14" t="n">
        <f aca="false">Sens!G15475+sh_iss-Sens!H15469/Sens!H15474</f>
        <v>7.50341711429908</v>
      </c>
      <c r="I15475" s="14" t="n">
        <f aca="false">Sens!H15475+sh_iss-Sens!I15469/Sens!I15474</f>
        <v>7.51647560661381</v>
      </c>
      <c r="J15475" s="14" t="n">
        <f aca="false">Sens!I15475+sh_iss-Sens!J15469/Sens!J15474</f>
        <v>7.53190013653485</v>
      </c>
      <c r="K15475" s="14" t="n">
        <f aca="false">Sens!J15475+sh_iss-Sens!K15469/Sens!K15474</f>
        <v>7.54951544201729</v>
      </c>
    </row>
    <row r="15476" customFormat="false" ht="15" hidden="false" customHeight="false" outlineLevel="0" collapsed="false">
      <c r="A15476" s="1" t="s">
        <v>977</v>
      </c>
      <c r="B15476" s="1" t="s">
        <v>81</v>
      </c>
      <c r="E15476" s="14" t="n">
        <f aca="false">sh_dil26</f>
        <v>7.453</v>
      </c>
      <c r="F15476" s="14" t="n">
        <f aca="false">(Sens!E15475+Sens!F15475)/2+dil_gap</f>
        <v>7.47165945626417</v>
      </c>
      <c r="G15476" s="14" t="n">
        <f aca="false">(Sens!F15475+Sens!G15475)/2+dil_gap</f>
        <v>7.50461642756376</v>
      </c>
      <c r="H15476" s="14" t="n">
        <f aca="false">(Sens!G15475+Sens!H15475)/2+dil_gap</f>
        <v>7.52216552844913</v>
      </c>
      <c r="I15476" s="14" t="n">
        <f aca="false">(Sens!H15475+Sens!I15475)/2+dil_gap</f>
        <v>7.53394636045644</v>
      </c>
      <c r="J15476" s="14" t="n">
        <f aca="false">(Sens!I15475+Sens!J15475)/2+dil_gap</f>
        <v>7.54818787157433</v>
      </c>
      <c r="K15476" s="14" t="n">
        <f aca="false">(Sens!J15475+Sens!K15475)/2+dil_gap</f>
        <v>7.56470778927607</v>
      </c>
    </row>
    <row r="15477" customFormat="false" ht="17.15" hidden="false" customHeight="false" outlineLevel="0" collapsed="false">
      <c r="A15477" s="1" t="s">
        <v>978</v>
      </c>
      <c r="B15477" s="0" t="s">
        <v>98</v>
      </c>
      <c r="C15477" s="6" t="n">
        <f aca="false">SUM(Sens!F15467:J15467)</f>
        <v>383.117149309645</v>
      </c>
    </row>
    <row r="15478" customFormat="false" ht="15" hidden="false" customHeight="false" outlineLevel="0" collapsed="false">
      <c r="A15478" s="23" t="s">
        <v>945</v>
      </c>
      <c r="B15478" s="30" t="s">
        <v>98</v>
      </c>
      <c r="C15478" s="24" t="n">
        <f aca="false">Sens!$C$15477-(Sens!F15467+Sens!G15467+Sens!H15467+Sens!I15467+Sens!J15467)</f>
        <v>0</v>
      </c>
      <c r="D15478" s="30"/>
      <c r="E15478" s="30"/>
      <c r="F15478" s="30"/>
      <c r="G15478" s="30"/>
      <c r="H15478" s="30"/>
      <c r="I15478" s="30"/>
      <c r="J15478" s="30"/>
      <c r="K15478" s="30"/>
    </row>
    <row r="15479" customFormat="false" ht="17.15" hidden="false" customHeight="false" outlineLevel="0" collapsed="false">
      <c r="A15479" s="1" t="s">
        <v>939</v>
      </c>
      <c r="B15479" s="1" t="s">
        <v>979</v>
      </c>
      <c r="C15479" s="32" t="str">
        <f aca="false">IF(SUM(Sens!F15470:J15470)&gt;0.05,"需要舉債 "&amp;TEXT(SUM(Sens!F15470:J15470),"0.0")&amp;" 十億美元","不需舉債")&amp;"；"&amp;IF(SUM(Sens!F15469:J15469)&lt;COUNT(Sens!F15469:J15469)*bb_target-0.05,"回購較每年 "&amp;TEXT(bb_target,"0.0")&amp;" 的目標少 "&amp;TEXT(COUNT(Sens!F15469:J15469)*bb_target-SUM(Sens!F15469:J15469),"0.0")&amp;" 十億美元（"&amp;TEXT(COUNTIF(Sens!F15469:J15469,"&lt;"&amp;(bb_target-0.05)),"0")&amp;" 年減少）","回購不減")</f>
        <v>不需舉債；回購較每年 22.3 的目標少 30.3 十億美元（2 年減少）</v>
      </c>
    </row>
    <row r="15480" customFormat="false" ht="17.15" hidden="false" customHeight="false" outlineLevel="0" collapsed="false">
      <c r="A15480" s="3" t="s">
        <v>1655</v>
      </c>
    </row>
    <row r="15481" customFormat="false" ht="15" hidden="false" customHeight="false" outlineLevel="0" collapsed="false">
      <c r="A15481" s="4" t="s">
        <v>43</v>
      </c>
      <c r="B15481" s="4" t="s">
        <v>65</v>
      </c>
      <c r="C15481" s="20" t="s">
        <v>799</v>
      </c>
      <c r="D15481" s="20" t="s">
        <v>800</v>
      </c>
      <c r="E15481" s="20" t="s">
        <v>801</v>
      </c>
      <c r="F15481" s="20" t="s">
        <v>802</v>
      </c>
      <c r="G15481" s="20" t="s">
        <v>803</v>
      </c>
      <c r="H15481" s="20" t="s">
        <v>804</v>
      </c>
      <c r="I15481" s="20" t="s">
        <v>805</v>
      </c>
      <c r="J15481" s="20" t="s">
        <v>806</v>
      </c>
      <c r="K15481" s="20" t="s">
        <v>807</v>
      </c>
      <c r="L15481" s="4" t="s">
        <v>47</v>
      </c>
    </row>
    <row r="15482" customFormat="false" ht="15" hidden="false" customHeight="false" outlineLevel="0" collapsed="false">
      <c r="A15482" s="1" t="s">
        <v>1057</v>
      </c>
      <c r="B15482" s="1" t="s">
        <v>235</v>
      </c>
      <c r="F15482" s="36" t="n">
        <f aca="false">Sens!F15336-base_fy-mid_yr</f>
        <v>0.5</v>
      </c>
      <c r="G15482" s="36" t="n">
        <f aca="false">Sens!G15336-base_fy-mid_yr</f>
        <v>1.5</v>
      </c>
      <c r="H15482" s="36" t="n">
        <f aca="false">Sens!H15336-base_fy-mid_yr</f>
        <v>2.5</v>
      </c>
      <c r="I15482" s="36" t="n">
        <f aca="false">Sens!I15336-base_fy-mid_yr</f>
        <v>3.5</v>
      </c>
      <c r="J15482" s="36" t="n">
        <f aca="false">Sens!J15336-base_fy-mid_yr</f>
        <v>4.5</v>
      </c>
      <c r="K15482" s="36" t="n">
        <f aca="false">Sens!K15336-base_fy-mid_yr</f>
        <v>5.5</v>
      </c>
    </row>
    <row r="15483" customFormat="false" ht="15" hidden="false" customHeight="false" outlineLevel="0" collapsed="false">
      <c r="A15483" s="1" t="s">
        <v>1058</v>
      </c>
      <c r="B15483" s="0" t="s">
        <v>185</v>
      </c>
      <c r="F15483" s="14" t="n">
        <f aca="false">1/(1+wacc)^Sens!F15482</f>
        <v>0.952193373608246</v>
      </c>
      <c r="G15483" s="14" t="n">
        <f aca="false">1/(1+wacc)^Sens!G15482</f>
        <v>0.863327280626589</v>
      </c>
      <c r="H15483" s="14" t="n">
        <f aca="false">1/(1+wacc)^Sens!H15482</f>
        <v>0.782754862754115</v>
      </c>
      <c r="I15483" s="14" t="n">
        <f aca="false">1/(1+wacc)^Sens!I15482</f>
        <v>0.709702089711011</v>
      </c>
      <c r="J15483" s="14" t="n">
        <f aca="false">1/(1+wacc)^Sens!J15482</f>
        <v>0.643467169744551</v>
      </c>
      <c r="K15483" s="14" t="n">
        <f aca="false">1/(1+wacc)^Sens!K15482</f>
        <v>0.583413807767797</v>
      </c>
    </row>
    <row r="15484" customFormat="false" ht="17.15" hidden="false" customHeight="false" outlineLevel="0" collapsed="false">
      <c r="A15484" s="1" t="s">
        <v>1059</v>
      </c>
      <c r="B15484" s="0" t="s">
        <v>98</v>
      </c>
      <c r="F15484" s="6" t="n">
        <f aca="false">Sens!F15457-Sens!F15455-Sens!F15461+Sens!F15440*(1-tax_f)</f>
        <v>8.79258883624666</v>
      </c>
      <c r="G15484" s="6" t="n">
        <f aca="false">Sens!G15457-Sens!G15455-Sens!G15461+Sens!G15440*(1-tax_f)</f>
        <v>46.4480654936218</v>
      </c>
      <c r="H15484" s="6" t="n">
        <f aca="false">Sens!H15457-Sens!H15455-Sens!H15461+Sens!H15440*(1-tax_f)</f>
        <v>105.092235043338</v>
      </c>
      <c r="I15484" s="6" t="n">
        <f aca="false">Sens!I15457-Sens!I15455-Sens!I15461+Sens!I15440*(1-tax_f)</f>
        <v>183.182768418368</v>
      </c>
      <c r="J15484" s="6" t="n">
        <f aca="false">Sens!J15457-Sens!J15455-Sens!J15461+Sens!J15440*(1-tax_f)</f>
        <v>261.448551274773</v>
      </c>
      <c r="K15484" s="6" t="n">
        <f aca="false">Sens!K15457-Sens!K15455-Sens!K15461+Sens!K15440*(1-tax_f)</f>
        <v>298.291836691861</v>
      </c>
      <c r="L15484" s="1" t="s">
        <v>1060</v>
      </c>
    </row>
    <row r="15485" customFormat="false" ht="15" hidden="false" customHeight="false" outlineLevel="0" collapsed="false">
      <c r="A15485" s="1" t="s">
        <v>1061</v>
      </c>
      <c r="B15485" s="0" t="s">
        <v>98</v>
      </c>
      <c r="F15485" s="6" t="n">
        <f aca="false">Sens!F15484*Sens!F15483</f>
        <v>8.37224482673591</v>
      </c>
      <c r="G15485" s="6" t="n">
        <f aca="false">Sens!G15484*Sens!G15483</f>
        <v>40.0998820729742</v>
      </c>
      <c r="H15485" s="6" t="n">
        <f aca="false">Sens!H15484*Sens!H15483</f>
        <v>82.2614580178712</v>
      </c>
      <c r="I15485" s="6" t="n">
        <f aca="false">Sens!I15484*Sens!I15483</f>
        <v>130.005193545564</v>
      </c>
      <c r="J15485" s="6" t="n">
        <f aca="false">Sens!J15484*Sens!J15483</f>
        <v>168.233559322591</v>
      </c>
      <c r="K15485" s="6" t="n">
        <f aca="false">Sens!K15484*Sens!K15483</f>
        <v>174.027576270449</v>
      </c>
    </row>
    <row r="15486" customFormat="false" ht="17.15" hidden="false" customHeight="false" outlineLevel="0" collapsed="false">
      <c r="A15486" s="1" t="s">
        <v>1062</v>
      </c>
      <c r="B15486" s="0" t="s">
        <v>98</v>
      </c>
      <c r="C15486" s="6" t="n">
        <f aca="false">SUM(Sens!F15485:K15485)</f>
        <v>602.999914056185</v>
      </c>
    </row>
    <row r="15487" customFormat="false" ht="17.15" hidden="false" customHeight="false" outlineLevel="0" collapsed="false">
      <c r="A15487" s="1" t="s">
        <v>1063</v>
      </c>
      <c r="B15487" s="0" t="s">
        <v>98</v>
      </c>
      <c r="C15487" s="6" t="n">
        <f aca="false">Sens!K15426*(1+g_tv)*(1-tax_f)</f>
        <v>316.829827373123</v>
      </c>
    </row>
    <row r="15488" customFormat="false" ht="17.15" hidden="false" customHeight="false" outlineLevel="0" collapsed="false">
      <c r="A15488" s="1" t="s">
        <v>1064</v>
      </c>
      <c r="B15488" s="0" t="s">
        <v>98</v>
      </c>
      <c r="C15488" s="6" t="n">
        <f aca="false">Sens!$C$15487*(1-g_tv/(wacc+ronic_prem))</f>
        <v>224.490502853515</v>
      </c>
    </row>
    <row r="15489" customFormat="false" ht="17.15" hidden="false" customHeight="false" outlineLevel="0" collapsed="false">
      <c r="A15489" s="1" t="s">
        <v>1065</v>
      </c>
      <c r="B15489" s="0" t="s">
        <v>98</v>
      </c>
      <c r="C15489" s="6" t="n">
        <f aca="false">Sens!$C$15488/(wacc-g_tv)</f>
        <v>3077.97748398692</v>
      </c>
    </row>
    <row r="15490" customFormat="false" ht="15" hidden="false" customHeight="false" outlineLevel="0" collapsed="false">
      <c r="A15490" s="1" t="s">
        <v>1066</v>
      </c>
      <c r="B15490" s="0" t="s">
        <v>98</v>
      </c>
      <c r="C15490" s="6" t="n">
        <f aca="false">Sens!$C$15489/(1+wacc)^(Sens!K15482+mid_yr)</f>
        <v>1709.88655274897</v>
      </c>
    </row>
    <row r="15491" customFormat="false" ht="17.15" hidden="false" customHeight="false" outlineLevel="0" collapsed="false">
      <c r="A15491" s="0" t="s">
        <v>986</v>
      </c>
      <c r="B15491" s="0" t="s">
        <v>98</v>
      </c>
      <c r="C15491" s="6" t="n">
        <f aca="false">Sens!$C$15486+Sens!$C$15490</f>
        <v>2312.88646680516</v>
      </c>
    </row>
    <row r="15492" customFormat="false" ht="15" hidden="false" customHeight="false" outlineLevel="0" collapsed="false">
      <c r="A15492" s="1" t="s">
        <v>987</v>
      </c>
      <c r="B15492" s="0" t="s">
        <v>129</v>
      </c>
      <c r="C15492" s="7" t="n">
        <f aca="false">Sens!$C$15490/Sens!$C$15491</f>
        <v>0.739286850993113</v>
      </c>
    </row>
    <row r="15493" customFormat="false" ht="17.15" hidden="false" customHeight="false" outlineLevel="0" collapsed="false">
      <c r="A15493" s="1" t="s">
        <v>1067</v>
      </c>
      <c r="B15493" s="0" t="s">
        <v>98</v>
      </c>
      <c r="C15493" s="6" t="n">
        <f aca="false">Sens!$C$15491+Sens!E15473-Sens!E15462+oai_v</f>
        <v>2447.39946680516</v>
      </c>
    </row>
    <row r="15494" customFormat="false" ht="17.15" hidden="false" customHeight="false" outlineLevel="0" collapsed="false">
      <c r="A15494" s="0" t="s">
        <v>994</v>
      </c>
      <c r="B15494" s="0" t="s">
        <v>75</v>
      </c>
      <c r="C15494" s="5" t="n">
        <f aca="false">Sens!$C$15493/sh_dil26</f>
        <v>328.37776288812</v>
      </c>
    </row>
    <row r="15495" customFormat="false" ht="15" hidden="false" customHeight="false" outlineLevel="0" collapsed="false">
      <c r="A15495" s="1" t="s">
        <v>1068</v>
      </c>
      <c r="B15495" s="0" t="s">
        <v>75</v>
      </c>
      <c r="C15495" s="8" t="n">
        <f aca="false">dps_27+Sens!G15465*roll_div_q/q_per_yr</f>
        <v>4.8895</v>
      </c>
    </row>
    <row r="15496" customFormat="false" ht="17.15" hidden="false" customHeight="false" outlineLevel="0" collapsed="false">
      <c r="A15496" s="0" t="s">
        <v>1069</v>
      </c>
      <c r="B15496" s="0" t="s">
        <v>75</v>
      </c>
      <c r="C15496" s="5" t="n">
        <f aca="false">Sens!$C$15494*(1+wacc)^t_roll-Sens!$C$15495</f>
        <v>369.045222978469</v>
      </c>
    </row>
    <row r="15497" customFormat="false" ht="17.15" hidden="false" customHeight="false" outlineLevel="0" collapsed="false">
      <c r="A15497" s="1" t="s">
        <v>1070</v>
      </c>
      <c r="B15497" s="0" t="s">
        <v>129</v>
      </c>
      <c r="F15497" s="7" t="n">
        <f aca="false">Sens!F15452/(Sens!F15397-Sens!F15353)</f>
        <v>0.0681773598226415</v>
      </c>
      <c r="G15497" s="7" t="n">
        <f aca="false">Sens!G15452/(Sens!G15397-Sens!G15353)</f>
        <v>0.0650385409375172</v>
      </c>
      <c r="H15497" s="7" t="n">
        <f aca="false">Sens!H15452/(Sens!H15397-Sens!H15353)</f>
        <v>0.063382542471986</v>
      </c>
      <c r="I15497" s="7" t="n">
        <f aca="false">Sens!I15452/(Sens!I15397-Sens!I15353)</f>
        <v>0.0630998138876076</v>
      </c>
      <c r="J15497" s="7" t="n">
        <f aca="false">Sens!J15452/(Sens!J15397-Sens!J15353)</f>
        <v>0.0638399980286975</v>
      </c>
      <c r="K15497" s="7" t="n">
        <f aca="false">Sens!K15452/(Sens!K15397-Sens!K15353)</f>
        <v>0.0651531082402687</v>
      </c>
    </row>
    <row r="15498" customFormat="false" ht="17.15" hidden="false" customHeight="false" outlineLevel="0" collapsed="false">
      <c r="A15498" s="0" t="s">
        <v>1071</v>
      </c>
      <c r="B15498" s="0" t="s">
        <v>98</v>
      </c>
      <c r="F15498" s="6" t="n">
        <f aca="false">Sens!F15382*(al_m365+Sens!F15497+sbc_r)</f>
        <v>84.944046606333</v>
      </c>
      <c r="G15498" s="6" t="n">
        <f aca="false">Sens!G15382*(al_m365+Sens!G15497+sbc_r)</f>
        <v>99.4236143320739</v>
      </c>
      <c r="H15498" s="6" t="n">
        <f aca="false">Sens!H15382*(al_m365+Sens!H15497+sbc_r)</f>
        <v>114.068697186163</v>
      </c>
      <c r="I15498" s="6" t="n">
        <f aca="false">Sens!I15382*(al_m365+Sens!I15497+sbc_r)</f>
        <v>127.196415789369</v>
      </c>
      <c r="J15498" s="6" t="n">
        <f aca="false">Sens!J15382*(al_m365+Sens!J15497+sbc_r)</f>
        <v>138.619575691419</v>
      </c>
      <c r="K15498" s="6" t="n">
        <f aca="false">Sens!K15382*(al_m365+Sens!K15497+sbc_r)</f>
        <v>149.659768267063</v>
      </c>
      <c r="L15498" s="11" t="s">
        <v>1072</v>
      </c>
    </row>
    <row r="15499" customFormat="false" ht="17.15" hidden="false" customHeight="false" outlineLevel="0" collapsed="false">
      <c r="A15499" s="0" t="s">
        <v>1073</v>
      </c>
      <c r="B15499" s="0" t="s">
        <v>98</v>
      </c>
      <c r="F15499" s="6" t="n">
        <f aca="false">Sens!F15383*(al_lic+Sens!F15497+sbc_r)</f>
        <v>33.4285095904825</v>
      </c>
      <c r="G15499" s="6" t="n">
        <f aca="false">Sens!G15383*(al_lic+Sens!G15497+sbc_r)</f>
        <v>34.7161826947861</v>
      </c>
      <c r="H15499" s="6" t="n">
        <f aca="false">Sens!H15383*(al_lic+Sens!H15497+sbc_r)</f>
        <v>35.9223654002493</v>
      </c>
      <c r="I15499" s="6" t="n">
        <f aca="false">Sens!I15383*(al_lic+Sens!I15497+sbc_r)</f>
        <v>37.0298325864501</v>
      </c>
      <c r="J15499" s="6" t="n">
        <f aca="false">Sens!J15383*(al_lic+Sens!J15497+sbc_r)</f>
        <v>38.0103325842314</v>
      </c>
      <c r="K15499" s="6" t="n">
        <f aca="false">Sens!K15383*(al_lic+Sens!K15497+sbc_r)</f>
        <v>38.8303473189322</v>
      </c>
    </row>
    <row r="15500" customFormat="false" ht="17.15" hidden="false" customHeight="false" outlineLevel="0" collapsed="false">
      <c r="A15500" s="0" t="s">
        <v>1074</v>
      </c>
      <c r="B15500" s="0" t="s">
        <v>98</v>
      </c>
      <c r="F15500" s="6" t="n">
        <f aca="false">Sens!F15385*(al_ind+Sens!F15497+sbc_r)</f>
        <v>9.06719306746208</v>
      </c>
      <c r="G15500" s="6" t="n">
        <f aca="false">Sens!G15385*(al_ind+Sens!G15497+sbc_r)</f>
        <v>9.83485541633448</v>
      </c>
      <c r="H15500" s="6" t="n">
        <f aca="false">Sens!H15385*(al_ind+Sens!H15497+sbc_r)</f>
        <v>10.6498544617516</v>
      </c>
      <c r="I15500" s="6" t="n">
        <f aca="false">Sens!I15385*(al_ind+Sens!I15497+sbc_r)</f>
        <v>11.5103515303299</v>
      </c>
      <c r="J15500" s="6" t="n">
        <f aca="false">Sens!J15385*(al_ind+Sens!J15497+sbc_r)</f>
        <v>12.4055032067278</v>
      </c>
      <c r="K15500" s="6" t="n">
        <f aca="false">Sens!K15385*(al_ind+Sens!K15497+sbc_r)</f>
        <v>13.3173308472897</v>
      </c>
    </row>
    <row r="15501" customFormat="false" ht="17.15" hidden="false" customHeight="false" outlineLevel="0" collapsed="false">
      <c r="A15501" s="0" t="s">
        <v>1075</v>
      </c>
      <c r="B15501" s="0" t="s">
        <v>98</v>
      </c>
      <c r="F15501" s="6" t="n">
        <f aca="false">Sens!F15387*(al_fro+Sens!F15497+sbc_r)</f>
        <v>3.56887902446295</v>
      </c>
      <c r="G15501" s="6" t="n">
        <f aca="false">Sens!G15387*(al_fro+Sens!G15497+sbc_r)</f>
        <v>3.77600302676241</v>
      </c>
      <c r="H15501" s="6" t="n">
        <f aca="false">Sens!H15387*(al_fro+Sens!H15497+sbc_r)</f>
        <v>4.01322967965482</v>
      </c>
      <c r="I15501" s="6" t="n">
        <f aca="false">Sens!I15387*(al_fro+Sens!I15497+sbc_r)</f>
        <v>4.28368437397841</v>
      </c>
      <c r="J15501" s="6" t="n">
        <f aca="false">Sens!J15387*(al_fro+Sens!J15497+sbc_r)</f>
        <v>4.58803182845156</v>
      </c>
      <c r="K15501" s="6" t="n">
        <f aca="false">Sens!K15387*(al_fro+Sens!K15497+sbc_r)</f>
        <v>4.92526073140255</v>
      </c>
    </row>
    <row r="15502" customFormat="false" ht="17.15" hidden="false" customHeight="false" outlineLevel="0" collapsed="false">
      <c r="A15502" s="0" t="s">
        <v>1076</v>
      </c>
      <c r="B15502" s="0" t="s">
        <v>98</v>
      </c>
      <c r="F15502" s="6" t="n">
        <f aca="false">Sens!F15390*(al_srch+Sens!F15497+sbc_r)</f>
        <v>11.1981144415922</v>
      </c>
      <c r="G15502" s="6" t="n">
        <f aca="false">Sens!G15390*(al_srch+Sens!G15497+sbc_r)</f>
        <v>12.2607925441521</v>
      </c>
      <c r="H15502" s="6" t="n">
        <f aca="false">Sens!H15390*(al_srch+Sens!H15497+sbc_r)</f>
        <v>13.3712787172501</v>
      </c>
      <c r="I15502" s="6" t="n">
        <f aca="false">Sens!I15390*(al_srch+Sens!I15497+sbc_r)</f>
        <v>14.5205713773955</v>
      </c>
      <c r="J15502" s="6" t="n">
        <f aca="false">Sens!J15390*(al_srch+Sens!J15497+sbc_r)</f>
        <v>15.6873363367184</v>
      </c>
      <c r="K15502" s="6" t="n">
        <f aca="false">Sens!K15390*(al_srch+Sens!K15497+sbc_r)</f>
        <v>16.8403848378749</v>
      </c>
    </row>
    <row r="15503" customFormat="false" ht="17.15" hidden="false" customHeight="false" outlineLevel="0" collapsed="false">
      <c r="A15503" s="0" t="s">
        <v>1077</v>
      </c>
      <c r="B15503" s="0" t="s">
        <v>98</v>
      </c>
      <c r="F15503" s="6" t="n">
        <f aca="false">Sens!F15359-Sens!F15360+Sens!F15440</f>
        <v>45.0374073018652</v>
      </c>
      <c r="G15503" s="6" t="n">
        <f aca="false">Sens!G15359-Sens!G15360+Sens!G15440</f>
        <v>89.051993487491</v>
      </c>
      <c r="H15503" s="6" t="n">
        <f aca="false">Sens!H15359-Sens!H15360+Sens!H15440</f>
        <v>140.728332825594</v>
      </c>
      <c r="I15503" s="6" t="n">
        <f aca="false">Sens!I15359-Sens!I15360+Sens!I15440</f>
        <v>182.158665153016</v>
      </c>
      <c r="J15503" s="6" t="n">
        <f aca="false">Sens!J15359-Sens!J15360+Sens!J15440</f>
        <v>211.722320149272</v>
      </c>
      <c r="K15503" s="6" t="n">
        <f aca="false">Sens!K15359-Sens!K15360+Sens!K15440</f>
        <v>230.495012322217</v>
      </c>
    </row>
    <row r="15504" customFormat="false" ht="17.15" hidden="false" customHeight="false" outlineLevel="0" collapsed="false">
      <c r="A15504" s="0" t="s">
        <v>1078</v>
      </c>
      <c r="B15504" s="0" t="s">
        <v>98</v>
      </c>
      <c r="F15504" s="6" t="n">
        <f aca="false">Sens!F15419+Sens!F15440+Sens!F15370+Sens!F15497*(Sens!F15389-Sens!F15353)+sbc_r*Sens!F15389</f>
        <v>237.132411684557</v>
      </c>
      <c r="G15504" s="6" t="n">
        <f aca="false">Sens!G15419+Sens!G15440+Sens!G15370+Sens!G15497*(Sens!G15389-Sens!G15353)+sbc_r*Sens!G15389</f>
        <v>310.424551098796</v>
      </c>
      <c r="H15504" s="6" t="n">
        <f aca="false">Sens!H15419+Sens!H15440+Sens!H15370+Sens!H15497*(Sens!H15389-Sens!H15353)+sbc_r*Sens!H15389</f>
        <v>392.084539512418</v>
      </c>
      <c r="I15504" s="6" t="n">
        <f aca="false">Sens!I15419+Sens!I15440+Sens!I15370+Sens!I15497*(Sens!I15389-Sens!I15353)+sbc_r*Sens!I15389</f>
        <v>461.428492140468</v>
      </c>
      <c r="J15504" s="6" t="n">
        <f aca="false">Sens!J15419+Sens!J15440+Sens!J15370+Sens!J15497*(Sens!J15389-Sens!J15353)+sbc_r*Sens!J15389</f>
        <v>515.954217362639</v>
      </c>
      <c r="K15504" s="6" t="n">
        <f aca="false">Sens!K15419+Sens!K15440+Sens!K15370+Sens!K15497*(Sens!K15389-Sens!K15353)+sbc_r*Sens!K15389</f>
        <v>557.294239303285</v>
      </c>
    </row>
    <row r="15505" customFormat="false" ht="17.15" hidden="false" customHeight="false" outlineLevel="0" collapsed="false">
      <c r="A15505" s="0" t="s">
        <v>1079</v>
      </c>
      <c r="B15505" s="0" t="s">
        <v>98</v>
      </c>
      <c r="F15505" s="6" t="n">
        <f aca="false">Sens!F15504-Sens!F15498-Sens!F15499-Sens!F15500-Sens!F15501-Sens!F15503</f>
        <v>61.0863760939514</v>
      </c>
      <c r="G15505" s="6" t="n">
        <f aca="false">Sens!G15504-Sens!G15498-Sens!G15499-Sens!G15500-Sens!G15501-Sens!G15503</f>
        <v>73.6219021413484</v>
      </c>
      <c r="H15505" s="6" t="n">
        <f aca="false">Sens!H15504-Sens!H15498-Sens!H15499-Sens!H15500-Sens!H15501-Sens!H15503</f>
        <v>86.7020599590046</v>
      </c>
      <c r="I15505" s="6" t="n">
        <f aca="false">Sens!I15504-Sens!I15498-Sens!I15499-Sens!I15500-Sens!I15501-Sens!I15503</f>
        <v>99.2495427073241</v>
      </c>
      <c r="J15505" s="6" t="n">
        <f aca="false">Sens!J15504-Sens!J15498-Sens!J15499-Sens!J15500-Sens!J15501-Sens!J15503</f>
        <v>110.608453902538</v>
      </c>
      <c r="K15505" s="6" t="n">
        <f aca="false">Sens!K15504-Sens!K15498-Sens!K15499-Sens!K15500-Sens!K15501-Sens!K15503</f>
        <v>120.066519816381</v>
      </c>
    </row>
    <row r="15506" customFormat="false" ht="17.15" hidden="false" customHeight="false" outlineLevel="0" collapsed="false">
      <c r="A15506" s="0" t="s">
        <v>1080</v>
      </c>
      <c r="B15506" s="0" t="s">
        <v>98</v>
      </c>
      <c r="F15506" s="6" t="n">
        <f aca="false">Sens!F15421+Sens!F15497*Sens!F15396+sbc_r*Sens!F15396</f>
        <v>26.1717931813002</v>
      </c>
      <c r="G15506" s="6" t="n">
        <f aca="false">Sens!G15421+Sens!G15497*Sens!G15396+sbc_r*Sens!G15396</f>
        <v>26.7581197754446</v>
      </c>
      <c r="H15506" s="6" t="n">
        <f aca="false">Sens!H15421+Sens!H15497*Sens!H15396+sbc_r*Sens!H15396</f>
        <v>27.6201174920951</v>
      </c>
      <c r="I15506" s="6" t="n">
        <f aca="false">Sens!I15421+Sens!I15497*Sens!I15396+sbc_r*Sens!I15396</f>
        <v>28.7296306530919</v>
      </c>
      <c r="J15506" s="6" t="n">
        <f aca="false">Sens!J15421+Sens!J15497*Sens!J15396+sbc_r*Sens!J15396</f>
        <v>30.04749983899</v>
      </c>
      <c r="K15506" s="6" t="n">
        <f aca="false">Sens!K15421+Sens!K15497*Sens!K15396+sbc_r*Sens!K15396</f>
        <v>31.5292329023825</v>
      </c>
    </row>
    <row r="15507" customFormat="false" ht="17.15" hidden="false" customHeight="false" outlineLevel="0" collapsed="false">
      <c r="A15507" s="0" t="s">
        <v>1081</v>
      </c>
      <c r="B15507" s="0" t="s">
        <v>98</v>
      </c>
      <c r="F15507" s="6" t="n">
        <f aca="false">(Sens!F15506-Sens!F15502)*Sens!F15392/(Sens!F15392+Sens!F15394)</f>
        <v>8.20842484359027</v>
      </c>
      <c r="G15507" s="6" t="n">
        <f aca="false">(Sens!G15506-Sens!G15502)*Sens!G15392/(Sens!G15392+Sens!G15394)</f>
        <v>7.80559384110416</v>
      </c>
      <c r="H15507" s="6" t="n">
        <f aca="false">(Sens!H15506-Sens!H15502)*Sens!H15392/(Sens!H15392+Sens!H15394)</f>
        <v>7.56817041839156</v>
      </c>
      <c r="I15507" s="6" t="n">
        <f aca="false">(Sens!I15506-Sens!I15502)*Sens!I15392/(Sens!I15392+Sens!I15394)</f>
        <v>7.47875608696462</v>
      </c>
      <c r="J15507" s="6" t="n">
        <f aca="false">(Sens!J15506-Sens!J15502)*Sens!J15392/(Sens!J15392+Sens!J15394)</f>
        <v>7.52410955955578</v>
      </c>
      <c r="K15507" s="6" t="n">
        <f aca="false">(Sens!K15506-Sens!K15502)*Sens!K15392/(Sens!K15392+Sens!K15394)</f>
        <v>7.6963261681206</v>
      </c>
    </row>
    <row r="15508" customFormat="false" ht="17.15" hidden="false" customHeight="false" outlineLevel="0" collapsed="false">
      <c r="A15508" s="0" t="s">
        <v>1082</v>
      </c>
      <c r="B15508" s="0" t="s">
        <v>98</v>
      </c>
      <c r="F15508" s="6" t="n">
        <f aca="false">Sens!F15506-Sens!F15502-Sens!F15507</f>
        <v>6.76525389611778</v>
      </c>
      <c r="G15508" s="6" t="n">
        <f aca="false">Sens!G15506-Sens!G15502-Sens!G15507</f>
        <v>6.69173339018827</v>
      </c>
      <c r="H15508" s="6" t="n">
        <f aca="false">Sens!H15506-Sens!H15502-Sens!H15507</f>
        <v>6.68066835645346</v>
      </c>
      <c r="I15508" s="6" t="n">
        <f aca="false">Sens!I15506-Sens!I15502-Sens!I15507</f>
        <v>6.73030318873177</v>
      </c>
      <c r="J15508" s="6" t="n">
        <f aca="false">Sens!J15506-Sens!J15502-Sens!J15507</f>
        <v>6.83605394271588</v>
      </c>
      <c r="K15508" s="6" t="n">
        <f aca="false">Sens!K15506-Sens!K15502-Sens!K15507</f>
        <v>6.99252189638696</v>
      </c>
    </row>
    <row r="15509" customFormat="false" ht="17.15" hidden="false" customHeight="false" outlineLevel="0" collapsed="false">
      <c r="A15509" s="0" t="s">
        <v>1083</v>
      </c>
      <c r="B15509" s="0" t="s">
        <v>98</v>
      </c>
      <c r="F15509" s="6" t="n">
        <f aca="false">Sens!F15503-tax_f*(Sens!F15503-Sens!F15370)-Sens!F15367</f>
        <v>-117.492972553783</v>
      </c>
      <c r="G15509" s="6" t="n">
        <f aca="false">Sens!G15503-tax_f*(Sens!G15503-Sens!G15370)-Sens!G15367</f>
        <v>-100.507498271105</v>
      </c>
      <c r="H15509" s="6" t="n">
        <f aca="false">Sens!H15503-tax_f*(Sens!H15503-Sens!H15370)-Sens!H15367</f>
        <v>-58.2254156812621</v>
      </c>
      <c r="I15509" s="6" t="n">
        <f aca="false">Sens!I15503-tax_f*(Sens!I15503-Sens!I15370)-Sens!I15367</f>
        <v>4.14141173464586</v>
      </c>
      <c r="J15509" s="6" t="n">
        <f aca="false">Sens!J15503-tax_f*(Sens!J15503-Sens!J15370)-Sens!J15367</f>
        <v>67.7960840957439</v>
      </c>
      <c r="K15509" s="6" t="n">
        <f aca="false">Sens!K15503-tax_f*(Sens!K15503-Sens!K15370)-Sens!K15367</f>
        <v>90.8148873630444</v>
      </c>
    </row>
    <row r="15510" customFormat="false" ht="17.15" hidden="false" customHeight="false" outlineLevel="0" collapsed="false">
      <c r="A15510" s="0" t="s">
        <v>1084</v>
      </c>
      <c r="B15510" s="0" t="s">
        <v>98</v>
      </c>
      <c r="G15510" s="6" t="n">
        <f aca="false">Sens!G15509/(1+wacc)^(Sens!G15482-(Sens!F15482+mid_yr))</f>
        <v>-95.7025738516884</v>
      </c>
      <c r="H15510" s="6" t="n">
        <f aca="false">Sens!H15509/(1+wacc)^(Sens!H15482-(Sens!F15482+mid_yr))</f>
        <v>-50.2675897834568</v>
      </c>
      <c r="I15510" s="6" t="n">
        <f aca="false">Sens!I15509/(1+wacc)^(Sens!I15482-(Sens!F15482+mid_yr))</f>
        <v>3.241710173961</v>
      </c>
      <c r="J15510" s="6" t="n">
        <f aca="false">Sens!J15509/(1+wacc)^(Sens!J15482-(Sens!F15482+mid_yr))</f>
        <v>48.1150225569729</v>
      </c>
      <c r="K15510" s="6" t="n">
        <f aca="false">Sens!K15509/(1+wacc)^(Sens!K15482-(Sens!F15482+mid_yr))</f>
        <v>58.4363985421684</v>
      </c>
      <c r="L15510" s="1" t="s">
        <v>1085</v>
      </c>
    </row>
    <row r="15511" customFormat="false" ht="17.15" hidden="false" customHeight="false" outlineLevel="0" collapsed="false">
      <c r="A15511" s="0" t="s">
        <v>1086</v>
      </c>
      <c r="B15511" s="0" t="s">
        <v>98</v>
      </c>
      <c r="C15511" s="6" t="n">
        <f aca="false">(Sens!K15503-Sens!K15370)*(1-tax_f)*(1+g_tv)*(1-g_tv/(wacc+ronic_prem))/(wacc-g_tv)/(1+wacc)^(Sens!K15482+mid_yr-(Sens!F15482+mid_yr))</f>
        <v>448.116665852667</v>
      </c>
    </row>
    <row r="15512" customFormat="false" ht="17.15" hidden="false" customHeight="false" outlineLevel="0" collapsed="false">
      <c r="A15512" s="1" t="s">
        <v>1087</v>
      </c>
      <c r="B15512" s="0" t="s">
        <v>98</v>
      </c>
      <c r="C15512" s="6" t="n">
        <f aca="false">(SUM(Sens!G15510:K15510)+Sens!$C$15511)*(1+wacc)^(t_roll-(Sens!F15482+mid_yr))</f>
        <v>425.310341738423</v>
      </c>
      <c r="L15512" s="11" t="s">
        <v>1088</v>
      </c>
    </row>
    <row r="15513" customFormat="false" ht="17.15" hidden="false" customHeight="false" outlineLevel="0" collapsed="false">
      <c r="A15513" s="1" t="s">
        <v>1089</v>
      </c>
      <c r="B15513" s="0" t="s">
        <v>98</v>
      </c>
      <c r="C15513" s="6" t="n">
        <f aca="false">(w_ntm28*Sens!G15359+(1-w_ntm28)*Sens!H15359)*m_ai</f>
        <v>551.711134531404</v>
      </c>
    </row>
    <row r="15514" customFormat="false" ht="17.15" hidden="false" customHeight="false" outlineLevel="0" collapsed="false">
      <c r="A15514" s="1" t="s">
        <v>1090</v>
      </c>
      <c r="B15514" s="0" t="s">
        <v>98</v>
      </c>
      <c r="C15514" s="6" t="n">
        <f aca="false">(w_ntm28*Sens!G15505+(1-w_ntm28)*Sens!H15505)*m_cloud</f>
        <v>1075.89468255979</v>
      </c>
    </row>
    <row r="15515" customFormat="false" ht="17.15" hidden="false" customHeight="false" outlineLevel="0" collapsed="false">
      <c r="A15515" s="1" t="s">
        <v>1091</v>
      </c>
      <c r="B15515" s="0" t="s">
        <v>98</v>
      </c>
      <c r="C15515" s="6" t="n">
        <f aca="false">(w_ntm28*Sens!G15498+(1-w_ntm28)*Sens!H15498)*m_sw</f>
        <v>1124.90844188024</v>
      </c>
    </row>
    <row r="15516" customFormat="false" ht="17.15" hidden="false" customHeight="false" outlineLevel="0" collapsed="false">
      <c r="A15516" s="1" t="s">
        <v>1092</v>
      </c>
      <c r="B15516" s="0" t="s">
        <v>98</v>
      </c>
      <c r="C15516" s="6" t="n">
        <f aca="false">(w_ntm28*Sens!G15499+(1-w_ntm28)*Sens!H15499)*m_sw</f>
        <v>379.14616828134</v>
      </c>
    </row>
    <row r="15517" customFormat="false" ht="17.15" hidden="false" customHeight="false" outlineLevel="0" collapsed="false">
      <c r="A15517" s="1" t="s">
        <v>1093</v>
      </c>
      <c r="B15517" s="0" t="s">
        <v>98</v>
      </c>
      <c r="C15517" s="6" t="n">
        <f aca="false">(w_ntm28*Sens!G15500+(1-w_ntm28)*Sens!H15500)*m_sw</f>
        <v>109.062013245671</v>
      </c>
    </row>
    <row r="15518" customFormat="false" ht="17.15" hidden="false" customHeight="false" outlineLevel="0" collapsed="false">
      <c r="A15518" s="1" t="s">
        <v>1094</v>
      </c>
      <c r="B15518" s="0" t="s">
        <v>98</v>
      </c>
      <c r="C15518" s="6" t="n">
        <f aca="false">(w_ntm28*Sens!G15501+(1-w_ntm28)*Sens!H15501)*m_sw</f>
        <v>41.609111172448</v>
      </c>
    </row>
    <row r="15519" customFormat="false" ht="17.15" hidden="false" customHeight="false" outlineLevel="0" collapsed="false">
      <c r="A15519" s="1" t="s">
        <v>1095</v>
      </c>
      <c r="B15519" s="0" t="s">
        <v>98</v>
      </c>
      <c r="C15519" s="6" t="n">
        <f aca="false">(w_ntm28*Sens!G15502+(1-w_ntm28)*Sens!H15502)*m_ads</f>
        <v>114.966369190532</v>
      </c>
    </row>
    <row r="15520" customFormat="false" ht="17.15" hidden="false" customHeight="false" outlineLevel="0" collapsed="false">
      <c r="A15520" s="1" t="s">
        <v>1096</v>
      </c>
      <c r="B15520" s="0" t="s">
        <v>98</v>
      </c>
      <c r="C15520" s="6" t="n">
        <f aca="false">(w_ntm28*Sens!G15507+(1-w_ntm28)*Sens!H15507)*m_game</f>
        <v>97.6152211068291</v>
      </c>
    </row>
    <row r="15521" customFormat="false" ht="17.15" hidden="false" customHeight="false" outlineLevel="0" collapsed="false">
      <c r="A15521" s="1" t="s">
        <v>1097</v>
      </c>
      <c r="B15521" s="0" t="s">
        <v>98</v>
      </c>
      <c r="C15521" s="6" t="n">
        <f aca="false">(w_ntm28*Sens!G15508+(1-w_ntm28)*Sens!H15508)*m_pc</f>
        <v>96.7776202313644</v>
      </c>
    </row>
    <row r="15522" customFormat="false" ht="17.15" hidden="false" customHeight="false" outlineLevel="0" collapsed="false">
      <c r="A15522" s="1" t="s">
        <v>1098</v>
      </c>
      <c r="B15522" s="0" t="s">
        <v>98</v>
      </c>
      <c r="C15522" s="6" t="n">
        <f aca="false">Sens!$C$15512+Sens!$C$15514+Sens!$C$15515+Sens!$C$15516+Sens!$C$15517+Sens!$C$15518+Sens!$C$15519+Sens!$C$15520+Sens!$C$15521</f>
        <v>3465.28996940664</v>
      </c>
    </row>
    <row r="15523" customFormat="false" ht="17.15" hidden="false" customHeight="false" outlineLevel="0" collapsed="false">
      <c r="A15523" s="1" t="s">
        <v>1099</v>
      </c>
      <c r="B15523" s="0" t="s">
        <v>98</v>
      </c>
      <c r="C15523" s="6" t="n">
        <f aca="false">(Sens!G15484-Sens!G15509)*t_stub</f>
        <v>47.9115399671301</v>
      </c>
      <c r="L15523" s="1" t="s">
        <v>1100</v>
      </c>
    </row>
    <row r="15524" customFormat="false" ht="17.15" hidden="false" customHeight="false" outlineLevel="0" collapsed="false">
      <c r="A15524" s="1" t="s">
        <v>1014</v>
      </c>
      <c r="B15524" s="0" t="s">
        <v>98</v>
      </c>
      <c r="C15524" s="6" t="n">
        <f aca="false">Sens!F15473+oai_v-Sens!F15462+Sens!$C$15523</f>
        <v>168.95580996713</v>
      </c>
      <c r="L15524" s="1" t="s">
        <v>1101</v>
      </c>
    </row>
    <row r="15525" customFormat="false" ht="17.15" hidden="false" customHeight="false" outlineLevel="0" collapsed="false">
      <c r="A15525" s="1" t="s">
        <v>1102</v>
      </c>
      <c r="B15525" s="0" t="s">
        <v>75</v>
      </c>
      <c r="C15525" s="5" t="n">
        <f aca="false">(Sens!$C$15522+Sens!$C$15524)/(Sens!F15475+dil_gap)-Sens!G15465*roll_div_q/q_per_yr</f>
        <v>484.023378636511</v>
      </c>
      <c r="L15525" s="1" t="s">
        <v>1103</v>
      </c>
    </row>
    <row r="15526" customFormat="false" ht="17.15" hidden="false" customHeight="false" outlineLevel="0" collapsed="false">
      <c r="A15526" s="1" t="s">
        <v>1104</v>
      </c>
      <c r="B15526" s="0" t="s">
        <v>75</v>
      </c>
      <c r="C15526" s="5" t="n">
        <f aca="false">w_dcf*Sens!$C$15496+(1-w_dcf)*Sens!$C$15525</f>
        <v>426.53430080749</v>
      </c>
    </row>
    <row r="15527" customFormat="false" ht="17.15" hidden="false" customHeight="false" outlineLevel="0" collapsed="false">
      <c r="A15527" s="3" t="s">
        <v>1656</v>
      </c>
    </row>
    <row r="15528" customFormat="false" ht="15" hidden="false" customHeight="false" outlineLevel="0" collapsed="false">
      <c r="A15528" s="4" t="s">
        <v>43</v>
      </c>
      <c r="B15528" s="4" t="s">
        <v>65</v>
      </c>
      <c r="C15528" s="20" t="s">
        <v>799</v>
      </c>
      <c r="D15528" s="20" t="s">
        <v>800</v>
      </c>
      <c r="E15528" s="20" t="s">
        <v>801</v>
      </c>
      <c r="F15528" s="20" t="s">
        <v>802</v>
      </c>
      <c r="G15528" s="20" t="s">
        <v>803</v>
      </c>
      <c r="H15528" s="20" t="s">
        <v>804</v>
      </c>
      <c r="I15528" s="20" t="s">
        <v>805</v>
      </c>
      <c r="J15528" s="20" t="s">
        <v>806</v>
      </c>
      <c r="K15528" s="20" t="s">
        <v>807</v>
      </c>
      <c r="L15528" s="4" t="s">
        <v>47</v>
      </c>
    </row>
    <row r="15529" customFormat="false" ht="17.15" hidden="false" customHeight="false" outlineLevel="0" collapsed="false">
      <c r="A15529" s="1" t="s">
        <v>808</v>
      </c>
      <c r="B15529" s="1" t="s">
        <v>235</v>
      </c>
      <c r="C15529" s="28" t="n">
        <v>2024</v>
      </c>
      <c r="D15529" s="28" t="n">
        <v>2025</v>
      </c>
      <c r="E15529" s="28" t="n">
        <v>2026</v>
      </c>
      <c r="F15529" s="28" t="n">
        <v>2027</v>
      </c>
      <c r="G15529" s="28" t="n">
        <v>2028</v>
      </c>
      <c r="H15529" s="28" t="n">
        <v>2029</v>
      </c>
      <c r="I15529" s="28" t="n">
        <v>2030</v>
      </c>
      <c r="J15529" s="28" t="n">
        <v>2031</v>
      </c>
      <c r="K15529" s="28" t="n">
        <v>2032</v>
      </c>
    </row>
    <row r="15530" customFormat="false" ht="17.15" hidden="false" customHeight="false" outlineLevel="0" collapsed="false">
      <c r="A15530" s="1" t="s">
        <v>809</v>
      </c>
      <c r="B15530" s="0" t="s">
        <v>399</v>
      </c>
      <c r="F15530" s="29" t="n">
        <f aca="false">pace</f>
        <v>2527.2</v>
      </c>
      <c r="G15530" s="29" t="n">
        <f aca="false">pace</f>
        <v>2527.2</v>
      </c>
      <c r="H15530" s="29" t="n">
        <f aca="false">pace</f>
        <v>2527.2</v>
      </c>
      <c r="I15530" s="29" t="n">
        <f aca="false">pace+(g_tv*Sens!H15531-pace)*MIN(1,(Sens!I15529-pace_y0)/(pace_y1-pace_y0))</f>
        <v>1793.116</v>
      </c>
      <c r="J15530" s="29" t="n">
        <f aca="false">pace+(g_tv*Sens!I15531-pace)*MIN(1,(Sens!J15529-pace_y0)/(pace_y1-pace_y0))</f>
        <v>1094.89432</v>
      </c>
      <c r="K15530" s="29" t="n">
        <f aca="false">pace+(g_tv*Sens!J15531-pace)*MIN(1,(Sens!K15529-pace_y0)/(pace_y1-pace_y0))</f>
        <v>411.5883096</v>
      </c>
      <c r="L15530" s="11" t="s">
        <v>810</v>
      </c>
    </row>
    <row r="15531" customFormat="false" ht="17.15" hidden="false" customHeight="false" outlineLevel="0" collapsed="false">
      <c r="A15531" s="1" t="s">
        <v>811</v>
      </c>
      <c r="B15531" s="0" t="s">
        <v>399</v>
      </c>
      <c r="C15531" s="29" t="n">
        <f aca="false">mw_ext_24</f>
        <v>640</v>
      </c>
      <c r="D15531" s="29" t="n">
        <f aca="false">mw_ext_25</f>
        <v>1630</v>
      </c>
      <c r="E15531" s="29" t="n">
        <f aca="false">mw_ext_26</f>
        <v>3250</v>
      </c>
      <c r="F15531" s="29" t="n">
        <f aca="false">Sens!E15531+Sens!F15530</f>
        <v>5777.2</v>
      </c>
      <c r="G15531" s="29" t="n">
        <f aca="false">Sens!F15531+Sens!G15530</f>
        <v>8304.4</v>
      </c>
      <c r="H15531" s="29" t="n">
        <f aca="false">Sens!G15531+Sens!H15530</f>
        <v>10831.6</v>
      </c>
      <c r="I15531" s="29" t="n">
        <f aca="false">Sens!H15531+Sens!I15530</f>
        <v>12624.716</v>
      </c>
      <c r="J15531" s="29" t="n">
        <f aca="false">Sens!I15531+Sens!J15530</f>
        <v>13719.61032</v>
      </c>
      <c r="K15531" s="29" t="n">
        <f aca="false">Sens!J15531+Sens!K15530</f>
        <v>14131.1986296</v>
      </c>
      <c r="L15531" s="1" t="s">
        <v>812</v>
      </c>
    </row>
    <row r="15532" customFormat="false" ht="17.15" hidden="false" customHeight="false" outlineLevel="0" collapsed="false">
      <c r="A15532" s="1" t="s">
        <v>813</v>
      </c>
      <c r="B15532" s="0" t="s">
        <v>399</v>
      </c>
      <c r="C15532" s="29" t="n">
        <f aca="false">rent_ext_24</f>
        <v>150</v>
      </c>
      <c r="D15532" s="29" t="n">
        <f aca="false">rent_ext_25</f>
        <v>400</v>
      </c>
      <c r="E15532" s="29" t="n">
        <f aca="false">rent_ext_26</f>
        <v>550</v>
      </c>
      <c r="F15532" s="29" t="n">
        <f aca="false">rent_ext_f</f>
        <v>756</v>
      </c>
      <c r="G15532" s="29" t="n">
        <f aca="false">rent_ext_f</f>
        <v>756</v>
      </c>
      <c r="H15532" s="29" t="n">
        <f aca="false">rent_ext_f</f>
        <v>756</v>
      </c>
      <c r="I15532" s="29" t="n">
        <f aca="false">rent_ext_f</f>
        <v>756</v>
      </c>
      <c r="J15532" s="29" t="n">
        <f aca="false">rent_ext_f</f>
        <v>756</v>
      </c>
      <c r="K15532" s="29" t="n">
        <f aca="false">rent_ext_f</f>
        <v>756</v>
      </c>
      <c r="L15532" s="1" t="s">
        <v>814</v>
      </c>
    </row>
    <row r="15533" customFormat="false" ht="17.15" hidden="false" customHeight="false" outlineLevel="0" collapsed="false">
      <c r="A15533" s="1" t="s">
        <v>815</v>
      </c>
      <c r="B15533" s="0" t="s">
        <v>399</v>
      </c>
      <c r="C15533" s="29" t="n">
        <f aca="false">Sens!C15531-Sens!C15532</f>
        <v>490</v>
      </c>
      <c r="D15533" s="29" t="n">
        <f aca="false">Sens!D15531-Sens!D15532</f>
        <v>1230</v>
      </c>
      <c r="E15533" s="29" t="n">
        <f aca="false">Sens!E15531-Sens!E15532</f>
        <v>2700</v>
      </c>
      <c r="F15533" s="29" t="n">
        <f aca="false">Sens!F15531-Sens!F15532</f>
        <v>5021.2</v>
      </c>
      <c r="G15533" s="29" t="n">
        <f aca="false">Sens!G15531-Sens!G15532</f>
        <v>7548.4</v>
      </c>
      <c r="H15533" s="29" t="n">
        <f aca="false">Sens!H15531-Sens!H15532</f>
        <v>10075.6</v>
      </c>
      <c r="I15533" s="29" t="n">
        <f aca="false">Sens!I15531-Sens!I15532</f>
        <v>11868.716</v>
      </c>
      <c r="J15533" s="29" t="n">
        <f aca="false">Sens!J15531-Sens!J15532</f>
        <v>12963.61032</v>
      </c>
      <c r="K15533" s="29" t="n">
        <f aca="false">Sens!K15531-Sens!K15532</f>
        <v>13375.1986296</v>
      </c>
    </row>
    <row r="15534" customFormat="false" ht="17.15" hidden="false" customHeight="false" outlineLevel="0" collapsed="false">
      <c r="A15534" s="1" t="s">
        <v>816</v>
      </c>
      <c r="B15534" s="0" t="s">
        <v>399</v>
      </c>
      <c r="C15534" s="29" t="n">
        <f aca="false">Sens!C15533/ext_sh</f>
        <v>816.666666666667</v>
      </c>
      <c r="D15534" s="29" t="n">
        <f aca="false">Sens!D15533/ext_sh</f>
        <v>2050</v>
      </c>
      <c r="E15534" s="29" t="n">
        <f aca="false">Sens!E15533/ext_sh</f>
        <v>4500</v>
      </c>
      <c r="F15534" s="29" t="n">
        <f aca="false">Sens!F15533/ext_sh</f>
        <v>8368.66666666667</v>
      </c>
      <c r="G15534" s="29" t="n">
        <f aca="false">Sens!G15533/ext_sh</f>
        <v>12580.6666666667</v>
      </c>
      <c r="H15534" s="29" t="n">
        <f aca="false">Sens!H15533/ext_sh</f>
        <v>16792.6666666667</v>
      </c>
      <c r="I15534" s="29" t="n">
        <f aca="false">Sens!I15533/ext_sh</f>
        <v>19781.1933333333</v>
      </c>
      <c r="J15534" s="29" t="n">
        <f aca="false">Sens!J15533/ext_sh</f>
        <v>21606.0172</v>
      </c>
      <c r="K15534" s="29" t="n">
        <f aca="false">Sens!K15533/ext_sh</f>
        <v>22291.997716</v>
      </c>
      <c r="L15534" s="1" t="s">
        <v>817</v>
      </c>
    </row>
    <row r="15535" customFormat="false" ht="17.15" hidden="false" customHeight="false" outlineLevel="0" collapsed="false">
      <c r="A15535" s="1" t="s">
        <v>818</v>
      </c>
      <c r="B15535" s="0" t="s">
        <v>399</v>
      </c>
      <c r="C15535" s="29" t="n">
        <f aca="false">Sens!C15534-Sens!C15533</f>
        <v>326.666666666667</v>
      </c>
      <c r="D15535" s="29" t="n">
        <f aca="false">Sens!D15534-Sens!D15533</f>
        <v>820</v>
      </c>
      <c r="E15535" s="29" t="n">
        <f aca="false">Sens!E15534-Sens!E15533</f>
        <v>1800</v>
      </c>
      <c r="F15535" s="29" t="n">
        <f aca="false">Sens!F15534-Sens!F15533</f>
        <v>3347.46666666667</v>
      </c>
      <c r="G15535" s="29" t="n">
        <f aca="false">Sens!G15534-Sens!G15533</f>
        <v>5032.26666666667</v>
      </c>
      <c r="H15535" s="29" t="n">
        <f aca="false">Sens!H15534-Sens!H15533</f>
        <v>6717.06666666667</v>
      </c>
      <c r="I15535" s="29" t="n">
        <f aca="false">Sens!I15534-Sens!I15533</f>
        <v>7912.47733333333</v>
      </c>
      <c r="J15535" s="29" t="n">
        <f aca="false">Sens!J15534-Sens!J15533</f>
        <v>8642.40688</v>
      </c>
      <c r="K15535" s="29" t="n">
        <f aca="false">Sens!K15534-Sens!K15533</f>
        <v>8916.7990864</v>
      </c>
    </row>
    <row r="15536" customFormat="false" ht="17.15" hidden="false" customHeight="false" outlineLevel="0" collapsed="false">
      <c r="A15536" s="1" t="s">
        <v>819</v>
      </c>
      <c r="B15536" s="0" t="s">
        <v>399</v>
      </c>
      <c r="C15536" s="29" t="n">
        <f aca="false">Sens!C15534</f>
        <v>816.666666666667</v>
      </c>
      <c r="D15536" s="29" t="n">
        <f aca="false">Sens!D15534-Sens!C15534</f>
        <v>1233.33333333333</v>
      </c>
      <c r="E15536" s="29" t="n">
        <f aca="false">Sens!E15534-Sens!D15534</f>
        <v>2450</v>
      </c>
      <c r="F15536" s="29" t="n">
        <f aca="false">Sens!F15534-Sens!E15534</f>
        <v>3868.66666666667</v>
      </c>
      <c r="G15536" s="29" t="n">
        <f aca="false">Sens!G15534-Sens!F15534</f>
        <v>4212</v>
      </c>
      <c r="H15536" s="29" t="n">
        <f aca="false">Sens!H15534-Sens!G15534</f>
        <v>4212</v>
      </c>
      <c r="I15536" s="29" t="n">
        <f aca="false">Sens!I15534-Sens!H15534</f>
        <v>2988.52666666667</v>
      </c>
      <c r="J15536" s="29" t="n">
        <f aca="false">Sens!J15534-Sens!I15534</f>
        <v>1824.82386666667</v>
      </c>
      <c r="K15536" s="29" t="n">
        <f aca="false">Sens!K15534-Sens!J15534</f>
        <v>685.980516</v>
      </c>
    </row>
    <row r="15537" customFormat="false" ht="17.15" hidden="false" customHeight="false" outlineLevel="0" collapsed="false">
      <c r="A15537" s="1" t="s">
        <v>820</v>
      </c>
      <c r="B15537" s="0" t="s">
        <v>399</v>
      </c>
      <c r="D15537" s="29" t="n">
        <f aca="false">Sens!D15531-Sens!C15531</f>
        <v>990</v>
      </c>
      <c r="E15537" s="29" t="n">
        <f aca="false">Sens!E15531-Sens!D15531</f>
        <v>1620</v>
      </c>
      <c r="F15537" s="29" t="n">
        <f aca="false">Sens!F15531-Sens!E15531</f>
        <v>2527.2</v>
      </c>
      <c r="G15537" s="29" t="n">
        <f aca="false">Sens!G15531-Sens!F15531</f>
        <v>2527.2</v>
      </c>
      <c r="H15537" s="29" t="n">
        <f aca="false">Sens!H15531-Sens!G15531</f>
        <v>2527.2</v>
      </c>
      <c r="I15537" s="29" t="n">
        <f aca="false">Sens!I15531-Sens!H15531</f>
        <v>1793.116</v>
      </c>
      <c r="J15537" s="29" t="n">
        <f aca="false">Sens!J15531-Sens!I15531</f>
        <v>1094.89432</v>
      </c>
      <c r="K15537" s="29" t="n">
        <f aca="false">Sens!K15531-Sens!J15531</f>
        <v>411.5883096</v>
      </c>
    </row>
    <row r="15538" customFormat="false" ht="17.15" hidden="false" customHeight="false" outlineLevel="0" collapsed="false">
      <c r="A15538" s="1" t="s">
        <v>821</v>
      </c>
      <c r="B15538" s="0" t="s">
        <v>399</v>
      </c>
      <c r="F15538" s="29" t="n">
        <f aca="false">Sens!F15555*ext_sh</f>
        <v>0</v>
      </c>
      <c r="G15538" s="29" t="n">
        <f aca="false">Sens!G15555*ext_sh</f>
        <v>0</v>
      </c>
      <c r="H15538" s="29" t="n">
        <f aca="false">Sens!H15555*ext_sh</f>
        <v>0</v>
      </c>
      <c r="I15538" s="29" t="n">
        <f aca="false">Sens!I15555*ext_sh</f>
        <v>490</v>
      </c>
      <c r="J15538" s="29" t="n">
        <f aca="false">Sens!J15555*ext_sh</f>
        <v>740</v>
      </c>
      <c r="K15538" s="29" t="n">
        <f aca="false">Sens!K15555*ext_sh</f>
        <v>1470</v>
      </c>
      <c r="L15538" s="1" t="s">
        <v>822</v>
      </c>
    </row>
    <row r="15539" customFormat="false" ht="17.15" hidden="false" customHeight="false" outlineLevel="0" collapsed="false">
      <c r="A15539" s="1" t="s">
        <v>823</v>
      </c>
      <c r="B15539" s="0" t="s">
        <v>399</v>
      </c>
      <c r="C15539" s="29" t="n">
        <f aca="false">mix_h*Sens!C15531</f>
        <v>128</v>
      </c>
      <c r="D15539" s="29" t="n">
        <f aca="false">mix_h*Sens!D15531</f>
        <v>326</v>
      </c>
      <c r="E15539" s="29" t="n">
        <f aca="false">mix_h*Sens!E15531</f>
        <v>650</v>
      </c>
      <c r="F15539" s="29" t="n">
        <f aca="false">Sens!E15539-Sens!F15538*mix_h</f>
        <v>650</v>
      </c>
      <c r="G15539" s="29" t="n">
        <f aca="false">Sens!F15539-Sens!G15538*mix_h</f>
        <v>650</v>
      </c>
      <c r="H15539" s="29" t="n">
        <f aca="false">Sens!G15539-Sens!H15538*mix_h</f>
        <v>650</v>
      </c>
      <c r="I15539" s="29" t="n">
        <f aca="false">Sens!H15539-Sens!I15538*mix_h</f>
        <v>552</v>
      </c>
      <c r="J15539" s="29" t="n">
        <f aca="false">Sens!I15539-Sens!J15538*mix_h</f>
        <v>404</v>
      </c>
      <c r="K15539" s="29" t="n">
        <f aca="false">Sens!J15539-Sens!K15538*mix_h</f>
        <v>110</v>
      </c>
    </row>
    <row r="15540" customFormat="false" ht="17.15" hidden="false" customHeight="false" outlineLevel="0" collapsed="false">
      <c r="A15540" s="1" t="s">
        <v>824</v>
      </c>
      <c r="B15540" s="0" t="s">
        <v>399</v>
      </c>
      <c r="C15540" s="29" t="n">
        <f aca="false">mix_g2*Sens!C15531</f>
        <v>288</v>
      </c>
      <c r="D15540" s="29" t="n">
        <f aca="false">mix_g2*Sens!D15531</f>
        <v>733.5</v>
      </c>
      <c r="E15540" s="29" t="n">
        <f aca="false">mix_g2*Sens!E15531</f>
        <v>1462.5</v>
      </c>
      <c r="F15540" s="29" t="n">
        <f aca="false">Sens!E15540-Sens!F15538*mix_g2</f>
        <v>1462.5</v>
      </c>
      <c r="G15540" s="29" t="n">
        <f aca="false">Sens!F15540-Sens!G15538*mix_g2</f>
        <v>1462.5</v>
      </c>
      <c r="H15540" s="29" t="n">
        <f aca="false">Sens!G15540-Sens!H15538*mix_g2</f>
        <v>1462.5</v>
      </c>
      <c r="I15540" s="29" t="n">
        <f aca="false">Sens!H15540-Sens!I15538*mix_g2</f>
        <v>1242</v>
      </c>
      <c r="J15540" s="29" t="n">
        <f aca="false">Sens!I15540-Sens!J15538*mix_g2</f>
        <v>909</v>
      </c>
      <c r="K15540" s="29" t="n">
        <f aca="false">Sens!J15540-Sens!K15538*mix_g2</f>
        <v>247.5</v>
      </c>
    </row>
    <row r="15541" customFormat="false" ht="17.15" hidden="false" customHeight="false" outlineLevel="0" collapsed="false">
      <c r="A15541" s="1" t="s">
        <v>825</v>
      </c>
      <c r="B15541" s="0" t="s">
        <v>399</v>
      </c>
      <c r="C15541" s="29" t="n">
        <f aca="false">mix_g3*Sens!C15531</f>
        <v>224</v>
      </c>
      <c r="D15541" s="29" t="n">
        <f aca="false">mix_g3*Sens!D15531</f>
        <v>570.5</v>
      </c>
      <c r="E15541" s="29" t="n">
        <f aca="false">mix_g3*Sens!E15531</f>
        <v>1137.5</v>
      </c>
      <c r="F15541" s="29" t="n">
        <f aca="false">Sens!E15541+(Sens!F15537+Sens!F15538)*a_g3_27-Sens!F15538*mix_g3</f>
        <v>2906.54</v>
      </c>
      <c r="G15541" s="29" t="n">
        <f aca="false">Sens!F15541+(Sens!G15537+Sens!G15538)*a_g3_28-Sens!G15538*mix_g3</f>
        <v>3664.7</v>
      </c>
      <c r="H15541" s="29" t="n">
        <f aca="false">Sens!G15541+(Sens!H15537+Sens!H15538)*a_g3_29-Sens!H15538*mix_g3</f>
        <v>3917.42</v>
      </c>
      <c r="I15541" s="29" t="n">
        <f aca="false">Sens!H15541+(Sens!I15537+Sens!I15538)*a_g3_29-Sens!I15538*mix_g3</f>
        <v>3974.2316</v>
      </c>
      <c r="J15541" s="29" t="n">
        <f aca="false">Sens!I15541+(Sens!J15537+Sens!J15538)*a_g3_29-Sens!J15538*mix_g3</f>
        <v>3898.721032</v>
      </c>
      <c r="K15541" s="29" t="n">
        <f aca="false">Sens!J15541+(Sens!K15537+Sens!K15538)*a_g3_29-Sens!K15538*mix_g3</f>
        <v>3572.37986296</v>
      </c>
    </row>
    <row r="15542" customFormat="false" ht="17.15" hidden="false" customHeight="false" outlineLevel="0" collapsed="false">
      <c r="A15542" s="1" t="s">
        <v>826</v>
      </c>
      <c r="B15542" s="0" t="s">
        <v>399</v>
      </c>
      <c r="C15542" s="29" t="n">
        <v>0</v>
      </c>
      <c r="D15542" s="29" t="n">
        <v>0</v>
      </c>
      <c r="E15542" s="29" t="n">
        <v>0</v>
      </c>
      <c r="F15542" s="29" t="n">
        <f aca="false">Sens!E15542+(Sens!F15537+Sens!F15538)*(1-a_g3_27)</f>
        <v>758.16</v>
      </c>
      <c r="G15542" s="29" t="n">
        <f aca="false">Sens!F15542+(Sens!G15537+Sens!G15538)*(1-a_g3_28)</f>
        <v>2527.2</v>
      </c>
      <c r="H15542" s="29" t="n">
        <f aca="false">Sens!G15542+(Sens!H15537+Sens!H15538)*(1-a_g3_29)</f>
        <v>4801.68</v>
      </c>
      <c r="I15542" s="29" t="n">
        <f aca="false">Sens!H15542+(Sens!I15537+Sens!I15538)*(1-a_g3_29)</f>
        <v>6856.4844</v>
      </c>
      <c r="J15542" s="29" t="n">
        <f aca="false">Sens!I15542+(Sens!J15537+Sens!J15538)*(1-a_g3_29)</f>
        <v>8507.889288</v>
      </c>
      <c r="K15542" s="29" t="n">
        <f aca="false">Sens!J15542+(Sens!K15537+Sens!K15538)*(1-a_g3_29)</f>
        <v>10201.31876664</v>
      </c>
    </row>
    <row r="15543" customFormat="false" ht="17.15" hidden="false" customHeight="false" outlineLevel="0" collapsed="false">
      <c r="A15543" s="1" t="s">
        <v>827</v>
      </c>
      <c r="B15543" s="0" t="s">
        <v>346</v>
      </c>
      <c r="C15543" s="14" t="n">
        <f aca="false">(Sens!C15539*tk_hold_h100+Sens!C15540*tk_hold_gb200+Sens!C15541*tk_hold_gb300+Sens!C15542*tk_hold_vr200)/Sens!C15531</f>
        <v>9.7235358126469</v>
      </c>
      <c r="D15543" s="14" t="n">
        <f aca="false">(Sens!D15539*tk_hold_h100+Sens!D15540*tk_hold_gb200+Sens!D15541*tk_hold_gb300+Sens!D15542*tk_hold_vr200)/Sens!D15531</f>
        <v>9.7235358126469</v>
      </c>
      <c r="E15543" s="14" t="n">
        <f aca="false">(Sens!E15539*tk_hold_h100+Sens!E15540*tk_hold_gb200+Sens!E15541*tk_hold_gb300+Sens!E15542*tk_hold_vr200)/Sens!E15531</f>
        <v>9.7235358126469</v>
      </c>
      <c r="F15543" s="14" t="n">
        <f aca="false">(Sens!F15539*tk_hold_h100+Sens!F15540*tk_hold_gb200+Sens!F15541*tk_hold_gb300+Sens!F15542*tk_hold_vr200)/Sens!F15531</f>
        <v>10.4079573161931</v>
      </c>
      <c r="G15543" s="14" t="n">
        <f aca="false">(Sens!G15539*tk_hold_h100+Sens!G15540*tk_hold_gb200+Sens!G15541*tk_hold_gb300+Sens!G15542*tk_hold_vr200)/Sens!G15531</f>
        <v>10.8388131109316</v>
      </c>
      <c r="H15543" s="14" t="n">
        <f aca="false">(Sens!H15539*tk_hold_h100+Sens!H15540*tk_hold_gb200+Sens!H15541*tk_hold_gb300+Sens!H15542*tk_hold_vr200)/Sens!H15531</f>
        <v>11.1311018388216</v>
      </c>
      <c r="I15543" s="14" t="n">
        <f aca="false">(Sens!I15539*tk_hold_h100+Sens!I15540*tk_hold_gb200+Sens!I15541*tk_hold_gb300+Sens!I15542*tk_hold_vr200)/Sens!I15531</f>
        <v>11.3594282560989</v>
      </c>
      <c r="J15543" s="14" t="n">
        <f aca="false">(Sens!J15539*tk_hold_h100+Sens!J15540*tk_hold_gb200+Sens!J15541*tk_hold_gb300+Sens!J15542*tk_hold_vr200)/Sens!J15531</f>
        <v>11.5455817917599</v>
      </c>
      <c r="K15543" s="14" t="n">
        <f aca="false">(Sens!K15539*tk_hold_h100+Sens!K15540*tk_hold_gb200+Sens!K15541*tk_hold_gb300+Sens!K15542*tk_hold_vr200)/Sens!K15531</f>
        <v>11.8078187977246</v>
      </c>
    </row>
    <row r="15544" customFormat="false" ht="17.15" hidden="false" customHeight="false" outlineLevel="0" collapsed="false">
      <c r="A15544" s="0" t="s">
        <v>828</v>
      </c>
      <c r="B15544" s="0" t="s">
        <v>185</v>
      </c>
      <c r="C15544" s="14" t="n">
        <f aca="false">k_B</f>
        <v>1.17213932619116</v>
      </c>
      <c r="D15544" s="14" t="n">
        <f aca="false">k_B</f>
        <v>1.17213932619116</v>
      </c>
      <c r="E15544" s="14" t="n">
        <f aca="false">k_B</f>
        <v>1.17213932619116</v>
      </c>
      <c r="F15544" s="14" t="n">
        <f aca="false">(k_B+((ls_B*k_long+(1-ls_B)*k_spot)-k_B)*MIN(1,(Sens!F15529-base_fy)/k_ramp))</f>
        <v>1.17213932619116</v>
      </c>
      <c r="G15544" s="14" t="n">
        <f aca="false">(k_B+((ls_B*k_long+(1-ls_B)*k_spot)-k_B)*MIN(1,(Sens!G15529-base_fy)/k_ramp))</f>
        <v>1.17213932619116</v>
      </c>
      <c r="H15544" s="14" t="n">
        <f aca="false">(k_B+((ls_B*k_long+(1-ls_B)*k_spot)-k_B)*MIN(1,(Sens!H15529-base_fy)/k_ramp))</f>
        <v>1.17213932619116</v>
      </c>
      <c r="I15544" s="14" t="n">
        <f aca="false">(k_B+((ls_B*k_long+(1-ls_B)*k_spot)-k_B)*MIN(1,(Sens!I15529-base_fy)/k_ramp))</f>
        <v>1.17213932619116</v>
      </c>
      <c r="J15544" s="14" t="n">
        <f aca="false">(k_B+((ls_B*k_long+(1-ls_B)*k_spot)-k_B)*MIN(1,(Sens!J15529-base_fy)/k_ramp))</f>
        <v>1.17213932619116</v>
      </c>
      <c r="K15544" s="14" t="n">
        <f aca="false">(k_B+((ls_B*k_long+(1-ls_B)*k_spot)-k_B)*MIN(1,(Sens!K15529-base_fy)/k_ramp))</f>
        <v>1.17213932619116</v>
      </c>
      <c r="L15544" s="1" t="s">
        <v>829</v>
      </c>
    </row>
    <row r="15545" customFormat="false" ht="17.15" hidden="false" customHeight="false" outlineLevel="0" collapsed="false">
      <c r="A15545" s="1" t="s">
        <v>830</v>
      </c>
      <c r="B15545" s="0" t="s">
        <v>346</v>
      </c>
      <c r="C15545" s="14" t="n">
        <f aca="false">Sens!C15543*Sens!C15544*chip_f</f>
        <v>11.3973387156315</v>
      </c>
      <c r="D15545" s="14" t="n">
        <f aca="false">Sens!D15543*Sens!D15544*chip_f</f>
        <v>11.3973387156315</v>
      </c>
      <c r="E15545" s="14" t="n">
        <f aca="false">Sens!E15543*Sens!E15544*chip_f</f>
        <v>11.3973387156315</v>
      </c>
      <c r="F15545" s="14" t="n">
        <f aca="false">Sens!F15543*Sens!F15544*chip_f</f>
        <v>12.1995760756289</v>
      </c>
      <c r="G15545" s="14" t="n">
        <f aca="false">Sens!G15543*Sens!G15544*chip_f</f>
        <v>12.7045990965592</v>
      </c>
      <c r="H15545" s="14" t="n">
        <f aca="false">Sens!H15543*Sens!H15544*chip_f</f>
        <v>13.0472022091214</v>
      </c>
      <c r="I15545" s="14" t="n">
        <f aca="false">Sens!I15543*Sens!I15544*chip_f</f>
        <v>13.3148325820205</v>
      </c>
      <c r="J15545" s="14" t="n">
        <f aca="false">Sens!J15543*Sens!J15544*chip_f</f>
        <v>13.5330304618783</v>
      </c>
      <c r="K15545" s="14" t="n">
        <f aca="false">Sens!K15543*Sens!K15544*chip_f</f>
        <v>13.8404087693522</v>
      </c>
      <c r="L15545" s="1" t="s">
        <v>831</v>
      </c>
    </row>
    <row r="15546" customFormat="false" ht="17.15" hidden="false" customHeight="false" outlineLevel="0" collapsed="false">
      <c r="A15546" s="0" t="s">
        <v>832</v>
      </c>
      <c r="B15546" s="0" t="s">
        <v>98</v>
      </c>
      <c r="D15546" s="6" t="n">
        <f aca="false">(Sens!C15531+Sens!D15531)/2*Sens!D15545/1000</f>
        <v>12.9359794422418</v>
      </c>
      <c r="E15546" s="6" t="n">
        <f aca="false">(Sens!D15531+Sens!E15531)/2*Sens!E15545/1000</f>
        <v>27.8095064661409</v>
      </c>
      <c r="F15546" s="6" t="n">
        <f aca="false">(Sens!E15531+Sens!F15531)/2*Sens!F15545/1000</f>
        <v>55.0640065749585</v>
      </c>
      <c r="G15546" s="6" t="n">
        <f aca="false">(Sens!F15531+Sens!G15531)/2*Sens!G15545/1000</f>
        <v>89.4505413190538</v>
      </c>
      <c r="H15546" s="6" t="n">
        <f aca="false">(Sens!G15531+Sens!H15531)/2*Sens!H15545/1000</f>
        <v>124.835630736874</v>
      </c>
      <c r="I15546" s="6" t="n">
        <f aca="false">(Sens!H15531+Sens!I15531)/2*Sens!I15545/1000</f>
        <v>156.158460265485</v>
      </c>
      <c r="J15546" s="6" t="n">
        <f aca="false">(Sens!I15531+Sens!J15531)/2*Sens!J15545/1000</f>
        <v>178.259285293112</v>
      </c>
      <c r="K15546" s="6" t="n">
        <f aca="false">(Sens!J15531+Sens!K15531)/2*Sens!K15545/1000</f>
        <v>192.733290209798</v>
      </c>
      <c r="L15546" s="11" t="s">
        <v>833</v>
      </c>
    </row>
    <row r="15547" customFormat="false" ht="17.15" hidden="false" customHeight="false" outlineLevel="0" collapsed="false">
      <c r="A15547" s="1" t="s">
        <v>834</v>
      </c>
      <c r="B15547" s="0" t="s">
        <v>346</v>
      </c>
      <c r="C15547" s="14" t="n">
        <f aca="false">(Sens!C15539*tk_opex_h100+Sens!C15540*tk_opex_gb200+Sens!C15541*tk_opex_gb300+Sens!C15542*tk_opex_vr200)/Sens!C15531</f>
        <v>1.88636041306092</v>
      </c>
      <c r="D15547" s="14" t="n">
        <f aca="false">(Sens!D15539*tk_opex_h100+Sens!D15540*tk_opex_gb200+Sens!D15541*tk_opex_gb300+Sens!D15542*tk_opex_vr200)/Sens!D15531</f>
        <v>1.88636041306092</v>
      </c>
      <c r="E15547" s="14" t="n">
        <f aca="false">(Sens!E15539*tk_opex_h100+Sens!E15540*tk_opex_gb200+Sens!E15541*tk_opex_gb300+Sens!E15542*tk_opex_vr200)/Sens!E15531</f>
        <v>1.88636041306092</v>
      </c>
      <c r="F15547" s="14" t="n">
        <f aca="false">(Sens!F15539*tk_opex_h100+Sens!F15540*tk_opex_gb200+Sens!F15541*tk_opex_gb300+Sens!F15542*tk_opex_vr200)/Sens!F15531</f>
        <v>1.9430236476499</v>
      </c>
      <c r="G15547" s="14" t="n">
        <f aca="false">(Sens!G15539*tk_opex_h100+Sens!G15540*tk_opex_gb200+Sens!G15541*tk_opex_gb300+Sens!G15542*tk_opex_vr200)/Sens!G15531</f>
        <v>1.9786941852423</v>
      </c>
      <c r="H15547" s="14" t="n">
        <f aca="false">(Sens!H15539*tk_opex_h100+Sens!H15540*tk_opex_gb200+Sens!H15541*tk_opex_gb300+Sens!H15542*tk_opex_vr200)/Sens!H15531</f>
        <v>2.00289275976156</v>
      </c>
      <c r="I15547" s="14" t="n">
        <f aca="false">(Sens!I15539*tk_opex_h100+Sens!I15540*tk_opex_gb200+Sens!I15541*tk_opex_gb300+Sens!I15542*tk_opex_vr200)/Sens!I15531</f>
        <v>2.02179589661219</v>
      </c>
      <c r="J15547" s="14" t="n">
        <f aca="false">(Sens!J15539*tk_opex_h100+Sens!J15540*tk_opex_gb200+Sens!J15541*tk_opex_gb300+Sens!J15542*tk_opex_vr200)/Sens!J15531</f>
        <v>2.03720754193029</v>
      </c>
      <c r="K15547" s="14" t="n">
        <f aca="false">(Sens!K15539*tk_opex_h100+Sens!K15540*tk_opex_gb200+Sens!K15541*tk_opex_gb300+Sens!K15542*tk_opex_vr200)/Sens!K15531</f>
        <v>2.0589181353437</v>
      </c>
    </row>
    <row r="15548" customFormat="false" ht="17.15" hidden="false" customHeight="false" outlineLevel="0" collapsed="false">
      <c r="A15548" s="0" t="s">
        <v>835</v>
      </c>
      <c r="B15548" s="0" t="s">
        <v>98</v>
      </c>
      <c r="D15548" s="6" t="n">
        <f aca="false">(Sens!C15534+Sens!D15534)/2*Sens!D15547/1000</f>
        <v>2.70378325872065</v>
      </c>
      <c r="E15548" s="6" t="n">
        <f aca="false">(Sens!D15534+Sens!E15534)/2*Sens!E15547/1000</f>
        <v>6.17783035277451</v>
      </c>
      <c r="F15548" s="6" t="n">
        <f aca="false">(Sens!E15534+Sens!F15534)/2*Sens!F15547/1000</f>
        <v>12.5020618235287</v>
      </c>
      <c r="G15548" s="6" t="n">
        <f aca="false">(Sens!F15534+Sens!G15534)/2*Sens!G15547/1000</f>
        <v>20.7261620256847</v>
      </c>
      <c r="H15548" s="6" t="n">
        <f aca="false">(Sens!G15534+Sens!H15534)/2*Sens!H15547/1000</f>
        <v>29.4158183316982</v>
      </c>
      <c r="I15548" s="6" t="n">
        <f aca="false">(Sens!H15534+Sens!I15534)/2*Sens!I15547/1000</f>
        <v>36.9724400356344</v>
      </c>
      <c r="J15548" s="6" t="n">
        <f aca="false">(Sens!I15534+Sens!J15534)/2*Sens!J15547/1000</f>
        <v>42.1571687189816</v>
      </c>
      <c r="K15548" s="6" t="n">
        <f aca="false">(Sens!J15534+Sens!K15534)/2*Sens!K15547/1000</f>
        <v>45.1912095080704</v>
      </c>
    </row>
    <row r="15549" customFormat="false" ht="17.15" hidden="false" customHeight="false" outlineLevel="0" collapsed="false">
      <c r="A15549" s="0" t="s">
        <v>836</v>
      </c>
      <c r="B15549" s="0" t="s">
        <v>98</v>
      </c>
      <c r="D15549" s="6" t="n">
        <f aca="false">(Sens!C15532+Sens!D15532)/2*rent_mw/1000</f>
        <v>2.44475</v>
      </c>
      <c r="E15549" s="6" t="n">
        <f aca="false">(Sens!D15532+Sens!E15532)/2*rent_mw/1000</f>
        <v>4.22275</v>
      </c>
      <c r="F15549" s="6" t="n">
        <f aca="false">(Sens!E15532+Sens!F15532)/2*rent_mw/1000</f>
        <v>5.80517</v>
      </c>
      <c r="G15549" s="6" t="n">
        <f aca="false">(Sens!F15532+Sens!G15532)/2*rent_mw/1000</f>
        <v>6.72084</v>
      </c>
      <c r="H15549" s="6" t="n">
        <f aca="false">(Sens!G15532+Sens!H15532)/2*rent_mw/1000</f>
        <v>6.72084</v>
      </c>
      <c r="I15549" s="6" t="n">
        <f aca="false">(Sens!H15532+Sens!I15532)/2*rent_mw/1000</f>
        <v>6.72084</v>
      </c>
      <c r="J15549" s="6" t="n">
        <f aca="false">(Sens!I15532+Sens!J15532)/2*rent_mw/1000</f>
        <v>6.72084</v>
      </c>
      <c r="K15549" s="6" t="n">
        <f aca="false">(Sens!J15532+Sens!K15532)/2*rent_mw/1000</f>
        <v>6.72084</v>
      </c>
    </row>
    <row r="15550" customFormat="false" ht="17.15" hidden="false" customHeight="false" outlineLevel="0" collapsed="false">
      <c r="A15550" s="0" t="s">
        <v>837</v>
      </c>
      <c r="B15550" s="0" t="s">
        <v>98</v>
      </c>
      <c r="D15550" s="6" t="n">
        <f aca="false">(Sens!C15534+Sens!D15534)/2*(1-self_build)*fac_rent/1000</f>
        <v>0.853242375631075</v>
      </c>
      <c r="E15550" s="6" t="n">
        <f aca="false">(Sens!D15534+Sens!E15534)/2*(1-self_build)*fac_rent/1000</f>
        <v>1.94955961408728</v>
      </c>
      <c r="F15550" s="6" t="n">
        <f aca="false">(Sens!E15534+Sens!F15534)/2*(1-self_build)*fac_rent/1000</f>
        <v>3.83026455274573</v>
      </c>
      <c r="G15550" s="6" t="n">
        <f aca="false">(Sens!F15534+Sens!G15534)/2*(1-self_build)*fac_rent/1000</f>
        <v>6.23541590972812</v>
      </c>
      <c r="H15550" s="6" t="n">
        <f aca="false">(Sens!G15534+Sens!H15534)/2*(1-self_build)*fac_rent/1000</f>
        <v>8.74275792332679</v>
      </c>
      <c r="I15550" s="6" t="n">
        <f aca="false">(Sens!H15534+Sens!I15534)/2*(1-self_build)*fac_rent/1000</f>
        <v>10.8859420438599</v>
      </c>
      <c r="J15550" s="6" t="n">
        <f aca="false">(Sens!I15534+Sens!J15534)/2*(1-self_build)*fac_rent/1000</f>
        <v>12.3186006405366</v>
      </c>
      <c r="K15550" s="6" t="n">
        <f aca="false">(Sens!J15534+Sens!K15534)/2*(1-self_build)*fac_rent/1000</f>
        <v>13.0659232089824</v>
      </c>
      <c r="L15550" s="11" t="s">
        <v>838</v>
      </c>
    </row>
    <row r="15551" customFormat="false" ht="17.15" hidden="false" customHeight="false" outlineLevel="0" collapsed="false">
      <c r="A15551" s="1" t="s">
        <v>839</v>
      </c>
      <c r="B15551" s="0" t="s">
        <v>129</v>
      </c>
      <c r="D15551" s="7" t="n">
        <f aca="false">(Sens!C15533+Sens!D15533)/(Sens!C15534+Sens!D15534)</f>
        <v>0.6</v>
      </c>
      <c r="E15551" s="7" t="n">
        <f aca="false">(Sens!D15533+Sens!E15533)/(Sens!D15534+Sens!E15534)</f>
        <v>0.6</v>
      </c>
      <c r="F15551" s="7" t="n">
        <f aca="false">(Sens!E15533+Sens!F15533)/(Sens!E15534+Sens!F15534)</f>
        <v>0.6</v>
      </c>
      <c r="G15551" s="7" t="n">
        <f aca="false">(Sens!F15533+Sens!G15533)/(Sens!F15534+Sens!G15534)</f>
        <v>0.6</v>
      </c>
      <c r="H15551" s="7" t="n">
        <f aca="false">(Sens!G15533+Sens!H15533)/(Sens!G15534+Sens!H15534)</f>
        <v>0.6</v>
      </c>
      <c r="I15551" s="7" t="n">
        <f aca="false">(Sens!H15533+Sens!I15533)/(Sens!H15534+Sens!I15534)</f>
        <v>0.6</v>
      </c>
      <c r="J15551" s="7" t="n">
        <f aca="false">(Sens!I15533+Sens!J15533)/(Sens!I15534+Sens!J15534)</f>
        <v>0.6</v>
      </c>
      <c r="K15551" s="7" t="n">
        <f aca="false">(Sens!J15533+Sens!K15533)/(Sens!J15534+Sens!K15534)</f>
        <v>0.6</v>
      </c>
    </row>
    <row r="15552" customFormat="false" ht="17.15" hidden="false" customHeight="false" outlineLevel="0" collapsed="false">
      <c r="A15552" s="0" t="s">
        <v>840</v>
      </c>
      <c r="B15552" s="0" t="s">
        <v>98</v>
      </c>
      <c r="D15552" s="6" t="n">
        <f aca="false">Sens!D15546-Sens!D15551*(Sens!D15548+Sens!D15550)-Sens!D15549</f>
        <v>8.35701406163072</v>
      </c>
      <c r="E15552" s="6" t="n">
        <f aca="false">Sens!E15546-Sens!E15551*(Sens!E15548+Sens!E15550)-Sens!E15549</f>
        <v>18.7103224860238</v>
      </c>
      <c r="F15552" s="6" t="n">
        <f aca="false">Sens!F15546-Sens!F15551*(Sens!F15548+Sens!F15550)-Sens!F15549</f>
        <v>39.4594407491938</v>
      </c>
      <c r="G15552" s="6" t="n">
        <f aca="false">Sens!G15546-Sens!G15551*(Sens!G15548+Sens!G15550)-Sens!G15549</f>
        <v>66.5527545578061</v>
      </c>
      <c r="H15552" s="6" t="n">
        <f aca="false">Sens!H15546-Sens!H15551*(Sens!H15548+Sens!H15550)-Sens!H15549</f>
        <v>95.219644983859</v>
      </c>
      <c r="I15552" s="6" t="n">
        <f aca="false">Sens!I15546-Sens!I15551*(Sens!I15548+Sens!I15550)-Sens!I15549</f>
        <v>120.722591017788</v>
      </c>
      <c r="J15552" s="6" t="n">
        <f aca="false">Sens!J15546-Sens!J15551*(Sens!J15548+Sens!J15550)-Sens!J15549</f>
        <v>138.852983677401</v>
      </c>
      <c r="K15552" s="6" t="n">
        <f aca="false">Sens!K15546-Sens!K15551*(Sens!K15548+Sens!K15550)-Sens!K15549</f>
        <v>151.058170579566</v>
      </c>
    </row>
    <row r="15553" customFormat="false" ht="17.15" hidden="false" customHeight="false" outlineLevel="0" collapsed="false">
      <c r="A15553" s="1" t="s">
        <v>841</v>
      </c>
      <c r="B15553" s="0" t="s">
        <v>98</v>
      </c>
      <c r="D15553" s="6" t="n">
        <f aca="false">(1-Sens!D15551)*(Sens!D15548+Sens!D15550)</f>
        <v>1.42281025374069</v>
      </c>
      <c r="E15553" s="6" t="n">
        <f aca="false">(1-Sens!E15551)*(Sens!E15548+Sens!E15550)</f>
        <v>3.25095598674472</v>
      </c>
      <c r="F15553" s="6" t="n">
        <f aca="false">(1-Sens!F15551)*(Sens!F15548+Sens!F15550)</f>
        <v>6.53293055050977</v>
      </c>
      <c r="G15553" s="6" t="n">
        <f aca="false">(1-Sens!G15551)*(Sens!G15548+Sens!G15550)</f>
        <v>10.7846311741651</v>
      </c>
      <c r="H15553" s="6" t="n">
        <f aca="false">(1-Sens!H15551)*(Sens!H15548+Sens!H15550)</f>
        <v>15.26343050201</v>
      </c>
      <c r="I15553" s="6" t="n">
        <f aca="false">(1-Sens!I15551)*(Sens!I15548+Sens!I15550)</f>
        <v>19.1433528317977</v>
      </c>
      <c r="J15553" s="6" t="n">
        <f aca="false">(1-Sens!J15551)*(Sens!J15548+Sens!J15550)</f>
        <v>21.7903077438073</v>
      </c>
      <c r="K15553" s="6" t="n">
        <f aca="false">(1-Sens!K15551)*(Sens!K15548+Sens!K15550)</f>
        <v>23.3028530868211</v>
      </c>
    </row>
    <row r="15554" customFormat="false" ht="17.15" hidden="false" customHeight="false" outlineLevel="0" collapsed="false">
      <c r="A15554" s="1" t="s">
        <v>842</v>
      </c>
      <c r="B15554" s="0" t="s">
        <v>357</v>
      </c>
      <c r="C15554" s="8" t="n">
        <f aca="false">cxit_open</f>
        <v>27.5918995</v>
      </c>
      <c r="D15554" s="8" t="n">
        <f aca="false">cxit_open</f>
        <v>27.5918995</v>
      </c>
      <c r="E15554" s="8" t="n">
        <f aca="false">cxit_open</f>
        <v>27.5918995</v>
      </c>
      <c r="F15554" s="8" t="n">
        <f aca="false">(a_g3_27*tk_cxit_gb300+(1-a_g3_27)*tk_cxit_vr200)</f>
        <v>33.8419624</v>
      </c>
      <c r="G15554" s="8" t="n">
        <f aca="false">(a_g3_28*tk_cxit_gb300+(1-a_g3_28)*tk_cxit_vr200)</f>
        <v>35.9816136</v>
      </c>
      <c r="H15554" s="8" t="n">
        <f aca="false">(a_g3_29*tk_cxit_gb300+(1-a_g3_29)*tk_cxit_vr200)</f>
        <v>37.0514392</v>
      </c>
      <c r="I15554" s="8" t="n">
        <f aca="false">(a_g3_29*tk_cxit_gb300+(1-a_g3_29)*tk_cxit_vr200)</f>
        <v>37.0514392</v>
      </c>
      <c r="J15554" s="8" t="n">
        <f aca="false">(a_g3_29*tk_cxit_gb300+(1-a_g3_29)*tk_cxit_vr200)</f>
        <v>37.0514392</v>
      </c>
      <c r="K15554" s="8" t="n">
        <f aca="false">(a_g3_29*tk_cxit_gb300+(1-a_g3_29)*tk_cxit_vr200)</f>
        <v>37.0514392</v>
      </c>
      <c r="L15554" s="11" t="s">
        <v>843</v>
      </c>
    </row>
    <row r="15555" customFormat="false" ht="17.15" hidden="false" customHeight="false" outlineLevel="0" collapsed="false">
      <c r="A15555" s="0" t="s">
        <v>844</v>
      </c>
      <c r="B15555" s="0" t="s">
        <v>399</v>
      </c>
      <c r="F15555" s="29" t="n">
        <f aca="false">Sens!C15536*IF(Sens!F15529-Sens!C15529=life_it,1,0)+Sens!D15536*IF(Sens!F15529-Sens!D15529=life_it,1,0)+Sens!E15536*IF(Sens!F15529-Sens!E15529=life_it,1,0)</f>
        <v>0</v>
      </c>
      <c r="G15555" s="29" t="n">
        <f aca="false">Sens!C15536*IF(Sens!G15529-Sens!C15529=life_it,1,0)+Sens!D15536*IF(Sens!G15529-Sens!D15529=life_it,1,0)+Sens!E15536*IF(Sens!G15529-Sens!E15529=life_it,1,0)+Sens!F15536*IF(Sens!G15529-Sens!F15529=life_it,1,0)</f>
        <v>0</v>
      </c>
      <c r="H15555" s="29" t="n">
        <f aca="false">Sens!C15536*IF(Sens!H15529-Sens!C15529=life_it,1,0)+Sens!D15536*IF(Sens!H15529-Sens!D15529=life_it,1,0)+Sens!E15536*IF(Sens!H15529-Sens!E15529=life_it,1,0)+Sens!F15536*IF(Sens!H15529-Sens!F15529=life_it,1,0)+Sens!G15536*IF(Sens!H15529-Sens!G15529=life_it,1,0)</f>
        <v>0</v>
      </c>
      <c r="I15555" s="29" t="n">
        <f aca="false">Sens!C15536*IF(Sens!I15529-Sens!C15529=life_it,1,0)+Sens!D15536*IF(Sens!I15529-Sens!D15529=life_it,1,0)+Sens!E15536*IF(Sens!I15529-Sens!E15529=life_it,1,0)+Sens!F15536*IF(Sens!I15529-Sens!F15529=life_it,1,0)+Sens!G15536*IF(Sens!I15529-Sens!G15529=life_it,1,0)+Sens!H15536*IF(Sens!I15529-Sens!H15529=life_it,1,0)</f>
        <v>816.666666666667</v>
      </c>
      <c r="J15555" s="29" t="n">
        <f aca="false">Sens!C15536*IF(Sens!J15529-Sens!C15529=life_it,1,0)+Sens!D15536*IF(Sens!J15529-Sens!D15529=life_it,1,0)+Sens!E15536*IF(Sens!J15529-Sens!E15529=life_it,1,0)+Sens!F15536*IF(Sens!J15529-Sens!F15529=life_it,1,0)+Sens!G15536*IF(Sens!J15529-Sens!G15529=life_it,1,0)+Sens!H15536*IF(Sens!J15529-Sens!H15529=life_it,1,0)+Sens!I15536*IF(Sens!J15529-Sens!I15529=life_it,1,0)</f>
        <v>1233.33333333333</v>
      </c>
      <c r="K15555" s="29" t="n">
        <f aca="false">Sens!C15536*IF(Sens!K15529-Sens!C15529=life_it,1,0)+Sens!D15536*IF(Sens!K15529-Sens!D15529=life_it,1,0)+Sens!E15536*IF(Sens!K15529-Sens!E15529=life_it,1,0)+Sens!F15536*IF(Sens!K15529-Sens!F15529=life_it,1,0)+Sens!G15536*IF(Sens!K15529-Sens!G15529=life_it,1,0)+Sens!H15536*IF(Sens!K15529-Sens!H15529=life_it,1,0)+Sens!I15536*IF(Sens!K15529-Sens!I15529=life_it,1,0)+Sens!J15536*IF(Sens!K15529-Sens!J15529=life_it,1,0)</f>
        <v>2450</v>
      </c>
      <c r="L15555" s="1" t="s">
        <v>845</v>
      </c>
    </row>
    <row r="15556" customFormat="false" ht="17.15" hidden="false" customHeight="false" outlineLevel="0" collapsed="false">
      <c r="A15556" s="0" t="s">
        <v>846</v>
      </c>
      <c r="B15556" s="0" t="s">
        <v>98</v>
      </c>
      <c r="C15556" s="6" t="n">
        <f aca="false">Sens!C15536*Sens!C15554/1000</f>
        <v>22.5333845916667</v>
      </c>
      <c r="D15556" s="6" t="n">
        <f aca="false">Sens!D15536*Sens!D15554/1000</f>
        <v>34.0300093833333</v>
      </c>
      <c r="E15556" s="6" t="n">
        <f aca="false">Sens!E15536*Sens!E15554/1000</f>
        <v>67.600153775</v>
      </c>
      <c r="F15556" s="6" t="n">
        <f aca="false">(Sens!F15536+Sens!F15555)*Sens!F15554/1000</f>
        <v>130.923271871467</v>
      </c>
      <c r="G15556" s="6" t="n">
        <f aca="false">(Sens!G15536+Sens!G15555)*Sens!G15554/1000</f>
        <v>151.5545564832</v>
      </c>
      <c r="H15556" s="6" t="n">
        <f aca="false">(Sens!H15536+Sens!H15555)*Sens!H15554/1000</f>
        <v>156.0606619104</v>
      </c>
      <c r="I15556" s="6" t="n">
        <f aca="false">(Sens!I15536+Sens!I15555)*Sens!I15554/1000</f>
        <v>140.987889434245</v>
      </c>
      <c r="J15556" s="6" t="n">
        <f aca="false">(Sens!J15536+Sens!J15555)*Sens!J15554/1000</f>
        <v>113.309125559842</v>
      </c>
      <c r="K15556" s="6" t="n">
        <f aca="false">(Sens!K15536+Sens!K15555)*Sens!K15554/1000</f>
        <v>116.192591420959</v>
      </c>
    </row>
    <row r="15557" customFormat="false" ht="17.15" hidden="false" customHeight="false" outlineLevel="0" collapsed="false">
      <c r="A15557" s="0" t="s">
        <v>847</v>
      </c>
      <c r="B15557" s="0" t="s">
        <v>98</v>
      </c>
      <c r="C15557" s="6" t="n">
        <f aca="false">Sens!C15536*self_build*tk_cxfac/1000</f>
        <v>6.2083</v>
      </c>
      <c r="D15557" s="6" t="n">
        <f aca="false">Sens!D15536*self_build*tk_cxfac/1000</f>
        <v>9.3758</v>
      </c>
      <c r="E15557" s="6" t="n">
        <f aca="false">Sens!E15536*self_build*tk_cxfac/1000</f>
        <v>18.6249</v>
      </c>
      <c r="F15557" s="6" t="n">
        <f aca="false">Sens!F15536*self_build*tk_cxfac/1000</f>
        <v>29.409604</v>
      </c>
      <c r="G15557" s="6" t="n">
        <f aca="false">Sens!G15536*self_build*tk_cxfac/1000</f>
        <v>32.019624</v>
      </c>
      <c r="H15557" s="6" t="n">
        <f aca="false">Sens!H15536*self_build*tk_cxfac/1000</f>
        <v>32.019624</v>
      </c>
      <c r="I15557" s="6" t="n">
        <f aca="false">Sens!I15536*self_build*tk_cxfac/1000</f>
        <v>22.71877972</v>
      </c>
      <c r="J15557" s="6" t="n">
        <f aca="false">Sens!J15536*self_build*tk_cxfac/1000</f>
        <v>13.8723110344</v>
      </c>
      <c r="K15557" s="6" t="n">
        <f aca="false">Sens!K15536*self_build*tk_cxfac/1000</f>
        <v>5.214823882632</v>
      </c>
    </row>
    <row r="15558" customFormat="false" ht="17.15" hidden="false" customHeight="false" outlineLevel="0" collapsed="false">
      <c r="A15558" s="0" t="s">
        <v>848</v>
      </c>
      <c r="B15558" s="0" t="s">
        <v>98</v>
      </c>
      <c r="F15558" s="6" t="n">
        <f aca="false">MAX(0,capex_floor27-Sens!F15556-Sens!F15557-Sens!F15652)</f>
        <v>8.28777689897088</v>
      </c>
    </row>
    <row r="15559" customFormat="false" ht="17.15" hidden="false" customHeight="false" outlineLevel="0" collapsed="false">
      <c r="A15559" s="0" t="s">
        <v>849</v>
      </c>
      <c r="B15559" s="0" t="s">
        <v>98</v>
      </c>
      <c r="C15559" s="6" t="n">
        <f aca="false">Sens!C15556</f>
        <v>22.5333845916667</v>
      </c>
      <c r="D15559" s="6" t="n">
        <f aca="false">Sens!D15556</f>
        <v>34.0300093833333</v>
      </c>
      <c r="E15559" s="6" t="n">
        <f aca="false">Sens!E15556</f>
        <v>67.600153775</v>
      </c>
      <c r="F15559" s="6" t="n">
        <f aca="false">Sens!F15556</f>
        <v>130.923271871467</v>
      </c>
      <c r="G15559" s="6" t="n">
        <f aca="false">Sens!G15556</f>
        <v>151.5545564832</v>
      </c>
      <c r="H15559" s="6" t="n">
        <f aca="false">Sens!H15556</f>
        <v>156.0606619104</v>
      </c>
      <c r="I15559" s="6" t="n">
        <f aca="false">Sens!I15556</f>
        <v>140.987889434245</v>
      </c>
      <c r="J15559" s="6" t="n">
        <f aca="false">Sens!J15556</f>
        <v>113.309125559842</v>
      </c>
      <c r="K15559" s="6" t="n">
        <f aca="false">Sens!K15556</f>
        <v>116.192591420959</v>
      </c>
    </row>
    <row r="15560" customFormat="false" ht="17.15" hidden="false" customHeight="false" outlineLevel="0" collapsed="false">
      <c r="A15560" s="0" t="s">
        <v>850</v>
      </c>
      <c r="B15560" s="0" t="s">
        <v>98</v>
      </c>
      <c r="C15560" s="6" t="n">
        <f aca="false">Sens!C15559+Sens!C15557</f>
        <v>28.7416845916667</v>
      </c>
      <c r="D15560" s="6" t="n">
        <f aca="false">Sens!D15559+Sens!D15557</f>
        <v>43.4058093833333</v>
      </c>
      <c r="E15560" s="6" t="n">
        <f aca="false">Sens!E15559+Sens!E15557</f>
        <v>86.225053775</v>
      </c>
      <c r="F15560" s="6" t="n">
        <f aca="false">Sens!F15559+Sens!F15557</f>
        <v>160.332875871467</v>
      </c>
      <c r="G15560" s="6" t="n">
        <f aca="false">Sens!G15559+Sens!G15557</f>
        <v>183.5741804832</v>
      </c>
      <c r="H15560" s="6" t="n">
        <f aca="false">Sens!H15559+Sens!H15557</f>
        <v>188.0802859104</v>
      </c>
      <c r="I15560" s="6" t="n">
        <f aca="false">Sens!I15559+Sens!I15557</f>
        <v>163.706669154245</v>
      </c>
      <c r="J15560" s="6" t="n">
        <f aca="false">Sens!J15559+Sens!J15557</f>
        <v>127.181436594242</v>
      </c>
      <c r="K15560" s="6" t="n">
        <f aca="false">Sens!K15559+Sens!K15557</f>
        <v>121.407415303591</v>
      </c>
      <c r="L15560" s="11" t="s">
        <v>851</v>
      </c>
    </row>
    <row r="15561" customFormat="false" ht="17.15" hidden="false" customHeight="false" outlineLevel="0" collapsed="false">
      <c r="A15561" s="0" t="s">
        <v>852</v>
      </c>
      <c r="B15561" s="0" t="s">
        <v>98</v>
      </c>
      <c r="E15561" s="6" t="n">
        <f aca="false">(Sens!C15559*IF(2&lt;life_it,1,IF(2=life_it,0.5,0))+Sens!D15559*IF(1&lt;life_it,1,IF(1=life_it,0.5,0))+Sens!E15559*0.5)/life_it</f>
        <v>15.0605784770833</v>
      </c>
      <c r="F15561" s="6" t="n">
        <f aca="false">(Sens!C15559*IF(3&lt;life_it,1,IF(3=life_it,0.5,0))+Sens!D15559*IF(2&lt;life_it,1,IF(2=life_it,0.5,0))+Sens!E15559*IF(1&lt;life_it,1,IF(1=life_it,0.5,0))+Sens!F15559*0.5)/life_it</f>
        <v>31.6041972809556</v>
      </c>
      <c r="G15561" s="6" t="n">
        <f aca="false">(Sens!C15559*IF(4&lt;life_it,1,IF(4=life_it,0.5,0))+Sens!D15559*IF(3&lt;life_it,1,IF(3=life_it,0.5,0))+Sens!E15559*IF(2&lt;life_it,1,IF(2=life_it,0.5,0))+Sens!F15559*IF(1&lt;life_it,1,IF(1=life_it,0.5,0))+Sens!G15559*0.5)/life_it</f>
        <v>55.1440163105111</v>
      </c>
      <c r="H15561" s="6" t="n">
        <f aca="false">(Sens!C15559*IF(5&lt;life_it,1,IF(5=life_it,0.5,0))+Sens!D15559*IF(4&lt;life_it,1,IF(4=life_it,0.5,0))+Sens!E15559*IF(3&lt;life_it,1,IF(3=life_it,0.5,0))+Sens!F15559*IF(2&lt;life_it,1,IF(2=life_it,0.5,0))+Sens!G15559*IF(1&lt;life_it,1,IF(1=life_it,0.5,0))+Sens!H15559*0.5)/life_it</f>
        <v>80.7786178433111</v>
      </c>
      <c r="I15561" s="6" t="n">
        <f aca="false">(Sens!C15559*IF(6&lt;life_it,1,IF(6=life_it,0.5,0))+Sens!D15559*IF(5&lt;life_it,1,IF(5=life_it,0.5,0))+Sens!E15559*IF(4&lt;life_it,1,IF(4=life_it,0.5,0))+Sens!F15559*IF(3&lt;life_it,1,IF(3=life_it,0.5,0))+Sens!G15559*IF(2&lt;life_it,1,IF(2=life_it,0.5,0))+Sens!H15559*IF(1&lt;life_it,1,IF(1=life_it,0.5,0))+Sens!I15559*0.5)/life_it</f>
        <v>103.654881739393</v>
      </c>
      <c r="J15561" s="6" t="n">
        <f aca="false">(Sens!C15559*IF(7&lt;life_it,1,IF(7=life_it,0.5,0))+Sens!D15559*IF(6&lt;life_it,1,IF(6=life_it,0.5,0))+Sens!E15559*IF(5&lt;life_it,1,IF(5=life_it,0.5,0))+Sens!F15559*IF(4&lt;life_it,1,IF(4=life_it,0.5,0))+Sens!G15559*IF(3&lt;life_it,1,IF(3=life_it,0.5,0))+Sens!H15559*IF(2&lt;life_it,1,IF(2=life_it,0.5,0))+Sens!I15559*IF(1&lt;life_it,1,IF(1=life_it,0.5,0))+Sens!J15559*0.5)/life_it</f>
        <v>120.132683490983</v>
      </c>
      <c r="K15561" s="6" t="n">
        <f aca="false">(Sens!C15559*IF(8&lt;life_it,1,IF(8=life_it,0.5,0))+Sens!D15559*IF(7&lt;life_it,1,IF(7=life_it,0.5,0))+Sens!E15559*IF(6&lt;life_it,1,IF(6=life_it,0.5,0))+Sens!F15559*IF(5&lt;life_it,1,IF(5=life_it,0.5,0))+Sens!G15559*IF(4&lt;life_it,1,IF(4=life_it,0.5,0))+Sens!H15559*IF(3&lt;life_it,1,IF(3=life_it,0.5,0))+Sens!I15559*IF(2&lt;life_it,1,IF(2=life_it,0.5,0))+Sens!J15559*IF(1&lt;life_it,1,IF(1=life_it,0.5,0))+Sens!K15559*0.5)/life_it</f>
        <v>130.788646309522</v>
      </c>
    </row>
    <row r="15562" customFormat="false" ht="17.15" hidden="false" customHeight="false" outlineLevel="0" collapsed="false">
      <c r="A15562" s="0" t="s">
        <v>853</v>
      </c>
      <c r="B15562" s="0" t="s">
        <v>98</v>
      </c>
      <c r="E15562" s="6" t="n">
        <f aca="false">(Sens!C15557*IF(2&lt;life_fac,1,IF(2=life_fac,0.5,0))+Sens!D15557*IF(1&lt;life_fac,1,IF(1=life_fac,0.5,0))+Sens!E15557*0.5)/life_fac</f>
        <v>1.2448275</v>
      </c>
      <c r="F15562" s="6" t="n">
        <f aca="false">(Sens!C15557*IF(3&lt;life_fac,1,IF(3=life_fac,0.5,0))+Sens!D15557*IF(2&lt;life_fac,1,IF(2=life_fac,0.5,0))+Sens!E15557*IF(1&lt;life_fac,1,IF(1=life_fac,0.5,0))+Sens!F15557*0.5)/life_fac</f>
        <v>2.4456901</v>
      </c>
      <c r="G15562" s="6" t="n">
        <f aca="false">(Sens!C15557*IF(4&lt;life_fac,1,IF(4=life_fac,0.5,0))+Sens!D15557*IF(3&lt;life_fac,1,IF(3=life_fac,0.5,0))+Sens!E15557*IF(2&lt;life_fac,1,IF(2=life_fac,0.5,0))+Sens!F15557*IF(1&lt;life_fac,1,IF(1=life_fac,0.5,0))+Sens!G15557*0.5)/life_fac</f>
        <v>3.9814208</v>
      </c>
      <c r="H15562" s="6" t="n">
        <f aca="false">(Sens!C15557*IF(5&lt;life_fac,1,IF(5=life_fac,0.5,0))+Sens!D15557*IF(4&lt;life_fac,1,IF(4=life_fac,0.5,0))+Sens!E15557*IF(3&lt;life_fac,1,IF(3=life_fac,0.5,0))+Sens!F15557*IF(2&lt;life_fac,1,IF(2=life_fac,0.5,0))+Sens!G15557*IF(1&lt;life_fac,1,IF(1=life_fac,0.5,0))+Sens!H15557*0.5)/life_fac</f>
        <v>5.582402</v>
      </c>
      <c r="I15562" s="6" t="n">
        <f aca="false">(Sens!C15557*IF(6&lt;life_fac,1,IF(6=life_fac,0.5,0))+Sens!D15557*IF(5&lt;life_fac,1,IF(5=life_fac,0.5,0))+Sens!E15557*IF(4&lt;life_fac,1,IF(4=life_fac,0.5,0))+Sens!F15557*IF(3&lt;life_fac,1,IF(3=life_fac,0.5,0))+Sens!G15557*IF(2&lt;life_fac,1,IF(2=life_fac,0.5,0))+Sens!H15557*IF(1&lt;life_fac,1,IF(1=life_fac,0.5,0))+Sens!I15557*0.5)/life_fac</f>
        <v>6.950862093</v>
      </c>
      <c r="J15562" s="6" t="n">
        <f aca="false">(Sens!C15557*IF(7&lt;life_fac,1,IF(7=life_fac,0.5,0))+Sens!D15557*IF(6&lt;life_fac,1,IF(6=life_fac,0.5,0))+Sens!E15557*IF(5&lt;life_fac,1,IF(5=life_fac,0.5,0))+Sens!F15557*IF(4&lt;life_fac,1,IF(4=life_fac,0.5,0))+Sens!G15557*IF(3&lt;life_fac,1,IF(3=life_fac,0.5,0))+Sens!H15557*IF(2&lt;life_fac,1,IF(2=life_fac,0.5,0))+Sens!I15557*IF(1&lt;life_fac,1,IF(1=life_fac,0.5,0))+Sens!J15557*0.5)/life_fac</f>
        <v>7.86563936186</v>
      </c>
      <c r="K15562" s="6" t="n">
        <f aca="false">(Sens!C15557*IF(8&lt;life_fac,1,IF(8=life_fac,0.5,0))+Sens!D15557*IF(7&lt;life_fac,1,IF(7=life_fac,0.5,0))+Sens!E15557*IF(6&lt;life_fac,1,IF(6=life_fac,0.5,0))+Sens!F15557*IF(5&lt;life_fac,1,IF(5=life_fac,0.5,0))+Sens!G15557*IF(4&lt;life_fac,1,IF(4=life_fac,0.5,0))+Sens!H15557*IF(3&lt;life_fac,1,IF(3=life_fac,0.5,0))+Sens!I15557*IF(2&lt;life_fac,1,IF(2=life_fac,0.5,0))+Sens!J15557*IF(1&lt;life_fac,1,IF(1=life_fac,0.5,0))+Sens!K15557*0.5)/life_fac</f>
        <v>8.3428177347858</v>
      </c>
    </row>
    <row r="15563" customFormat="false" ht="17.15" hidden="false" customHeight="false" outlineLevel="0" collapsed="false">
      <c r="A15563" s="0" t="s">
        <v>854</v>
      </c>
      <c r="B15563" s="0" t="s">
        <v>98</v>
      </c>
      <c r="E15563" s="6" t="n">
        <f aca="false">Sens!E15561+Sens!E15562</f>
        <v>16.3054059770833</v>
      </c>
      <c r="F15563" s="6" t="n">
        <f aca="false">Sens!F15561+Sens!F15562</f>
        <v>34.0498873809555</v>
      </c>
      <c r="G15563" s="6" t="n">
        <f aca="false">Sens!G15561+Sens!G15562</f>
        <v>59.1254371105111</v>
      </c>
      <c r="H15563" s="6" t="n">
        <f aca="false">Sens!H15561+Sens!H15562</f>
        <v>86.3610198433111</v>
      </c>
      <c r="I15563" s="6" t="n">
        <f aca="false">Sens!I15561+Sens!I15562</f>
        <v>110.605743832393</v>
      </c>
      <c r="J15563" s="6" t="n">
        <f aca="false">Sens!J15561+Sens!J15562</f>
        <v>127.998322852843</v>
      </c>
      <c r="K15563" s="6" t="n">
        <f aca="false">Sens!K15561+Sens!K15562</f>
        <v>139.131464044308</v>
      </c>
    </row>
    <row r="15564" customFormat="false" ht="17.15" hidden="false" customHeight="false" outlineLevel="0" collapsed="false">
      <c r="A15564" s="0" t="s">
        <v>855</v>
      </c>
      <c r="B15564" s="0" t="s">
        <v>98</v>
      </c>
      <c r="E15564" s="6" t="n">
        <f aca="false">Sens!E15552-Sens!E15551*Sens!E15563</f>
        <v>8.92707889977379</v>
      </c>
      <c r="F15564" s="6" t="n">
        <f aca="false">Sens!F15552-Sens!F15551*Sens!F15563</f>
        <v>19.0295083206205</v>
      </c>
      <c r="G15564" s="6" t="n">
        <f aca="false">Sens!G15552-Sens!G15551*Sens!G15563</f>
        <v>31.0774922914994</v>
      </c>
      <c r="H15564" s="6" t="n">
        <f aca="false">Sens!H15552-Sens!H15551*Sens!H15563</f>
        <v>43.4030330778723</v>
      </c>
      <c r="I15564" s="6" t="n">
        <f aca="false">Sens!I15552-Sens!I15551*Sens!I15563</f>
        <v>54.3591447183526</v>
      </c>
      <c r="J15564" s="6" t="n">
        <f aca="false">Sens!J15552-Sens!J15551*Sens!J15563</f>
        <v>62.0539899656947</v>
      </c>
      <c r="K15564" s="6" t="n">
        <f aca="false">Sens!K15552-Sens!K15551*Sens!K15563</f>
        <v>67.5792921529812</v>
      </c>
    </row>
    <row r="15565" customFormat="false" ht="17.15" hidden="false" customHeight="false" outlineLevel="0" collapsed="false">
      <c r="A15565" s="3" t="s">
        <v>1657</v>
      </c>
    </row>
    <row r="15566" customFormat="false" ht="15" hidden="false" customHeight="false" outlineLevel="0" collapsed="false">
      <c r="A15566" s="4" t="s">
        <v>43</v>
      </c>
      <c r="B15566" s="4" t="s">
        <v>65</v>
      </c>
      <c r="C15566" s="20" t="s">
        <v>799</v>
      </c>
      <c r="D15566" s="20" t="s">
        <v>800</v>
      </c>
      <c r="E15566" s="20" t="s">
        <v>801</v>
      </c>
      <c r="F15566" s="20" t="s">
        <v>802</v>
      </c>
      <c r="G15566" s="20" t="s">
        <v>803</v>
      </c>
      <c r="H15566" s="20" t="s">
        <v>804</v>
      </c>
      <c r="I15566" s="20" t="s">
        <v>805</v>
      </c>
      <c r="J15566" s="20" t="s">
        <v>806</v>
      </c>
      <c r="K15566" s="20" t="s">
        <v>807</v>
      </c>
      <c r="L15566" s="4" t="s">
        <v>47</v>
      </c>
    </row>
    <row r="15567" customFormat="false" ht="17.15" hidden="false" customHeight="false" outlineLevel="0" collapsed="false">
      <c r="A15567" s="0" t="s">
        <v>874</v>
      </c>
      <c r="B15567" s="0" t="s">
        <v>98</v>
      </c>
      <c r="D15567" s="6" t="n">
        <f aca="false">Sens!D15546</f>
        <v>12.9359794422418</v>
      </c>
      <c r="E15567" s="6" t="n">
        <f aca="false">Sens!E15546</f>
        <v>27.8095064661409</v>
      </c>
      <c r="F15567" s="6" t="n">
        <f aca="false">Sens!F15546</f>
        <v>55.0640065749585</v>
      </c>
      <c r="G15567" s="6" t="n">
        <f aca="false">Sens!G15546</f>
        <v>89.4505413190538</v>
      </c>
      <c r="H15567" s="6" t="n">
        <f aca="false">Sens!H15546</f>
        <v>124.835630736874</v>
      </c>
      <c r="I15567" s="6" t="n">
        <f aca="false">Sens!I15546</f>
        <v>156.158460265485</v>
      </c>
      <c r="J15567" s="6" t="n">
        <f aca="false">Sens!J15546</f>
        <v>178.259285293112</v>
      </c>
      <c r="K15567" s="6" t="n">
        <f aca="false">Sens!K15546</f>
        <v>192.733290209798</v>
      </c>
    </row>
    <row r="15568" customFormat="false" ht="17.15" hidden="false" customHeight="false" outlineLevel="0" collapsed="false">
      <c r="A15568" s="0" t="s">
        <v>875</v>
      </c>
      <c r="B15568" s="0" t="s">
        <v>98</v>
      </c>
      <c r="D15568" s="6" t="n">
        <f aca="false">Q!L6-Sens!D15567</f>
        <v>59.6740205577583</v>
      </c>
      <c r="E15568" s="6" t="n">
        <f aca="false">Q!M6-Sens!E15567</f>
        <v>74.1284935338591</v>
      </c>
      <c r="F15568" s="6" t="n">
        <f aca="false">Sens!E15568*(1+Sens!F15569)</f>
        <v>90.0799497373663</v>
      </c>
      <c r="G15568" s="6" t="n">
        <f aca="false">Sens!F15568*(1+Sens!G15569)</f>
        <v>107.02842520331</v>
      </c>
      <c r="H15568" s="6" t="n">
        <f aca="false">Sens!G15568*(1+Sens!H15569)</f>
        <v>124.271982585636</v>
      </c>
      <c r="I15568" s="6" t="n">
        <f aca="false">Sens!H15568*(1+Sens!I15569)</f>
        <v>140.933702381855</v>
      </c>
      <c r="J15568" s="6" t="n">
        <f aca="false">Sens!I15568*(1+Sens!J15569)</f>
        <v>156.018867314332</v>
      </c>
      <c r="K15568" s="6" t="n">
        <f aca="false">Sens!J15568*(1+Sens!K15569)</f>
        <v>168.500376699478</v>
      </c>
    </row>
    <row r="15569" customFormat="false" ht="15" hidden="false" customHeight="false" outlineLevel="0" collapsed="false">
      <c r="A15569" s="1" t="s">
        <v>876</v>
      </c>
      <c r="B15569" s="0" t="s">
        <v>129</v>
      </c>
      <c r="E15569" s="7" t="n">
        <f aca="false">Sens!E15568/Sens!D15568-1</f>
        <v>0.242223883039864</v>
      </c>
      <c r="F15569" s="7" t="n">
        <f aca="false">Sens!$E$15569+(glt_azo-Sens!$E$15569)*MIN(1,(Sens!F15529-base_fy)/n_conv)</f>
        <v>0.215186569199887</v>
      </c>
      <c r="G15569" s="7" t="n">
        <f aca="false">Sens!$E$15569+(glt_azo-Sens!$E$15569)*MIN(1,(Sens!G15529-base_fy)/n_conv)</f>
        <v>0.18814925535991</v>
      </c>
      <c r="H15569" s="7" t="n">
        <f aca="false">Sens!$E$15569+(glt_azo-Sens!$E$15569)*MIN(1,(Sens!H15529-base_fy)/n_conv)</f>
        <v>0.161111941519932</v>
      </c>
      <c r="I15569" s="7" t="n">
        <f aca="false">Sens!$E$15569+(glt_azo-Sens!$E$15569)*MIN(1,(Sens!I15529-base_fy)/n_conv)</f>
        <v>0.134074627679955</v>
      </c>
      <c r="J15569" s="7" t="n">
        <f aca="false">Sens!$E$15569+(glt_azo-Sens!$E$15569)*MIN(1,(Sens!J15529-base_fy)/n_conv)</f>
        <v>0.107037313839977</v>
      </c>
      <c r="K15569" s="7" t="n">
        <f aca="false">Sens!$E$15569+(glt_azo-Sens!$E$15569)*MIN(1,(Sens!K15529-base_fy)/n_conv)</f>
        <v>0.08</v>
      </c>
    </row>
    <row r="15570" customFormat="false" ht="15" hidden="false" customHeight="false" outlineLevel="0" collapsed="false">
      <c r="A15570" s="0" t="s">
        <v>877</v>
      </c>
      <c r="B15570" s="0" t="s">
        <v>98</v>
      </c>
      <c r="D15570" s="6" t="n">
        <f aca="false">Sens!D15567+Sens!D15568</f>
        <v>72.61</v>
      </c>
      <c r="E15570" s="6" t="n">
        <f aca="false">Sens!E15567+Sens!E15568</f>
        <v>101.938</v>
      </c>
      <c r="F15570" s="6" t="n">
        <f aca="false">Sens!F15567+Sens!F15568</f>
        <v>145.143956312325</v>
      </c>
      <c r="G15570" s="6" t="n">
        <f aca="false">Sens!G15567+Sens!G15568</f>
        <v>196.478966522364</v>
      </c>
      <c r="H15570" s="6" t="n">
        <f aca="false">Sens!H15567+Sens!H15568</f>
        <v>249.10761332251</v>
      </c>
      <c r="I15570" s="6" t="n">
        <f aca="false">Sens!I15567+Sens!I15568</f>
        <v>297.09216264734</v>
      </c>
      <c r="J15570" s="6" t="n">
        <f aca="false">Sens!J15567+Sens!J15568</f>
        <v>334.278152607443</v>
      </c>
      <c r="K15570" s="6" t="n">
        <f aca="false">Sens!K15567+Sens!K15568</f>
        <v>361.233666909276</v>
      </c>
    </row>
    <row r="15571" customFormat="false" ht="17.15" hidden="false" customHeight="false" outlineLevel="0" collapsed="false">
      <c r="A15571" s="0" t="s">
        <v>878</v>
      </c>
      <c r="B15571" s="1" t="s">
        <v>528</v>
      </c>
      <c r="C15571" s="29" t="n">
        <f aca="false">cop_s24</f>
        <v>1</v>
      </c>
      <c r="D15571" s="29" t="n">
        <f aca="false">cop_s25</f>
        <v>5</v>
      </c>
      <c r="E15571" s="29" t="n">
        <f aca="false">cop_s26</f>
        <v>30</v>
      </c>
      <c r="F15571" s="29" t="n">
        <f aca="false">Sens!E15571+cop_add_B</f>
        <v>50</v>
      </c>
      <c r="G15571" s="29" t="n">
        <f aca="false">Sens!F15571+cop_add_B</f>
        <v>70</v>
      </c>
      <c r="H15571" s="29" t="n">
        <f aca="false">Sens!G15571+cop_add_B</f>
        <v>90</v>
      </c>
      <c r="I15571" s="29" t="n">
        <f aca="false">Sens!H15571+cop_add_B*cop_tail</f>
        <v>100</v>
      </c>
      <c r="J15571" s="29" t="n">
        <f aca="false">Sens!I15571+cop_add_B*cop_tail</f>
        <v>110</v>
      </c>
      <c r="K15571" s="29" t="n">
        <f aca="false">Sens!J15571+cop_add_B*cop_tail</f>
        <v>120</v>
      </c>
      <c r="L15571" s="11" t="s">
        <v>879</v>
      </c>
    </row>
    <row r="15572" customFormat="false" ht="17.15" hidden="false" customHeight="false" outlineLevel="0" collapsed="false">
      <c r="A15572" s="0" t="s">
        <v>880</v>
      </c>
      <c r="B15572" s="0" t="s">
        <v>98</v>
      </c>
      <c r="D15572" s="6" t="n">
        <f aca="false">(Sens!C15571+Sens!D15571)/2*cop_px*12/1000</f>
        <v>0.9</v>
      </c>
      <c r="E15572" s="6" t="n">
        <f aca="false">(Sens!D15571+Sens!E15571)/2*cop_px*12/1000</f>
        <v>5.25</v>
      </c>
      <c r="F15572" s="6" t="n">
        <f aca="false">(Sens!E15571+Sens!F15571)/2*cop_px*12/1000</f>
        <v>12</v>
      </c>
      <c r="G15572" s="6" t="n">
        <f aca="false">(Sens!F15571+Sens!G15571)/2*cop_px*12/1000</f>
        <v>18</v>
      </c>
      <c r="H15572" s="6" t="n">
        <f aca="false">(Sens!G15571+Sens!H15571)/2*cop_px*12/1000</f>
        <v>24</v>
      </c>
      <c r="I15572" s="6" t="n">
        <f aca="false">(Sens!H15571+Sens!I15571)/2*cop_px*12/1000</f>
        <v>28.5</v>
      </c>
      <c r="J15572" s="6" t="n">
        <f aca="false">(Sens!I15571+Sens!J15571)/2*cop_px*12/1000</f>
        <v>31.5</v>
      </c>
      <c r="K15572" s="6" t="n">
        <f aca="false">(Sens!J15571+Sens!K15571)/2*cop_px*12/1000</f>
        <v>34.5</v>
      </c>
      <c r="L15572" s="1" t="s">
        <v>881</v>
      </c>
    </row>
    <row r="15573" customFormat="false" ht="17.15" hidden="false" customHeight="false" outlineLevel="0" collapsed="false">
      <c r="A15573" s="0" t="s">
        <v>882</v>
      </c>
      <c r="B15573" s="0" t="s">
        <v>98</v>
      </c>
      <c r="D15573" s="6" t="n">
        <f aca="false">Q!L7-Sens!D15572</f>
        <v>83.705</v>
      </c>
      <c r="E15573" s="6" t="n">
        <f aca="false">Q!M7-Sens!E15572</f>
        <v>95.049</v>
      </c>
      <c r="F15573" s="6" t="n">
        <f aca="false">Sens!E15573*(1+Sens!F15574)</f>
        <v>106.89238776686</v>
      </c>
      <c r="G15573" s="6" t="n">
        <f aca="false">Sens!F15573*(1+Sens!G15574)</f>
        <v>119.044168448684</v>
      </c>
      <c r="H15573" s="6" t="n">
        <f aca="false">Sens!G15573*(1+Sens!H15574)</f>
        <v>131.277359388781</v>
      </c>
      <c r="I15573" s="6" t="n">
        <f aca="false">Sens!H15573*(1+Sens!I15574)</f>
        <v>143.334028071957</v>
      </c>
      <c r="J15573" s="6" t="n">
        <f aca="false">Sens!I15573*(1+Sens!J15574)</f>
        <v>154.932702785465</v>
      </c>
      <c r="K15573" s="6" t="n">
        <f aca="false">Sens!J15573*(1+Sens!K15574)</f>
        <v>165.777991980448</v>
      </c>
    </row>
    <row r="15574" customFormat="false" ht="15" hidden="false" customHeight="false" outlineLevel="0" collapsed="false">
      <c r="A15574" s="1" t="s">
        <v>876</v>
      </c>
      <c r="B15574" s="0" t="s">
        <v>129</v>
      </c>
      <c r="E15574" s="7" t="n">
        <f aca="false">Sens!E15573/Sens!D15573-1</f>
        <v>0.135523564900544</v>
      </c>
      <c r="F15574" s="7" t="n">
        <f aca="false">Sens!$E$15574+(glt_m365b-Sens!$E$15574)*MIN(1,(Sens!F15529-base_fy)/n_conv)</f>
        <v>0.124602970750453</v>
      </c>
      <c r="G15574" s="7" t="n">
        <f aca="false">Sens!$E$15574+(glt_m365b-Sens!$E$15574)*MIN(1,(Sens!G15529-base_fy)/n_conv)</f>
        <v>0.113682376600363</v>
      </c>
      <c r="H15574" s="7" t="n">
        <f aca="false">Sens!$E$15574+(glt_m365b-Sens!$E$15574)*MIN(1,(Sens!H15529-base_fy)/n_conv)</f>
        <v>0.102761782450272</v>
      </c>
      <c r="I15574" s="7" t="n">
        <f aca="false">Sens!$E$15574+(glt_m365b-Sens!$E$15574)*MIN(1,(Sens!I15529-base_fy)/n_conv)</f>
        <v>0.0918411883001813</v>
      </c>
      <c r="J15574" s="7" t="n">
        <f aca="false">Sens!$E$15574+(glt_m365b-Sens!$E$15574)*MIN(1,(Sens!J15529-base_fy)/n_conv)</f>
        <v>0.0809205941500906</v>
      </c>
      <c r="K15574" s="7" t="n">
        <f aca="false">Sens!$E$15574+(glt_m365b-Sens!$E$15574)*MIN(1,(Sens!K15529-base_fy)/n_conv)</f>
        <v>0.07</v>
      </c>
    </row>
    <row r="15575" customFormat="false" ht="15" hidden="false" customHeight="false" outlineLevel="0" collapsed="false">
      <c r="A15575" s="0" t="s">
        <v>883</v>
      </c>
      <c r="B15575" s="0" t="s">
        <v>98</v>
      </c>
      <c r="D15575" s="6" t="n">
        <f aca="false">Sens!D15573+Sens!D15572</f>
        <v>84.605</v>
      </c>
      <c r="E15575" s="6" t="n">
        <f aca="false">Sens!E15573+Sens!E15572</f>
        <v>100.299</v>
      </c>
      <c r="F15575" s="6" t="n">
        <f aca="false">Sens!F15573+Sens!F15572</f>
        <v>118.89238776686</v>
      </c>
      <c r="G15575" s="6" t="n">
        <f aca="false">Sens!G15573+Sens!G15572</f>
        <v>137.044168448684</v>
      </c>
      <c r="H15575" s="6" t="n">
        <f aca="false">Sens!H15573+Sens!H15572</f>
        <v>155.277359388781</v>
      </c>
      <c r="I15575" s="6" t="n">
        <f aca="false">Sens!I15573+Sens!I15572</f>
        <v>171.834028071957</v>
      </c>
      <c r="J15575" s="6" t="n">
        <f aca="false">Sens!J15573+Sens!J15572</f>
        <v>186.432702785465</v>
      </c>
      <c r="K15575" s="6" t="n">
        <f aca="false">Sens!K15573+Sens!K15572</f>
        <v>200.277991980448</v>
      </c>
    </row>
    <row r="15576" customFormat="false" ht="15" hidden="false" customHeight="false" outlineLevel="0" collapsed="false">
      <c r="A15576" s="0" t="s">
        <v>884</v>
      </c>
      <c r="B15576" s="0" t="s">
        <v>98</v>
      </c>
      <c r="D15576" s="6" t="n">
        <f aca="false">Q!L8</f>
        <v>35.391</v>
      </c>
      <c r="E15576" s="6" t="n">
        <f aca="false">Q!M8</f>
        <v>37.285</v>
      </c>
      <c r="F15576" s="6" t="n">
        <f aca="false">Sens!E15576*(1+Sens!F15577)</f>
        <v>39.0720834331704</v>
      </c>
      <c r="G15576" s="6" t="n">
        <f aca="false">Sens!F15576*(1+Sens!G15577)</f>
        <v>40.726562953769</v>
      </c>
      <c r="H15576" s="6" t="n">
        <f aca="false">Sens!G15576*(1+Sens!H15577)</f>
        <v>42.2235987259198</v>
      </c>
      <c r="I15576" s="6" t="n">
        <f aca="false">Sens!H15576*(1+Sens!I15577)</f>
        <v>43.5397988077414</v>
      </c>
      <c r="J15576" s="6" t="n">
        <f aca="false">Sens!I15576*(1+Sens!J15577)</f>
        <v>44.653811225693</v>
      </c>
      <c r="K15576" s="6" t="n">
        <f aca="false">Sens!J15576*(1+Sens!K15577)</f>
        <v>45.5468874502068</v>
      </c>
    </row>
    <row r="15577" customFormat="false" ht="15" hidden="false" customHeight="false" outlineLevel="0" collapsed="false">
      <c r="A15577" s="1" t="s">
        <v>876</v>
      </c>
      <c r="B15577" s="0" t="s">
        <v>129</v>
      </c>
      <c r="E15577" s="7" t="n">
        <f aca="false">Sens!E15576/Sens!D15576-1</f>
        <v>0.0535164307309768</v>
      </c>
      <c r="F15577" s="7" t="n">
        <f aca="false">Sens!$E$15577+(glt_lic-Sens!$E$15577)*MIN(1,(Sens!F15529-base_fy)/n_conv)</f>
        <v>0.0479303589424807</v>
      </c>
      <c r="G15577" s="7" t="n">
        <f aca="false">Sens!$E$15577+(glt_lic-Sens!$E$15577)*MIN(1,(Sens!G15529-base_fy)/n_conv)</f>
        <v>0.0423442871539845</v>
      </c>
      <c r="H15577" s="7" t="n">
        <f aca="false">Sens!$E$15577+(glt_lic-Sens!$E$15577)*MIN(1,(Sens!H15529-base_fy)/n_conv)</f>
        <v>0.0367582153654884</v>
      </c>
      <c r="I15577" s="7" t="n">
        <f aca="false">Sens!$E$15577+(glt_lic-Sens!$E$15577)*MIN(1,(Sens!I15529-base_fy)/n_conv)</f>
        <v>0.0311721435769923</v>
      </c>
      <c r="J15577" s="7" t="n">
        <f aca="false">Sens!$E$15577+(glt_lic-Sens!$E$15577)*MIN(1,(Sens!J15529-base_fy)/n_conv)</f>
        <v>0.0255860717884961</v>
      </c>
      <c r="K15577" s="7" t="n">
        <f aca="false">Sens!$E$15577+(glt_lic-Sens!$E$15577)*MIN(1,(Sens!K15529-base_fy)/n_conv)</f>
        <v>0.02</v>
      </c>
    </row>
    <row r="15578" customFormat="false" ht="15" hidden="false" customHeight="false" outlineLevel="0" collapsed="false">
      <c r="A15578" s="0" t="s">
        <v>885</v>
      </c>
      <c r="B15578" s="0" t="s">
        <v>98</v>
      </c>
      <c r="D15578" s="6" t="n">
        <f aca="false">Q!L9</f>
        <v>18.417</v>
      </c>
      <c r="E15578" s="6" t="n">
        <f aca="false">Q!M9</f>
        <v>20.345</v>
      </c>
      <c r="F15578" s="6" t="n">
        <f aca="false">Sens!E15578*(1+Sens!F15579)</f>
        <v>22.3572203267814</v>
      </c>
      <c r="G15578" s="6" t="n">
        <f aca="false">Sens!F15578*(1+Sens!G15579)</f>
        <v>24.4392124437232</v>
      </c>
      <c r="H15578" s="6" t="n">
        <f aca="false">Sens!G15578*(1+Sens!H15579)</f>
        <v>26.5738052080665</v>
      </c>
      <c r="I15578" s="6" t="n">
        <f aca="false">Sens!H15578*(1+Sens!I15579)</f>
        <v>28.7412169166967</v>
      </c>
      <c r="J15578" s="6" t="n">
        <f aca="false">Sens!I15578*(1+Sens!J15579)</f>
        <v>30.9192545395413</v>
      </c>
      <c r="K15578" s="6" t="n">
        <f aca="false">Sens!J15578*(1+Sens!K15579)</f>
        <v>33.0836023573092</v>
      </c>
    </row>
    <row r="15579" customFormat="false" ht="15" hidden="false" customHeight="false" outlineLevel="0" collapsed="false">
      <c r="A15579" s="1" t="s">
        <v>876</v>
      </c>
      <c r="B15579" s="0" t="s">
        <v>129</v>
      </c>
      <c r="E15579" s="7" t="n">
        <f aca="false">Sens!E15578/Sens!D15578-1</f>
        <v>0.104685888038225</v>
      </c>
      <c r="F15579" s="7" t="n">
        <f aca="false">Sens!$E$15579+(glt_ind-Sens!$E$15579)*MIN(1,(Sens!F15529-base_fy)/n_conv)</f>
        <v>0.0989049066985211</v>
      </c>
      <c r="G15579" s="7" t="n">
        <f aca="false">Sens!$E$15579+(glt_ind-Sens!$E$15579)*MIN(1,(Sens!G15529-base_fy)/n_conv)</f>
        <v>0.0931239253588169</v>
      </c>
      <c r="H15579" s="7" t="n">
        <f aca="false">Sens!$E$15579+(glt_ind-Sens!$E$15579)*MIN(1,(Sens!H15529-base_fy)/n_conv)</f>
        <v>0.0873429440191127</v>
      </c>
      <c r="I15579" s="7" t="n">
        <f aca="false">Sens!$E$15579+(glt_ind-Sens!$E$15579)*MIN(1,(Sens!I15529-base_fy)/n_conv)</f>
        <v>0.0815619626794085</v>
      </c>
      <c r="J15579" s="7" t="n">
        <f aca="false">Sens!$E$15579+(glt_ind-Sens!$E$15579)*MIN(1,(Sens!J15529-base_fy)/n_conv)</f>
        <v>0.0757809813397042</v>
      </c>
      <c r="K15579" s="7" t="n">
        <f aca="false">Sens!$E$15579+(glt_ind-Sens!$E$15579)*MIN(1,(Sens!K15529-base_fy)/n_conv)</f>
        <v>0.07</v>
      </c>
    </row>
    <row r="15580" customFormat="false" ht="15" hidden="false" customHeight="false" outlineLevel="0" collapsed="false">
      <c r="A15580" s="0" t="s">
        <v>886</v>
      </c>
      <c r="B15580" s="0" t="s">
        <v>98</v>
      </c>
      <c r="D15580" s="6" t="n">
        <f aca="false">Q!L10</f>
        <v>7.76</v>
      </c>
      <c r="E15580" s="6" t="n">
        <f aca="false">Q!M10</f>
        <v>8.26</v>
      </c>
      <c r="F15580" s="6" t="n">
        <f aca="false">Sens!E15580*(1+Sens!F15581)</f>
        <v>8.79988041237113</v>
      </c>
      <c r="G15580" s="6" t="n">
        <f aca="false">Sens!F15580*(1+Sens!G15581)</f>
        <v>9.38321269125306</v>
      </c>
      <c r="H15580" s="6" t="n">
        <f aca="false">Sens!G15580*(1+Sens!H15581)</f>
        <v>10.0139193587476</v>
      </c>
      <c r="I15580" s="6" t="n">
        <f aca="false">Sens!H15580*(1+Sens!I15581)</f>
        <v>10.6963111830911</v>
      </c>
      <c r="J15580" s="6" t="n">
        <f aca="false">Sens!I15580*(1+Sens!J15581)</f>
        <v>11.4351285534696</v>
      </c>
      <c r="K15580" s="6" t="n">
        <f aca="false">Sens!J15580*(1+Sens!K15581)</f>
        <v>12.2355875522124</v>
      </c>
    </row>
    <row r="15581" customFormat="false" ht="15" hidden="false" customHeight="false" outlineLevel="0" collapsed="false">
      <c r="A15581" s="1" t="s">
        <v>876</v>
      </c>
      <c r="B15581" s="0" t="s">
        <v>129</v>
      </c>
      <c r="E15581" s="7" t="n">
        <f aca="false">Sens!E15580/Sens!D15580-1</f>
        <v>0.0644329896907216</v>
      </c>
      <c r="F15581" s="7" t="n">
        <f aca="false">Sens!$E$15581+(glt_fro-Sens!$E$15581)*MIN(1,(Sens!F15529-base_fy)/n_conv)</f>
        <v>0.065360824742268</v>
      </c>
      <c r="G15581" s="7" t="n">
        <f aca="false">Sens!$E$15581+(glt_fro-Sens!$E$15581)*MIN(1,(Sens!G15529-base_fy)/n_conv)</f>
        <v>0.0662886597938144</v>
      </c>
      <c r="H15581" s="7" t="n">
        <f aca="false">Sens!$E$15581+(glt_fro-Sens!$E$15581)*MIN(1,(Sens!H15529-base_fy)/n_conv)</f>
        <v>0.0672164948453608</v>
      </c>
      <c r="I15581" s="7" t="n">
        <f aca="false">Sens!$E$15581+(glt_fro-Sens!$E$15581)*MIN(1,(Sens!I15529-base_fy)/n_conv)</f>
        <v>0.0681443298969072</v>
      </c>
      <c r="J15581" s="7" t="n">
        <f aca="false">Sens!$E$15581+(glt_fro-Sens!$E$15581)*MIN(1,(Sens!J15529-base_fy)/n_conv)</f>
        <v>0.0690721649484536</v>
      </c>
      <c r="K15581" s="7" t="n">
        <f aca="false">Sens!$E$15581+(glt_fro-Sens!$E$15581)*MIN(1,(Sens!K15529-base_fy)/n_conv)</f>
        <v>0.07</v>
      </c>
    </row>
    <row r="15582" customFormat="false" ht="15" hidden="false" customHeight="false" outlineLevel="0" collapsed="false">
      <c r="A15582" s="0" t="s">
        <v>715</v>
      </c>
      <c r="B15582" s="0" t="s">
        <v>98</v>
      </c>
      <c r="D15582" s="6" t="n">
        <f aca="false">Sens!D15570+Sens!D15575+Sens!D15576+Sens!D15578+Sens!D15580</f>
        <v>218.783</v>
      </c>
      <c r="E15582" s="6" t="n">
        <f aca="false">Sens!E15570+Sens!E15575+Sens!E15576+Sens!E15578+Sens!E15580</f>
        <v>268.127</v>
      </c>
      <c r="F15582" s="6" t="n">
        <f aca="false">Sens!F15570+Sens!F15575+Sens!F15576+Sens!F15578+Sens!F15580</f>
        <v>334.265528251508</v>
      </c>
      <c r="G15582" s="6" t="n">
        <f aca="false">Sens!G15570+Sens!G15575+Sens!G15576+Sens!G15578+Sens!G15580</f>
        <v>408.072123059793</v>
      </c>
      <c r="H15582" s="6" t="n">
        <f aca="false">Sens!H15570+Sens!H15575+Sens!H15576+Sens!H15578+Sens!H15580</f>
        <v>483.196296004025</v>
      </c>
      <c r="I15582" s="6" t="n">
        <f aca="false">Sens!I15570+Sens!I15575+Sens!I15576+Sens!I15578+Sens!I15580</f>
        <v>551.903517626826</v>
      </c>
      <c r="J15582" s="6" t="n">
        <f aca="false">Sens!J15570+Sens!J15575+Sens!J15576+Sens!J15578+Sens!J15580</f>
        <v>607.719049711612</v>
      </c>
      <c r="K15582" s="6" t="n">
        <f aca="false">Sens!K15570+Sens!K15575+Sens!K15576+Sens!K15578+Sens!K15580</f>
        <v>652.377736249452</v>
      </c>
    </row>
    <row r="15583" customFormat="false" ht="15" hidden="false" customHeight="false" outlineLevel="0" collapsed="false">
      <c r="A15583" s="0" t="s">
        <v>887</v>
      </c>
      <c r="B15583" s="0" t="s">
        <v>98</v>
      </c>
      <c r="D15583" s="6" t="n">
        <f aca="false">Q!L13</f>
        <v>22.171</v>
      </c>
      <c r="E15583" s="6" t="n">
        <f aca="false">Q!M13</f>
        <v>24.835</v>
      </c>
      <c r="F15583" s="6" t="n">
        <f aca="false">Sens!E15583*(1+Sens!F15584)</f>
        <v>27.6114901218559</v>
      </c>
      <c r="G15583" s="6" t="n">
        <f aca="false">Sens!F15583*(1+Sens!G15584)</f>
        <v>30.4675667338515</v>
      </c>
      <c r="H15583" s="6" t="n">
        <f aca="false">Sens!G15583*(1+Sens!H15584)</f>
        <v>33.3643766955789</v>
      </c>
      <c r="I15583" s="6" t="n">
        <f aca="false">Sens!H15583*(1+Sens!I15584)</f>
        <v>36.2577016533691</v>
      </c>
      <c r="J15583" s="6" t="n">
        <f aca="false">Sens!I15583*(1+Sens!J15584)</f>
        <v>39.0988367952171</v>
      </c>
      <c r="K15583" s="6" t="n">
        <f aca="false">Sens!J15583*(1+Sens!K15584)</f>
        <v>41.8357553708823</v>
      </c>
    </row>
    <row r="15584" customFormat="false" ht="15" hidden="false" customHeight="false" outlineLevel="0" collapsed="false">
      <c r="A15584" s="1" t="s">
        <v>876</v>
      </c>
      <c r="B15584" s="0" t="s">
        <v>129</v>
      </c>
      <c r="E15584" s="7" t="n">
        <f aca="false">Sens!E15583/Sens!D15583-1</f>
        <v>0.120156961796942</v>
      </c>
      <c r="F15584" s="7" t="n">
        <f aca="false">Sens!$E$15584+(glt_srch-Sens!$E$15584)*MIN(1,(Sens!F15529-base_fy)/n_conv)</f>
        <v>0.111797468164118</v>
      </c>
      <c r="G15584" s="7" t="n">
        <f aca="false">Sens!$E$15584+(glt_srch-Sens!$E$15584)*MIN(1,(Sens!G15529-base_fy)/n_conv)</f>
        <v>0.103437974531295</v>
      </c>
      <c r="H15584" s="7" t="n">
        <f aca="false">Sens!$E$15584+(glt_srch-Sens!$E$15584)*MIN(1,(Sens!H15529-base_fy)/n_conv)</f>
        <v>0.095078480898471</v>
      </c>
      <c r="I15584" s="7" t="n">
        <f aca="false">Sens!$E$15584+(glt_srch-Sens!$E$15584)*MIN(1,(Sens!I15529-base_fy)/n_conv)</f>
        <v>0.0867189872656474</v>
      </c>
      <c r="J15584" s="7" t="n">
        <f aca="false">Sens!$E$15584+(glt_srch-Sens!$E$15584)*MIN(1,(Sens!J15529-base_fy)/n_conv)</f>
        <v>0.0783594936328237</v>
      </c>
      <c r="K15584" s="7" t="n">
        <f aca="false">Sens!$E$15584+(glt_srch-Sens!$E$15584)*MIN(1,(Sens!K15529-base_fy)/n_conv)</f>
        <v>0.07</v>
      </c>
    </row>
    <row r="15585" customFormat="false" ht="15" hidden="false" customHeight="false" outlineLevel="0" collapsed="false">
      <c r="A15585" s="0" t="s">
        <v>888</v>
      </c>
      <c r="B15585" s="0" t="s">
        <v>98</v>
      </c>
      <c r="D15585" s="6" t="n">
        <f aca="false">Q!L14</f>
        <v>23.455</v>
      </c>
      <c r="E15585" s="6" t="n">
        <f aca="false">Q!M14</f>
        <v>21.79</v>
      </c>
      <c r="F15585" s="6" t="n">
        <f aca="false">Sens!E15585*(1+Sens!F15586)</f>
        <v>20.5736277908051</v>
      </c>
      <c r="G15585" s="6" t="n">
        <f aca="false">Sens!F15585*(1+Sens!G15586)</f>
        <v>19.7371452817919</v>
      </c>
      <c r="H15585" s="6" t="n">
        <f aca="false">Sens!G15585*(1+Sens!H15586)</f>
        <v>19.2339764043138</v>
      </c>
      <c r="I15585" s="6" t="n">
        <f aca="false">Sens!H15585*(1+Sens!I15586)</f>
        <v>19.0353086852681</v>
      </c>
      <c r="J15585" s="6" t="n">
        <f aca="false">Sens!I15585*(1+Sens!J15586)</f>
        <v>19.1273539319129</v>
      </c>
      <c r="K15585" s="6" t="n">
        <f aca="false">Sens!J15585*(1+Sens!K15586)</f>
        <v>19.5099010105511</v>
      </c>
    </row>
    <row r="15586" customFormat="false" ht="15" hidden="false" customHeight="false" outlineLevel="0" collapsed="false">
      <c r="A15586" s="1" t="s">
        <v>876</v>
      </c>
      <c r="B15586" s="0" t="s">
        <v>129</v>
      </c>
      <c r="E15586" s="7" t="n">
        <f aca="false">Sens!E15585/Sens!D15585-1</f>
        <v>-0.0709869963760392</v>
      </c>
      <c r="F15586" s="7" t="n">
        <f aca="false">Sens!$E$15586+(glt_xbox-Sens!$E$15586)*MIN(1,(Sens!F15529-base_fy)/n_conv)</f>
        <v>-0.0558224969800327</v>
      </c>
      <c r="G15586" s="7" t="n">
        <f aca="false">Sens!$E$15586+(glt_xbox-Sens!$E$15586)*MIN(1,(Sens!G15529-base_fy)/n_conv)</f>
        <v>-0.0406579975840262</v>
      </c>
      <c r="H15586" s="7" t="n">
        <f aca="false">Sens!$E$15586+(glt_xbox-Sens!$E$15586)*MIN(1,(Sens!H15529-base_fy)/n_conv)</f>
        <v>-0.0254934981880196</v>
      </c>
      <c r="I15586" s="7" t="n">
        <f aca="false">Sens!$E$15586+(glt_xbox-Sens!$E$15586)*MIN(1,(Sens!I15529-base_fy)/n_conv)</f>
        <v>-0.0103289987920131</v>
      </c>
      <c r="J15586" s="7" t="n">
        <f aca="false">Sens!$E$15586+(glt_xbox-Sens!$E$15586)*MIN(1,(Sens!J15529-base_fy)/n_conv)</f>
        <v>0.00483550060399347</v>
      </c>
      <c r="K15586" s="7" t="n">
        <f aca="false">Sens!$E$15586+(glt_xbox-Sens!$E$15586)*MIN(1,(Sens!K15529-base_fy)/n_conv)</f>
        <v>0.02</v>
      </c>
    </row>
    <row r="15587" customFormat="false" ht="15" hidden="false" customHeight="false" outlineLevel="0" collapsed="false">
      <c r="A15587" s="0" t="s">
        <v>889</v>
      </c>
      <c r="B15587" s="0" t="s">
        <v>98</v>
      </c>
      <c r="D15587" s="6" t="n">
        <f aca="false">Q!L15</f>
        <v>17.315</v>
      </c>
      <c r="E15587" s="6" t="n">
        <f aca="false">Q!M15</f>
        <v>17.087</v>
      </c>
      <c r="F15587" s="6" t="n">
        <f aca="false">Sens!E15587*(1+Sens!F15588)</f>
        <v>16.9564585436519</v>
      </c>
      <c r="G15587" s="6" t="n">
        <f aca="false">Sens!F15587*(1+Sens!G15588)</f>
        <v>16.9206490624268</v>
      </c>
      <c r="H15587" s="6" t="n">
        <f aca="false">Sens!G15587*(1+Sens!H15588)</f>
        <v>16.9784519149849</v>
      </c>
      <c r="I15587" s="6" t="n">
        <f aca="false">Sens!H15587*(1+Sens!I15588)</f>
        <v>17.1303084701817</v>
      </c>
      <c r="J15587" s="6" t="n">
        <f aca="false">Sens!I15587*(1+Sens!J15588)</f>
        <v>17.3782189407267</v>
      </c>
      <c r="K15587" s="6" t="n">
        <f aca="false">Sens!J15587*(1+Sens!K15588)</f>
        <v>17.7257833195413</v>
      </c>
    </row>
    <row r="15588" customFormat="false" ht="15" hidden="false" customHeight="false" outlineLevel="0" collapsed="false">
      <c r="A15588" s="1" t="s">
        <v>876</v>
      </c>
      <c r="B15588" s="0" t="s">
        <v>129</v>
      </c>
      <c r="E15588" s="7" t="n">
        <f aca="false">Sens!E15587/Sens!D15587-1</f>
        <v>-0.0131677736066995</v>
      </c>
      <c r="F15588" s="7" t="n">
        <f aca="false">Sens!$E$15588+(glt_win-Sens!$E$15588)*MIN(1,(Sens!F15529-base_fy)/n_conv)</f>
        <v>-0.00763981133891627</v>
      </c>
      <c r="G15588" s="7" t="n">
        <f aca="false">Sens!$E$15588+(glt_win-Sens!$E$15588)*MIN(1,(Sens!G15529-base_fy)/n_conv)</f>
        <v>-0.00211184907113301</v>
      </c>
      <c r="H15588" s="7" t="n">
        <f aca="false">Sens!$E$15588+(glt_win-Sens!$E$15588)*MIN(1,(Sens!H15529-base_fy)/n_conv)</f>
        <v>0.00341611319665024</v>
      </c>
      <c r="I15588" s="7" t="n">
        <f aca="false">Sens!$E$15588+(glt_win-Sens!$E$15588)*MIN(1,(Sens!I15529-base_fy)/n_conv)</f>
        <v>0.00894407546443349</v>
      </c>
      <c r="J15588" s="7" t="n">
        <f aca="false">Sens!$E$15588+(glt_win-Sens!$E$15588)*MIN(1,(Sens!J15529-base_fy)/n_conv)</f>
        <v>0.0144720377322168</v>
      </c>
      <c r="K15588" s="7" t="n">
        <f aca="false">Sens!$E$15588+(glt_win-Sens!$E$15588)*MIN(1,(Sens!K15529-base_fy)/n_conv)</f>
        <v>0.02</v>
      </c>
    </row>
    <row r="15589" customFormat="false" ht="15" hidden="false" customHeight="false" outlineLevel="0" collapsed="false">
      <c r="A15589" s="0" t="s">
        <v>729</v>
      </c>
      <c r="B15589" s="0" t="s">
        <v>98</v>
      </c>
      <c r="D15589" s="6" t="n">
        <f aca="false">Sens!D15583+Sens!D15585+Sens!D15587</f>
        <v>62.941</v>
      </c>
      <c r="E15589" s="6" t="n">
        <f aca="false">Sens!E15583+Sens!E15585+Sens!E15587</f>
        <v>63.712</v>
      </c>
      <c r="F15589" s="6" t="n">
        <f aca="false">Sens!F15583+Sens!F15585+Sens!F15587</f>
        <v>65.1415764563129</v>
      </c>
      <c r="G15589" s="6" t="n">
        <f aca="false">Sens!G15583+Sens!G15585+Sens!G15587</f>
        <v>67.1253610780702</v>
      </c>
      <c r="H15589" s="6" t="n">
        <f aca="false">Sens!H15583+Sens!H15585+Sens!H15587</f>
        <v>69.5768050148776</v>
      </c>
      <c r="I15589" s="6" t="n">
        <f aca="false">Sens!I15583+Sens!I15585+Sens!I15587</f>
        <v>72.4233188088189</v>
      </c>
      <c r="J15589" s="6" t="n">
        <f aca="false">Sens!J15583+Sens!J15585+Sens!J15587</f>
        <v>75.6044096678567</v>
      </c>
      <c r="K15589" s="6" t="n">
        <f aca="false">Sens!K15583+Sens!K15585+Sens!K15587</f>
        <v>79.0714397009747</v>
      </c>
    </row>
    <row r="15590" customFormat="false" ht="15" hidden="false" customHeight="false" outlineLevel="0" collapsed="false">
      <c r="A15590" s="1" t="s">
        <v>890</v>
      </c>
      <c r="B15590" s="0" t="s">
        <v>98</v>
      </c>
      <c r="D15590" s="6" t="n">
        <f aca="false">Sens!D15582+Sens!D15589</f>
        <v>281.724</v>
      </c>
      <c r="E15590" s="6" t="n">
        <f aca="false">Sens!E15582+Sens!E15589</f>
        <v>331.839</v>
      </c>
      <c r="F15590" s="6" t="n">
        <f aca="false">Sens!F15582+Sens!F15589</f>
        <v>399.407104707821</v>
      </c>
      <c r="G15590" s="6" t="n">
        <f aca="false">Sens!G15582+Sens!G15589</f>
        <v>475.197484137863</v>
      </c>
      <c r="H15590" s="6" t="n">
        <f aca="false">Sens!H15582+Sens!H15589</f>
        <v>552.773101018903</v>
      </c>
      <c r="I15590" s="6" t="n">
        <f aca="false">Sens!I15582+Sens!I15589</f>
        <v>624.326836435645</v>
      </c>
      <c r="J15590" s="6" t="n">
        <f aca="false">Sens!J15582+Sens!J15589</f>
        <v>683.323459379469</v>
      </c>
      <c r="K15590" s="6" t="n">
        <f aca="false">Sens!K15582+Sens!K15589</f>
        <v>731.449175950427</v>
      </c>
    </row>
    <row r="15591" customFormat="false" ht="15" hidden="false" customHeight="false" outlineLevel="0" collapsed="false">
      <c r="A15591" s="23" t="s">
        <v>891</v>
      </c>
      <c r="B15591" s="30" t="s">
        <v>98</v>
      </c>
      <c r="C15591" s="30"/>
      <c r="D15591" s="24" t="n">
        <f aca="false">(Sens!D15570+Sens!D15575+Sens!D15576+Sens!D15578+Sens!D15580-Sens!D15582)+(Sens!D15583+Sens!D15585+Sens!D15587-Sens!D15589)+(Sens!D15582-Q!L5)+(Sens!D15589-Q!L12)+(Sens!D15570-Q!L6)+(Sens!D15575-Q!L7)</f>
        <v>0</v>
      </c>
      <c r="E15591" s="24" t="n">
        <f aca="false">(Sens!E15570+Sens!E15575+Sens!E15576+Sens!E15578+Sens!E15580-Sens!E15582)+(Sens!E15583+Sens!E15585+Sens!E15587-Sens!E15589)+(Sens!E15582-Q!M5)+(Sens!E15589-Q!M12)+(Sens!E15570-Q!M6)+(Sens!E15575-Q!M7)</f>
        <v>0</v>
      </c>
      <c r="F15591" s="24" t="n">
        <f aca="false">(Sens!F15570+Sens!F15575+Sens!F15576+Sens!F15578+Sens!F15580-Sens!F15582)+(Sens!F15583+Sens!F15585+Sens!F15587-Sens!F15589)</f>
        <v>0</v>
      </c>
      <c r="G15591" s="24" t="n">
        <f aca="false">(Sens!G15570+Sens!G15575+Sens!G15576+Sens!G15578+Sens!G15580-Sens!G15582)+(Sens!G15583+Sens!G15585+Sens!G15587-Sens!G15589)</f>
        <v>0</v>
      </c>
      <c r="H15591" s="24" t="n">
        <f aca="false">(Sens!H15570+Sens!H15575+Sens!H15576+Sens!H15578+Sens!H15580-Sens!H15582)+(Sens!H15583+Sens!H15585+Sens!H15587-Sens!H15589)</f>
        <v>0</v>
      </c>
      <c r="I15591" s="24" t="n">
        <f aca="false">(Sens!I15570+Sens!I15575+Sens!I15576+Sens!I15578+Sens!I15580-Sens!I15582)+(Sens!I15583+Sens!I15585+Sens!I15587-Sens!I15589)</f>
        <v>0</v>
      </c>
      <c r="J15591" s="24" t="n">
        <f aca="false">(Sens!J15570+Sens!J15575+Sens!J15576+Sens!J15578+Sens!J15580-Sens!J15582)+(Sens!J15583+Sens!J15585+Sens!J15587-Sens!J15589)</f>
        <v>0</v>
      </c>
      <c r="K15591" s="24" t="n">
        <f aca="false">(Sens!K15570+Sens!K15575+Sens!K15576+Sens!K15578+Sens!K15580-Sens!K15582)+(Sens!K15583+Sens!K15585+Sens!K15587-Sens!K15589)</f>
        <v>0</v>
      </c>
    </row>
    <row r="15592" customFormat="false" ht="17.15" hidden="false" customHeight="false" outlineLevel="0" collapsed="false">
      <c r="A15592" s="3" t="s">
        <v>1658</v>
      </c>
    </row>
    <row r="15593" customFormat="false" ht="15" hidden="false" customHeight="false" outlineLevel="0" collapsed="false">
      <c r="A15593" s="4" t="s">
        <v>43</v>
      </c>
      <c r="B15593" s="4" t="s">
        <v>65</v>
      </c>
      <c r="C15593" s="20" t="s">
        <v>799</v>
      </c>
      <c r="D15593" s="20" t="s">
        <v>800</v>
      </c>
      <c r="E15593" s="20" t="s">
        <v>801</v>
      </c>
      <c r="F15593" s="20" t="s">
        <v>802</v>
      </c>
      <c r="G15593" s="20" t="s">
        <v>803</v>
      </c>
      <c r="H15593" s="20" t="s">
        <v>804</v>
      </c>
      <c r="I15593" s="20" t="s">
        <v>805</v>
      </c>
      <c r="J15593" s="20" t="s">
        <v>806</v>
      </c>
      <c r="K15593" s="20" t="s">
        <v>807</v>
      </c>
      <c r="L15593" s="4" t="s">
        <v>47</v>
      </c>
    </row>
    <row r="15594" customFormat="false" ht="15" hidden="false" customHeight="false" outlineLevel="0" collapsed="false">
      <c r="A15594" s="0" t="s">
        <v>877</v>
      </c>
      <c r="B15594" s="0" t="s">
        <v>98</v>
      </c>
      <c r="D15594" s="6" t="n">
        <f aca="false">Sens!D15570</f>
        <v>72.61</v>
      </c>
      <c r="E15594" s="6" t="n">
        <f aca="false">Sens!E15570</f>
        <v>101.938</v>
      </c>
      <c r="F15594" s="6" t="n">
        <f aca="false">Sens!F15570</f>
        <v>145.143956312325</v>
      </c>
      <c r="G15594" s="6" t="n">
        <f aca="false">Sens!G15570</f>
        <v>196.478966522364</v>
      </c>
      <c r="H15594" s="6" t="n">
        <f aca="false">Sens!H15570</f>
        <v>249.10761332251</v>
      </c>
      <c r="I15594" s="6" t="n">
        <f aca="false">Sens!I15570</f>
        <v>297.09216264734</v>
      </c>
      <c r="J15594" s="6" t="n">
        <f aca="false">Sens!J15570</f>
        <v>334.278152607443</v>
      </c>
      <c r="K15594" s="6" t="n">
        <f aca="false">Sens!K15570</f>
        <v>361.233666909276</v>
      </c>
    </row>
    <row r="15595" customFormat="false" ht="17.15" hidden="false" customHeight="false" outlineLevel="0" collapsed="false">
      <c r="A15595" s="0" t="s">
        <v>874</v>
      </c>
      <c r="B15595" s="0" t="s">
        <v>98</v>
      </c>
      <c r="D15595" s="6" t="n">
        <f aca="false">Sens!D15567</f>
        <v>12.9359794422418</v>
      </c>
      <c r="E15595" s="6" t="n">
        <f aca="false">Sens!E15567</f>
        <v>27.8095064661409</v>
      </c>
      <c r="F15595" s="6" t="n">
        <f aca="false">Sens!F15567</f>
        <v>55.0640065749585</v>
      </c>
      <c r="G15595" s="6" t="n">
        <f aca="false">Sens!G15567</f>
        <v>89.4505413190538</v>
      </c>
      <c r="H15595" s="6" t="n">
        <f aca="false">Sens!H15567</f>
        <v>124.835630736874</v>
      </c>
      <c r="I15595" s="6" t="n">
        <f aca="false">Sens!I15567</f>
        <v>156.158460265485</v>
      </c>
      <c r="J15595" s="6" t="n">
        <f aca="false">Sens!J15567</f>
        <v>178.259285293112</v>
      </c>
      <c r="K15595" s="6" t="n">
        <f aca="false">Sens!K15567</f>
        <v>192.733290209798</v>
      </c>
    </row>
    <row r="15596" customFormat="false" ht="17.15" hidden="false" customHeight="false" outlineLevel="0" collapsed="false">
      <c r="A15596" s="0" t="s">
        <v>902</v>
      </c>
      <c r="B15596" s="0" t="s">
        <v>98</v>
      </c>
      <c r="D15596" s="6" t="n">
        <f aca="false">Sens!D15568</f>
        <v>59.6740205577583</v>
      </c>
      <c r="E15596" s="6" t="n">
        <f aca="false">Sens!E15568</f>
        <v>74.1284935338591</v>
      </c>
      <c r="F15596" s="6" t="n">
        <f aca="false">Sens!F15568</f>
        <v>90.0799497373663</v>
      </c>
      <c r="G15596" s="6" t="n">
        <f aca="false">Sens!G15568</f>
        <v>107.02842520331</v>
      </c>
      <c r="H15596" s="6" t="n">
        <f aca="false">Sens!H15568</f>
        <v>124.271982585636</v>
      </c>
      <c r="I15596" s="6" t="n">
        <f aca="false">Sens!I15568</f>
        <v>140.933702381855</v>
      </c>
      <c r="J15596" s="6" t="n">
        <f aca="false">Sens!J15568</f>
        <v>156.018867314332</v>
      </c>
      <c r="K15596" s="6" t="n">
        <f aca="false">Sens!K15568</f>
        <v>168.500376699478</v>
      </c>
    </row>
    <row r="15597" customFormat="false" ht="15" hidden="false" customHeight="false" outlineLevel="0" collapsed="false">
      <c r="A15597" s="0" t="s">
        <v>883</v>
      </c>
      <c r="B15597" s="0" t="s">
        <v>98</v>
      </c>
      <c r="D15597" s="6" t="n">
        <f aca="false">Sens!D15575</f>
        <v>84.605</v>
      </c>
      <c r="E15597" s="6" t="n">
        <f aca="false">Sens!E15575</f>
        <v>100.299</v>
      </c>
      <c r="F15597" s="6" t="n">
        <f aca="false">Sens!F15575</f>
        <v>118.89238776686</v>
      </c>
      <c r="G15597" s="6" t="n">
        <f aca="false">Sens!G15575</f>
        <v>137.044168448684</v>
      </c>
      <c r="H15597" s="6" t="n">
        <f aca="false">Sens!H15575</f>
        <v>155.277359388781</v>
      </c>
      <c r="I15597" s="6" t="n">
        <f aca="false">Sens!I15575</f>
        <v>171.834028071957</v>
      </c>
      <c r="J15597" s="6" t="n">
        <f aca="false">Sens!J15575</f>
        <v>186.432702785465</v>
      </c>
      <c r="K15597" s="6" t="n">
        <f aca="false">Sens!K15575</f>
        <v>200.277991980448</v>
      </c>
    </row>
    <row r="15598" customFormat="false" ht="17.15" hidden="false" customHeight="false" outlineLevel="0" collapsed="false">
      <c r="A15598" s="0" t="s">
        <v>903</v>
      </c>
      <c r="B15598" s="0" t="s">
        <v>98</v>
      </c>
      <c r="D15598" s="6" t="n">
        <f aca="false">Sens!D15573</f>
        <v>83.705</v>
      </c>
      <c r="E15598" s="6" t="n">
        <f aca="false">Sens!E15573</f>
        <v>95.049</v>
      </c>
      <c r="F15598" s="6" t="n">
        <f aca="false">Sens!F15573</f>
        <v>106.89238776686</v>
      </c>
      <c r="G15598" s="6" t="n">
        <f aca="false">Sens!G15573</f>
        <v>119.044168448684</v>
      </c>
      <c r="H15598" s="6" t="n">
        <f aca="false">Sens!H15573</f>
        <v>131.277359388781</v>
      </c>
      <c r="I15598" s="6" t="n">
        <f aca="false">Sens!I15573</f>
        <v>143.334028071957</v>
      </c>
      <c r="J15598" s="6" t="n">
        <f aca="false">Sens!J15573</f>
        <v>154.932702785465</v>
      </c>
      <c r="K15598" s="6" t="n">
        <f aca="false">Sens!K15573</f>
        <v>165.777991980448</v>
      </c>
    </row>
    <row r="15599" customFormat="false" ht="17.15" hidden="false" customHeight="false" outlineLevel="0" collapsed="false">
      <c r="A15599" s="0" t="s">
        <v>904</v>
      </c>
      <c r="B15599" s="0" t="s">
        <v>98</v>
      </c>
      <c r="D15599" s="6" t="n">
        <f aca="false">Sens!D15572</f>
        <v>0.9</v>
      </c>
      <c r="E15599" s="6" t="n">
        <f aca="false">Sens!E15572</f>
        <v>5.25</v>
      </c>
      <c r="F15599" s="6" t="n">
        <f aca="false">Sens!F15572</f>
        <v>12</v>
      </c>
      <c r="G15599" s="6" t="n">
        <f aca="false">Sens!G15572</f>
        <v>18</v>
      </c>
      <c r="H15599" s="6" t="n">
        <f aca="false">Sens!H15572</f>
        <v>24</v>
      </c>
      <c r="I15599" s="6" t="n">
        <f aca="false">Sens!I15572</f>
        <v>28.5</v>
      </c>
      <c r="J15599" s="6" t="n">
        <f aca="false">Sens!J15572</f>
        <v>31.5</v>
      </c>
      <c r="K15599" s="6" t="n">
        <f aca="false">Sens!K15572</f>
        <v>34.5</v>
      </c>
    </row>
    <row r="15600" customFormat="false" ht="15" hidden="false" customHeight="false" outlineLevel="0" collapsed="false">
      <c r="A15600" s="0" t="s">
        <v>884</v>
      </c>
      <c r="B15600" s="0" t="s">
        <v>98</v>
      </c>
      <c r="D15600" s="6" t="n">
        <f aca="false">Sens!D15576</f>
        <v>35.391</v>
      </c>
      <c r="E15600" s="6" t="n">
        <f aca="false">Sens!E15576</f>
        <v>37.285</v>
      </c>
      <c r="F15600" s="6" t="n">
        <f aca="false">Sens!F15576</f>
        <v>39.0720834331704</v>
      </c>
      <c r="G15600" s="6" t="n">
        <f aca="false">Sens!G15576</f>
        <v>40.726562953769</v>
      </c>
      <c r="H15600" s="6" t="n">
        <f aca="false">Sens!H15576</f>
        <v>42.2235987259198</v>
      </c>
      <c r="I15600" s="6" t="n">
        <f aca="false">Sens!I15576</f>
        <v>43.5397988077414</v>
      </c>
      <c r="J15600" s="6" t="n">
        <f aca="false">Sens!J15576</f>
        <v>44.653811225693</v>
      </c>
      <c r="K15600" s="6" t="n">
        <f aca="false">Sens!K15576</f>
        <v>45.5468874502068</v>
      </c>
    </row>
    <row r="15601" customFormat="false" ht="15" hidden="false" customHeight="false" outlineLevel="0" collapsed="false">
      <c r="A15601" s="0" t="s">
        <v>885</v>
      </c>
      <c r="B15601" s="0" t="s">
        <v>98</v>
      </c>
      <c r="D15601" s="6" t="n">
        <f aca="false">Sens!D15578</f>
        <v>18.417</v>
      </c>
      <c r="E15601" s="6" t="n">
        <f aca="false">Sens!E15578</f>
        <v>20.345</v>
      </c>
      <c r="F15601" s="6" t="n">
        <f aca="false">Sens!F15578</f>
        <v>22.3572203267814</v>
      </c>
      <c r="G15601" s="6" t="n">
        <f aca="false">Sens!G15578</f>
        <v>24.4392124437232</v>
      </c>
      <c r="H15601" s="6" t="n">
        <f aca="false">Sens!H15578</f>
        <v>26.5738052080665</v>
      </c>
      <c r="I15601" s="6" t="n">
        <f aca="false">Sens!I15578</f>
        <v>28.7412169166967</v>
      </c>
      <c r="J15601" s="6" t="n">
        <f aca="false">Sens!J15578</f>
        <v>30.9192545395413</v>
      </c>
      <c r="K15601" s="6" t="n">
        <f aca="false">Sens!K15578</f>
        <v>33.0836023573092</v>
      </c>
    </row>
    <row r="15602" customFormat="false" ht="15" hidden="false" customHeight="false" outlineLevel="0" collapsed="false">
      <c r="A15602" s="0" t="s">
        <v>886</v>
      </c>
      <c r="B15602" s="0" t="s">
        <v>98</v>
      </c>
      <c r="D15602" s="6" t="n">
        <f aca="false">Sens!D15580</f>
        <v>7.76</v>
      </c>
      <c r="E15602" s="6" t="n">
        <f aca="false">Sens!E15580</f>
        <v>8.26</v>
      </c>
      <c r="F15602" s="6" t="n">
        <f aca="false">Sens!F15580</f>
        <v>8.79988041237113</v>
      </c>
      <c r="G15602" s="6" t="n">
        <f aca="false">Sens!G15580</f>
        <v>9.38321269125306</v>
      </c>
      <c r="H15602" s="6" t="n">
        <f aca="false">Sens!H15580</f>
        <v>10.0139193587476</v>
      </c>
      <c r="I15602" s="6" t="n">
        <f aca="false">Sens!I15580</f>
        <v>10.6963111830911</v>
      </c>
      <c r="J15602" s="6" t="n">
        <f aca="false">Sens!J15580</f>
        <v>11.4351285534696</v>
      </c>
      <c r="K15602" s="6" t="n">
        <f aca="false">Sens!K15580</f>
        <v>12.2355875522124</v>
      </c>
    </row>
    <row r="15603" customFormat="false" ht="15" hidden="false" customHeight="false" outlineLevel="0" collapsed="false">
      <c r="A15603" s="0" t="s">
        <v>715</v>
      </c>
      <c r="B15603" s="0" t="s">
        <v>98</v>
      </c>
      <c r="D15603" s="6" t="n">
        <f aca="false">Sens!D15582</f>
        <v>218.783</v>
      </c>
      <c r="E15603" s="6" t="n">
        <f aca="false">Sens!E15582</f>
        <v>268.127</v>
      </c>
      <c r="F15603" s="6" t="n">
        <f aca="false">Sens!F15582</f>
        <v>334.265528251508</v>
      </c>
      <c r="G15603" s="6" t="n">
        <f aca="false">Sens!G15582</f>
        <v>408.072123059793</v>
      </c>
      <c r="H15603" s="6" t="n">
        <f aca="false">Sens!H15582</f>
        <v>483.196296004025</v>
      </c>
      <c r="I15603" s="6" t="n">
        <f aca="false">Sens!I15582</f>
        <v>551.903517626826</v>
      </c>
      <c r="J15603" s="6" t="n">
        <f aca="false">Sens!J15582</f>
        <v>607.719049711612</v>
      </c>
      <c r="K15603" s="6" t="n">
        <f aca="false">Sens!K15582</f>
        <v>652.377736249452</v>
      </c>
    </row>
    <row r="15604" customFormat="false" ht="15" hidden="false" customHeight="false" outlineLevel="0" collapsed="false">
      <c r="A15604" s="0" t="s">
        <v>887</v>
      </c>
      <c r="B15604" s="0" t="s">
        <v>98</v>
      </c>
      <c r="D15604" s="6" t="n">
        <f aca="false">Sens!D15583</f>
        <v>22.171</v>
      </c>
      <c r="E15604" s="6" t="n">
        <f aca="false">Sens!E15583</f>
        <v>24.835</v>
      </c>
      <c r="F15604" s="6" t="n">
        <f aca="false">Sens!F15583</f>
        <v>27.6114901218559</v>
      </c>
      <c r="G15604" s="6" t="n">
        <f aca="false">Sens!G15583</f>
        <v>30.4675667338515</v>
      </c>
      <c r="H15604" s="6" t="n">
        <f aca="false">Sens!H15583</f>
        <v>33.3643766955789</v>
      </c>
      <c r="I15604" s="6" t="n">
        <f aca="false">Sens!I15583</f>
        <v>36.2577016533691</v>
      </c>
      <c r="J15604" s="6" t="n">
        <f aca="false">Sens!J15583</f>
        <v>39.0988367952171</v>
      </c>
      <c r="K15604" s="6" t="n">
        <f aca="false">Sens!K15583</f>
        <v>41.8357553708823</v>
      </c>
    </row>
    <row r="15605" customFormat="false" ht="15" hidden="false" customHeight="false" outlineLevel="0" collapsed="false">
      <c r="A15605" s="0" t="s">
        <v>888</v>
      </c>
      <c r="B15605" s="0" t="s">
        <v>98</v>
      </c>
      <c r="D15605" s="6" t="n">
        <f aca="false">Sens!D15585</f>
        <v>23.455</v>
      </c>
      <c r="E15605" s="6" t="n">
        <f aca="false">Sens!E15585</f>
        <v>21.79</v>
      </c>
      <c r="F15605" s="6" t="n">
        <f aca="false">Sens!F15585</f>
        <v>20.5736277908051</v>
      </c>
      <c r="G15605" s="6" t="n">
        <f aca="false">Sens!G15585</f>
        <v>19.7371452817919</v>
      </c>
      <c r="H15605" s="6" t="n">
        <f aca="false">Sens!H15585</f>
        <v>19.2339764043138</v>
      </c>
      <c r="I15605" s="6" t="n">
        <f aca="false">Sens!I15585</f>
        <v>19.0353086852681</v>
      </c>
      <c r="J15605" s="6" t="n">
        <f aca="false">Sens!J15585</f>
        <v>19.1273539319129</v>
      </c>
      <c r="K15605" s="6" t="n">
        <f aca="false">Sens!K15585</f>
        <v>19.5099010105511</v>
      </c>
    </row>
    <row r="15606" customFormat="false" ht="15" hidden="false" customHeight="false" outlineLevel="0" collapsed="false">
      <c r="A15606" s="0" t="s">
        <v>889</v>
      </c>
      <c r="B15606" s="0" t="s">
        <v>98</v>
      </c>
      <c r="D15606" s="6" t="n">
        <f aca="false">Sens!D15587</f>
        <v>17.315</v>
      </c>
      <c r="E15606" s="6" t="n">
        <f aca="false">Sens!E15587</f>
        <v>17.087</v>
      </c>
      <c r="F15606" s="6" t="n">
        <f aca="false">Sens!F15587</f>
        <v>16.9564585436519</v>
      </c>
      <c r="G15606" s="6" t="n">
        <f aca="false">Sens!G15587</f>
        <v>16.9206490624268</v>
      </c>
      <c r="H15606" s="6" t="n">
        <f aca="false">Sens!H15587</f>
        <v>16.9784519149849</v>
      </c>
      <c r="I15606" s="6" t="n">
        <f aca="false">Sens!I15587</f>
        <v>17.1303084701817</v>
      </c>
      <c r="J15606" s="6" t="n">
        <f aca="false">Sens!J15587</f>
        <v>17.3782189407267</v>
      </c>
      <c r="K15606" s="6" t="n">
        <f aca="false">Sens!K15587</f>
        <v>17.7257833195413</v>
      </c>
    </row>
    <row r="15607" customFormat="false" ht="15" hidden="false" customHeight="false" outlineLevel="0" collapsed="false">
      <c r="A15607" s="0" t="s">
        <v>729</v>
      </c>
      <c r="B15607" s="0" t="s">
        <v>98</v>
      </c>
      <c r="D15607" s="6" t="n">
        <f aca="false">Sens!D15589</f>
        <v>62.941</v>
      </c>
      <c r="E15607" s="6" t="n">
        <f aca="false">Sens!E15589</f>
        <v>63.712</v>
      </c>
      <c r="F15607" s="6" t="n">
        <f aca="false">Sens!F15589</f>
        <v>65.1415764563129</v>
      </c>
      <c r="G15607" s="6" t="n">
        <f aca="false">Sens!G15589</f>
        <v>67.1253610780702</v>
      </c>
      <c r="H15607" s="6" t="n">
        <f aca="false">Sens!H15589</f>
        <v>69.5768050148776</v>
      </c>
      <c r="I15607" s="6" t="n">
        <f aca="false">Sens!I15589</f>
        <v>72.4233188088189</v>
      </c>
      <c r="J15607" s="6" t="n">
        <f aca="false">Sens!J15589</f>
        <v>75.6044096678567</v>
      </c>
      <c r="K15607" s="6" t="n">
        <f aca="false">Sens!K15589</f>
        <v>79.0714397009747</v>
      </c>
    </row>
    <row r="15608" customFormat="false" ht="15" hidden="false" customHeight="false" outlineLevel="0" collapsed="false">
      <c r="A15608" s="1" t="s">
        <v>905</v>
      </c>
      <c r="B15608" s="0" t="s">
        <v>98</v>
      </c>
      <c r="D15608" s="6" t="n">
        <f aca="false">Sens!D15590</f>
        <v>281.724</v>
      </c>
      <c r="E15608" s="6" t="n">
        <f aca="false">Sens!E15590</f>
        <v>331.839</v>
      </c>
      <c r="F15608" s="6" t="n">
        <f aca="false">Sens!F15590</f>
        <v>399.407104707821</v>
      </c>
      <c r="G15608" s="6" t="n">
        <f aca="false">Sens!G15590</f>
        <v>475.197484137863</v>
      </c>
      <c r="H15608" s="6" t="n">
        <f aca="false">Sens!H15590</f>
        <v>552.773101018903</v>
      </c>
      <c r="I15608" s="6" t="n">
        <f aca="false">Sens!I15590</f>
        <v>624.326836435645</v>
      </c>
      <c r="J15608" s="6" t="n">
        <f aca="false">Sens!J15590</f>
        <v>683.323459379469</v>
      </c>
      <c r="K15608" s="6" t="n">
        <f aca="false">Sens!K15590</f>
        <v>731.449175950427</v>
      </c>
    </row>
    <row r="15609" customFormat="false" ht="15" hidden="false" customHeight="false" outlineLevel="0" collapsed="false">
      <c r="A15609" s="1" t="s">
        <v>906</v>
      </c>
      <c r="B15609" s="0" t="s">
        <v>129</v>
      </c>
      <c r="E15609" s="7" t="n">
        <f aca="false">Sens!E15608/Sens!D15608-1</f>
        <v>0.177886867998467</v>
      </c>
      <c r="F15609" s="7" t="n">
        <f aca="false">Sens!F15608/Sens!E15608-1</f>
        <v>0.203617129715978</v>
      </c>
      <c r="G15609" s="7" t="n">
        <f aca="false">Sens!G15608/Sens!F15608-1</f>
        <v>0.189757213972159</v>
      </c>
      <c r="H15609" s="7" t="n">
        <f aca="false">Sens!H15608/Sens!G15608-1</f>
        <v>0.163249216316418</v>
      </c>
      <c r="I15609" s="7" t="n">
        <f aca="false">Sens!I15608/Sens!H15608-1</f>
        <v>0.129445038633121</v>
      </c>
      <c r="J15609" s="7" t="n">
        <f aca="false">Sens!J15608/Sens!I15608-1</f>
        <v>0.0944963751368479</v>
      </c>
      <c r="K15609" s="7" t="n">
        <f aca="false">Sens!K15608/Sens!J15608-1</f>
        <v>0.0704288955843271</v>
      </c>
    </row>
    <row r="15610" customFormat="false" ht="17.15" hidden="false" customHeight="false" outlineLevel="0" collapsed="false">
      <c r="A15610" s="23" t="s">
        <v>907</v>
      </c>
      <c r="B15610" s="30" t="s">
        <v>98</v>
      </c>
      <c r="C15610" s="30"/>
      <c r="D15610" s="24" t="n">
        <f aca="false">(Sens!D15603+Sens!D15607-Sens!D15608)+(Sens!D15595+Sens!D15596-Sens!D15594)+(Sens!D15598+Sens!D15599-Sens!D15597)+(Sens!D15608-Q!L18)</f>
        <v>0</v>
      </c>
      <c r="E15610" s="24" t="n">
        <f aca="false">(Sens!E15603+Sens!E15607-Sens!E15608)+(Sens!E15595+Sens!E15596-Sens!E15594)+(Sens!E15598+Sens!E15599-Sens!E15597)+(Sens!E15608-Q!M18)</f>
        <v>0</v>
      </c>
      <c r="F15610" s="24" t="n">
        <f aca="false">(Sens!F15603+Sens!F15607-Sens!F15608)+(Sens!F15595+Sens!F15596-Sens!F15594)+(Sens!F15598+Sens!F15599-Sens!F15597)</f>
        <v>0</v>
      </c>
      <c r="G15610" s="24" t="n">
        <f aca="false">(Sens!G15603+Sens!G15607-Sens!G15608)+(Sens!G15595+Sens!G15596-Sens!G15594)+(Sens!G15598+Sens!G15599-Sens!G15597)</f>
        <v>0</v>
      </c>
      <c r="H15610" s="24" t="n">
        <f aca="false">(Sens!H15603+Sens!H15607-Sens!H15608)+(Sens!H15595+Sens!H15596-Sens!H15594)+(Sens!H15598+Sens!H15599-Sens!H15597)</f>
        <v>0</v>
      </c>
      <c r="I15610" s="24" t="n">
        <f aca="false">(Sens!I15603+Sens!I15607-Sens!I15608)+(Sens!I15595+Sens!I15596-Sens!I15594)+(Sens!I15598+Sens!I15599-Sens!I15597)</f>
        <v>0</v>
      </c>
      <c r="J15610" s="24" t="n">
        <f aca="false">(Sens!J15603+Sens!J15607-Sens!J15608)+(Sens!J15595+Sens!J15596-Sens!J15594)+(Sens!J15598+Sens!J15599-Sens!J15597)</f>
        <v>0</v>
      </c>
      <c r="K15610" s="24" t="n">
        <f aca="false">(Sens!K15603+Sens!K15607-Sens!K15608)+(Sens!K15595+Sens!K15596-Sens!K15594)+(Sens!K15598+Sens!K15599-Sens!K15597)</f>
        <v>0</v>
      </c>
    </row>
    <row r="15611" customFormat="false" ht="17.15" hidden="false" customHeight="false" outlineLevel="0" collapsed="false">
      <c r="A15611" s="0" t="s">
        <v>908</v>
      </c>
      <c r="B15611" s="0" t="s">
        <v>129</v>
      </c>
      <c r="E15611" s="7" t="n">
        <f aca="false">(Q!M21+Sens!E15548+Sens!E15549+Sens!E15550+Sens!E15563-Sens!E15546)/(Q!M5-Sens!E15546)</f>
        <v>0.570957350878296</v>
      </c>
      <c r="F15611" s="7" t="n">
        <f aca="false">Sens!$E$15611+dm_seg</f>
        <v>0.570957350878296</v>
      </c>
      <c r="G15611" s="7" t="n">
        <f aca="false">Sens!$E$15611+dm_seg</f>
        <v>0.570957350878296</v>
      </c>
      <c r="H15611" s="7" t="n">
        <f aca="false">Sens!$E$15611+dm_seg</f>
        <v>0.570957350878296</v>
      </c>
      <c r="I15611" s="7" t="n">
        <f aca="false">Sens!$E$15611+dm_seg</f>
        <v>0.570957350878296</v>
      </c>
      <c r="J15611" s="7" t="n">
        <f aca="false">Sens!$E$15611+dm_seg</f>
        <v>0.570957350878296</v>
      </c>
      <c r="K15611" s="7" t="n">
        <f aca="false">Sens!$E$15611+dm_seg</f>
        <v>0.570957350878296</v>
      </c>
      <c r="L15611" s="11" t="s">
        <v>909</v>
      </c>
    </row>
    <row r="15612" customFormat="false" ht="17.15" hidden="false" customHeight="false" outlineLevel="0" collapsed="false">
      <c r="A15612" s="0" t="s">
        <v>743</v>
      </c>
      <c r="B15612" s="0" t="s">
        <v>98</v>
      </c>
      <c r="D15612" s="6" t="n">
        <f aca="false">Q!L21</f>
        <v>110.814</v>
      </c>
      <c r="E15612" s="6" t="n">
        <f aca="false">Q!M21</f>
        <v>136.365</v>
      </c>
      <c r="F15612" s="6" t="n">
        <f aca="false">Sens!F15611*(Sens!F15582-Sens!F15546)+Sens!F15546-(Sens!F15548+Sens!F15549+Sens!F15550)-Sens!F15563-Sens!F15646</f>
        <v>158.28878399536</v>
      </c>
      <c r="G15612" s="6" t="n">
        <f aca="false">Sens!G15611*(Sens!G15582-Sens!G15546)+Sens!G15546-(Sens!G15548+Sens!G15549+Sens!G15550)-Sens!G15563-Sens!G15646</f>
        <v>178.562020516475</v>
      </c>
      <c r="H15612" s="6" t="n">
        <f aca="false">Sens!H15611*(Sens!H15582-Sens!H15546)+Sens!H15546-(Sens!H15548+Sens!H15549+Sens!H15550)-Sens!H15563-Sens!H15646</f>
        <v>198.203850738454</v>
      </c>
      <c r="I15612" s="6" t="n">
        <f aca="false">Sens!I15611*(Sens!I15582-Sens!I15546)+Sens!I15546-(Sens!I15548+Sens!I15549+Sens!I15550)-Sens!I15563-Sens!I15646</f>
        <v>216.927043927808</v>
      </c>
      <c r="J15612" s="6" t="n">
        <f aca="false">Sens!J15611*(Sens!J15582-Sens!J15546)+Sens!J15546-(Sens!J15548+Sens!J15549+Sens!J15550)-Sens!J15563-Sens!J15646</f>
        <v>234.267562481954</v>
      </c>
      <c r="K15612" s="6" t="n">
        <f aca="false">Sens!K15611*(Sens!K15582-Sens!K15546)+Sens!K15546-(Sens!K15548+Sens!K15549+Sens!K15550)-Sens!K15563-Sens!K15646</f>
        <v>251.06122870516</v>
      </c>
      <c r="L15612" s="1" t="s">
        <v>910</v>
      </c>
    </row>
    <row r="15613" customFormat="false" ht="17.15" hidden="false" customHeight="false" outlineLevel="0" collapsed="false">
      <c r="A15613" s="0" t="s">
        <v>911</v>
      </c>
      <c r="B15613" s="0" t="s">
        <v>129</v>
      </c>
      <c r="E15613" s="7" t="n">
        <f aca="false">Q!M22/Q!M12</f>
        <v>0.296207935710698</v>
      </c>
      <c r="F15613" s="7" t="n">
        <f aca="false">Sens!$E$15613+dm_seg</f>
        <v>0.296207935710698</v>
      </c>
      <c r="G15613" s="7" t="n">
        <f aca="false">Sens!$E$15613+dm_seg</f>
        <v>0.296207935710698</v>
      </c>
      <c r="H15613" s="7" t="n">
        <f aca="false">Sens!$E$15613+dm_seg</f>
        <v>0.296207935710698</v>
      </c>
      <c r="I15613" s="7" t="n">
        <f aca="false">Sens!$E$15613+dm_seg</f>
        <v>0.296207935710698</v>
      </c>
      <c r="J15613" s="7" t="n">
        <f aca="false">Sens!$E$15613+dm_seg</f>
        <v>0.296207935710698</v>
      </c>
      <c r="K15613" s="7" t="n">
        <f aca="false">Sens!$E$15613+dm_seg</f>
        <v>0.296207935710698</v>
      </c>
      <c r="L15613" s="11" t="s">
        <v>912</v>
      </c>
    </row>
    <row r="15614" customFormat="false" ht="17.15" hidden="false" customHeight="false" outlineLevel="0" collapsed="false">
      <c r="A15614" s="0" t="s">
        <v>745</v>
      </c>
      <c r="B15614" s="0" t="s">
        <v>98</v>
      </c>
      <c r="D15614" s="6" t="n">
        <f aca="false">Q!L22</f>
        <v>17.714</v>
      </c>
      <c r="E15614" s="6" t="n">
        <f aca="false">Q!M22</f>
        <v>18.872</v>
      </c>
      <c r="F15614" s="6" t="n">
        <f aca="false">Sens!F15589*Sens!F15613</f>
        <v>19.2954518910651</v>
      </c>
      <c r="G15614" s="6" t="n">
        <f aca="false">Sens!G15589*Sens!G15613</f>
        <v>19.8830646387704</v>
      </c>
      <c r="H15614" s="6" t="n">
        <f aca="false">Sens!H15589*Sens!H15613</f>
        <v>20.6092017868026</v>
      </c>
      <c r="I15614" s="6" t="n">
        <f aca="false">Sens!I15589*Sens!I15613</f>
        <v>21.452361761678</v>
      </c>
      <c r="J15614" s="6" t="n">
        <f aca="false">Sens!J15589*Sens!J15613</f>
        <v>22.3946261183418</v>
      </c>
      <c r="K15614" s="6" t="n">
        <f aca="false">Sens!K15589*Sens!K15613</f>
        <v>23.4215879274986</v>
      </c>
    </row>
    <row r="15615" customFormat="false" ht="15" hidden="false" customHeight="false" outlineLevel="0" collapsed="false">
      <c r="A15615" s="1" t="s">
        <v>913</v>
      </c>
      <c r="B15615" s="0" t="s">
        <v>98</v>
      </c>
      <c r="D15615" s="6" t="n">
        <f aca="false">Sens!D15612+Sens!D15614</f>
        <v>128.528</v>
      </c>
      <c r="E15615" s="6" t="n">
        <f aca="false">Sens!E15612+Sens!E15614</f>
        <v>155.237</v>
      </c>
      <c r="F15615" s="6" t="n">
        <f aca="false">Sens!F15612+Sens!F15614</f>
        <v>177.584235886425</v>
      </c>
      <c r="G15615" s="6" t="n">
        <f aca="false">Sens!G15612+Sens!G15614</f>
        <v>198.445085155245</v>
      </c>
      <c r="H15615" s="6" t="n">
        <f aca="false">Sens!H15612+Sens!H15614</f>
        <v>218.813052525257</v>
      </c>
      <c r="I15615" s="6" t="n">
        <f aca="false">Sens!I15612+Sens!I15614</f>
        <v>238.379405689486</v>
      </c>
      <c r="J15615" s="6" t="n">
        <f aca="false">Sens!J15612+Sens!J15614</f>
        <v>256.662188600296</v>
      </c>
      <c r="K15615" s="6" t="n">
        <f aca="false">Sens!K15612+Sens!K15614</f>
        <v>274.482816632658</v>
      </c>
    </row>
    <row r="15616" customFormat="false" ht="15" hidden="false" customHeight="false" outlineLevel="0" collapsed="false">
      <c r="A15616" s="23" t="s">
        <v>914</v>
      </c>
      <c r="B15616" s="30" t="s">
        <v>98</v>
      </c>
      <c r="C15616" s="30"/>
      <c r="D15616" s="24" t="n">
        <f aca="false">Sens!D15615-Q!L23</f>
        <v>0</v>
      </c>
      <c r="E15616" s="24" t="n">
        <f aca="false">Sens!E15615-Q!M23</f>
        <v>0</v>
      </c>
      <c r="F15616" s="30"/>
      <c r="G15616" s="30"/>
      <c r="H15616" s="30"/>
      <c r="I15616" s="30"/>
      <c r="J15616" s="30"/>
      <c r="K15616" s="30"/>
    </row>
    <row r="15617" customFormat="false" ht="15" hidden="false" customHeight="false" outlineLevel="0" collapsed="false">
      <c r="A15617" s="1" t="s">
        <v>915</v>
      </c>
      <c r="B15617" s="0" t="s">
        <v>129</v>
      </c>
      <c r="D15617" s="7" t="n">
        <f aca="false">Sens!D15615/Sens!D15608</f>
        <v>0.456219562408598</v>
      </c>
      <c r="E15617" s="7" t="n">
        <f aca="false">Sens!E15615/Sens!E15608</f>
        <v>0.467808184089272</v>
      </c>
      <c r="F15617" s="7" t="n">
        <f aca="false">Sens!F15615/Sens!F15608</f>
        <v>0.444619621917677</v>
      </c>
      <c r="G15617" s="7" t="n">
        <f aca="false">Sens!G15615/Sens!G15608</f>
        <v>0.417605504615157</v>
      </c>
      <c r="H15617" s="7" t="n">
        <f aca="false">Sens!H15615/Sens!H15608</f>
        <v>0.395846057128917</v>
      </c>
      <c r="I15617" s="7" t="n">
        <f aca="false">Sens!I15615/Sens!I15608</f>
        <v>0.381818290961866</v>
      </c>
      <c r="J15617" s="7" t="n">
        <f aca="false">Sens!J15615/Sens!J15608</f>
        <v>0.375608630257438</v>
      </c>
      <c r="K15617" s="7" t="n">
        <f aca="false">Sens!K15615/Sens!K15608</f>
        <v>0.375258904729781</v>
      </c>
    </row>
    <row r="15618" customFormat="false" ht="17.15" hidden="false" customHeight="false" outlineLevel="0" collapsed="false">
      <c r="A15618" s="1" t="s">
        <v>916</v>
      </c>
      <c r="B15618" s="0" t="s">
        <v>98</v>
      </c>
      <c r="F15618" s="6" t="n">
        <f aca="false">Sens!F15633</f>
        <v>9.29892047395526</v>
      </c>
      <c r="G15618" s="6" t="n">
        <f aca="false">Sens!G15633</f>
        <v>23.9346303607031</v>
      </c>
      <c r="H15618" s="6" t="n">
        <f aca="false">Sens!H15633</f>
        <v>40.1043191979728</v>
      </c>
      <c r="I15618" s="6" t="n">
        <f aca="false">Sens!I15633</f>
        <v>54.9360183203111</v>
      </c>
      <c r="J15618" s="6" t="n">
        <f aca="false">Sens!J15633</f>
        <v>65.4555422613168</v>
      </c>
      <c r="K15618" s="6" t="n">
        <f aca="false">Sens!K15633</f>
        <v>71.4992160033785</v>
      </c>
      <c r="L15618" s="1" t="s">
        <v>917</v>
      </c>
    </row>
    <row r="15619" customFormat="false" ht="17.15" hidden="false" customHeight="false" outlineLevel="0" collapsed="false">
      <c r="A15619" s="1" t="s">
        <v>918</v>
      </c>
      <c r="B15619" s="0" t="s">
        <v>98</v>
      </c>
      <c r="D15619" s="6" t="n">
        <f aca="false">Sens!D15615</f>
        <v>128.528</v>
      </c>
      <c r="E15619" s="6" t="n">
        <f aca="false">Sens!E15615</f>
        <v>155.237</v>
      </c>
      <c r="F15619" s="6" t="n">
        <f aca="false">Sens!F15615+Sens!F15618</f>
        <v>186.883156360381</v>
      </c>
      <c r="G15619" s="6" t="n">
        <f aca="false">Sens!G15615+Sens!G15618</f>
        <v>222.379715515948</v>
      </c>
      <c r="H15619" s="6" t="n">
        <f aca="false">Sens!H15615+Sens!H15618</f>
        <v>258.91737172323</v>
      </c>
      <c r="I15619" s="6" t="n">
        <f aca="false">Sens!I15615+Sens!I15618</f>
        <v>293.315424009798</v>
      </c>
      <c r="J15619" s="6" t="n">
        <f aca="false">Sens!J15615+Sens!J15618</f>
        <v>322.117730861613</v>
      </c>
      <c r="K15619" s="6" t="n">
        <f aca="false">Sens!K15615+Sens!K15618</f>
        <v>345.982032636037</v>
      </c>
    </row>
    <row r="15620" customFormat="false" ht="17.15" hidden="false" customHeight="false" outlineLevel="0" collapsed="false">
      <c r="A15620" s="1" t="s">
        <v>919</v>
      </c>
      <c r="B15620" s="0" t="s">
        <v>98</v>
      </c>
      <c r="E15620" s="6" t="n">
        <f aca="false">Sens!E15563</f>
        <v>16.3054059770833</v>
      </c>
      <c r="F15620" s="6" t="n">
        <f aca="false">Sens!F15563</f>
        <v>34.0498873809555</v>
      </c>
      <c r="G15620" s="6" t="n">
        <f aca="false">Sens!G15563</f>
        <v>59.1254371105111</v>
      </c>
      <c r="H15620" s="6" t="n">
        <f aca="false">Sens!H15563</f>
        <v>86.3610198433111</v>
      </c>
      <c r="I15620" s="6" t="n">
        <f aca="false">Sens!I15563</f>
        <v>110.605743832393</v>
      </c>
      <c r="J15620" s="6" t="n">
        <f aca="false">Sens!J15563</f>
        <v>127.998322852843</v>
      </c>
      <c r="K15620" s="6" t="n">
        <f aca="false">Sens!K15563</f>
        <v>139.131464044308</v>
      </c>
    </row>
    <row r="15621" customFormat="false" ht="17.15" hidden="false" customHeight="false" outlineLevel="0" collapsed="false">
      <c r="A15621" s="1" t="s">
        <v>920</v>
      </c>
      <c r="B15621" s="0" t="s">
        <v>98</v>
      </c>
      <c r="E15621" s="6" t="n">
        <f aca="false">Sens!E15645</f>
        <v>22.2285940229167</v>
      </c>
      <c r="F15621" s="6" t="n">
        <f aca="false">Sens!F15645</f>
        <v>23.5636693435813</v>
      </c>
      <c r="G15621" s="6" t="n">
        <f aca="false">Sens!G15645</f>
        <v>25.3225917662621</v>
      </c>
      <c r="H15621" s="6" t="n">
        <f aca="false">Sens!H15645</f>
        <v>27.4714839540448</v>
      </c>
      <c r="I15621" s="6" t="n">
        <f aca="false">Sens!I15645</f>
        <v>29.9441755898047</v>
      </c>
      <c r="J15621" s="6" t="n">
        <f aca="false">Sens!J15645</f>
        <v>32.6578493558616</v>
      </c>
      <c r="K15621" s="6" t="n">
        <f aca="false">Sens!K15645</f>
        <v>35.5289346944749</v>
      </c>
    </row>
    <row r="15622" customFormat="false" ht="17.15" hidden="false" customHeight="false" outlineLevel="0" collapsed="false">
      <c r="A15622" s="1" t="s">
        <v>921</v>
      </c>
      <c r="B15622" s="0" t="s">
        <v>98</v>
      </c>
      <c r="D15622" s="6" t="n">
        <f aca="false">Q!L27</f>
        <v>-4.901</v>
      </c>
      <c r="E15622" s="6" t="n">
        <f aca="false">Q!M27</f>
        <v>10.697</v>
      </c>
      <c r="F15622" s="6" t="n">
        <f aca="false">oie_f</f>
        <v>-0.4</v>
      </c>
      <c r="G15622" s="6" t="n">
        <f aca="false">oie_f</f>
        <v>-0.4</v>
      </c>
      <c r="H15622" s="6" t="n">
        <f aca="false">oie_f</f>
        <v>-0.4</v>
      </c>
      <c r="I15622" s="6" t="n">
        <f aca="false">oie_f</f>
        <v>-0.4</v>
      </c>
      <c r="J15622" s="6" t="n">
        <f aca="false">oie_f</f>
        <v>-0.4</v>
      </c>
      <c r="K15622" s="6" t="n">
        <f aca="false">oie_f</f>
        <v>-0.4</v>
      </c>
      <c r="L15622" s="11" t="s">
        <v>922</v>
      </c>
    </row>
    <row r="15623" customFormat="false" ht="15" hidden="false" customHeight="false" outlineLevel="0" collapsed="false">
      <c r="A15623" s="1" t="s">
        <v>923</v>
      </c>
      <c r="B15623" s="0" t="s">
        <v>98</v>
      </c>
      <c r="D15623" s="6" t="n">
        <f aca="false">Sens!D15615+Sens!D15622</f>
        <v>123.627</v>
      </c>
      <c r="E15623" s="6" t="n">
        <f aca="false">Sens!E15615+Sens!E15622</f>
        <v>165.934</v>
      </c>
      <c r="F15623" s="6" t="n">
        <f aca="false">Sens!F15615+Sens!F15622</f>
        <v>177.184235886425</v>
      </c>
      <c r="G15623" s="6" t="n">
        <f aca="false">Sens!G15615+Sens!G15622</f>
        <v>198.045085155245</v>
      </c>
      <c r="H15623" s="6" t="n">
        <f aca="false">Sens!H15615+Sens!H15622</f>
        <v>218.413052525257</v>
      </c>
      <c r="I15623" s="6" t="n">
        <f aca="false">Sens!I15615+Sens!I15622</f>
        <v>237.979405689486</v>
      </c>
      <c r="J15623" s="6" t="n">
        <f aca="false">Sens!J15615+Sens!J15622</f>
        <v>256.262188600296</v>
      </c>
      <c r="K15623" s="6" t="n">
        <f aca="false">Sens!K15615+Sens!K15622</f>
        <v>274.082816632658</v>
      </c>
    </row>
    <row r="15624" customFormat="false" ht="15" hidden="false" customHeight="false" outlineLevel="0" collapsed="false">
      <c r="A15624" s="1" t="s">
        <v>924</v>
      </c>
      <c r="B15624" s="0" t="s">
        <v>98</v>
      </c>
      <c r="D15624" s="6" t="n">
        <f aca="false">Q!L29</f>
        <v>21.795</v>
      </c>
      <c r="E15624" s="6" t="n">
        <f aca="false">Q!M29</f>
        <v>32.185</v>
      </c>
      <c r="F15624" s="6" t="n">
        <f aca="false">Sens!F15623*tax_f</f>
        <v>35.436847177285</v>
      </c>
      <c r="G15624" s="6" t="n">
        <f aca="false">Sens!G15623*tax_f</f>
        <v>39.609017031049</v>
      </c>
      <c r="H15624" s="6" t="n">
        <f aca="false">Sens!H15623*tax_f</f>
        <v>43.6826105050514</v>
      </c>
      <c r="I15624" s="6" t="n">
        <f aca="false">Sens!I15623*tax_f</f>
        <v>47.5958811378973</v>
      </c>
      <c r="J15624" s="6" t="n">
        <f aca="false">Sens!J15623*tax_f</f>
        <v>51.2524377200592</v>
      </c>
      <c r="K15624" s="6" t="n">
        <f aca="false">Sens!K15623*tax_f</f>
        <v>54.8165633265317</v>
      </c>
    </row>
    <row r="15625" customFormat="false" ht="15" hidden="false" customHeight="false" outlineLevel="0" collapsed="false">
      <c r="A15625" s="1" t="s">
        <v>925</v>
      </c>
      <c r="B15625" s="0" t="s">
        <v>98</v>
      </c>
      <c r="D15625" s="6" t="n">
        <f aca="false">Sens!D15623-Sens!D15624</f>
        <v>101.832</v>
      </c>
      <c r="E15625" s="6" t="n">
        <f aca="false">Sens!E15623-Sens!E15624</f>
        <v>133.749</v>
      </c>
      <c r="F15625" s="6" t="n">
        <f aca="false">Sens!F15623-Sens!F15624</f>
        <v>141.74738870914</v>
      </c>
      <c r="G15625" s="6" t="n">
        <f aca="false">Sens!G15623-Sens!G15624</f>
        <v>158.436068124196</v>
      </c>
      <c r="H15625" s="6" t="n">
        <f aca="false">Sens!H15623-Sens!H15624</f>
        <v>174.730442020205</v>
      </c>
      <c r="I15625" s="6" t="n">
        <f aca="false">Sens!I15623-Sens!I15624</f>
        <v>190.383524551589</v>
      </c>
      <c r="J15625" s="6" t="n">
        <f aca="false">Sens!J15623-Sens!J15624</f>
        <v>205.009750880237</v>
      </c>
      <c r="K15625" s="6" t="n">
        <f aca="false">Sens!K15623-Sens!K15624</f>
        <v>219.266253306127</v>
      </c>
    </row>
    <row r="15626" customFormat="false" ht="17.15" hidden="false" customHeight="false" outlineLevel="0" collapsed="false">
      <c r="A15626" s="1" t="s">
        <v>926</v>
      </c>
      <c r="B15626" s="1" t="s">
        <v>81</v>
      </c>
      <c r="D15626" s="14" t="n">
        <f aca="false">Q!L31</f>
        <v>7.465</v>
      </c>
      <c r="E15626" s="14" t="n">
        <f aca="false">Q!M31</f>
        <v>7.453</v>
      </c>
      <c r="F15626" s="14" t="n">
        <f aca="false">Sens!F15669</f>
        <v>7.4735</v>
      </c>
      <c r="G15626" s="14" t="n">
        <f aca="false">Sens!G15669</f>
        <v>7.51819077287464</v>
      </c>
      <c r="H15626" s="14" t="n">
        <f aca="false">Sens!H15669</f>
        <v>7.54563313159923</v>
      </c>
      <c r="I15626" s="14" t="n">
        <f aca="false">Sens!I15669</f>
        <v>7.55741396360655</v>
      </c>
      <c r="J15626" s="14" t="n">
        <f aca="false">Sens!J15669</f>
        <v>7.57165547472443</v>
      </c>
      <c r="K15626" s="14" t="n">
        <f aca="false">Sens!K15669</f>
        <v>7.58817539242617</v>
      </c>
    </row>
    <row r="15627" customFormat="false" ht="17.15" hidden="false" customHeight="false" outlineLevel="0" collapsed="false">
      <c r="A15627" s="0" t="s">
        <v>927</v>
      </c>
      <c r="B15627" s="0" t="s">
        <v>75</v>
      </c>
      <c r="D15627" s="8" t="n">
        <f aca="false">Sens!D15625/Sens!D15626</f>
        <v>13.641259209645</v>
      </c>
      <c r="E15627" s="8" t="n">
        <f aca="false">Sens!E15625/Sens!E15626</f>
        <v>17.9456594659869</v>
      </c>
      <c r="F15627" s="8" t="n">
        <f aca="false">Sens!F15625/Sens!F15626</f>
        <v>18.9666673859825</v>
      </c>
      <c r="G15627" s="8" t="n">
        <f aca="false">Sens!G15625/Sens!G15626</f>
        <v>21.0736961737959</v>
      </c>
      <c r="H15627" s="8" t="n">
        <f aca="false">Sens!H15625/Sens!H15626</f>
        <v>23.1564984637906</v>
      </c>
      <c r="I15627" s="8" t="n">
        <f aca="false">Sens!I15625/Sens!I15626</f>
        <v>25.1916231489236</v>
      </c>
      <c r="J15627" s="8" t="n">
        <f aca="false">Sens!J15625/Sens!J15626</f>
        <v>27.0759481284637</v>
      </c>
      <c r="K15627" s="8" t="n">
        <f aca="false">Sens!K15625/Sens!K15626</f>
        <v>28.8957808651838</v>
      </c>
      <c r="L15627" s="1" t="s">
        <v>928</v>
      </c>
    </row>
    <row r="15628" customFormat="false" ht="17.15" hidden="false" customHeight="false" outlineLevel="0" collapsed="false">
      <c r="A15628" s="1" t="s">
        <v>929</v>
      </c>
      <c r="B15628" s="0" t="s">
        <v>98</v>
      </c>
      <c r="D15628" s="6" t="n">
        <f aca="false">Sens!D15625</f>
        <v>101.832</v>
      </c>
      <c r="E15628" s="6" t="n">
        <f aca="false">Sens!E15625</f>
        <v>133.749</v>
      </c>
      <c r="F15628" s="6" t="n">
        <f aca="false">Sens!F15625+Sens!F15618*(1-tax_f)</f>
        <v>149.186525088304</v>
      </c>
      <c r="G15628" s="6" t="n">
        <f aca="false">Sens!G15625+Sens!G15618*(1-tax_f)</f>
        <v>177.583772412759</v>
      </c>
      <c r="H15628" s="6" t="n">
        <f aca="false">Sens!H15625+Sens!H15618*(1-tax_f)</f>
        <v>206.813897378584</v>
      </c>
      <c r="I15628" s="6" t="n">
        <f aca="false">Sens!I15625+Sens!I15618*(1-tax_f)</f>
        <v>234.332339207838</v>
      </c>
      <c r="J15628" s="6" t="n">
        <f aca="false">Sens!J15625+Sens!J15618*(1-tax_f)</f>
        <v>257.37418468929</v>
      </c>
      <c r="K15628" s="6" t="n">
        <f aca="false">Sens!K15625+Sens!K15618*(1-tax_f)</f>
        <v>276.465626108829</v>
      </c>
    </row>
    <row r="15629" customFormat="false" ht="17.15" hidden="false" customHeight="false" outlineLevel="0" collapsed="false">
      <c r="A15629" s="0" t="s">
        <v>930</v>
      </c>
      <c r="B15629" s="0" t="s">
        <v>75</v>
      </c>
      <c r="D15629" s="8" t="n">
        <f aca="false">Sens!D15628/Sens!D15626</f>
        <v>13.641259209645</v>
      </c>
      <c r="E15629" s="8" t="n">
        <f aca="false">Sens!E15628/Sens!E15626</f>
        <v>17.9456594659869</v>
      </c>
      <c r="F15629" s="8" t="n">
        <f aca="false">Sens!F15628/Sens!F15626</f>
        <v>19.9620693233832</v>
      </c>
      <c r="G15629" s="8" t="n">
        <f aca="false">Sens!G15628/Sens!G15626</f>
        <v>23.6205461895799</v>
      </c>
      <c r="H15629" s="8" t="n">
        <f aca="false">Sens!H15628/Sens!H15626</f>
        <v>27.408422033202</v>
      </c>
      <c r="I15629" s="8" t="n">
        <f aca="false">Sens!I15628/Sens!I15626</f>
        <v>31.0069476591183</v>
      </c>
      <c r="J15629" s="8" t="n">
        <f aca="false">Sens!J15628/Sens!J15626</f>
        <v>33.9917981673166</v>
      </c>
      <c r="K15629" s="8" t="n">
        <f aca="false">Sens!K15628/Sens!K15626</f>
        <v>36.4337422122283</v>
      </c>
      <c r="L15629" s="1" t="s">
        <v>931</v>
      </c>
    </row>
    <row r="15630" customFormat="false" ht="17.15" hidden="false" customHeight="false" outlineLevel="0" collapsed="false">
      <c r="A15630" s="0" t="s">
        <v>932</v>
      </c>
      <c r="B15630" s="0" t="s">
        <v>129</v>
      </c>
      <c r="E15630" s="7" t="n">
        <f aca="false">Sens!E15629/Sens!D15629-1</f>
        <v>0.315542736208578</v>
      </c>
      <c r="F15630" s="7" t="n">
        <f aca="false">Sens!F15629/Sens!E15629-1</f>
        <v>0.112361981526404</v>
      </c>
      <c r="G15630" s="7" t="n">
        <f aca="false">Sens!G15629/Sens!F15629-1</f>
        <v>0.18327142376523</v>
      </c>
      <c r="H15630" s="7" t="n">
        <f aca="false">Sens!H15629/Sens!G15629-1</f>
        <v>0.16036360096081</v>
      </c>
      <c r="I15630" s="7" t="n">
        <f aca="false">Sens!I15629/Sens!H15629-1</f>
        <v>0.131292696148545</v>
      </c>
      <c r="J15630" s="7" t="n">
        <f aca="false">Sens!J15629/Sens!I15629-1</f>
        <v>0.0962639257824687</v>
      </c>
      <c r="K15630" s="7" t="n">
        <f aca="false">Sens!K15629/Sens!J15629-1</f>
        <v>0.0718392134741401</v>
      </c>
    </row>
    <row r="15631" customFormat="false" ht="17.15" hidden="false" customHeight="false" outlineLevel="0" collapsed="false">
      <c r="A15631" s="0" t="s">
        <v>856</v>
      </c>
      <c r="B15631" s="0" t="s">
        <v>98</v>
      </c>
      <c r="E15631" s="6" t="n">
        <f aca="false">Sens!E15572</f>
        <v>5.25</v>
      </c>
      <c r="F15631" s="6" t="n">
        <f aca="false">Sens!F15572</f>
        <v>12</v>
      </c>
      <c r="G15631" s="6" t="n">
        <f aca="false">Sens!G15572</f>
        <v>18</v>
      </c>
      <c r="H15631" s="6" t="n">
        <f aca="false">Sens!H15572</f>
        <v>24</v>
      </c>
      <c r="I15631" s="6" t="n">
        <f aca="false">Sens!I15572</f>
        <v>28.5</v>
      </c>
      <c r="J15631" s="6" t="n">
        <f aca="false">Sens!J15572</f>
        <v>31.5</v>
      </c>
      <c r="K15631" s="6" t="n">
        <f aca="false">Sens!K15572</f>
        <v>34.5</v>
      </c>
    </row>
    <row r="15632" customFormat="false" ht="17.15" hidden="false" customHeight="false" outlineLevel="0" collapsed="false">
      <c r="A15632" s="1" t="s">
        <v>857</v>
      </c>
      <c r="B15632" s="0" t="s">
        <v>98</v>
      </c>
      <c r="F15632" s="6" t="n">
        <f aca="false">MAX(0,((Sens!E15535+Sens!F15535)/2-(shadow_base*(Sens!$D$15535+Sens!$E$15535)/2+(1-shadow_base)*Sens!$E$15535))*Sens!F15543/1000-(Sens!F15631-Sens!$E$15631)*Sens!F15611)</f>
        <v>9.29892047395526</v>
      </c>
      <c r="G15632" s="6" t="n">
        <f aca="false">MAX(0,((Sens!F15535+Sens!G15535)/2-(shadow_base*(Sens!$D$15535+Sens!$E$15535)/2+(1-shadow_base)*Sens!$E$15535))*Sens!G15543/1000-(Sens!G15631-Sens!$E$15631)*Sens!G15611)</f>
        <v>23.9346303607031</v>
      </c>
      <c r="H15632" s="6" t="n">
        <f aca="false">MAX(0,((Sens!G15535+Sens!H15535)/2-(shadow_base*(Sens!$D$15535+Sens!$E$15535)/2+(1-shadow_base)*Sens!$E$15535))*Sens!H15543/1000-(Sens!H15631-Sens!$E$15631)*Sens!H15611)</f>
        <v>40.1043191979728</v>
      </c>
      <c r="I15632" s="6" t="n">
        <f aca="false">MAX(0,((Sens!H15535+Sens!I15535)/2-(shadow_base*(Sens!$D$15535+Sens!$E$15535)/2+(1-shadow_base)*Sens!$E$15535))*Sens!I15543/1000-(Sens!I15631-Sens!$E$15631)*Sens!I15611)</f>
        <v>54.9360183203111</v>
      </c>
      <c r="J15632" s="6" t="n">
        <f aca="false">MAX(0,((Sens!I15535+Sens!J15535)/2-(shadow_base*(Sens!$D$15535+Sens!$E$15535)/2+(1-shadow_base)*Sens!$E$15535))*Sens!J15543/1000-(Sens!J15631-Sens!$E$15631)*Sens!J15611)</f>
        <v>65.4555422613168</v>
      </c>
      <c r="K15632" s="6" t="n">
        <f aca="false">MAX(0,((Sens!J15535+Sens!K15535)/2-(shadow_base*(Sens!$D$15535+Sens!$E$15535)/2+(1-shadow_base)*Sens!$E$15535))*Sens!K15543/1000-(Sens!K15631-Sens!$E$15631)*Sens!K15611)</f>
        <v>71.4992160033785</v>
      </c>
      <c r="L15632" s="1" t="s">
        <v>858</v>
      </c>
    </row>
    <row r="15633" customFormat="false" ht="17.15" hidden="false" customHeight="false" outlineLevel="0" collapsed="false">
      <c r="A15633" s="1" t="s">
        <v>859</v>
      </c>
      <c r="B15633" s="0" t="s">
        <v>98</v>
      </c>
      <c r="F15633" s="6" t="n">
        <f aca="false">IF(internal_ai_reading=2,1,0)*Sens!F15632</f>
        <v>9.29892047395526</v>
      </c>
      <c r="G15633" s="6" t="n">
        <f aca="false">IF(internal_ai_reading=2,1,0)*Sens!G15632</f>
        <v>23.9346303607031</v>
      </c>
      <c r="H15633" s="6" t="n">
        <f aca="false">IF(internal_ai_reading=2,1,0)*Sens!H15632</f>
        <v>40.1043191979728</v>
      </c>
      <c r="I15633" s="6" t="n">
        <f aca="false">IF(internal_ai_reading=2,1,0)*Sens!I15632</f>
        <v>54.9360183203111</v>
      </c>
      <c r="J15633" s="6" t="n">
        <f aca="false">IF(internal_ai_reading=2,1,0)*Sens!J15632</f>
        <v>65.4555422613168</v>
      </c>
      <c r="K15633" s="6" t="n">
        <f aca="false">IF(internal_ai_reading=2,1,0)*Sens!K15632</f>
        <v>71.4992160033785</v>
      </c>
    </row>
    <row r="15634" customFormat="false" ht="17.15" hidden="false" customHeight="false" outlineLevel="0" collapsed="false">
      <c r="A15634" s="0" t="s">
        <v>860</v>
      </c>
      <c r="B15634" s="0" t="s">
        <v>98</v>
      </c>
      <c r="F15634" s="6" t="n">
        <f aca="false">Sens!F15552+Sens!F15631*Sens!F15611+Sens!F15633-Sens!F15553-Sens!F15563</f>
        <v>15.0270315022233</v>
      </c>
      <c r="G15634" s="6" t="n">
        <f aca="false">Sens!G15552+Sens!G15631*Sens!G15611+Sens!G15633-Sens!G15553-Sens!G15563</f>
        <v>30.8545489496424</v>
      </c>
      <c r="H15634" s="6" t="n">
        <f aca="false">Sens!H15552+Sens!H15631*Sens!H15611+Sens!H15633-Sens!H15553-Sens!H15563</f>
        <v>47.4024902575898</v>
      </c>
      <c r="I15634" s="6" t="n">
        <f aca="false">Sens!I15552+Sens!I15631*Sens!I15611+Sens!I15633-Sens!I15553-Sens!I15563</f>
        <v>62.1817971739404</v>
      </c>
      <c r="J15634" s="6" t="n">
        <f aca="false">Sens!J15552+Sens!J15631*Sens!J15611+Sens!J15633-Sens!J15553-Sens!J15563</f>
        <v>72.5050518947332</v>
      </c>
      <c r="K15634" s="6" t="n">
        <f aca="false">Sens!K15552+Sens!K15631*Sens!K15611+Sens!K15633-Sens!K15553-Sens!K15563</f>
        <v>79.8210980571165</v>
      </c>
    </row>
    <row r="15635" customFormat="false" ht="17.15" hidden="false" customHeight="false" outlineLevel="0" collapsed="false">
      <c r="A15635" s="0" t="s">
        <v>861</v>
      </c>
      <c r="B15635" s="0" t="s">
        <v>98</v>
      </c>
      <c r="E15635" s="6" t="n">
        <f aca="false">Sens!E15534*(cxit_open+self_build*tk_cxfac)/1000*ai_net_open</f>
        <v>126.6980382</v>
      </c>
      <c r="F15635" s="6" t="n">
        <f aca="false">Sens!E15635+Sens!F15560-Sens!F15563</f>
        <v>252.981026690511</v>
      </c>
      <c r="G15635" s="6" t="n">
        <f aca="false">Sens!F15635+Sens!G15560-Sens!G15563</f>
        <v>377.4297700632</v>
      </c>
      <c r="H15635" s="6" t="n">
        <f aca="false">Sens!G15635+Sens!H15560-Sens!H15563</f>
        <v>479.149036130289</v>
      </c>
      <c r="I15635" s="6" t="n">
        <f aca="false">Sens!H15635+Sens!I15560-Sens!I15563</f>
        <v>532.249961452141</v>
      </c>
      <c r="J15635" s="6" t="n">
        <f aca="false">Sens!I15635+Sens!J15560-Sens!J15563</f>
        <v>531.43307519354</v>
      </c>
      <c r="K15635" s="6" t="n">
        <f aca="false">Sens!J15635+Sens!K15560-Sens!K15563</f>
        <v>513.709026452823</v>
      </c>
      <c r="L15635" s="1" t="s">
        <v>862</v>
      </c>
    </row>
    <row r="15636" customFormat="false" ht="17.15" hidden="false" customHeight="false" outlineLevel="0" collapsed="false">
      <c r="A15636" s="0" t="s">
        <v>863</v>
      </c>
      <c r="B15636" s="0" t="s">
        <v>129</v>
      </c>
      <c r="F15636" s="7" t="n">
        <f aca="false">Sens!F15634*(1-tax_f)/((Sens!E15635+Sens!F15635)/2)</f>
        <v>0.0633251938989334</v>
      </c>
      <c r="G15636" s="7" t="n">
        <f aca="false">Sens!G15634*(1-tax_f)/((Sens!F15635+Sens!G15635)/2)</f>
        <v>0.0783096967463813</v>
      </c>
      <c r="H15636" s="7" t="n">
        <f aca="false">Sens!H15634*(1-tax_f)/((Sens!G15635+Sens!H15635)/2)</f>
        <v>0.0885429149819656</v>
      </c>
      <c r="I15636" s="7" t="n">
        <f aca="false">Sens!I15634*(1-tax_f)/((Sens!H15635+Sens!I15635)/2)</f>
        <v>0.0983695610892634</v>
      </c>
      <c r="J15636" s="7" t="n">
        <f aca="false">Sens!J15634*(1-tax_f)/((Sens!I15635+Sens!J15635)/2)</f>
        <v>0.109062642756252</v>
      </c>
      <c r="K15636" s="7" t="n">
        <f aca="false">Sens!K15634*(1-tax_f)/((Sens!J15635+Sens!K15635)/2)</f>
        <v>0.122197504712713</v>
      </c>
    </row>
    <row r="15637" customFormat="false" ht="17.15" hidden="false" customHeight="false" outlineLevel="0" collapsed="false">
      <c r="A15637" s="1" t="s">
        <v>864</v>
      </c>
      <c r="B15637" s="0" t="s">
        <v>129</v>
      </c>
      <c r="F15637" s="7" t="n">
        <f aca="false">(Sens!F15634-Sens!F15633)*(1-tax_f)/((Sens!E15635+Sens!F15635)/2)</f>
        <v>0.0241387489928418</v>
      </c>
      <c r="G15637" s="7" t="n">
        <f aca="false">(Sens!G15634-Sens!G15633)*(1-tax_f)/((Sens!F15635+Sens!G15635)/2)</f>
        <v>0.0175629443520275</v>
      </c>
      <c r="H15637" s="7" t="n">
        <f aca="false">(Sens!H15634-Sens!H15633)*(1-tax_f)/((Sens!G15635+Sens!H15635)/2)</f>
        <v>0.0136322234579658</v>
      </c>
      <c r="I15637" s="7" t="n">
        <f aca="false">(Sens!I15634-Sens!I15633)*(1-tax_f)/((Sens!H15635+Sens!I15635)/2)</f>
        <v>0.0114625841962651</v>
      </c>
      <c r="J15637" s="7" t="n">
        <f aca="false">(Sens!J15634-Sens!J15633)*(1-tax_f)/((Sens!I15635+Sens!J15635)/2)</f>
        <v>0.0106039252529919</v>
      </c>
      <c r="K15637" s="7" t="n">
        <f aca="false">(Sens!K15634-Sens!K15633)*(1-tax_f)/((Sens!J15635+Sens!K15635)/2)</f>
        <v>0.0127399051908886</v>
      </c>
    </row>
    <row r="15638" customFormat="false" ht="17.15" hidden="false" customHeight="false" outlineLevel="0" collapsed="false">
      <c r="A15638" s="1" t="s">
        <v>865</v>
      </c>
      <c r="B15638" s="0" t="s">
        <v>129</v>
      </c>
      <c r="F15638" s="7" t="n">
        <f aca="false">(Sens!F15634-Sens!F15633+Sens!F15632)*(1-tax_f)/((Sens!E15635+Sens!F15635)/2)</f>
        <v>0.0633251938989334</v>
      </c>
      <c r="G15638" s="7" t="n">
        <f aca="false">(Sens!G15634-Sens!G15633+Sens!G15632)*(1-tax_f)/((Sens!F15635+Sens!G15635)/2)</f>
        <v>0.0783096967463813</v>
      </c>
      <c r="H15638" s="7" t="n">
        <f aca="false">(Sens!H15634-Sens!H15633+Sens!H15632)*(1-tax_f)/((Sens!G15635+Sens!H15635)/2)</f>
        <v>0.0885429149819656</v>
      </c>
      <c r="I15638" s="7" t="n">
        <f aca="false">(Sens!I15634-Sens!I15633+Sens!I15632)*(1-tax_f)/((Sens!H15635+Sens!I15635)/2)</f>
        <v>0.0983695610892634</v>
      </c>
      <c r="J15638" s="7" t="n">
        <f aca="false">(Sens!J15634-Sens!J15633+Sens!J15632)*(1-tax_f)/((Sens!I15635+Sens!J15635)/2)</f>
        <v>0.109062642756252</v>
      </c>
      <c r="K15638" s="7" t="n">
        <f aca="false">(Sens!K15634-Sens!K15633+Sens!K15632)*(1-tax_f)/((Sens!J15635+Sens!K15635)/2)</f>
        <v>0.122197504712713</v>
      </c>
    </row>
    <row r="15639" customFormat="false" ht="17.15" hidden="false" customHeight="false" outlineLevel="0" collapsed="false">
      <c r="A15639" s="1" t="s">
        <v>866</v>
      </c>
      <c r="B15639" s="0" t="s">
        <v>129</v>
      </c>
      <c r="F15639" s="7" t="n">
        <f aca="false">Sens!F15564*(1-tax_f)/(Sens!F15551*(Sens!E15635+Sens!F15635)/2)</f>
        <v>0.133653288300971</v>
      </c>
      <c r="G15639" s="7" t="n">
        <f aca="false">Sens!G15564*(1-tax_f)/(Sens!G15551*(Sens!F15635+Sens!G15635)/2)</f>
        <v>0.131459221834535</v>
      </c>
      <c r="H15639" s="7" t="n">
        <f aca="false">Sens!H15564*(1-tax_f)/(Sens!H15551*(Sens!G15635+Sens!H15635)/2)</f>
        <v>0.135120575835084</v>
      </c>
      <c r="I15639" s="7" t="n">
        <f aca="false">Sens!I15564*(1-tax_f)/(Sens!I15551*(Sens!H15635+Sens!I15635)/2)</f>
        <v>0.143323969665222</v>
      </c>
      <c r="J15639" s="7" t="n">
        <f aca="false">Sens!J15564*(1-tax_f)/(Sens!J15551*(Sens!I15635+Sens!J15635)/2)</f>
        <v>0.155570128388075</v>
      </c>
      <c r="K15639" s="7" t="n">
        <f aca="false">Sens!K15564*(1-tax_f)/(Sens!K15551*(Sens!J15635+Sens!K15635)/2)</f>
        <v>0.172427697111622</v>
      </c>
    </row>
    <row r="15640" customFormat="false" ht="17.15" hidden="false" customHeight="false" outlineLevel="0" collapsed="false">
      <c r="A15640" s="0" t="s">
        <v>867</v>
      </c>
      <c r="B15640" s="0" t="s">
        <v>209</v>
      </c>
      <c r="F15640" s="7" t="n">
        <f aca="false">Sens!F15636-wacc</f>
        <v>-0.0396092261939423</v>
      </c>
      <c r="G15640" s="7" t="n">
        <f aca="false">Sens!G15636-wacc</f>
        <v>-0.0246247233464944</v>
      </c>
      <c r="H15640" s="7" t="n">
        <f aca="false">Sens!H15636-wacc</f>
        <v>-0.0143915051109101</v>
      </c>
      <c r="I15640" s="7" t="n">
        <f aca="false">Sens!I15636-wacc</f>
        <v>-0.00456485900361238</v>
      </c>
      <c r="J15640" s="7" t="n">
        <f aca="false">Sens!J15636-wacc</f>
        <v>0.00612822266337605</v>
      </c>
      <c r="K15640" s="7" t="n">
        <f aca="false">Sens!K15636-wacc</f>
        <v>0.0192630846198374</v>
      </c>
    </row>
    <row r="15641" customFormat="false" ht="17.15" hidden="false" customHeight="false" outlineLevel="0" collapsed="false">
      <c r="A15641" s="0" t="s">
        <v>868</v>
      </c>
      <c r="B15641" s="0" t="s">
        <v>98</v>
      </c>
      <c r="F15641" s="6" t="n">
        <f aca="false">Sens!F15634*(1-tax_f)-wacc*(Sens!E15635+Sens!F15635)/2</f>
        <v>-7.51939698117638</v>
      </c>
      <c r="G15641" s="6" t="n">
        <f aca="false">Sens!G15634*(1-tax_f)-wacc*(Sens!F15635+Sens!G15635)/2</f>
        <v>-7.76184573235162</v>
      </c>
      <c r="H15641" s="6" t="n">
        <f aca="false">Sens!H15634*(1-tax_f)-wacc*(Sens!G15635+Sens!H15635)/2</f>
        <v>-6.16372913361546</v>
      </c>
      <c r="I15641" s="6" t="n">
        <f aca="false">Sens!I15634*(1-tax_f)-wacc*(Sens!H15635+Sens!I15635)/2</f>
        <v>-2.30844691017934</v>
      </c>
      <c r="J15641" s="6" t="n">
        <f aca="false">Sens!J15634*(1-tax_f)-wacc*(Sens!I15635+Sens!J15635)/2</f>
        <v>3.25924324591036</v>
      </c>
      <c r="K15641" s="6" t="n">
        <f aca="false">Sens!K15634*(1-tax_f)-wacc*(Sens!J15635+Sens!K15635)/2</f>
        <v>10.0663303718843</v>
      </c>
    </row>
    <row r="15642" customFormat="false" ht="17.15" hidden="false" customHeight="false" outlineLevel="0" collapsed="false">
      <c r="A15642" s="3" t="s">
        <v>1659</v>
      </c>
    </row>
    <row r="15643" customFormat="false" ht="15" hidden="false" customHeight="false" outlineLevel="0" collapsed="false">
      <c r="A15643" s="4" t="s">
        <v>43</v>
      </c>
      <c r="B15643" s="4" t="s">
        <v>65</v>
      </c>
      <c r="C15643" s="20" t="s">
        <v>799</v>
      </c>
      <c r="D15643" s="20" t="s">
        <v>800</v>
      </c>
      <c r="E15643" s="20" t="s">
        <v>801</v>
      </c>
      <c r="F15643" s="20" t="s">
        <v>802</v>
      </c>
      <c r="G15643" s="20" t="s">
        <v>803</v>
      </c>
      <c r="H15643" s="20" t="s">
        <v>804</v>
      </c>
      <c r="I15643" s="20" t="s">
        <v>805</v>
      </c>
      <c r="J15643" s="20" t="s">
        <v>806</v>
      </c>
      <c r="K15643" s="20" t="s">
        <v>807</v>
      </c>
      <c r="L15643" s="4" t="s">
        <v>47</v>
      </c>
    </row>
    <row r="15644" customFormat="false" ht="15" hidden="false" customHeight="false" outlineLevel="0" collapsed="false">
      <c r="A15644" s="1" t="s">
        <v>925</v>
      </c>
      <c r="B15644" s="0" t="s">
        <v>98</v>
      </c>
      <c r="F15644" s="6" t="n">
        <f aca="false">Sens!F15625</f>
        <v>141.74738870914</v>
      </c>
      <c r="G15644" s="6" t="n">
        <f aca="false">Sens!G15625</f>
        <v>158.436068124196</v>
      </c>
      <c r="H15644" s="6" t="n">
        <f aca="false">Sens!H15625</f>
        <v>174.730442020205</v>
      </c>
      <c r="I15644" s="6" t="n">
        <f aca="false">Sens!I15625</f>
        <v>190.383524551589</v>
      </c>
      <c r="J15644" s="6" t="n">
        <f aca="false">Sens!J15625</f>
        <v>205.009750880237</v>
      </c>
      <c r="K15644" s="6" t="n">
        <f aca="false">Sens!K15625</f>
        <v>219.266253306127</v>
      </c>
    </row>
    <row r="15645" customFormat="false" ht="17.15" hidden="false" customHeight="false" outlineLevel="0" collapsed="false">
      <c r="A15645" s="1" t="s">
        <v>947</v>
      </c>
      <c r="B15645" s="0" t="s">
        <v>98</v>
      </c>
      <c r="E15645" s="6" t="n">
        <f aca="false">Q!M38-Sens!E15563</f>
        <v>22.2285940229167</v>
      </c>
      <c r="F15645" s="6" t="n">
        <f aca="false">Sens!E15645*(1-1/life_nonai)+(Sens!F15652+Sens!F15653)/life_nonai</f>
        <v>23.5636693435813</v>
      </c>
      <c r="G15645" s="6" t="n">
        <f aca="false">Sens!F15645*(1-1/life_nonai)+(Sens!G15652)/life_nonai</f>
        <v>25.3225917662621</v>
      </c>
      <c r="H15645" s="6" t="n">
        <f aca="false">Sens!G15645*(1-1/life_nonai)+(Sens!H15652)/life_nonai</f>
        <v>27.4714839540448</v>
      </c>
      <c r="I15645" s="6" t="n">
        <f aca="false">Sens!H15645*(1-1/life_nonai)+(Sens!I15652)/life_nonai</f>
        <v>29.9441755898047</v>
      </c>
      <c r="J15645" s="6" t="n">
        <f aca="false">Sens!I15645*(1-1/life_nonai)+(Sens!J15652)/life_nonai</f>
        <v>32.6578493558616</v>
      </c>
      <c r="K15645" s="6" t="n">
        <f aca="false">Sens!J15645*(1-1/life_nonai)+(Sens!K15652)/life_nonai</f>
        <v>35.5289346944749</v>
      </c>
      <c r="L15645" s="11" t="s">
        <v>948</v>
      </c>
    </row>
    <row r="15646" customFormat="false" ht="17.15" hidden="false" customHeight="false" outlineLevel="0" collapsed="false">
      <c r="A15646" s="1" t="s">
        <v>949</v>
      </c>
      <c r="B15646" s="0" t="s">
        <v>98</v>
      </c>
      <c r="F15646" s="6" t="n">
        <f aca="false">Sens!$F$15653/life_nonai*(1-1/life_nonai)^(Sens!F15529-2027)</f>
        <v>0</v>
      </c>
      <c r="G15646" s="6" t="n">
        <f aca="false">Sens!$F$15653/life_nonai*(1-1/life_nonai)^(Sens!G15529-2027)</f>
        <v>0</v>
      </c>
      <c r="H15646" s="6" t="n">
        <f aca="false">Sens!$F$15653/life_nonai*(1-1/life_nonai)^(Sens!H15529-2027)</f>
        <v>0</v>
      </c>
      <c r="I15646" s="6" t="n">
        <f aca="false">Sens!$F$15653/life_nonai*(1-1/life_nonai)^(Sens!I15529-2027)</f>
        <v>0</v>
      </c>
      <c r="J15646" s="6" t="n">
        <f aca="false">Sens!$F$15653/life_nonai*(1-1/life_nonai)^(Sens!J15529-2027)</f>
        <v>0</v>
      </c>
      <c r="K15646" s="6" t="n">
        <f aca="false">Sens!$F$15653/life_nonai*(1-1/life_nonai)^(Sens!K15529-2027)</f>
        <v>0</v>
      </c>
      <c r="L15646" s="1" t="s">
        <v>950</v>
      </c>
    </row>
    <row r="15647" customFormat="false" ht="17.15" hidden="false" customHeight="false" outlineLevel="0" collapsed="false">
      <c r="A15647" s="1" t="s">
        <v>951</v>
      </c>
      <c r="B15647" s="0" t="s">
        <v>98</v>
      </c>
      <c r="E15647" s="6" t="n">
        <f aca="false">Sens!E15563+Sens!E15645</f>
        <v>38.534</v>
      </c>
      <c r="F15647" s="6" t="n">
        <f aca="false">Sens!F15563+Sens!F15645</f>
        <v>57.6135567245368</v>
      </c>
      <c r="G15647" s="6" t="n">
        <f aca="false">Sens!G15563+Sens!G15645</f>
        <v>84.4480288767732</v>
      </c>
      <c r="H15647" s="6" t="n">
        <f aca="false">Sens!H15563+Sens!H15645</f>
        <v>113.832503797356</v>
      </c>
      <c r="I15647" s="6" t="n">
        <f aca="false">Sens!I15563+Sens!I15645</f>
        <v>140.549919422197</v>
      </c>
      <c r="J15647" s="6" t="n">
        <f aca="false">Sens!J15563+Sens!J15645</f>
        <v>160.656172208705</v>
      </c>
      <c r="K15647" s="6" t="n">
        <f aca="false">Sens!K15563+Sens!K15645</f>
        <v>174.660398738783</v>
      </c>
    </row>
    <row r="15648" customFormat="false" ht="17.15" hidden="false" customHeight="false" outlineLevel="0" collapsed="false">
      <c r="A15648" s="1" t="s">
        <v>952</v>
      </c>
      <c r="B15648" s="0" t="s">
        <v>98</v>
      </c>
      <c r="F15648" s="6" t="n">
        <f aca="false">Sens!F15590*sbc_r</f>
        <v>14.9308704941267</v>
      </c>
      <c r="G15648" s="6" t="n">
        <f aca="false">Sens!G15590*sbc_r</f>
        <v>17.7641108812713</v>
      </c>
      <c r="H15648" s="6" t="n">
        <f aca="false">Sens!H15590*sbc_r</f>
        <v>20.6640880611968</v>
      </c>
      <c r="I15648" s="6" t="n">
        <f aca="false">Sens!I15590*sbc_r</f>
        <v>23.3389517385966</v>
      </c>
      <c r="J15648" s="6" t="n">
        <f aca="false">Sens!J15590*sbc_r</f>
        <v>25.5443980773879</v>
      </c>
      <c r="K15648" s="6" t="n">
        <f aca="false">Sens!K15590*sbc_r</f>
        <v>27.3434618223447</v>
      </c>
    </row>
    <row r="15649" customFormat="false" ht="17.15" hidden="false" customHeight="false" outlineLevel="0" collapsed="false">
      <c r="A15649" s="1" t="s">
        <v>953</v>
      </c>
      <c r="B15649" s="0" t="s">
        <v>98</v>
      </c>
      <c r="F15649" s="6" t="n">
        <f aca="false">wc27</f>
        <v>-4.895</v>
      </c>
      <c r="G15649" s="6" t="n">
        <f aca="false">wc_f</f>
        <v>0</v>
      </c>
      <c r="H15649" s="6" t="n">
        <f aca="false">wc_f</f>
        <v>0</v>
      </c>
      <c r="I15649" s="6" t="n">
        <f aca="false">wc_f</f>
        <v>0</v>
      </c>
      <c r="J15649" s="6" t="n">
        <f aca="false">wc_f</f>
        <v>0</v>
      </c>
      <c r="K15649" s="6" t="n">
        <f aca="false">wc_f</f>
        <v>0</v>
      </c>
      <c r="L15649" s="11" t="s">
        <v>954</v>
      </c>
    </row>
    <row r="15650" customFormat="false" ht="15" hidden="false" customHeight="false" outlineLevel="0" collapsed="false">
      <c r="A15650" s="1" t="s">
        <v>767</v>
      </c>
      <c r="B15650" s="0" t="s">
        <v>98</v>
      </c>
      <c r="E15650" s="6" t="n">
        <f aca="false">Q!M35</f>
        <v>182.935</v>
      </c>
      <c r="F15650" s="6" t="n">
        <f aca="false">Sens!F15644+Sens!F15647+Sens!F15648+Sens!F15649</f>
        <v>209.396815927804</v>
      </c>
      <c r="G15650" s="6" t="n">
        <f aca="false">Sens!G15644+Sens!G15647+Sens!G15648+Sens!G15649</f>
        <v>260.648207882241</v>
      </c>
      <c r="H15650" s="6" t="n">
        <f aca="false">Sens!H15644+Sens!H15647+Sens!H15648+Sens!H15649</f>
        <v>309.227033878758</v>
      </c>
      <c r="I15650" s="6" t="n">
        <f aca="false">Sens!I15644+Sens!I15647+Sens!I15648+Sens!I15649</f>
        <v>354.272395712383</v>
      </c>
      <c r="J15650" s="6" t="n">
        <f aca="false">Sens!J15644+Sens!J15647+Sens!J15648+Sens!J15649</f>
        <v>391.21032116633</v>
      </c>
      <c r="K15650" s="6" t="n">
        <f aca="false">Sens!K15644+Sens!K15647+Sens!K15648+Sens!K15649</f>
        <v>421.270113867254</v>
      </c>
    </row>
    <row r="15651" customFormat="false" ht="17.15" hidden="false" customHeight="false" outlineLevel="0" collapsed="false">
      <c r="A15651" s="0" t="s">
        <v>955</v>
      </c>
      <c r="B15651" s="0" t="s">
        <v>98</v>
      </c>
      <c r="F15651" s="6" t="n">
        <f aca="false">Sens!F15560</f>
        <v>160.332875871467</v>
      </c>
      <c r="G15651" s="6" t="n">
        <f aca="false">Sens!G15560</f>
        <v>183.5741804832</v>
      </c>
      <c r="H15651" s="6" t="n">
        <f aca="false">Sens!H15560</f>
        <v>188.0802859104</v>
      </c>
      <c r="I15651" s="6" t="n">
        <f aca="false">Sens!I15560</f>
        <v>163.706669154245</v>
      </c>
      <c r="J15651" s="6" t="n">
        <f aca="false">Sens!J15560</f>
        <v>127.181436594242</v>
      </c>
      <c r="K15651" s="6" t="n">
        <f aca="false">Sens!K15560</f>
        <v>121.407415303591</v>
      </c>
    </row>
    <row r="15652" customFormat="false" ht="17.15" hidden="false" customHeight="false" outlineLevel="0" collapsed="false">
      <c r="A15652" s="1" t="s">
        <v>956</v>
      </c>
      <c r="B15652" s="0" t="s">
        <v>98</v>
      </c>
      <c r="E15652" s="6" t="n">
        <f aca="false">Sens!E15568*cx_azo+Sens!E15575*cx_m365+Sens!E15576*cx_lic+(Sens!E15578+Sens!E15580)*cx_ind+Sens!E15583*cx_srch+(Sens!E15585+Sens!E15587)*cx_dev</f>
        <v>30.1846587067718</v>
      </c>
      <c r="F15652" s="6" t="n">
        <f aca="false">Sens!F15568*cx_azo+Sens!F15575*cx_m365+Sens!F15576*cx_lic+(Sens!F15578+Sens!F15580)*cx_ind+Sens!F15583*cx_srch+(Sens!F15585+Sens!F15587)*cx_dev</f>
        <v>35.5793472295625</v>
      </c>
      <c r="G15652" s="6" t="n">
        <f aca="false">Sens!G15568*cx_azo+Sens!G15575*cx_m365+Sens!G15576*cx_lic+(Sens!G15578+Sens!G15580)*cx_ind+Sens!G15583*cx_srch+(Sens!G15585+Sens!G15587)*cx_dev</f>
        <v>41.1528935703892</v>
      </c>
      <c r="H15652" s="6" t="n">
        <f aca="false">Sens!H15568*cx_azo+Sens!H15575*cx_m365+Sens!H15576*cx_lic+(Sens!H15578+Sens!H15580)*cx_ind+Sens!H15583*cx_srch+(Sens!H15585+Sens!H15587)*cx_dev</f>
        <v>46.8115136440897</v>
      </c>
      <c r="I15652" s="6" t="n">
        <f aca="false">Sens!I15568*cx_azo+Sens!I15575*cx_m365+Sens!I15576*cx_lic+(Sens!I15578+Sens!I15580)*cx_ind+Sens!I15583*cx_srch+(Sens!I15585+Sens!I15587)*cx_dev</f>
        <v>52.1984003116439</v>
      </c>
      <c r="J15652" s="6" t="n">
        <f aca="false">Sens!J15568*cx_azo+Sens!J15575*cx_m365+Sens!J15576*cx_lic+(Sens!J15578+Sens!J15580)*cx_ind+Sens!J15583*cx_srch+(Sens!J15585+Sens!J15587)*cx_dev</f>
        <v>57.0809132503738</v>
      </c>
      <c r="K15652" s="6" t="n">
        <f aca="false">Sens!K15568*cx_azo+Sens!K15575*cx_m365+Sens!K15576*cx_lic+(Sens!K15578+Sens!K15580)*cx_ind+Sens!K15583*cx_srch+(Sens!K15585+Sens!K15587)*cx_dev</f>
        <v>61.368702741994</v>
      </c>
    </row>
    <row r="15653" customFormat="false" ht="17.15" hidden="false" customHeight="false" outlineLevel="0" collapsed="false">
      <c r="A15653" s="0" t="s">
        <v>957</v>
      </c>
      <c r="B15653" s="0" t="s">
        <v>98</v>
      </c>
      <c r="F15653" s="6" t="n">
        <f aca="false">0</f>
        <v>0</v>
      </c>
      <c r="L15653" s="1" t="s">
        <v>958</v>
      </c>
    </row>
    <row r="15654" customFormat="false" ht="17.15" hidden="false" customHeight="false" outlineLevel="0" collapsed="false">
      <c r="A15654" s="1" t="s">
        <v>959</v>
      </c>
      <c r="B15654" s="0" t="s">
        <v>98</v>
      </c>
      <c r="E15654" s="6" t="n">
        <f aca="false">Q!M42</f>
        <v>145.3</v>
      </c>
      <c r="F15654" s="6" t="n">
        <f aca="false">Sens!F15651+Sens!F15652+Sens!F15653</f>
        <v>195.912223101029</v>
      </c>
      <c r="G15654" s="6" t="n">
        <f aca="false">Sens!G15651+Sens!G15652</f>
        <v>224.727074053589</v>
      </c>
      <c r="H15654" s="6" t="n">
        <f aca="false">Sens!H15651+Sens!H15652</f>
        <v>234.89179955449</v>
      </c>
      <c r="I15654" s="6" t="n">
        <f aca="false">Sens!I15651+Sens!I15652</f>
        <v>215.905069465889</v>
      </c>
      <c r="J15654" s="6" t="n">
        <f aca="false">Sens!J15651+Sens!J15652</f>
        <v>184.262349844616</v>
      </c>
      <c r="K15654" s="6" t="n">
        <f aca="false">Sens!K15651+Sens!K15652</f>
        <v>182.776118045585</v>
      </c>
      <c r="L15654" s="1" t="s">
        <v>960</v>
      </c>
    </row>
    <row r="15655" customFormat="false" ht="15" hidden="false" customHeight="false" outlineLevel="0" collapsed="false">
      <c r="A15655" s="1" t="s">
        <v>961</v>
      </c>
      <c r="B15655" s="0" t="s">
        <v>98</v>
      </c>
      <c r="E15655" s="6" t="n">
        <f aca="false">fl_liab</f>
        <v>66.594</v>
      </c>
      <c r="F15655" s="6" t="n">
        <f aca="false">Sens!E15655-Sens!F15656</f>
        <v>62.46973</v>
      </c>
      <c r="G15655" s="6" t="n">
        <f aca="false">Sens!F15655-Sens!G15656</f>
        <v>57.98686785</v>
      </c>
      <c r="H15655" s="6" t="n">
        <f aca="false">Sens!G15655-Sens!H15656</f>
        <v>53.92827690325</v>
      </c>
      <c r="I15655" s="6" t="n">
        <f aca="false">Sens!H15655-Sens!I15656</f>
        <v>49.7850493638962</v>
      </c>
      <c r="J15655" s="6" t="n">
        <f aca="false">Sens!I15655-Sens!J15656</f>
        <v>45.4823765852716</v>
      </c>
      <c r="K15655" s="6" t="n">
        <f aca="false">Sens!J15655-Sens!K15656</f>
        <v>40.9860835316088</v>
      </c>
    </row>
    <row r="15656" customFormat="false" ht="15" hidden="false" customHeight="false" outlineLevel="0" collapsed="false">
      <c r="A15656" s="1" t="s">
        <v>962</v>
      </c>
      <c r="B15656" s="0" t="s">
        <v>98</v>
      </c>
      <c r="F15656" s="6" t="n">
        <f aca="false">fl_pay_27-Sens!E15655*fl_rate</f>
        <v>4.12427</v>
      </c>
      <c r="G15656" s="6" t="n">
        <f aca="false">fl_pay_28-Sens!F15655*fl_rate</f>
        <v>4.48286215</v>
      </c>
      <c r="H15656" s="6" t="n">
        <f aca="false">fl_pay_29-Sens!G15655*fl_rate</f>
        <v>4.05859094675</v>
      </c>
      <c r="I15656" s="6" t="n">
        <f aca="false">fl_pay_30-Sens!H15655*fl_rate</f>
        <v>4.14322753935375</v>
      </c>
      <c r="J15656" s="6" t="n">
        <f aca="false">fl_pay_31-Sens!I15655*fl_rate</f>
        <v>4.30267277862467</v>
      </c>
      <c r="K15656" s="6" t="n">
        <f aca="false">fl_pay_32-Sens!J15655*fl_rate</f>
        <v>4.49629305366278</v>
      </c>
    </row>
    <row r="15657" customFormat="false" ht="17.15" hidden="false" customHeight="false" outlineLevel="0" collapsed="false">
      <c r="A15657" s="1" t="s">
        <v>963</v>
      </c>
      <c r="B15657" s="0" t="s">
        <v>98</v>
      </c>
      <c r="E15657" s="6" t="n">
        <f aca="false">Q!M35-Q!M36-Q!M43</f>
        <v>63.886</v>
      </c>
      <c r="F15657" s="6" t="n">
        <f aca="false">Sens!F15650-Sens!F15654-Sens!F15656</f>
        <v>9.36032282677456</v>
      </c>
      <c r="G15657" s="6" t="n">
        <f aca="false">Sens!G15650-Sens!G15654-Sens!G15656</f>
        <v>31.4382716786514</v>
      </c>
      <c r="H15657" s="6" t="n">
        <f aca="false">Sens!H15650-Sens!H15654-Sens!H15656</f>
        <v>70.2766433775186</v>
      </c>
      <c r="I15657" s="6" t="n">
        <f aca="false">Sens!I15650-Sens!I15654-Sens!I15656</f>
        <v>134.22409870714</v>
      </c>
      <c r="J15657" s="6" t="n">
        <f aca="false">Sens!J15650-Sens!J15654-Sens!J15656</f>
        <v>202.645298543089</v>
      </c>
      <c r="K15657" s="6" t="n">
        <f aca="false">Sens!K15650-Sens!K15654-Sens!K15656</f>
        <v>233.997702768007</v>
      </c>
      <c r="L15657" s="11" t="s">
        <v>964</v>
      </c>
    </row>
    <row r="15658" customFormat="false" ht="15" hidden="false" customHeight="false" outlineLevel="0" collapsed="false">
      <c r="A15658" s="1" t="s">
        <v>965</v>
      </c>
      <c r="B15658" s="0" t="s">
        <v>75</v>
      </c>
      <c r="F15658" s="8" t="n">
        <f aca="false">dps_27</f>
        <v>3.85</v>
      </c>
      <c r="G15658" s="8" t="n">
        <f aca="false">Sens!F15658*(1+dps_g)</f>
        <v>4.158</v>
      </c>
      <c r="H15658" s="8" t="n">
        <f aca="false">Sens!G15658*(1+dps_g)</f>
        <v>4.49064</v>
      </c>
      <c r="I15658" s="8" t="n">
        <f aca="false">Sens!H15658*(1+dps_g)</f>
        <v>4.8498912</v>
      </c>
      <c r="J15658" s="8" t="n">
        <f aca="false">Sens!I15658*(1+dps_g)</f>
        <v>5.237882496</v>
      </c>
      <c r="K15658" s="8" t="n">
        <f aca="false">Sens!J15658*(1+dps_g)</f>
        <v>5.65691309568</v>
      </c>
    </row>
    <row r="15659" customFormat="false" ht="17.15" hidden="false" customHeight="false" outlineLevel="0" collapsed="false">
      <c r="A15659" s="1" t="s">
        <v>966</v>
      </c>
      <c r="B15659" s="0" t="s">
        <v>98</v>
      </c>
      <c r="E15659" s="6" t="n">
        <f aca="false">Q!M41</f>
        <v>26.445</v>
      </c>
      <c r="F15659" s="6" t="n">
        <f aca="false">Sens!F15658*Sens!E15668</f>
        <v>28.59395</v>
      </c>
      <c r="G15659" s="6" t="n">
        <f aca="false">Sens!G15658*Sens!F15668</f>
        <v>31.068576</v>
      </c>
      <c r="H15659" s="6" t="n">
        <f aca="false">Sens!H15658*Sens!G15668</f>
        <v>33.7533636246036</v>
      </c>
      <c r="I15659" s="6" t="n">
        <f aca="false">Sens!I15658*Sens!H15668</f>
        <v>36.5045719545713</v>
      </c>
      <c r="J15659" s="6" t="n">
        <f aca="false">Sens!J15658*Sens!I15668</f>
        <v>39.4933365592565</v>
      </c>
      <c r="K15659" s="6" t="n">
        <f aca="false">Sens!K15658*Sens!J15668</f>
        <v>42.740058709302</v>
      </c>
      <c r="L15659" s="1" t="s">
        <v>967</v>
      </c>
    </row>
    <row r="15660" customFormat="false" ht="15" hidden="false" customHeight="false" outlineLevel="0" collapsed="false">
      <c r="A15660" s="1" t="s">
        <v>968</v>
      </c>
      <c r="B15660" s="0" t="s">
        <v>98</v>
      </c>
      <c r="E15660" s="6" t="n">
        <f aca="false">Sens!E15657-Sens!E15659</f>
        <v>37.441</v>
      </c>
      <c r="F15660" s="6" t="n">
        <f aca="false">Sens!F15657-Sens!F15659</f>
        <v>-19.2336271732254</v>
      </c>
      <c r="G15660" s="6" t="n">
        <f aca="false">Sens!G15657-Sens!G15659</f>
        <v>0.369695678651393</v>
      </c>
      <c r="H15660" s="6" t="n">
        <f aca="false">Sens!H15657-Sens!H15659</f>
        <v>36.523279752915</v>
      </c>
      <c r="I15660" s="6" t="n">
        <f aca="false">Sens!I15657-Sens!I15659</f>
        <v>97.7195267525688</v>
      </c>
      <c r="J15660" s="6" t="n">
        <f aca="false">Sens!J15657-Sens!J15659</f>
        <v>163.151961983833</v>
      </c>
      <c r="K15660" s="6" t="n">
        <f aca="false">Sens!K15657-Sens!K15659</f>
        <v>191.257644058705</v>
      </c>
    </row>
    <row r="15661" customFormat="false" ht="15" hidden="false" customHeight="false" outlineLevel="0" collapsed="false">
      <c r="A15661" s="1" t="s">
        <v>969</v>
      </c>
      <c r="B15661" s="0" t="s">
        <v>98</v>
      </c>
      <c r="F15661" s="6" t="n">
        <f aca="false">debt_mat_27</f>
        <v>9.25</v>
      </c>
      <c r="G15661" s="6" t="n">
        <f aca="false">debt_mat_28</f>
        <v>0</v>
      </c>
      <c r="H15661" s="6" t="n">
        <f aca="false">debt_mat_29</f>
        <v>2.001</v>
      </c>
      <c r="I15661" s="6" t="n">
        <f aca="false">debt_mat_30</f>
        <v>0</v>
      </c>
      <c r="J15661" s="6" t="n">
        <f aca="false">debt_mat_31</f>
        <v>0.5</v>
      </c>
      <c r="K15661" s="6" t="n">
        <f aca="false">debt_mat_32</f>
        <v>0</v>
      </c>
    </row>
    <row r="15662" customFormat="false" ht="15" hidden="false" customHeight="false" outlineLevel="0" collapsed="false">
      <c r="A15662" s="1" t="s">
        <v>970</v>
      </c>
      <c r="B15662" s="0" t="s">
        <v>98</v>
      </c>
      <c r="E15662" s="6" t="n">
        <f aca="false">Q!M40</f>
        <v>22.271</v>
      </c>
      <c r="F15662" s="6" t="n">
        <f aca="false">MAX(0,MIN(bb_target,Sens!E15664+Sens!F15660-Sens!F15661-min_cash))</f>
        <v>0</v>
      </c>
      <c r="G15662" s="6" t="n">
        <f aca="false">MAX(0,MIN(bb_target,Sens!F15664+Sens!G15660-Sens!G15661-min_cash))</f>
        <v>0.369695678651397</v>
      </c>
      <c r="H15662" s="6" t="n">
        <f aca="false">MAX(0,MIN(bb_target,Sens!G15664+Sens!H15660-Sens!H15661-min_cash))</f>
        <v>22.271</v>
      </c>
      <c r="I15662" s="6" t="n">
        <f aca="false">MAX(0,MIN(bb_target,Sens!H15664+Sens!I15660-Sens!I15661-min_cash))</f>
        <v>22.271</v>
      </c>
      <c r="J15662" s="6" t="n">
        <f aca="false">MAX(0,MIN(bb_target,Sens!I15664+Sens!J15660-Sens!J15661-min_cash))</f>
        <v>22.271</v>
      </c>
      <c r="K15662" s="6" t="n">
        <f aca="false">MAX(0,MIN(bb_target,Sens!J15664+Sens!K15660-Sens!K15661-min_cash))</f>
        <v>22.271</v>
      </c>
    </row>
    <row r="15663" customFormat="false" ht="15" hidden="false" customHeight="false" outlineLevel="0" collapsed="false">
      <c r="A15663" s="1" t="s">
        <v>971</v>
      </c>
      <c r="B15663" s="0" t="s">
        <v>98</v>
      </c>
      <c r="F15663" s="6" t="n">
        <f aca="false">MAX(0,min_cash-(Sens!E15664+Sens!F15660-Sens!F15661-Sens!F15662))</f>
        <v>1.64062717322544</v>
      </c>
      <c r="G15663" s="6" t="n">
        <f aca="false">MAX(0,min_cash-(Sens!F15664+Sens!G15660-Sens!G15661-Sens!G15662))</f>
        <v>0</v>
      </c>
      <c r="H15663" s="6" t="n">
        <f aca="false">MAX(0,min_cash-(Sens!G15664+Sens!H15660-Sens!H15661-Sens!H15662))</f>
        <v>0</v>
      </c>
      <c r="I15663" s="6" t="n">
        <f aca="false">MAX(0,min_cash-(Sens!H15664+Sens!I15660-Sens!I15661-Sens!I15662))</f>
        <v>0</v>
      </c>
      <c r="J15663" s="6" t="n">
        <f aca="false">MAX(0,min_cash-(Sens!I15664+Sens!J15660-Sens!J15661-Sens!J15662))</f>
        <v>0</v>
      </c>
      <c r="K15663" s="6" t="n">
        <f aca="false">MAX(0,min_cash-(Sens!J15664+Sens!K15660-Sens!K15661-Sens!K15662))</f>
        <v>0</v>
      </c>
    </row>
    <row r="15664" customFormat="false" ht="15" hidden="false" customHeight="false" outlineLevel="0" collapsed="false">
      <c r="A15664" s="1" t="s">
        <v>972</v>
      </c>
      <c r="B15664" s="0" t="s">
        <v>98</v>
      </c>
      <c r="E15664" s="6" t="n">
        <f aca="false">cash_open</f>
        <v>76.843</v>
      </c>
      <c r="F15664" s="6" t="n">
        <f aca="false">Sens!E15664+Sens!F15660-Sens!F15661-Sens!F15662+Sens!F15663</f>
        <v>50</v>
      </c>
      <c r="G15664" s="6" t="n">
        <f aca="false">Sens!F15664+Sens!G15660-Sens!G15661-Sens!G15662+Sens!G15663</f>
        <v>50</v>
      </c>
      <c r="H15664" s="6" t="n">
        <f aca="false">Sens!G15664+Sens!H15660-Sens!H15661-Sens!H15662+Sens!H15663</f>
        <v>62.251279752915</v>
      </c>
      <c r="I15664" s="6" t="n">
        <f aca="false">Sens!H15664+Sens!I15660-Sens!I15661-Sens!I15662+Sens!I15663</f>
        <v>137.699806505484</v>
      </c>
      <c r="J15664" s="6" t="n">
        <f aca="false">Sens!I15664+Sens!J15660-Sens!J15661-Sens!J15662+Sens!J15663</f>
        <v>278.080768489316</v>
      </c>
      <c r="K15664" s="6" t="n">
        <f aca="false">Sens!J15664+Sens!K15660-Sens!K15661-Sens!K15662+Sens!K15663</f>
        <v>447.067412548021</v>
      </c>
    </row>
    <row r="15665" customFormat="false" ht="15" hidden="false" customHeight="false" outlineLevel="0" collapsed="false">
      <c r="A15665" s="1" t="s">
        <v>973</v>
      </c>
      <c r="B15665" s="0" t="s">
        <v>98</v>
      </c>
      <c r="E15665" s="6" t="n">
        <f aca="false">debt_face</f>
        <v>46.136</v>
      </c>
      <c r="F15665" s="6" t="n">
        <f aca="false">Sens!E15665-Sens!F15661+Sens!F15663</f>
        <v>38.5266271732254</v>
      </c>
      <c r="G15665" s="6" t="n">
        <f aca="false">Sens!F15665-Sens!G15661+Sens!G15663</f>
        <v>38.5266271732254</v>
      </c>
      <c r="H15665" s="6" t="n">
        <f aca="false">Sens!G15665-Sens!H15661+Sens!H15663</f>
        <v>36.5256271732254</v>
      </c>
      <c r="I15665" s="6" t="n">
        <f aca="false">Sens!H15665-Sens!I15661+Sens!I15663</f>
        <v>36.5256271732254</v>
      </c>
      <c r="J15665" s="6" t="n">
        <f aca="false">Sens!I15665-Sens!J15661+Sens!J15663</f>
        <v>36.0256271732254</v>
      </c>
      <c r="K15665" s="6" t="n">
        <f aca="false">Sens!J15665-Sens!K15661+Sens!K15663</f>
        <v>36.0256271732254</v>
      </c>
    </row>
    <row r="15666" customFormat="false" ht="15" hidden="false" customHeight="false" outlineLevel="0" collapsed="false">
      <c r="A15666" s="1" t="s">
        <v>974</v>
      </c>
      <c r="B15666" s="0" t="s">
        <v>98</v>
      </c>
      <c r="E15666" s="6" t="n">
        <f aca="false">Sens!E15664-Sens!E15665</f>
        <v>30.707</v>
      </c>
      <c r="F15666" s="6" t="n">
        <f aca="false">Sens!F15664-Sens!F15665</f>
        <v>11.4733728267746</v>
      </c>
      <c r="G15666" s="6" t="n">
        <f aca="false">Sens!G15664-Sens!G15665</f>
        <v>11.4733728267746</v>
      </c>
      <c r="H15666" s="6" t="n">
        <f aca="false">Sens!H15664-Sens!H15665</f>
        <v>25.7256525796896</v>
      </c>
      <c r="I15666" s="6" t="n">
        <f aca="false">Sens!I15664-Sens!I15665</f>
        <v>101.174179332258</v>
      </c>
      <c r="J15666" s="6" t="n">
        <f aca="false">Sens!J15664-Sens!J15665</f>
        <v>242.055141316091</v>
      </c>
      <c r="K15666" s="6" t="n">
        <f aca="false">Sens!K15664-Sens!K15665</f>
        <v>411.041785374796</v>
      </c>
    </row>
    <row r="15667" customFormat="false" ht="15" hidden="false" customHeight="false" outlineLevel="0" collapsed="false">
      <c r="A15667" s="1" t="s">
        <v>975</v>
      </c>
      <c r="B15667" s="0" t="s">
        <v>75</v>
      </c>
      <c r="F15667" s="29" t="n">
        <f aca="false">px*(1+bb_g)^(Sens!F15529-base_fy-mid_yr)</f>
        <v>553.494156066711</v>
      </c>
      <c r="G15667" s="29" t="n">
        <f aca="false">px*(1+bb_g)^(Sens!G15529-base_fy-mid_yr)</f>
        <v>597.773688552047</v>
      </c>
      <c r="H15667" s="29" t="n">
        <f aca="false">px*(1+bb_g)^(Sens!H15529-base_fy-mid_yr)</f>
        <v>645.595583636211</v>
      </c>
      <c r="I15667" s="29" t="n">
        <f aca="false">px*(1+bb_g)^(Sens!I15529-base_fy-mid_yr)</f>
        <v>697.243230327108</v>
      </c>
      <c r="J15667" s="29" t="n">
        <f aca="false">px*(1+bb_g)^(Sens!J15529-base_fy-mid_yr)</f>
        <v>753.022688753277</v>
      </c>
      <c r="K15667" s="29" t="n">
        <f aca="false">px*(1+bb_g)^(Sens!K15529-base_fy-mid_yr)</f>
        <v>813.264503853539</v>
      </c>
    </row>
    <row r="15668" customFormat="false" ht="15" hidden="false" customHeight="false" outlineLevel="0" collapsed="false">
      <c r="A15668" s="1" t="s">
        <v>976</v>
      </c>
      <c r="B15668" s="1" t="s">
        <v>81</v>
      </c>
      <c r="E15668" s="14" t="n">
        <f aca="false">sh_out26</f>
        <v>7.427</v>
      </c>
      <c r="F15668" s="14" t="n">
        <f aca="false">Sens!E15668+sh_iss-Sens!F15662/Sens!F15667</f>
        <v>7.472</v>
      </c>
      <c r="G15668" s="14" t="n">
        <f aca="false">Sens!F15668+sh_iss-Sens!G15662/Sens!G15667</f>
        <v>7.51638154574928</v>
      </c>
      <c r="H15668" s="14" t="n">
        <f aca="false">Sens!G15668+sh_iss-Sens!H15662/Sens!H15667</f>
        <v>7.52688471744919</v>
      </c>
      <c r="I15668" s="14" t="n">
        <f aca="false">Sens!H15668+sh_iss-Sens!I15662/Sens!I15667</f>
        <v>7.53994320976391</v>
      </c>
      <c r="J15668" s="14" t="n">
        <f aca="false">Sens!I15668+sh_iss-Sens!J15662/Sens!J15667</f>
        <v>7.55536773968495</v>
      </c>
      <c r="K15668" s="14" t="n">
        <f aca="false">Sens!J15668+sh_iss-Sens!K15662/Sens!K15667</f>
        <v>7.5729830451674</v>
      </c>
    </row>
    <row r="15669" customFormat="false" ht="15" hidden="false" customHeight="false" outlineLevel="0" collapsed="false">
      <c r="A15669" s="1" t="s">
        <v>977</v>
      </c>
      <c r="B15669" s="1" t="s">
        <v>81</v>
      </c>
      <c r="E15669" s="14" t="n">
        <f aca="false">sh_dil26</f>
        <v>7.453</v>
      </c>
      <c r="F15669" s="14" t="n">
        <f aca="false">(Sens!E15668+Sens!F15668)/2+dil_gap</f>
        <v>7.4735</v>
      </c>
      <c r="G15669" s="14" t="n">
        <f aca="false">(Sens!F15668+Sens!G15668)/2+dil_gap</f>
        <v>7.51819077287464</v>
      </c>
      <c r="H15669" s="14" t="n">
        <f aca="false">(Sens!G15668+Sens!H15668)/2+dil_gap</f>
        <v>7.54563313159923</v>
      </c>
      <c r="I15669" s="14" t="n">
        <f aca="false">(Sens!H15668+Sens!I15668)/2+dil_gap</f>
        <v>7.55741396360655</v>
      </c>
      <c r="J15669" s="14" t="n">
        <f aca="false">(Sens!I15668+Sens!J15668)/2+dil_gap</f>
        <v>7.57165547472443</v>
      </c>
      <c r="K15669" s="14" t="n">
        <f aca="false">(Sens!J15668+Sens!K15668)/2+dil_gap</f>
        <v>7.58817539242617</v>
      </c>
    </row>
    <row r="15670" customFormat="false" ht="17.15" hidden="false" customHeight="false" outlineLevel="0" collapsed="false">
      <c r="A15670" s="1" t="s">
        <v>978</v>
      </c>
      <c r="B15670" s="0" t="s">
        <v>98</v>
      </c>
      <c r="C15670" s="6" t="n">
        <f aca="false">SUM(Sens!F15660:J15660)</f>
        <v>278.530836994742</v>
      </c>
    </row>
    <row r="15671" customFormat="false" ht="15" hidden="false" customHeight="false" outlineLevel="0" collapsed="false">
      <c r="A15671" s="23" t="s">
        <v>945</v>
      </c>
      <c r="B15671" s="30" t="s">
        <v>98</v>
      </c>
      <c r="C15671" s="24" t="n">
        <f aca="false">Sens!$C$15670-(Sens!F15660+Sens!G15660+Sens!H15660+Sens!I15660+Sens!J15660)</f>
        <v>0</v>
      </c>
      <c r="D15671" s="30"/>
      <c r="E15671" s="30"/>
      <c r="F15671" s="30"/>
      <c r="G15671" s="30"/>
      <c r="H15671" s="30"/>
      <c r="I15671" s="30"/>
      <c r="J15671" s="30"/>
      <c r="K15671" s="30"/>
    </row>
    <row r="15672" customFormat="false" ht="17.15" hidden="false" customHeight="false" outlineLevel="0" collapsed="false">
      <c r="A15672" s="1" t="s">
        <v>939</v>
      </c>
      <c r="B15672" s="1" t="s">
        <v>979</v>
      </c>
      <c r="C15672" s="32" t="str">
        <f aca="false">IF(SUM(Sens!F15663:J15663)&gt;0.05,"需要舉債 "&amp;TEXT(SUM(Sens!F15663:J15663),"0.0")&amp;" 十億美元","不需舉債")&amp;"；"&amp;IF(SUM(Sens!F15662:J15662)&lt;COUNT(Sens!F15662:J15662)*bb_target-0.05,"回購較每年 "&amp;TEXT(bb_target,"0.0")&amp;" 的目標少 "&amp;TEXT(COUNT(Sens!F15662:J15662)*bb_target-SUM(Sens!F15662:J15662),"0.0")&amp;" 十億美元（"&amp;TEXT(COUNTIF(Sens!F15662:J15662,"&lt;"&amp;(bb_target-0.05)),"0")&amp;" 年減少）","回購不減")</f>
        <v>需要舉債 1.6 十億美元；回購較每年 22.3 的目標少 44.2 十億美元（2 年減少）</v>
      </c>
    </row>
    <row r="15673" customFormat="false" ht="17.15" hidden="false" customHeight="false" outlineLevel="0" collapsed="false">
      <c r="A15673" s="3" t="s">
        <v>1660</v>
      </c>
    </row>
    <row r="15674" customFormat="false" ht="15" hidden="false" customHeight="false" outlineLevel="0" collapsed="false">
      <c r="A15674" s="4" t="s">
        <v>43</v>
      </c>
      <c r="B15674" s="4" t="s">
        <v>65</v>
      </c>
      <c r="C15674" s="20" t="s">
        <v>799</v>
      </c>
      <c r="D15674" s="20" t="s">
        <v>800</v>
      </c>
      <c r="E15674" s="20" t="s">
        <v>801</v>
      </c>
      <c r="F15674" s="20" t="s">
        <v>802</v>
      </c>
      <c r="G15674" s="20" t="s">
        <v>803</v>
      </c>
      <c r="H15674" s="20" t="s">
        <v>804</v>
      </c>
      <c r="I15674" s="20" t="s">
        <v>805</v>
      </c>
      <c r="J15674" s="20" t="s">
        <v>806</v>
      </c>
      <c r="K15674" s="20" t="s">
        <v>807</v>
      </c>
      <c r="L15674" s="4" t="s">
        <v>47</v>
      </c>
    </row>
    <row r="15675" customFormat="false" ht="15" hidden="false" customHeight="false" outlineLevel="0" collapsed="false">
      <c r="A15675" s="1" t="s">
        <v>1057</v>
      </c>
      <c r="B15675" s="1" t="s">
        <v>235</v>
      </c>
      <c r="F15675" s="36" t="n">
        <f aca="false">Sens!F15529-base_fy-mid_yr</f>
        <v>0.5</v>
      </c>
      <c r="G15675" s="36" t="n">
        <f aca="false">Sens!G15529-base_fy-mid_yr</f>
        <v>1.5</v>
      </c>
      <c r="H15675" s="36" t="n">
        <f aca="false">Sens!H15529-base_fy-mid_yr</f>
        <v>2.5</v>
      </c>
      <c r="I15675" s="36" t="n">
        <f aca="false">Sens!I15529-base_fy-mid_yr</f>
        <v>3.5</v>
      </c>
      <c r="J15675" s="36" t="n">
        <f aca="false">Sens!J15529-base_fy-mid_yr</f>
        <v>4.5</v>
      </c>
      <c r="K15675" s="36" t="n">
        <f aca="false">Sens!K15529-base_fy-mid_yr</f>
        <v>5.5</v>
      </c>
    </row>
    <row r="15676" customFormat="false" ht="15" hidden="false" customHeight="false" outlineLevel="0" collapsed="false">
      <c r="A15676" s="1" t="s">
        <v>1058</v>
      </c>
      <c r="B15676" s="0" t="s">
        <v>185</v>
      </c>
      <c r="F15676" s="14" t="n">
        <f aca="false">1/(1+wacc)^Sens!F15675</f>
        <v>0.952193373608246</v>
      </c>
      <c r="G15676" s="14" t="n">
        <f aca="false">1/(1+wacc)^Sens!G15675</f>
        <v>0.863327280626589</v>
      </c>
      <c r="H15676" s="14" t="n">
        <f aca="false">1/(1+wacc)^Sens!H15675</f>
        <v>0.782754862754115</v>
      </c>
      <c r="I15676" s="14" t="n">
        <f aca="false">1/(1+wacc)^Sens!I15675</f>
        <v>0.709702089711011</v>
      </c>
      <c r="J15676" s="14" t="n">
        <f aca="false">1/(1+wacc)^Sens!J15675</f>
        <v>0.643467169744551</v>
      </c>
      <c r="K15676" s="14" t="n">
        <f aca="false">1/(1+wacc)^Sens!K15675</f>
        <v>0.583413807767797</v>
      </c>
    </row>
    <row r="15677" customFormat="false" ht="17.15" hidden="false" customHeight="false" outlineLevel="0" collapsed="false">
      <c r="A15677" s="1" t="s">
        <v>1059</v>
      </c>
      <c r="B15677" s="0" t="s">
        <v>98</v>
      </c>
      <c r="F15677" s="6" t="n">
        <f aca="false">Sens!F15650-Sens!F15648-Sens!F15654+Sens!F15633*(1-tax_f)</f>
        <v>5.99285871181206</v>
      </c>
      <c r="G15677" s="6" t="n">
        <f aca="false">Sens!G15650-Sens!G15648-Sens!G15654+Sens!G15633*(1-tax_f)</f>
        <v>37.3047272359426</v>
      </c>
      <c r="H15677" s="6" t="n">
        <f aca="false">Sens!H15650-Sens!H15648-Sens!H15654+Sens!H15633*(1-tax_f)</f>
        <v>85.75460162145</v>
      </c>
      <c r="I15677" s="6" t="n">
        <f aca="false">Sens!I15650-Sens!I15648-Sens!I15654+Sens!I15633*(1-tax_f)</f>
        <v>158.977189164146</v>
      </c>
      <c r="J15677" s="6" t="n">
        <f aca="false">Sens!J15650-Sens!J15648-Sens!J15654+Sens!J15633*(1-tax_f)</f>
        <v>233.768007053379</v>
      </c>
      <c r="K15677" s="6" t="n">
        <f aca="false">Sens!K15650-Sens!K15648-Sens!K15654+Sens!K15633*(1-tax_f)</f>
        <v>268.349906802028</v>
      </c>
      <c r="L15677" s="1" t="s">
        <v>1060</v>
      </c>
    </row>
    <row r="15678" customFormat="false" ht="15" hidden="false" customHeight="false" outlineLevel="0" collapsed="false">
      <c r="A15678" s="1" t="s">
        <v>1061</v>
      </c>
      <c r="B15678" s="0" t="s">
        <v>98</v>
      </c>
      <c r="F15678" s="6" t="n">
        <f aca="false">Sens!F15677*Sens!F15676</f>
        <v>5.70636035435789</v>
      </c>
      <c r="G15678" s="6" t="n">
        <f aca="false">Sens!G15677*Sens!G15676</f>
        <v>32.206188719123</v>
      </c>
      <c r="H15678" s="6" t="n">
        <f aca="false">Sens!H15677*Sens!H15676</f>
        <v>67.1248314227319</v>
      </c>
      <c r="I15678" s="6" t="n">
        <f aca="false">Sens!I15677*Sens!I15676</f>
        <v>112.826443366177</v>
      </c>
      <c r="J15678" s="6" t="n">
        <f aca="false">Sens!J15677*Sens!J15676</f>
        <v>150.422037875462</v>
      </c>
      <c r="K15678" s="6" t="n">
        <f aca="false">Sens!K15677*Sens!K15676</f>
        <v>156.559040941504</v>
      </c>
    </row>
    <row r="15679" customFormat="false" ht="17.15" hidden="false" customHeight="false" outlineLevel="0" collapsed="false">
      <c r="A15679" s="1" t="s">
        <v>1062</v>
      </c>
      <c r="B15679" s="0" t="s">
        <v>98</v>
      </c>
      <c r="C15679" s="6" t="n">
        <f aca="false">SUM(Sens!F15678:K15678)</f>
        <v>524.844902679357</v>
      </c>
    </row>
    <row r="15680" customFormat="false" ht="17.15" hidden="false" customHeight="false" outlineLevel="0" collapsed="false">
      <c r="A15680" s="1" t="s">
        <v>1063</v>
      </c>
      <c r="B15680" s="0" t="s">
        <v>98</v>
      </c>
      <c r="C15680" s="6" t="n">
        <f aca="false">Sens!K15619*(1+g_tv)*(1-tax_f)</f>
        <v>285.089194892094</v>
      </c>
    </row>
    <row r="15681" customFormat="false" ht="17.15" hidden="false" customHeight="false" outlineLevel="0" collapsed="false">
      <c r="A15681" s="1" t="s">
        <v>1064</v>
      </c>
      <c r="B15681" s="0" t="s">
        <v>98</v>
      </c>
      <c r="C15681" s="6" t="n">
        <f aca="false">Sens!$C$15680*(1-g_tv/(wacc+ronic_prem))</f>
        <v>202.000604709666</v>
      </c>
    </row>
    <row r="15682" customFormat="false" ht="17.15" hidden="false" customHeight="false" outlineLevel="0" collapsed="false">
      <c r="A15682" s="1" t="s">
        <v>1065</v>
      </c>
      <c r="B15682" s="0" t="s">
        <v>98</v>
      </c>
      <c r="C15682" s="6" t="n">
        <f aca="false">Sens!$C$15681/(wacc-g_tv)</f>
        <v>2769.6196727476</v>
      </c>
    </row>
    <row r="15683" customFormat="false" ht="15" hidden="false" customHeight="false" outlineLevel="0" collapsed="false">
      <c r="A15683" s="1" t="s">
        <v>1066</v>
      </c>
      <c r="B15683" s="0" t="s">
        <v>98</v>
      </c>
      <c r="C15683" s="6" t="n">
        <f aca="false">Sens!$C$15682/(1+wacc)^(Sens!K15675+mid_yr)</f>
        <v>1538.58676981805</v>
      </c>
    </row>
    <row r="15684" customFormat="false" ht="17.15" hidden="false" customHeight="false" outlineLevel="0" collapsed="false">
      <c r="A15684" s="0" t="s">
        <v>986</v>
      </c>
      <c r="B15684" s="0" t="s">
        <v>98</v>
      </c>
      <c r="C15684" s="6" t="n">
        <f aca="false">Sens!$C$15679+Sens!$C$15683</f>
        <v>2063.43167249741</v>
      </c>
    </row>
    <row r="15685" customFormat="false" ht="15" hidden="false" customHeight="false" outlineLevel="0" collapsed="false">
      <c r="A15685" s="1" t="s">
        <v>987</v>
      </c>
      <c r="B15685" s="0" t="s">
        <v>129</v>
      </c>
      <c r="C15685" s="7" t="n">
        <f aca="false">Sens!$C$15683/Sens!$C$15684</f>
        <v>0.745644641557659</v>
      </c>
    </row>
    <row r="15686" customFormat="false" ht="17.15" hidden="false" customHeight="false" outlineLevel="0" collapsed="false">
      <c r="A15686" s="1" t="s">
        <v>1067</v>
      </c>
      <c r="B15686" s="0" t="s">
        <v>98</v>
      </c>
      <c r="C15686" s="6" t="n">
        <f aca="false">Sens!$C$15684+Sens!E15666-Sens!E15655+oai_v</f>
        <v>2197.94467249741</v>
      </c>
    </row>
    <row r="15687" customFormat="false" ht="17.15" hidden="false" customHeight="false" outlineLevel="0" collapsed="false">
      <c r="A15687" s="0" t="s">
        <v>994</v>
      </c>
      <c r="B15687" s="0" t="s">
        <v>75</v>
      </c>
      <c r="C15687" s="5" t="n">
        <f aca="false">Sens!$C$15686/sh_dil26</f>
        <v>294.907375888556</v>
      </c>
    </row>
    <row r="15688" customFormat="false" ht="15" hidden="false" customHeight="false" outlineLevel="0" collapsed="false">
      <c r="A15688" s="1" t="s">
        <v>1068</v>
      </c>
      <c r="B15688" s="0" t="s">
        <v>75</v>
      </c>
      <c r="C15688" s="8" t="n">
        <f aca="false">dps_27+Sens!G15658*roll_div_q/q_per_yr</f>
        <v>4.8895</v>
      </c>
    </row>
    <row r="15689" customFormat="false" ht="17.15" hidden="false" customHeight="false" outlineLevel="0" collapsed="false">
      <c r="A15689" s="0" t="s">
        <v>1069</v>
      </c>
      <c r="B15689" s="0" t="s">
        <v>75</v>
      </c>
      <c r="C15689" s="5" t="n">
        <f aca="false">Sens!$C$15687*(1+wacc)^t_roll-Sens!$C$15688</f>
        <v>330.931375741717</v>
      </c>
    </row>
    <row r="15690" customFormat="false" ht="17.15" hidden="false" customHeight="false" outlineLevel="0" collapsed="false">
      <c r="A15690" s="1" t="s">
        <v>1070</v>
      </c>
      <c r="B15690" s="0" t="s">
        <v>129</v>
      </c>
      <c r="F15690" s="7" t="n">
        <f aca="false">Sens!F15645/(Sens!F15590-Sens!F15546)</f>
        <v>0.0684307874075333</v>
      </c>
      <c r="G15690" s="7" t="n">
        <f aca="false">Sens!G15645/(Sens!G15590-Sens!G15546)</f>
        <v>0.0656456058503526</v>
      </c>
      <c r="H15690" s="7" t="n">
        <f aca="false">Sens!H15645/(Sens!H15590-Sens!H15546)</f>
        <v>0.0641950889132003</v>
      </c>
      <c r="I15690" s="7" t="n">
        <f aca="false">Sens!I15645/(Sens!I15590-Sens!I15546)</f>
        <v>0.063960269667854</v>
      </c>
      <c r="J15690" s="7" t="n">
        <f aca="false">Sens!J15645/(Sens!J15590-Sens!J15546)</f>
        <v>0.0646607917002597</v>
      </c>
      <c r="K15690" s="7" t="n">
        <f aca="false">Sens!K15645/(Sens!K15590-Sens!K15546)</f>
        <v>0.0659511546529383</v>
      </c>
    </row>
    <row r="15691" customFormat="false" ht="17.15" hidden="false" customHeight="false" outlineLevel="0" collapsed="false">
      <c r="A15691" s="0" t="s">
        <v>1071</v>
      </c>
      <c r="B15691" s="0" t="s">
        <v>98</v>
      </c>
      <c r="F15691" s="6" t="n">
        <f aca="false">Sens!F15575*(al_m365+Sens!F15690+sbc_r)</f>
        <v>83.9158372980923</v>
      </c>
      <c r="G15691" s="6" t="n">
        <f aca="false">Sens!G15575*(al_m365+Sens!G15690+sbc_r)</f>
        <v>96.3459139664276</v>
      </c>
      <c r="H15691" s="6" t="n">
        <f aca="false">Sens!H15575*(al_m365+Sens!H15690+sbc_r)</f>
        <v>108.939128787393</v>
      </c>
      <c r="I15691" s="6" t="n">
        <f aca="false">Sens!I15575*(al_m365+Sens!I15690+sbc_r)</f>
        <v>120.51456797186</v>
      </c>
      <c r="J15691" s="6" t="n">
        <f aca="false">Sens!J15575*(al_m365+Sens!J15690+sbc_r)</f>
        <v>130.883844402211</v>
      </c>
      <c r="K15691" s="6" t="n">
        <f aca="false">Sens!K15575*(al_m365+Sens!K15690+sbc_r)</f>
        <v>140.862269296832</v>
      </c>
      <c r="L15691" s="11" t="s">
        <v>1072</v>
      </c>
    </row>
    <row r="15692" customFormat="false" ht="17.15" hidden="false" customHeight="false" outlineLevel="0" collapsed="false">
      <c r="A15692" s="0" t="s">
        <v>1073</v>
      </c>
      <c r="B15692" s="0" t="s">
        <v>98</v>
      </c>
      <c r="F15692" s="6" t="n">
        <f aca="false">Sens!F15576*(al_lic+Sens!F15690+sbc_r)</f>
        <v>33.4384115342236</v>
      </c>
      <c r="G15692" s="6" t="n">
        <f aca="false">Sens!G15576*(al_lic+Sens!G15690+sbc_r)</f>
        <v>34.7409063621757</v>
      </c>
      <c r="H15692" s="6" t="n">
        <f aca="false">Sens!H15576*(al_lic+Sens!H15690+sbc_r)</f>
        <v>35.9566740351293</v>
      </c>
      <c r="I15692" s="6" t="n">
        <f aca="false">Sens!I15576*(al_lic+Sens!I15690+sbc_r)</f>
        <v>37.0672966580049</v>
      </c>
      <c r="J15692" s="6" t="n">
        <f aca="false">Sens!J15576*(al_lic+Sens!J15690+sbc_r)</f>
        <v>38.0469841498966</v>
      </c>
      <c r="K15692" s="6" t="n">
        <f aca="false">Sens!K15576*(al_lic+Sens!K15690+sbc_r)</f>
        <v>38.8666958490701</v>
      </c>
    </row>
    <row r="15693" customFormat="false" ht="17.15" hidden="false" customHeight="false" outlineLevel="0" collapsed="false">
      <c r="A15693" s="0" t="s">
        <v>1074</v>
      </c>
      <c r="B15693" s="0" t="s">
        <v>98</v>
      </c>
      <c r="F15693" s="6" t="n">
        <f aca="false">Sens!F15578*(al_ind+Sens!F15690+sbc_r)</f>
        <v>9.07285900381439</v>
      </c>
      <c r="G15693" s="6" t="n">
        <f aca="false">Sens!G15578*(al_ind+Sens!G15690+sbc_r)</f>
        <v>9.84969160470639</v>
      </c>
      <c r="H15693" s="6" t="n">
        <f aca="false">Sens!H15578*(al_ind+Sens!H15690+sbc_r)</f>
        <v>10.6714469126029</v>
      </c>
      <c r="I15693" s="6" t="n">
        <f aca="false">Sens!I15578*(al_ind+Sens!I15690+sbc_r)</f>
        <v>11.5350820765572</v>
      </c>
      <c r="J15693" s="6" t="n">
        <f aca="false">Sens!J15578*(al_ind+Sens!J15690+sbc_r)</f>
        <v>12.4308815351832</v>
      </c>
      <c r="K15693" s="6" t="n">
        <f aca="false">Sens!K15578*(al_ind+Sens!K15690+sbc_r)</f>
        <v>13.3437330974691</v>
      </c>
    </row>
    <row r="15694" customFormat="false" ht="17.15" hidden="false" customHeight="false" outlineLevel="0" collapsed="false">
      <c r="A15694" s="0" t="s">
        <v>1075</v>
      </c>
      <c r="B15694" s="0" t="s">
        <v>98</v>
      </c>
      <c r="F15694" s="6" t="n">
        <f aca="false">Sens!F15580*(al_fro+Sens!F15690+sbc_r)</f>
        <v>3.5711091569032</v>
      </c>
      <c r="G15694" s="6" t="n">
        <f aca="false">Sens!G15580*(al_fro+Sens!G15690+sbc_r)</f>
        <v>3.78169924595694</v>
      </c>
      <c r="H15694" s="6" t="n">
        <f aca="false">Sens!H15580*(al_fro+Sens!H15690+sbc_r)</f>
        <v>4.02136645419237</v>
      </c>
      <c r="I15694" s="6" t="n">
        <f aca="false">Sens!I15580*(al_fro+Sens!I15690+sbc_r)</f>
        <v>4.29288807676321</v>
      </c>
      <c r="J15694" s="6" t="n">
        <f aca="false">Sens!J15580*(al_fro+Sens!J15690+sbc_r)</f>
        <v>4.59741770960175</v>
      </c>
      <c r="K15694" s="6" t="n">
        <f aca="false">Sens!K15580*(al_fro+Sens!K15690+sbc_r)</f>
        <v>4.9350252981555</v>
      </c>
    </row>
    <row r="15695" customFormat="false" ht="17.15" hidden="false" customHeight="false" outlineLevel="0" collapsed="false">
      <c r="A15695" s="0" t="s">
        <v>1076</v>
      </c>
      <c r="B15695" s="0" t="s">
        <v>98</v>
      </c>
      <c r="F15695" s="6" t="n">
        <f aca="false">Sens!F15583*(al_srch+Sens!F15690+sbc_r)</f>
        <v>11.205111954849</v>
      </c>
      <c r="G15695" s="6" t="n">
        <f aca="false">Sens!G15583*(al_srch+Sens!G15690+sbc_r)</f>
        <v>12.2792883348957</v>
      </c>
      <c r="H15695" s="6" t="n">
        <f aca="false">Sens!H15583*(al_srch+Sens!H15690+sbc_r)</f>
        <v>13.3983888227975</v>
      </c>
      <c r="I15695" s="6" t="n">
        <f aca="false">Sens!I15583*(al_srch+Sens!I15690+sbc_r)</f>
        <v>14.5517695263616</v>
      </c>
      <c r="J15695" s="6" t="n">
        <f aca="false">Sens!J15583*(al_srch+Sens!J15690+sbc_r)</f>
        <v>15.7194284145253</v>
      </c>
      <c r="K15695" s="6" t="n">
        <f aca="false">Sens!K15583*(al_srch+Sens!K15690+sbc_r)</f>
        <v>16.87377171237</v>
      </c>
    </row>
    <row r="15696" customFormat="false" ht="17.15" hidden="false" customHeight="false" outlineLevel="0" collapsed="false">
      <c r="A15696" s="0" t="s">
        <v>1077</v>
      </c>
      <c r="B15696" s="0" t="s">
        <v>98</v>
      </c>
      <c r="F15696" s="6" t="n">
        <f aca="false">Sens!F15552-Sens!F15553+Sens!F15633</f>
        <v>42.2254306726393</v>
      </c>
      <c r="G15696" s="6" t="n">
        <f aca="false">Sens!G15552-Sens!G15553+Sens!G15633</f>
        <v>79.7027537443441</v>
      </c>
      <c r="H15696" s="6" t="n">
        <f aca="false">Sens!H15552-Sens!H15553+Sens!H15633</f>
        <v>120.060533679822</v>
      </c>
      <c r="I15696" s="6" t="n">
        <f aca="false">Sens!I15552-Sens!I15553+Sens!I15633</f>
        <v>156.515256506302</v>
      </c>
      <c r="J15696" s="6" t="n">
        <f aca="false">Sens!J15552-Sens!J15553+Sens!J15633</f>
        <v>182.51821819491</v>
      </c>
      <c r="K15696" s="6" t="n">
        <f aca="false">Sens!K15552-Sens!K15553+Sens!K15633</f>
        <v>199.254533496123</v>
      </c>
    </row>
    <row r="15697" customFormat="false" ht="17.15" hidden="false" customHeight="false" outlineLevel="0" collapsed="false">
      <c r="A15697" s="0" t="s">
        <v>1078</v>
      </c>
      <c r="B15697" s="0" t="s">
        <v>98</v>
      </c>
      <c r="F15697" s="6" t="n">
        <f aca="false">Sens!F15612+Sens!F15633+Sens!F15563+Sens!F15690*(Sens!F15582-Sens!F15546)+sbc_r*Sens!F15582</f>
        <v>233.239281725346</v>
      </c>
      <c r="G15697" s="6" t="n">
        <f aca="false">Sens!G15612+Sens!G15633+Sens!G15563+Sens!G15690*(Sens!G15582-Sens!G15546)+sbc_r*Sens!G15582</f>
        <v>297.792986047076</v>
      </c>
      <c r="H15697" s="6" t="n">
        <f aca="false">Sens!H15612+Sens!H15633+Sens!H15563+Sens!H15690*(Sens!H15582-Sens!H15546)+sbc_r*Sens!H15582</f>
        <v>365.737311704381</v>
      </c>
      <c r="I15697" s="6" t="n">
        <f aca="false">Sens!I15612+Sens!I15633+Sens!I15563+Sens!I15690*(Sens!I15582-Sens!I15546)+sbc_r*Sens!I15582</f>
        <v>428.412347454206</v>
      </c>
      <c r="J15697" s="6" t="n">
        <f aca="false">Sens!J15612+Sens!J15633+Sens!J15563+Sens!J15690*(Sens!J15582-Sens!J15546)+sbc_r*Sens!J15582</f>
        <v>478.208745687718</v>
      </c>
      <c r="K15697" s="6" t="n">
        <f aca="false">Sens!K15612+Sens!K15633+Sens!K15563+Sens!K15690*(Sens!K15582-Sens!K15546)+sbc_r*Sens!K15582</f>
        <v>516.393557615984</v>
      </c>
    </row>
    <row r="15698" customFormat="false" ht="17.15" hidden="false" customHeight="false" outlineLevel="0" collapsed="false">
      <c r="A15698" s="0" t="s">
        <v>1079</v>
      </c>
      <c r="B15698" s="0" t="s">
        <v>98</v>
      </c>
      <c r="F15698" s="6" t="n">
        <f aca="false">Sens!F15697-Sens!F15691-Sens!F15692-Sens!F15693-Sens!F15694-Sens!F15696</f>
        <v>61.0156340596736</v>
      </c>
      <c r="G15698" s="6" t="n">
        <f aca="false">Sens!G15697-Sens!G15691-Sens!G15692-Sens!G15693-Sens!G15694-Sens!G15696</f>
        <v>73.3720211234655</v>
      </c>
      <c r="H15698" s="6" t="n">
        <f aca="false">Sens!H15697-Sens!H15691-Sens!H15692-Sens!H15693-Sens!H15694-Sens!H15696</f>
        <v>86.0881618352416</v>
      </c>
      <c r="I15698" s="6" t="n">
        <f aca="false">Sens!I15697-Sens!I15691-Sens!I15692-Sens!I15693-Sens!I15694-Sens!I15696</f>
        <v>98.4872561647193</v>
      </c>
      <c r="J15698" s="6" t="n">
        <f aca="false">Sens!J15697-Sens!J15691-Sens!J15692-Sens!J15693-Sens!J15694-Sens!J15696</f>
        <v>109.731399695915</v>
      </c>
      <c r="K15698" s="6" t="n">
        <f aca="false">Sens!K15697-Sens!K15691-Sens!K15692-Sens!K15693-Sens!K15694-Sens!K15696</f>
        <v>119.131300578334</v>
      </c>
    </row>
    <row r="15699" customFormat="false" ht="17.15" hidden="false" customHeight="false" outlineLevel="0" collapsed="false">
      <c r="A15699" s="0" t="s">
        <v>1080</v>
      </c>
      <c r="B15699" s="0" t="s">
        <v>98</v>
      </c>
      <c r="F15699" s="6" t="n">
        <f aca="false">Sens!F15614+Sens!F15690*Sens!F15589+sbc_r*Sens!F15589</f>
        <v>26.1883018536976</v>
      </c>
      <c r="G15699" s="6" t="n">
        <f aca="false">Sens!G15614+Sens!G15690*Sens!G15589+sbc_r*Sens!G15589</f>
        <v>26.7988692269165</v>
      </c>
      <c r="H15699" s="6" t="n">
        <f aca="false">Sens!H15614+Sens!H15690*Sens!H15589+sbc_r*Sens!H15589</f>
        <v>27.676651877401</v>
      </c>
      <c r="I15699" s="6" t="n">
        <f aca="false">Sens!I15614+Sens!I15690*Sens!I15589+sbc_r*Sens!I15589</f>
        <v>28.7919477163856</v>
      </c>
      <c r="J15699" s="6" t="n">
        <f aca="false">Sens!J15614+Sens!J15690*Sens!J15589+sbc_r*Sens!J15589</f>
        <v>30.1095554599876</v>
      </c>
      <c r="K15699" s="6" t="n">
        <f aca="false">Sens!K15614+Sens!K15690*Sens!K15589+sbc_r*Sens!K15589</f>
        <v>31.5923355811805</v>
      </c>
    </row>
    <row r="15700" customFormat="false" ht="17.15" hidden="false" customHeight="false" outlineLevel="0" collapsed="false">
      <c r="A15700" s="0" t="s">
        <v>1081</v>
      </c>
      <c r="B15700" s="0" t="s">
        <v>98</v>
      </c>
      <c r="F15700" s="6" t="n">
        <f aca="false">(Sens!F15699-Sens!F15695)*Sens!F15585/(Sens!F15585+Sens!F15587)</f>
        <v>8.21363876839376</v>
      </c>
      <c r="G15700" s="6" t="n">
        <f aca="false">(Sens!G15699-Sens!G15695)*Sens!G15585/(Sens!G15585+Sens!G15587)</f>
        <v>7.81757556948427</v>
      </c>
      <c r="H15700" s="6" t="n">
        <f aca="false">(Sens!H15699-Sens!H15695)*Sens!H15585/(Sens!H15585+Sens!H15587)</f>
        <v>7.58379891746928</v>
      </c>
      <c r="I15700" s="6" t="n">
        <f aca="false">(Sens!I15699-Sens!I15695)*Sens!I15585/(Sens!I15585+Sens!I15587)</f>
        <v>7.49513512835163</v>
      </c>
      <c r="J15700" s="6" t="n">
        <f aca="false">(Sens!J15699-Sens!J15695)*Sens!J15585/(Sens!J15585+Sens!J15587)</f>
        <v>7.53980917061682</v>
      </c>
      <c r="K15700" s="6" t="n">
        <f aca="false">(Sens!K15699-Sens!K15695)*Sens!K15585/(Sens!K15585+Sens!K15587)</f>
        <v>7.71189597463361</v>
      </c>
    </row>
    <row r="15701" customFormat="false" ht="17.15" hidden="false" customHeight="false" outlineLevel="0" collapsed="false">
      <c r="A15701" s="0" t="s">
        <v>1082</v>
      </c>
      <c r="B15701" s="0" t="s">
        <v>98</v>
      </c>
      <c r="F15701" s="6" t="n">
        <f aca="false">Sens!F15699-Sens!F15695-Sens!F15700</f>
        <v>6.76955113045481</v>
      </c>
      <c r="G15701" s="6" t="n">
        <f aca="false">Sens!G15699-Sens!G15695-Sens!G15700</f>
        <v>6.70200532253647</v>
      </c>
      <c r="H15701" s="6" t="n">
        <f aca="false">Sens!H15699-Sens!H15695-Sens!H15700</f>
        <v>6.69446413713431</v>
      </c>
      <c r="I15701" s="6" t="n">
        <f aca="false">Sens!I15699-Sens!I15695-Sens!I15700</f>
        <v>6.74504306167234</v>
      </c>
      <c r="J15701" s="6" t="n">
        <f aca="false">Sens!J15699-Sens!J15695-Sens!J15700</f>
        <v>6.85031787484545</v>
      </c>
      <c r="K15701" s="6" t="n">
        <f aca="false">Sens!K15699-Sens!K15695-Sens!K15700</f>
        <v>7.00666789417688</v>
      </c>
    </row>
    <row r="15702" customFormat="false" ht="17.15" hidden="false" customHeight="false" outlineLevel="0" collapsed="false">
      <c r="A15702" s="0" t="s">
        <v>1083</v>
      </c>
      <c r="B15702" s="0" t="s">
        <v>98</v>
      </c>
      <c r="F15702" s="6" t="n">
        <f aca="false">Sens!F15696-tax_f*(Sens!F15696-Sens!F15563)-Sens!F15560</f>
        <v>-119.742553857164</v>
      </c>
      <c r="G15702" s="6" t="n">
        <f aca="false">Sens!G15696-tax_f*(Sens!G15696-Sens!G15563)-Sens!G15560</f>
        <v>-107.986890065622</v>
      </c>
      <c r="H15702" s="6" t="n">
        <f aca="false">Sens!H15696-tax_f*(Sens!H15696-Sens!H15563)-Sens!H15560</f>
        <v>-74.7596549978803</v>
      </c>
      <c r="I15702" s="6" t="n">
        <f aca="false">Sens!I15696-tax_f*(Sens!I15696-Sens!I15563)-Sens!I15560</f>
        <v>-16.3733151827256</v>
      </c>
      <c r="J15702" s="6" t="n">
        <f aca="false">Sens!J15696-tax_f*(Sens!J15696-Sens!J15563)-Sens!J15560</f>
        <v>44.4328025322546</v>
      </c>
      <c r="K15702" s="6" t="n">
        <f aca="false">Sens!K15696-tax_f*(Sens!K15696-Sens!K15563)-Sens!K15560</f>
        <v>65.8225043021697</v>
      </c>
    </row>
    <row r="15703" customFormat="false" ht="17.15" hidden="false" customHeight="false" outlineLevel="0" collapsed="false">
      <c r="A15703" s="0" t="s">
        <v>1084</v>
      </c>
      <c r="B15703" s="0" t="s">
        <v>98</v>
      </c>
      <c r="G15703" s="6" t="n">
        <f aca="false">Sens!G15702/(1+wacc)^(Sens!G15675-(Sens!F15675+mid_yr))</f>
        <v>-102.824401157048</v>
      </c>
      <c r="H15703" s="6" t="n">
        <f aca="false">Sens!H15702/(1+wacc)^(Sens!H15675-(Sens!F15675+mid_yr))</f>
        <v>-64.5420496499019</v>
      </c>
      <c r="I15703" s="6" t="n">
        <f aca="false">Sens!I15702/(1+wacc)^(Sens!I15675-(Sens!F15675+mid_yr))</f>
        <v>-12.8162920786843</v>
      </c>
      <c r="J15703" s="6" t="n">
        <f aca="false">Sens!J15702/(1+wacc)^(Sens!J15675-(Sens!F15675+mid_yr))</f>
        <v>31.5340528088578</v>
      </c>
      <c r="K15703" s="6" t="n">
        <f aca="false">Sens!K15702/(1+wacc)^(Sens!K15675-(Sens!F15675+mid_yr))</f>
        <v>42.3546205488157</v>
      </c>
      <c r="L15703" s="1" t="s">
        <v>1085</v>
      </c>
    </row>
    <row r="15704" customFormat="false" ht="17.15" hidden="false" customHeight="false" outlineLevel="0" collapsed="false">
      <c r="A15704" s="0" t="s">
        <v>1086</v>
      </c>
      <c r="B15704" s="0" t="s">
        <v>98</v>
      </c>
      <c r="C15704" s="6" t="n">
        <f aca="false">(Sens!K15696-Sens!K15563)*(1-tax_f)*(1+g_tv)*(1-g_tv/(wacc+ronic_prem))/(wacc-g_tv)/(1+wacc)^(Sens!K15675+mid_yr-(Sens!F15675+mid_yr))</f>
        <v>294.889481980532</v>
      </c>
    </row>
    <row r="15705" customFormat="false" ht="17.15" hidden="false" customHeight="false" outlineLevel="0" collapsed="false">
      <c r="A15705" s="1" t="s">
        <v>1087</v>
      </c>
      <c r="B15705" s="0" t="s">
        <v>98</v>
      </c>
      <c r="C15705" s="6" t="n">
        <f aca="false">(SUM(Sens!G15703:K15703)+Sens!$C$15704)*(1+wacc)^(t_roll-(Sens!F15675+mid_yr))</f>
        <v>194.716829358755</v>
      </c>
      <c r="L15705" s="11" t="s">
        <v>1088</v>
      </c>
    </row>
    <row r="15706" customFormat="false" ht="17.15" hidden="false" customHeight="false" outlineLevel="0" collapsed="false">
      <c r="A15706" s="1" t="s">
        <v>1089</v>
      </c>
      <c r="B15706" s="0" t="s">
        <v>98</v>
      </c>
      <c r="C15706" s="6" t="n">
        <f aca="false">(w_ntm28*Sens!G15552+(1-w_ntm28)*Sens!H15552)*m_ai</f>
        <v>454.922440830797</v>
      </c>
    </row>
    <row r="15707" customFormat="false" ht="17.15" hidden="false" customHeight="false" outlineLevel="0" collapsed="false">
      <c r="A15707" s="1" t="s">
        <v>1090</v>
      </c>
      <c r="B15707" s="0" t="s">
        <v>98</v>
      </c>
      <c r="C15707" s="6" t="n">
        <f aca="false">(w_ntm28*Sens!G15698+(1-w_ntm28)*Sens!H15698)*m_cloud</f>
        <v>1070.81495830201</v>
      </c>
    </row>
    <row r="15708" customFormat="false" ht="17.15" hidden="false" customHeight="false" outlineLevel="0" collapsed="false">
      <c r="A15708" s="1" t="s">
        <v>1091</v>
      </c>
      <c r="B15708" s="0" t="s">
        <v>98</v>
      </c>
      <c r="C15708" s="6" t="n">
        <f aca="false">(w_ntm28*Sens!G15691+(1-w_ntm28)*Sens!H15691)*m_sw</f>
        <v>1084.50516663972</v>
      </c>
    </row>
    <row r="15709" customFormat="false" ht="17.15" hidden="false" customHeight="false" outlineLevel="0" collapsed="false">
      <c r="A15709" s="1" t="s">
        <v>1092</v>
      </c>
      <c r="B15709" s="0" t="s">
        <v>98</v>
      </c>
      <c r="C15709" s="6" t="n">
        <f aca="false">(w_ntm28*Sens!G15692+(1-w_ntm28)*Sens!H15692)*m_sw</f>
        <v>379.446649868791</v>
      </c>
    </row>
    <row r="15710" customFormat="false" ht="17.15" hidden="false" customHeight="false" outlineLevel="0" collapsed="false">
      <c r="A15710" s="1" t="s">
        <v>1093</v>
      </c>
      <c r="B15710" s="0" t="s">
        <v>98</v>
      </c>
      <c r="C15710" s="6" t="n">
        <f aca="false">(w_ntm28*Sens!G15693+(1-w_ntm28)*Sens!H15693)*m_sw</f>
        <v>109.245833616811</v>
      </c>
    </row>
    <row r="15711" customFormat="false" ht="17.15" hidden="false" customHeight="false" outlineLevel="0" collapsed="false">
      <c r="A15711" s="1" t="s">
        <v>1094</v>
      </c>
      <c r="B15711" s="0" t="s">
        <v>98</v>
      </c>
      <c r="C15711" s="6" t="n">
        <f aca="false">(w_ntm28*Sens!G15694+(1-w_ntm28)*Sens!H15694)*m_sw</f>
        <v>41.6791515554452</v>
      </c>
    </row>
    <row r="15712" customFormat="false" ht="17.15" hidden="false" customHeight="false" outlineLevel="0" collapsed="false">
      <c r="A15712" s="1" t="s">
        <v>1095</v>
      </c>
      <c r="B15712" s="0" t="s">
        <v>98</v>
      </c>
      <c r="C15712" s="6" t="n">
        <f aca="false">(w_ntm28*Sens!G15695+(1-w_ntm28)*Sens!H15695)*m_ads</f>
        <v>115.160236299351</v>
      </c>
    </row>
    <row r="15713" customFormat="false" ht="17.15" hidden="false" customHeight="false" outlineLevel="0" collapsed="false">
      <c r="A15713" s="1" t="s">
        <v>1096</v>
      </c>
      <c r="B15713" s="0" t="s">
        <v>98</v>
      </c>
      <c r="C15713" s="6" t="n">
        <f aca="false">(w_ntm28*Sens!G15700+(1-w_ntm28)*Sens!H15700)*m_game</f>
        <v>97.7814405506301</v>
      </c>
    </row>
    <row r="15714" customFormat="false" ht="17.15" hidden="false" customHeight="false" outlineLevel="0" collapsed="false">
      <c r="A15714" s="1" t="s">
        <v>1097</v>
      </c>
      <c r="B15714" s="0" t="s">
        <v>98</v>
      </c>
      <c r="C15714" s="6" t="n">
        <f aca="false">(w_ntm28*Sens!G15701+(1-w_ntm28)*Sens!H15701)*m_pc</f>
        <v>96.9427395583992</v>
      </c>
    </row>
    <row r="15715" customFormat="false" ht="17.15" hidden="false" customHeight="false" outlineLevel="0" collapsed="false">
      <c r="A15715" s="1" t="s">
        <v>1098</v>
      </c>
      <c r="B15715" s="0" t="s">
        <v>98</v>
      </c>
      <c r="C15715" s="6" t="n">
        <f aca="false">Sens!$C$15705+Sens!$C$15707+Sens!$C$15708+Sens!$C$15709+Sens!$C$15710+Sens!$C$15711+Sens!$C$15712+Sens!$C$15713+Sens!$C$15714</f>
        <v>3190.29300574991</v>
      </c>
    </row>
    <row r="15716" customFormat="false" ht="17.15" hidden="false" customHeight="false" outlineLevel="0" collapsed="false">
      <c r="A15716" s="1" t="s">
        <v>1099</v>
      </c>
      <c r="B15716" s="0" t="s">
        <v>98</v>
      </c>
      <c r="C15716" s="6" t="n">
        <f aca="false">(Sens!G15677-Sens!G15702)*t_stub</f>
        <v>47.369047832565</v>
      </c>
      <c r="L15716" s="1" t="s">
        <v>1100</v>
      </c>
    </row>
    <row r="15717" customFormat="false" ht="17.15" hidden="false" customHeight="false" outlineLevel="0" collapsed="false">
      <c r="A15717" s="1" t="s">
        <v>1014</v>
      </c>
      <c r="B15717" s="0" t="s">
        <v>98</v>
      </c>
      <c r="C15717" s="6" t="n">
        <f aca="false">Sens!F15666+oai_v-Sens!F15655+Sens!$C$15716</f>
        <v>166.77269065934</v>
      </c>
      <c r="L15717" s="1" t="s">
        <v>1101</v>
      </c>
    </row>
    <row r="15718" customFormat="false" ht="17.15" hidden="false" customHeight="false" outlineLevel="0" collapsed="false">
      <c r="A15718" s="1" t="s">
        <v>1102</v>
      </c>
      <c r="B15718" s="0" t="s">
        <v>75</v>
      </c>
      <c r="C15718" s="5" t="n">
        <f aca="false">(Sens!$C$15715+Sens!$C$15717)/(Sens!F15668+dil_gap)-Sens!G15658*roll_div_q/q_per_yr</f>
        <v>446.808111580743</v>
      </c>
      <c r="L15718" s="1" t="s">
        <v>1103</v>
      </c>
    </row>
    <row r="15719" customFormat="false" ht="17.15" hidden="false" customHeight="false" outlineLevel="0" collapsed="false">
      <c r="A15719" s="1" t="s">
        <v>1104</v>
      </c>
      <c r="B15719" s="0" t="s">
        <v>75</v>
      </c>
      <c r="C15719" s="5" t="n">
        <f aca="false">w_dcf*Sens!$C$15689+(1-w_dcf)*Sens!$C$15718</f>
        <v>388.86974366123</v>
      </c>
    </row>
    <row r="15720" customFormat="false" ht="17.15" hidden="false" customHeight="false" outlineLevel="0" collapsed="false">
      <c r="A15720" s="3" t="s">
        <v>1661</v>
      </c>
    </row>
    <row r="15721" customFormat="false" ht="15" hidden="false" customHeight="false" outlineLevel="0" collapsed="false">
      <c r="A15721" s="4" t="s">
        <v>43</v>
      </c>
      <c r="B15721" s="4" t="s">
        <v>65</v>
      </c>
      <c r="C15721" s="20" t="s">
        <v>799</v>
      </c>
      <c r="D15721" s="20" t="s">
        <v>800</v>
      </c>
      <c r="E15721" s="20" t="s">
        <v>801</v>
      </c>
      <c r="F15721" s="20" t="s">
        <v>802</v>
      </c>
      <c r="G15721" s="20" t="s">
        <v>803</v>
      </c>
      <c r="H15721" s="20" t="s">
        <v>804</v>
      </c>
      <c r="I15721" s="20" t="s">
        <v>805</v>
      </c>
      <c r="J15721" s="20" t="s">
        <v>806</v>
      </c>
      <c r="K15721" s="20" t="s">
        <v>807</v>
      </c>
      <c r="L15721" s="4" t="s">
        <v>47</v>
      </c>
    </row>
    <row r="15722" customFormat="false" ht="17.15" hidden="false" customHeight="false" outlineLevel="0" collapsed="false">
      <c r="A15722" s="1" t="s">
        <v>808</v>
      </c>
      <c r="B15722" s="1" t="s">
        <v>235</v>
      </c>
      <c r="C15722" s="28" t="n">
        <v>2024</v>
      </c>
      <c r="D15722" s="28" t="n">
        <v>2025</v>
      </c>
      <c r="E15722" s="28" t="n">
        <v>2026</v>
      </c>
      <c r="F15722" s="28" t="n">
        <v>2027</v>
      </c>
      <c r="G15722" s="28" t="n">
        <v>2028</v>
      </c>
      <c r="H15722" s="28" t="n">
        <v>2029</v>
      </c>
      <c r="I15722" s="28" t="n">
        <v>2030</v>
      </c>
      <c r="J15722" s="28" t="n">
        <v>2031</v>
      </c>
      <c r="K15722" s="28" t="n">
        <v>2032</v>
      </c>
    </row>
    <row r="15723" customFormat="false" ht="17.15" hidden="false" customHeight="false" outlineLevel="0" collapsed="false">
      <c r="A15723" s="1" t="s">
        <v>809</v>
      </c>
      <c r="B15723" s="0" t="s">
        <v>399</v>
      </c>
      <c r="F15723" s="29" t="n">
        <f aca="false">pace</f>
        <v>2527.2</v>
      </c>
      <c r="G15723" s="29" t="n">
        <f aca="false">pace</f>
        <v>2527.2</v>
      </c>
      <c r="H15723" s="29" t="n">
        <f aca="false">pace</f>
        <v>2527.2</v>
      </c>
      <c r="I15723" s="29" t="n">
        <f aca="false">pace+(g_tv*Sens!H15724-pace)*MIN(1,(Sens!I15722-pace_y0)/(pace_y1-pace_y0))</f>
        <v>1793.116</v>
      </c>
      <c r="J15723" s="29" t="n">
        <f aca="false">pace+(g_tv*Sens!I15724-pace)*MIN(1,(Sens!J15722-pace_y0)/(pace_y1-pace_y0))</f>
        <v>1094.89432</v>
      </c>
      <c r="K15723" s="29" t="n">
        <f aca="false">pace+(g_tv*Sens!J15724-pace)*MIN(1,(Sens!K15722-pace_y0)/(pace_y1-pace_y0))</f>
        <v>411.5883096</v>
      </c>
      <c r="L15723" s="11" t="s">
        <v>810</v>
      </c>
    </row>
    <row r="15724" customFormat="false" ht="17.15" hidden="false" customHeight="false" outlineLevel="0" collapsed="false">
      <c r="A15724" s="1" t="s">
        <v>811</v>
      </c>
      <c r="B15724" s="0" t="s">
        <v>399</v>
      </c>
      <c r="C15724" s="29" t="n">
        <f aca="false">mw_ext_24</f>
        <v>640</v>
      </c>
      <c r="D15724" s="29" t="n">
        <f aca="false">mw_ext_25</f>
        <v>1630</v>
      </c>
      <c r="E15724" s="29" t="n">
        <f aca="false">mw_ext_26</f>
        <v>3250</v>
      </c>
      <c r="F15724" s="29" t="n">
        <f aca="false">Sens!E15724+Sens!F15723</f>
        <v>5777.2</v>
      </c>
      <c r="G15724" s="29" t="n">
        <f aca="false">Sens!F15724+Sens!G15723</f>
        <v>8304.4</v>
      </c>
      <c r="H15724" s="29" t="n">
        <f aca="false">Sens!G15724+Sens!H15723</f>
        <v>10831.6</v>
      </c>
      <c r="I15724" s="29" t="n">
        <f aca="false">Sens!H15724+Sens!I15723</f>
        <v>12624.716</v>
      </c>
      <c r="J15724" s="29" t="n">
        <f aca="false">Sens!I15724+Sens!J15723</f>
        <v>13719.61032</v>
      </c>
      <c r="K15724" s="29" t="n">
        <f aca="false">Sens!J15724+Sens!K15723</f>
        <v>14131.1986296</v>
      </c>
      <c r="L15724" s="1" t="s">
        <v>812</v>
      </c>
    </row>
    <row r="15725" customFormat="false" ht="17.15" hidden="false" customHeight="false" outlineLevel="0" collapsed="false">
      <c r="A15725" s="1" t="s">
        <v>813</v>
      </c>
      <c r="B15725" s="0" t="s">
        <v>399</v>
      </c>
      <c r="C15725" s="29" t="n">
        <f aca="false">rent_ext_24</f>
        <v>150</v>
      </c>
      <c r="D15725" s="29" t="n">
        <f aca="false">rent_ext_25</f>
        <v>400</v>
      </c>
      <c r="E15725" s="29" t="n">
        <f aca="false">rent_ext_26</f>
        <v>550</v>
      </c>
      <c r="F15725" s="29" t="n">
        <f aca="false">rent_ext_f</f>
        <v>756</v>
      </c>
      <c r="G15725" s="29" t="n">
        <f aca="false">rent_ext_f</f>
        <v>756</v>
      </c>
      <c r="H15725" s="29" t="n">
        <f aca="false">rent_ext_f</f>
        <v>756</v>
      </c>
      <c r="I15725" s="29" t="n">
        <f aca="false">rent_ext_f</f>
        <v>756</v>
      </c>
      <c r="J15725" s="29" t="n">
        <f aca="false">rent_ext_f</f>
        <v>756</v>
      </c>
      <c r="K15725" s="29" t="n">
        <f aca="false">rent_ext_f</f>
        <v>756</v>
      </c>
      <c r="L15725" s="1" t="s">
        <v>814</v>
      </c>
    </row>
    <row r="15726" customFormat="false" ht="17.15" hidden="false" customHeight="false" outlineLevel="0" collapsed="false">
      <c r="A15726" s="1" t="s">
        <v>815</v>
      </c>
      <c r="B15726" s="0" t="s">
        <v>399</v>
      </c>
      <c r="C15726" s="29" t="n">
        <f aca="false">Sens!C15724-Sens!C15725</f>
        <v>490</v>
      </c>
      <c r="D15726" s="29" t="n">
        <f aca="false">Sens!D15724-Sens!D15725</f>
        <v>1230</v>
      </c>
      <c r="E15726" s="29" t="n">
        <f aca="false">Sens!E15724-Sens!E15725</f>
        <v>2700</v>
      </c>
      <c r="F15726" s="29" t="n">
        <f aca="false">Sens!F15724-Sens!F15725</f>
        <v>5021.2</v>
      </c>
      <c r="G15726" s="29" t="n">
        <f aca="false">Sens!G15724-Sens!G15725</f>
        <v>7548.4</v>
      </c>
      <c r="H15726" s="29" t="n">
        <f aca="false">Sens!H15724-Sens!H15725</f>
        <v>10075.6</v>
      </c>
      <c r="I15726" s="29" t="n">
        <f aca="false">Sens!I15724-Sens!I15725</f>
        <v>11868.716</v>
      </c>
      <c r="J15726" s="29" t="n">
        <f aca="false">Sens!J15724-Sens!J15725</f>
        <v>12963.61032</v>
      </c>
      <c r="K15726" s="29" t="n">
        <f aca="false">Sens!K15724-Sens!K15725</f>
        <v>13375.1986296</v>
      </c>
    </row>
    <row r="15727" customFormat="false" ht="17.15" hidden="false" customHeight="false" outlineLevel="0" collapsed="false">
      <c r="A15727" s="1" t="s">
        <v>816</v>
      </c>
      <c r="B15727" s="0" t="s">
        <v>399</v>
      </c>
      <c r="C15727" s="29" t="n">
        <f aca="false">Sens!C15726/ext_sh</f>
        <v>816.666666666667</v>
      </c>
      <c r="D15727" s="29" t="n">
        <f aca="false">Sens!D15726/ext_sh</f>
        <v>2050</v>
      </c>
      <c r="E15727" s="29" t="n">
        <f aca="false">Sens!E15726/ext_sh</f>
        <v>4500</v>
      </c>
      <c r="F15727" s="29" t="n">
        <f aca="false">Sens!F15726/ext_sh</f>
        <v>8368.66666666667</v>
      </c>
      <c r="G15727" s="29" t="n">
        <f aca="false">Sens!G15726/ext_sh</f>
        <v>12580.6666666667</v>
      </c>
      <c r="H15727" s="29" t="n">
        <f aca="false">Sens!H15726/ext_sh</f>
        <v>16792.6666666667</v>
      </c>
      <c r="I15727" s="29" t="n">
        <f aca="false">Sens!I15726/ext_sh</f>
        <v>19781.1933333333</v>
      </c>
      <c r="J15727" s="29" t="n">
        <f aca="false">Sens!J15726/ext_sh</f>
        <v>21606.0172</v>
      </c>
      <c r="K15727" s="29" t="n">
        <f aca="false">Sens!K15726/ext_sh</f>
        <v>22291.997716</v>
      </c>
      <c r="L15727" s="1" t="s">
        <v>817</v>
      </c>
    </row>
    <row r="15728" customFormat="false" ht="17.15" hidden="false" customHeight="false" outlineLevel="0" collapsed="false">
      <c r="A15728" s="1" t="s">
        <v>818</v>
      </c>
      <c r="B15728" s="0" t="s">
        <v>399</v>
      </c>
      <c r="C15728" s="29" t="n">
        <f aca="false">Sens!C15727-Sens!C15726</f>
        <v>326.666666666667</v>
      </c>
      <c r="D15728" s="29" t="n">
        <f aca="false">Sens!D15727-Sens!D15726</f>
        <v>820</v>
      </c>
      <c r="E15728" s="29" t="n">
        <f aca="false">Sens!E15727-Sens!E15726</f>
        <v>1800</v>
      </c>
      <c r="F15728" s="29" t="n">
        <f aca="false">Sens!F15727-Sens!F15726</f>
        <v>3347.46666666667</v>
      </c>
      <c r="G15728" s="29" t="n">
        <f aca="false">Sens!G15727-Sens!G15726</f>
        <v>5032.26666666667</v>
      </c>
      <c r="H15728" s="29" t="n">
        <f aca="false">Sens!H15727-Sens!H15726</f>
        <v>6717.06666666667</v>
      </c>
      <c r="I15728" s="29" t="n">
        <f aca="false">Sens!I15727-Sens!I15726</f>
        <v>7912.47733333333</v>
      </c>
      <c r="J15728" s="29" t="n">
        <f aca="false">Sens!J15727-Sens!J15726</f>
        <v>8642.40688</v>
      </c>
      <c r="K15728" s="29" t="n">
        <f aca="false">Sens!K15727-Sens!K15726</f>
        <v>8916.7990864</v>
      </c>
    </row>
    <row r="15729" customFormat="false" ht="17.15" hidden="false" customHeight="false" outlineLevel="0" collapsed="false">
      <c r="A15729" s="1" t="s">
        <v>819</v>
      </c>
      <c r="B15729" s="0" t="s">
        <v>399</v>
      </c>
      <c r="C15729" s="29" t="n">
        <f aca="false">Sens!C15727</f>
        <v>816.666666666667</v>
      </c>
      <c r="D15729" s="29" t="n">
        <f aca="false">Sens!D15727-Sens!C15727</f>
        <v>1233.33333333333</v>
      </c>
      <c r="E15729" s="29" t="n">
        <f aca="false">Sens!E15727-Sens!D15727</f>
        <v>2450</v>
      </c>
      <c r="F15729" s="29" t="n">
        <f aca="false">Sens!F15727-Sens!E15727</f>
        <v>3868.66666666667</v>
      </c>
      <c r="G15729" s="29" t="n">
        <f aca="false">Sens!G15727-Sens!F15727</f>
        <v>4212</v>
      </c>
      <c r="H15729" s="29" t="n">
        <f aca="false">Sens!H15727-Sens!G15727</f>
        <v>4212</v>
      </c>
      <c r="I15729" s="29" t="n">
        <f aca="false">Sens!I15727-Sens!H15727</f>
        <v>2988.52666666667</v>
      </c>
      <c r="J15729" s="29" t="n">
        <f aca="false">Sens!J15727-Sens!I15727</f>
        <v>1824.82386666667</v>
      </c>
      <c r="K15729" s="29" t="n">
        <f aca="false">Sens!K15727-Sens!J15727</f>
        <v>685.980516</v>
      </c>
    </row>
    <row r="15730" customFormat="false" ht="17.15" hidden="false" customHeight="false" outlineLevel="0" collapsed="false">
      <c r="A15730" s="1" t="s">
        <v>820</v>
      </c>
      <c r="B15730" s="0" t="s">
        <v>399</v>
      </c>
      <c r="D15730" s="29" t="n">
        <f aca="false">Sens!D15724-Sens!C15724</f>
        <v>990</v>
      </c>
      <c r="E15730" s="29" t="n">
        <f aca="false">Sens!E15724-Sens!D15724</f>
        <v>1620</v>
      </c>
      <c r="F15730" s="29" t="n">
        <f aca="false">Sens!F15724-Sens!E15724</f>
        <v>2527.2</v>
      </c>
      <c r="G15730" s="29" t="n">
        <f aca="false">Sens!G15724-Sens!F15724</f>
        <v>2527.2</v>
      </c>
      <c r="H15730" s="29" t="n">
        <f aca="false">Sens!H15724-Sens!G15724</f>
        <v>2527.2</v>
      </c>
      <c r="I15730" s="29" t="n">
        <f aca="false">Sens!I15724-Sens!H15724</f>
        <v>1793.116</v>
      </c>
      <c r="J15730" s="29" t="n">
        <f aca="false">Sens!J15724-Sens!I15724</f>
        <v>1094.89432</v>
      </c>
      <c r="K15730" s="29" t="n">
        <f aca="false">Sens!K15724-Sens!J15724</f>
        <v>411.5883096</v>
      </c>
    </row>
    <row r="15731" customFormat="false" ht="17.15" hidden="false" customHeight="false" outlineLevel="0" collapsed="false">
      <c r="A15731" s="1" t="s">
        <v>821</v>
      </c>
      <c r="B15731" s="0" t="s">
        <v>399</v>
      </c>
      <c r="F15731" s="29" t="n">
        <f aca="false">Sens!F15748*ext_sh</f>
        <v>0</v>
      </c>
      <c r="G15731" s="29" t="n">
        <f aca="false">Sens!G15748*ext_sh</f>
        <v>0</v>
      </c>
      <c r="H15731" s="29" t="n">
        <f aca="false">Sens!H15748*ext_sh</f>
        <v>0</v>
      </c>
      <c r="I15731" s="29" t="n">
        <f aca="false">Sens!I15748*ext_sh</f>
        <v>490</v>
      </c>
      <c r="J15731" s="29" t="n">
        <f aca="false">Sens!J15748*ext_sh</f>
        <v>740</v>
      </c>
      <c r="K15731" s="29" t="n">
        <f aca="false">Sens!K15748*ext_sh</f>
        <v>1470</v>
      </c>
      <c r="L15731" s="1" t="s">
        <v>822</v>
      </c>
    </row>
    <row r="15732" customFormat="false" ht="17.15" hidden="false" customHeight="false" outlineLevel="0" collapsed="false">
      <c r="A15732" s="1" t="s">
        <v>823</v>
      </c>
      <c r="B15732" s="0" t="s">
        <v>399</v>
      </c>
      <c r="C15732" s="29" t="n">
        <f aca="false">mix_h*Sens!C15724</f>
        <v>128</v>
      </c>
      <c r="D15732" s="29" t="n">
        <f aca="false">mix_h*Sens!D15724</f>
        <v>326</v>
      </c>
      <c r="E15732" s="29" t="n">
        <f aca="false">mix_h*Sens!E15724</f>
        <v>650</v>
      </c>
      <c r="F15732" s="29" t="n">
        <f aca="false">Sens!E15732-Sens!F15731*mix_h</f>
        <v>650</v>
      </c>
      <c r="G15732" s="29" t="n">
        <f aca="false">Sens!F15732-Sens!G15731*mix_h</f>
        <v>650</v>
      </c>
      <c r="H15732" s="29" t="n">
        <f aca="false">Sens!G15732-Sens!H15731*mix_h</f>
        <v>650</v>
      </c>
      <c r="I15732" s="29" t="n">
        <f aca="false">Sens!H15732-Sens!I15731*mix_h</f>
        <v>552</v>
      </c>
      <c r="J15732" s="29" t="n">
        <f aca="false">Sens!I15732-Sens!J15731*mix_h</f>
        <v>404</v>
      </c>
      <c r="K15732" s="29" t="n">
        <f aca="false">Sens!J15732-Sens!K15731*mix_h</f>
        <v>110</v>
      </c>
    </row>
    <row r="15733" customFormat="false" ht="17.15" hidden="false" customHeight="false" outlineLevel="0" collapsed="false">
      <c r="A15733" s="1" t="s">
        <v>824</v>
      </c>
      <c r="B15733" s="0" t="s">
        <v>399</v>
      </c>
      <c r="C15733" s="29" t="n">
        <f aca="false">mix_g2*Sens!C15724</f>
        <v>288</v>
      </c>
      <c r="D15733" s="29" t="n">
        <f aca="false">mix_g2*Sens!D15724</f>
        <v>733.5</v>
      </c>
      <c r="E15733" s="29" t="n">
        <f aca="false">mix_g2*Sens!E15724</f>
        <v>1462.5</v>
      </c>
      <c r="F15733" s="29" t="n">
        <f aca="false">Sens!E15733-Sens!F15731*mix_g2</f>
        <v>1462.5</v>
      </c>
      <c r="G15733" s="29" t="n">
        <f aca="false">Sens!F15733-Sens!G15731*mix_g2</f>
        <v>1462.5</v>
      </c>
      <c r="H15733" s="29" t="n">
        <f aca="false">Sens!G15733-Sens!H15731*mix_g2</f>
        <v>1462.5</v>
      </c>
      <c r="I15733" s="29" t="n">
        <f aca="false">Sens!H15733-Sens!I15731*mix_g2</f>
        <v>1242</v>
      </c>
      <c r="J15733" s="29" t="n">
        <f aca="false">Sens!I15733-Sens!J15731*mix_g2</f>
        <v>909</v>
      </c>
      <c r="K15733" s="29" t="n">
        <f aca="false">Sens!J15733-Sens!K15731*mix_g2</f>
        <v>247.5</v>
      </c>
    </row>
    <row r="15734" customFormat="false" ht="17.15" hidden="false" customHeight="false" outlineLevel="0" collapsed="false">
      <c r="A15734" s="1" t="s">
        <v>825</v>
      </c>
      <c r="B15734" s="0" t="s">
        <v>399</v>
      </c>
      <c r="C15734" s="29" t="n">
        <f aca="false">mix_g3*Sens!C15724</f>
        <v>224</v>
      </c>
      <c r="D15734" s="29" t="n">
        <f aca="false">mix_g3*Sens!D15724</f>
        <v>570.5</v>
      </c>
      <c r="E15734" s="29" t="n">
        <f aca="false">mix_g3*Sens!E15724</f>
        <v>1137.5</v>
      </c>
      <c r="F15734" s="29" t="n">
        <f aca="false">Sens!E15734+(Sens!F15730+Sens!F15731)*a_g3_27-Sens!F15731*mix_g3</f>
        <v>2906.54</v>
      </c>
      <c r="G15734" s="29" t="n">
        <f aca="false">Sens!F15734+(Sens!G15730+Sens!G15731)*a_g3_28-Sens!G15731*mix_g3</f>
        <v>3664.7</v>
      </c>
      <c r="H15734" s="29" t="n">
        <f aca="false">Sens!G15734+(Sens!H15730+Sens!H15731)*a_g3_29-Sens!H15731*mix_g3</f>
        <v>3917.42</v>
      </c>
      <c r="I15734" s="29" t="n">
        <f aca="false">Sens!H15734+(Sens!I15730+Sens!I15731)*a_g3_29-Sens!I15731*mix_g3</f>
        <v>3974.2316</v>
      </c>
      <c r="J15734" s="29" t="n">
        <f aca="false">Sens!I15734+(Sens!J15730+Sens!J15731)*a_g3_29-Sens!J15731*mix_g3</f>
        <v>3898.721032</v>
      </c>
      <c r="K15734" s="29" t="n">
        <f aca="false">Sens!J15734+(Sens!K15730+Sens!K15731)*a_g3_29-Sens!K15731*mix_g3</f>
        <v>3572.37986296</v>
      </c>
    </row>
    <row r="15735" customFormat="false" ht="17.15" hidden="false" customHeight="false" outlineLevel="0" collapsed="false">
      <c r="A15735" s="1" t="s">
        <v>826</v>
      </c>
      <c r="B15735" s="0" t="s">
        <v>399</v>
      </c>
      <c r="C15735" s="29" t="n">
        <v>0</v>
      </c>
      <c r="D15735" s="29" t="n">
        <v>0</v>
      </c>
      <c r="E15735" s="29" t="n">
        <v>0</v>
      </c>
      <c r="F15735" s="29" t="n">
        <f aca="false">Sens!E15735+(Sens!F15730+Sens!F15731)*(1-a_g3_27)</f>
        <v>758.16</v>
      </c>
      <c r="G15735" s="29" t="n">
        <f aca="false">Sens!F15735+(Sens!G15730+Sens!G15731)*(1-a_g3_28)</f>
        <v>2527.2</v>
      </c>
      <c r="H15735" s="29" t="n">
        <f aca="false">Sens!G15735+(Sens!H15730+Sens!H15731)*(1-a_g3_29)</f>
        <v>4801.68</v>
      </c>
      <c r="I15735" s="29" t="n">
        <f aca="false">Sens!H15735+(Sens!I15730+Sens!I15731)*(1-a_g3_29)</f>
        <v>6856.4844</v>
      </c>
      <c r="J15735" s="29" t="n">
        <f aca="false">Sens!I15735+(Sens!J15730+Sens!J15731)*(1-a_g3_29)</f>
        <v>8507.889288</v>
      </c>
      <c r="K15735" s="29" t="n">
        <f aca="false">Sens!J15735+(Sens!K15730+Sens!K15731)*(1-a_g3_29)</f>
        <v>10201.31876664</v>
      </c>
    </row>
    <row r="15736" customFormat="false" ht="17.15" hidden="false" customHeight="false" outlineLevel="0" collapsed="false">
      <c r="A15736" s="1" t="s">
        <v>827</v>
      </c>
      <c r="B15736" s="0" t="s">
        <v>346</v>
      </c>
      <c r="C15736" s="14" t="n">
        <f aca="false">(Sens!C15732*tk_hold_h100+Sens!C15733*tk_hold_gb200+Sens!C15734*tk_hold_gb300+Sens!C15735*tk_hold_vr200)/Sens!C15724</f>
        <v>9.7235358126469</v>
      </c>
      <c r="D15736" s="14" t="n">
        <f aca="false">(Sens!D15732*tk_hold_h100+Sens!D15733*tk_hold_gb200+Sens!D15734*tk_hold_gb300+Sens!D15735*tk_hold_vr200)/Sens!D15724</f>
        <v>9.7235358126469</v>
      </c>
      <c r="E15736" s="14" t="n">
        <f aca="false">(Sens!E15732*tk_hold_h100+Sens!E15733*tk_hold_gb200+Sens!E15734*tk_hold_gb300+Sens!E15735*tk_hold_vr200)/Sens!E15724</f>
        <v>9.7235358126469</v>
      </c>
      <c r="F15736" s="14" t="n">
        <f aca="false">(Sens!F15732*tk_hold_h100+Sens!F15733*tk_hold_gb200+Sens!F15734*tk_hold_gb300+Sens!F15735*tk_hold_vr200)/Sens!F15724</f>
        <v>10.4079573161931</v>
      </c>
      <c r="G15736" s="14" t="n">
        <f aca="false">(Sens!G15732*tk_hold_h100+Sens!G15733*tk_hold_gb200+Sens!G15734*tk_hold_gb300+Sens!G15735*tk_hold_vr200)/Sens!G15724</f>
        <v>10.8388131109316</v>
      </c>
      <c r="H15736" s="14" t="n">
        <f aca="false">(Sens!H15732*tk_hold_h100+Sens!H15733*tk_hold_gb200+Sens!H15734*tk_hold_gb300+Sens!H15735*tk_hold_vr200)/Sens!H15724</f>
        <v>11.1311018388216</v>
      </c>
      <c r="I15736" s="14" t="n">
        <f aca="false">(Sens!I15732*tk_hold_h100+Sens!I15733*tk_hold_gb200+Sens!I15734*tk_hold_gb300+Sens!I15735*tk_hold_vr200)/Sens!I15724</f>
        <v>11.3594282560989</v>
      </c>
      <c r="J15736" s="14" t="n">
        <f aca="false">(Sens!J15732*tk_hold_h100+Sens!J15733*tk_hold_gb200+Sens!J15734*tk_hold_gb300+Sens!J15735*tk_hold_vr200)/Sens!J15724</f>
        <v>11.5455817917599</v>
      </c>
      <c r="K15736" s="14" t="n">
        <f aca="false">(Sens!K15732*tk_hold_h100+Sens!K15733*tk_hold_gb200+Sens!K15734*tk_hold_gb300+Sens!K15735*tk_hold_vr200)/Sens!K15724</f>
        <v>11.8078187977246</v>
      </c>
    </row>
    <row r="15737" customFormat="false" ht="17.15" hidden="false" customHeight="false" outlineLevel="0" collapsed="false">
      <c r="A15737" s="0" t="s">
        <v>828</v>
      </c>
      <c r="B15737" s="0" t="s">
        <v>185</v>
      </c>
      <c r="C15737" s="14" t="n">
        <f aca="false">k_B</f>
        <v>1.17213932619116</v>
      </c>
      <c r="D15737" s="14" t="n">
        <f aca="false">k_B</f>
        <v>1.17213932619116</v>
      </c>
      <c r="E15737" s="14" t="n">
        <f aca="false">k_B</f>
        <v>1.17213932619116</v>
      </c>
      <c r="F15737" s="14" t="n">
        <f aca="false">(k_B+((ls_C*k_long+(1-ls_C)*k_spot)-k_B)*MIN(1,(Sens!F15722-base_fy)/k_ramp))</f>
        <v>1.07843258004497</v>
      </c>
      <c r="G15737" s="14" t="n">
        <f aca="false">(k_B+((ls_C*k_long+(1-ls_C)*k_spot)-k_B)*MIN(1,(Sens!G15722-base_fy)/k_ramp))</f>
        <v>0.984725833898784</v>
      </c>
      <c r="H15737" s="14" t="n">
        <f aca="false">(k_B+((ls_C*k_long+(1-ls_C)*k_spot)-k_B)*MIN(1,(Sens!H15722-base_fy)/k_ramp))</f>
        <v>0.891019087752599</v>
      </c>
      <c r="I15737" s="14" t="n">
        <f aca="false">(k_B+((ls_C*k_long+(1-ls_C)*k_spot)-k_B)*MIN(1,(Sens!I15722-base_fy)/k_ramp))</f>
        <v>0.891019087752599</v>
      </c>
      <c r="J15737" s="14" t="n">
        <f aca="false">(k_B+((ls_C*k_long+(1-ls_C)*k_spot)-k_B)*MIN(1,(Sens!J15722-base_fy)/k_ramp))</f>
        <v>0.891019087752599</v>
      </c>
      <c r="K15737" s="14" t="n">
        <f aca="false">(k_B+((ls_C*k_long+(1-ls_C)*k_spot)-k_B)*MIN(1,(Sens!K15722-base_fy)/k_ramp))</f>
        <v>0.891019087752599</v>
      </c>
      <c r="L15737" s="1" t="s">
        <v>829</v>
      </c>
    </row>
    <row r="15738" customFormat="false" ht="17.15" hidden="false" customHeight="false" outlineLevel="0" collapsed="false">
      <c r="A15738" s="1" t="s">
        <v>830</v>
      </c>
      <c r="B15738" s="0" t="s">
        <v>346</v>
      </c>
      <c r="C15738" s="14" t="n">
        <f aca="false">Sens!C15736*Sens!C15737*chip_f</f>
        <v>11.3973387156315</v>
      </c>
      <c r="D15738" s="14" t="n">
        <f aca="false">Sens!D15736*Sens!D15737*chip_f</f>
        <v>11.3973387156315</v>
      </c>
      <c r="E15738" s="14" t="n">
        <f aca="false">Sens!E15736*Sens!E15737*chip_f</f>
        <v>11.3973387156315</v>
      </c>
      <c r="F15738" s="14" t="n">
        <f aca="false">Sens!F15736*Sens!F15737*chip_f</f>
        <v>11.2242802615</v>
      </c>
      <c r="G15738" s="14" t="n">
        <f aca="false">Sens!G15736*Sens!G15737*chip_f</f>
        <v>10.6732592791352</v>
      </c>
      <c r="H15738" s="14" t="n">
        <f aca="false">Sens!H15736*Sens!H15737*chip_f</f>
        <v>9.91802420610807</v>
      </c>
      <c r="I15738" s="14" t="n">
        <f aca="false">Sens!I15736*Sens!I15737*chip_f</f>
        <v>10.1214674021403</v>
      </c>
      <c r="J15738" s="14" t="n">
        <f aca="false">Sens!J15736*Sens!J15737*chip_f</f>
        <v>10.2873337556669</v>
      </c>
      <c r="K15738" s="14" t="n">
        <f aca="false">Sens!K15736*Sens!K15737*chip_f</f>
        <v>10.5209919334966</v>
      </c>
      <c r="L15738" s="1" t="s">
        <v>831</v>
      </c>
    </row>
    <row r="15739" customFormat="false" ht="17.15" hidden="false" customHeight="false" outlineLevel="0" collapsed="false">
      <c r="A15739" s="0" t="s">
        <v>832</v>
      </c>
      <c r="B15739" s="0" t="s">
        <v>98</v>
      </c>
      <c r="D15739" s="6" t="n">
        <f aca="false">(Sens!C15724+Sens!D15724)/2*Sens!D15738/1000</f>
        <v>12.9359794422418</v>
      </c>
      <c r="E15739" s="6" t="n">
        <f aca="false">(Sens!D15724+Sens!E15724)/2*Sens!E15738/1000</f>
        <v>27.8095064661409</v>
      </c>
      <c r="F15739" s="6" t="n">
        <f aca="false">(Sens!E15724+Sens!F15724)/2*Sens!F15738/1000</f>
        <v>50.6619113883066</v>
      </c>
      <c r="G15739" s="6" t="n">
        <f aca="false">(Sens!F15724+Sens!G15724)/2*Sens!G15738/1000</f>
        <v>75.1482839325348</v>
      </c>
      <c r="H15739" s="6" t="n">
        <f aca="false">(Sens!G15724+Sens!H15724)/2*Sens!H15738/1000</f>
        <v>94.895655604042</v>
      </c>
      <c r="I15739" s="6" t="n">
        <f aca="false">(Sens!H15724+Sens!I15724)/2*Sens!I15738/1000</f>
        <v>118.706168884151</v>
      </c>
      <c r="J15739" s="6" t="n">
        <f aca="false">(Sens!I15724+Sens!J15724)/2*Sens!J15738/1000</f>
        <v>135.50643871102</v>
      </c>
      <c r="K15739" s="6" t="n">
        <f aca="false">(Sens!J15724+Sens!K15724)/2*Sens!K15738/1000</f>
        <v>146.509068150048</v>
      </c>
      <c r="L15739" s="11" t="s">
        <v>833</v>
      </c>
    </row>
    <row r="15740" customFormat="false" ht="17.15" hidden="false" customHeight="false" outlineLevel="0" collapsed="false">
      <c r="A15740" s="1" t="s">
        <v>834</v>
      </c>
      <c r="B15740" s="0" t="s">
        <v>346</v>
      </c>
      <c r="C15740" s="14" t="n">
        <f aca="false">(Sens!C15732*tk_opex_h100+Sens!C15733*tk_opex_gb200+Sens!C15734*tk_opex_gb300+Sens!C15735*tk_opex_vr200)/Sens!C15724</f>
        <v>1.88636041306092</v>
      </c>
      <c r="D15740" s="14" t="n">
        <f aca="false">(Sens!D15732*tk_opex_h100+Sens!D15733*tk_opex_gb200+Sens!D15734*tk_opex_gb300+Sens!D15735*tk_opex_vr200)/Sens!D15724</f>
        <v>1.88636041306092</v>
      </c>
      <c r="E15740" s="14" t="n">
        <f aca="false">(Sens!E15732*tk_opex_h100+Sens!E15733*tk_opex_gb200+Sens!E15734*tk_opex_gb300+Sens!E15735*tk_opex_vr200)/Sens!E15724</f>
        <v>1.88636041306092</v>
      </c>
      <c r="F15740" s="14" t="n">
        <f aca="false">(Sens!F15732*tk_opex_h100+Sens!F15733*tk_opex_gb200+Sens!F15734*tk_opex_gb300+Sens!F15735*tk_opex_vr200)/Sens!F15724</f>
        <v>1.9430236476499</v>
      </c>
      <c r="G15740" s="14" t="n">
        <f aca="false">(Sens!G15732*tk_opex_h100+Sens!G15733*tk_opex_gb200+Sens!G15734*tk_opex_gb300+Sens!G15735*tk_opex_vr200)/Sens!G15724</f>
        <v>1.9786941852423</v>
      </c>
      <c r="H15740" s="14" t="n">
        <f aca="false">(Sens!H15732*tk_opex_h100+Sens!H15733*tk_opex_gb200+Sens!H15734*tk_opex_gb300+Sens!H15735*tk_opex_vr200)/Sens!H15724</f>
        <v>2.00289275976156</v>
      </c>
      <c r="I15740" s="14" t="n">
        <f aca="false">(Sens!I15732*tk_opex_h100+Sens!I15733*tk_opex_gb200+Sens!I15734*tk_opex_gb300+Sens!I15735*tk_opex_vr200)/Sens!I15724</f>
        <v>2.02179589661219</v>
      </c>
      <c r="J15740" s="14" t="n">
        <f aca="false">(Sens!J15732*tk_opex_h100+Sens!J15733*tk_opex_gb200+Sens!J15734*tk_opex_gb300+Sens!J15735*tk_opex_vr200)/Sens!J15724</f>
        <v>2.03720754193029</v>
      </c>
      <c r="K15740" s="14" t="n">
        <f aca="false">(Sens!K15732*tk_opex_h100+Sens!K15733*tk_opex_gb200+Sens!K15734*tk_opex_gb300+Sens!K15735*tk_opex_vr200)/Sens!K15724</f>
        <v>2.0589181353437</v>
      </c>
    </row>
    <row r="15741" customFormat="false" ht="17.15" hidden="false" customHeight="false" outlineLevel="0" collapsed="false">
      <c r="A15741" s="0" t="s">
        <v>835</v>
      </c>
      <c r="B15741" s="0" t="s">
        <v>98</v>
      </c>
      <c r="D15741" s="6" t="n">
        <f aca="false">(Sens!C15727+Sens!D15727)/2*Sens!D15740/1000</f>
        <v>2.70378325872065</v>
      </c>
      <c r="E15741" s="6" t="n">
        <f aca="false">(Sens!D15727+Sens!E15727)/2*Sens!E15740/1000</f>
        <v>6.17783035277451</v>
      </c>
      <c r="F15741" s="6" t="n">
        <f aca="false">(Sens!E15727+Sens!F15727)/2*Sens!F15740/1000</f>
        <v>12.5020618235287</v>
      </c>
      <c r="G15741" s="6" t="n">
        <f aca="false">(Sens!F15727+Sens!G15727)/2*Sens!G15740/1000</f>
        <v>20.7261620256847</v>
      </c>
      <c r="H15741" s="6" t="n">
        <f aca="false">(Sens!G15727+Sens!H15727)/2*Sens!H15740/1000</f>
        <v>29.4158183316982</v>
      </c>
      <c r="I15741" s="6" t="n">
        <f aca="false">(Sens!H15727+Sens!I15727)/2*Sens!I15740/1000</f>
        <v>36.9724400356344</v>
      </c>
      <c r="J15741" s="6" t="n">
        <f aca="false">(Sens!I15727+Sens!J15727)/2*Sens!J15740/1000</f>
        <v>42.1571687189816</v>
      </c>
      <c r="K15741" s="6" t="n">
        <f aca="false">(Sens!J15727+Sens!K15727)/2*Sens!K15740/1000</f>
        <v>45.1912095080704</v>
      </c>
    </row>
    <row r="15742" customFormat="false" ht="17.15" hidden="false" customHeight="false" outlineLevel="0" collapsed="false">
      <c r="A15742" s="0" t="s">
        <v>836</v>
      </c>
      <c r="B15742" s="0" t="s">
        <v>98</v>
      </c>
      <c r="D15742" s="6" t="n">
        <f aca="false">(Sens!C15725+Sens!D15725)/2*rent_mw/1000</f>
        <v>2.44475</v>
      </c>
      <c r="E15742" s="6" t="n">
        <f aca="false">(Sens!D15725+Sens!E15725)/2*rent_mw/1000</f>
        <v>4.22275</v>
      </c>
      <c r="F15742" s="6" t="n">
        <f aca="false">(Sens!E15725+Sens!F15725)/2*rent_mw/1000</f>
        <v>5.80517</v>
      </c>
      <c r="G15742" s="6" t="n">
        <f aca="false">(Sens!F15725+Sens!G15725)/2*rent_mw/1000</f>
        <v>6.72084</v>
      </c>
      <c r="H15742" s="6" t="n">
        <f aca="false">(Sens!G15725+Sens!H15725)/2*rent_mw/1000</f>
        <v>6.72084</v>
      </c>
      <c r="I15742" s="6" t="n">
        <f aca="false">(Sens!H15725+Sens!I15725)/2*rent_mw/1000</f>
        <v>6.72084</v>
      </c>
      <c r="J15742" s="6" t="n">
        <f aca="false">(Sens!I15725+Sens!J15725)/2*rent_mw/1000</f>
        <v>6.72084</v>
      </c>
      <c r="K15742" s="6" t="n">
        <f aca="false">(Sens!J15725+Sens!K15725)/2*rent_mw/1000</f>
        <v>6.72084</v>
      </c>
    </row>
    <row r="15743" customFormat="false" ht="17.15" hidden="false" customHeight="false" outlineLevel="0" collapsed="false">
      <c r="A15743" s="0" t="s">
        <v>837</v>
      </c>
      <c r="B15743" s="0" t="s">
        <v>98</v>
      </c>
      <c r="D15743" s="6" t="n">
        <f aca="false">(Sens!C15727+Sens!D15727)/2*(1-self_build)*fac_rent/1000</f>
        <v>0.853242375631075</v>
      </c>
      <c r="E15743" s="6" t="n">
        <f aca="false">(Sens!D15727+Sens!E15727)/2*(1-self_build)*fac_rent/1000</f>
        <v>1.94955961408728</v>
      </c>
      <c r="F15743" s="6" t="n">
        <f aca="false">(Sens!E15727+Sens!F15727)/2*(1-self_build)*fac_rent/1000</f>
        <v>3.83026455274573</v>
      </c>
      <c r="G15743" s="6" t="n">
        <f aca="false">(Sens!F15727+Sens!G15727)/2*(1-self_build)*fac_rent/1000</f>
        <v>6.23541590972812</v>
      </c>
      <c r="H15743" s="6" t="n">
        <f aca="false">(Sens!G15727+Sens!H15727)/2*(1-self_build)*fac_rent/1000</f>
        <v>8.74275792332679</v>
      </c>
      <c r="I15743" s="6" t="n">
        <f aca="false">(Sens!H15727+Sens!I15727)/2*(1-self_build)*fac_rent/1000</f>
        <v>10.8859420438599</v>
      </c>
      <c r="J15743" s="6" t="n">
        <f aca="false">(Sens!I15727+Sens!J15727)/2*(1-self_build)*fac_rent/1000</f>
        <v>12.3186006405366</v>
      </c>
      <c r="K15743" s="6" t="n">
        <f aca="false">(Sens!J15727+Sens!K15727)/2*(1-self_build)*fac_rent/1000</f>
        <v>13.0659232089824</v>
      </c>
      <c r="L15743" s="11" t="s">
        <v>838</v>
      </c>
    </row>
    <row r="15744" customFormat="false" ht="17.15" hidden="false" customHeight="false" outlineLevel="0" collapsed="false">
      <c r="A15744" s="1" t="s">
        <v>839</v>
      </c>
      <c r="B15744" s="0" t="s">
        <v>129</v>
      </c>
      <c r="D15744" s="7" t="n">
        <f aca="false">(Sens!C15726+Sens!D15726)/(Sens!C15727+Sens!D15727)</f>
        <v>0.6</v>
      </c>
      <c r="E15744" s="7" t="n">
        <f aca="false">(Sens!D15726+Sens!E15726)/(Sens!D15727+Sens!E15727)</f>
        <v>0.6</v>
      </c>
      <c r="F15744" s="7" t="n">
        <f aca="false">(Sens!E15726+Sens!F15726)/(Sens!E15727+Sens!F15727)</f>
        <v>0.6</v>
      </c>
      <c r="G15744" s="7" t="n">
        <f aca="false">(Sens!F15726+Sens!G15726)/(Sens!F15727+Sens!G15727)</f>
        <v>0.6</v>
      </c>
      <c r="H15744" s="7" t="n">
        <f aca="false">(Sens!G15726+Sens!H15726)/(Sens!G15727+Sens!H15727)</f>
        <v>0.6</v>
      </c>
      <c r="I15744" s="7" t="n">
        <f aca="false">(Sens!H15726+Sens!I15726)/(Sens!H15727+Sens!I15727)</f>
        <v>0.6</v>
      </c>
      <c r="J15744" s="7" t="n">
        <f aca="false">(Sens!I15726+Sens!J15726)/(Sens!I15727+Sens!J15727)</f>
        <v>0.6</v>
      </c>
      <c r="K15744" s="7" t="n">
        <f aca="false">(Sens!J15726+Sens!K15726)/(Sens!J15727+Sens!K15727)</f>
        <v>0.6</v>
      </c>
    </row>
    <row r="15745" customFormat="false" ht="17.15" hidden="false" customHeight="false" outlineLevel="0" collapsed="false">
      <c r="A15745" s="0" t="s">
        <v>840</v>
      </c>
      <c r="B15745" s="0" t="s">
        <v>98</v>
      </c>
      <c r="D15745" s="6" t="n">
        <f aca="false">Sens!D15739-Sens!D15744*(Sens!D15741+Sens!D15743)-Sens!D15742</f>
        <v>8.35701406163072</v>
      </c>
      <c r="E15745" s="6" t="n">
        <f aca="false">Sens!E15739-Sens!E15744*(Sens!E15741+Sens!E15743)-Sens!E15742</f>
        <v>18.7103224860238</v>
      </c>
      <c r="F15745" s="6" t="n">
        <f aca="false">Sens!F15739-Sens!F15744*(Sens!F15741+Sens!F15743)-Sens!F15742</f>
        <v>35.0573455625419</v>
      </c>
      <c r="G15745" s="6" t="n">
        <f aca="false">Sens!G15739-Sens!G15744*(Sens!G15741+Sens!G15743)-Sens!G15742</f>
        <v>52.2504971712871</v>
      </c>
      <c r="H15745" s="6" t="n">
        <f aca="false">Sens!H15739-Sens!H15744*(Sens!H15741+Sens!H15743)-Sens!H15742</f>
        <v>65.2796698510271</v>
      </c>
      <c r="I15745" s="6" t="n">
        <f aca="false">Sens!I15739-Sens!I15744*(Sens!I15741+Sens!I15743)-Sens!I15742</f>
        <v>83.2702996364549</v>
      </c>
      <c r="J15745" s="6" t="n">
        <f aca="false">Sens!J15739-Sens!J15744*(Sens!J15741+Sens!J15743)-Sens!J15742</f>
        <v>96.1001370953095</v>
      </c>
      <c r="K15745" s="6" t="n">
        <f aca="false">Sens!K15739-Sens!K15744*(Sens!K15741+Sens!K15743)-Sens!K15742</f>
        <v>104.833948519816</v>
      </c>
    </row>
    <row r="15746" customFormat="false" ht="17.15" hidden="false" customHeight="false" outlineLevel="0" collapsed="false">
      <c r="A15746" s="1" t="s">
        <v>841</v>
      </c>
      <c r="B15746" s="0" t="s">
        <v>98</v>
      </c>
      <c r="D15746" s="6" t="n">
        <f aca="false">(1-Sens!D15744)*(Sens!D15741+Sens!D15743)</f>
        <v>1.42281025374069</v>
      </c>
      <c r="E15746" s="6" t="n">
        <f aca="false">(1-Sens!E15744)*(Sens!E15741+Sens!E15743)</f>
        <v>3.25095598674472</v>
      </c>
      <c r="F15746" s="6" t="n">
        <f aca="false">(1-Sens!F15744)*(Sens!F15741+Sens!F15743)</f>
        <v>6.53293055050977</v>
      </c>
      <c r="G15746" s="6" t="n">
        <f aca="false">(1-Sens!G15744)*(Sens!G15741+Sens!G15743)</f>
        <v>10.7846311741651</v>
      </c>
      <c r="H15746" s="6" t="n">
        <f aca="false">(1-Sens!H15744)*(Sens!H15741+Sens!H15743)</f>
        <v>15.26343050201</v>
      </c>
      <c r="I15746" s="6" t="n">
        <f aca="false">(1-Sens!I15744)*(Sens!I15741+Sens!I15743)</f>
        <v>19.1433528317977</v>
      </c>
      <c r="J15746" s="6" t="n">
        <f aca="false">(1-Sens!J15744)*(Sens!J15741+Sens!J15743)</f>
        <v>21.7903077438073</v>
      </c>
      <c r="K15746" s="6" t="n">
        <f aca="false">(1-Sens!K15744)*(Sens!K15741+Sens!K15743)</f>
        <v>23.3028530868211</v>
      </c>
    </row>
    <row r="15747" customFormat="false" ht="17.15" hidden="false" customHeight="false" outlineLevel="0" collapsed="false">
      <c r="A15747" s="1" t="s">
        <v>842</v>
      </c>
      <c r="B15747" s="0" t="s">
        <v>357</v>
      </c>
      <c r="C15747" s="8" t="n">
        <f aca="false">cxit_open</f>
        <v>27.5918995</v>
      </c>
      <c r="D15747" s="8" t="n">
        <f aca="false">cxit_open</f>
        <v>27.5918995</v>
      </c>
      <c r="E15747" s="8" t="n">
        <f aca="false">cxit_open</f>
        <v>27.5918995</v>
      </c>
      <c r="F15747" s="8" t="n">
        <f aca="false">(a_g3_27*tk_cxit_gb300+(1-a_g3_27)*tk_cxit_vr200)</f>
        <v>33.8419624</v>
      </c>
      <c r="G15747" s="8" t="n">
        <f aca="false">(a_g3_28*tk_cxit_gb300+(1-a_g3_28)*tk_cxit_vr200)</f>
        <v>35.9816136</v>
      </c>
      <c r="H15747" s="8" t="n">
        <f aca="false">(a_g3_29*tk_cxit_gb300+(1-a_g3_29)*tk_cxit_vr200)</f>
        <v>37.0514392</v>
      </c>
      <c r="I15747" s="8" t="n">
        <f aca="false">(a_g3_29*tk_cxit_gb300+(1-a_g3_29)*tk_cxit_vr200)</f>
        <v>37.0514392</v>
      </c>
      <c r="J15747" s="8" t="n">
        <f aca="false">(a_g3_29*tk_cxit_gb300+(1-a_g3_29)*tk_cxit_vr200)</f>
        <v>37.0514392</v>
      </c>
      <c r="K15747" s="8" t="n">
        <f aca="false">(a_g3_29*tk_cxit_gb300+(1-a_g3_29)*tk_cxit_vr200)</f>
        <v>37.0514392</v>
      </c>
      <c r="L15747" s="11" t="s">
        <v>843</v>
      </c>
    </row>
    <row r="15748" customFormat="false" ht="17.15" hidden="false" customHeight="false" outlineLevel="0" collapsed="false">
      <c r="A15748" s="0" t="s">
        <v>844</v>
      </c>
      <c r="B15748" s="0" t="s">
        <v>399</v>
      </c>
      <c r="F15748" s="29" t="n">
        <f aca="false">Sens!C15729*IF(Sens!F15722-Sens!C15722=life_it,1,0)+Sens!D15729*IF(Sens!F15722-Sens!D15722=life_it,1,0)+Sens!E15729*IF(Sens!F15722-Sens!E15722=life_it,1,0)</f>
        <v>0</v>
      </c>
      <c r="G15748" s="29" t="n">
        <f aca="false">Sens!C15729*IF(Sens!G15722-Sens!C15722=life_it,1,0)+Sens!D15729*IF(Sens!G15722-Sens!D15722=life_it,1,0)+Sens!E15729*IF(Sens!G15722-Sens!E15722=life_it,1,0)+Sens!F15729*IF(Sens!G15722-Sens!F15722=life_it,1,0)</f>
        <v>0</v>
      </c>
      <c r="H15748" s="29" t="n">
        <f aca="false">Sens!C15729*IF(Sens!H15722-Sens!C15722=life_it,1,0)+Sens!D15729*IF(Sens!H15722-Sens!D15722=life_it,1,0)+Sens!E15729*IF(Sens!H15722-Sens!E15722=life_it,1,0)+Sens!F15729*IF(Sens!H15722-Sens!F15722=life_it,1,0)+Sens!G15729*IF(Sens!H15722-Sens!G15722=life_it,1,0)</f>
        <v>0</v>
      </c>
      <c r="I15748" s="29" t="n">
        <f aca="false">Sens!C15729*IF(Sens!I15722-Sens!C15722=life_it,1,0)+Sens!D15729*IF(Sens!I15722-Sens!D15722=life_it,1,0)+Sens!E15729*IF(Sens!I15722-Sens!E15722=life_it,1,0)+Sens!F15729*IF(Sens!I15722-Sens!F15722=life_it,1,0)+Sens!G15729*IF(Sens!I15722-Sens!G15722=life_it,1,0)+Sens!H15729*IF(Sens!I15722-Sens!H15722=life_it,1,0)</f>
        <v>816.666666666667</v>
      </c>
      <c r="J15748" s="29" t="n">
        <f aca="false">Sens!C15729*IF(Sens!J15722-Sens!C15722=life_it,1,0)+Sens!D15729*IF(Sens!J15722-Sens!D15722=life_it,1,0)+Sens!E15729*IF(Sens!J15722-Sens!E15722=life_it,1,0)+Sens!F15729*IF(Sens!J15722-Sens!F15722=life_it,1,0)+Sens!G15729*IF(Sens!J15722-Sens!G15722=life_it,1,0)+Sens!H15729*IF(Sens!J15722-Sens!H15722=life_it,1,0)+Sens!I15729*IF(Sens!J15722-Sens!I15722=life_it,1,0)</f>
        <v>1233.33333333333</v>
      </c>
      <c r="K15748" s="29" t="n">
        <f aca="false">Sens!C15729*IF(Sens!K15722-Sens!C15722=life_it,1,0)+Sens!D15729*IF(Sens!K15722-Sens!D15722=life_it,1,0)+Sens!E15729*IF(Sens!K15722-Sens!E15722=life_it,1,0)+Sens!F15729*IF(Sens!K15722-Sens!F15722=life_it,1,0)+Sens!G15729*IF(Sens!K15722-Sens!G15722=life_it,1,0)+Sens!H15729*IF(Sens!K15722-Sens!H15722=life_it,1,0)+Sens!I15729*IF(Sens!K15722-Sens!I15722=life_it,1,0)+Sens!J15729*IF(Sens!K15722-Sens!J15722=life_it,1,0)</f>
        <v>2450</v>
      </c>
      <c r="L15748" s="1" t="s">
        <v>845</v>
      </c>
    </row>
    <row r="15749" customFormat="false" ht="17.15" hidden="false" customHeight="false" outlineLevel="0" collapsed="false">
      <c r="A15749" s="0" t="s">
        <v>846</v>
      </c>
      <c r="B15749" s="0" t="s">
        <v>98</v>
      </c>
      <c r="C15749" s="6" t="n">
        <f aca="false">Sens!C15729*Sens!C15747/1000</f>
        <v>22.5333845916667</v>
      </c>
      <c r="D15749" s="6" t="n">
        <f aca="false">Sens!D15729*Sens!D15747/1000</f>
        <v>34.0300093833333</v>
      </c>
      <c r="E15749" s="6" t="n">
        <f aca="false">Sens!E15729*Sens!E15747/1000</f>
        <v>67.600153775</v>
      </c>
      <c r="F15749" s="6" t="n">
        <f aca="false">(Sens!F15729+Sens!F15748)*Sens!F15747/1000</f>
        <v>130.923271871467</v>
      </c>
      <c r="G15749" s="6" t="n">
        <f aca="false">(Sens!G15729+Sens!G15748)*Sens!G15747/1000</f>
        <v>151.5545564832</v>
      </c>
      <c r="H15749" s="6" t="n">
        <f aca="false">(Sens!H15729+Sens!H15748)*Sens!H15747/1000</f>
        <v>156.0606619104</v>
      </c>
      <c r="I15749" s="6" t="n">
        <f aca="false">(Sens!I15729+Sens!I15748)*Sens!I15747/1000</f>
        <v>140.987889434245</v>
      </c>
      <c r="J15749" s="6" t="n">
        <f aca="false">(Sens!J15729+Sens!J15748)*Sens!J15747/1000</f>
        <v>113.309125559842</v>
      </c>
      <c r="K15749" s="6" t="n">
        <f aca="false">(Sens!K15729+Sens!K15748)*Sens!K15747/1000</f>
        <v>116.192591420959</v>
      </c>
    </row>
    <row r="15750" customFormat="false" ht="17.15" hidden="false" customHeight="false" outlineLevel="0" collapsed="false">
      <c r="A15750" s="0" t="s">
        <v>847</v>
      </c>
      <c r="B15750" s="0" t="s">
        <v>98</v>
      </c>
      <c r="C15750" s="6" t="n">
        <f aca="false">Sens!C15729*self_build*tk_cxfac/1000</f>
        <v>6.2083</v>
      </c>
      <c r="D15750" s="6" t="n">
        <f aca="false">Sens!D15729*self_build*tk_cxfac/1000</f>
        <v>9.3758</v>
      </c>
      <c r="E15750" s="6" t="n">
        <f aca="false">Sens!E15729*self_build*tk_cxfac/1000</f>
        <v>18.6249</v>
      </c>
      <c r="F15750" s="6" t="n">
        <f aca="false">Sens!F15729*self_build*tk_cxfac/1000</f>
        <v>29.409604</v>
      </c>
      <c r="G15750" s="6" t="n">
        <f aca="false">Sens!G15729*self_build*tk_cxfac/1000</f>
        <v>32.019624</v>
      </c>
      <c r="H15750" s="6" t="n">
        <f aca="false">Sens!H15729*self_build*tk_cxfac/1000</f>
        <v>32.019624</v>
      </c>
      <c r="I15750" s="6" t="n">
        <f aca="false">Sens!I15729*self_build*tk_cxfac/1000</f>
        <v>22.71877972</v>
      </c>
      <c r="J15750" s="6" t="n">
        <f aca="false">Sens!J15729*self_build*tk_cxfac/1000</f>
        <v>13.8723110344</v>
      </c>
      <c r="K15750" s="6" t="n">
        <f aca="false">Sens!K15729*self_build*tk_cxfac/1000</f>
        <v>5.214823882632</v>
      </c>
    </row>
    <row r="15751" customFormat="false" ht="17.15" hidden="false" customHeight="false" outlineLevel="0" collapsed="false">
      <c r="A15751" s="0" t="s">
        <v>848</v>
      </c>
      <c r="B15751" s="0" t="s">
        <v>98</v>
      </c>
      <c r="F15751" s="6" t="n">
        <f aca="false">MAX(0,capex_floor27-Sens!F15749-Sens!F15750-Sens!F15845)</f>
        <v>8.43777689897088</v>
      </c>
    </row>
    <row r="15752" customFormat="false" ht="17.15" hidden="false" customHeight="false" outlineLevel="0" collapsed="false">
      <c r="A15752" s="0" t="s">
        <v>849</v>
      </c>
      <c r="B15752" s="0" t="s">
        <v>98</v>
      </c>
      <c r="C15752" s="6" t="n">
        <f aca="false">Sens!C15749</f>
        <v>22.5333845916667</v>
      </c>
      <c r="D15752" s="6" t="n">
        <f aca="false">Sens!D15749</f>
        <v>34.0300093833333</v>
      </c>
      <c r="E15752" s="6" t="n">
        <f aca="false">Sens!E15749</f>
        <v>67.600153775</v>
      </c>
      <c r="F15752" s="6" t="n">
        <f aca="false">Sens!F15749</f>
        <v>130.923271871467</v>
      </c>
      <c r="G15752" s="6" t="n">
        <f aca="false">Sens!G15749</f>
        <v>151.5545564832</v>
      </c>
      <c r="H15752" s="6" t="n">
        <f aca="false">Sens!H15749</f>
        <v>156.0606619104</v>
      </c>
      <c r="I15752" s="6" t="n">
        <f aca="false">Sens!I15749</f>
        <v>140.987889434245</v>
      </c>
      <c r="J15752" s="6" t="n">
        <f aca="false">Sens!J15749</f>
        <v>113.309125559842</v>
      </c>
      <c r="K15752" s="6" t="n">
        <f aca="false">Sens!K15749</f>
        <v>116.192591420959</v>
      </c>
    </row>
    <row r="15753" customFormat="false" ht="17.15" hidden="false" customHeight="false" outlineLevel="0" collapsed="false">
      <c r="A15753" s="0" t="s">
        <v>850</v>
      </c>
      <c r="B15753" s="0" t="s">
        <v>98</v>
      </c>
      <c r="C15753" s="6" t="n">
        <f aca="false">Sens!C15752+Sens!C15750</f>
        <v>28.7416845916667</v>
      </c>
      <c r="D15753" s="6" t="n">
        <f aca="false">Sens!D15752+Sens!D15750</f>
        <v>43.4058093833333</v>
      </c>
      <c r="E15753" s="6" t="n">
        <f aca="false">Sens!E15752+Sens!E15750</f>
        <v>86.225053775</v>
      </c>
      <c r="F15753" s="6" t="n">
        <f aca="false">Sens!F15752+Sens!F15750</f>
        <v>160.332875871467</v>
      </c>
      <c r="G15753" s="6" t="n">
        <f aca="false">Sens!G15752+Sens!G15750</f>
        <v>183.5741804832</v>
      </c>
      <c r="H15753" s="6" t="n">
        <f aca="false">Sens!H15752+Sens!H15750</f>
        <v>188.0802859104</v>
      </c>
      <c r="I15753" s="6" t="n">
        <f aca="false">Sens!I15752+Sens!I15750</f>
        <v>163.706669154245</v>
      </c>
      <c r="J15753" s="6" t="n">
        <f aca="false">Sens!J15752+Sens!J15750</f>
        <v>127.181436594242</v>
      </c>
      <c r="K15753" s="6" t="n">
        <f aca="false">Sens!K15752+Sens!K15750</f>
        <v>121.407415303591</v>
      </c>
      <c r="L15753" s="11" t="s">
        <v>851</v>
      </c>
    </row>
    <row r="15754" customFormat="false" ht="17.15" hidden="false" customHeight="false" outlineLevel="0" collapsed="false">
      <c r="A15754" s="0" t="s">
        <v>852</v>
      </c>
      <c r="B15754" s="0" t="s">
        <v>98</v>
      </c>
      <c r="E15754" s="6" t="n">
        <f aca="false">(Sens!C15752*IF(2&lt;life_it,1,IF(2=life_it,0.5,0))+Sens!D15752*IF(1&lt;life_it,1,IF(1=life_it,0.5,0))+Sens!E15752*0.5)/life_it</f>
        <v>15.0605784770833</v>
      </c>
      <c r="F15754" s="6" t="n">
        <f aca="false">(Sens!C15752*IF(3&lt;life_it,1,IF(3=life_it,0.5,0))+Sens!D15752*IF(2&lt;life_it,1,IF(2=life_it,0.5,0))+Sens!E15752*IF(1&lt;life_it,1,IF(1=life_it,0.5,0))+Sens!F15752*0.5)/life_it</f>
        <v>31.6041972809556</v>
      </c>
      <c r="G15754" s="6" t="n">
        <f aca="false">(Sens!C15752*IF(4&lt;life_it,1,IF(4=life_it,0.5,0))+Sens!D15752*IF(3&lt;life_it,1,IF(3=life_it,0.5,0))+Sens!E15752*IF(2&lt;life_it,1,IF(2=life_it,0.5,0))+Sens!F15752*IF(1&lt;life_it,1,IF(1=life_it,0.5,0))+Sens!G15752*0.5)/life_it</f>
        <v>55.1440163105111</v>
      </c>
      <c r="H15754" s="6" t="n">
        <f aca="false">(Sens!C15752*IF(5&lt;life_it,1,IF(5=life_it,0.5,0))+Sens!D15752*IF(4&lt;life_it,1,IF(4=life_it,0.5,0))+Sens!E15752*IF(3&lt;life_it,1,IF(3=life_it,0.5,0))+Sens!F15752*IF(2&lt;life_it,1,IF(2=life_it,0.5,0))+Sens!G15752*IF(1&lt;life_it,1,IF(1=life_it,0.5,0))+Sens!H15752*0.5)/life_it</f>
        <v>80.7786178433111</v>
      </c>
      <c r="I15754" s="6" t="n">
        <f aca="false">(Sens!C15752*IF(6&lt;life_it,1,IF(6=life_it,0.5,0))+Sens!D15752*IF(5&lt;life_it,1,IF(5=life_it,0.5,0))+Sens!E15752*IF(4&lt;life_it,1,IF(4=life_it,0.5,0))+Sens!F15752*IF(3&lt;life_it,1,IF(3=life_it,0.5,0))+Sens!G15752*IF(2&lt;life_it,1,IF(2=life_it,0.5,0))+Sens!H15752*IF(1&lt;life_it,1,IF(1=life_it,0.5,0))+Sens!I15752*0.5)/life_it</f>
        <v>103.654881739393</v>
      </c>
      <c r="J15754" s="6" t="n">
        <f aca="false">(Sens!C15752*IF(7&lt;life_it,1,IF(7=life_it,0.5,0))+Sens!D15752*IF(6&lt;life_it,1,IF(6=life_it,0.5,0))+Sens!E15752*IF(5&lt;life_it,1,IF(5=life_it,0.5,0))+Sens!F15752*IF(4&lt;life_it,1,IF(4=life_it,0.5,0))+Sens!G15752*IF(3&lt;life_it,1,IF(3=life_it,0.5,0))+Sens!H15752*IF(2&lt;life_it,1,IF(2=life_it,0.5,0))+Sens!I15752*IF(1&lt;life_it,1,IF(1=life_it,0.5,0))+Sens!J15752*0.5)/life_it</f>
        <v>120.132683490983</v>
      </c>
      <c r="K15754" s="6" t="n">
        <f aca="false">(Sens!C15752*IF(8&lt;life_it,1,IF(8=life_it,0.5,0))+Sens!D15752*IF(7&lt;life_it,1,IF(7=life_it,0.5,0))+Sens!E15752*IF(6&lt;life_it,1,IF(6=life_it,0.5,0))+Sens!F15752*IF(5&lt;life_it,1,IF(5=life_it,0.5,0))+Sens!G15752*IF(4&lt;life_it,1,IF(4=life_it,0.5,0))+Sens!H15752*IF(3&lt;life_it,1,IF(3=life_it,0.5,0))+Sens!I15752*IF(2&lt;life_it,1,IF(2=life_it,0.5,0))+Sens!J15752*IF(1&lt;life_it,1,IF(1=life_it,0.5,0))+Sens!K15752*0.5)/life_it</f>
        <v>130.788646309522</v>
      </c>
    </row>
    <row r="15755" customFormat="false" ht="17.15" hidden="false" customHeight="false" outlineLevel="0" collapsed="false">
      <c r="A15755" s="0" t="s">
        <v>853</v>
      </c>
      <c r="B15755" s="0" t="s">
        <v>98</v>
      </c>
      <c r="E15755" s="6" t="n">
        <f aca="false">(Sens!C15750*IF(2&lt;life_fac,1,IF(2=life_fac,0.5,0))+Sens!D15750*IF(1&lt;life_fac,1,IF(1=life_fac,0.5,0))+Sens!E15750*0.5)/life_fac</f>
        <v>1.2448275</v>
      </c>
      <c r="F15755" s="6" t="n">
        <f aca="false">(Sens!C15750*IF(3&lt;life_fac,1,IF(3=life_fac,0.5,0))+Sens!D15750*IF(2&lt;life_fac,1,IF(2=life_fac,0.5,0))+Sens!E15750*IF(1&lt;life_fac,1,IF(1=life_fac,0.5,0))+Sens!F15750*0.5)/life_fac</f>
        <v>2.4456901</v>
      </c>
      <c r="G15755" s="6" t="n">
        <f aca="false">(Sens!C15750*IF(4&lt;life_fac,1,IF(4=life_fac,0.5,0))+Sens!D15750*IF(3&lt;life_fac,1,IF(3=life_fac,0.5,0))+Sens!E15750*IF(2&lt;life_fac,1,IF(2=life_fac,0.5,0))+Sens!F15750*IF(1&lt;life_fac,1,IF(1=life_fac,0.5,0))+Sens!G15750*0.5)/life_fac</f>
        <v>3.9814208</v>
      </c>
      <c r="H15755" s="6" t="n">
        <f aca="false">(Sens!C15750*IF(5&lt;life_fac,1,IF(5=life_fac,0.5,0))+Sens!D15750*IF(4&lt;life_fac,1,IF(4=life_fac,0.5,0))+Sens!E15750*IF(3&lt;life_fac,1,IF(3=life_fac,0.5,0))+Sens!F15750*IF(2&lt;life_fac,1,IF(2=life_fac,0.5,0))+Sens!G15750*IF(1&lt;life_fac,1,IF(1=life_fac,0.5,0))+Sens!H15750*0.5)/life_fac</f>
        <v>5.582402</v>
      </c>
      <c r="I15755" s="6" t="n">
        <f aca="false">(Sens!C15750*IF(6&lt;life_fac,1,IF(6=life_fac,0.5,0))+Sens!D15750*IF(5&lt;life_fac,1,IF(5=life_fac,0.5,0))+Sens!E15750*IF(4&lt;life_fac,1,IF(4=life_fac,0.5,0))+Sens!F15750*IF(3&lt;life_fac,1,IF(3=life_fac,0.5,0))+Sens!G15750*IF(2&lt;life_fac,1,IF(2=life_fac,0.5,0))+Sens!H15750*IF(1&lt;life_fac,1,IF(1=life_fac,0.5,0))+Sens!I15750*0.5)/life_fac</f>
        <v>6.950862093</v>
      </c>
      <c r="J15755" s="6" t="n">
        <f aca="false">(Sens!C15750*IF(7&lt;life_fac,1,IF(7=life_fac,0.5,0))+Sens!D15750*IF(6&lt;life_fac,1,IF(6=life_fac,0.5,0))+Sens!E15750*IF(5&lt;life_fac,1,IF(5=life_fac,0.5,0))+Sens!F15750*IF(4&lt;life_fac,1,IF(4=life_fac,0.5,0))+Sens!G15750*IF(3&lt;life_fac,1,IF(3=life_fac,0.5,0))+Sens!H15750*IF(2&lt;life_fac,1,IF(2=life_fac,0.5,0))+Sens!I15750*IF(1&lt;life_fac,1,IF(1=life_fac,0.5,0))+Sens!J15750*0.5)/life_fac</f>
        <v>7.86563936186</v>
      </c>
      <c r="K15755" s="6" t="n">
        <f aca="false">(Sens!C15750*IF(8&lt;life_fac,1,IF(8=life_fac,0.5,0))+Sens!D15750*IF(7&lt;life_fac,1,IF(7=life_fac,0.5,0))+Sens!E15750*IF(6&lt;life_fac,1,IF(6=life_fac,0.5,0))+Sens!F15750*IF(5&lt;life_fac,1,IF(5=life_fac,0.5,0))+Sens!G15750*IF(4&lt;life_fac,1,IF(4=life_fac,0.5,0))+Sens!H15750*IF(3&lt;life_fac,1,IF(3=life_fac,0.5,0))+Sens!I15750*IF(2&lt;life_fac,1,IF(2=life_fac,0.5,0))+Sens!J15750*IF(1&lt;life_fac,1,IF(1=life_fac,0.5,0))+Sens!K15750*0.5)/life_fac</f>
        <v>8.3428177347858</v>
      </c>
    </row>
    <row r="15756" customFormat="false" ht="17.15" hidden="false" customHeight="false" outlineLevel="0" collapsed="false">
      <c r="A15756" s="0" t="s">
        <v>854</v>
      </c>
      <c r="B15756" s="0" t="s">
        <v>98</v>
      </c>
      <c r="E15756" s="6" t="n">
        <f aca="false">Sens!E15754+Sens!E15755</f>
        <v>16.3054059770833</v>
      </c>
      <c r="F15756" s="6" t="n">
        <f aca="false">Sens!F15754+Sens!F15755</f>
        <v>34.0498873809555</v>
      </c>
      <c r="G15756" s="6" t="n">
        <f aca="false">Sens!G15754+Sens!G15755</f>
        <v>59.1254371105111</v>
      </c>
      <c r="H15756" s="6" t="n">
        <f aca="false">Sens!H15754+Sens!H15755</f>
        <v>86.3610198433111</v>
      </c>
      <c r="I15756" s="6" t="n">
        <f aca="false">Sens!I15754+Sens!I15755</f>
        <v>110.605743832393</v>
      </c>
      <c r="J15756" s="6" t="n">
        <f aca="false">Sens!J15754+Sens!J15755</f>
        <v>127.998322852843</v>
      </c>
      <c r="K15756" s="6" t="n">
        <f aca="false">Sens!K15754+Sens!K15755</f>
        <v>139.131464044308</v>
      </c>
    </row>
    <row r="15757" customFormat="false" ht="17.15" hidden="false" customHeight="false" outlineLevel="0" collapsed="false">
      <c r="A15757" s="0" t="s">
        <v>855</v>
      </c>
      <c r="B15757" s="0" t="s">
        <v>98</v>
      </c>
      <c r="E15757" s="6" t="n">
        <f aca="false">Sens!E15745-Sens!E15744*Sens!E15756</f>
        <v>8.92707889977379</v>
      </c>
      <c r="F15757" s="6" t="n">
        <f aca="false">Sens!F15745-Sens!F15744*Sens!F15756</f>
        <v>14.6274131339686</v>
      </c>
      <c r="G15757" s="6" t="n">
        <f aca="false">Sens!G15745-Sens!G15744*Sens!G15756</f>
        <v>16.7752349049804</v>
      </c>
      <c r="H15757" s="6" t="n">
        <f aca="false">Sens!H15745-Sens!H15744*Sens!H15756</f>
        <v>13.4630579450404</v>
      </c>
      <c r="I15757" s="6" t="n">
        <f aca="false">Sens!I15745-Sens!I15744*Sens!I15756</f>
        <v>16.9068533370192</v>
      </c>
      <c r="J15757" s="6" t="n">
        <f aca="false">Sens!J15745-Sens!J15744*Sens!J15756</f>
        <v>19.3011433836036</v>
      </c>
      <c r="K15757" s="6" t="n">
        <f aca="false">Sens!K15745-Sens!K15744*Sens!K15756</f>
        <v>21.3550700932312</v>
      </c>
    </row>
    <row r="15758" customFormat="false" ht="17.15" hidden="false" customHeight="false" outlineLevel="0" collapsed="false">
      <c r="A15758" s="3" t="s">
        <v>1662</v>
      </c>
    </row>
    <row r="15759" customFormat="false" ht="15" hidden="false" customHeight="false" outlineLevel="0" collapsed="false">
      <c r="A15759" s="4" t="s">
        <v>43</v>
      </c>
      <c r="B15759" s="4" t="s">
        <v>65</v>
      </c>
      <c r="C15759" s="20" t="s">
        <v>799</v>
      </c>
      <c r="D15759" s="20" t="s">
        <v>800</v>
      </c>
      <c r="E15759" s="20" t="s">
        <v>801</v>
      </c>
      <c r="F15759" s="20" t="s">
        <v>802</v>
      </c>
      <c r="G15759" s="20" t="s">
        <v>803</v>
      </c>
      <c r="H15759" s="20" t="s">
        <v>804</v>
      </c>
      <c r="I15759" s="20" t="s">
        <v>805</v>
      </c>
      <c r="J15759" s="20" t="s">
        <v>806</v>
      </c>
      <c r="K15759" s="20" t="s">
        <v>807</v>
      </c>
      <c r="L15759" s="4" t="s">
        <v>47</v>
      </c>
    </row>
    <row r="15760" customFormat="false" ht="17.15" hidden="false" customHeight="false" outlineLevel="0" collapsed="false">
      <c r="A15760" s="0" t="s">
        <v>874</v>
      </c>
      <c r="B15760" s="0" t="s">
        <v>98</v>
      </c>
      <c r="D15760" s="6" t="n">
        <f aca="false">Sens!D15739</f>
        <v>12.9359794422418</v>
      </c>
      <c r="E15760" s="6" t="n">
        <f aca="false">Sens!E15739</f>
        <v>27.8095064661409</v>
      </c>
      <c r="F15760" s="6" t="n">
        <f aca="false">Sens!F15739</f>
        <v>50.6619113883066</v>
      </c>
      <c r="G15760" s="6" t="n">
        <f aca="false">Sens!G15739</f>
        <v>75.1482839325348</v>
      </c>
      <c r="H15760" s="6" t="n">
        <f aca="false">Sens!H15739</f>
        <v>94.895655604042</v>
      </c>
      <c r="I15760" s="6" t="n">
        <f aca="false">Sens!I15739</f>
        <v>118.706168884151</v>
      </c>
      <c r="J15760" s="6" t="n">
        <f aca="false">Sens!J15739</f>
        <v>135.50643871102</v>
      </c>
      <c r="K15760" s="6" t="n">
        <f aca="false">Sens!K15739</f>
        <v>146.509068150048</v>
      </c>
    </row>
    <row r="15761" customFormat="false" ht="17.15" hidden="false" customHeight="false" outlineLevel="0" collapsed="false">
      <c r="A15761" s="0" t="s">
        <v>875</v>
      </c>
      <c r="B15761" s="0" t="s">
        <v>98</v>
      </c>
      <c r="D15761" s="6" t="n">
        <f aca="false">Q!L6-Sens!D15760</f>
        <v>59.6740205577583</v>
      </c>
      <c r="E15761" s="6" t="n">
        <f aca="false">Q!M6-Sens!E15760</f>
        <v>74.1284935338591</v>
      </c>
      <c r="F15761" s="6" t="n">
        <f aca="false">Sens!E15761*(1+Sens!F15762)</f>
        <v>90.0799497373663</v>
      </c>
      <c r="G15761" s="6" t="n">
        <f aca="false">Sens!F15761*(1+Sens!G15762)</f>
        <v>107.02842520331</v>
      </c>
      <c r="H15761" s="6" t="n">
        <f aca="false">Sens!G15761*(1+Sens!H15762)</f>
        <v>124.271982585636</v>
      </c>
      <c r="I15761" s="6" t="n">
        <f aca="false">Sens!H15761*(1+Sens!I15762)</f>
        <v>140.933702381855</v>
      </c>
      <c r="J15761" s="6" t="n">
        <f aca="false">Sens!I15761*(1+Sens!J15762)</f>
        <v>156.018867314332</v>
      </c>
      <c r="K15761" s="6" t="n">
        <f aca="false">Sens!J15761*(1+Sens!K15762)</f>
        <v>168.500376699478</v>
      </c>
    </row>
    <row r="15762" customFormat="false" ht="15" hidden="false" customHeight="false" outlineLevel="0" collapsed="false">
      <c r="A15762" s="1" t="s">
        <v>876</v>
      </c>
      <c r="B15762" s="0" t="s">
        <v>129</v>
      </c>
      <c r="E15762" s="7" t="n">
        <f aca="false">Sens!E15761/Sens!D15761-1</f>
        <v>0.242223883039864</v>
      </c>
      <c r="F15762" s="7" t="n">
        <f aca="false">Sens!$E$15762+(glt_azo-Sens!$E$15762)*MIN(1,(Sens!F15722-base_fy)/n_conv)</f>
        <v>0.215186569199887</v>
      </c>
      <c r="G15762" s="7" t="n">
        <f aca="false">Sens!$E$15762+(glt_azo-Sens!$E$15762)*MIN(1,(Sens!G15722-base_fy)/n_conv)</f>
        <v>0.18814925535991</v>
      </c>
      <c r="H15762" s="7" t="n">
        <f aca="false">Sens!$E$15762+(glt_azo-Sens!$E$15762)*MIN(1,(Sens!H15722-base_fy)/n_conv)</f>
        <v>0.161111941519932</v>
      </c>
      <c r="I15762" s="7" t="n">
        <f aca="false">Sens!$E$15762+(glt_azo-Sens!$E$15762)*MIN(1,(Sens!I15722-base_fy)/n_conv)</f>
        <v>0.134074627679955</v>
      </c>
      <c r="J15762" s="7" t="n">
        <f aca="false">Sens!$E$15762+(glt_azo-Sens!$E$15762)*MIN(1,(Sens!J15722-base_fy)/n_conv)</f>
        <v>0.107037313839977</v>
      </c>
      <c r="K15762" s="7" t="n">
        <f aca="false">Sens!$E$15762+(glt_azo-Sens!$E$15762)*MIN(1,(Sens!K15722-base_fy)/n_conv)</f>
        <v>0.08</v>
      </c>
    </row>
    <row r="15763" customFormat="false" ht="15" hidden="false" customHeight="false" outlineLevel="0" collapsed="false">
      <c r="A15763" s="0" t="s">
        <v>877</v>
      </c>
      <c r="B15763" s="0" t="s">
        <v>98</v>
      </c>
      <c r="D15763" s="6" t="n">
        <f aca="false">Sens!D15760+Sens!D15761</f>
        <v>72.61</v>
      </c>
      <c r="E15763" s="6" t="n">
        <f aca="false">Sens!E15760+Sens!E15761</f>
        <v>101.938</v>
      </c>
      <c r="F15763" s="6" t="n">
        <f aca="false">Sens!F15760+Sens!F15761</f>
        <v>140.741861125673</v>
      </c>
      <c r="G15763" s="6" t="n">
        <f aca="false">Sens!G15760+Sens!G15761</f>
        <v>182.176709135845</v>
      </c>
      <c r="H15763" s="6" t="n">
        <f aca="false">Sens!H15760+Sens!H15761</f>
        <v>219.167638189678</v>
      </c>
      <c r="I15763" s="6" t="n">
        <f aca="false">Sens!I15760+Sens!I15761</f>
        <v>259.639871266006</v>
      </c>
      <c r="J15763" s="6" t="n">
        <f aca="false">Sens!J15760+Sens!J15761</f>
        <v>291.525306025352</v>
      </c>
      <c r="K15763" s="6" t="n">
        <f aca="false">Sens!K15760+Sens!K15761</f>
        <v>315.009444849526</v>
      </c>
    </row>
    <row r="15764" customFormat="false" ht="17.15" hidden="false" customHeight="false" outlineLevel="0" collapsed="false">
      <c r="A15764" s="0" t="s">
        <v>878</v>
      </c>
      <c r="B15764" s="1" t="s">
        <v>528</v>
      </c>
      <c r="C15764" s="29" t="n">
        <f aca="false">cop_s24</f>
        <v>1</v>
      </c>
      <c r="D15764" s="29" t="n">
        <f aca="false">cop_s25</f>
        <v>5</v>
      </c>
      <c r="E15764" s="29" t="n">
        <f aca="false">cop_s26</f>
        <v>30</v>
      </c>
      <c r="F15764" s="29" t="n">
        <f aca="false">Sens!E15764+cop_add_C</f>
        <v>40</v>
      </c>
      <c r="G15764" s="29" t="n">
        <f aca="false">Sens!F15764+cop_add_C</f>
        <v>50</v>
      </c>
      <c r="H15764" s="29" t="n">
        <f aca="false">Sens!G15764+cop_add_C</f>
        <v>60</v>
      </c>
      <c r="I15764" s="29" t="n">
        <f aca="false">Sens!H15764+cop_add_C*cop_tail</f>
        <v>65</v>
      </c>
      <c r="J15764" s="29" t="n">
        <f aca="false">Sens!I15764+cop_add_C*cop_tail</f>
        <v>70</v>
      </c>
      <c r="K15764" s="29" t="n">
        <f aca="false">Sens!J15764+cop_add_C*cop_tail</f>
        <v>75</v>
      </c>
      <c r="L15764" s="11" t="s">
        <v>879</v>
      </c>
    </row>
    <row r="15765" customFormat="false" ht="17.15" hidden="false" customHeight="false" outlineLevel="0" collapsed="false">
      <c r="A15765" s="0" t="s">
        <v>880</v>
      </c>
      <c r="B15765" s="0" t="s">
        <v>98</v>
      </c>
      <c r="D15765" s="6" t="n">
        <f aca="false">(Sens!C15764+Sens!D15764)/2*cop_px*12/1000</f>
        <v>0.9</v>
      </c>
      <c r="E15765" s="6" t="n">
        <f aca="false">(Sens!D15764+Sens!E15764)/2*cop_px*12/1000</f>
        <v>5.25</v>
      </c>
      <c r="F15765" s="6" t="n">
        <f aca="false">(Sens!E15764+Sens!F15764)/2*cop_px*12/1000</f>
        <v>10.5</v>
      </c>
      <c r="G15765" s="6" t="n">
        <f aca="false">(Sens!F15764+Sens!G15764)/2*cop_px*12/1000</f>
        <v>13.5</v>
      </c>
      <c r="H15765" s="6" t="n">
        <f aca="false">(Sens!G15764+Sens!H15764)/2*cop_px*12/1000</f>
        <v>16.5</v>
      </c>
      <c r="I15765" s="6" t="n">
        <f aca="false">(Sens!H15764+Sens!I15764)/2*cop_px*12/1000</f>
        <v>18.75</v>
      </c>
      <c r="J15765" s="6" t="n">
        <f aca="false">(Sens!I15764+Sens!J15764)/2*cop_px*12/1000</f>
        <v>20.25</v>
      </c>
      <c r="K15765" s="6" t="n">
        <f aca="false">(Sens!J15764+Sens!K15764)/2*cop_px*12/1000</f>
        <v>21.75</v>
      </c>
      <c r="L15765" s="1" t="s">
        <v>881</v>
      </c>
    </row>
    <row r="15766" customFormat="false" ht="17.15" hidden="false" customHeight="false" outlineLevel="0" collapsed="false">
      <c r="A15766" s="0" t="s">
        <v>882</v>
      </c>
      <c r="B15766" s="0" t="s">
        <v>98</v>
      </c>
      <c r="D15766" s="6" t="n">
        <f aca="false">Q!L7-Sens!D15765</f>
        <v>83.705</v>
      </c>
      <c r="E15766" s="6" t="n">
        <f aca="false">Q!M7-Sens!E15765</f>
        <v>95.049</v>
      </c>
      <c r="F15766" s="6" t="n">
        <f aca="false">Sens!E15766*(1+Sens!F15767)</f>
        <v>106.89238776686</v>
      </c>
      <c r="G15766" s="6" t="n">
        <f aca="false">Sens!F15766*(1+Sens!G15767)</f>
        <v>119.044168448684</v>
      </c>
      <c r="H15766" s="6" t="n">
        <f aca="false">Sens!G15766*(1+Sens!H15767)</f>
        <v>131.277359388781</v>
      </c>
      <c r="I15766" s="6" t="n">
        <f aca="false">Sens!H15766*(1+Sens!I15767)</f>
        <v>143.334028071957</v>
      </c>
      <c r="J15766" s="6" t="n">
        <f aca="false">Sens!I15766*(1+Sens!J15767)</f>
        <v>154.932702785465</v>
      </c>
      <c r="K15766" s="6" t="n">
        <f aca="false">Sens!J15766*(1+Sens!K15767)</f>
        <v>165.777991980448</v>
      </c>
    </row>
    <row r="15767" customFormat="false" ht="15" hidden="false" customHeight="false" outlineLevel="0" collapsed="false">
      <c r="A15767" s="1" t="s">
        <v>876</v>
      </c>
      <c r="B15767" s="0" t="s">
        <v>129</v>
      </c>
      <c r="E15767" s="7" t="n">
        <f aca="false">Sens!E15766/Sens!D15766-1</f>
        <v>0.135523564900544</v>
      </c>
      <c r="F15767" s="7" t="n">
        <f aca="false">Sens!$E$15767+(glt_m365b-Sens!$E$15767)*MIN(1,(Sens!F15722-base_fy)/n_conv)</f>
        <v>0.124602970750453</v>
      </c>
      <c r="G15767" s="7" t="n">
        <f aca="false">Sens!$E$15767+(glt_m365b-Sens!$E$15767)*MIN(1,(Sens!G15722-base_fy)/n_conv)</f>
        <v>0.113682376600363</v>
      </c>
      <c r="H15767" s="7" t="n">
        <f aca="false">Sens!$E$15767+(glt_m365b-Sens!$E$15767)*MIN(1,(Sens!H15722-base_fy)/n_conv)</f>
        <v>0.102761782450272</v>
      </c>
      <c r="I15767" s="7" t="n">
        <f aca="false">Sens!$E$15767+(glt_m365b-Sens!$E$15767)*MIN(1,(Sens!I15722-base_fy)/n_conv)</f>
        <v>0.0918411883001813</v>
      </c>
      <c r="J15767" s="7" t="n">
        <f aca="false">Sens!$E$15767+(glt_m365b-Sens!$E$15767)*MIN(1,(Sens!J15722-base_fy)/n_conv)</f>
        <v>0.0809205941500906</v>
      </c>
      <c r="K15767" s="7" t="n">
        <f aca="false">Sens!$E$15767+(glt_m365b-Sens!$E$15767)*MIN(1,(Sens!K15722-base_fy)/n_conv)</f>
        <v>0.07</v>
      </c>
    </row>
    <row r="15768" customFormat="false" ht="15" hidden="false" customHeight="false" outlineLevel="0" collapsed="false">
      <c r="A15768" s="0" t="s">
        <v>883</v>
      </c>
      <c r="B15768" s="0" t="s">
        <v>98</v>
      </c>
      <c r="D15768" s="6" t="n">
        <f aca="false">Sens!D15766+Sens!D15765</f>
        <v>84.605</v>
      </c>
      <c r="E15768" s="6" t="n">
        <f aca="false">Sens!E15766+Sens!E15765</f>
        <v>100.299</v>
      </c>
      <c r="F15768" s="6" t="n">
        <f aca="false">Sens!F15766+Sens!F15765</f>
        <v>117.39238776686</v>
      </c>
      <c r="G15768" s="6" t="n">
        <f aca="false">Sens!G15766+Sens!G15765</f>
        <v>132.544168448684</v>
      </c>
      <c r="H15768" s="6" t="n">
        <f aca="false">Sens!H15766+Sens!H15765</f>
        <v>147.777359388781</v>
      </c>
      <c r="I15768" s="6" t="n">
        <f aca="false">Sens!I15766+Sens!I15765</f>
        <v>162.084028071957</v>
      </c>
      <c r="J15768" s="6" t="n">
        <f aca="false">Sens!J15766+Sens!J15765</f>
        <v>175.182702785465</v>
      </c>
      <c r="K15768" s="6" t="n">
        <f aca="false">Sens!K15766+Sens!K15765</f>
        <v>187.527991980448</v>
      </c>
    </row>
    <row r="15769" customFormat="false" ht="15" hidden="false" customHeight="false" outlineLevel="0" collapsed="false">
      <c r="A15769" s="0" t="s">
        <v>884</v>
      </c>
      <c r="B15769" s="0" t="s">
        <v>98</v>
      </c>
      <c r="D15769" s="6" t="n">
        <f aca="false">Q!L8</f>
        <v>35.391</v>
      </c>
      <c r="E15769" s="6" t="n">
        <f aca="false">Q!M8</f>
        <v>37.285</v>
      </c>
      <c r="F15769" s="6" t="n">
        <f aca="false">Sens!E15769*(1+Sens!F15770)</f>
        <v>39.0720834331704</v>
      </c>
      <c r="G15769" s="6" t="n">
        <f aca="false">Sens!F15769*(1+Sens!G15770)</f>
        <v>40.726562953769</v>
      </c>
      <c r="H15769" s="6" t="n">
        <f aca="false">Sens!G15769*(1+Sens!H15770)</f>
        <v>42.2235987259198</v>
      </c>
      <c r="I15769" s="6" t="n">
        <f aca="false">Sens!H15769*(1+Sens!I15770)</f>
        <v>43.5397988077414</v>
      </c>
      <c r="J15769" s="6" t="n">
        <f aca="false">Sens!I15769*(1+Sens!J15770)</f>
        <v>44.653811225693</v>
      </c>
      <c r="K15769" s="6" t="n">
        <f aca="false">Sens!J15769*(1+Sens!K15770)</f>
        <v>45.5468874502068</v>
      </c>
    </row>
    <row r="15770" customFormat="false" ht="15" hidden="false" customHeight="false" outlineLevel="0" collapsed="false">
      <c r="A15770" s="1" t="s">
        <v>876</v>
      </c>
      <c r="B15770" s="0" t="s">
        <v>129</v>
      </c>
      <c r="E15770" s="7" t="n">
        <f aca="false">Sens!E15769/Sens!D15769-1</f>
        <v>0.0535164307309768</v>
      </c>
      <c r="F15770" s="7" t="n">
        <f aca="false">Sens!$E$15770+(glt_lic-Sens!$E$15770)*MIN(1,(Sens!F15722-base_fy)/n_conv)</f>
        <v>0.0479303589424807</v>
      </c>
      <c r="G15770" s="7" t="n">
        <f aca="false">Sens!$E$15770+(glt_lic-Sens!$E$15770)*MIN(1,(Sens!G15722-base_fy)/n_conv)</f>
        <v>0.0423442871539845</v>
      </c>
      <c r="H15770" s="7" t="n">
        <f aca="false">Sens!$E$15770+(glt_lic-Sens!$E$15770)*MIN(1,(Sens!H15722-base_fy)/n_conv)</f>
        <v>0.0367582153654884</v>
      </c>
      <c r="I15770" s="7" t="n">
        <f aca="false">Sens!$E$15770+(glt_lic-Sens!$E$15770)*MIN(1,(Sens!I15722-base_fy)/n_conv)</f>
        <v>0.0311721435769923</v>
      </c>
      <c r="J15770" s="7" t="n">
        <f aca="false">Sens!$E$15770+(glt_lic-Sens!$E$15770)*MIN(1,(Sens!J15722-base_fy)/n_conv)</f>
        <v>0.0255860717884961</v>
      </c>
      <c r="K15770" s="7" t="n">
        <f aca="false">Sens!$E$15770+(glt_lic-Sens!$E$15770)*MIN(1,(Sens!K15722-base_fy)/n_conv)</f>
        <v>0.02</v>
      </c>
    </row>
    <row r="15771" customFormat="false" ht="15" hidden="false" customHeight="false" outlineLevel="0" collapsed="false">
      <c r="A15771" s="0" t="s">
        <v>885</v>
      </c>
      <c r="B15771" s="0" t="s">
        <v>98</v>
      </c>
      <c r="D15771" s="6" t="n">
        <f aca="false">Q!L9</f>
        <v>18.417</v>
      </c>
      <c r="E15771" s="6" t="n">
        <f aca="false">Q!M9</f>
        <v>20.345</v>
      </c>
      <c r="F15771" s="6" t="n">
        <f aca="false">Sens!E15771*(1+Sens!F15772)</f>
        <v>22.3572203267814</v>
      </c>
      <c r="G15771" s="6" t="n">
        <f aca="false">Sens!F15771*(1+Sens!G15772)</f>
        <v>24.4392124437232</v>
      </c>
      <c r="H15771" s="6" t="n">
        <f aca="false">Sens!G15771*(1+Sens!H15772)</f>
        <v>26.5738052080665</v>
      </c>
      <c r="I15771" s="6" t="n">
        <f aca="false">Sens!H15771*(1+Sens!I15772)</f>
        <v>28.7412169166967</v>
      </c>
      <c r="J15771" s="6" t="n">
        <f aca="false">Sens!I15771*(1+Sens!J15772)</f>
        <v>30.9192545395413</v>
      </c>
      <c r="K15771" s="6" t="n">
        <f aca="false">Sens!J15771*(1+Sens!K15772)</f>
        <v>33.0836023573092</v>
      </c>
    </row>
    <row r="15772" customFormat="false" ht="15" hidden="false" customHeight="false" outlineLevel="0" collapsed="false">
      <c r="A15772" s="1" t="s">
        <v>876</v>
      </c>
      <c r="B15772" s="0" t="s">
        <v>129</v>
      </c>
      <c r="E15772" s="7" t="n">
        <f aca="false">Sens!E15771/Sens!D15771-1</f>
        <v>0.104685888038225</v>
      </c>
      <c r="F15772" s="7" t="n">
        <f aca="false">Sens!$E$15772+(glt_ind-Sens!$E$15772)*MIN(1,(Sens!F15722-base_fy)/n_conv)</f>
        <v>0.0989049066985211</v>
      </c>
      <c r="G15772" s="7" t="n">
        <f aca="false">Sens!$E$15772+(glt_ind-Sens!$E$15772)*MIN(1,(Sens!G15722-base_fy)/n_conv)</f>
        <v>0.0931239253588169</v>
      </c>
      <c r="H15772" s="7" t="n">
        <f aca="false">Sens!$E$15772+(glt_ind-Sens!$E$15772)*MIN(1,(Sens!H15722-base_fy)/n_conv)</f>
        <v>0.0873429440191127</v>
      </c>
      <c r="I15772" s="7" t="n">
        <f aca="false">Sens!$E$15772+(glt_ind-Sens!$E$15772)*MIN(1,(Sens!I15722-base_fy)/n_conv)</f>
        <v>0.0815619626794085</v>
      </c>
      <c r="J15772" s="7" t="n">
        <f aca="false">Sens!$E$15772+(glt_ind-Sens!$E$15772)*MIN(1,(Sens!J15722-base_fy)/n_conv)</f>
        <v>0.0757809813397042</v>
      </c>
      <c r="K15772" s="7" t="n">
        <f aca="false">Sens!$E$15772+(glt_ind-Sens!$E$15772)*MIN(1,(Sens!K15722-base_fy)/n_conv)</f>
        <v>0.07</v>
      </c>
    </row>
    <row r="15773" customFormat="false" ht="15" hidden="false" customHeight="false" outlineLevel="0" collapsed="false">
      <c r="A15773" s="0" t="s">
        <v>886</v>
      </c>
      <c r="B15773" s="0" t="s">
        <v>98</v>
      </c>
      <c r="D15773" s="6" t="n">
        <f aca="false">Q!L10</f>
        <v>7.76</v>
      </c>
      <c r="E15773" s="6" t="n">
        <f aca="false">Q!M10</f>
        <v>8.26</v>
      </c>
      <c r="F15773" s="6" t="n">
        <f aca="false">Sens!E15773*(1+Sens!F15774)</f>
        <v>8.79988041237113</v>
      </c>
      <c r="G15773" s="6" t="n">
        <f aca="false">Sens!F15773*(1+Sens!G15774)</f>
        <v>9.38321269125306</v>
      </c>
      <c r="H15773" s="6" t="n">
        <f aca="false">Sens!G15773*(1+Sens!H15774)</f>
        <v>10.0139193587476</v>
      </c>
      <c r="I15773" s="6" t="n">
        <f aca="false">Sens!H15773*(1+Sens!I15774)</f>
        <v>10.6963111830911</v>
      </c>
      <c r="J15773" s="6" t="n">
        <f aca="false">Sens!I15773*(1+Sens!J15774)</f>
        <v>11.4351285534696</v>
      </c>
      <c r="K15773" s="6" t="n">
        <f aca="false">Sens!J15773*(1+Sens!K15774)</f>
        <v>12.2355875522124</v>
      </c>
    </row>
    <row r="15774" customFormat="false" ht="15" hidden="false" customHeight="false" outlineLevel="0" collapsed="false">
      <c r="A15774" s="1" t="s">
        <v>876</v>
      </c>
      <c r="B15774" s="0" t="s">
        <v>129</v>
      </c>
      <c r="E15774" s="7" t="n">
        <f aca="false">Sens!E15773/Sens!D15773-1</f>
        <v>0.0644329896907216</v>
      </c>
      <c r="F15774" s="7" t="n">
        <f aca="false">Sens!$E$15774+(glt_fro-Sens!$E$15774)*MIN(1,(Sens!F15722-base_fy)/n_conv)</f>
        <v>0.065360824742268</v>
      </c>
      <c r="G15774" s="7" t="n">
        <f aca="false">Sens!$E$15774+(glt_fro-Sens!$E$15774)*MIN(1,(Sens!G15722-base_fy)/n_conv)</f>
        <v>0.0662886597938144</v>
      </c>
      <c r="H15774" s="7" t="n">
        <f aca="false">Sens!$E$15774+(glt_fro-Sens!$E$15774)*MIN(1,(Sens!H15722-base_fy)/n_conv)</f>
        <v>0.0672164948453608</v>
      </c>
      <c r="I15774" s="7" t="n">
        <f aca="false">Sens!$E$15774+(glt_fro-Sens!$E$15774)*MIN(1,(Sens!I15722-base_fy)/n_conv)</f>
        <v>0.0681443298969072</v>
      </c>
      <c r="J15774" s="7" t="n">
        <f aca="false">Sens!$E$15774+(glt_fro-Sens!$E$15774)*MIN(1,(Sens!J15722-base_fy)/n_conv)</f>
        <v>0.0690721649484536</v>
      </c>
      <c r="K15774" s="7" t="n">
        <f aca="false">Sens!$E$15774+(glt_fro-Sens!$E$15774)*MIN(1,(Sens!K15722-base_fy)/n_conv)</f>
        <v>0.07</v>
      </c>
    </row>
    <row r="15775" customFormat="false" ht="15" hidden="false" customHeight="false" outlineLevel="0" collapsed="false">
      <c r="A15775" s="0" t="s">
        <v>715</v>
      </c>
      <c r="B15775" s="0" t="s">
        <v>98</v>
      </c>
      <c r="D15775" s="6" t="n">
        <f aca="false">Sens!D15763+Sens!D15768+Sens!D15769+Sens!D15771+Sens!D15773</f>
        <v>218.783</v>
      </c>
      <c r="E15775" s="6" t="n">
        <f aca="false">Sens!E15763+Sens!E15768+Sens!E15769+Sens!E15771+Sens!E15773</f>
        <v>268.127</v>
      </c>
      <c r="F15775" s="6" t="n">
        <f aca="false">Sens!F15763+Sens!F15768+Sens!F15769+Sens!F15771+Sens!F15773</f>
        <v>328.363433064856</v>
      </c>
      <c r="G15775" s="6" t="n">
        <f aca="false">Sens!G15763+Sens!G15768+Sens!G15769+Sens!G15771+Sens!G15773</f>
        <v>389.269865673274</v>
      </c>
      <c r="H15775" s="6" t="n">
        <f aca="false">Sens!H15763+Sens!H15768+Sens!H15769+Sens!H15771+Sens!H15773</f>
        <v>445.756320871193</v>
      </c>
      <c r="I15775" s="6" t="n">
        <f aca="false">Sens!I15763+Sens!I15768+Sens!I15769+Sens!I15771+Sens!I15773</f>
        <v>504.701226245492</v>
      </c>
      <c r="J15775" s="6" t="n">
        <f aca="false">Sens!J15763+Sens!J15768+Sens!J15769+Sens!J15771+Sens!J15773</f>
        <v>553.716203129521</v>
      </c>
      <c r="K15775" s="6" t="n">
        <f aca="false">Sens!K15763+Sens!K15768+Sens!K15769+Sens!K15771+Sens!K15773</f>
        <v>593.403514189702</v>
      </c>
    </row>
    <row r="15776" customFormat="false" ht="15" hidden="false" customHeight="false" outlineLevel="0" collapsed="false">
      <c r="A15776" s="0" t="s">
        <v>887</v>
      </c>
      <c r="B15776" s="0" t="s">
        <v>98</v>
      </c>
      <c r="D15776" s="6" t="n">
        <f aca="false">Q!L13</f>
        <v>22.171</v>
      </c>
      <c r="E15776" s="6" t="n">
        <f aca="false">Q!M13</f>
        <v>24.835</v>
      </c>
      <c r="F15776" s="6" t="n">
        <f aca="false">Sens!E15776*(1+Sens!F15777)</f>
        <v>27.6114901218559</v>
      </c>
      <c r="G15776" s="6" t="n">
        <f aca="false">Sens!F15776*(1+Sens!G15777)</f>
        <v>30.4675667338515</v>
      </c>
      <c r="H15776" s="6" t="n">
        <f aca="false">Sens!G15776*(1+Sens!H15777)</f>
        <v>33.3643766955789</v>
      </c>
      <c r="I15776" s="6" t="n">
        <f aca="false">Sens!H15776*(1+Sens!I15777)</f>
        <v>36.2577016533691</v>
      </c>
      <c r="J15776" s="6" t="n">
        <f aca="false">Sens!I15776*(1+Sens!J15777)</f>
        <v>39.0988367952171</v>
      </c>
      <c r="K15776" s="6" t="n">
        <f aca="false">Sens!J15776*(1+Sens!K15777)</f>
        <v>41.8357553708823</v>
      </c>
    </row>
    <row r="15777" customFormat="false" ht="15" hidden="false" customHeight="false" outlineLevel="0" collapsed="false">
      <c r="A15777" s="1" t="s">
        <v>876</v>
      </c>
      <c r="B15777" s="0" t="s">
        <v>129</v>
      </c>
      <c r="E15777" s="7" t="n">
        <f aca="false">Sens!E15776/Sens!D15776-1</f>
        <v>0.120156961796942</v>
      </c>
      <c r="F15777" s="7" t="n">
        <f aca="false">Sens!$E$15777+(glt_srch-Sens!$E$15777)*MIN(1,(Sens!F15722-base_fy)/n_conv)</f>
        <v>0.111797468164118</v>
      </c>
      <c r="G15777" s="7" t="n">
        <f aca="false">Sens!$E$15777+(glt_srch-Sens!$E$15777)*MIN(1,(Sens!G15722-base_fy)/n_conv)</f>
        <v>0.103437974531295</v>
      </c>
      <c r="H15777" s="7" t="n">
        <f aca="false">Sens!$E$15777+(glt_srch-Sens!$E$15777)*MIN(1,(Sens!H15722-base_fy)/n_conv)</f>
        <v>0.095078480898471</v>
      </c>
      <c r="I15777" s="7" t="n">
        <f aca="false">Sens!$E$15777+(glt_srch-Sens!$E$15777)*MIN(1,(Sens!I15722-base_fy)/n_conv)</f>
        <v>0.0867189872656474</v>
      </c>
      <c r="J15777" s="7" t="n">
        <f aca="false">Sens!$E$15777+(glt_srch-Sens!$E$15777)*MIN(1,(Sens!J15722-base_fy)/n_conv)</f>
        <v>0.0783594936328237</v>
      </c>
      <c r="K15777" s="7" t="n">
        <f aca="false">Sens!$E$15777+(glt_srch-Sens!$E$15777)*MIN(1,(Sens!K15722-base_fy)/n_conv)</f>
        <v>0.07</v>
      </c>
    </row>
    <row r="15778" customFormat="false" ht="15" hidden="false" customHeight="false" outlineLevel="0" collapsed="false">
      <c r="A15778" s="0" t="s">
        <v>888</v>
      </c>
      <c r="B15778" s="0" t="s">
        <v>98</v>
      </c>
      <c r="D15778" s="6" t="n">
        <f aca="false">Q!L14</f>
        <v>23.455</v>
      </c>
      <c r="E15778" s="6" t="n">
        <f aca="false">Q!M14</f>
        <v>21.79</v>
      </c>
      <c r="F15778" s="6" t="n">
        <f aca="false">Sens!E15778*(1+Sens!F15779)</f>
        <v>20.5736277908051</v>
      </c>
      <c r="G15778" s="6" t="n">
        <f aca="false">Sens!F15778*(1+Sens!G15779)</f>
        <v>19.7371452817919</v>
      </c>
      <c r="H15778" s="6" t="n">
        <f aca="false">Sens!G15778*(1+Sens!H15779)</f>
        <v>19.2339764043138</v>
      </c>
      <c r="I15778" s="6" t="n">
        <f aca="false">Sens!H15778*(1+Sens!I15779)</f>
        <v>19.0353086852681</v>
      </c>
      <c r="J15778" s="6" t="n">
        <f aca="false">Sens!I15778*(1+Sens!J15779)</f>
        <v>19.1273539319129</v>
      </c>
      <c r="K15778" s="6" t="n">
        <f aca="false">Sens!J15778*(1+Sens!K15779)</f>
        <v>19.5099010105511</v>
      </c>
    </row>
    <row r="15779" customFormat="false" ht="15" hidden="false" customHeight="false" outlineLevel="0" collapsed="false">
      <c r="A15779" s="1" t="s">
        <v>876</v>
      </c>
      <c r="B15779" s="0" t="s">
        <v>129</v>
      </c>
      <c r="E15779" s="7" t="n">
        <f aca="false">Sens!E15778/Sens!D15778-1</f>
        <v>-0.0709869963760392</v>
      </c>
      <c r="F15779" s="7" t="n">
        <f aca="false">Sens!$E$15779+(glt_xbox-Sens!$E$15779)*MIN(1,(Sens!F15722-base_fy)/n_conv)</f>
        <v>-0.0558224969800327</v>
      </c>
      <c r="G15779" s="7" t="n">
        <f aca="false">Sens!$E$15779+(glt_xbox-Sens!$E$15779)*MIN(1,(Sens!G15722-base_fy)/n_conv)</f>
        <v>-0.0406579975840262</v>
      </c>
      <c r="H15779" s="7" t="n">
        <f aca="false">Sens!$E$15779+(glt_xbox-Sens!$E$15779)*MIN(1,(Sens!H15722-base_fy)/n_conv)</f>
        <v>-0.0254934981880196</v>
      </c>
      <c r="I15779" s="7" t="n">
        <f aca="false">Sens!$E$15779+(glt_xbox-Sens!$E$15779)*MIN(1,(Sens!I15722-base_fy)/n_conv)</f>
        <v>-0.0103289987920131</v>
      </c>
      <c r="J15779" s="7" t="n">
        <f aca="false">Sens!$E$15779+(glt_xbox-Sens!$E$15779)*MIN(1,(Sens!J15722-base_fy)/n_conv)</f>
        <v>0.00483550060399347</v>
      </c>
      <c r="K15779" s="7" t="n">
        <f aca="false">Sens!$E$15779+(glt_xbox-Sens!$E$15779)*MIN(1,(Sens!K15722-base_fy)/n_conv)</f>
        <v>0.02</v>
      </c>
    </row>
    <row r="15780" customFormat="false" ht="15" hidden="false" customHeight="false" outlineLevel="0" collapsed="false">
      <c r="A15780" s="0" t="s">
        <v>889</v>
      </c>
      <c r="B15780" s="0" t="s">
        <v>98</v>
      </c>
      <c r="D15780" s="6" t="n">
        <f aca="false">Q!L15</f>
        <v>17.315</v>
      </c>
      <c r="E15780" s="6" t="n">
        <f aca="false">Q!M15</f>
        <v>17.087</v>
      </c>
      <c r="F15780" s="6" t="n">
        <f aca="false">Sens!E15780*(1+Sens!F15781)</f>
        <v>16.9564585436519</v>
      </c>
      <c r="G15780" s="6" t="n">
        <f aca="false">Sens!F15780*(1+Sens!G15781)</f>
        <v>16.9206490624268</v>
      </c>
      <c r="H15780" s="6" t="n">
        <f aca="false">Sens!G15780*(1+Sens!H15781)</f>
        <v>16.9784519149849</v>
      </c>
      <c r="I15780" s="6" t="n">
        <f aca="false">Sens!H15780*(1+Sens!I15781)</f>
        <v>17.1303084701817</v>
      </c>
      <c r="J15780" s="6" t="n">
        <f aca="false">Sens!I15780*(1+Sens!J15781)</f>
        <v>17.3782189407267</v>
      </c>
      <c r="K15780" s="6" t="n">
        <f aca="false">Sens!J15780*(1+Sens!K15781)</f>
        <v>17.7257833195413</v>
      </c>
    </row>
    <row r="15781" customFormat="false" ht="15" hidden="false" customHeight="false" outlineLevel="0" collapsed="false">
      <c r="A15781" s="1" t="s">
        <v>876</v>
      </c>
      <c r="B15781" s="0" t="s">
        <v>129</v>
      </c>
      <c r="E15781" s="7" t="n">
        <f aca="false">Sens!E15780/Sens!D15780-1</f>
        <v>-0.0131677736066995</v>
      </c>
      <c r="F15781" s="7" t="n">
        <f aca="false">Sens!$E$15781+(glt_win-Sens!$E$15781)*MIN(1,(Sens!F15722-base_fy)/n_conv)</f>
        <v>-0.00763981133891627</v>
      </c>
      <c r="G15781" s="7" t="n">
        <f aca="false">Sens!$E$15781+(glt_win-Sens!$E$15781)*MIN(1,(Sens!G15722-base_fy)/n_conv)</f>
        <v>-0.00211184907113301</v>
      </c>
      <c r="H15781" s="7" t="n">
        <f aca="false">Sens!$E$15781+(glt_win-Sens!$E$15781)*MIN(1,(Sens!H15722-base_fy)/n_conv)</f>
        <v>0.00341611319665024</v>
      </c>
      <c r="I15781" s="7" t="n">
        <f aca="false">Sens!$E$15781+(glt_win-Sens!$E$15781)*MIN(1,(Sens!I15722-base_fy)/n_conv)</f>
        <v>0.00894407546443349</v>
      </c>
      <c r="J15781" s="7" t="n">
        <f aca="false">Sens!$E$15781+(glt_win-Sens!$E$15781)*MIN(1,(Sens!J15722-base_fy)/n_conv)</f>
        <v>0.0144720377322168</v>
      </c>
      <c r="K15781" s="7" t="n">
        <f aca="false">Sens!$E$15781+(glt_win-Sens!$E$15781)*MIN(1,(Sens!K15722-base_fy)/n_conv)</f>
        <v>0.02</v>
      </c>
    </row>
    <row r="15782" customFormat="false" ht="15" hidden="false" customHeight="false" outlineLevel="0" collapsed="false">
      <c r="A15782" s="0" t="s">
        <v>729</v>
      </c>
      <c r="B15782" s="0" t="s">
        <v>98</v>
      </c>
      <c r="D15782" s="6" t="n">
        <f aca="false">Sens!D15776+Sens!D15778+Sens!D15780</f>
        <v>62.941</v>
      </c>
      <c r="E15782" s="6" t="n">
        <f aca="false">Sens!E15776+Sens!E15778+Sens!E15780</f>
        <v>63.712</v>
      </c>
      <c r="F15782" s="6" t="n">
        <f aca="false">Sens!F15776+Sens!F15778+Sens!F15780</f>
        <v>65.1415764563129</v>
      </c>
      <c r="G15782" s="6" t="n">
        <f aca="false">Sens!G15776+Sens!G15778+Sens!G15780</f>
        <v>67.1253610780702</v>
      </c>
      <c r="H15782" s="6" t="n">
        <f aca="false">Sens!H15776+Sens!H15778+Sens!H15780</f>
        <v>69.5768050148776</v>
      </c>
      <c r="I15782" s="6" t="n">
        <f aca="false">Sens!I15776+Sens!I15778+Sens!I15780</f>
        <v>72.4233188088189</v>
      </c>
      <c r="J15782" s="6" t="n">
        <f aca="false">Sens!J15776+Sens!J15778+Sens!J15780</f>
        <v>75.6044096678567</v>
      </c>
      <c r="K15782" s="6" t="n">
        <f aca="false">Sens!K15776+Sens!K15778+Sens!K15780</f>
        <v>79.0714397009747</v>
      </c>
    </row>
    <row r="15783" customFormat="false" ht="15" hidden="false" customHeight="false" outlineLevel="0" collapsed="false">
      <c r="A15783" s="1" t="s">
        <v>890</v>
      </c>
      <c r="B15783" s="0" t="s">
        <v>98</v>
      </c>
      <c r="D15783" s="6" t="n">
        <f aca="false">Sens!D15775+Sens!D15782</f>
        <v>281.724</v>
      </c>
      <c r="E15783" s="6" t="n">
        <f aca="false">Sens!E15775+Sens!E15782</f>
        <v>331.839</v>
      </c>
      <c r="F15783" s="6" t="n">
        <f aca="false">Sens!F15775+Sens!F15782</f>
        <v>393.505009521169</v>
      </c>
      <c r="G15783" s="6" t="n">
        <f aca="false">Sens!G15775+Sens!G15782</f>
        <v>456.395226751344</v>
      </c>
      <c r="H15783" s="6" t="n">
        <f aca="false">Sens!H15775+Sens!H15782</f>
        <v>515.333125886071</v>
      </c>
      <c r="I15783" s="6" t="n">
        <f aca="false">Sens!I15775+Sens!I15782</f>
        <v>577.124545054311</v>
      </c>
      <c r="J15783" s="6" t="n">
        <f aca="false">Sens!J15775+Sens!J15782</f>
        <v>629.320612797378</v>
      </c>
      <c r="K15783" s="6" t="n">
        <f aca="false">Sens!K15775+Sens!K15782</f>
        <v>672.474953890677</v>
      </c>
    </row>
    <row r="15784" customFormat="false" ht="15" hidden="false" customHeight="false" outlineLevel="0" collapsed="false">
      <c r="A15784" s="23" t="s">
        <v>891</v>
      </c>
      <c r="B15784" s="30" t="s">
        <v>98</v>
      </c>
      <c r="C15784" s="30"/>
      <c r="D15784" s="24" t="n">
        <f aca="false">(Sens!D15763+Sens!D15768+Sens!D15769+Sens!D15771+Sens!D15773-Sens!D15775)+(Sens!D15776+Sens!D15778+Sens!D15780-Sens!D15782)+(Sens!D15775-Q!L5)+(Sens!D15782-Q!L12)+(Sens!D15763-Q!L6)+(Sens!D15768-Q!L7)</f>
        <v>0</v>
      </c>
      <c r="E15784" s="24" t="n">
        <f aca="false">(Sens!E15763+Sens!E15768+Sens!E15769+Sens!E15771+Sens!E15773-Sens!E15775)+(Sens!E15776+Sens!E15778+Sens!E15780-Sens!E15782)+(Sens!E15775-Q!M5)+(Sens!E15782-Q!M12)+(Sens!E15763-Q!M6)+(Sens!E15768-Q!M7)</f>
        <v>0</v>
      </c>
      <c r="F15784" s="24" t="n">
        <f aca="false">(Sens!F15763+Sens!F15768+Sens!F15769+Sens!F15771+Sens!F15773-Sens!F15775)+(Sens!F15776+Sens!F15778+Sens!F15780-Sens!F15782)</f>
        <v>0</v>
      </c>
      <c r="G15784" s="24" t="n">
        <f aca="false">(Sens!G15763+Sens!G15768+Sens!G15769+Sens!G15771+Sens!G15773-Sens!G15775)+(Sens!G15776+Sens!G15778+Sens!G15780-Sens!G15782)</f>
        <v>0</v>
      </c>
      <c r="H15784" s="24" t="n">
        <f aca="false">(Sens!H15763+Sens!H15768+Sens!H15769+Sens!H15771+Sens!H15773-Sens!H15775)+(Sens!H15776+Sens!H15778+Sens!H15780-Sens!H15782)</f>
        <v>0</v>
      </c>
      <c r="I15784" s="24" t="n">
        <f aca="false">(Sens!I15763+Sens!I15768+Sens!I15769+Sens!I15771+Sens!I15773-Sens!I15775)+(Sens!I15776+Sens!I15778+Sens!I15780-Sens!I15782)</f>
        <v>0</v>
      </c>
      <c r="J15784" s="24" t="n">
        <f aca="false">(Sens!J15763+Sens!J15768+Sens!J15769+Sens!J15771+Sens!J15773-Sens!J15775)+(Sens!J15776+Sens!J15778+Sens!J15780-Sens!J15782)</f>
        <v>0</v>
      </c>
      <c r="K15784" s="24" t="n">
        <f aca="false">(Sens!K15763+Sens!K15768+Sens!K15769+Sens!K15771+Sens!K15773-Sens!K15775)+(Sens!K15776+Sens!K15778+Sens!K15780-Sens!K15782)</f>
        <v>0</v>
      </c>
    </row>
    <row r="15785" customFormat="false" ht="17.15" hidden="false" customHeight="false" outlineLevel="0" collapsed="false">
      <c r="A15785" s="3" t="s">
        <v>1663</v>
      </c>
    </row>
    <row r="15786" customFormat="false" ht="15" hidden="false" customHeight="false" outlineLevel="0" collapsed="false">
      <c r="A15786" s="4" t="s">
        <v>43</v>
      </c>
      <c r="B15786" s="4" t="s">
        <v>65</v>
      </c>
      <c r="C15786" s="20" t="s">
        <v>799</v>
      </c>
      <c r="D15786" s="20" t="s">
        <v>800</v>
      </c>
      <c r="E15786" s="20" t="s">
        <v>801</v>
      </c>
      <c r="F15786" s="20" t="s">
        <v>802</v>
      </c>
      <c r="G15786" s="20" t="s">
        <v>803</v>
      </c>
      <c r="H15786" s="20" t="s">
        <v>804</v>
      </c>
      <c r="I15786" s="20" t="s">
        <v>805</v>
      </c>
      <c r="J15786" s="20" t="s">
        <v>806</v>
      </c>
      <c r="K15786" s="20" t="s">
        <v>807</v>
      </c>
      <c r="L15786" s="4" t="s">
        <v>47</v>
      </c>
    </row>
    <row r="15787" customFormat="false" ht="15" hidden="false" customHeight="false" outlineLevel="0" collapsed="false">
      <c r="A15787" s="0" t="s">
        <v>877</v>
      </c>
      <c r="B15787" s="0" t="s">
        <v>98</v>
      </c>
      <c r="D15787" s="6" t="n">
        <f aca="false">Sens!D15763</f>
        <v>72.61</v>
      </c>
      <c r="E15787" s="6" t="n">
        <f aca="false">Sens!E15763</f>
        <v>101.938</v>
      </c>
      <c r="F15787" s="6" t="n">
        <f aca="false">Sens!F15763</f>
        <v>140.741861125673</v>
      </c>
      <c r="G15787" s="6" t="n">
        <f aca="false">Sens!G15763</f>
        <v>182.176709135845</v>
      </c>
      <c r="H15787" s="6" t="n">
        <f aca="false">Sens!H15763</f>
        <v>219.167638189678</v>
      </c>
      <c r="I15787" s="6" t="n">
        <f aca="false">Sens!I15763</f>
        <v>259.639871266006</v>
      </c>
      <c r="J15787" s="6" t="n">
        <f aca="false">Sens!J15763</f>
        <v>291.525306025352</v>
      </c>
      <c r="K15787" s="6" t="n">
        <f aca="false">Sens!K15763</f>
        <v>315.009444849526</v>
      </c>
    </row>
    <row r="15788" customFormat="false" ht="17.15" hidden="false" customHeight="false" outlineLevel="0" collapsed="false">
      <c r="A15788" s="0" t="s">
        <v>874</v>
      </c>
      <c r="B15788" s="0" t="s">
        <v>98</v>
      </c>
      <c r="D15788" s="6" t="n">
        <f aca="false">Sens!D15760</f>
        <v>12.9359794422418</v>
      </c>
      <c r="E15788" s="6" t="n">
        <f aca="false">Sens!E15760</f>
        <v>27.8095064661409</v>
      </c>
      <c r="F15788" s="6" t="n">
        <f aca="false">Sens!F15760</f>
        <v>50.6619113883066</v>
      </c>
      <c r="G15788" s="6" t="n">
        <f aca="false">Sens!G15760</f>
        <v>75.1482839325348</v>
      </c>
      <c r="H15788" s="6" t="n">
        <f aca="false">Sens!H15760</f>
        <v>94.895655604042</v>
      </c>
      <c r="I15788" s="6" t="n">
        <f aca="false">Sens!I15760</f>
        <v>118.706168884151</v>
      </c>
      <c r="J15788" s="6" t="n">
        <f aca="false">Sens!J15760</f>
        <v>135.50643871102</v>
      </c>
      <c r="K15788" s="6" t="n">
        <f aca="false">Sens!K15760</f>
        <v>146.509068150048</v>
      </c>
    </row>
    <row r="15789" customFormat="false" ht="17.15" hidden="false" customHeight="false" outlineLevel="0" collapsed="false">
      <c r="A15789" s="0" t="s">
        <v>902</v>
      </c>
      <c r="B15789" s="0" t="s">
        <v>98</v>
      </c>
      <c r="D15789" s="6" t="n">
        <f aca="false">Sens!D15761</f>
        <v>59.6740205577583</v>
      </c>
      <c r="E15789" s="6" t="n">
        <f aca="false">Sens!E15761</f>
        <v>74.1284935338591</v>
      </c>
      <c r="F15789" s="6" t="n">
        <f aca="false">Sens!F15761</f>
        <v>90.0799497373663</v>
      </c>
      <c r="G15789" s="6" t="n">
        <f aca="false">Sens!G15761</f>
        <v>107.02842520331</v>
      </c>
      <c r="H15789" s="6" t="n">
        <f aca="false">Sens!H15761</f>
        <v>124.271982585636</v>
      </c>
      <c r="I15789" s="6" t="n">
        <f aca="false">Sens!I15761</f>
        <v>140.933702381855</v>
      </c>
      <c r="J15789" s="6" t="n">
        <f aca="false">Sens!J15761</f>
        <v>156.018867314332</v>
      </c>
      <c r="K15789" s="6" t="n">
        <f aca="false">Sens!K15761</f>
        <v>168.500376699478</v>
      </c>
    </row>
    <row r="15790" customFormat="false" ht="15" hidden="false" customHeight="false" outlineLevel="0" collapsed="false">
      <c r="A15790" s="0" t="s">
        <v>883</v>
      </c>
      <c r="B15790" s="0" t="s">
        <v>98</v>
      </c>
      <c r="D15790" s="6" t="n">
        <f aca="false">Sens!D15768</f>
        <v>84.605</v>
      </c>
      <c r="E15790" s="6" t="n">
        <f aca="false">Sens!E15768</f>
        <v>100.299</v>
      </c>
      <c r="F15790" s="6" t="n">
        <f aca="false">Sens!F15768</f>
        <v>117.39238776686</v>
      </c>
      <c r="G15790" s="6" t="n">
        <f aca="false">Sens!G15768</f>
        <v>132.544168448684</v>
      </c>
      <c r="H15790" s="6" t="n">
        <f aca="false">Sens!H15768</f>
        <v>147.777359388781</v>
      </c>
      <c r="I15790" s="6" t="n">
        <f aca="false">Sens!I15768</f>
        <v>162.084028071957</v>
      </c>
      <c r="J15790" s="6" t="n">
        <f aca="false">Sens!J15768</f>
        <v>175.182702785465</v>
      </c>
      <c r="K15790" s="6" t="n">
        <f aca="false">Sens!K15768</f>
        <v>187.527991980448</v>
      </c>
    </row>
    <row r="15791" customFormat="false" ht="17.15" hidden="false" customHeight="false" outlineLevel="0" collapsed="false">
      <c r="A15791" s="0" t="s">
        <v>903</v>
      </c>
      <c r="B15791" s="0" t="s">
        <v>98</v>
      </c>
      <c r="D15791" s="6" t="n">
        <f aca="false">Sens!D15766</f>
        <v>83.705</v>
      </c>
      <c r="E15791" s="6" t="n">
        <f aca="false">Sens!E15766</f>
        <v>95.049</v>
      </c>
      <c r="F15791" s="6" t="n">
        <f aca="false">Sens!F15766</f>
        <v>106.89238776686</v>
      </c>
      <c r="G15791" s="6" t="n">
        <f aca="false">Sens!G15766</f>
        <v>119.044168448684</v>
      </c>
      <c r="H15791" s="6" t="n">
        <f aca="false">Sens!H15766</f>
        <v>131.277359388781</v>
      </c>
      <c r="I15791" s="6" t="n">
        <f aca="false">Sens!I15766</f>
        <v>143.334028071957</v>
      </c>
      <c r="J15791" s="6" t="n">
        <f aca="false">Sens!J15766</f>
        <v>154.932702785465</v>
      </c>
      <c r="K15791" s="6" t="n">
        <f aca="false">Sens!K15766</f>
        <v>165.777991980448</v>
      </c>
    </row>
    <row r="15792" customFormat="false" ht="17.15" hidden="false" customHeight="false" outlineLevel="0" collapsed="false">
      <c r="A15792" s="0" t="s">
        <v>904</v>
      </c>
      <c r="B15792" s="0" t="s">
        <v>98</v>
      </c>
      <c r="D15792" s="6" t="n">
        <f aca="false">Sens!D15765</f>
        <v>0.9</v>
      </c>
      <c r="E15792" s="6" t="n">
        <f aca="false">Sens!E15765</f>
        <v>5.25</v>
      </c>
      <c r="F15792" s="6" t="n">
        <f aca="false">Sens!F15765</f>
        <v>10.5</v>
      </c>
      <c r="G15792" s="6" t="n">
        <f aca="false">Sens!G15765</f>
        <v>13.5</v>
      </c>
      <c r="H15792" s="6" t="n">
        <f aca="false">Sens!H15765</f>
        <v>16.5</v>
      </c>
      <c r="I15792" s="6" t="n">
        <f aca="false">Sens!I15765</f>
        <v>18.75</v>
      </c>
      <c r="J15792" s="6" t="n">
        <f aca="false">Sens!J15765</f>
        <v>20.25</v>
      </c>
      <c r="K15792" s="6" t="n">
        <f aca="false">Sens!K15765</f>
        <v>21.75</v>
      </c>
    </row>
    <row r="15793" customFormat="false" ht="15" hidden="false" customHeight="false" outlineLevel="0" collapsed="false">
      <c r="A15793" s="0" t="s">
        <v>884</v>
      </c>
      <c r="B15793" s="0" t="s">
        <v>98</v>
      </c>
      <c r="D15793" s="6" t="n">
        <f aca="false">Sens!D15769</f>
        <v>35.391</v>
      </c>
      <c r="E15793" s="6" t="n">
        <f aca="false">Sens!E15769</f>
        <v>37.285</v>
      </c>
      <c r="F15793" s="6" t="n">
        <f aca="false">Sens!F15769</f>
        <v>39.0720834331704</v>
      </c>
      <c r="G15793" s="6" t="n">
        <f aca="false">Sens!G15769</f>
        <v>40.726562953769</v>
      </c>
      <c r="H15793" s="6" t="n">
        <f aca="false">Sens!H15769</f>
        <v>42.2235987259198</v>
      </c>
      <c r="I15793" s="6" t="n">
        <f aca="false">Sens!I15769</f>
        <v>43.5397988077414</v>
      </c>
      <c r="J15793" s="6" t="n">
        <f aca="false">Sens!J15769</f>
        <v>44.653811225693</v>
      </c>
      <c r="K15793" s="6" t="n">
        <f aca="false">Sens!K15769</f>
        <v>45.5468874502068</v>
      </c>
    </row>
    <row r="15794" customFormat="false" ht="15" hidden="false" customHeight="false" outlineLevel="0" collapsed="false">
      <c r="A15794" s="0" t="s">
        <v>885</v>
      </c>
      <c r="B15794" s="0" t="s">
        <v>98</v>
      </c>
      <c r="D15794" s="6" t="n">
        <f aca="false">Sens!D15771</f>
        <v>18.417</v>
      </c>
      <c r="E15794" s="6" t="n">
        <f aca="false">Sens!E15771</f>
        <v>20.345</v>
      </c>
      <c r="F15794" s="6" t="n">
        <f aca="false">Sens!F15771</f>
        <v>22.3572203267814</v>
      </c>
      <c r="G15794" s="6" t="n">
        <f aca="false">Sens!G15771</f>
        <v>24.4392124437232</v>
      </c>
      <c r="H15794" s="6" t="n">
        <f aca="false">Sens!H15771</f>
        <v>26.5738052080665</v>
      </c>
      <c r="I15794" s="6" t="n">
        <f aca="false">Sens!I15771</f>
        <v>28.7412169166967</v>
      </c>
      <c r="J15794" s="6" t="n">
        <f aca="false">Sens!J15771</f>
        <v>30.9192545395413</v>
      </c>
      <c r="K15794" s="6" t="n">
        <f aca="false">Sens!K15771</f>
        <v>33.0836023573092</v>
      </c>
    </row>
    <row r="15795" customFormat="false" ht="15" hidden="false" customHeight="false" outlineLevel="0" collapsed="false">
      <c r="A15795" s="0" t="s">
        <v>886</v>
      </c>
      <c r="B15795" s="0" t="s">
        <v>98</v>
      </c>
      <c r="D15795" s="6" t="n">
        <f aca="false">Sens!D15773</f>
        <v>7.76</v>
      </c>
      <c r="E15795" s="6" t="n">
        <f aca="false">Sens!E15773</f>
        <v>8.26</v>
      </c>
      <c r="F15795" s="6" t="n">
        <f aca="false">Sens!F15773</f>
        <v>8.79988041237113</v>
      </c>
      <c r="G15795" s="6" t="n">
        <f aca="false">Sens!G15773</f>
        <v>9.38321269125306</v>
      </c>
      <c r="H15795" s="6" t="n">
        <f aca="false">Sens!H15773</f>
        <v>10.0139193587476</v>
      </c>
      <c r="I15795" s="6" t="n">
        <f aca="false">Sens!I15773</f>
        <v>10.6963111830911</v>
      </c>
      <c r="J15795" s="6" t="n">
        <f aca="false">Sens!J15773</f>
        <v>11.4351285534696</v>
      </c>
      <c r="K15795" s="6" t="n">
        <f aca="false">Sens!K15773</f>
        <v>12.2355875522124</v>
      </c>
    </row>
    <row r="15796" customFormat="false" ht="15" hidden="false" customHeight="false" outlineLevel="0" collapsed="false">
      <c r="A15796" s="0" t="s">
        <v>715</v>
      </c>
      <c r="B15796" s="0" t="s">
        <v>98</v>
      </c>
      <c r="D15796" s="6" t="n">
        <f aca="false">Sens!D15775</f>
        <v>218.783</v>
      </c>
      <c r="E15796" s="6" t="n">
        <f aca="false">Sens!E15775</f>
        <v>268.127</v>
      </c>
      <c r="F15796" s="6" t="n">
        <f aca="false">Sens!F15775</f>
        <v>328.363433064856</v>
      </c>
      <c r="G15796" s="6" t="n">
        <f aca="false">Sens!G15775</f>
        <v>389.269865673274</v>
      </c>
      <c r="H15796" s="6" t="n">
        <f aca="false">Sens!H15775</f>
        <v>445.756320871193</v>
      </c>
      <c r="I15796" s="6" t="n">
        <f aca="false">Sens!I15775</f>
        <v>504.701226245492</v>
      </c>
      <c r="J15796" s="6" t="n">
        <f aca="false">Sens!J15775</f>
        <v>553.716203129521</v>
      </c>
      <c r="K15796" s="6" t="n">
        <f aca="false">Sens!K15775</f>
        <v>593.403514189702</v>
      </c>
    </row>
    <row r="15797" customFormat="false" ht="15" hidden="false" customHeight="false" outlineLevel="0" collapsed="false">
      <c r="A15797" s="0" t="s">
        <v>887</v>
      </c>
      <c r="B15797" s="0" t="s">
        <v>98</v>
      </c>
      <c r="D15797" s="6" t="n">
        <f aca="false">Sens!D15776</f>
        <v>22.171</v>
      </c>
      <c r="E15797" s="6" t="n">
        <f aca="false">Sens!E15776</f>
        <v>24.835</v>
      </c>
      <c r="F15797" s="6" t="n">
        <f aca="false">Sens!F15776</f>
        <v>27.6114901218559</v>
      </c>
      <c r="G15797" s="6" t="n">
        <f aca="false">Sens!G15776</f>
        <v>30.4675667338515</v>
      </c>
      <c r="H15797" s="6" t="n">
        <f aca="false">Sens!H15776</f>
        <v>33.3643766955789</v>
      </c>
      <c r="I15797" s="6" t="n">
        <f aca="false">Sens!I15776</f>
        <v>36.2577016533691</v>
      </c>
      <c r="J15797" s="6" t="n">
        <f aca="false">Sens!J15776</f>
        <v>39.0988367952171</v>
      </c>
      <c r="K15797" s="6" t="n">
        <f aca="false">Sens!K15776</f>
        <v>41.8357553708823</v>
      </c>
    </row>
    <row r="15798" customFormat="false" ht="15" hidden="false" customHeight="false" outlineLevel="0" collapsed="false">
      <c r="A15798" s="0" t="s">
        <v>888</v>
      </c>
      <c r="B15798" s="0" t="s">
        <v>98</v>
      </c>
      <c r="D15798" s="6" t="n">
        <f aca="false">Sens!D15778</f>
        <v>23.455</v>
      </c>
      <c r="E15798" s="6" t="n">
        <f aca="false">Sens!E15778</f>
        <v>21.79</v>
      </c>
      <c r="F15798" s="6" t="n">
        <f aca="false">Sens!F15778</f>
        <v>20.5736277908051</v>
      </c>
      <c r="G15798" s="6" t="n">
        <f aca="false">Sens!G15778</f>
        <v>19.7371452817919</v>
      </c>
      <c r="H15798" s="6" t="n">
        <f aca="false">Sens!H15778</f>
        <v>19.2339764043138</v>
      </c>
      <c r="I15798" s="6" t="n">
        <f aca="false">Sens!I15778</f>
        <v>19.0353086852681</v>
      </c>
      <c r="J15798" s="6" t="n">
        <f aca="false">Sens!J15778</f>
        <v>19.1273539319129</v>
      </c>
      <c r="K15798" s="6" t="n">
        <f aca="false">Sens!K15778</f>
        <v>19.5099010105511</v>
      </c>
    </row>
    <row r="15799" customFormat="false" ht="15" hidden="false" customHeight="false" outlineLevel="0" collapsed="false">
      <c r="A15799" s="0" t="s">
        <v>889</v>
      </c>
      <c r="B15799" s="0" t="s">
        <v>98</v>
      </c>
      <c r="D15799" s="6" t="n">
        <f aca="false">Sens!D15780</f>
        <v>17.315</v>
      </c>
      <c r="E15799" s="6" t="n">
        <f aca="false">Sens!E15780</f>
        <v>17.087</v>
      </c>
      <c r="F15799" s="6" t="n">
        <f aca="false">Sens!F15780</f>
        <v>16.9564585436519</v>
      </c>
      <c r="G15799" s="6" t="n">
        <f aca="false">Sens!G15780</f>
        <v>16.9206490624268</v>
      </c>
      <c r="H15799" s="6" t="n">
        <f aca="false">Sens!H15780</f>
        <v>16.9784519149849</v>
      </c>
      <c r="I15799" s="6" t="n">
        <f aca="false">Sens!I15780</f>
        <v>17.1303084701817</v>
      </c>
      <c r="J15799" s="6" t="n">
        <f aca="false">Sens!J15780</f>
        <v>17.3782189407267</v>
      </c>
      <c r="K15799" s="6" t="n">
        <f aca="false">Sens!K15780</f>
        <v>17.7257833195413</v>
      </c>
    </row>
    <row r="15800" customFormat="false" ht="15" hidden="false" customHeight="false" outlineLevel="0" collapsed="false">
      <c r="A15800" s="0" t="s">
        <v>729</v>
      </c>
      <c r="B15800" s="0" t="s">
        <v>98</v>
      </c>
      <c r="D15800" s="6" t="n">
        <f aca="false">Sens!D15782</f>
        <v>62.941</v>
      </c>
      <c r="E15800" s="6" t="n">
        <f aca="false">Sens!E15782</f>
        <v>63.712</v>
      </c>
      <c r="F15800" s="6" t="n">
        <f aca="false">Sens!F15782</f>
        <v>65.1415764563129</v>
      </c>
      <c r="G15800" s="6" t="n">
        <f aca="false">Sens!G15782</f>
        <v>67.1253610780702</v>
      </c>
      <c r="H15800" s="6" t="n">
        <f aca="false">Sens!H15782</f>
        <v>69.5768050148776</v>
      </c>
      <c r="I15800" s="6" t="n">
        <f aca="false">Sens!I15782</f>
        <v>72.4233188088189</v>
      </c>
      <c r="J15800" s="6" t="n">
        <f aca="false">Sens!J15782</f>
        <v>75.6044096678567</v>
      </c>
      <c r="K15800" s="6" t="n">
        <f aca="false">Sens!K15782</f>
        <v>79.0714397009747</v>
      </c>
    </row>
    <row r="15801" customFormat="false" ht="15" hidden="false" customHeight="false" outlineLevel="0" collapsed="false">
      <c r="A15801" s="1" t="s">
        <v>905</v>
      </c>
      <c r="B15801" s="0" t="s">
        <v>98</v>
      </c>
      <c r="D15801" s="6" t="n">
        <f aca="false">Sens!D15783</f>
        <v>281.724</v>
      </c>
      <c r="E15801" s="6" t="n">
        <f aca="false">Sens!E15783</f>
        <v>331.839</v>
      </c>
      <c r="F15801" s="6" t="n">
        <f aca="false">Sens!F15783</f>
        <v>393.505009521169</v>
      </c>
      <c r="G15801" s="6" t="n">
        <f aca="false">Sens!G15783</f>
        <v>456.395226751344</v>
      </c>
      <c r="H15801" s="6" t="n">
        <f aca="false">Sens!H15783</f>
        <v>515.333125886071</v>
      </c>
      <c r="I15801" s="6" t="n">
        <f aca="false">Sens!I15783</f>
        <v>577.124545054311</v>
      </c>
      <c r="J15801" s="6" t="n">
        <f aca="false">Sens!J15783</f>
        <v>629.320612797378</v>
      </c>
      <c r="K15801" s="6" t="n">
        <f aca="false">Sens!K15783</f>
        <v>672.474953890677</v>
      </c>
    </row>
    <row r="15802" customFormat="false" ht="15" hidden="false" customHeight="false" outlineLevel="0" collapsed="false">
      <c r="A15802" s="1" t="s">
        <v>906</v>
      </c>
      <c r="B15802" s="0" t="s">
        <v>129</v>
      </c>
      <c r="E15802" s="7" t="n">
        <f aca="false">Sens!E15801/Sens!D15801-1</f>
        <v>0.177886867998467</v>
      </c>
      <c r="F15802" s="7" t="n">
        <f aca="false">Sens!F15801/Sens!E15801-1</f>
        <v>0.185831109427067</v>
      </c>
      <c r="G15802" s="7" t="n">
        <f aca="false">Sens!G15801/Sens!F15801-1</f>
        <v>0.159820626697237</v>
      </c>
      <c r="H15802" s="7" t="n">
        <f aca="false">Sens!H15801/Sens!G15801-1</f>
        <v>0.129137851756801</v>
      </c>
      <c r="I15802" s="7" t="n">
        <f aca="false">Sens!I15801/Sens!H15801-1</f>
        <v>0.119905777572508</v>
      </c>
      <c r="J15802" s="7" t="n">
        <f aca="false">Sens!J15801/Sens!I15801-1</f>
        <v>0.0904416008474471</v>
      </c>
      <c r="K15802" s="7" t="n">
        <f aca="false">Sens!K15801/Sens!J15801-1</f>
        <v>0.0685729026123501</v>
      </c>
    </row>
    <row r="15803" customFormat="false" ht="17.15" hidden="false" customHeight="false" outlineLevel="0" collapsed="false">
      <c r="A15803" s="23" t="s">
        <v>907</v>
      </c>
      <c r="B15803" s="30" t="s">
        <v>98</v>
      </c>
      <c r="C15803" s="30"/>
      <c r="D15803" s="24" t="n">
        <f aca="false">(Sens!D15796+Sens!D15800-Sens!D15801)+(Sens!D15788+Sens!D15789-Sens!D15787)+(Sens!D15791+Sens!D15792-Sens!D15790)+(Sens!D15801-Q!L18)</f>
        <v>0</v>
      </c>
      <c r="E15803" s="24" t="n">
        <f aca="false">(Sens!E15796+Sens!E15800-Sens!E15801)+(Sens!E15788+Sens!E15789-Sens!E15787)+(Sens!E15791+Sens!E15792-Sens!E15790)+(Sens!E15801-Q!M18)</f>
        <v>0</v>
      </c>
      <c r="F15803" s="24" t="n">
        <f aca="false">(Sens!F15796+Sens!F15800-Sens!F15801)+(Sens!F15788+Sens!F15789-Sens!F15787)+(Sens!F15791+Sens!F15792-Sens!F15790)</f>
        <v>0</v>
      </c>
      <c r="G15803" s="24" t="n">
        <f aca="false">(Sens!G15796+Sens!G15800-Sens!G15801)+(Sens!G15788+Sens!G15789-Sens!G15787)+(Sens!G15791+Sens!G15792-Sens!G15790)</f>
        <v>0</v>
      </c>
      <c r="H15803" s="24" t="n">
        <f aca="false">(Sens!H15796+Sens!H15800-Sens!H15801)+(Sens!H15788+Sens!H15789-Sens!H15787)+(Sens!H15791+Sens!H15792-Sens!H15790)</f>
        <v>0</v>
      </c>
      <c r="I15803" s="24" t="n">
        <f aca="false">(Sens!I15796+Sens!I15800-Sens!I15801)+(Sens!I15788+Sens!I15789-Sens!I15787)+(Sens!I15791+Sens!I15792-Sens!I15790)</f>
        <v>0</v>
      </c>
      <c r="J15803" s="24" t="n">
        <f aca="false">(Sens!J15796+Sens!J15800-Sens!J15801)+(Sens!J15788+Sens!J15789-Sens!J15787)+(Sens!J15791+Sens!J15792-Sens!J15790)</f>
        <v>0</v>
      </c>
      <c r="K15803" s="24" t="n">
        <f aca="false">(Sens!K15796+Sens!K15800-Sens!K15801)+(Sens!K15788+Sens!K15789-Sens!K15787)+(Sens!K15791+Sens!K15792-Sens!K15790)</f>
        <v>0</v>
      </c>
    </row>
    <row r="15804" customFormat="false" ht="17.15" hidden="false" customHeight="false" outlineLevel="0" collapsed="false">
      <c r="A15804" s="0" t="s">
        <v>908</v>
      </c>
      <c r="B15804" s="0" t="s">
        <v>129</v>
      </c>
      <c r="E15804" s="7" t="n">
        <f aca="false">(Q!M21+Sens!E15741+Sens!E15742+Sens!E15743+Sens!E15756-Sens!E15739)/(Q!M5-Sens!E15739)</f>
        <v>0.570957350878296</v>
      </c>
      <c r="F15804" s="7" t="n">
        <f aca="false">Sens!$E$15804+dm_seg</f>
        <v>0.570957350878296</v>
      </c>
      <c r="G15804" s="7" t="n">
        <f aca="false">Sens!$E$15804+dm_seg</f>
        <v>0.570957350878296</v>
      </c>
      <c r="H15804" s="7" t="n">
        <f aca="false">Sens!$E$15804+dm_seg</f>
        <v>0.570957350878296</v>
      </c>
      <c r="I15804" s="7" t="n">
        <f aca="false">Sens!$E$15804+dm_seg</f>
        <v>0.570957350878296</v>
      </c>
      <c r="J15804" s="7" t="n">
        <f aca="false">Sens!$E$15804+dm_seg</f>
        <v>0.570957350878296</v>
      </c>
      <c r="K15804" s="7" t="n">
        <f aca="false">Sens!$E$15804+dm_seg</f>
        <v>0.570957350878296</v>
      </c>
      <c r="L15804" s="11" t="s">
        <v>909</v>
      </c>
    </row>
    <row r="15805" customFormat="false" ht="17.15" hidden="false" customHeight="false" outlineLevel="0" collapsed="false">
      <c r="A15805" s="0" t="s">
        <v>743</v>
      </c>
      <c r="B15805" s="0" t="s">
        <v>98</v>
      </c>
      <c r="D15805" s="6" t="n">
        <f aca="false">Q!L21</f>
        <v>110.814</v>
      </c>
      <c r="E15805" s="6" t="n">
        <f aca="false">Q!M21</f>
        <v>136.365</v>
      </c>
      <c r="F15805" s="6" t="n">
        <f aca="false">Sens!F15804*(Sens!F15775-Sens!F15739)+Sens!F15739-(Sens!F15741+Sens!F15742+Sens!F15743)-Sens!F15756-Sens!F15839</f>
        <v>153.030252782391</v>
      </c>
      <c r="G15805" s="6" t="n">
        <f aca="false">Sens!G15804*(Sens!G15775-Sens!G15739)+Sens!G15739-(Sens!G15741+Sens!G15742+Sens!G15743)-Sens!G15756-Sens!G15839</f>
        <v>161.690455051003</v>
      </c>
      <c r="H15805" s="6" t="n">
        <f aca="false">Sens!H15804*(Sens!H15775-Sens!H15739)+Sens!H15739-(Sens!H15741+Sens!H15742+Sens!H15743)-Sens!H15756-Sens!H15839</f>
        <v>163.981695474035</v>
      </c>
      <c r="I15805" s="6" t="n">
        <f aca="false">Sens!I15804*(Sens!I15775-Sens!I15739)+Sens!I15739-(Sens!I15741+Sens!I15742+Sens!I15743)-Sens!I15756-Sens!I15839</f>
        <v>173.907918375412</v>
      </c>
      <c r="J15805" s="6" t="n">
        <f aca="false">Sens!J15804*(Sens!J15775-Sens!J15739)+Sens!J15739-(Sens!J15741+Sens!J15742+Sens!J15743)-Sens!J15756-Sens!J15839</f>
        <v>185.091445702482</v>
      </c>
      <c r="K15805" s="6" t="n">
        <f aca="false">Sens!K15804*(Sens!K15775-Sens!K15739)+Sens!K15739-(Sens!K15741+Sens!K15742+Sens!K15743)-Sens!K15756-Sens!K15839</f>
        <v>197.557300421711</v>
      </c>
      <c r="L15805" s="1" t="s">
        <v>910</v>
      </c>
    </row>
    <row r="15806" customFormat="false" ht="17.15" hidden="false" customHeight="false" outlineLevel="0" collapsed="false">
      <c r="A15806" s="0" t="s">
        <v>911</v>
      </c>
      <c r="B15806" s="0" t="s">
        <v>129</v>
      </c>
      <c r="E15806" s="7" t="n">
        <f aca="false">Q!M22/Q!M12</f>
        <v>0.296207935710698</v>
      </c>
      <c r="F15806" s="7" t="n">
        <f aca="false">Sens!$E$15806+dm_seg</f>
        <v>0.296207935710698</v>
      </c>
      <c r="G15806" s="7" t="n">
        <f aca="false">Sens!$E$15806+dm_seg</f>
        <v>0.296207935710698</v>
      </c>
      <c r="H15806" s="7" t="n">
        <f aca="false">Sens!$E$15806+dm_seg</f>
        <v>0.296207935710698</v>
      </c>
      <c r="I15806" s="7" t="n">
        <f aca="false">Sens!$E$15806+dm_seg</f>
        <v>0.296207935710698</v>
      </c>
      <c r="J15806" s="7" t="n">
        <f aca="false">Sens!$E$15806+dm_seg</f>
        <v>0.296207935710698</v>
      </c>
      <c r="K15806" s="7" t="n">
        <f aca="false">Sens!$E$15806+dm_seg</f>
        <v>0.296207935710698</v>
      </c>
      <c r="L15806" s="11" t="s">
        <v>912</v>
      </c>
    </row>
    <row r="15807" customFormat="false" ht="17.15" hidden="false" customHeight="false" outlineLevel="0" collapsed="false">
      <c r="A15807" s="0" t="s">
        <v>745</v>
      </c>
      <c r="B15807" s="0" t="s">
        <v>98</v>
      </c>
      <c r="D15807" s="6" t="n">
        <f aca="false">Q!L22</f>
        <v>17.714</v>
      </c>
      <c r="E15807" s="6" t="n">
        <f aca="false">Q!M22</f>
        <v>18.872</v>
      </c>
      <c r="F15807" s="6" t="n">
        <f aca="false">Sens!F15782*Sens!F15806</f>
        <v>19.2954518910651</v>
      </c>
      <c r="G15807" s="6" t="n">
        <f aca="false">Sens!G15782*Sens!G15806</f>
        <v>19.8830646387704</v>
      </c>
      <c r="H15807" s="6" t="n">
        <f aca="false">Sens!H15782*Sens!H15806</f>
        <v>20.6092017868026</v>
      </c>
      <c r="I15807" s="6" t="n">
        <f aca="false">Sens!I15782*Sens!I15806</f>
        <v>21.452361761678</v>
      </c>
      <c r="J15807" s="6" t="n">
        <f aca="false">Sens!J15782*Sens!J15806</f>
        <v>22.3946261183418</v>
      </c>
      <c r="K15807" s="6" t="n">
        <f aca="false">Sens!K15782*Sens!K15806</f>
        <v>23.4215879274986</v>
      </c>
    </row>
    <row r="15808" customFormat="false" ht="15" hidden="false" customHeight="false" outlineLevel="0" collapsed="false">
      <c r="A15808" s="1" t="s">
        <v>913</v>
      </c>
      <c r="B15808" s="0" t="s">
        <v>98</v>
      </c>
      <c r="D15808" s="6" t="n">
        <f aca="false">Sens!D15805+Sens!D15807</f>
        <v>128.528</v>
      </c>
      <c r="E15808" s="6" t="n">
        <f aca="false">Sens!E15805+Sens!E15807</f>
        <v>155.237</v>
      </c>
      <c r="F15808" s="6" t="n">
        <f aca="false">Sens!F15805+Sens!F15807</f>
        <v>172.325704673456</v>
      </c>
      <c r="G15808" s="6" t="n">
        <f aca="false">Sens!G15805+Sens!G15807</f>
        <v>181.573519689774</v>
      </c>
      <c r="H15808" s="6" t="n">
        <f aca="false">Sens!H15805+Sens!H15807</f>
        <v>184.590897260838</v>
      </c>
      <c r="I15808" s="6" t="n">
        <f aca="false">Sens!I15805+Sens!I15807</f>
        <v>195.36028013709</v>
      </c>
      <c r="J15808" s="6" t="n">
        <f aca="false">Sens!J15805+Sens!J15807</f>
        <v>207.486071820824</v>
      </c>
      <c r="K15808" s="6" t="n">
        <f aca="false">Sens!K15805+Sens!K15807</f>
        <v>220.97888834921</v>
      </c>
    </row>
    <row r="15809" customFormat="false" ht="15" hidden="false" customHeight="false" outlineLevel="0" collapsed="false">
      <c r="A15809" s="23" t="s">
        <v>914</v>
      </c>
      <c r="B15809" s="30" t="s">
        <v>98</v>
      </c>
      <c r="C15809" s="30"/>
      <c r="D15809" s="24" t="n">
        <f aca="false">Sens!D15808-Q!L23</f>
        <v>0</v>
      </c>
      <c r="E15809" s="24" t="n">
        <f aca="false">Sens!E15808-Q!M23</f>
        <v>0</v>
      </c>
      <c r="F15809" s="30"/>
      <c r="G15809" s="30"/>
      <c r="H15809" s="30"/>
      <c r="I15809" s="30"/>
      <c r="J15809" s="30"/>
      <c r="K15809" s="30"/>
    </row>
    <row r="15810" customFormat="false" ht="15" hidden="false" customHeight="false" outlineLevel="0" collapsed="false">
      <c r="A15810" s="1" t="s">
        <v>915</v>
      </c>
      <c r="B15810" s="0" t="s">
        <v>129</v>
      </c>
      <c r="D15810" s="7" t="n">
        <f aca="false">Sens!D15808/Sens!D15801</f>
        <v>0.456219562408598</v>
      </c>
      <c r="E15810" s="7" t="n">
        <f aca="false">Sens!E15808/Sens!E15801</f>
        <v>0.467808184089272</v>
      </c>
      <c r="F15810" s="7" t="n">
        <f aca="false">Sens!F15808/Sens!F15801</f>
        <v>0.437925059411945</v>
      </c>
      <c r="G15810" s="7" t="n">
        <f aca="false">Sens!G15808/Sens!G15801</f>
        <v>0.397842722813356</v>
      </c>
      <c r="H15810" s="7" t="n">
        <f aca="false">Sens!H15808/Sens!H15801</f>
        <v>0.358197228139468</v>
      </c>
      <c r="I15810" s="7" t="n">
        <f aca="false">Sens!I15808/Sens!I15801</f>
        <v>0.338506275311345</v>
      </c>
      <c r="J15810" s="7" t="n">
        <f aca="false">Sens!J15808/Sens!J15801</f>
        <v>0.329698515512678</v>
      </c>
      <c r="K15810" s="7" t="n">
        <f aca="false">Sens!K15808/Sens!K15801</f>
        <v>0.328605380870637</v>
      </c>
    </row>
    <row r="15811" customFormat="false" ht="17.15" hidden="false" customHeight="false" outlineLevel="0" collapsed="false">
      <c r="A15811" s="1" t="s">
        <v>916</v>
      </c>
      <c r="B15811" s="0" t="s">
        <v>98</v>
      </c>
      <c r="F15811" s="6" t="n">
        <f aca="false">Sens!F15826</f>
        <v>10.1553565002727</v>
      </c>
      <c r="G15811" s="6" t="n">
        <f aca="false">Sens!G15826</f>
        <v>26.5039384396555</v>
      </c>
      <c r="H15811" s="6" t="n">
        <f aca="false">Sens!H15826</f>
        <v>44.38649932956</v>
      </c>
      <c r="I15811" s="6" t="n">
        <f aca="false">Sens!I15826</f>
        <v>60.5028524913745</v>
      </c>
      <c r="J15811" s="6" t="n">
        <f aca="false">Sens!J15826</f>
        <v>71.8788124586976</v>
      </c>
      <c r="K15811" s="6" t="n">
        <f aca="false">Sens!K15826</f>
        <v>78.7789222270768</v>
      </c>
      <c r="L15811" s="1" t="s">
        <v>917</v>
      </c>
    </row>
    <row r="15812" customFormat="false" ht="17.15" hidden="false" customHeight="false" outlineLevel="0" collapsed="false">
      <c r="A15812" s="1" t="s">
        <v>918</v>
      </c>
      <c r="B15812" s="0" t="s">
        <v>98</v>
      </c>
      <c r="D15812" s="6" t="n">
        <f aca="false">Sens!D15808</f>
        <v>128.528</v>
      </c>
      <c r="E15812" s="6" t="n">
        <f aca="false">Sens!E15808</f>
        <v>155.237</v>
      </c>
      <c r="F15812" s="6" t="n">
        <f aca="false">Sens!F15808+Sens!F15811</f>
        <v>182.481061173729</v>
      </c>
      <c r="G15812" s="6" t="n">
        <f aca="false">Sens!G15808+Sens!G15811</f>
        <v>208.077458129429</v>
      </c>
      <c r="H15812" s="6" t="n">
        <f aca="false">Sens!H15808+Sens!H15811</f>
        <v>228.977396590398</v>
      </c>
      <c r="I15812" s="6" t="n">
        <f aca="false">Sens!I15808+Sens!I15811</f>
        <v>255.863132628464</v>
      </c>
      <c r="J15812" s="6" t="n">
        <f aca="false">Sens!J15808+Sens!J15811</f>
        <v>279.364884279522</v>
      </c>
      <c r="K15812" s="6" t="n">
        <f aca="false">Sens!K15808+Sens!K15811</f>
        <v>299.757810576287</v>
      </c>
    </row>
    <row r="15813" customFormat="false" ht="17.15" hidden="false" customHeight="false" outlineLevel="0" collapsed="false">
      <c r="A15813" s="1" t="s">
        <v>919</v>
      </c>
      <c r="B15813" s="0" t="s">
        <v>98</v>
      </c>
      <c r="E15813" s="6" t="n">
        <f aca="false">Sens!E15756</f>
        <v>16.3054059770833</v>
      </c>
      <c r="F15813" s="6" t="n">
        <f aca="false">Sens!F15756</f>
        <v>34.0498873809555</v>
      </c>
      <c r="G15813" s="6" t="n">
        <f aca="false">Sens!G15756</f>
        <v>59.1254371105111</v>
      </c>
      <c r="H15813" s="6" t="n">
        <f aca="false">Sens!H15756</f>
        <v>86.3610198433111</v>
      </c>
      <c r="I15813" s="6" t="n">
        <f aca="false">Sens!I15756</f>
        <v>110.605743832393</v>
      </c>
      <c r="J15813" s="6" t="n">
        <f aca="false">Sens!J15756</f>
        <v>127.998322852843</v>
      </c>
      <c r="K15813" s="6" t="n">
        <f aca="false">Sens!K15756</f>
        <v>139.131464044308</v>
      </c>
    </row>
    <row r="15814" customFormat="false" ht="17.15" hidden="false" customHeight="false" outlineLevel="0" collapsed="false">
      <c r="A15814" s="1" t="s">
        <v>920</v>
      </c>
      <c r="B15814" s="0" t="s">
        <v>98</v>
      </c>
      <c r="E15814" s="6" t="n">
        <f aca="false">Sens!E15838</f>
        <v>22.2285940229167</v>
      </c>
      <c r="F15814" s="6" t="n">
        <f aca="false">Sens!F15838</f>
        <v>23.5486693435813</v>
      </c>
      <c r="G15814" s="6" t="n">
        <f aca="false">Sens!G15838</f>
        <v>25.264091766262</v>
      </c>
      <c r="H15814" s="6" t="n">
        <f aca="false">Sens!H15838</f>
        <v>27.3438339540448</v>
      </c>
      <c r="I15814" s="6" t="n">
        <f aca="false">Sens!I15838</f>
        <v>29.7317905898047</v>
      </c>
      <c r="J15814" s="6" t="n">
        <f aca="false">Sens!J15838</f>
        <v>32.3542028558616</v>
      </c>
      <c r="K15814" s="6" t="n">
        <f aca="false">Sens!K15838</f>
        <v>35.1281528444749</v>
      </c>
    </row>
    <row r="15815" customFormat="false" ht="17.15" hidden="false" customHeight="false" outlineLevel="0" collapsed="false">
      <c r="A15815" s="1" t="s">
        <v>921</v>
      </c>
      <c r="B15815" s="0" t="s">
        <v>98</v>
      </c>
      <c r="D15815" s="6" t="n">
        <f aca="false">Q!L27</f>
        <v>-4.901</v>
      </c>
      <c r="E15815" s="6" t="n">
        <f aca="false">Q!M27</f>
        <v>10.697</v>
      </c>
      <c r="F15815" s="6" t="n">
        <f aca="false">oie_f</f>
        <v>-0.4</v>
      </c>
      <c r="G15815" s="6" t="n">
        <f aca="false">oie_f</f>
        <v>-0.4</v>
      </c>
      <c r="H15815" s="6" t="n">
        <f aca="false">oie_f</f>
        <v>-0.4</v>
      </c>
      <c r="I15815" s="6" t="n">
        <f aca="false">oie_f</f>
        <v>-0.4</v>
      </c>
      <c r="J15815" s="6" t="n">
        <f aca="false">oie_f</f>
        <v>-0.4</v>
      </c>
      <c r="K15815" s="6" t="n">
        <f aca="false">oie_f</f>
        <v>-0.4</v>
      </c>
      <c r="L15815" s="11" t="s">
        <v>922</v>
      </c>
    </row>
    <row r="15816" customFormat="false" ht="15" hidden="false" customHeight="false" outlineLevel="0" collapsed="false">
      <c r="A15816" s="1" t="s">
        <v>923</v>
      </c>
      <c r="B15816" s="0" t="s">
        <v>98</v>
      </c>
      <c r="D15816" s="6" t="n">
        <f aca="false">Sens!D15808+Sens!D15815</f>
        <v>123.627</v>
      </c>
      <c r="E15816" s="6" t="n">
        <f aca="false">Sens!E15808+Sens!E15815</f>
        <v>165.934</v>
      </c>
      <c r="F15816" s="6" t="n">
        <f aca="false">Sens!F15808+Sens!F15815</f>
        <v>171.925704673456</v>
      </c>
      <c r="G15816" s="6" t="n">
        <f aca="false">Sens!G15808+Sens!G15815</f>
        <v>181.173519689774</v>
      </c>
      <c r="H15816" s="6" t="n">
        <f aca="false">Sens!H15808+Sens!H15815</f>
        <v>184.190897260838</v>
      </c>
      <c r="I15816" s="6" t="n">
        <f aca="false">Sens!I15808+Sens!I15815</f>
        <v>194.96028013709</v>
      </c>
      <c r="J15816" s="6" t="n">
        <f aca="false">Sens!J15808+Sens!J15815</f>
        <v>207.086071820824</v>
      </c>
      <c r="K15816" s="6" t="n">
        <f aca="false">Sens!K15808+Sens!K15815</f>
        <v>220.57888834921</v>
      </c>
    </row>
    <row r="15817" customFormat="false" ht="15" hidden="false" customHeight="false" outlineLevel="0" collapsed="false">
      <c r="A15817" s="1" t="s">
        <v>924</v>
      </c>
      <c r="B15817" s="0" t="s">
        <v>98</v>
      </c>
      <c r="D15817" s="6" t="n">
        <f aca="false">Q!L29</f>
        <v>21.795</v>
      </c>
      <c r="E15817" s="6" t="n">
        <f aca="false">Q!M29</f>
        <v>32.185</v>
      </c>
      <c r="F15817" s="6" t="n">
        <f aca="false">Sens!F15816*tax_f</f>
        <v>34.3851409346912</v>
      </c>
      <c r="G15817" s="6" t="n">
        <f aca="false">Sens!G15816*tax_f</f>
        <v>36.2347039379548</v>
      </c>
      <c r="H15817" s="6" t="n">
        <f aca="false">Sens!H15816*tax_f</f>
        <v>36.8381794521676</v>
      </c>
      <c r="I15817" s="6" t="n">
        <f aca="false">Sens!I15816*tax_f</f>
        <v>38.9920560274179</v>
      </c>
      <c r="J15817" s="6" t="n">
        <f aca="false">Sens!J15816*tax_f</f>
        <v>41.4172143641648</v>
      </c>
      <c r="K15817" s="6" t="n">
        <f aca="false">Sens!K15816*tax_f</f>
        <v>44.115777669842</v>
      </c>
    </row>
    <row r="15818" customFormat="false" ht="15" hidden="false" customHeight="false" outlineLevel="0" collapsed="false">
      <c r="A15818" s="1" t="s">
        <v>925</v>
      </c>
      <c r="B15818" s="0" t="s">
        <v>98</v>
      </c>
      <c r="D15818" s="6" t="n">
        <f aca="false">Sens!D15816-Sens!D15817</f>
        <v>101.832</v>
      </c>
      <c r="E15818" s="6" t="n">
        <f aca="false">Sens!E15816-Sens!E15817</f>
        <v>133.749</v>
      </c>
      <c r="F15818" s="6" t="n">
        <f aca="false">Sens!F15816-Sens!F15817</f>
        <v>137.540563738765</v>
      </c>
      <c r="G15818" s="6" t="n">
        <f aca="false">Sens!G15816-Sens!G15817</f>
        <v>144.938815751819</v>
      </c>
      <c r="H15818" s="6" t="n">
        <f aca="false">Sens!H15816-Sens!H15817</f>
        <v>147.35271780867</v>
      </c>
      <c r="I15818" s="6" t="n">
        <f aca="false">Sens!I15816-Sens!I15817</f>
        <v>155.968224109672</v>
      </c>
      <c r="J15818" s="6" t="n">
        <f aca="false">Sens!J15816-Sens!J15817</f>
        <v>165.668857456659</v>
      </c>
      <c r="K15818" s="6" t="n">
        <f aca="false">Sens!K15816-Sens!K15817</f>
        <v>176.463110679368</v>
      </c>
    </row>
    <row r="15819" customFormat="false" ht="17.15" hidden="false" customHeight="false" outlineLevel="0" collapsed="false">
      <c r="A15819" s="1" t="s">
        <v>926</v>
      </c>
      <c r="B15819" s="1" t="s">
        <v>81</v>
      </c>
      <c r="D15819" s="14" t="n">
        <f aca="false">Q!L31</f>
        <v>7.465</v>
      </c>
      <c r="E15819" s="14" t="n">
        <f aca="false">Q!M31</f>
        <v>7.453</v>
      </c>
      <c r="F15819" s="14" t="n">
        <f aca="false">Sens!F15862</f>
        <v>7.4735</v>
      </c>
      <c r="G15819" s="14" t="n">
        <f aca="false">Sens!G15862</f>
        <v>7.5185</v>
      </c>
      <c r="H15819" s="14" t="n">
        <f aca="false">Sens!H15862</f>
        <v>7.55857081108355</v>
      </c>
      <c r="I15819" s="14" t="n">
        <f aca="false">Sens!I15862</f>
        <v>7.58267086832446</v>
      </c>
      <c r="J15819" s="14" t="n">
        <f aca="false">Sens!J15862</f>
        <v>7.59691237944234</v>
      </c>
      <c r="K15819" s="14" t="n">
        <f aca="false">Sens!K15862</f>
        <v>7.61343229714408</v>
      </c>
    </row>
    <row r="15820" customFormat="false" ht="17.15" hidden="false" customHeight="false" outlineLevel="0" collapsed="false">
      <c r="A15820" s="0" t="s">
        <v>927</v>
      </c>
      <c r="B15820" s="0" t="s">
        <v>75</v>
      </c>
      <c r="D15820" s="8" t="n">
        <f aca="false">Sens!D15818/Sens!D15819</f>
        <v>13.641259209645</v>
      </c>
      <c r="E15820" s="8" t="n">
        <f aca="false">Sens!E15818/Sens!E15819</f>
        <v>17.9456594659869</v>
      </c>
      <c r="F15820" s="8" t="n">
        <f aca="false">Sens!F15818/Sens!F15819</f>
        <v>18.4037684804663</v>
      </c>
      <c r="G15820" s="8" t="n">
        <f aca="false">Sens!G15818/Sens!G15819</f>
        <v>19.2776239611384</v>
      </c>
      <c r="H15820" s="8" t="n">
        <f aca="false">Sens!H15818/Sens!H15819</f>
        <v>19.4947856534729</v>
      </c>
      <c r="I15820" s="8" t="n">
        <f aca="false">Sens!I15818/Sens!I15819</f>
        <v>20.5690352143869</v>
      </c>
      <c r="J15820" s="8" t="n">
        <f aca="false">Sens!J15818/Sens!J15819</f>
        <v>21.807393475403</v>
      </c>
      <c r="K15820" s="8" t="n">
        <f aca="false">Sens!K15818/Sens!K15819</f>
        <v>23.1778656185807</v>
      </c>
      <c r="L15820" s="1" t="s">
        <v>928</v>
      </c>
    </row>
    <row r="15821" customFormat="false" ht="17.15" hidden="false" customHeight="false" outlineLevel="0" collapsed="false">
      <c r="A15821" s="1" t="s">
        <v>929</v>
      </c>
      <c r="B15821" s="0" t="s">
        <v>98</v>
      </c>
      <c r="D15821" s="6" t="n">
        <f aca="false">Sens!D15818</f>
        <v>101.832</v>
      </c>
      <c r="E15821" s="6" t="n">
        <f aca="false">Sens!E15818</f>
        <v>133.749</v>
      </c>
      <c r="F15821" s="6" t="n">
        <f aca="false">Sens!F15818+Sens!F15811*(1-tax_f)</f>
        <v>145.664848938983</v>
      </c>
      <c r="G15821" s="6" t="n">
        <f aca="false">Sens!G15818+Sens!G15811*(1-tax_f)</f>
        <v>166.141966503543</v>
      </c>
      <c r="H15821" s="6" t="n">
        <f aca="false">Sens!H15818+Sens!H15811*(1-tax_f)</f>
        <v>182.861917272318</v>
      </c>
      <c r="I15821" s="6" t="n">
        <f aca="false">Sens!I15818+Sens!I15811*(1-tax_f)</f>
        <v>204.370506102771</v>
      </c>
      <c r="J15821" s="6" t="n">
        <f aca="false">Sens!J15818+Sens!J15811*(1-tax_f)</f>
        <v>223.171907423617</v>
      </c>
      <c r="K15821" s="6" t="n">
        <f aca="false">Sens!K15818+Sens!K15811*(1-tax_f)</f>
        <v>239.486248461029</v>
      </c>
    </row>
    <row r="15822" customFormat="false" ht="17.15" hidden="false" customHeight="false" outlineLevel="0" collapsed="false">
      <c r="A15822" s="0" t="s">
        <v>930</v>
      </c>
      <c r="B15822" s="0" t="s">
        <v>75</v>
      </c>
      <c r="D15822" s="8" t="n">
        <f aca="false">Sens!D15821/Sens!D15819</f>
        <v>13.641259209645</v>
      </c>
      <c r="E15822" s="8" t="n">
        <f aca="false">Sens!E15821/Sens!E15819</f>
        <v>17.9456594659869</v>
      </c>
      <c r="F15822" s="8" t="n">
        <f aca="false">Sens!F15821/Sens!F15819</f>
        <v>19.4908475197676</v>
      </c>
      <c r="G15822" s="8" t="n">
        <f aca="false">Sens!G15821/Sens!G15819</f>
        <v>22.0977544062703</v>
      </c>
      <c r="H15822" s="8" t="n">
        <f aca="false">Sens!H15821/Sens!H15819</f>
        <v>24.192657824172</v>
      </c>
      <c r="I15822" s="8" t="n">
        <f aca="false">Sens!I15821/Sens!I15819</f>
        <v>26.9523113493558</v>
      </c>
      <c r="J15822" s="8" t="n">
        <f aca="false">Sens!J15821/Sens!J15819</f>
        <v>29.376659394879</v>
      </c>
      <c r="K15822" s="8" t="n">
        <f aca="false">Sens!K15821/Sens!K15819</f>
        <v>31.4557533467349</v>
      </c>
      <c r="L15822" s="1" t="s">
        <v>931</v>
      </c>
    </row>
    <row r="15823" customFormat="false" ht="17.15" hidden="false" customHeight="false" outlineLevel="0" collapsed="false">
      <c r="A15823" s="0" t="s">
        <v>932</v>
      </c>
      <c r="B15823" s="0" t="s">
        <v>129</v>
      </c>
      <c r="E15823" s="7" t="n">
        <f aca="false">Sens!E15822/Sens!D15822-1</f>
        <v>0.315542736208578</v>
      </c>
      <c r="F15823" s="7" t="n">
        <f aca="false">Sens!F15822/Sens!E15822-1</f>
        <v>0.0861037208863436</v>
      </c>
      <c r="G15823" s="7" t="n">
        <f aca="false">Sens!G15822/Sens!F15822-1</f>
        <v>0.133750309413629</v>
      </c>
      <c r="H15823" s="7" t="n">
        <f aca="false">Sens!H15822/Sens!G15822-1</f>
        <v>0.0948016427093241</v>
      </c>
      <c r="I15823" s="7" t="n">
        <f aca="false">Sens!I15822/Sens!H15822-1</f>
        <v>0.114069877945638</v>
      </c>
      <c r="J15823" s="7" t="n">
        <f aca="false">Sens!J15822/Sens!I15822-1</f>
        <v>0.0899495413992046</v>
      </c>
      <c r="K15823" s="7" t="n">
        <f aca="false">Sens!K15822/Sens!J15822-1</f>
        <v>0.0707736684389082</v>
      </c>
    </row>
    <row r="15824" customFormat="false" ht="17.15" hidden="false" customHeight="false" outlineLevel="0" collapsed="false">
      <c r="A15824" s="0" t="s">
        <v>856</v>
      </c>
      <c r="B15824" s="0" t="s">
        <v>98</v>
      </c>
      <c r="E15824" s="6" t="n">
        <f aca="false">Sens!E15765</f>
        <v>5.25</v>
      </c>
      <c r="F15824" s="6" t="n">
        <f aca="false">Sens!F15765</f>
        <v>10.5</v>
      </c>
      <c r="G15824" s="6" t="n">
        <f aca="false">Sens!G15765</f>
        <v>13.5</v>
      </c>
      <c r="H15824" s="6" t="n">
        <f aca="false">Sens!H15765</f>
        <v>16.5</v>
      </c>
      <c r="I15824" s="6" t="n">
        <f aca="false">Sens!I15765</f>
        <v>18.75</v>
      </c>
      <c r="J15824" s="6" t="n">
        <f aca="false">Sens!J15765</f>
        <v>20.25</v>
      </c>
      <c r="K15824" s="6" t="n">
        <f aca="false">Sens!K15765</f>
        <v>21.75</v>
      </c>
    </row>
    <row r="15825" customFormat="false" ht="17.15" hidden="false" customHeight="false" outlineLevel="0" collapsed="false">
      <c r="A15825" s="1" t="s">
        <v>857</v>
      </c>
      <c r="B15825" s="0" t="s">
        <v>98</v>
      </c>
      <c r="F15825" s="6" t="n">
        <f aca="false">MAX(0,((Sens!E15728+Sens!F15728)/2-(shadow_base*(Sens!$D$15728+Sens!$E$15728)/2+(1-shadow_base)*Sens!$E$15728))*Sens!F15736/1000-(Sens!F15824-Sens!$E$15824)*Sens!F15804)</f>
        <v>10.1553565002727</v>
      </c>
      <c r="G15825" s="6" t="n">
        <f aca="false">MAX(0,((Sens!F15728+Sens!G15728)/2-(shadow_base*(Sens!$D$15728+Sens!$E$15728)/2+(1-shadow_base)*Sens!$E$15728))*Sens!G15736/1000-(Sens!G15824-Sens!$E$15824)*Sens!G15804)</f>
        <v>26.5039384396555</v>
      </c>
      <c r="H15825" s="6" t="n">
        <f aca="false">MAX(0,((Sens!G15728+Sens!H15728)/2-(shadow_base*(Sens!$D$15728+Sens!$E$15728)/2+(1-shadow_base)*Sens!$E$15728))*Sens!H15736/1000-(Sens!H15824-Sens!$E$15824)*Sens!H15804)</f>
        <v>44.38649932956</v>
      </c>
      <c r="I15825" s="6" t="n">
        <f aca="false">MAX(0,((Sens!H15728+Sens!I15728)/2-(shadow_base*(Sens!$D$15728+Sens!$E$15728)/2+(1-shadow_base)*Sens!$E$15728))*Sens!I15736/1000-(Sens!I15824-Sens!$E$15824)*Sens!I15804)</f>
        <v>60.5028524913745</v>
      </c>
      <c r="J15825" s="6" t="n">
        <f aca="false">MAX(0,((Sens!I15728+Sens!J15728)/2-(shadow_base*(Sens!$D$15728+Sens!$E$15728)/2+(1-shadow_base)*Sens!$E$15728))*Sens!J15736/1000-(Sens!J15824-Sens!$E$15824)*Sens!J15804)</f>
        <v>71.8788124586976</v>
      </c>
      <c r="K15825" s="6" t="n">
        <f aca="false">MAX(0,((Sens!J15728+Sens!K15728)/2-(shadow_base*(Sens!$D$15728+Sens!$E$15728)/2+(1-shadow_base)*Sens!$E$15728))*Sens!K15736/1000-(Sens!K15824-Sens!$E$15824)*Sens!K15804)</f>
        <v>78.7789222270768</v>
      </c>
      <c r="L15825" s="1" t="s">
        <v>858</v>
      </c>
    </row>
    <row r="15826" customFormat="false" ht="17.15" hidden="false" customHeight="false" outlineLevel="0" collapsed="false">
      <c r="A15826" s="1" t="s">
        <v>859</v>
      </c>
      <c r="B15826" s="0" t="s">
        <v>98</v>
      </c>
      <c r="F15826" s="6" t="n">
        <f aca="false">IF(internal_ai_reading=2,1,0)*Sens!F15825</f>
        <v>10.1553565002727</v>
      </c>
      <c r="G15826" s="6" t="n">
        <f aca="false">IF(internal_ai_reading=2,1,0)*Sens!G15825</f>
        <v>26.5039384396555</v>
      </c>
      <c r="H15826" s="6" t="n">
        <f aca="false">IF(internal_ai_reading=2,1,0)*Sens!H15825</f>
        <v>44.38649932956</v>
      </c>
      <c r="I15826" s="6" t="n">
        <f aca="false">IF(internal_ai_reading=2,1,0)*Sens!I15825</f>
        <v>60.5028524913745</v>
      </c>
      <c r="J15826" s="6" t="n">
        <f aca="false">IF(internal_ai_reading=2,1,0)*Sens!J15825</f>
        <v>71.8788124586976</v>
      </c>
      <c r="K15826" s="6" t="n">
        <f aca="false">IF(internal_ai_reading=2,1,0)*Sens!K15825</f>
        <v>78.7789222270768</v>
      </c>
    </row>
    <row r="15827" customFormat="false" ht="17.15" hidden="false" customHeight="false" outlineLevel="0" collapsed="false">
      <c r="A15827" s="0" t="s">
        <v>860</v>
      </c>
      <c r="B15827" s="0" t="s">
        <v>98</v>
      </c>
      <c r="F15827" s="6" t="n">
        <f aca="false">Sens!F15745+Sens!F15824*Sens!F15804+Sens!F15826-Sens!F15746-Sens!F15756</f>
        <v>10.6249363155714</v>
      </c>
      <c r="G15827" s="6" t="n">
        <f aca="false">Sens!G15745+Sens!G15824*Sens!G15804+Sens!G15826-Sens!G15746-Sens!G15756</f>
        <v>16.5522915631233</v>
      </c>
      <c r="H15827" s="6" t="n">
        <f aca="false">Sens!H15745+Sens!H15824*Sens!H15804+Sens!H15826-Sens!H15746-Sens!H15756</f>
        <v>17.4625151247579</v>
      </c>
      <c r="I15827" s="6" t="n">
        <f aca="false">Sens!I15745+Sens!I15824*Sens!I15804+Sens!I15826-Sens!I15746-Sens!I15756</f>
        <v>24.729505792607</v>
      </c>
      <c r="J15827" s="6" t="n">
        <f aca="false">Sens!J15745+Sens!J15824*Sens!J15804+Sens!J15826-Sens!J15746-Sens!J15756</f>
        <v>29.752205312642</v>
      </c>
      <c r="K15827" s="6" t="n">
        <f aca="false">Sens!K15745+Sens!K15824*Sens!K15804+Sens!K15826-Sens!K15746-Sens!K15756</f>
        <v>33.5968759973665</v>
      </c>
    </row>
    <row r="15828" customFormat="false" ht="17.15" hidden="false" customHeight="false" outlineLevel="0" collapsed="false">
      <c r="A15828" s="0" t="s">
        <v>861</v>
      </c>
      <c r="B15828" s="0" t="s">
        <v>98</v>
      </c>
      <c r="E15828" s="6" t="n">
        <f aca="false">Sens!E15727*(cxit_open+self_build*tk_cxfac)/1000*ai_net_open</f>
        <v>126.6980382</v>
      </c>
      <c r="F15828" s="6" t="n">
        <f aca="false">Sens!E15828+Sens!F15753-Sens!F15756</f>
        <v>252.981026690511</v>
      </c>
      <c r="G15828" s="6" t="n">
        <f aca="false">Sens!F15828+Sens!G15753-Sens!G15756</f>
        <v>377.4297700632</v>
      </c>
      <c r="H15828" s="6" t="n">
        <f aca="false">Sens!G15828+Sens!H15753-Sens!H15756</f>
        <v>479.149036130289</v>
      </c>
      <c r="I15828" s="6" t="n">
        <f aca="false">Sens!H15828+Sens!I15753-Sens!I15756</f>
        <v>532.249961452141</v>
      </c>
      <c r="J15828" s="6" t="n">
        <f aca="false">Sens!I15828+Sens!J15753-Sens!J15756</f>
        <v>531.43307519354</v>
      </c>
      <c r="K15828" s="6" t="n">
        <f aca="false">Sens!J15828+Sens!K15753-Sens!K15756</f>
        <v>513.709026452823</v>
      </c>
      <c r="L15828" s="1" t="s">
        <v>862</v>
      </c>
    </row>
    <row r="15829" customFormat="false" ht="17.15" hidden="false" customHeight="false" outlineLevel="0" collapsed="false">
      <c r="A15829" s="0" t="s">
        <v>863</v>
      </c>
      <c r="B15829" s="0" t="s">
        <v>129</v>
      </c>
      <c r="F15829" s="7" t="n">
        <f aca="false">Sens!F15827*(1-tax_f)/((Sens!E15828+Sens!F15828)/2)</f>
        <v>0.0447743888903029</v>
      </c>
      <c r="G15829" s="7" t="n">
        <f aca="false">Sens!G15827*(1-tax_f)/((Sens!F15828+Sens!G15828)/2)</f>
        <v>0.0420101727910983</v>
      </c>
      <c r="H15829" s="7" t="n">
        <f aca="false">Sens!H15827*(1-tax_f)/((Sens!G15828+Sens!H15828)/2)</f>
        <v>0.0326181595874103</v>
      </c>
      <c r="I15829" s="7" t="n">
        <f aca="false">Sens!I15827*(1-tax_f)/((Sens!H15828+Sens!I15828)/2)</f>
        <v>0.0391212660510339</v>
      </c>
      <c r="J15829" s="7" t="n">
        <f aca="false">Sens!J15827*(1-tax_f)/((Sens!I15828+Sens!J15828)/2)</f>
        <v>0.0447534903351892</v>
      </c>
      <c r="K15829" s="7" t="n">
        <f aca="false">Sens!K15827*(1-tax_f)/((Sens!J15828+Sens!K15828)/2)</f>
        <v>0.0514331989029135</v>
      </c>
    </row>
    <row r="15830" customFormat="false" ht="17.15" hidden="false" customHeight="false" outlineLevel="0" collapsed="false">
      <c r="A15830" s="1" t="s">
        <v>864</v>
      </c>
      <c r="B15830" s="0" t="s">
        <v>129</v>
      </c>
      <c r="F15830" s="7" t="n">
        <f aca="false">(Sens!F15827-Sens!F15826)*(1-tax_f)/((Sens!E15828+Sens!F15828)/2)</f>
        <v>0.00197884943878752</v>
      </c>
      <c r="G15830" s="7" t="n">
        <f aca="false">(Sens!G15827-Sens!G15826)*(1-tax_f)/((Sens!F15828+Sens!G15828)/2)</f>
        <v>-0.0252575544144306</v>
      </c>
      <c r="H15830" s="7" t="n">
        <f aca="false">(Sens!H15827-Sens!H15826)*(1-tax_f)/((Sens!G15828+Sens!H15828)/2)</f>
        <v>-0.0502911984468976</v>
      </c>
      <c r="I15830" s="7" t="n">
        <f aca="false">(Sens!I15827-Sens!I15826)*(1-tax_f)/((Sens!H15828+Sens!I15828)/2)</f>
        <v>-0.0565922596866753</v>
      </c>
      <c r="J15830" s="7" t="n">
        <f aca="false">(Sens!J15827-Sens!J15826)*(1-tax_f)/((Sens!I15828+Sens!J15828)/2)</f>
        <v>-0.0633671583653741</v>
      </c>
      <c r="K15830" s="7" t="n">
        <f aca="false">(Sens!K15827-Sens!K15826)*(1-tax_f)/((Sens!J15828+Sens!K15828)/2)</f>
        <v>-0.0691688468521739</v>
      </c>
    </row>
    <row r="15831" customFormat="false" ht="17.15" hidden="false" customHeight="false" outlineLevel="0" collapsed="false">
      <c r="A15831" s="1" t="s">
        <v>865</v>
      </c>
      <c r="B15831" s="0" t="s">
        <v>129</v>
      </c>
      <c r="F15831" s="7" t="n">
        <f aca="false">(Sens!F15827-Sens!F15826+Sens!F15825)*(1-tax_f)/((Sens!E15828+Sens!F15828)/2)</f>
        <v>0.0447743888903029</v>
      </c>
      <c r="G15831" s="7" t="n">
        <f aca="false">(Sens!G15827-Sens!G15826+Sens!G15825)*(1-tax_f)/((Sens!F15828+Sens!G15828)/2)</f>
        <v>0.0420101727910983</v>
      </c>
      <c r="H15831" s="7" t="n">
        <f aca="false">(Sens!H15827-Sens!H15826+Sens!H15825)*(1-tax_f)/((Sens!G15828+Sens!H15828)/2)</f>
        <v>0.0326181595874103</v>
      </c>
      <c r="I15831" s="7" t="n">
        <f aca="false">(Sens!I15827-Sens!I15826+Sens!I15825)*(1-tax_f)/((Sens!H15828+Sens!I15828)/2)</f>
        <v>0.0391212660510339</v>
      </c>
      <c r="J15831" s="7" t="n">
        <f aca="false">(Sens!J15827-Sens!J15826+Sens!J15825)*(1-tax_f)/((Sens!I15828+Sens!J15828)/2)</f>
        <v>0.0447534903351892</v>
      </c>
      <c r="K15831" s="7" t="n">
        <f aca="false">(Sens!K15827-Sens!K15826+Sens!K15825)*(1-tax_f)/((Sens!J15828+Sens!K15828)/2)</f>
        <v>0.0514331989029135</v>
      </c>
    </row>
    <row r="15832" customFormat="false" ht="17.15" hidden="false" customHeight="false" outlineLevel="0" collapsed="false">
      <c r="A15832" s="1" t="s">
        <v>866</v>
      </c>
      <c r="B15832" s="0" t="s">
        <v>129</v>
      </c>
      <c r="F15832" s="7" t="n">
        <f aca="false">Sens!F15757*(1-tax_f)/(Sens!F15744*(Sens!E15828+Sens!F15828)/2)</f>
        <v>0.102735279953254</v>
      </c>
      <c r="G15832" s="7" t="n">
        <f aca="false">Sens!G15757*(1-tax_f)/(Sens!G15744*(Sens!F15828+Sens!G15828)/2)</f>
        <v>0.0709600152423962</v>
      </c>
      <c r="H15832" s="7" t="n">
        <f aca="false">Sens!H15757*(1-tax_f)/(Sens!H15744*(Sens!G15828+Sens!H15828)/2)</f>
        <v>0.0419126501774916</v>
      </c>
      <c r="I15832" s="7" t="n">
        <f aca="false">Sens!I15757*(1-tax_f)/(Sens!I15744*(Sens!H15828+Sens!I15828)/2)</f>
        <v>0.044576811268173</v>
      </c>
      <c r="J15832" s="7" t="n">
        <f aca="false">Sens!J15757*(1-tax_f)/(Sens!J15744*(Sens!I15828+Sens!J15828)/2)</f>
        <v>0.0483882076863038</v>
      </c>
      <c r="K15832" s="7" t="n">
        <f aca="false">Sens!K15757*(1-tax_f)/(Sens!K15744*(Sens!J15828+Sens!K15828)/2)</f>
        <v>0.0544871874286225</v>
      </c>
    </row>
    <row r="15833" customFormat="false" ht="17.15" hidden="false" customHeight="false" outlineLevel="0" collapsed="false">
      <c r="A15833" s="0" t="s">
        <v>867</v>
      </c>
      <c r="B15833" s="0" t="s">
        <v>209</v>
      </c>
      <c r="F15833" s="7" t="n">
        <f aca="false">Sens!F15829-wacc</f>
        <v>-0.0581600312025729</v>
      </c>
      <c r="G15833" s="7" t="n">
        <f aca="false">Sens!G15829-wacc</f>
        <v>-0.0609242473017775</v>
      </c>
      <c r="H15833" s="7" t="n">
        <f aca="false">Sens!H15829-wacc</f>
        <v>-0.0703162605054654</v>
      </c>
      <c r="I15833" s="7" t="n">
        <f aca="false">Sens!I15829-wacc</f>
        <v>-0.0638131540418418</v>
      </c>
      <c r="J15833" s="7" t="n">
        <f aca="false">Sens!J15829-wacc</f>
        <v>-0.0581809297576865</v>
      </c>
      <c r="K15833" s="7" t="n">
        <f aca="false">Sens!K15829-wacc</f>
        <v>-0.0515012211899623</v>
      </c>
    </row>
    <row r="15834" customFormat="false" ht="17.15" hidden="false" customHeight="false" outlineLevel="0" collapsed="false">
      <c r="A15834" s="0" t="s">
        <v>868</v>
      </c>
      <c r="B15834" s="0" t="s">
        <v>98</v>
      </c>
      <c r="F15834" s="6" t="n">
        <f aca="false">Sens!F15827*(1-tax_f)-wacc*(Sens!E15828+Sens!F15828)/2</f>
        <v>-11.0410731304979</v>
      </c>
      <c r="G15834" s="6" t="n">
        <f aca="false">Sens!G15827*(1-tax_f)-wacc*(Sens!F15828+Sens!G15828)/2</f>
        <v>-19.2036516415668</v>
      </c>
      <c r="H15834" s="6" t="n">
        <f aca="false">Sens!H15827*(1-tax_f)-wacc*(Sens!G15828+Sens!H15828)/2</f>
        <v>-30.115709239881</v>
      </c>
      <c r="I15834" s="6" t="n">
        <f aca="false">Sens!I15827*(1-tax_f)-wacc*(Sens!H15828+Sens!I15828)/2</f>
        <v>-32.270280015246</v>
      </c>
      <c r="J15834" s="6" t="n">
        <f aca="false">Sens!J15827*(1-tax_f)-wacc*(Sens!I15828+Sens!J15828)/2</f>
        <v>-30.9430340197625</v>
      </c>
      <c r="K15834" s="6" t="n">
        <f aca="false">Sens!K15827*(1-tax_f)-wacc*(Sens!J15828+Sens!K15828)/2</f>
        <v>-26.9130472759157</v>
      </c>
    </row>
    <row r="15835" customFormat="false" ht="17.15" hidden="false" customHeight="false" outlineLevel="0" collapsed="false">
      <c r="A15835" s="3" t="s">
        <v>1664</v>
      </c>
    </row>
    <row r="15836" customFormat="false" ht="15" hidden="false" customHeight="false" outlineLevel="0" collapsed="false">
      <c r="A15836" s="4" t="s">
        <v>43</v>
      </c>
      <c r="B15836" s="4" t="s">
        <v>65</v>
      </c>
      <c r="C15836" s="20" t="s">
        <v>799</v>
      </c>
      <c r="D15836" s="20" t="s">
        <v>800</v>
      </c>
      <c r="E15836" s="20" t="s">
        <v>801</v>
      </c>
      <c r="F15836" s="20" t="s">
        <v>802</v>
      </c>
      <c r="G15836" s="20" t="s">
        <v>803</v>
      </c>
      <c r="H15836" s="20" t="s">
        <v>804</v>
      </c>
      <c r="I15836" s="20" t="s">
        <v>805</v>
      </c>
      <c r="J15836" s="20" t="s">
        <v>806</v>
      </c>
      <c r="K15836" s="20" t="s">
        <v>807</v>
      </c>
      <c r="L15836" s="4" t="s">
        <v>47</v>
      </c>
    </row>
    <row r="15837" customFormat="false" ht="15" hidden="false" customHeight="false" outlineLevel="0" collapsed="false">
      <c r="A15837" s="1" t="s">
        <v>925</v>
      </c>
      <c r="B15837" s="0" t="s">
        <v>98</v>
      </c>
      <c r="F15837" s="6" t="n">
        <f aca="false">Sens!F15818</f>
        <v>137.540563738765</v>
      </c>
      <c r="G15837" s="6" t="n">
        <f aca="false">Sens!G15818</f>
        <v>144.938815751819</v>
      </c>
      <c r="H15837" s="6" t="n">
        <f aca="false">Sens!H15818</f>
        <v>147.35271780867</v>
      </c>
      <c r="I15837" s="6" t="n">
        <f aca="false">Sens!I15818</f>
        <v>155.968224109672</v>
      </c>
      <c r="J15837" s="6" t="n">
        <f aca="false">Sens!J15818</f>
        <v>165.668857456659</v>
      </c>
      <c r="K15837" s="6" t="n">
        <f aca="false">Sens!K15818</f>
        <v>176.463110679368</v>
      </c>
    </row>
    <row r="15838" customFormat="false" ht="17.15" hidden="false" customHeight="false" outlineLevel="0" collapsed="false">
      <c r="A15838" s="1" t="s">
        <v>947</v>
      </c>
      <c r="B15838" s="0" t="s">
        <v>98</v>
      </c>
      <c r="E15838" s="6" t="n">
        <f aca="false">Q!M38-Sens!E15756</f>
        <v>22.2285940229167</v>
      </c>
      <c r="F15838" s="6" t="n">
        <f aca="false">Sens!E15838*(1-1/life_nonai)+(Sens!F15845+Sens!F15846)/life_nonai</f>
        <v>23.5486693435813</v>
      </c>
      <c r="G15838" s="6" t="n">
        <f aca="false">Sens!F15838*(1-1/life_nonai)+(Sens!G15845)/life_nonai</f>
        <v>25.264091766262</v>
      </c>
      <c r="H15838" s="6" t="n">
        <f aca="false">Sens!G15838*(1-1/life_nonai)+(Sens!H15845)/life_nonai</f>
        <v>27.3438339540448</v>
      </c>
      <c r="I15838" s="6" t="n">
        <f aca="false">Sens!H15838*(1-1/life_nonai)+(Sens!I15845)/life_nonai</f>
        <v>29.7317905898047</v>
      </c>
      <c r="J15838" s="6" t="n">
        <f aca="false">Sens!I15838*(1-1/life_nonai)+(Sens!J15845)/life_nonai</f>
        <v>32.3542028558616</v>
      </c>
      <c r="K15838" s="6" t="n">
        <f aca="false">Sens!J15838*(1-1/life_nonai)+(Sens!K15845)/life_nonai</f>
        <v>35.1281528444749</v>
      </c>
      <c r="L15838" s="11" t="s">
        <v>948</v>
      </c>
    </row>
    <row r="15839" customFormat="false" ht="17.15" hidden="false" customHeight="false" outlineLevel="0" collapsed="false">
      <c r="A15839" s="1" t="s">
        <v>949</v>
      </c>
      <c r="B15839" s="0" t="s">
        <v>98</v>
      </c>
      <c r="F15839" s="6" t="n">
        <f aca="false">Sens!$F$15846/life_nonai*(1-1/life_nonai)^(Sens!F15722-2027)</f>
        <v>0</v>
      </c>
      <c r="G15839" s="6" t="n">
        <f aca="false">Sens!$F$15846/life_nonai*(1-1/life_nonai)^(Sens!G15722-2027)</f>
        <v>0</v>
      </c>
      <c r="H15839" s="6" t="n">
        <f aca="false">Sens!$F$15846/life_nonai*(1-1/life_nonai)^(Sens!H15722-2027)</f>
        <v>0</v>
      </c>
      <c r="I15839" s="6" t="n">
        <f aca="false">Sens!$F$15846/life_nonai*(1-1/life_nonai)^(Sens!I15722-2027)</f>
        <v>0</v>
      </c>
      <c r="J15839" s="6" t="n">
        <f aca="false">Sens!$F$15846/life_nonai*(1-1/life_nonai)^(Sens!J15722-2027)</f>
        <v>0</v>
      </c>
      <c r="K15839" s="6" t="n">
        <f aca="false">Sens!$F$15846/life_nonai*(1-1/life_nonai)^(Sens!K15722-2027)</f>
        <v>0</v>
      </c>
      <c r="L15839" s="1" t="s">
        <v>950</v>
      </c>
    </row>
    <row r="15840" customFormat="false" ht="17.15" hidden="false" customHeight="false" outlineLevel="0" collapsed="false">
      <c r="A15840" s="1" t="s">
        <v>951</v>
      </c>
      <c r="B15840" s="0" t="s">
        <v>98</v>
      </c>
      <c r="E15840" s="6" t="n">
        <f aca="false">Sens!E15756+Sens!E15838</f>
        <v>38.534</v>
      </c>
      <c r="F15840" s="6" t="n">
        <f aca="false">Sens!F15756+Sens!F15838</f>
        <v>57.5985567245368</v>
      </c>
      <c r="G15840" s="6" t="n">
        <f aca="false">Sens!G15756+Sens!G15838</f>
        <v>84.3895288767732</v>
      </c>
      <c r="H15840" s="6" t="n">
        <f aca="false">Sens!H15756+Sens!H15838</f>
        <v>113.704853797356</v>
      </c>
      <c r="I15840" s="6" t="n">
        <f aca="false">Sens!I15756+Sens!I15838</f>
        <v>140.337534422197</v>
      </c>
      <c r="J15840" s="6" t="n">
        <f aca="false">Sens!J15756+Sens!J15838</f>
        <v>160.352525708705</v>
      </c>
      <c r="K15840" s="6" t="n">
        <f aca="false">Sens!K15756+Sens!K15838</f>
        <v>174.259616888783</v>
      </c>
    </row>
    <row r="15841" customFormat="false" ht="17.15" hidden="false" customHeight="false" outlineLevel="0" collapsed="false">
      <c r="A15841" s="1" t="s">
        <v>952</v>
      </c>
      <c r="B15841" s="0" t="s">
        <v>98</v>
      </c>
      <c r="F15841" s="6" t="n">
        <f aca="false">Sens!F15783*sbc_r</f>
        <v>14.7102349124428</v>
      </c>
      <c r="G15841" s="6" t="n">
        <f aca="false">Sens!G15783*sbc_r</f>
        <v>17.061233875013</v>
      </c>
      <c r="H15841" s="6" t="n">
        <f aca="false">Sens!H15783*sbc_r</f>
        <v>19.2644849659525</v>
      </c>
      <c r="I15841" s="6" t="n">
        <f aca="false">Sens!I15783*sbc_r</f>
        <v>21.5744080153289</v>
      </c>
      <c r="J15841" s="6" t="n">
        <f aca="false">Sens!J15783*sbc_r</f>
        <v>23.5256320135712</v>
      </c>
      <c r="K15841" s="6" t="n">
        <f aca="false">Sens!K15783*sbc_r</f>
        <v>25.1388528865318</v>
      </c>
    </row>
    <row r="15842" customFormat="false" ht="17.15" hidden="false" customHeight="false" outlineLevel="0" collapsed="false">
      <c r="A15842" s="1" t="s">
        <v>953</v>
      </c>
      <c r="B15842" s="0" t="s">
        <v>98</v>
      </c>
      <c r="F15842" s="6" t="n">
        <f aca="false">wc27</f>
        <v>-4.895</v>
      </c>
      <c r="G15842" s="6" t="n">
        <f aca="false">wc_f</f>
        <v>0</v>
      </c>
      <c r="H15842" s="6" t="n">
        <f aca="false">wc_f</f>
        <v>0</v>
      </c>
      <c r="I15842" s="6" t="n">
        <f aca="false">wc_f</f>
        <v>0</v>
      </c>
      <c r="J15842" s="6" t="n">
        <f aca="false">wc_f</f>
        <v>0</v>
      </c>
      <c r="K15842" s="6" t="n">
        <f aca="false">wc_f</f>
        <v>0</v>
      </c>
      <c r="L15842" s="11" t="s">
        <v>954</v>
      </c>
    </row>
    <row r="15843" customFormat="false" ht="15" hidden="false" customHeight="false" outlineLevel="0" collapsed="false">
      <c r="A15843" s="1" t="s">
        <v>767</v>
      </c>
      <c r="B15843" s="0" t="s">
        <v>98</v>
      </c>
      <c r="E15843" s="6" t="n">
        <f aca="false">Q!M35</f>
        <v>182.935</v>
      </c>
      <c r="F15843" s="6" t="n">
        <f aca="false">Sens!F15837+Sens!F15840+Sens!F15841+Sens!F15842</f>
        <v>204.954355375744</v>
      </c>
      <c r="G15843" s="6" t="n">
        <f aca="false">Sens!G15837+Sens!G15840+Sens!G15841+Sens!G15842</f>
        <v>246.389578503605</v>
      </c>
      <c r="H15843" s="6" t="n">
        <f aca="false">Sens!H15837+Sens!H15840+Sens!H15841+Sens!H15842</f>
        <v>280.322056571979</v>
      </c>
      <c r="I15843" s="6" t="n">
        <f aca="false">Sens!I15837+Sens!I15840+Sens!I15841+Sens!I15842</f>
        <v>317.880166547198</v>
      </c>
      <c r="J15843" s="6" t="n">
        <f aca="false">Sens!J15837+Sens!J15840+Sens!J15841+Sens!J15842</f>
        <v>349.547015178935</v>
      </c>
      <c r="K15843" s="6" t="n">
        <f aca="false">Sens!K15837+Sens!K15840+Sens!K15841+Sens!K15842</f>
        <v>375.861580454683</v>
      </c>
    </row>
    <row r="15844" customFormat="false" ht="17.15" hidden="false" customHeight="false" outlineLevel="0" collapsed="false">
      <c r="A15844" s="0" t="s">
        <v>955</v>
      </c>
      <c r="B15844" s="0" t="s">
        <v>98</v>
      </c>
      <c r="F15844" s="6" t="n">
        <f aca="false">Sens!F15753</f>
        <v>160.332875871467</v>
      </c>
      <c r="G15844" s="6" t="n">
        <f aca="false">Sens!G15753</f>
        <v>183.5741804832</v>
      </c>
      <c r="H15844" s="6" t="n">
        <f aca="false">Sens!H15753</f>
        <v>188.0802859104</v>
      </c>
      <c r="I15844" s="6" t="n">
        <f aca="false">Sens!I15753</f>
        <v>163.706669154245</v>
      </c>
      <c r="J15844" s="6" t="n">
        <f aca="false">Sens!J15753</f>
        <v>127.181436594242</v>
      </c>
      <c r="K15844" s="6" t="n">
        <f aca="false">Sens!K15753</f>
        <v>121.407415303591</v>
      </c>
    </row>
    <row r="15845" customFormat="false" ht="17.15" hidden="false" customHeight="false" outlineLevel="0" collapsed="false">
      <c r="A15845" s="1" t="s">
        <v>956</v>
      </c>
      <c r="B15845" s="0" t="s">
        <v>98</v>
      </c>
      <c r="E15845" s="6" t="n">
        <f aca="false">Sens!E15761*cx_azo+Sens!E15768*cx_m365+Sens!E15769*cx_lic+(Sens!E15771+Sens!E15773)*cx_ind+Sens!E15776*cx_srch+(Sens!E15778+Sens!E15780)*cx_dev</f>
        <v>30.1846587067718</v>
      </c>
      <c r="F15845" s="6" t="n">
        <f aca="false">Sens!F15761*cx_azo+Sens!F15768*cx_m365+Sens!F15769*cx_lic+(Sens!F15771+Sens!F15773)*cx_ind+Sens!F15776*cx_srch+(Sens!F15778+Sens!F15780)*cx_dev</f>
        <v>35.4293472295625</v>
      </c>
      <c r="G15845" s="6" t="n">
        <f aca="false">Sens!G15761*cx_azo+Sens!G15768*cx_m365+Sens!G15769*cx_lic+(Sens!G15771+Sens!G15773)*cx_ind+Sens!G15776*cx_srch+(Sens!G15778+Sens!G15780)*cx_dev</f>
        <v>40.7028935703892</v>
      </c>
      <c r="H15845" s="6" t="n">
        <f aca="false">Sens!H15761*cx_azo+Sens!H15768*cx_m365+Sens!H15769*cx_lic+(Sens!H15771+Sens!H15773)*cx_ind+Sens!H15776*cx_srch+(Sens!H15778+Sens!H15780)*cx_dev</f>
        <v>46.0615136440897</v>
      </c>
      <c r="I15845" s="6" t="n">
        <f aca="false">Sens!I15761*cx_azo+Sens!I15768*cx_m365+Sens!I15769*cx_lic+(Sens!I15771+Sens!I15773)*cx_ind+Sens!I15776*cx_srch+(Sens!I15778+Sens!I15780)*cx_dev</f>
        <v>51.2234003116439</v>
      </c>
      <c r="J15845" s="6" t="n">
        <f aca="false">Sens!J15761*cx_azo+Sens!J15768*cx_m365+Sens!J15769*cx_lic+(Sens!J15771+Sens!J15773)*cx_ind+Sens!J15776*cx_srch+(Sens!J15778+Sens!J15780)*cx_dev</f>
        <v>55.9559132503738</v>
      </c>
      <c r="K15845" s="6" t="n">
        <f aca="false">Sens!K15761*cx_azo+Sens!K15768*cx_m365+Sens!K15769*cx_lic+(Sens!K15771+Sens!K15773)*cx_ind+Sens!K15776*cx_srch+(Sens!K15778+Sens!K15780)*cx_dev</f>
        <v>60.093702741994</v>
      </c>
    </row>
    <row r="15846" customFormat="false" ht="17.15" hidden="false" customHeight="false" outlineLevel="0" collapsed="false">
      <c r="A15846" s="0" t="s">
        <v>957</v>
      </c>
      <c r="B15846" s="0" t="s">
        <v>98</v>
      </c>
      <c r="F15846" s="6" t="n">
        <f aca="false">0</f>
        <v>0</v>
      </c>
      <c r="L15846" s="1" t="s">
        <v>958</v>
      </c>
    </row>
    <row r="15847" customFormat="false" ht="17.15" hidden="false" customHeight="false" outlineLevel="0" collapsed="false">
      <c r="A15847" s="1" t="s">
        <v>959</v>
      </c>
      <c r="B15847" s="0" t="s">
        <v>98</v>
      </c>
      <c r="E15847" s="6" t="n">
        <f aca="false">Q!M42</f>
        <v>145.3</v>
      </c>
      <c r="F15847" s="6" t="n">
        <f aca="false">Sens!F15844+Sens!F15845+Sens!F15846</f>
        <v>195.762223101029</v>
      </c>
      <c r="G15847" s="6" t="n">
        <f aca="false">Sens!G15844+Sens!G15845</f>
        <v>224.277074053589</v>
      </c>
      <c r="H15847" s="6" t="n">
        <f aca="false">Sens!H15844+Sens!H15845</f>
        <v>234.14179955449</v>
      </c>
      <c r="I15847" s="6" t="n">
        <f aca="false">Sens!I15844+Sens!I15845</f>
        <v>214.930069465889</v>
      </c>
      <c r="J15847" s="6" t="n">
        <f aca="false">Sens!J15844+Sens!J15845</f>
        <v>183.137349844616</v>
      </c>
      <c r="K15847" s="6" t="n">
        <f aca="false">Sens!K15844+Sens!K15845</f>
        <v>181.501118045585</v>
      </c>
      <c r="L15847" s="1" t="s">
        <v>960</v>
      </c>
    </row>
    <row r="15848" customFormat="false" ht="15" hidden="false" customHeight="false" outlineLevel="0" collapsed="false">
      <c r="A15848" s="1" t="s">
        <v>961</v>
      </c>
      <c r="B15848" s="0" t="s">
        <v>98</v>
      </c>
      <c r="E15848" s="6" t="n">
        <f aca="false">fl_liab</f>
        <v>66.594</v>
      </c>
      <c r="F15848" s="6" t="n">
        <f aca="false">Sens!E15848-Sens!F15849</f>
        <v>62.46973</v>
      </c>
      <c r="G15848" s="6" t="n">
        <f aca="false">Sens!F15848-Sens!G15849</f>
        <v>57.98686785</v>
      </c>
      <c r="H15848" s="6" t="n">
        <f aca="false">Sens!G15848-Sens!H15849</f>
        <v>53.92827690325</v>
      </c>
      <c r="I15848" s="6" t="n">
        <f aca="false">Sens!H15848-Sens!I15849</f>
        <v>49.7850493638962</v>
      </c>
      <c r="J15848" s="6" t="n">
        <f aca="false">Sens!I15848-Sens!J15849</f>
        <v>45.4823765852716</v>
      </c>
      <c r="K15848" s="6" t="n">
        <f aca="false">Sens!J15848-Sens!K15849</f>
        <v>40.9860835316088</v>
      </c>
    </row>
    <row r="15849" customFormat="false" ht="15" hidden="false" customHeight="false" outlineLevel="0" collapsed="false">
      <c r="A15849" s="1" t="s">
        <v>962</v>
      </c>
      <c r="B15849" s="0" t="s">
        <v>98</v>
      </c>
      <c r="F15849" s="6" t="n">
        <f aca="false">fl_pay_27-Sens!E15848*fl_rate</f>
        <v>4.12427</v>
      </c>
      <c r="G15849" s="6" t="n">
        <f aca="false">fl_pay_28-Sens!F15848*fl_rate</f>
        <v>4.48286215</v>
      </c>
      <c r="H15849" s="6" t="n">
        <f aca="false">fl_pay_29-Sens!G15848*fl_rate</f>
        <v>4.05859094675</v>
      </c>
      <c r="I15849" s="6" t="n">
        <f aca="false">fl_pay_30-Sens!H15848*fl_rate</f>
        <v>4.14322753935375</v>
      </c>
      <c r="J15849" s="6" t="n">
        <f aca="false">fl_pay_31-Sens!I15848*fl_rate</f>
        <v>4.30267277862467</v>
      </c>
      <c r="K15849" s="6" t="n">
        <f aca="false">fl_pay_32-Sens!J15848*fl_rate</f>
        <v>4.49629305366278</v>
      </c>
    </row>
    <row r="15850" customFormat="false" ht="17.15" hidden="false" customHeight="false" outlineLevel="0" collapsed="false">
      <c r="A15850" s="1" t="s">
        <v>963</v>
      </c>
      <c r="B15850" s="0" t="s">
        <v>98</v>
      </c>
      <c r="E15850" s="6" t="n">
        <f aca="false">Q!M35-Q!M36-Q!M43</f>
        <v>63.886</v>
      </c>
      <c r="F15850" s="6" t="n">
        <f aca="false">Sens!F15843-Sens!F15847-Sens!F15849</f>
        <v>5.06786227471508</v>
      </c>
      <c r="G15850" s="6" t="n">
        <f aca="false">Sens!G15843-Sens!G15847-Sens!G15849</f>
        <v>17.6296423000159</v>
      </c>
      <c r="H15850" s="6" t="n">
        <f aca="false">Sens!H15843-Sens!H15847-Sens!H15849</f>
        <v>42.121666070739</v>
      </c>
      <c r="I15850" s="6" t="n">
        <f aca="false">Sens!I15843-Sens!I15847-Sens!I15849</f>
        <v>98.8068695419549</v>
      </c>
      <c r="J15850" s="6" t="n">
        <f aca="false">Sens!J15843-Sens!J15847-Sens!J15849</f>
        <v>162.106992555695</v>
      </c>
      <c r="K15850" s="6" t="n">
        <f aca="false">Sens!K15843-Sens!K15847-Sens!K15849</f>
        <v>189.864169355435</v>
      </c>
      <c r="L15850" s="11" t="s">
        <v>964</v>
      </c>
    </row>
    <row r="15851" customFormat="false" ht="15" hidden="false" customHeight="false" outlineLevel="0" collapsed="false">
      <c r="A15851" s="1" t="s">
        <v>965</v>
      </c>
      <c r="B15851" s="0" t="s">
        <v>75</v>
      </c>
      <c r="F15851" s="8" t="n">
        <f aca="false">dps_27</f>
        <v>3.85</v>
      </c>
      <c r="G15851" s="8" t="n">
        <f aca="false">Sens!F15851*(1+dps_g)</f>
        <v>4.158</v>
      </c>
      <c r="H15851" s="8" t="n">
        <f aca="false">Sens!G15851*(1+dps_g)</f>
        <v>4.49064</v>
      </c>
      <c r="I15851" s="8" t="n">
        <f aca="false">Sens!H15851*(1+dps_g)</f>
        <v>4.8498912</v>
      </c>
      <c r="J15851" s="8" t="n">
        <f aca="false">Sens!I15851*(1+dps_g)</f>
        <v>5.237882496</v>
      </c>
      <c r="K15851" s="8" t="n">
        <f aca="false">Sens!J15851*(1+dps_g)</f>
        <v>5.65691309568</v>
      </c>
    </row>
    <row r="15852" customFormat="false" ht="17.15" hidden="false" customHeight="false" outlineLevel="0" collapsed="false">
      <c r="A15852" s="1" t="s">
        <v>966</v>
      </c>
      <c r="B15852" s="0" t="s">
        <v>98</v>
      </c>
      <c r="E15852" s="6" t="n">
        <f aca="false">Q!M41</f>
        <v>26.445</v>
      </c>
      <c r="F15852" s="6" t="n">
        <f aca="false">Sens!F15851*Sens!E15861</f>
        <v>28.59395</v>
      </c>
      <c r="G15852" s="6" t="n">
        <f aca="false">Sens!G15851*Sens!F15861</f>
        <v>31.068576</v>
      </c>
      <c r="H15852" s="6" t="n">
        <f aca="false">Sens!H15851*Sens!G15861</f>
        <v>33.75614088</v>
      </c>
      <c r="I15852" s="6" t="n">
        <f aca="false">Sens!I15851*Sens!H15861</f>
        <v>36.6270651945019</v>
      </c>
      <c r="J15852" s="6" t="n">
        <f aca="false">Sens!J15851*Sens!I15861</f>
        <v>39.6256292583815</v>
      </c>
      <c r="K15852" s="6" t="n">
        <f aca="false">Sens!K15851*Sens!J15861</f>
        <v>42.8829348243571</v>
      </c>
      <c r="L15852" s="1" t="s">
        <v>967</v>
      </c>
    </row>
    <row r="15853" customFormat="false" ht="15" hidden="false" customHeight="false" outlineLevel="0" collapsed="false">
      <c r="A15853" s="1" t="s">
        <v>968</v>
      </c>
      <c r="B15853" s="0" t="s">
        <v>98</v>
      </c>
      <c r="E15853" s="6" t="n">
        <f aca="false">Sens!E15850-Sens!E15852</f>
        <v>37.441</v>
      </c>
      <c r="F15853" s="6" t="n">
        <f aca="false">Sens!F15850-Sens!F15852</f>
        <v>-23.5260877252849</v>
      </c>
      <c r="G15853" s="6" t="n">
        <f aca="false">Sens!G15850-Sens!G15852</f>
        <v>-13.4389336999841</v>
      </c>
      <c r="H15853" s="6" t="n">
        <f aca="false">Sens!H15850-Sens!H15852</f>
        <v>8.36552519073899</v>
      </c>
      <c r="I15853" s="6" t="n">
        <f aca="false">Sens!I15850-Sens!I15852</f>
        <v>62.179804347453</v>
      </c>
      <c r="J15853" s="6" t="n">
        <f aca="false">Sens!J15850-Sens!J15852</f>
        <v>122.481363297313</v>
      </c>
      <c r="K15853" s="6" t="n">
        <f aca="false">Sens!K15850-Sens!K15852</f>
        <v>146.981234531078</v>
      </c>
    </row>
    <row r="15854" customFormat="false" ht="15" hidden="false" customHeight="false" outlineLevel="0" collapsed="false">
      <c r="A15854" s="1" t="s">
        <v>969</v>
      </c>
      <c r="B15854" s="0" t="s">
        <v>98</v>
      </c>
      <c r="F15854" s="6" t="n">
        <f aca="false">debt_mat_27</f>
        <v>9.25</v>
      </c>
      <c r="G15854" s="6" t="n">
        <f aca="false">debt_mat_28</f>
        <v>0</v>
      </c>
      <c r="H15854" s="6" t="n">
        <f aca="false">debt_mat_29</f>
        <v>2.001</v>
      </c>
      <c r="I15854" s="6" t="n">
        <f aca="false">debt_mat_30</f>
        <v>0</v>
      </c>
      <c r="J15854" s="6" t="n">
        <f aca="false">debt_mat_31</f>
        <v>0.5</v>
      </c>
      <c r="K15854" s="6" t="n">
        <f aca="false">debt_mat_32</f>
        <v>0</v>
      </c>
    </row>
    <row r="15855" customFormat="false" ht="15" hidden="false" customHeight="false" outlineLevel="0" collapsed="false">
      <c r="A15855" s="1" t="s">
        <v>970</v>
      </c>
      <c r="B15855" s="0" t="s">
        <v>98</v>
      </c>
      <c r="E15855" s="6" t="n">
        <f aca="false">Q!M40</f>
        <v>22.271</v>
      </c>
      <c r="F15855" s="6" t="n">
        <f aca="false">MAX(0,MIN(bb_target,Sens!E15857+Sens!F15853-Sens!F15854-min_cash))</f>
        <v>0</v>
      </c>
      <c r="G15855" s="6" t="n">
        <f aca="false">MAX(0,MIN(bb_target,Sens!F15857+Sens!G15853-Sens!G15854-min_cash))</f>
        <v>0</v>
      </c>
      <c r="H15855" s="6" t="n">
        <f aca="false">MAX(0,MIN(bb_target,Sens!G15857+Sens!H15853-Sens!H15854-min_cash))</f>
        <v>6.364525190739</v>
      </c>
      <c r="I15855" s="6" t="n">
        <f aca="false">MAX(0,MIN(bb_target,Sens!H15857+Sens!I15853-Sens!I15854-min_cash))</f>
        <v>22.271</v>
      </c>
      <c r="J15855" s="6" t="n">
        <f aca="false">MAX(0,MIN(bb_target,Sens!I15857+Sens!J15853-Sens!J15854-min_cash))</f>
        <v>22.271</v>
      </c>
      <c r="K15855" s="6" t="n">
        <f aca="false">MAX(0,MIN(bb_target,Sens!J15857+Sens!K15853-Sens!K15854-min_cash))</f>
        <v>22.271</v>
      </c>
    </row>
    <row r="15856" customFormat="false" ht="15" hidden="false" customHeight="false" outlineLevel="0" collapsed="false">
      <c r="A15856" s="1" t="s">
        <v>971</v>
      </c>
      <c r="B15856" s="0" t="s">
        <v>98</v>
      </c>
      <c r="F15856" s="6" t="n">
        <f aca="false">MAX(0,min_cash-(Sens!E15857+Sens!F15853-Sens!F15854-Sens!F15855))</f>
        <v>5.93308772528492</v>
      </c>
      <c r="G15856" s="6" t="n">
        <f aca="false">MAX(0,min_cash-(Sens!F15857+Sens!G15853-Sens!G15854-Sens!G15855))</f>
        <v>13.4389336999841</v>
      </c>
      <c r="H15856" s="6" t="n">
        <f aca="false">MAX(0,min_cash-(Sens!G15857+Sens!H15853-Sens!H15854-Sens!H15855))</f>
        <v>0</v>
      </c>
      <c r="I15856" s="6" t="n">
        <f aca="false">MAX(0,min_cash-(Sens!H15857+Sens!I15853-Sens!I15854-Sens!I15855))</f>
        <v>0</v>
      </c>
      <c r="J15856" s="6" t="n">
        <f aca="false">MAX(0,min_cash-(Sens!I15857+Sens!J15853-Sens!J15854-Sens!J15855))</f>
        <v>0</v>
      </c>
      <c r="K15856" s="6" t="n">
        <f aca="false">MAX(0,min_cash-(Sens!J15857+Sens!K15853-Sens!K15854-Sens!K15855))</f>
        <v>0</v>
      </c>
    </row>
    <row r="15857" customFormat="false" ht="15" hidden="false" customHeight="false" outlineLevel="0" collapsed="false">
      <c r="A15857" s="1" t="s">
        <v>972</v>
      </c>
      <c r="B15857" s="0" t="s">
        <v>98</v>
      </c>
      <c r="E15857" s="6" t="n">
        <f aca="false">cash_open</f>
        <v>76.843</v>
      </c>
      <c r="F15857" s="6" t="n">
        <f aca="false">Sens!E15857+Sens!F15853-Sens!F15854-Sens!F15855+Sens!F15856</f>
        <v>50</v>
      </c>
      <c r="G15857" s="6" t="n">
        <f aca="false">Sens!F15857+Sens!G15853-Sens!G15854-Sens!G15855+Sens!G15856</f>
        <v>50</v>
      </c>
      <c r="H15857" s="6" t="n">
        <f aca="false">Sens!G15857+Sens!H15853-Sens!H15854-Sens!H15855+Sens!H15856</f>
        <v>50</v>
      </c>
      <c r="I15857" s="6" t="n">
        <f aca="false">Sens!H15857+Sens!I15853-Sens!I15854-Sens!I15855+Sens!I15856</f>
        <v>89.908804347453</v>
      </c>
      <c r="J15857" s="6" t="n">
        <f aca="false">Sens!I15857+Sens!J15853-Sens!J15854-Sens!J15855+Sens!J15856</f>
        <v>189.619167644766</v>
      </c>
      <c r="K15857" s="6" t="n">
        <f aca="false">Sens!J15857+Sens!K15853-Sens!K15854-Sens!K15855+Sens!K15856</f>
        <v>314.329402175845</v>
      </c>
    </row>
    <row r="15858" customFormat="false" ht="15" hidden="false" customHeight="false" outlineLevel="0" collapsed="false">
      <c r="A15858" s="1" t="s">
        <v>973</v>
      </c>
      <c r="B15858" s="0" t="s">
        <v>98</v>
      </c>
      <c r="E15858" s="6" t="n">
        <f aca="false">debt_face</f>
        <v>46.136</v>
      </c>
      <c r="F15858" s="6" t="n">
        <f aca="false">Sens!E15858-Sens!F15854+Sens!F15856</f>
        <v>42.8190877252849</v>
      </c>
      <c r="G15858" s="6" t="n">
        <f aca="false">Sens!F15858-Sens!G15854+Sens!G15856</f>
        <v>56.258021425269</v>
      </c>
      <c r="H15858" s="6" t="n">
        <f aca="false">Sens!G15858-Sens!H15854+Sens!H15856</f>
        <v>54.257021425269</v>
      </c>
      <c r="I15858" s="6" t="n">
        <f aca="false">Sens!H15858-Sens!I15854+Sens!I15856</f>
        <v>54.257021425269</v>
      </c>
      <c r="J15858" s="6" t="n">
        <f aca="false">Sens!I15858-Sens!J15854+Sens!J15856</f>
        <v>53.757021425269</v>
      </c>
      <c r="K15858" s="6" t="n">
        <f aca="false">Sens!J15858-Sens!K15854+Sens!K15856</f>
        <v>53.757021425269</v>
      </c>
    </row>
    <row r="15859" customFormat="false" ht="15" hidden="false" customHeight="false" outlineLevel="0" collapsed="false">
      <c r="A15859" s="1" t="s">
        <v>974</v>
      </c>
      <c r="B15859" s="0" t="s">
        <v>98</v>
      </c>
      <c r="E15859" s="6" t="n">
        <f aca="false">Sens!E15857-Sens!E15858</f>
        <v>30.707</v>
      </c>
      <c r="F15859" s="6" t="n">
        <f aca="false">Sens!F15857-Sens!F15858</f>
        <v>7.18091227471508</v>
      </c>
      <c r="G15859" s="6" t="n">
        <f aca="false">Sens!G15857-Sens!G15858</f>
        <v>-6.25802142526899</v>
      </c>
      <c r="H15859" s="6" t="n">
        <f aca="false">Sens!H15857-Sens!H15858</f>
        <v>-4.25702142526899</v>
      </c>
      <c r="I15859" s="6" t="n">
        <f aca="false">Sens!I15857-Sens!I15858</f>
        <v>35.651782922184</v>
      </c>
      <c r="J15859" s="6" t="n">
        <f aca="false">Sens!J15857-Sens!J15858</f>
        <v>135.862146219497</v>
      </c>
      <c r="K15859" s="6" t="n">
        <f aca="false">Sens!K15857-Sens!K15858</f>
        <v>260.572380750576</v>
      </c>
    </row>
    <row r="15860" customFormat="false" ht="15" hidden="false" customHeight="false" outlineLevel="0" collapsed="false">
      <c r="A15860" s="1" t="s">
        <v>975</v>
      </c>
      <c r="B15860" s="0" t="s">
        <v>75</v>
      </c>
      <c r="F15860" s="29" t="n">
        <f aca="false">px*(1+bb_g)^(Sens!F15722-base_fy-mid_yr)</f>
        <v>553.494156066711</v>
      </c>
      <c r="G15860" s="29" t="n">
        <f aca="false">px*(1+bb_g)^(Sens!G15722-base_fy-mid_yr)</f>
        <v>597.773688552047</v>
      </c>
      <c r="H15860" s="29" t="n">
        <f aca="false">px*(1+bb_g)^(Sens!H15722-base_fy-mid_yr)</f>
        <v>645.595583636211</v>
      </c>
      <c r="I15860" s="29" t="n">
        <f aca="false">px*(1+bb_g)^(Sens!I15722-base_fy-mid_yr)</f>
        <v>697.243230327108</v>
      </c>
      <c r="J15860" s="29" t="n">
        <f aca="false">px*(1+bb_g)^(Sens!J15722-base_fy-mid_yr)</f>
        <v>753.022688753277</v>
      </c>
      <c r="K15860" s="29" t="n">
        <f aca="false">px*(1+bb_g)^(Sens!K15722-base_fy-mid_yr)</f>
        <v>813.264503853539</v>
      </c>
    </row>
    <row r="15861" customFormat="false" ht="15" hidden="false" customHeight="false" outlineLevel="0" collapsed="false">
      <c r="A15861" s="1" t="s">
        <v>976</v>
      </c>
      <c r="B15861" s="1" t="s">
        <v>81</v>
      </c>
      <c r="E15861" s="14" t="n">
        <f aca="false">sh_out26</f>
        <v>7.427</v>
      </c>
      <c r="F15861" s="14" t="n">
        <f aca="false">Sens!E15861+sh_iss-Sens!F15855/Sens!F15860</f>
        <v>7.472</v>
      </c>
      <c r="G15861" s="14" t="n">
        <f aca="false">Sens!F15861+sh_iss-Sens!G15855/Sens!G15860</f>
        <v>7.517</v>
      </c>
      <c r="H15861" s="14" t="n">
        <f aca="false">Sens!G15861+sh_iss-Sens!H15855/Sens!H15860</f>
        <v>7.5521416221671</v>
      </c>
      <c r="I15861" s="14" t="n">
        <f aca="false">Sens!H15861+sh_iss-Sens!I15855/Sens!I15860</f>
        <v>7.56520011448182</v>
      </c>
      <c r="J15861" s="14" t="n">
        <f aca="false">Sens!I15861+sh_iss-Sens!J15855/Sens!J15860</f>
        <v>7.58062464440286</v>
      </c>
      <c r="K15861" s="14" t="n">
        <f aca="false">Sens!J15861+sh_iss-Sens!K15855/Sens!K15860</f>
        <v>7.59823994988531</v>
      </c>
    </row>
    <row r="15862" customFormat="false" ht="15" hidden="false" customHeight="false" outlineLevel="0" collapsed="false">
      <c r="A15862" s="1" t="s">
        <v>977</v>
      </c>
      <c r="B15862" s="1" t="s">
        <v>81</v>
      </c>
      <c r="E15862" s="14" t="n">
        <f aca="false">sh_dil26</f>
        <v>7.453</v>
      </c>
      <c r="F15862" s="14" t="n">
        <f aca="false">(Sens!E15861+Sens!F15861)/2+dil_gap</f>
        <v>7.4735</v>
      </c>
      <c r="G15862" s="14" t="n">
        <f aca="false">(Sens!F15861+Sens!G15861)/2+dil_gap</f>
        <v>7.5185</v>
      </c>
      <c r="H15862" s="14" t="n">
        <f aca="false">(Sens!G15861+Sens!H15861)/2+dil_gap</f>
        <v>7.55857081108355</v>
      </c>
      <c r="I15862" s="14" t="n">
        <f aca="false">(Sens!H15861+Sens!I15861)/2+dil_gap</f>
        <v>7.58267086832446</v>
      </c>
      <c r="J15862" s="14" t="n">
        <f aca="false">(Sens!I15861+Sens!J15861)/2+dil_gap</f>
        <v>7.59691237944234</v>
      </c>
      <c r="K15862" s="14" t="n">
        <f aca="false">(Sens!J15861+Sens!K15861)/2+dil_gap</f>
        <v>7.61343229714408</v>
      </c>
    </row>
    <row r="15863" customFormat="false" ht="17.15" hidden="false" customHeight="false" outlineLevel="0" collapsed="false">
      <c r="A15863" s="1" t="s">
        <v>978</v>
      </c>
      <c r="B15863" s="0" t="s">
        <v>98</v>
      </c>
      <c r="C15863" s="6" t="n">
        <f aca="false">SUM(Sens!F15853:J15853)</f>
        <v>156.061671410236</v>
      </c>
    </row>
    <row r="15864" customFormat="false" ht="15" hidden="false" customHeight="false" outlineLevel="0" collapsed="false">
      <c r="A15864" s="23" t="s">
        <v>945</v>
      </c>
      <c r="B15864" s="30" t="s">
        <v>98</v>
      </c>
      <c r="C15864" s="24" t="n">
        <f aca="false">Sens!$C$15863-(Sens!F15853+Sens!G15853+Sens!H15853+Sens!I15853+Sens!J15853)</f>
        <v>0</v>
      </c>
      <c r="D15864" s="30"/>
      <c r="E15864" s="30"/>
      <c r="F15864" s="30"/>
      <c r="G15864" s="30"/>
      <c r="H15864" s="30"/>
      <c r="I15864" s="30"/>
      <c r="J15864" s="30"/>
      <c r="K15864" s="30"/>
    </row>
    <row r="15865" customFormat="false" ht="17.15" hidden="false" customHeight="false" outlineLevel="0" collapsed="false">
      <c r="A15865" s="1" t="s">
        <v>939</v>
      </c>
      <c r="B15865" s="1" t="s">
        <v>979</v>
      </c>
      <c r="C15865" s="32" t="str">
        <f aca="false">IF(SUM(Sens!F15856:J15856)&gt;0.05,"需要舉債 "&amp;TEXT(SUM(Sens!F15856:J15856),"0.0")&amp;" 十億美元","不需舉債")&amp;"；"&amp;IF(SUM(Sens!F15855:J15855)&lt;COUNT(Sens!F15855:J15855)*bb_target-0.05,"回購較每年 "&amp;TEXT(bb_target,"0.0")&amp;" 的目標少 "&amp;TEXT(COUNT(Sens!F15855:J15855)*bb_target-SUM(Sens!F15855:J15855),"0.0")&amp;" 十億美元（"&amp;TEXT(COUNTIF(Sens!F15855:J15855,"&lt;"&amp;(bb_target-0.05)),"0")&amp;" 年減少）","回購不減")</f>
        <v>需要舉債 19.4 十億美元；回購較每年 22.3 的目標少 60.4 十億美元（3 年減少）</v>
      </c>
    </row>
    <row r="15866" customFormat="false" ht="17.15" hidden="false" customHeight="false" outlineLevel="0" collapsed="false">
      <c r="A15866" s="3" t="s">
        <v>1665</v>
      </c>
    </row>
    <row r="15867" customFormat="false" ht="15" hidden="false" customHeight="false" outlineLevel="0" collapsed="false">
      <c r="A15867" s="4" t="s">
        <v>43</v>
      </c>
      <c r="B15867" s="4" t="s">
        <v>65</v>
      </c>
      <c r="C15867" s="20" t="s">
        <v>799</v>
      </c>
      <c r="D15867" s="20" t="s">
        <v>800</v>
      </c>
      <c r="E15867" s="20" t="s">
        <v>801</v>
      </c>
      <c r="F15867" s="20" t="s">
        <v>802</v>
      </c>
      <c r="G15867" s="20" t="s">
        <v>803</v>
      </c>
      <c r="H15867" s="20" t="s">
        <v>804</v>
      </c>
      <c r="I15867" s="20" t="s">
        <v>805</v>
      </c>
      <c r="J15867" s="20" t="s">
        <v>806</v>
      </c>
      <c r="K15867" s="20" t="s">
        <v>807</v>
      </c>
      <c r="L15867" s="4" t="s">
        <v>47</v>
      </c>
    </row>
    <row r="15868" customFormat="false" ht="15" hidden="false" customHeight="false" outlineLevel="0" collapsed="false">
      <c r="A15868" s="1" t="s">
        <v>1057</v>
      </c>
      <c r="B15868" s="1" t="s">
        <v>235</v>
      </c>
      <c r="F15868" s="36" t="n">
        <f aca="false">Sens!F15722-base_fy-mid_yr</f>
        <v>0.5</v>
      </c>
      <c r="G15868" s="36" t="n">
        <f aca="false">Sens!G15722-base_fy-mid_yr</f>
        <v>1.5</v>
      </c>
      <c r="H15868" s="36" t="n">
        <f aca="false">Sens!H15722-base_fy-mid_yr</f>
        <v>2.5</v>
      </c>
      <c r="I15868" s="36" t="n">
        <f aca="false">Sens!I15722-base_fy-mid_yr</f>
        <v>3.5</v>
      </c>
      <c r="J15868" s="36" t="n">
        <f aca="false">Sens!J15722-base_fy-mid_yr</f>
        <v>4.5</v>
      </c>
      <c r="K15868" s="36" t="n">
        <f aca="false">Sens!K15722-base_fy-mid_yr</f>
        <v>5.5</v>
      </c>
    </row>
    <row r="15869" customFormat="false" ht="15" hidden="false" customHeight="false" outlineLevel="0" collapsed="false">
      <c r="A15869" s="1" t="s">
        <v>1058</v>
      </c>
      <c r="B15869" s="0" t="s">
        <v>185</v>
      </c>
      <c r="F15869" s="14" t="n">
        <f aca="false">1/(1+wacc)^Sens!F15868</f>
        <v>0.952193373608246</v>
      </c>
      <c r="G15869" s="14" t="n">
        <f aca="false">1/(1+wacc)^Sens!G15868</f>
        <v>0.863327280626589</v>
      </c>
      <c r="H15869" s="14" t="n">
        <f aca="false">1/(1+wacc)^Sens!H15868</f>
        <v>0.782754862754115</v>
      </c>
      <c r="I15869" s="14" t="n">
        <f aca="false">1/(1+wacc)^Sens!I15868</f>
        <v>0.709702089711011</v>
      </c>
      <c r="J15869" s="14" t="n">
        <f aca="false">1/(1+wacc)^Sens!J15868</f>
        <v>0.643467169744551</v>
      </c>
      <c r="K15869" s="14" t="n">
        <f aca="false">1/(1+wacc)^Sens!K15868</f>
        <v>0.583413807767797</v>
      </c>
    </row>
    <row r="15870" customFormat="false" ht="17.15" hidden="false" customHeight="false" outlineLevel="0" collapsed="false">
      <c r="A15870" s="1" t="s">
        <v>1059</v>
      </c>
      <c r="B15870" s="0" t="s">
        <v>98</v>
      </c>
      <c r="F15870" s="6" t="n">
        <f aca="false">Sens!F15843-Sens!F15841-Sens!F15847+Sens!F15826*(1-tax_f)</f>
        <v>2.60618256249048</v>
      </c>
      <c r="G15870" s="6" t="n">
        <f aca="false">Sens!G15843-Sens!G15841-Sens!G15847+Sens!G15826*(1-tax_f)</f>
        <v>26.2544213267274</v>
      </c>
      <c r="H15870" s="6" t="n">
        <f aca="false">Sens!H15843-Sens!H15841-Sens!H15847+Sens!H15826*(1-tax_f)</f>
        <v>62.4249715151845</v>
      </c>
      <c r="I15870" s="6" t="n">
        <f aca="false">Sens!I15843-Sens!I15841-Sens!I15847+Sens!I15826*(1-tax_f)</f>
        <v>129.777971059079</v>
      </c>
      <c r="J15870" s="6" t="n">
        <f aca="false">Sens!J15843-Sens!J15841-Sens!J15847+Sens!J15826*(1-tax_f)</f>
        <v>200.387083287706</v>
      </c>
      <c r="K15870" s="6" t="n">
        <f aca="false">Sens!K15843-Sens!K15841-Sens!K15847+Sens!K15826*(1-tax_f)</f>
        <v>232.244747304228</v>
      </c>
      <c r="L15870" s="1" t="s">
        <v>1060</v>
      </c>
    </row>
    <row r="15871" customFormat="false" ht="15" hidden="false" customHeight="false" outlineLevel="0" collapsed="false">
      <c r="A15871" s="1" t="s">
        <v>1061</v>
      </c>
      <c r="B15871" s="0" t="s">
        <v>98</v>
      </c>
      <c r="F15871" s="6" t="n">
        <f aca="false">Sens!F15870*Sens!F15869</f>
        <v>2.4815897664168</v>
      </c>
      <c r="G15871" s="6" t="n">
        <f aca="false">Sens!G15870*Sens!G15869</f>
        <v>22.6661581684282</v>
      </c>
      <c r="H15871" s="6" t="n">
        <f aca="false">Sens!H15870*Sens!H15869</f>
        <v>48.8634500107978</v>
      </c>
      <c r="I15871" s="6" t="n">
        <f aca="false">Sens!I15870*Sens!I15869</f>
        <v>92.1036972590837</v>
      </c>
      <c r="J15871" s="6" t="n">
        <f aca="false">Sens!J15870*Sens!J15869</f>
        <v>128.942509336506</v>
      </c>
      <c r="K15871" s="6" t="n">
        <f aca="false">Sens!K15870*Sens!K15869</f>
        <v>135.494792358829</v>
      </c>
    </row>
    <row r="15872" customFormat="false" ht="17.15" hidden="false" customHeight="false" outlineLevel="0" collapsed="false">
      <c r="A15872" s="1" t="s">
        <v>1062</v>
      </c>
      <c r="B15872" s="0" t="s">
        <v>98</v>
      </c>
      <c r="C15872" s="6" t="n">
        <f aca="false">SUM(Sens!F15871:K15871)</f>
        <v>430.552196900062</v>
      </c>
    </row>
    <row r="15873" customFormat="false" ht="17.15" hidden="false" customHeight="false" outlineLevel="0" collapsed="false">
      <c r="A15873" s="1" t="s">
        <v>1063</v>
      </c>
      <c r="B15873" s="0" t="s">
        <v>98</v>
      </c>
      <c r="C15873" s="6" t="n">
        <f aca="false">Sens!K15812*(1+g_tv)*(1-tax_f)</f>
        <v>247.00043591486</v>
      </c>
    </row>
    <row r="15874" customFormat="false" ht="17.15" hidden="false" customHeight="false" outlineLevel="0" collapsed="false">
      <c r="A15874" s="1" t="s">
        <v>1064</v>
      </c>
      <c r="B15874" s="0" t="s">
        <v>98</v>
      </c>
      <c r="C15874" s="6" t="n">
        <f aca="false">Sens!$C$15873*(1-g_tv/(wacc+ronic_prem))</f>
        <v>175.012726937048</v>
      </c>
    </row>
    <row r="15875" customFormat="false" ht="17.15" hidden="false" customHeight="false" outlineLevel="0" collapsed="false">
      <c r="A15875" s="1" t="s">
        <v>1065</v>
      </c>
      <c r="B15875" s="0" t="s">
        <v>98</v>
      </c>
      <c r="C15875" s="6" t="n">
        <f aca="false">Sens!$C$15874/(wacc-g_tv)</f>
        <v>2399.59029926041</v>
      </c>
    </row>
    <row r="15876" customFormat="false" ht="15" hidden="false" customHeight="false" outlineLevel="0" collapsed="false">
      <c r="A15876" s="1" t="s">
        <v>1066</v>
      </c>
      <c r="B15876" s="0" t="s">
        <v>98</v>
      </c>
      <c r="C15876" s="6" t="n">
        <f aca="false">Sens!$C$15875/(1+wacc)^(Sens!K15868+mid_yr)</f>
        <v>1333.02703030094</v>
      </c>
    </row>
    <row r="15877" customFormat="false" ht="17.15" hidden="false" customHeight="false" outlineLevel="0" collapsed="false">
      <c r="A15877" s="0" t="s">
        <v>986</v>
      </c>
      <c r="B15877" s="0" t="s">
        <v>98</v>
      </c>
      <c r="C15877" s="6" t="n">
        <f aca="false">Sens!$C$15872+Sens!$C$15876</f>
        <v>1763.579227201</v>
      </c>
    </row>
    <row r="15878" customFormat="false" ht="15" hidden="false" customHeight="false" outlineLevel="0" collapsed="false">
      <c r="A15878" s="1" t="s">
        <v>987</v>
      </c>
      <c r="B15878" s="0" t="s">
        <v>129</v>
      </c>
      <c r="C15878" s="7" t="n">
        <f aca="false">Sens!$C$15876/Sens!$C$15877</f>
        <v>0.755864556431981</v>
      </c>
    </row>
    <row r="15879" customFormat="false" ht="17.15" hidden="false" customHeight="false" outlineLevel="0" collapsed="false">
      <c r="A15879" s="1" t="s">
        <v>1067</v>
      </c>
      <c r="B15879" s="0" t="s">
        <v>98</v>
      </c>
      <c r="C15879" s="6" t="n">
        <f aca="false">Sens!$C$15877+Sens!E15859-Sens!E15848+oai_v</f>
        <v>1898.092227201</v>
      </c>
    </row>
    <row r="15880" customFormat="false" ht="17.15" hidden="false" customHeight="false" outlineLevel="0" collapsed="false">
      <c r="A15880" s="0" t="s">
        <v>994</v>
      </c>
      <c r="B15880" s="0" t="s">
        <v>75</v>
      </c>
      <c r="C15880" s="5" t="n">
        <f aca="false">Sens!$C$15879/sh_dil26</f>
        <v>254.674926499531</v>
      </c>
    </row>
    <row r="15881" customFormat="false" ht="15" hidden="false" customHeight="false" outlineLevel="0" collapsed="false">
      <c r="A15881" s="1" t="s">
        <v>1068</v>
      </c>
      <c r="B15881" s="0" t="s">
        <v>75</v>
      </c>
      <c r="C15881" s="8" t="n">
        <f aca="false">dps_27+Sens!G15851*roll_div_q/q_per_yr</f>
        <v>4.8895</v>
      </c>
    </row>
    <row r="15882" customFormat="false" ht="17.15" hidden="false" customHeight="false" outlineLevel="0" collapsed="false">
      <c r="A15882" s="0" t="s">
        <v>1069</v>
      </c>
      <c r="B15882" s="0" t="s">
        <v>75</v>
      </c>
      <c r="C15882" s="5" t="n">
        <f aca="false">Sens!$C$15880*(1+wacc)^t_roll-Sens!$C$15881</f>
        <v>285.11734228003</v>
      </c>
    </row>
    <row r="15883" customFormat="false" ht="17.15" hidden="false" customHeight="false" outlineLevel="0" collapsed="false">
      <c r="A15883" s="1" t="s">
        <v>1070</v>
      </c>
      <c r="B15883" s="0" t="s">
        <v>129</v>
      </c>
      <c r="F15883" s="7" t="n">
        <f aca="false">Sens!F15838/(Sens!F15783-Sens!F15739)</f>
        <v>0.0686864325746334</v>
      </c>
      <c r="G15883" s="7" t="n">
        <f aca="false">Sens!G15838/(Sens!G15783-Sens!G15739)</f>
        <v>0.066267001590801</v>
      </c>
      <c r="H15883" s="7" t="n">
        <f aca="false">Sens!H15838/(Sens!H15783-Sens!H15739)</f>
        <v>0.0650366246750144</v>
      </c>
      <c r="I15883" s="7" t="n">
        <f aca="false">Sens!I15838/(Sens!I15783-Sens!I15739)</f>
        <v>0.0648573271390164</v>
      </c>
      <c r="J15883" s="7" t="n">
        <f aca="false">Sens!J15838/(Sens!J15783-Sens!J15739)</f>
        <v>0.0655189837669657</v>
      </c>
      <c r="K15883" s="7" t="n">
        <f aca="false">Sens!K15838/(Sens!K15783-Sens!K15739)</f>
        <v>0.0667878921367872</v>
      </c>
    </row>
    <row r="15884" customFormat="false" ht="17.15" hidden="false" customHeight="false" outlineLevel="0" collapsed="false">
      <c r="A15884" s="0" t="s">
        <v>1071</v>
      </c>
      <c r="B15884" s="0" t="s">
        <v>98</v>
      </c>
      <c r="F15884" s="6" t="n">
        <f aca="false">Sens!F15768*(al_m365+Sens!F15883+sbc_r)</f>
        <v>82.8871280343675</v>
      </c>
      <c r="G15884" s="6" t="n">
        <f aca="false">Sens!G15768*(al_m365+Sens!G15883+sbc_r)</f>
        <v>93.2646494841949</v>
      </c>
      <c r="H15884" s="6" t="n">
        <f aca="false">Sens!H15768*(al_m365+Sens!H15883+sbc_r)</f>
        <v>103.801656157254</v>
      </c>
      <c r="I15884" s="6" t="n">
        <f aca="false">Sens!I15768*(al_m365+Sens!I15883+sbc_r)</f>
        <v>113.821873816133</v>
      </c>
      <c r="J15884" s="6" t="n">
        <f aca="false">Sens!J15768*(al_m365+Sens!J15883+sbc_r)</f>
        <v>123.136196807334</v>
      </c>
      <c r="K15884" s="6" t="n">
        <f aca="false">Sens!K15768*(al_m365+Sens!K15883+sbc_r)</f>
        <v>132.051675801964</v>
      </c>
      <c r="L15884" s="11" t="s">
        <v>1072</v>
      </c>
    </row>
    <row r="15885" customFormat="false" ht="17.15" hidden="false" customHeight="false" outlineLevel="0" collapsed="false">
      <c r="A15885" s="0" t="s">
        <v>1073</v>
      </c>
      <c r="B15885" s="0" t="s">
        <v>98</v>
      </c>
      <c r="F15885" s="6" t="n">
        <f aca="false">Sens!F15769*(al_lic+Sens!F15883+sbc_r)</f>
        <v>33.4484001235218</v>
      </c>
      <c r="G15885" s="6" t="n">
        <f aca="false">Sens!G15769*(al_lic+Sens!G15883+sbc_r)</f>
        <v>34.7662136749183</v>
      </c>
      <c r="H15885" s="6" t="n">
        <f aca="false">Sens!H15769*(al_lic+Sens!H15883+sbc_r)</f>
        <v>35.9922067034497</v>
      </c>
      <c r="I15885" s="6" t="n">
        <f aca="false">Sens!I15769*(al_lic+Sens!I15883+sbc_r)</f>
        <v>37.1063543598183</v>
      </c>
      <c r="J15885" s="6" t="n">
        <f aca="false">Sens!J15769*(al_lic+Sens!J15883+sbc_r)</f>
        <v>38.0853056964387</v>
      </c>
      <c r="K15885" s="6" t="n">
        <f aca="false">Sens!K15769*(al_lic+Sens!K15883+sbc_r)</f>
        <v>38.9048066370724</v>
      </c>
    </row>
    <row r="15886" customFormat="false" ht="17.15" hidden="false" customHeight="false" outlineLevel="0" collapsed="false">
      <c r="A15886" s="0" t="s">
        <v>1074</v>
      </c>
      <c r="B15886" s="0" t="s">
        <v>98</v>
      </c>
      <c r="F15886" s="6" t="n">
        <f aca="false">Sens!F15771*(al_ind+Sens!F15883+sbc_r)</f>
        <v>9.07857451914073</v>
      </c>
      <c r="G15886" s="6" t="n">
        <f aca="false">Sens!G15771*(al_ind+Sens!G15883+sbc_r)</f>
        <v>9.86487802721884</v>
      </c>
      <c r="H15886" s="6" t="n">
        <f aca="false">Sens!H15771*(al_ind+Sens!H15883+sbc_r)</f>
        <v>10.693809720013</v>
      </c>
      <c r="I15886" s="6" t="n">
        <f aca="false">Sens!I15771*(al_ind+Sens!I15883+sbc_r)</f>
        <v>11.5608645999226</v>
      </c>
      <c r="J15886" s="6" t="n">
        <f aca="false">Sens!J15771*(al_ind+Sens!J15883+sbc_r)</f>
        <v>12.4574161941375</v>
      </c>
      <c r="K15886" s="6" t="n">
        <f aca="false">Sens!K15771*(al_ind+Sens!K15883+sbc_r)</f>
        <v>13.3714153876622</v>
      </c>
    </row>
    <row r="15887" customFormat="false" ht="17.15" hidden="false" customHeight="false" outlineLevel="0" collapsed="false">
      <c r="A15887" s="0" t="s">
        <v>1075</v>
      </c>
      <c r="B15887" s="0" t="s">
        <v>98</v>
      </c>
      <c r="F15887" s="6" t="n">
        <f aca="false">Sens!F15773*(al_fro+Sens!F15883+sbc_r)</f>
        <v>3.57335880380168</v>
      </c>
      <c r="G15887" s="6" t="n">
        <f aca="false">Sens!G15773*(al_fro+Sens!G15883+sbc_r)</f>
        <v>3.78752993435501</v>
      </c>
      <c r="H15887" s="6" t="n">
        <f aca="false">Sens!H15773*(al_fro+Sens!H15883+sbc_r)</f>
        <v>4.02979352544868</v>
      </c>
      <c r="I15887" s="6" t="n">
        <f aca="false">Sens!I15773*(al_fro+Sens!I15883+sbc_r)</f>
        <v>4.30248328262388</v>
      </c>
      <c r="J15887" s="6" t="n">
        <f aca="false">Sens!J15773*(al_fro+Sens!J15883+sbc_r)</f>
        <v>4.6072312462081</v>
      </c>
      <c r="K15887" s="6" t="n">
        <f aca="false">Sens!K15773*(al_fro+Sens!K15883+sbc_r)</f>
        <v>4.94526327289735</v>
      </c>
    </row>
    <row r="15888" customFormat="false" ht="17.15" hidden="false" customHeight="false" outlineLevel="0" collapsed="false">
      <c r="A15888" s="0" t="s">
        <v>1076</v>
      </c>
      <c r="B15888" s="0" t="s">
        <v>98</v>
      </c>
      <c r="F15888" s="6" t="n">
        <f aca="false">Sens!F15776*(al_srch+Sens!F15883+sbc_r)</f>
        <v>11.2121706988551</v>
      </c>
      <c r="G15888" s="6" t="n">
        <f aca="false">Sens!G15776*(al_srch+Sens!G15883+sbc_r)</f>
        <v>12.298220751086</v>
      </c>
      <c r="H15888" s="6" t="n">
        <f aca="false">Sens!H15776*(al_srch+Sens!H15883+sbc_r)</f>
        <v>13.4264661389574</v>
      </c>
      <c r="I15888" s="6" t="n">
        <f aca="false">Sens!I15776*(al_srch+Sens!I15883+sbc_r)</f>
        <v>14.5842947685169</v>
      </c>
      <c r="J15888" s="6" t="n">
        <f aca="false">Sens!J15776*(al_srch+Sens!J15883+sbc_r)</f>
        <v>15.7529827260804</v>
      </c>
      <c r="K15888" s="6" t="n">
        <f aca="false">Sens!K15776*(al_srch+Sens!K15883+sbc_r)</f>
        <v>16.908777257054</v>
      </c>
    </row>
    <row r="15889" customFormat="false" ht="17.15" hidden="false" customHeight="false" outlineLevel="0" collapsed="false">
      <c r="A15889" s="0" t="s">
        <v>1077</v>
      </c>
      <c r="B15889" s="0" t="s">
        <v>98</v>
      </c>
      <c r="F15889" s="6" t="n">
        <f aca="false">Sens!F15745-Sens!F15746+Sens!F15826</f>
        <v>38.6797715123049</v>
      </c>
      <c r="G15889" s="6" t="n">
        <f aca="false">Sens!G15745-Sens!G15746+Sens!G15826</f>
        <v>67.9698044367775</v>
      </c>
      <c r="H15889" s="6" t="n">
        <f aca="false">Sens!H15745-Sens!H15746+Sens!H15826</f>
        <v>94.4027386785771</v>
      </c>
      <c r="I15889" s="6" t="n">
        <f aca="false">Sens!I15745-Sens!I15746+Sens!I15826</f>
        <v>124.629799296032</v>
      </c>
      <c r="J15889" s="6" t="n">
        <f aca="false">Sens!J15745-Sens!J15746+Sens!J15826</f>
        <v>146.1886418102</v>
      </c>
      <c r="K15889" s="6" t="n">
        <f aca="false">Sens!K15745-Sens!K15746+Sens!K15826</f>
        <v>160.310017660072</v>
      </c>
    </row>
    <row r="15890" customFormat="false" ht="17.15" hidden="false" customHeight="false" outlineLevel="0" collapsed="false">
      <c r="A15890" s="0" t="s">
        <v>1078</v>
      </c>
      <c r="B15890" s="0" t="s">
        <v>98</v>
      </c>
      <c r="F15890" s="6" t="n">
        <f aca="false">Sens!F15805+Sens!F15826+Sens!F15756+Sens!F15883*(Sens!F15775-Sens!F15739)+sbc_r*Sens!F15775</f>
        <v>228.584897827812</v>
      </c>
      <c r="G15890" s="6" t="n">
        <f aca="false">Sens!G15805+Sens!G15826+Sens!G15756+Sens!G15883*(Sens!G15775-Sens!G15739)+sbc_r*Sens!G15775</f>
        <v>282.687640240849</v>
      </c>
      <c r="H15890" s="6" t="n">
        <f aca="false">Sens!H15805+Sens!H15826+Sens!H15756+Sens!H15883*(Sens!H15775-Sens!H15739)+sbc_r*Sens!H15775</f>
        <v>334.211532106692</v>
      </c>
      <c r="I15890" s="6" t="n">
        <f aca="false">Sens!I15805+Sens!I15826+Sens!I15756+Sens!I15883*(Sens!I15775-Sens!I15739)+sbc_r*Sens!I15775</f>
        <v>388.918159470381</v>
      </c>
      <c r="J15890" s="6" t="n">
        <f aca="false">Sens!J15805+Sens!J15826+Sens!J15756+Sens!J15883*(Sens!J15775-Sens!J15739)+sbc_r*Sens!J15775</f>
        <v>433.068603437225</v>
      </c>
      <c r="K15890" s="6" t="n">
        <f aca="false">Sens!K15805+Sens!K15826+Sens!K15756+Sens!K15883*(Sens!K15775-Sens!K15739)+sbc_r*Sens!K15775</f>
        <v>467.497782732922</v>
      </c>
    </row>
    <row r="15891" customFormat="false" ht="17.15" hidden="false" customHeight="false" outlineLevel="0" collapsed="false">
      <c r="A15891" s="0" t="s">
        <v>1079</v>
      </c>
      <c r="B15891" s="0" t="s">
        <v>98</v>
      </c>
      <c r="F15891" s="6" t="n">
        <f aca="false">Sens!F15890-Sens!F15884-Sens!F15885-Sens!F15886-Sens!F15887-Sens!F15889</f>
        <v>60.9176648346755</v>
      </c>
      <c r="G15891" s="6" t="n">
        <f aca="false">Sens!G15890-Sens!G15884-Sens!G15885-Sens!G15886-Sens!G15887-Sens!G15889</f>
        <v>73.0345646833845</v>
      </c>
      <c r="H15891" s="6" t="n">
        <f aca="false">Sens!H15890-Sens!H15884-Sens!H15885-Sens!H15886-Sens!H15887-Sens!H15889</f>
        <v>85.2913273219498</v>
      </c>
      <c r="I15891" s="6" t="n">
        <f aca="false">Sens!I15890-Sens!I15884-Sens!I15885-Sens!I15886-Sens!I15887-Sens!I15889</f>
        <v>97.4967841158513</v>
      </c>
      <c r="J15891" s="6" t="n">
        <f aca="false">Sens!J15890-Sens!J15884-Sens!J15885-Sens!J15886-Sens!J15887-Sens!J15889</f>
        <v>108.593811682907</v>
      </c>
      <c r="K15891" s="6" t="n">
        <f aca="false">Sens!K15890-Sens!K15884-Sens!K15885-Sens!K15886-Sens!K15887-Sens!K15889</f>
        <v>117.914603973254</v>
      </c>
    </row>
    <row r="15892" customFormat="false" ht="17.15" hidden="false" customHeight="false" outlineLevel="0" collapsed="false">
      <c r="A15892" s="0" t="s">
        <v>1080</v>
      </c>
      <c r="B15892" s="0" t="s">
        <v>98</v>
      </c>
      <c r="F15892" s="6" t="n">
        <f aca="false">Sens!F15807+Sens!F15883*Sens!F15782+sbc_r*Sens!F15782</f>
        <v>26.2049549828959</v>
      </c>
      <c r="G15892" s="6" t="n">
        <f aca="false">Sens!G15807+Sens!G15883*Sens!G15782+sbc_r*Sens!G15782</f>
        <v>26.8405806403664</v>
      </c>
      <c r="H15892" s="6" t="n">
        <f aca="false">Sens!H15807+Sens!H15883*Sens!H15782+sbc_r*Sens!H15782</f>
        <v>27.7352032470138</v>
      </c>
      <c r="I15892" s="6" t="n">
        <f aca="false">Sens!I15807+Sens!I15883*Sens!I15782+sbc_r*Sens!I15782</f>
        <v>28.8569155956094</v>
      </c>
      <c r="J15892" s="6" t="n">
        <f aca="false">Sens!J15807+Sens!J15883*Sens!J15782+sbc_r*Sens!J15782</f>
        <v>30.1744385645725</v>
      </c>
      <c r="K15892" s="6" t="n">
        <f aca="false">Sens!K15807+Sens!K15883*Sens!K15782+sbc_r*Sens!K15782</f>
        <v>31.6584976186802</v>
      </c>
    </row>
    <row r="15893" customFormat="false" ht="17.15" hidden="false" customHeight="false" outlineLevel="0" collapsed="false">
      <c r="A15893" s="0" t="s">
        <v>1081</v>
      </c>
      <c r="B15893" s="0" t="s">
        <v>98</v>
      </c>
      <c r="F15893" s="6" t="n">
        <f aca="false">(Sens!F15892-Sens!F15888)*Sens!F15778/(Sens!F15778+Sens!F15780)</f>
        <v>8.21889831690819</v>
      </c>
      <c r="G15893" s="6" t="n">
        <f aca="false">(Sens!G15892-Sens!G15888)*Sens!G15778/(Sens!G15778+Sens!G15780)</f>
        <v>7.82984014749099</v>
      </c>
      <c r="H15893" s="6" t="n">
        <f aca="false">(Sens!H15892-Sens!H15888)*Sens!H15778/(Sens!H15778+Sens!H15780)</f>
        <v>7.5999849964554</v>
      </c>
      <c r="I15893" s="6" t="n">
        <f aca="false">(Sens!I15892-Sens!I15888)*Sens!I15778/(Sens!I15778+Sens!I15780)</f>
        <v>7.51221089422364</v>
      </c>
      <c r="J15893" s="6" t="n">
        <f aca="false">(Sens!J15892-Sens!J15888)*Sens!J15778/(Sens!J15778+Sens!J15780)</f>
        <v>7.55622411401827</v>
      </c>
      <c r="K15893" s="6" t="n">
        <f aca="false">(Sens!K15892-Sens!K15888)*Sens!K15778/(Sens!K15778+Sens!K15780)</f>
        <v>7.72822064011532</v>
      </c>
    </row>
    <row r="15894" customFormat="false" ht="17.15" hidden="false" customHeight="false" outlineLevel="0" collapsed="false">
      <c r="A15894" s="0" t="s">
        <v>1082</v>
      </c>
      <c r="B15894" s="0" t="s">
        <v>98</v>
      </c>
      <c r="F15894" s="6" t="n">
        <f aca="false">Sens!F15892-Sens!F15888-Sens!F15893</f>
        <v>6.77388596713263</v>
      </c>
      <c r="G15894" s="6" t="n">
        <f aca="false">Sens!G15892-Sens!G15888-Sens!G15893</f>
        <v>6.71251974178949</v>
      </c>
      <c r="H15894" s="6" t="n">
        <f aca="false">Sens!H15892-Sens!H15888-Sens!H15893</f>
        <v>6.70875211160101</v>
      </c>
      <c r="I15894" s="6" t="n">
        <f aca="false">Sens!I15892-Sens!I15888-Sens!I15893</f>
        <v>6.76040993286883</v>
      </c>
      <c r="J15894" s="6" t="n">
        <f aca="false">Sens!J15892-Sens!J15888-Sens!J15893</f>
        <v>6.86523172447386</v>
      </c>
      <c r="K15894" s="6" t="n">
        <f aca="false">Sens!K15892-Sens!K15888-Sens!K15893</f>
        <v>7.02149972151092</v>
      </c>
    </row>
    <row r="15895" customFormat="false" ht="17.15" hidden="false" customHeight="false" outlineLevel="0" collapsed="false">
      <c r="A15895" s="0" t="s">
        <v>1083</v>
      </c>
      <c r="B15895" s="0" t="s">
        <v>98</v>
      </c>
      <c r="F15895" s="6" t="n">
        <f aca="false">Sens!F15889-tax_f*(Sens!F15889-Sens!F15756)-Sens!F15753</f>
        <v>-122.579081185432</v>
      </c>
      <c r="G15895" s="6" t="n">
        <f aca="false">Sens!G15889-tax_f*(Sens!G15889-Sens!G15756)-Sens!G15753</f>
        <v>-117.373249511676</v>
      </c>
      <c r="H15895" s="6" t="n">
        <f aca="false">Sens!H15889-tax_f*(Sens!H15889-Sens!H15756)-Sens!H15753</f>
        <v>-95.285890998876</v>
      </c>
      <c r="I15895" s="6" t="n">
        <f aca="false">Sens!I15889-tax_f*(Sens!I15889-Sens!I15756)-Sens!I15753</f>
        <v>-41.8816809509416</v>
      </c>
      <c r="J15895" s="6" t="n">
        <f aca="false">Sens!J15889-tax_f*(Sens!J15889-Sens!J15756)-Sens!J15753</f>
        <v>15.3691414244864</v>
      </c>
      <c r="K15895" s="6" t="n">
        <f aca="false">Sens!K15889-tax_f*(Sens!K15889-Sens!K15756)-Sens!K15753</f>
        <v>34.6668916333283</v>
      </c>
    </row>
    <row r="15896" customFormat="false" ht="17.15" hidden="false" customHeight="false" outlineLevel="0" collapsed="false">
      <c r="A15896" s="0" t="s">
        <v>1084</v>
      </c>
      <c r="B15896" s="0" t="s">
        <v>98</v>
      </c>
      <c r="G15896" s="6" t="n">
        <f aca="false">Sens!G15895/(1+wacc)^(Sens!G15868-(Sens!F15868+mid_yr))</f>
        <v>-111.762030423885</v>
      </c>
      <c r="H15896" s="6" t="n">
        <f aca="false">Sens!H15895/(1+wacc)^(Sens!H15868-(Sens!F15868+mid_yr))</f>
        <v>-82.2629091581412</v>
      </c>
      <c r="I15896" s="6" t="n">
        <f aca="false">Sens!I15895/(1+wacc)^(Sens!I15868-(Sens!F15868+mid_yr))</f>
        <v>-32.7830894246659</v>
      </c>
      <c r="J15896" s="6" t="n">
        <f aca="false">Sens!J15895/(1+wacc)^(Sens!J15868-(Sens!F15868+mid_yr))</f>
        <v>10.907511786022</v>
      </c>
      <c r="K15896" s="6" t="n">
        <f aca="false">Sens!K15895/(1+wacc)^(Sens!K15868-(Sens!F15868+mid_yr))</f>
        <v>22.3070066431388</v>
      </c>
      <c r="L15896" s="1" t="s">
        <v>1085</v>
      </c>
    </row>
    <row r="15897" customFormat="false" ht="17.15" hidden="false" customHeight="false" outlineLevel="0" collapsed="false">
      <c r="A15897" s="0" t="s">
        <v>1086</v>
      </c>
      <c r="B15897" s="0" t="s">
        <v>98</v>
      </c>
      <c r="C15897" s="6" t="n">
        <f aca="false">(Sens!K15889-Sens!K15756)*(1-tax_f)*(1+g_tv)*(1-g_tv/(wacc+ronic_prem))/(wacc-g_tv)/(1+wacc)^(Sens!K15868+mid_yr-(Sens!F15868+mid_yr))</f>
        <v>103.875812758606</v>
      </c>
    </row>
    <row r="15898" customFormat="false" ht="17.15" hidden="false" customHeight="false" outlineLevel="0" collapsed="false">
      <c r="A15898" s="1" t="s">
        <v>1087</v>
      </c>
      <c r="B15898" s="0" t="s">
        <v>98</v>
      </c>
      <c r="C15898" s="6" t="n">
        <f aca="false">(SUM(Sens!G15896:K15896)+Sens!$C$15897)*(1+wacc)^(t_roll-(Sens!F15868+mid_yr))</f>
        <v>-92.6297486746201</v>
      </c>
      <c r="L15898" s="11" t="s">
        <v>1088</v>
      </c>
    </row>
    <row r="15899" customFormat="false" ht="17.15" hidden="false" customHeight="false" outlineLevel="0" collapsed="false">
      <c r="A15899" s="1" t="s">
        <v>1089</v>
      </c>
      <c r="B15899" s="0" t="s">
        <v>98</v>
      </c>
      <c r="C15899" s="6" t="n">
        <f aca="false">(w_ntm28*Sens!G15745+(1-w_ntm28)*Sens!H15745)*m_ai</f>
        <v>338.776008390068</v>
      </c>
    </row>
    <row r="15900" customFormat="false" ht="17.15" hidden="false" customHeight="false" outlineLevel="0" collapsed="false">
      <c r="A15900" s="1" t="s">
        <v>1090</v>
      </c>
      <c r="B15900" s="0" t="s">
        <v>98</v>
      </c>
      <c r="C15900" s="6" t="n">
        <f aca="false">(w_ntm28*Sens!G15891+(1-w_ntm28)*Sens!H15891)*m_cloud</f>
        <v>1064.09888458319</v>
      </c>
    </row>
    <row r="15901" customFormat="false" ht="17.15" hidden="false" customHeight="false" outlineLevel="0" collapsed="false">
      <c r="A15901" s="1" t="s">
        <v>1091</v>
      </c>
      <c r="B15901" s="0" t="s">
        <v>98</v>
      </c>
      <c r="C15901" s="6" t="n">
        <f aca="false">(w_ntm28*Sens!G15884+(1-w_ntm28)*Sens!H15884)*m_sw</f>
        <v>1044.04824539957</v>
      </c>
    </row>
    <row r="15902" customFormat="false" ht="17.15" hidden="false" customHeight="false" outlineLevel="0" collapsed="false">
      <c r="A15902" s="1" t="s">
        <v>1092</v>
      </c>
      <c r="B15902" s="0" t="s">
        <v>98</v>
      </c>
      <c r="C15902" s="6" t="n">
        <f aca="false">(w_ntm28*Sens!G15885+(1-w_ntm28)*Sens!H15885)*m_sw</f>
        <v>379.755670745447</v>
      </c>
    </row>
    <row r="15903" customFormat="false" ht="17.15" hidden="false" customHeight="false" outlineLevel="0" collapsed="false">
      <c r="A15903" s="1" t="s">
        <v>1093</v>
      </c>
      <c r="B15903" s="0" t="s">
        <v>98</v>
      </c>
      <c r="C15903" s="6" t="n">
        <f aca="false">(w_ntm28*Sens!G15886+(1-w_ntm28)*Sens!H15886)*m_sw</f>
        <v>109.434903376969</v>
      </c>
    </row>
    <row r="15904" customFormat="false" ht="17.15" hidden="false" customHeight="false" outlineLevel="0" collapsed="false">
      <c r="A15904" s="1" t="s">
        <v>1094</v>
      </c>
      <c r="B15904" s="0" t="s">
        <v>98</v>
      </c>
      <c r="C15904" s="6" t="n">
        <f aca="false">(w_ntm28*Sens!G15887+(1-w_ntm28)*Sens!H15887)*m_sw</f>
        <v>41.7511882786773</v>
      </c>
    </row>
    <row r="15905" customFormat="false" ht="17.15" hidden="false" customHeight="false" outlineLevel="0" collapsed="false">
      <c r="A15905" s="1" t="s">
        <v>1095</v>
      </c>
      <c r="B15905" s="0" t="s">
        <v>98</v>
      </c>
      <c r="C15905" s="6" t="n">
        <f aca="false">(w_ntm28*Sens!G15888+(1-w_ntm28)*Sens!H15888)*m_ads</f>
        <v>115.359643719254</v>
      </c>
    </row>
    <row r="15906" customFormat="false" ht="17.15" hidden="false" customHeight="false" outlineLevel="0" collapsed="false">
      <c r="A15906" s="1" t="s">
        <v>1096</v>
      </c>
      <c r="B15906" s="0" t="s">
        <v>98</v>
      </c>
      <c r="C15906" s="6" t="n">
        <f aca="false">(w_ntm28*Sens!G15893+(1-w_ntm28)*Sens!H15893)*m_game</f>
        <v>97.9523541428266</v>
      </c>
    </row>
    <row r="15907" customFormat="false" ht="17.15" hidden="false" customHeight="false" outlineLevel="0" collapsed="false">
      <c r="A15907" s="1" t="s">
        <v>1097</v>
      </c>
      <c r="B15907" s="0" t="s">
        <v>98</v>
      </c>
      <c r="C15907" s="6" t="n">
        <f aca="false">(w_ntm28*Sens!G15894+(1-w_ntm28)*Sens!H15894)*m_pc</f>
        <v>97.1125357928949</v>
      </c>
    </row>
    <row r="15908" customFormat="false" ht="17.15" hidden="false" customHeight="false" outlineLevel="0" collapsed="false">
      <c r="A15908" s="1" t="s">
        <v>1098</v>
      </c>
      <c r="B15908" s="0" t="s">
        <v>98</v>
      </c>
      <c r="C15908" s="6" t="n">
        <f aca="false">Sens!$C$15898+Sens!$C$15900+Sens!$C$15901+Sens!$C$15902+Sens!$C$15903+Sens!$C$15904+Sens!$C$15905+Sens!$C$15906+Sens!$C$15907</f>
        <v>2856.88367736421</v>
      </c>
    </row>
    <row r="15909" customFormat="false" ht="17.15" hidden="false" customHeight="false" outlineLevel="0" collapsed="false">
      <c r="A15909" s="1" t="s">
        <v>1099</v>
      </c>
      <c r="B15909" s="0" t="s">
        <v>98</v>
      </c>
      <c r="C15909" s="6" t="n">
        <f aca="false">(Sens!G15870-Sens!G15895)*t_stub</f>
        <v>46.8265556979999</v>
      </c>
      <c r="L15909" s="1" t="s">
        <v>1100</v>
      </c>
    </row>
    <row r="15910" customFormat="false" ht="17.15" hidden="false" customHeight="false" outlineLevel="0" collapsed="false">
      <c r="A15910" s="1" t="s">
        <v>1014</v>
      </c>
      <c r="B15910" s="0" t="s">
        <v>98</v>
      </c>
      <c r="C15910" s="6" t="n">
        <f aca="false">Sens!F15859+oai_v-Sens!F15848+Sens!$C$15909</f>
        <v>161.937737972715</v>
      </c>
      <c r="L15910" s="1" t="s">
        <v>1101</v>
      </c>
    </row>
    <row r="15911" customFormat="false" ht="17.15" hidden="false" customHeight="false" outlineLevel="0" collapsed="false">
      <c r="A15911" s="1" t="s">
        <v>1102</v>
      </c>
      <c r="B15911" s="0" t="s">
        <v>75</v>
      </c>
      <c r="C15911" s="5" t="n">
        <f aca="false">(Sens!$C$15908+Sens!$C$15910)/(Sens!F15861+dil_gap)-Sens!G15851*roll_div_q/q_per_yr</f>
        <v>401.684808342706</v>
      </c>
      <c r="L15911" s="1" t="s">
        <v>1103</v>
      </c>
    </row>
    <row r="15912" customFormat="false" ht="17.15" hidden="false" customHeight="false" outlineLevel="0" collapsed="false">
      <c r="A15912" s="1" t="s">
        <v>1104</v>
      </c>
      <c r="B15912" s="0" t="s">
        <v>75</v>
      </c>
      <c r="C15912" s="5" t="n">
        <f aca="false">w_dcf*Sens!$C$15882+(1-w_dcf)*Sens!$C$15911</f>
        <v>343.401075311368</v>
      </c>
    </row>
    <row r="15913" customFormat="false" ht="17.15" hidden="false" customHeight="false" outlineLevel="0" collapsed="false">
      <c r="A15913" s="3" t="s">
        <v>1666</v>
      </c>
    </row>
    <row r="15914" customFormat="false" ht="15" hidden="false" customHeight="false" outlineLevel="0" collapsed="false">
      <c r="A15914" s="4" t="s">
        <v>43</v>
      </c>
      <c r="B15914" s="4" t="s">
        <v>65</v>
      </c>
      <c r="C15914" s="20" t="s">
        <v>799</v>
      </c>
      <c r="D15914" s="20" t="s">
        <v>800</v>
      </c>
      <c r="E15914" s="20" t="s">
        <v>801</v>
      </c>
      <c r="F15914" s="20" t="s">
        <v>802</v>
      </c>
      <c r="G15914" s="20" t="s">
        <v>803</v>
      </c>
      <c r="H15914" s="20" t="s">
        <v>804</v>
      </c>
      <c r="I15914" s="20" t="s">
        <v>805</v>
      </c>
      <c r="J15914" s="20" t="s">
        <v>806</v>
      </c>
      <c r="K15914" s="20" t="s">
        <v>807</v>
      </c>
      <c r="L15914" s="4" t="s">
        <v>47</v>
      </c>
    </row>
    <row r="15915" customFormat="false" ht="17.15" hidden="false" customHeight="false" outlineLevel="0" collapsed="false">
      <c r="A15915" s="1" t="s">
        <v>808</v>
      </c>
      <c r="B15915" s="1" t="s">
        <v>235</v>
      </c>
      <c r="C15915" s="28" t="n">
        <v>2024</v>
      </c>
      <c r="D15915" s="28" t="n">
        <v>2025</v>
      </c>
      <c r="E15915" s="28" t="n">
        <v>2026</v>
      </c>
      <c r="F15915" s="28" t="n">
        <v>2027</v>
      </c>
      <c r="G15915" s="28" t="n">
        <v>2028</v>
      </c>
      <c r="H15915" s="28" t="n">
        <v>2029</v>
      </c>
      <c r="I15915" s="28" t="n">
        <v>2030</v>
      </c>
      <c r="J15915" s="28" t="n">
        <v>2031</v>
      </c>
      <c r="K15915" s="28" t="n">
        <v>2032</v>
      </c>
    </row>
    <row r="15916" customFormat="false" ht="17.15" hidden="false" customHeight="false" outlineLevel="0" collapsed="false">
      <c r="A15916" s="1" t="s">
        <v>809</v>
      </c>
      <c r="B15916" s="0" t="s">
        <v>399</v>
      </c>
      <c r="F15916" s="29" t="n">
        <f aca="false">pace</f>
        <v>2527.2</v>
      </c>
      <c r="G15916" s="29" t="n">
        <f aca="false">pace</f>
        <v>2527.2</v>
      </c>
      <c r="H15916" s="29" t="n">
        <f aca="false">pace</f>
        <v>2527.2</v>
      </c>
      <c r="I15916" s="29" t="n">
        <f aca="false">pace+(g_tv*Sens!H15917-pace)*MIN(1,(Sens!I15915-pace_y0)/(pace_y1-pace_y0))</f>
        <v>1793.116</v>
      </c>
      <c r="J15916" s="29" t="n">
        <f aca="false">pace+(g_tv*Sens!I15917-pace)*MIN(1,(Sens!J15915-pace_y0)/(pace_y1-pace_y0))</f>
        <v>1094.89432</v>
      </c>
      <c r="K15916" s="29" t="n">
        <f aca="false">pace+(g_tv*Sens!J15917-pace)*MIN(1,(Sens!K15915-pace_y0)/(pace_y1-pace_y0))</f>
        <v>411.5883096</v>
      </c>
      <c r="L15916" s="11" t="s">
        <v>810</v>
      </c>
    </row>
    <row r="15917" customFormat="false" ht="17.15" hidden="false" customHeight="false" outlineLevel="0" collapsed="false">
      <c r="A15917" s="1" t="s">
        <v>811</v>
      </c>
      <c r="B15917" s="0" t="s">
        <v>399</v>
      </c>
      <c r="C15917" s="29" t="n">
        <f aca="false">mw_ext_24</f>
        <v>640</v>
      </c>
      <c r="D15917" s="29" t="n">
        <f aca="false">mw_ext_25</f>
        <v>1630</v>
      </c>
      <c r="E15917" s="29" t="n">
        <f aca="false">mw_ext_26</f>
        <v>3250</v>
      </c>
      <c r="F15917" s="29" t="n">
        <f aca="false">Sens!E15917+Sens!F15916</f>
        <v>5777.2</v>
      </c>
      <c r="G15917" s="29" t="n">
        <f aca="false">Sens!F15917+Sens!G15916</f>
        <v>8304.4</v>
      </c>
      <c r="H15917" s="29" t="n">
        <f aca="false">Sens!G15917+Sens!H15916</f>
        <v>10831.6</v>
      </c>
      <c r="I15917" s="29" t="n">
        <f aca="false">Sens!H15917+Sens!I15916</f>
        <v>12624.716</v>
      </c>
      <c r="J15917" s="29" t="n">
        <f aca="false">Sens!I15917+Sens!J15916</f>
        <v>13719.61032</v>
      </c>
      <c r="K15917" s="29" t="n">
        <f aca="false">Sens!J15917+Sens!K15916</f>
        <v>14131.1986296</v>
      </c>
      <c r="L15917" s="1" t="s">
        <v>812</v>
      </c>
    </row>
    <row r="15918" customFormat="false" ht="17.15" hidden="false" customHeight="false" outlineLevel="0" collapsed="false">
      <c r="A15918" s="1" t="s">
        <v>813</v>
      </c>
      <c r="B15918" s="0" t="s">
        <v>399</v>
      </c>
      <c r="C15918" s="29" t="n">
        <f aca="false">rent_ext_24</f>
        <v>150</v>
      </c>
      <c r="D15918" s="29" t="n">
        <f aca="false">rent_ext_25</f>
        <v>400</v>
      </c>
      <c r="E15918" s="29" t="n">
        <f aca="false">rent_ext_26</f>
        <v>550</v>
      </c>
      <c r="F15918" s="29" t="n">
        <f aca="false">rent_ext_f</f>
        <v>756</v>
      </c>
      <c r="G15918" s="29" t="n">
        <f aca="false">rent_ext_f</f>
        <v>756</v>
      </c>
      <c r="H15918" s="29" t="n">
        <f aca="false">rent_ext_f</f>
        <v>756</v>
      </c>
      <c r="I15918" s="29" t="n">
        <f aca="false">rent_ext_f</f>
        <v>756</v>
      </c>
      <c r="J15918" s="29" t="n">
        <f aca="false">rent_ext_f</f>
        <v>756</v>
      </c>
      <c r="K15918" s="29" t="n">
        <f aca="false">rent_ext_f</f>
        <v>756</v>
      </c>
      <c r="L15918" s="1" t="s">
        <v>814</v>
      </c>
    </row>
    <row r="15919" customFormat="false" ht="17.15" hidden="false" customHeight="false" outlineLevel="0" collapsed="false">
      <c r="A15919" s="1" t="s">
        <v>815</v>
      </c>
      <c r="B15919" s="0" t="s">
        <v>399</v>
      </c>
      <c r="C15919" s="29" t="n">
        <f aca="false">Sens!C15917-Sens!C15918</f>
        <v>490</v>
      </c>
      <c r="D15919" s="29" t="n">
        <f aca="false">Sens!D15917-Sens!D15918</f>
        <v>1230</v>
      </c>
      <c r="E15919" s="29" t="n">
        <f aca="false">Sens!E15917-Sens!E15918</f>
        <v>2700</v>
      </c>
      <c r="F15919" s="29" t="n">
        <f aca="false">Sens!F15917-Sens!F15918</f>
        <v>5021.2</v>
      </c>
      <c r="G15919" s="29" t="n">
        <f aca="false">Sens!G15917-Sens!G15918</f>
        <v>7548.4</v>
      </c>
      <c r="H15919" s="29" t="n">
        <f aca="false">Sens!H15917-Sens!H15918</f>
        <v>10075.6</v>
      </c>
      <c r="I15919" s="29" t="n">
        <f aca="false">Sens!I15917-Sens!I15918</f>
        <v>11868.716</v>
      </c>
      <c r="J15919" s="29" t="n">
        <f aca="false">Sens!J15917-Sens!J15918</f>
        <v>12963.61032</v>
      </c>
      <c r="K15919" s="29" t="n">
        <f aca="false">Sens!K15917-Sens!K15918</f>
        <v>13375.1986296</v>
      </c>
    </row>
    <row r="15920" customFormat="false" ht="17.15" hidden="false" customHeight="false" outlineLevel="0" collapsed="false">
      <c r="A15920" s="1" t="s">
        <v>816</v>
      </c>
      <c r="B15920" s="0" t="s">
        <v>399</v>
      </c>
      <c r="C15920" s="29" t="n">
        <f aca="false">Sens!C15919/ext_sh</f>
        <v>816.666666666667</v>
      </c>
      <c r="D15920" s="29" t="n">
        <f aca="false">Sens!D15919/ext_sh</f>
        <v>2050</v>
      </c>
      <c r="E15920" s="29" t="n">
        <f aca="false">Sens!E15919/ext_sh</f>
        <v>4500</v>
      </c>
      <c r="F15920" s="29" t="n">
        <f aca="false">Sens!F15919/ext_sh</f>
        <v>8368.66666666667</v>
      </c>
      <c r="G15920" s="29" t="n">
        <f aca="false">Sens!G15919/ext_sh</f>
        <v>12580.6666666667</v>
      </c>
      <c r="H15920" s="29" t="n">
        <f aca="false">Sens!H15919/ext_sh</f>
        <v>16792.6666666667</v>
      </c>
      <c r="I15920" s="29" t="n">
        <f aca="false">Sens!I15919/ext_sh</f>
        <v>19781.1933333333</v>
      </c>
      <c r="J15920" s="29" t="n">
        <f aca="false">Sens!J15919/ext_sh</f>
        <v>21606.0172</v>
      </c>
      <c r="K15920" s="29" t="n">
        <f aca="false">Sens!K15919/ext_sh</f>
        <v>22291.997716</v>
      </c>
      <c r="L15920" s="1" t="s">
        <v>817</v>
      </c>
    </row>
    <row r="15921" customFormat="false" ht="17.15" hidden="false" customHeight="false" outlineLevel="0" collapsed="false">
      <c r="A15921" s="1" t="s">
        <v>818</v>
      </c>
      <c r="B15921" s="0" t="s">
        <v>399</v>
      </c>
      <c r="C15921" s="29" t="n">
        <f aca="false">Sens!C15920-Sens!C15919</f>
        <v>326.666666666667</v>
      </c>
      <c r="D15921" s="29" t="n">
        <f aca="false">Sens!D15920-Sens!D15919</f>
        <v>820</v>
      </c>
      <c r="E15921" s="29" t="n">
        <f aca="false">Sens!E15920-Sens!E15919</f>
        <v>1800</v>
      </c>
      <c r="F15921" s="29" t="n">
        <f aca="false">Sens!F15920-Sens!F15919</f>
        <v>3347.46666666667</v>
      </c>
      <c r="G15921" s="29" t="n">
        <f aca="false">Sens!G15920-Sens!G15919</f>
        <v>5032.26666666667</v>
      </c>
      <c r="H15921" s="29" t="n">
        <f aca="false">Sens!H15920-Sens!H15919</f>
        <v>6717.06666666667</v>
      </c>
      <c r="I15921" s="29" t="n">
        <f aca="false">Sens!I15920-Sens!I15919</f>
        <v>7912.47733333333</v>
      </c>
      <c r="J15921" s="29" t="n">
        <f aca="false">Sens!J15920-Sens!J15919</f>
        <v>8642.40688</v>
      </c>
      <c r="K15921" s="29" t="n">
        <f aca="false">Sens!K15920-Sens!K15919</f>
        <v>8916.7990864</v>
      </c>
    </row>
    <row r="15922" customFormat="false" ht="17.15" hidden="false" customHeight="false" outlineLevel="0" collapsed="false">
      <c r="A15922" s="1" t="s">
        <v>819</v>
      </c>
      <c r="B15922" s="0" t="s">
        <v>399</v>
      </c>
      <c r="C15922" s="29" t="n">
        <f aca="false">Sens!C15920</f>
        <v>816.666666666667</v>
      </c>
      <c r="D15922" s="29" t="n">
        <f aca="false">Sens!D15920-Sens!C15920</f>
        <v>1233.33333333333</v>
      </c>
      <c r="E15922" s="29" t="n">
        <f aca="false">Sens!E15920-Sens!D15920</f>
        <v>2450</v>
      </c>
      <c r="F15922" s="29" t="n">
        <f aca="false">Sens!F15920-Sens!E15920</f>
        <v>3868.66666666667</v>
      </c>
      <c r="G15922" s="29" t="n">
        <f aca="false">Sens!G15920-Sens!F15920</f>
        <v>4212</v>
      </c>
      <c r="H15922" s="29" t="n">
        <f aca="false">Sens!H15920-Sens!G15920</f>
        <v>4212</v>
      </c>
      <c r="I15922" s="29" t="n">
        <f aca="false">Sens!I15920-Sens!H15920</f>
        <v>2988.52666666667</v>
      </c>
      <c r="J15922" s="29" t="n">
        <f aca="false">Sens!J15920-Sens!I15920</f>
        <v>1824.82386666667</v>
      </c>
      <c r="K15922" s="29" t="n">
        <f aca="false">Sens!K15920-Sens!J15920</f>
        <v>685.980516</v>
      </c>
    </row>
    <row r="15923" customFormat="false" ht="17.15" hidden="false" customHeight="false" outlineLevel="0" collapsed="false">
      <c r="A15923" s="1" t="s">
        <v>820</v>
      </c>
      <c r="B15923" s="0" t="s">
        <v>399</v>
      </c>
      <c r="D15923" s="29" t="n">
        <f aca="false">Sens!D15917-Sens!C15917</f>
        <v>990</v>
      </c>
      <c r="E15923" s="29" t="n">
        <f aca="false">Sens!E15917-Sens!D15917</f>
        <v>1620</v>
      </c>
      <c r="F15923" s="29" t="n">
        <f aca="false">Sens!F15917-Sens!E15917</f>
        <v>2527.2</v>
      </c>
      <c r="G15923" s="29" t="n">
        <f aca="false">Sens!G15917-Sens!F15917</f>
        <v>2527.2</v>
      </c>
      <c r="H15923" s="29" t="n">
        <f aca="false">Sens!H15917-Sens!G15917</f>
        <v>2527.2</v>
      </c>
      <c r="I15923" s="29" t="n">
        <f aca="false">Sens!I15917-Sens!H15917</f>
        <v>1793.116</v>
      </c>
      <c r="J15923" s="29" t="n">
        <f aca="false">Sens!J15917-Sens!I15917</f>
        <v>1094.89432</v>
      </c>
      <c r="K15923" s="29" t="n">
        <f aca="false">Sens!K15917-Sens!J15917</f>
        <v>411.5883096</v>
      </c>
    </row>
    <row r="15924" customFormat="false" ht="17.15" hidden="false" customHeight="false" outlineLevel="0" collapsed="false">
      <c r="A15924" s="1" t="s">
        <v>821</v>
      </c>
      <c r="B15924" s="0" t="s">
        <v>399</v>
      </c>
      <c r="F15924" s="29" t="n">
        <f aca="false">Sens!F15941*ext_sh</f>
        <v>0</v>
      </c>
      <c r="G15924" s="29" t="n">
        <f aca="false">Sens!G15941*ext_sh</f>
        <v>0</v>
      </c>
      <c r="H15924" s="29" t="n">
        <f aca="false">Sens!H15941*ext_sh</f>
        <v>0</v>
      </c>
      <c r="I15924" s="29" t="n">
        <f aca="false">Sens!I15941*ext_sh</f>
        <v>490</v>
      </c>
      <c r="J15924" s="29" t="n">
        <f aca="false">Sens!J15941*ext_sh</f>
        <v>740</v>
      </c>
      <c r="K15924" s="29" t="n">
        <f aca="false">Sens!K15941*ext_sh</f>
        <v>1470</v>
      </c>
      <c r="L15924" s="1" t="s">
        <v>822</v>
      </c>
    </row>
    <row r="15925" customFormat="false" ht="17.15" hidden="false" customHeight="false" outlineLevel="0" collapsed="false">
      <c r="A15925" s="1" t="s">
        <v>823</v>
      </c>
      <c r="B15925" s="0" t="s">
        <v>399</v>
      </c>
      <c r="C15925" s="29" t="n">
        <f aca="false">mix_h*Sens!C15917</f>
        <v>128</v>
      </c>
      <c r="D15925" s="29" t="n">
        <f aca="false">mix_h*Sens!D15917</f>
        <v>326</v>
      </c>
      <c r="E15925" s="29" t="n">
        <f aca="false">mix_h*Sens!E15917</f>
        <v>650</v>
      </c>
      <c r="F15925" s="29" t="n">
        <f aca="false">Sens!E15925-Sens!F15924*mix_h</f>
        <v>650</v>
      </c>
      <c r="G15925" s="29" t="n">
        <f aca="false">Sens!F15925-Sens!G15924*mix_h</f>
        <v>650</v>
      </c>
      <c r="H15925" s="29" t="n">
        <f aca="false">Sens!G15925-Sens!H15924*mix_h</f>
        <v>650</v>
      </c>
      <c r="I15925" s="29" t="n">
        <f aca="false">Sens!H15925-Sens!I15924*mix_h</f>
        <v>552</v>
      </c>
      <c r="J15925" s="29" t="n">
        <f aca="false">Sens!I15925-Sens!J15924*mix_h</f>
        <v>404</v>
      </c>
      <c r="K15925" s="29" t="n">
        <f aca="false">Sens!J15925-Sens!K15924*mix_h</f>
        <v>110</v>
      </c>
    </row>
    <row r="15926" customFormat="false" ht="17.15" hidden="false" customHeight="false" outlineLevel="0" collapsed="false">
      <c r="A15926" s="1" t="s">
        <v>824</v>
      </c>
      <c r="B15926" s="0" t="s">
        <v>399</v>
      </c>
      <c r="C15926" s="29" t="n">
        <f aca="false">mix_g2*Sens!C15917</f>
        <v>288</v>
      </c>
      <c r="D15926" s="29" t="n">
        <f aca="false">mix_g2*Sens!D15917</f>
        <v>733.5</v>
      </c>
      <c r="E15926" s="29" t="n">
        <f aca="false">mix_g2*Sens!E15917</f>
        <v>1462.5</v>
      </c>
      <c r="F15926" s="29" t="n">
        <f aca="false">Sens!E15926-Sens!F15924*mix_g2</f>
        <v>1462.5</v>
      </c>
      <c r="G15926" s="29" t="n">
        <f aca="false">Sens!F15926-Sens!G15924*mix_g2</f>
        <v>1462.5</v>
      </c>
      <c r="H15926" s="29" t="n">
        <f aca="false">Sens!G15926-Sens!H15924*mix_g2</f>
        <v>1462.5</v>
      </c>
      <c r="I15926" s="29" t="n">
        <f aca="false">Sens!H15926-Sens!I15924*mix_g2</f>
        <v>1242</v>
      </c>
      <c r="J15926" s="29" t="n">
        <f aca="false">Sens!I15926-Sens!J15924*mix_g2</f>
        <v>909</v>
      </c>
      <c r="K15926" s="29" t="n">
        <f aca="false">Sens!J15926-Sens!K15924*mix_g2</f>
        <v>247.5</v>
      </c>
    </row>
    <row r="15927" customFormat="false" ht="17.15" hidden="false" customHeight="false" outlineLevel="0" collapsed="false">
      <c r="A15927" s="1" t="s">
        <v>825</v>
      </c>
      <c r="B15927" s="0" t="s">
        <v>399</v>
      </c>
      <c r="C15927" s="29" t="n">
        <f aca="false">mix_g3*Sens!C15917</f>
        <v>224</v>
      </c>
      <c r="D15927" s="29" t="n">
        <f aca="false">mix_g3*Sens!D15917</f>
        <v>570.5</v>
      </c>
      <c r="E15927" s="29" t="n">
        <f aca="false">mix_g3*Sens!E15917</f>
        <v>1137.5</v>
      </c>
      <c r="F15927" s="29" t="n">
        <f aca="false">Sens!E15927+(Sens!F15923+Sens!F15924)*a_g3_27-Sens!F15924*mix_g3</f>
        <v>2906.54</v>
      </c>
      <c r="G15927" s="29" t="n">
        <f aca="false">Sens!F15927+(Sens!G15923+Sens!G15924)*a_g3_28-Sens!G15924*mix_g3</f>
        <v>3664.7</v>
      </c>
      <c r="H15927" s="29" t="n">
        <f aca="false">Sens!G15927+(Sens!H15923+Sens!H15924)*a_g3_29-Sens!H15924*mix_g3</f>
        <v>3917.42</v>
      </c>
      <c r="I15927" s="29" t="n">
        <f aca="false">Sens!H15927+(Sens!I15923+Sens!I15924)*a_g3_29-Sens!I15924*mix_g3</f>
        <v>3974.2316</v>
      </c>
      <c r="J15927" s="29" t="n">
        <f aca="false">Sens!I15927+(Sens!J15923+Sens!J15924)*a_g3_29-Sens!J15924*mix_g3</f>
        <v>3898.721032</v>
      </c>
      <c r="K15927" s="29" t="n">
        <f aca="false">Sens!J15927+(Sens!K15923+Sens!K15924)*a_g3_29-Sens!K15924*mix_g3</f>
        <v>3572.37986296</v>
      </c>
    </row>
    <row r="15928" customFormat="false" ht="17.15" hidden="false" customHeight="false" outlineLevel="0" collapsed="false">
      <c r="A15928" s="1" t="s">
        <v>826</v>
      </c>
      <c r="B15928" s="0" t="s">
        <v>399</v>
      </c>
      <c r="C15928" s="29" t="n">
        <v>0</v>
      </c>
      <c r="D15928" s="29" t="n">
        <v>0</v>
      </c>
      <c r="E15928" s="29" t="n">
        <v>0</v>
      </c>
      <c r="F15928" s="29" t="n">
        <f aca="false">Sens!E15928+(Sens!F15923+Sens!F15924)*(1-a_g3_27)</f>
        <v>758.16</v>
      </c>
      <c r="G15928" s="29" t="n">
        <f aca="false">Sens!F15928+(Sens!G15923+Sens!G15924)*(1-a_g3_28)</f>
        <v>2527.2</v>
      </c>
      <c r="H15928" s="29" t="n">
        <f aca="false">Sens!G15928+(Sens!H15923+Sens!H15924)*(1-a_g3_29)</f>
        <v>4801.68</v>
      </c>
      <c r="I15928" s="29" t="n">
        <f aca="false">Sens!H15928+(Sens!I15923+Sens!I15924)*(1-a_g3_29)</f>
        <v>6856.4844</v>
      </c>
      <c r="J15928" s="29" t="n">
        <f aca="false">Sens!I15928+(Sens!J15923+Sens!J15924)*(1-a_g3_29)</f>
        <v>8507.889288</v>
      </c>
      <c r="K15928" s="29" t="n">
        <f aca="false">Sens!J15928+(Sens!K15923+Sens!K15924)*(1-a_g3_29)</f>
        <v>10201.31876664</v>
      </c>
    </row>
    <row r="15929" customFormat="false" ht="17.15" hidden="false" customHeight="false" outlineLevel="0" collapsed="false">
      <c r="A15929" s="1" t="s">
        <v>827</v>
      </c>
      <c r="B15929" s="0" t="s">
        <v>346</v>
      </c>
      <c r="C15929" s="14" t="n">
        <f aca="false">(Sens!C15925*tk_hold_h100+Sens!C15926*tk_hold_gb200+Sens!C15927*tk_hold_gb300+Sens!C15928*tk_hold_vr200)/Sens!C15917</f>
        <v>9.7235358126469</v>
      </c>
      <c r="D15929" s="14" t="n">
        <f aca="false">(Sens!D15925*tk_hold_h100+Sens!D15926*tk_hold_gb200+Sens!D15927*tk_hold_gb300+Sens!D15928*tk_hold_vr200)/Sens!D15917</f>
        <v>9.7235358126469</v>
      </c>
      <c r="E15929" s="14" t="n">
        <f aca="false">(Sens!E15925*tk_hold_h100+Sens!E15926*tk_hold_gb200+Sens!E15927*tk_hold_gb300+Sens!E15928*tk_hold_vr200)/Sens!E15917</f>
        <v>9.7235358126469</v>
      </c>
      <c r="F15929" s="14" t="n">
        <f aca="false">(Sens!F15925*tk_hold_h100+Sens!F15926*tk_hold_gb200+Sens!F15927*tk_hold_gb300+Sens!F15928*tk_hold_vr200)/Sens!F15917</f>
        <v>10.4079573161931</v>
      </c>
      <c r="G15929" s="14" t="n">
        <f aca="false">(Sens!G15925*tk_hold_h100+Sens!G15926*tk_hold_gb200+Sens!G15927*tk_hold_gb300+Sens!G15928*tk_hold_vr200)/Sens!G15917</f>
        <v>10.8388131109316</v>
      </c>
      <c r="H15929" s="14" t="n">
        <f aca="false">(Sens!H15925*tk_hold_h100+Sens!H15926*tk_hold_gb200+Sens!H15927*tk_hold_gb300+Sens!H15928*tk_hold_vr200)/Sens!H15917</f>
        <v>11.1311018388216</v>
      </c>
      <c r="I15929" s="14" t="n">
        <f aca="false">(Sens!I15925*tk_hold_h100+Sens!I15926*tk_hold_gb200+Sens!I15927*tk_hold_gb300+Sens!I15928*tk_hold_vr200)/Sens!I15917</f>
        <v>11.3594282560989</v>
      </c>
      <c r="J15929" s="14" t="n">
        <f aca="false">(Sens!J15925*tk_hold_h100+Sens!J15926*tk_hold_gb200+Sens!J15927*tk_hold_gb300+Sens!J15928*tk_hold_vr200)/Sens!J15917</f>
        <v>11.5455817917599</v>
      </c>
      <c r="K15929" s="14" t="n">
        <f aca="false">(Sens!K15925*tk_hold_h100+Sens!K15926*tk_hold_gb200+Sens!K15927*tk_hold_gb300+Sens!K15928*tk_hold_vr200)/Sens!K15917</f>
        <v>11.8078187977246</v>
      </c>
    </row>
    <row r="15930" customFormat="false" ht="17.15" hidden="false" customHeight="false" outlineLevel="0" collapsed="false">
      <c r="A15930" s="0" t="s">
        <v>828</v>
      </c>
      <c r="B15930" s="0" t="s">
        <v>185</v>
      </c>
      <c r="C15930" s="14" t="n">
        <f aca="false">k_B</f>
        <v>1.17213932619116</v>
      </c>
      <c r="D15930" s="14" t="n">
        <f aca="false">k_B</f>
        <v>1.17213932619116</v>
      </c>
      <c r="E15930" s="14" t="n">
        <f aca="false">k_B</f>
        <v>1.17213932619116</v>
      </c>
      <c r="F15930" s="14" t="n">
        <f aca="false">(k_B+((ls_A*k_long+(1-ls_A)*k_spot)-k_B)*MIN(1,(Sens!F15915-base_fy)/k_ramp))</f>
        <v>1.25022828131298</v>
      </c>
      <c r="G15930" s="14" t="n">
        <f aca="false">(k_B+((ls_A*k_long+(1-ls_A)*k_spot)-k_B)*MIN(1,(Sens!G15915-base_fy)/k_ramp))</f>
        <v>1.3283172364348</v>
      </c>
      <c r="H15930" s="14" t="n">
        <f aca="false">(k_B+((ls_A*k_long+(1-ls_A)*k_spot)-k_B)*MIN(1,(Sens!H15915-base_fy)/k_ramp))</f>
        <v>1.40640619155662</v>
      </c>
      <c r="I15930" s="14" t="n">
        <f aca="false">(k_B+((ls_A*k_long+(1-ls_A)*k_spot)-k_B)*MIN(1,(Sens!I15915-base_fy)/k_ramp))</f>
        <v>1.40640619155662</v>
      </c>
      <c r="J15930" s="14" t="n">
        <f aca="false">(k_B+((ls_A*k_long+(1-ls_A)*k_spot)-k_B)*MIN(1,(Sens!J15915-base_fy)/k_ramp))</f>
        <v>1.40640619155662</v>
      </c>
      <c r="K15930" s="14" t="n">
        <f aca="false">(k_B+((ls_A*k_long+(1-ls_A)*k_spot)-k_B)*MIN(1,(Sens!K15915-base_fy)/k_ramp))</f>
        <v>1.40640619155662</v>
      </c>
      <c r="L15930" s="1" t="s">
        <v>829</v>
      </c>
    </row>
    <row r="15931" customFormat="false" ht="17.15" hidden="false" customHeight="false" outlineLevel="0" collapsed="false">
      <c r="A15931" s="1" t="s">
        <v>830</v>
      </c>
      <c r="B15931" s="0" t="s">
        <v>346</v>
      </c>
      <c r="C15931" s="14" t="n">
        <f aca="false">Sens!C15929*Sens!C15930*chip_f</f>
        <v>11.3973387156315</v>
      </c>
      <c r="D15931" s="14" t="n">
        <f aca="false">Sens!D15929*Sens!D15930*chip_f</f>
        <v>11.3973387156315</v>
      </c>
      <c r="E15931" s="14" t="n">
        <f aca="false">Sens!E15929*Sens!E15930*chip_f</f>
        <v>11.3973387156315</v>
      </c>
      <c r="F15931" s="14" t="n">
        <f aca="false">Sens!F15929*Sens!F15930*chip_f</f>
        <v>13.0123225874029</v>
      </c>
      <c r="G15931" s="14" t="n">
        <f aca="false">Sens!G15929*Sens!G15930*chip_f</f>
        <v>14.3973822777458</v>
      </c>
      <c r="H15931" s="14" t="n">
        <f aca="false">Sens!H15929*Sens!H15930*chip_f</f>
        <v>15.6548505449659</v>
      </c>
      <c r="I15931" s="14" t="n">
        <f aca="false">Sens!I15929*Sens!I15930*chip_f</f>
        <v>15.9759702319207</v>
      </c>
      <c r="J15931" s="14" t="n">
        <f aca="false">Sens!J15929*Sens!J15930*chip_f</f>
        <v>16.2377777170545</v>
      </c>
      <c r="K15931" s="14" t="n">
        <f aca="false">Sens!K15929*Sens!K15930*chip_f</f>
        <v>16.6065894658985</v>
      </c>
      <c r="L15931" s="1" t="s">
        <v>831</v>
      </c>
    </row>
    <row r="15932" customFormat="false" ht="17.15" hidden="false" customHeight="false" outlineLevel="0" collapsed="false">
      <c r="A15932" s="0" t="s">
        <v>832</v>
      </c>
      <c r="B15932" s="0" t="s">
        <v>98</v>
      </c>
      <c r="D15932" s="6" t="n">
        <f aca="false">(Sens!C15917+Sens!D15917)/2*Sens!D15931/1000</f>
        <v>12.9359794422418</v>
      </c>
      <c r="E15932" s="6" t="n">
        <f aca="false">(Sens!D15917+Sens!E15917)/2*Sens!E15931/1000</f>
        <v>27.8095064661409</v>
      </c>
      <c r="F15932" s="6" t="n">
        <f aca="false">(Sens!E15917+Sens!F15917)/2*Sens!F15931/1000</f>
        <v>58.7324192305018</v>
      </c>
      <c r="G15932" s="6" t="n">
        <f aca="false">(Sens!F15917+Sens!G15917)/2*Sens!G15931/1000</f>
        <v>101.369089141153</v>
      </c>
      <c r="H15932" s="6" t="n">
        <f aca="false">(Sens!G15917+Sens!H15917)/2*Sens!H15931/1000</f>
        <v>149.785610014234</v>
      </c>
      <c r="I15932" s="6" t="n">
        <f aca="false">(Sens!H15917+Sens!I15917)/2*Sens!I15931/1000</f>
        <v>187.368703083263</v>
      </c>
      <c r="J15932" s="6" t="n">
        <f aca="false">(Sens!I15917+Sens!J15917)/2*Sens!J15931/1000</f>
        <v>213.886657444854</v>
      </c>
      <c r="K15932" s="6" t="n">
        <f aca="false">(Sens!J15917+Sens!K15917)/2*Sens!K15931/1000</f>
        <v>231.253475259589</v>
      </c>
      <c r="L15932" s="11" t="s">
        <v>833</v>
      </c>
    </row>
    <row r="15933" customFormat="false" ht="17.15" hidden="false" customHeight="false" outlineLevel="0" collapsed="false">
      <c r="A15933" s="1" t="s">
        <v>834</v>
      </c>
      <c r="B15933" s="0" t="s">
        <v>346</v>
      </c>
      <c r="C15933" s="14" t="n">
        <f aca="false">(Sens!C15925*tk_opex_h100+Sens!C15926*tk_opex_gb200+Sens!C15927*tk_opex_gb300+Sens!C15928*tk_opex_vr200)/Sens!C15917</f>
        <v>1.88636041306092</v>
      </c>
      <c r="D15933" s="14" t="n">
        <f aca="false">(Sens!D15925*tk_opex_h100+Sens!D15926*tk_opex_gb200+Sens!D15927*tk_opex_gb300+Sens!D15928*tk_opex_vr200)/Sens!D15917</f>
        <v>1.88636041306092</v>
      </c>
      <c r="E15933" s="14" t="n">
        <f aca="false">(Sens!E15925*tk_opex_h100+Sens!E15926*tk_opex_gb200+Sens!E15927*tk_opex_gb300+Sens!E15928*tk_opex_vr200)/Sens!E15917</f>
        <v>1.88636041306092</v>
      </c>
      <c r="F15933" s="14" t="n">
        <f aca="false">(Sens!F15925*tk_opex_h100+Sens!F15926*tk_opex_gb200+Sens!F15927*tk_opex_gb300+Sens!F15928*tk_opex_vr200)/Sens!F15917</f>
        <v>1.9430236476499</v>
      </c>
      <c r="G15933" s="14" t="n">
        <f aca="false">(Sens!G15925*tk_opex_h100+Sens!G15926*tk_opex_gb200+Sens!G15927*tk_opex_gb300+Sens!G15928*tk_opex_vr200)/Sens!G15917</f>
        <v>1.9786941852423</v>
      </c>
      <c r="H15933" s="14" t="n">
        <f aca="false">(Sens!H15925*tk_opex_h100+Sens!H15926*tk_opex_gb200+Sens!H15927*tk_opex_gb300+Sens!H15928*tk_opex_vr200)/Sens!H15917</f>
        <v>2.00289275976156</v>
      </c>
      <c r="I15933" s="14" t="n">
        <f aca="false">(Sens!I15925*tk_opex_h100+Sens!I15926*tk_opex_gb200+Sens!I15927*tk_opex_gb300+Sens!I15928*tk_opex_vr200)/Sens!I15917</f>
        <v>2.02179589661219</v>
      </c>
      <c r="J15933" s="14" t="n">
        <f aca="false">(Sens!J15925*tk_opex_h100+Sens!J15926*tk_opex_gb200+Sens!J15927*tk_opex_gb300+Sens!J15928*tk_opex_vr200)/Sens!J15917</f>
        <v>2.03720754193029</v>
      </c>
      <c r="K15933" s="14" t="n">
        <f aca="false">(Sens!K15925*tk_opex_h100+Sens!K15926*tk_opex_gb200+Sens!K15927*tk_opex_gb300+Sens!K15928*tk_opex_vr200)/Sens!K15917</f>
        <v>2.0589181353437</v>
      </c>
    </row>
    <row r="15934" customFormat="false" ht="17.15" hidden="false" customHeight="false" outlineLevel="0" collapsed="false">
      <c r="A15934" s="0" t="s">
        <v>835</v>
      </c>
      <c r="B15934" s="0" t="s">
        <v>98</v>
      </c>
      <c r="D15934" s="6" t="n">
        <f aca="false">(Sens!C15920+Sens!D15920)/2*Sens!D15933/1000</f>
        <v>2.70378325872065</v>
      </c>
      <c r="E15934" s="6" t="n">
        <f aca="false">(Sens!D15920+Sens!E15920)/2*Sens!E15933/1000</f>
        <v>6.17783035277451</v>
      </c>
      <c r="F15934" s="6" t="n">
        <f aca="false">(Sens!E15920+Sens!F15920)/2*Sens!F15933/1000</f>
        <v>12.5020618235287</v>
      </c>
      <c r="G15934" s="6" t="n">
        <f aca="false">(Sens!F15920+Sens!G15920)/2*Sens!G15933/1000</f>
        <v>20.7261620256847</v>
      </c>
      <c r="H15934" s="6" t="n">
        <f aca="false">(Sens!G15920+Sens!H15920)/2*Sens!H15933/1000</f>
        <v>29.4158183316982</v>
      </c>
      <c r="I15934" s="6" t="n">
        <f aca="false">(Sens!H15920+Sens!I15920)/2*Sens!I15933/1000</f>
        <v>36.9724400356344</v>
      </c>
      <c r="J15934" s="6" t="n">
        <f aca="false">(Sens!I15920+Sens!J15920)/2*Sens!J15933/1000</f>
        <v>42.1571687189816</v>
      </c>
      <c r="K15934" s="6" t="n">
        <f aca="false">(Sens!J15920+Sens!K15920)/2*Sens!K15933/1000</f>
        <v>45.1912095080704</v>
      </c>
    </row>
    <row r="15935" customFormat="false" ht="17.15" hidden="false" customHeight="false" outlineLevel="0" collapsed="false">
      <c r="A15935" s="0" t="s">
        <v>836</v>
      </c>
      <c r="B15935" s="0" t="s">
        <v>98</v>
      </c>
      <c r="D15935" s="6" t="n">
        <f aca="false">(Sens!C15918+Sens!D15918)/2*rent_mw/1000</f>
        <v>2.44475</v>
      </c>
      <c r="E15935" s="6" t="n">
        <f aca="false">(Sens!D15918+Sens!E15918)/2*rent_mw/1000</f>
        <v>4.22275</v>
      </c>
      <c r="F15935" s="6" t="n">
        <f aca="false">(Sens!E15918+Sens!F15918)/2*rent_mw/1000</f>
        <v>5.80517</v>
      </c>
      <c r="G15935" s="6" t="n">
        <f aca="false">(Sens!F15918+Sens!G15918)/2*rent_mw/1000</f>
        <v>6.72084</v>
      </c>
      <c r="H15935" s="6" t="n">
        <f aca="false">(Sens!G15918+Sens!H15918)/2*rent_mw/1000</f>
        <v>6.72084</v>
      </c>
      <c r="I15935" s="6" t="n">
        <f aca="false">(Sens!H15918+Sens!I15918)/2*rent_mw/1000</f>
        <v>6.72084</v>
      </c>
      <c r="J15935" s="6" t="n">
        <f aca="false">(Sens!I15918+Sens!J15918)/2*rent_mw/1000</f>
        <v>6.72084</v>
      </c>
      <c r="K15935" s="6" t="n">
        <f aca="false">(Sens!J15918+Sens!K15918)/2*rent_mw/1000</f>
        <v>6.72084</v>
      </c>
    </row>
    <row r="15936" customFormat="false" ht="17.15" hidden="false" customHeight="false" outlineLevel="0" collapsed="false">
      <c r="A15936" s="0" t="s">
        <v>837</v>
      </c>
      <c r="B15936" s="0" t="s">
        <v>98</v>
      </c>
      <c r="D15936" s="6" t="n">
        <f aca="false">(Sens!C15920+Sens!D15920)/2*(1-self_build)*fac_rent/1000</f>
        <v>0.853242375631075</v>
      </c>
      <c r="E15936" s="6" t="n">
        <f aca="false">(Sens!D15920+Sens!E15920)/2*(1-self_build)*fac_rent/1000</f>
        <v>1.94955961408728</v>
      </c>
      <c r="F15936" s="6" t="n">
        <f aca="false">(Sens!E15920+Sens!F15920)/2*(1-self_build)*fac_rent/1000</f>
        <v>3.83026455274573</v>
      </c>
      <c r="G15936" s="6" t="n">
        <f aca="false">(Sens!F15920+Sens!G15920)/2*(1-self_build)*fac_rent/1000</f>
        <v>6.23541590972812</v>
      </c>
      <c r="H15936" s="6" t="n">
        <f aca="false">(Sens!G15920+Sens!H15920)/2*(1-self_build)*fac_rent/1000</f>
        <v>8.74275792332679</v>
      </c>
      <c r="I15936" s="6" t="n">
        <f aca="false">(Sens!H15920+Sens!I15920)/2*(1-self_build)*fac_rent/1000</f>
        <v>10.8859420438599</v>
      </c>
      <c r="J15936" s="6" t="n">
        <f aca="false">(Sens!I15920+Sens!J15920)/2*(1-self_build)*fac_rent/1000</f>
        <v>12.3186006405366</v>
      </c>
      <c r="K15936" s="6" t="n">
        <f aca="false">(Sens!J15920+Sens!K15920)/2*(1-self_build)*fac_rent/1000</f>
        <v>13.0659232089824</v>
      </c>
      <c r="L15936" s="11" t="s">
        <v>838</v>
      </c>
    </row>
    <row r="15937" customFormat="false" ht="17.15" hidden="false" customHeight="false" outlineLevel="0" collapsed="false">
      <c r="A15937" s="1" t="s">
        <v>839</v>
      </c>
      <c r="B15937" s="0" t="s">
        <v>129</v>
      </c>
      <c r="D15937" s="7" t="n">
        <f aca="false">(Sens!C15919+Sens!D15919)/(Sens!C15920+Sens!D15920)</f>
        <v>0.6</v>
      </c>
      <c r="E15937" s="7" t="n">
        <f aca="false">(Sens!D15919+Sens!E15919)/(Sens!D15920+Sens!E15920)</f>
        <v>0.6</v>
      </c>
      <c r="F15937" s="7" t="n">
        <f aca="false">(Sens!E15919+Sens!F15919)/(Sens!E15920+Sens!F15920)</f>
        <v>0.6</v>
      </c>
      <c r="G15937" s="7" t="n">
        <f aca="false">(Sens!F15919+Sens!G15919)/(Sens!F15920+Sens!G15920)</f>
        <v>0.6</v>
      </c>
      <c r="H15937" s="7" t="n">
        <f aca="false">(Sens!G15919+Sens!H15919)/(Sens!G15920+Sens!H15920)</f>
        <v>0.6</v>
      </c>
      <c r="I15937" s="7" t="n">
        <f aca="false">(Sens!H15919+Sens!I15919)/(Sens!H15920+Sens!I15920)</f>
        <v>0.6</v>
      </c>
      <c r="J15937" s="7" t="n">
        <f aca="false">(Sens!I15919+Sens!J15919)/(Sens!I15920+Sens!J15920)</f>
        <v>0.6</v>
      </c>
      <c r="K15937" s="7" t="n">
        <f aca="false">(Sens!J15919+Sens!K15919)/(Sens!J15920+Sens!K15920)</f>
        <v>0.6</v>
      </c>
    </row>
    <row r="15938" customFormat="false" ht="17.15" hidden="false" customHeight="false" outlineLevel="0" collapsed="false">
      <c r="A15938" s="0" t="s">
        <v>840</v>
      </c>
      <c r="B15938" s="0" t="s">
        <v>98</v>
      </c>
      <c r="D15938" s="6" t="n">
        <f aca="false">Sens!D15932-Sens!D15937*(Sens!D15934+Sens!D15936)-Sens!D15935</f>
        <v>8.35701406163072</v>
      </c>
      <c r="E15938" s="6" t="n">
        <f aca="false">Sens!E15932-Sens!E15937*(Sens!E15934+Sens!E15936)-Sens!E15935</f>
        <v>18.7103224860238</v>
      </c>
      <c r="F15938" s="6" t="n">
        <f aca="false">Sens!F15932-Sens!F15937*(Sens!F15934+Sens!F15936)-Sens!F15935</f>
        <v>43.1278534047371</v>
      </c>
      <c r="G15938" s="6" t="n">
        <f aca="false">Sens!G15932-Sens!G15937*(Sens!G15934+Sens!G15936)-Sens!G15935</f>
        <v>78.4713023799053</v>
      </c>
      <c r="H15938" s="6" t="n">
        <f aca="false">Sens!H15932-Sens!H15937*(Sens!H15934+Sens!H15936)-Sens!H15935</f>
        <v>120.169624261219</v>
      </c>
      <c r="I15938" s="6" t="n">
        <f aca="false">Sens!I15932-Sens!I15937*(Sens!I15934+Sens!I15936)-Sens!I15935</f>
        <v>151.932833835566</v>
      </c>
      <c r="J15938" s="6" t="n">
        <f aca="false">Sens!J15932-Sens!J15937*(Sens!J15934+Sens!J15936)-Sens!J15935</f>
        <v>174.480355829143</v>
      </c>
      <c r="K15938" s="6" t="n">
        <f aca="false">Sens!K15932-Sens!K15937*(Sens!K15934+Sens!K15936)-Sens!K15935</f>
        <v>189.578355629358</v>
      </c>
    </row>
    <row r="15939" customFormat="false" ht="17.15" hidden="false" customHeight="false" outlineLevel="0" collapsed="false">
      <c r="A15939" s="1" t="s">
        <v>841</v>
      </c>
      <c r="B15939" s="0" t="s">
        <v>98</v>
      </c>
      <c r="D15939" s="6" t="n">
        <f aca="false">(1-Sens!D15937)*(Sens!D15934+Sens!D15936)</f>
        <v>1.42281025374069</v>
      </c>
      <c r="E15939" s="6" t="n">
        <f aca="false">(1-Sens!E15937)*(Sens!E15934+Sens!E15936)</f>
        <v>3.25095598674472</v>
      </c>
      <c r="F15939" s="6" t="n">
        <f aca="false">(1-Sens!F15937)*(Sens!F15934+Sens!F15936)</f>
        <v>6.53293055050977</v>
      </c>
      <c r="G15939" s="6" t="n">
        <f aca="false">(1-Sens!G15937)*(Sens!G15934+Sens!G15936)</f>
        <v>10.7846311741651</v>
      </c>
      <c r="H15939" s="6" t="n">
        <f aca="false">(1-Sens!H15937)*(Sens!H15934+Sens!H15936)</f>
        <v>15.26343050201</v>
      </c>
      <c r="I15939" s="6" t="n">
        <f aca="false">(1-Sens!I15937)*(Sens!I15934+Sens!I15936)</f>
        <v>19.1433528317977</v>
      </c>
      <c r="J15939" s="6" t="n">
        <f aca="false">(1-Sens!J15937)*(Sens!J15934+Sens!J15936)</f>
        <v>21.7903077438073</v>
      </c>
      <c r="K15939" s="6" t="n">
        <f aca="false">(1-Sens!K15937)*(Sens!K15934+Sens!K15936)</f>
        <v>23.3028530868211</v>
      </c>
    </row>
    <row r="15940" customFormat="false" ht="17.15" hidden="false" customHeight="false" outlineLevel="0" collapsed="false">
      <c r="A15940" s="1" t="s">
        <v>842</v>
      </c>
      <c r="B15940" s="0" t="s">
        <v>357</v>
      </c>
      <c r="C15940" s="8" t="n">
        <f aca="false">cxit_open</f>
        <v>27.5918995</v>
      </c>
      <c r="D15940" s="8" t="n">
        <f aca="false">cxit_open</f>
        <v>27.5918995</v>
      </c>
      <c r="E15940" s="8" t="n">
        <f aca="false">cxit_open</f>
        <v>27.5918995</v>
      </c>
      <c r="F15940" s="8" t="n">
        <f aca="false">(a_g3_27*tk_cxit_gb300+(1-a_g3_27)*tk_cxit_vr200)</f>
        <v>33.8419624</v>
      </c>
      <c r="G15940" s="8" t="n">
        <f aca="false">(a_g3_28*tk_cxit_gb300+(1-a_g3_28)*tk_cxit_vr200)</f>
        <v>35.9816136</v>
      </c>
      <c r="H15940" s="8" t="n">
        <f aca="false">(a_g3_29*tk_cxit_gb300+(1-a_g3_29)*tk_cxit_vr200)</f>
        <v>37.0514392</v>
      </c>
      <c r="I15940" s="8" t="n">
        <f aca="false">(a_g3_29*tk_cxit_gb300+(1-a_g3_29)*tk_cxit_vr200)</f>
        <v>37.0514392</v>
      </c>
      <c r="J15940" s="8" t="n">
        <f aca="false">(a_g3_29*tk_cxit_gb300+(1-a_g3_29)*tk_cxit_vr200)</f>
        <v>37.0514392</v>
      </c>
      <c r="K15940" s="8" t="n">
        <f aca="false">(a_g3_29*tk_cxit_gb300+(1-a_g3_29)*tk_cxit_vr200)</f>
        <v>37.0514392</v>
      </c>
      <c r="L15940" s="11" t="s">
        <v>843</v>
      </c>
    </row>
    <row r="15941" customFormat="false" ht="17.15" hidden="false" customHeight="false" outlineLevel="0" collapsed="false">
      <c r="A15941" s="0" t="s">
        <v>844</v>
      </c>
      <c r="B15941" s="0" t="s">
        <v>399</v>
      </c>
      <c r="F15941" s="29" t="n">
        <f aca="false">Sens!C15922*IF(Sens!F15915-Sens!C15915=life_it,1,0)+Sens!D15922*IF(Sens!F15915-Sens!D15915=life_it,1,0)+Sens!E15922*IF(Sens!F15915-Sens!E15915=life_it,1,0)</f>
        <v>0</v>
      </c>
      <c r="G15941" s="29" t="n">
        <f aca="false">Sens!C15922*IF(Sens!G15915-Sens!C15915=life_it,1,0)+Sens!D15922*IF(Sens!G15915-Sens!D15915=life_it,1,0)+Sens!E15922*IF(Sens!G15915-Sens!E15915=life_it,1,0)+Sens!F15922*IF(Sens!G15915-Sens!F15915=life_it,1,0)</f>
        <v>0</v>
      </c>
      <c r="H15941" s="29" t="n">
        <f aca="false">Sens!C15922*IF(Sens!H15915-Sens!C15915=life_it,1,0)+Sens!D15922*IF(Sens!H15915-Sens!D15915=life_it,1,0)+Sens!E15922*IF(Sens!H15915-Sens!E15915=life_it,1,0)+Sens!F15922*IF(Sens!H15915-Sens!F15915=life_it,1,0)+Sens!G15922*IF(Sens!H15915-Sens!G15915=life_it,1,0)</f>
        <v>0</v>
      </c>
      <c r="I15941" s="29" t="n">
        <f aca="false">Sens!C15922*IF(Sens!I15915-Sens!C15915=life_it,1,0)+Sens!D15922*IF(Sens!I15915-Sens!D15915=life_it,1,0)+Sens!E15922*IF(Sens!I15915-Sens!E15915=life_it,1,0)+Sens!F15922*IF(Sens!I15915-Sens!F15915=life_it,1,0)+Sens!G15922*IF(Sens!I15915-Sens!G15915=life_it,1,0)+Sens!H15922*IF(Sens!I15915-Sens!H15915=life_it,1,0)</f>
        <v>816.666666666667</v>
      </c>
      <c r="J15941" s="29" t="n">
        <f aca="false">Sens!C15922*IF(Sens!J15915-Sens!C15915=life_it,1,0)+Sens!D15922*IF(Sens!J15915-Sens!D15915=life_it,1,0)+Sens!E15922*IF(Sens!J15915-Sens!E15915=life_it,1,0)+Sens!F15922*IF(Sens!J15915-Sens!F15915=life_it,1,0)+Sens!G15922*IF(Sens!J15915-Sens!G15915=life_it,1,0)+Sens!H15922*IF(Sens!J15915-Sens!H15915=life_it,1,0)+Sens!I15922*IF(Sens!J15915-Sens!I15915=life_it,1,0)</f>
        <v>1233.33333333333</v>
      </c>
      <c r="K15941" s="29" t="n">
        <f aca="false">Sens!C15922*IF(Sens!K15915-Sens!C15915=life_it,1,0)+Sens!D15922*IF(Sens!K15915-Sens!D15915=life_it,1,0)+Sens!E15922*IF(Sens!K15915-Sens!E15915=life_it,1,0)+Sens!F15922*IF(Sens!K15915-Sens!F15915=life_it,1,0)+Sens!G15922*IF(Sens!K15915-Sens!G15915=life_it,1,0)+Sens!H15922*IF(Sens!K15915-Sens!H15915=life_it,1,0)+Sens!I15922*IF(Sens!K15915-Sens!I15915=life_it,1,0)+Sens!J15922*IF(Sens!K15915-Sens!J15915=life_it,1,0)</f>
        <v>2450</v>
      </c>
      <c r="L15941" s="1" t="s">
        <v>845</v>
      </c>
    </row>
    <row r="15942" customFormat="false" ht="17.15" hidden="false" customHeight="false" outlineLevel="0" collapsed="false">
      <c r="A15942" s="0" t="s">
        <v>846</v>
      </c>
      <c r="B15942" s="0" t="s">
        <v>98</v>
      </c>
      <c r="C15942" s="6" t="n">
        <f aca="false">Sens!C15922*Sens!C15940/1000</f>
        <v>22.5333845916667</v>
      </c>
      <c r="D15942" s="6" t="n">
        <f aca="false">Sens!D15922*Sens!D15940/1000</f>
        <v>34.0300093833333</v>
      </c>
      <c r="E15942" s="6" t="n">
        <f aca="false">Sens!E15922*Sens!E15940/1000</f>
        <v>67.600153775</v>
      </c>
      <c r="F15942" s="6" t="n">
        <f aca="false">(Sens!F15922+Sens!F15941)*Sens!F15940/1000</f>
        <v>130.923271871467</v>
      </c>
      <c r="G15942" s="6" t="n">
        <f aca="false">(Sens!G15922+Sens!G15941)*Sens!G15940/1000</f>
        <v>151.5545564832</v>
      </c>
      <c r="H15942" s="6" t="n">
        <f aca="false">(Sens!H15922+Sens!H15941)*Sens!H15940/1000</f>
        <v>156.0606619104</v>
      </c>
      <c r="I15942" s="6" t="n">
        <f aca="false">(Sens!I15922+Sens!I15941)*Sens!I15940/1000</f>
        <v>140.987889434245</v>
      </c>
      <c r="J15942" s="6" t="n">
        <f aca="false">(Sens!J15922+Sens!J15941)*Sens!J15940/1000</f>
        <v>113.309125559842</v>
      </c>
      <c r="K15942" s="6" t="n">
        <f aca="false">(Sens!K15922+Sens!K15941)*Sens!K15940/1000</f>
        <v>116.192591420959</v>
      </c>
    </row>
    <row r="15943" customFormat="false" ht="17.15" hidden="false" customHeight="false" outlineLevel="0" collapsed="false">
      <c r="A15943" s="0" t="s">
        <v>847</v>
      </c>
      <c r="B15943" s="0" t="s">
        <v>98</v>
      </c>
      <c r="C15943" s="6" t="n">
        <f aca="false">Sens!C15922*self_build*tk_cxfac/1000</f>
        <v>6.2083</v>
      </c>
      <c r="D15943" s="6" t="n">
        <f aca="false">Sens!D15922*self_build*tk_cxfac/1000</f>
        <v>9.3758</v>
      </c>
      <c r="E15943" s="6" t="n">
        <f aca="false">Sens!E15922*self_build*tk_cxfac/1000</f>
        <v>18.6249</v>
      </c>
      <c r="F15943" s="6" t="n">
        <f aca="false">Sens!F15922*self_build*tk_cxfac/1000</f>
        <v>29.409604</v>
      </c>
      <c r="G15943" s="6" t="n">
        <f aca="false">Sens!G15922*self_build*tk_cxfac/1000</f>
        <v>32.019624</v>
      </c>
      <c r="H15943" s="6" t="n">
        <f aca="false">Sens!H15922*self_build*tk_cxfac/1000</f>
        <v>32.019624</v>
      </c>
      <c r="I15943" s="6" t="n">
        <f aca="false">Sens!I15922*self_build*tk_cxfac/1000</f>
        <v>22.71877972</v>
      </c>
      <c r="J15943" s="6" t="n">
        <f aca="false">Sens!J15922*self_build*tk_cxfac/1000</f>
        <v>13.8723110344</v>
      </c>
      <c r="K15943" s="6" t="n">
        <f aca="false">Sens!K15922*self_build*tk_cxfac/1000</f>
        <v>5.214823882632</v>
      </c>
    </row>
    <row r="15944" customFormat="false" ht="17.15" hidden="false" customHeight="false" outlineLevel="0" collapsed="false">
      <c r="A15944" s="0" t="s">
        <v>848</v>
      </c>
      <c r="B15944" s="0" t="s">
        <v>98</v>
      </c>
      <c r="F15944" s="6" t="n">
        <f aca="false">MAX(0,capex_floor27-Sens!F15942-Sens!F15943-Sens!F16038)</f>
        <v>8.13777689897088</v>
      </c>
    </row>
    <row r="15945" customFormat="false" ht="17.15" hidden="false" customHeight="false" outlineLevel="0" collapsed="false">
      <c r="A15945" s="0" t="s">
        <v>849</v>
      </c>
      <c r="B15945" s="0" t="s">
        <v>98</v>
      </c>
      <c r="C15945" s="6" t="n">
        <f aca="false">Sens!C15942</f>
        <v>22.5333845916667</v>
      </c>
      <c r="D15945" s="6" t="n">
        <f aca="false">Sens!D15942</f>
        <v>34.0300093833333</v>
      </c>
      <c r="E15945" s="6" t="n">
        <f aca="false">Sens!E15942</f>
        <v>67.600153775</v>
      </c>
      <c r="F15945" s="6" t="n">
        <f aca="false">Sens!F15942+Sens!F15944</f>
        <v>139.061048770438</v>
      </c>
      <c r="G15945" s="6" t="n">
        <f aca="false">Sens!G15942</f>
        <v>151.5545564832</v>
      </c>
      <c r="H15945" s="6" t="n">
        <f aca="false">Sens!H15942</f>
        <v>156.0606619104</v>
      </c>
      <c r="I15945" s="6" t="n">
        <f aca="false">Sens!I15942</f>
        <v>140.987889434245</v>
      </c>
      <c r="J15945" s="6" t="n">
        <f aca="false">Sens!J15942</f>
        <v>113.309125559842</v>
      </c>
      <c r="K15945" s="6" t="n">
        <f aca="false">Sens!K15942</f>
        <v>116.192591420959</v>
      </c>
    </row>
    <row r="15946" customFormat="false" ht="17.15" hidden="false" customHeight="false" outlineLevel="0" collapsed="false">
      <c r="A15946" s="0" t="s">
        <v>850</v>
      </c>
      <c r="B15946" s="0" t="s">
        <v>98</v>
      </c>
      <c r="C15946" s="6" t="n">
        <f aca="false">Sens!C15945+Sens!C15943</f>
        <v>28.7416845916667</v>
      </c>
      <c r="D15946" s="6" t="n">
        <f aca="false">Sens!D15945+Sens!D15943</f>
        <v>43.4058093833333</v>
      </c>
      <c r="E15946" s="6" t="n">
        <f aca="false">Sens!E15945+Sens!E15943</f>
        <v>86.225053775</v>
      </c>
      <c r="F15946" s="6" t="n">
        <f aca="false">Sens!F15945+Sens!F15943</f>
        <v>168.470652770438</v>
      </c>
      <c r="G15946" s="6" t="n">
        <f aca="false">Sens!G15945+Sens!G15943</f>
        <v>183.5741804832</v>
      </c>
      <c r="H15946" s="6" t="n">
        <f aca="false">Sens!H15945+Sens!H15943</f>
        <v>188.0802859104</v>
      </c>
      <c r="I15946" s="6" t="n">
        <f aca="false">Sens!I15945+Sens!I15943</f>
        <v>163.706669154245</v>
      </c>
      <c r="J15946" s="6" t="n">
        <f aca="false">Sens!J15945+Sens!J15943</f>
        <v>127.181436594242</v>
      </c>
      <c r="K15946" s="6" t="n">
        <f aca="false">Sens!K15945+Sens!K15943</f>
        <v>121.407415303591</v>
      </c>
      <c r="L15946" s="11" t="s">
        <v>851</v>
      </c>
    </row>
    <row r="15947" customFormat="false" ht="17.15" hidden="false" customHeight="false" outlineLevel="0" collapsed="false">
      <c r="A15947" s="0" t="s">
        <v>852</v>
      </c>
      <c r="B15947" s="0" t="s">
        <v>98</v>
      </c>
      <c r="E15947" s="6" t="n">
        <f aca="false">(Sens!C15945*IF(2&lt;life_it,1,IF(2=life_it,0.5,0))+Sens!D15945*IF(1&lt;life_it,1,IF(1=life_it,0.5,0))+Sens!E15945*0.5)/life_it</f>
        <v>15.0605784770833</v>
      </c>
      <c r="F15947" s="6" t="n">
        <f aca="false">(Sens!C15945*IF(3&lt;life_it,1,IF(3=life_it,0.5,0))+Sens!D15945*IF(2&lt;life_it,1,IF(2=life_it,0.5,0))+Sens!E15945*IF(1&lt;life_it,1,IF(1=life_it,0.5,0))+Sens!F15945*0.5)/life_it</f>
        <v>32.2823453558698</v>
      </c>
      <c r="G15947" s="6" t="n">
        <f aca="false">(Sens!C15945*IF(4&lt;life_it,1,IF(4=life_it,0.5,0))+Sens!D15945*IF(3&lt;life_it,1,IF(3=life_it,0.5,0))+Sens!E15945*IF(2&lt;life_it,1,IF(2=life_it,0.5,0))+Sens!F15945*IF(1&lt;life_it,1,IF(1=life_it,0.5,0))+Sens!G15945*0.5)/life_it</f>
        <v>56.5003124603396</v>
      </c>
      <c r="H15947" s="6" t="n">
        <f aca="false">(Sens!C15945*IF(5&lt;life_it,1,IF(5=life_it,0.5,0))+Sens!D15945*IF(4&lt;life_it,1,IF(4=life_it,0.5,0))+Sens!E15945*IF(3&lt;life_it,1,IF(3=life_it,0.5,0))+Sens!F15945*IF(2&lt;life_it,1,IF(2=life_it,0.5,0))+Sens!G15945*IF(1&lt;life_it,1,IF(1=life_it,0.5,0))+Sens!H15945*0.5)/life_it</f>
        <v>82.1349139931396</v>
      </c>
      <c r="I15947" s="6" t="n">
        <f aca="false">(Sens!C15945*IF(6&lt;life_it,1,IF(6=life_it,0.5,0))+Sens!D15945*IF(5&lt;life_it,1,IF(5=life_it,0.5,0))+Sens!E15945*IF(4&lt;life_it,1,IF(4=life_it,0.5,0))+Sens!F15945*IF(3&lt;life_it,1,IF(3=life_it,0.5,0))+Sens!G15945*IF(2&lt;life_it,1,IF(2=life_it,0.5,0))+Sens!H15945*IF(1&lt;life_it,1,IF(1=life_it,0.5,0))+Sens!I15945*0.5)/life_it</f>
        <v>105.011177889221</v>
      </c>
      <c r="J15947" s="6" t="n">
        <f aca="false">(Sens!C15945*IF(7&lt;life_it,1,IF(7=life_it,0.5,0))+Sens!D15945*IF(6&lt;life_it,1,IF(6=life_it,0.5,0))+Sens!E15945*IF(5&lt;life_it,1,IF(5=life_it,0.5,0))+Sens!F15945*IF(4&lt;life_it,1,IF(4=life_it,0.5,0))+Sens!G15945*IF(3&lt;life_it,1,IF(3=life_it,0.5,0))+Sens!H15945*IF(2&lt;life_it,1,IF(2=life_it,0.5,0))+Sens!I15945*IF(1&lt;life_it,1,IF(1=life_it,0.5,0))+Sens!J15945*0.5)/life_it</f>
        <v>121.488979640812</v>
      </c>
      <c r="K15947" s="6" t="n">
        <f aca="false">(Sens!C15945*IF(8&lt;life_it,1,IF(8=life_it,0.5,0))+Sens!D15945*IF(7&lt;life_it,1,IF(7=life_it,0.5,0))+Sens!E15945*IF(6&lt;life_it,1,IF(6=life_it,0.5,0))+Sens!F15945*IF(5&lt;life_it,1,IF(5=life_it,0.5,0))+Sens!G15945*IF(4&lt;life_it,1,IF(4=life_it,0.5,0))+Sens!H15945*IF(3&lt;life_it,1,IF(3=life_it,0.5,0))+Sens!I15945*IF(2&lt;life_it,1,IF(2=life_it,0.5,0))+Sens!J15945*IF(1&lt;life_it,1,IF(1=life_it,0.5,0))+Sens!K15945*0.5)/life_it</f>
        <v>132.144942459351</v>
      </c>
    </row>
    <row r="15948" customFormat="false" ht="17.15" hidden="false" customHeight="false" outlineLevel="0" collapsed="false">
      <c r="A15948" s="0" t="s">
        <v>853</v>
      </c>
      <c r="B15948" s="0" t="s">
        <v>98</v>
      </c>
      <c r="E15948" s="6" t="n">
        <f aca="false">(Sens!C15943*IF(2&lt;life_fac,1,IF(2=life_fac,0.5,0))+Sens!D15943*IF(1&lt;life_fac,1,IF(1=life_fac,0.5,0))+Sens!E15943*0.5)/life_fac</f>
        <v>1.2448275</v>
      </c>
      <c r="F15948" s="6" t="n">
        <f aca="false">(Sens!C15943*IF(3&lt;life_fac,1,IF(3=life_fac,0.5,0))+Sens!D15943*IF(2&lt;life_fac,1,IF(2=life_fac,0.5,0))+Sens!E15943*IF(1&lt;life_fac,1,IF(1=life_fac,0.5,0))+Sens!F15943*0.5)/life_fac</f>
        <v>2.4456901</v>
      </c>
      <c r="G15948" s="6" t="n">
        <f aca="false">(Sens!C15943*IF(4&lt;life_fac,1,IF(4=life_fac,0.5,0))+Sens!D15943*IF(3&lt;life_fac,1,IF(3=life_fac,0.5,0))+Sens!E15943*IF(2&lt;life_fac,1,IF(2=life_fac,0.5,0))+Sens!F15943*IF(1&lt;life_fac,1,IF(1=life_fac,0.5,0))+Sens!G15943*0.5)/life_fac</f>
        <v>3.9814208</v>
      </c>
      <c r="H15948" s="6" t="n">
        <f aca="false">(Sens!C15943*IF(5&lt;life_fac,1,IF(5=life_fac,0.5,0))+Sens!D15943*IF(4&lt;life_fac,1,IF(4=life_fac,0.5,0))+Sens!E15943*IF(3&lt;life_fac,1,IF(3=life_fac,0.5,0))+Sens!F15943*IF(2&lt;life_fac,1,IF(2=life_fac,0.5,0))+Sens!G15943*IF(1&lt;life_fac,1,IF(1=life_fac,0.5,0))+Sens!H15943*0.5)/life_fac</f>
        <v>5.582402</v>
      </c>
      <c r="I15948" s="6" t="n">
        <f aca="false">(Sens!C15943*IF(6&lt;life_fac,1,IF(6=life_fac,0.5,0))+Sens!D15943*IF(5&lt;life_fac,1,IF(5=life_fac,0.5,0))+Sens!E15943*IF(4&lt;life_fac,1,IF(4=life_fac,0.5,0))+Sens!F15943*IF(3&lt;life_fac,1,IF(3=life_fac,0.5,0))+Sens!G15943*IF(2&lt;life_fac,1,IF(2=life_fac,0.5,0))+Sens!H15943*IF(1&lt;life_fac,1,IF(1=life_fac,0.5,0))+Sens!I15943*0.5)/life_fac</f>
        <v>6.950862093</v>
      </c>
      <c r="J15948" s="6" t="n">
        <f aca="false">(Sens!C15943*IF(7&lt;life_fac,1,IF(7=life_fac,0.5,0))+Sens!D15943*IF(6&lt;life_fac,1,IF(6=life_fac,0.5,0))+Sens!E15943*IF(5&lt;life_fac,1,IF(5=life_fac,0.5,0))+Sens!F15943*IF(4&lt;life_fac,1,IF(4=life_fac,0.5,0))+Sens!G15943*IF(3&lt;life_fac,1,IF(3=life_fac,0.5,0))+Sens!H15943*IF(2&lt;life_fac,1,IF(2=life_fac,0.5,0))+Sens!I15943*IF(1&lt;life_fac,1,IF(1=life_fac,0.5,0))+Sens!J15943*0.5)/life_fac</f>
        <v>7.86563936186</v>
      </c>
      <c r="K15948" s="6" t="n">
        <f aca="false">(Sens!C15943*IF(8&lt;life_fac,1,IF(8=life_fac,0.5,0))+Sens!D15943*IF(7&lt;life_fac,1,IF(7=life_fac,0.5,0))+Sens!E15943*IF(6&lt;life_fac,1,IF(6=life_fac,0.5,0))+Sens!F15943*IF(5&lt;life_fac,1,IF(5=life_fac,0.5,0))+Sens!G15943*IF(4&lt;life_fac,1,IF(4=life_fac,0.5,0))+Sens!H15943*IF(3&lt;life_fac,1,IF(3=life_fac,0.5,0))+Sens!I15943*IF(2&lt;life_fac,1,IF(2=life_fac,0.5,0))+Sens!J15943*IF(1&lt;life_fac,1,IF(1=life_fac,0.5,0))+Sens!K15943*0.5)/life_fac</f>
        <v>8.3428177347858</v>
      </c>
    </row>
    <row r="15949" customFormat="false" ht="17.15" hidden="false" customHeight="false" outlineLevel="0" collapsed="false">
      <c r="A15949" s="0" t="s">
        <v>854</v>
      </c>
      <c r="B15949" s="0" t="s">
        <v>98</v>
      </c>
      <c r="E15949" s="6" t="n">
        <f aca="false">Sens!E15947+Sens!E15948</f>
        <v>16.3054059770833</v>
      </c>
      <c r="F15949" s="6" t="n">
        <f aca="false">Sens!F15947+Sens!F15948</f>
        <v>34.7280354558698</v>
      </c>
      <c r="G15949" s="6" t="n">
        <f aca="false">Sens!G15947+Sens!G15948</f>
        <v>60.4817332603396</v>
      </c>
      <c r="H15949" s="6" t="n">
        <f aca="false">Sens!H15947+Sens!H15948</f>
        <v>87.7173159931396</v>
      </c>
      <c r="I15949" s="6" t="n">
        <f aca="false">Sens!I15947+Sens!I15948</f>
        <v>111.962039982221</v>
      </c>
      <c r="J15949" s="6" t="n">
        <f aca="false">Sens!J15947+Sens!J15948</f>
        <v>129.354619002672</v>
      </c>
      <c r="K15949" s="6" t="n">
        <f aca="false">Sens!K15947+Sens!K15948</f>
        <v>140.487760194137</v>
      </c>
    </row>
    <row r="15950" customFormat="false" ht="17.15" hidden="false" customHeight="false" outlineLevel="0" collapsed="false">
      <c r="A15950" s="0" t="s">
        <v>855</v>
      </c>
      <c r="B15950" s="0" t="s">
        <v>98</v>
      </c>
      <c r="E15950" s="6" t="n">
        <f aca="false">Sens!E15938-Sens!E15937*Sens!E15949</f>
        <v>8.92707889977379</v>
      </c>
      <c r="F15950" s="6" t="n">
        <f aca="false">Sens!F15938-Sens!F15937*Sens!F15949</f>
        <v>22.2910321312152</v>
      </c>
      <c r="G15950" s="6" t="n">
        <f aca="false">Sens!G15938-Sens!G15937*Sens!G15949</f>
        <v>42.1822624237015</v>
      </c>
      <c r="H15950" s="6" t="n">
        <f aca="false">Sens!H15938-Sens!H15937*Sens!H15949</f>
        <v>67.5392346653351</v>
      </c>
      <c r="I15950" s="6" t="n">
        <f aca="false">Sens!I15938-Sens!I15937*Sens!I15949</f>
        <v>84.7556098462332</v>
      </c>
      <c r="J15950" s="6" t="n">
        <f aca="false">Sens!J15938-Sens!J15937*Sens!J15949</f>
        <v>96.8675844275401</v>
      </c>
      <c r="K15950" s="6" t="n">
        <f aca="false">Sens!K15938-Sens!K15937*Sens!K15949</f>
        <v>105.285699512876</v>
      </c>
    </row>
    <row r="15951" customFormat="false" ht="17.15" hidden="false" customHeight="false" outlineLevel="0" collapsed="false">
      <c r="A15951" s="3" t="s">
        <v>1667</v>
      </c>
    </row>
    <row r="15952" customFormat="false" ht="15" hidden="false" customHeight="false" outlineLevel="0" collapsed="false">
      <c r="A15952" s="4" t="s">
        <v>43</v>
      </c>
      <c r="B15952" s="4" t="s">
        <v>65</v>
      </c>
      <c r="C15952" s="20" t="s">
        <v>799</v>
      </c>
      <c r="D15952" s="20" t="s">
        <v>800</v>
      </c>
      <c r="E15952" s="20" t="s">
        <v>801</v>
      </c>
      <c r="F15952" s="20" t="s">
        <v>802</v>
      </c>
      <c r="G15952" s="20" t="s">
        <v>803</v>
      </c>
      <c r="H15952" s="20" t="s">
        <v>804</v>
      </c>
      <c r="I15952" s="20" t="s">
        <v>805</v>
      </c>
      <c r="J15952" s="20" t="s">
        <v>806</v>
      </c>
      <c r="K15952" s="20" t="s">
        <v>807</v>
      </c>
      <c r="L15952" s="4" t="s">
        <v>47</v>
      </c>
    </row>
    <row r="15953" customFormat="false" ht="17.15" hidden="false" customHeight="false" outlineLevel="0" collapsed="false">
      <c r="A15953" s="0" t="s">
        <v>874</v>
      </c>
      <c r="B15953" s="0" t="s">
        <v>98</v>
      </c>
      <c r="D15953" s="6" t="n">
        <f aca="false">Sens!D15932</f>
        <v>12.9359794422418</v>
      </c>
      <c r="E15953" s="6" t="n">
        <f aca="false">Sens!E15932</f>
        <v>27.8095064661409</v>
      </c>
      <c r="F15953" s="6" t="n">
        <f aca="false">Sens!F15932</f>
        <v>58.7324192305018</v>
      </c>
      <c r="G15953" s="6" t="n">
        <f aca="false">Sens!G15932</f>
        <v>101.369089141153</v>
      </c>
      <c r="H15953" s="6" t="n">
        <f aca="false">Sens!H15932</f>
        <v>149.785610014234</v>
      </c>
      <c r="I15953" s="6" t="n">
        <f aca="false">Sens!I15932</f>
        <v>187.368703083263</v>
      </c>
      <c r="J15953" s="6" t="n">
        <f aca="false">Sens!J15932</f>
        <v>213.886657444854</v>
      </c>
      <c r="K15953" s="6" t="n">
        <f aca="false">Sens!K15932</f>
        <v>231.253475259589</v>
      </c>
    </row>
    <row r="15954" customFormat="false" ht="17.15" hidden="false" customHeight="false" outlineLevel="0" collapsed="false">
      <c r="A15954" s="0" t="s">
        <v>875</v>
      </c>
      <c r="B15954" s="0" t="s">
        <v>98</v>
      </c>
      <c r="D15954" s="6" t="n">
        <f aca="false">Q!L6-Sens!D15953</f>
        <v>59.6740205577583</v>
      </c>
      <c r="E15954" s="6" t="n">
        <f aca="false">Q!M6-Sens!E15953</f>
        <v>74.1284935338591</v>
      </c>
      <c r="F15954" s="6" t="n">
        <f aca="false">Sens!E15954*(1+Sens!F15955)</f>
        <v>90.0799497373663</v>
      </c>
      <c r="G15954" s="6" t="n">
        <f aca="false">Sens!F15954*(1+Sens!G15955)</f>
        <v>107.02842520331</v>
      </c>
      <c r="H15954" s="6" t="n">
        <f aca="false">Sens!G15954*(1+Sens!H15955)</f>
        <v>124.271982585636</v>
      </c>
      <c r="I15954" s="6" t="n">
        <f aca="false">Sens!H15954*(1+Sens!I15955)</f>
        <v>140.933702381855</v>
      </c>
      <c r="J15954" s="6" t="n">
        <f aca="false">Sens!I15954*(1+Sens!J15955)</f>
        <v>156.018867314332</v>
      </c>
      <c r="K15954" s="6" t="n">
        <f aca="false">Sens!J15954*(1+Sens!K15955)</f>
        <v>168.500376699478</v>
      </c>
    </row>
    <row r="15955" customFormat="false" ht="15" hidden="false" customHeight="false" outlineLevel="0" collapsed="false">
      <c r="A15955" s="1" t="s">
        <v>876</v>
      </c>
      <c r="B15955" s="0" t="s">
        <v>129</v>
      </c>
      <c r="E15955" s="7" t="n">
        <f aca="false">Sens!E15954/Sens!D15954-1</f>
        <v>0.242223883039864</v>
      </c>
      <c r="F15955" s="7" t="n">
        <f aca="false">Sens!$E$15955+(glt_azo-Sens!$E$15955)*MIN(1,(Sens!F15915-base_fy)/n_conv)</f>
        <v>0.215186569199887</v>
      </c>
      <c r="G15955" s="7" t="n">
        <f aca="false">Sens!$E$15955+(glt_azo-Sens!$E$15955)*MIN(1,(Sens!G15915-base_fy)/n_conv)</f>
        <v>0.18814925535991</v>
      </c>
      <c r="H15955" s="7" t="n">
        <f aca="false">Sens!$E$15955+(glt_azo-Sens!$E$15955)*MIN(1,(Sens!H15915-base_fy)/n_conv)</f>
        <v>0.161111941519932</v>
      </c>
      <c r="I15955" s="7" t="n">
        <f aca="false">Sens!$E$15955+(glt_azo-Sens!$E$15955)*MIN(1,(Sens!I15915-base_fy)/n_conv)</f>
        <v>0.134074627679955</v>
      </c>
      <c r="J15955" s="7" t="n">
        <f aca="false">Sens!$E$15955+(glt_azo-Sens!$E$15955)*MIN(1,(Sens!J15915-base_fy)/n_conv)</f>
        <v>0.107037313839977</v>
      </c>
      <c r="K15955" s="7" t="n">
        <f aca="false">Sens!$E$15955+(glt_azo-Sens!$E$15955)*MIN(1,(Sens!K15915-base_fy)/n_conv)</f>
        <v>0.08</v>
      </c>
    </row>
    <row r="15956" customFormat="false" ht="15" hidden="false" customHeight="false" outlineLevel="0" collapsed="false">
      <c r="A15956" s="0" t="s">
        <v>877</v>
      </c>
      <c r="B15956" s="0" t="s">
        <v>98</v>
      </c>
      <c r="D15956" s="6" t="n">
        <f aca="false">Sens!D15953+Sens!D15954</f>
        <v>72.61</v>
      </c>
      <c r="E15956" s="6" t="n">
        <f aca="false">Sens!E15953+Sens!E15954</f>
        <v>101.938</v>
      </c>
      <c r="F15956" s="6" t="n">
        <f aca="false">Sens!F15953+Sens!F15954</f>
        <v>148.812368967868</v>
      </c>
      <c r="G15956" s="6" t="n">
        <f aca="false">Sens!G15953+Sens!G15954</f>
        <v>208.397514344463</v>
      </c>
      <c r="H15956" s="6" t="n">
        <f aca="false">Sens!H15953+Sens!H15954</f>
        <v>274.05759259987</v>
      </c>
      <c r="I15956" s="6" t="n">
        <f aca="false">Sens!I15953+Sens!I15954</f>
        <v>328.302405465117</v>
      </c>
      <c r="J15956" s="6" t="n">
        <f aca="false">Sens!J15953+Sens!J15954</f>
        <v>369.905524759186</v>
      </c>
      <c r="K15956" s="6" t="n">
        <f aca="false">Sens!K15953+Sens!K15954</f>
        <v>399.753851959067</v>
      </c>
    </row>
    <row r="15957" customFormat="false" ht="17.15" hidden="false" customHeight="false" outlineLevel="0" collapsed="false">
      <c r="A15957" s="0" t="s">
        <v>878</v>
      </c>
      <c r="B15957" s="1" t="s">
        <v>528</v>
      </c>
      <c r="C15957" s="29" t="n">
        <f aca="false">cop_s24</f>
        <v>1</v>
      </c>
      <c r="D15957" s="29" t="n">
        <f aca="false">cop_s25</f>
        <v>5</v>
      </c>
      <c r="E15957" s="29" t="n">
        <f aca="false">cop_s26</f>
        <v>30</v>
      </c>
      <c r="F15957" s="29" t="n">
        <f aca="false">Sens!E15957+cop_add_A</f>
        <v>60</v>
      </c>
      <c r="G15957" s="29" t="n">
        <f aca="false">Sens!F15957+cop_add_A</f>
        <v>90</v>
      </c>
      <c r="H15957" s="29" t="n">
        <f aca="false">Sens!G15957+cop_add_A</f>
        <v>120</v>
      </c>
      <c r="I15957" s="29" t="n">
        <f aca="false">Sens!H15957+cop_add_A*cop_tail</f>
        <v>135</v>
      </c>
      <c r="J15957" s="29" t="n">
        <f aca="false">Sens!I15957+cop_add_A*cop_tail</f>
        <v>150</v>
      </c>
      <c r="K15957" s="29" t="n">
        <f aca="false">Sens!J15957+cop_add_A*cop_tail</f>
        <v>165</v>
      </c>
      <c r="L15957" s="11" t="s">
        <v>879</v>
      </c>
    </row>
    <row r="15958" customFormat="false" ht="17.15" hidden="false" customHeight="false" outlineLevel="0" collapsed="false">
      <c r="A15958" s="0" t="s">
        <v>880</v>
      </c>
      <c r="B15958" s="0" t="s">
        <v>98</v>
      </c>
      <c r="D15958" s="6" t="n">
        <f aca="false">(Sens!C15957+Sens!D15957)/2*cop_px*12/1000</f>
        <v>0.9</v>
      </c>
      <c r="E15958" s="6" t="n">
        <f aca="false">(Sens!D15957+Sens!E15957)/2*cop_px*12/1000</f>
        <v>5.25</v>
      </c>
      <c r="F15958" s="6" t="n">
        <f aca="false">(Sens!E15957+Sens!F15957)/2*cop_px*12/1000</f>
        <v>13.5</v>
      </c>
      <c r="G15958" s="6" t="n">
        <f aca="false">(Sens!F15957+Sens!G15957)/2*cop_px*12/1000</f>
        <v>22.5</v>
      </c>
      <c r="H15958" s="6" t="n">
        <f aca="false">(Sens!G15957+Sens!H15957)/2*cop_px*12/1000</f>
        <v>31.5</v>
      </c>
      <c r="I15958" s="6" t="n">
        <f aca="false">(Sens!H15957+Sens!I15957)/2*cop_px*12/1000</f>
        <v>38.25</v>
      </c>
      <c r="J15958" s="6" t="n">
        <f aca="false">(Sens!I15957+Sens!J15957)/2*cop_px*12/1000</f>
        <v>42.75</v>
      </c>
      <c r="K15958" s="6" t="n">
        <f aca="false">(Sens!J15957+Sens!K15957)/2*cop_px*12/1000</f>
        <v>47.25</v>
      </c>
      <c r="L15958" s="1" t="s">
        <v>881</v>
      </c>
    </row>
    <row r="15959" customFormat="false" ht="17.15" hidden="false" customHeight="false" outlineLevel="0" collapsed="false">
      <c r="A15959" s="0" t="s">
        <v>882</v>
      </c>
      <c r="B15959" s="0" t="s">
        <v>98</v>
      </c>
      <c r="D15959" s="6" t="n">
        <f aca="false">Q!L7-Sens!D15958</f>
        <v>83.705</v>
      </c>
      <c r="E15959" s="6" t="n">
        <f aca="false">Q!M7-Sens!E15958</f>
        <v>95.049</v>
      </c>
      <c r="F15959" s="6" t="n">
        <f aca="false">Sens!E15959*(1+Sens!F15960)</f>
        <v>106.89238776686</v>
      </c>
      <c r="G15959" s="6" t="n">
        <f aca="false">Sens!F15959*(1+Sens!G15960)</f>
        <v>119.044168448684</v>
      </c>
      <c r="H15959" s="6" t="n">
        <f aca="false">Sens!G15959*(1+Sens!H15960)</f>
        <v>131.277359388781</v>
      </c>
      <c r="I15959" s="6" t="n">
        <f aca="false">Sens!H15959*(1+Sens!I15960)</f>
        <v>143.334028071957</v>
      </c>
      <c r="J15959" s="6" t="n">
        <f aca="false">Sens!I15959*(1+Sens!J15960)</f>
        <v>154.932702785465</v>
      </c>
      <c r="K15959" s="6" t="n">
        <f aca="false">Sens!J15959*(1+Sens!K15960)</f>
        <v>165.777991980448</v>
      </c>
    </row>
    <row r="15960" customFormat="false" ht="15" hidden="false" customHeight="false" outlineLevel="0" collapsed="false">
      <c r="A15960" s="1" t="s">
        <v>876</v>
      </c>
      <c r="B15960" s="0" t="s">
        <v>129</v>
      </c>
      <c r="E15960" s="7" t="n">
        <f aca="false">Sens!E15959/Sens!D15959-1</f>
        <v>0.135523564900544</v>
      </c>
      <c r="F15960" s="7" t="n">
        <f aca="false">Sens!$E$15960+(glt_m365b-Sens!$E$15960)*MIN(1,(Sens!F15915-base_fy)/n_conv)</f>
        <v>0.124602970750453</v>
      </c>
      <c r="G15960" s="7" t="n">
        <f aca="false">Sens!$E$15960+(glt_m365b-Sens!$E$15960)*MIN(1,(Sens!G15915-base_fy)/n_conv)</f>
        <v>0.113682376600363</v>
      </c>
      <c r="H15960" s="7" t="n">
        <f aca="false">Sens!$E$15960+(glt_m365b-Sens!$E$15960)*MIN(1,(Sens!H15915-base_fy)/n_conv)</f>
        <v>0.102761782450272</v>
      </c>
      <c r="I15960" s="7" t="n">
        <f aca="false">Sens!$E$15960+(glt_m365b-Sens!$E$15960)*MIN(1,(Sens!I15915-base_fy)/n_conv)</f>
        <v>0.0918411883001813</v>
      </c>
      <c r="J15960" s="7" t="n">
        <f aca="false">Sens!$E$15960+(glt_m365b-Sens!$E$15960)*MIN(1,(Sens!J15915-base_fy)/n_conv)</f>
        <v>0.0809205941500906</v>
      </c>
      <c r="K15960" s="7" t="n">
        <f aca="false">Sens!$E$15960+(glt_m365b-Sens!$E$15960)*MIN(1,(Sens!K15915-base_fy)/n_conv)</f>
        <v>0.07</v>
      </c>
    </row>
    <row r="15961" customFormat="false" ht="15" hidden="false" customHeight="false" outlineLevel="0" collapsed="false">
      <c r="A15961" s="0" t="s">
        <v>883</v>
      </c>
      <c r="B15961" s="0" t="s">
        <v>98</v>
      </c>
      <c r="D15961" s="6" t="n">
        <f aca="false">Sens!D15959+Sens!D15958</f>
        <v>84.605</v>
      </c>
      <c r="E15961" s="6" t="n">
        <f aca="false">Sens!E15959+Sens!E15958</f>
        <v>100.299</v>
      </c>
      <c r="F15961" s="6" t="n">
        <f aca="false">Sens!F15959+Sens!F15958</f>
        <v>120.39238776686</v>
      </c>
      <c r="G15961" s="6" t="n">
        <f aca="false">Sens!G15959+Sens!G15958</f>
        <v>141.544168448684</v>
      </c>
      <c r="H15961" s="6" t="n">
        <f aca="false">Sens!H15959+Sens!H15958</f>
        <v>162.777359388781</v>
      </c>
      <c r="I15961" s="6" t="n">
        <f aca="false">Sens!I15959+Sens!I15958</f>
        <v>181.584028071957</v>
      </c>
      <c r="J15961" s="6" t="n">
        <f aca="false">Sens!J15959+Sens!J15958</f>
        <v>197.682702785465</v>
      </c>
      <c r="K15961" s="6" t="n">
        <f aca="false">Sens!K15959+Sens!K15958</f>
        <v>213.027991980448</v>
      </c>
    </row>
    <row r="15962" customFormat="false" ht="15" hidden="false" customHeight="false" outlineLevel="0" collapsed="false">
      <c r="A15962" s="0" t="s">
        <v>884</v>
      </c>
      <c r="B15962" s="0" t="s">
        <v>98</v>
      </c>
      <c r="D15962" s="6" t="n">
        <f aca="false">Q!L8</f>
        <v>35.391</v>
      </c>
      <c r="E15962" s="6" t="n">
        <f aca="false">Q!M8</f>
        <v>37.285</v>
      </c>
      <c r="F15962" s="6" t="n">
        <f aca="false">Sens!E15962*(1+Sens!F15963)</f>
        <v>39.0720834331704</v>
      </c>
      <c r="G15962" s="6" t="n">
        <f aca="false">Sens!F15962*(1+Sens!G15963)</f>
        <v>40.726562953769</v>
      </c>
      <c r="H15962" s="6" t="n">
        <f aca="false">Sens!G15962*(1+Sens!H15963)</f>
        <v>42.2235987259198</v>
      </c>
      <c r="I15962" s="6" t="n">
        <f aca="false">Sens!H15962*(1+Sens!I15963)</f>
        <v>43.5397988077414</v>
      </c>
      <c r="J15962" s="6" t="n">
        <f aca="false">Sens!I15962*(1+Sens!J15963)</f>
        <v>44.653811225693</v>
      </c>
      <c r="K15962" s="6" t="n">
        <f aca="false">Sens!J15962*(1+Sens!K15963)</f>
        <v>45.5468874502068</v>
      </c>
    </row>
    <row r="15963" customFormat="false" ht="15" hidden="false" customHeight="false" outlineLevel="0" collapsed="false">
      <c r="A15963" s="1" t="s">
        <v>876</v>
      </c>
      <c r="B15963" s="0" t="s">
        <v>129</v>
      </c>
      <c r="E15963" s="7" t="n">
        <f aca="false">Sens!E15962/Sens!D15962-1</f>
        <v>0.0535164307309768</v>
      </c>
      <c r="F15963" s="7" t="n">
        <f aca="false">Sens!$E$15963+(glt_lic-Sens!$E$15963)*MIN(1,(Sens!F15915-base_fy)/n_conv)</f>
        <v>0.0479303589424807</v>
      </c>
      <c r="G15963" s="7" t="n">
        <f aca="false">Sens!$E$15963+(glt_lic-Sens!$E$15963)*MIN(1,(Sens!G15915-base_fy)/n_conv)</f>
        <v>0.0423442871539845</v>
      </c>
      <c r="H15963" s="7" t="n">
        <f aca="false">Sens!$E$15963+(glt_lic-Sens!$E$15963)*MIN(1,(Sens!H15915-base_fy)/n_conv)</f>
        <v>0.0367582153654884</v>
      </c>
      <c r="I15963" s="7" t="n">
        <f aca="false">Sens!$E$15963+(glt_lic-Sens!$E$15963)*MIN(1,(Sens!I15915-base_fy)/n_conv)</f>
        <v>0.0311721435769923</v>
      </c>
      <c r="J15963" s="7" t="n">
        <f aca="false">Sens!$E$15963+(glt_lic-Sens!$E$15963)*MIN(1,(Sens!J15915-base_fy)/n_conv)</f>
        <v>0.0255860717884961</v>
      </c>
      <c r="K15963" s="7" t="n">
        <f aca="false">Sens!$E$15963+(glt_lic-Sens!$E$15963)*MIN(1,(Sens!K15915-base_fy)/n_conv)</f>
        <v>0.02</v>
      </c>
    </row>
    <row r="15964" customFormat="false" ht="15" hidden="false" customHeight="false" outlineLevel="0" collapsed="false">
      <c r="A15964" s="0" t="s">
        <v>885</v>
      </c>
      <c r="B15964" s="0" t="s">
        <v>98</v>
      </c>
      <c r="D15964" s="6" t="n">
        <f aca="false">Q!L9</f>
        <v>18.417</v>
      </c>
      <c r="E15964" s="6" t="n">
        <f aca="false">Q!M9</f>
        <v>20.345</v>
      </c>
      <c r="F15964" s="6" t="n">
        <f aca="false">Sens!E15964*(1+Sens!F15965)</f>
        <v>22.3572203267814</v>
      </c>
      <c r="G15964" s="6" t="n">
        <f aca="false">Sens!F15964*(1+Sens!G15965)</f>
        <v>24.4392124437232</v>
      </c>
      <c r="H15964" s="6" t="n">
        <f aca="false">Sens!G15964*(1+Sens!H15965)</f>
        <v>26.5738052080665</v>
      </c>
      <c r="I15964" s="6" t="n">
        <f aca="false">Sens!H15964*(1+Sens!I15965)</f>
        <v>28.7412169166967</v>
      </c>
      <c r="J15964" s="6" t="n">
        <f aca="false">Sens!I15964*(1+Sens!J15965)</f>
        <v>30.9192545395413</v>
      </c>
      <c r="K15964" s="6" t="n">
        <f aca="false">Sens!J15964*(1+Sens!K15965)</f>
        <v>33.0836023573092</v>
      </c>
    </row>
    <row r="15965" customFormat="false" ht="15" hidden="false" customHeight="false" outlineLevel="0" collapsed="false">
      <c r="A15965" s="1" t="s">
        <v>876</v>
      </c>
      <c r="B15965" s="0" t="s">
        <v>129</v>
      </c>
      <c r="E15965" s="7" t="n">
        <f aca="false">Sens!E15964/Sens!D15964-1</f>
        <v>0.104685888038225</v>
      </c>
      <c r="F15965" s="7" t="n">
        <f aca="false">Sens!$E$15965+(glt_ind-Sens!$E$15965)*MIN(1,(Sens!F15915-base_fy)/n_conv)</f>
        <v>0.0989049066985211</v>
      </c>
      <c r="G15965" s="7" t="n">
        <f aca="false">Sens!$E$15965+(glt_ind-Sens!$E$15965)*MIN(1,(Sens!G15915-base_fy)/n_conv)</f>
        <v>0.0931239253588169</v>
      </c>
      <c r="H15965" s="7" t="n">
        <f aca="false">Sens!$E$15965+(glt_ind-Sens!$E$15965)*MIN(1,(Sens!H15915-base_fy)/n_conv)</f>
        <v>0.0873429440191127</v>
      </c>
      <c r="I15965" s="7" t="n">
        <f aca="false">Sens!$E$15965+(glt_ind-Sens!$E$15965)*MIN(1,(Sens!I15915-base_fy)/n_conv)</f>
        <v>0.0815619626794085</v>
      </c>
      <c r="J15965" s="7" t="n">
        <f aca="false">Sens!$E$15965+(glt_ind-Sens!$E$15965)*MIN(1,(Sens!J15915-base_fy)/n_conv)</f>
        <v>0.0757809813397042</v>
      </c>
      <c r="K15965" s="7" t="n">
        <f aca="false">Sens!$E$15965+(glt_ind-Sens!$E$15965)*MIN(1,(Sens!K15915-base_fy)/n_conv)</f>
        <v>0.07</v>
      </c>
    </row>
    <row r="15966" customFormat="false" ht="15" hidden="false" customHeight="false" outlineLevel="0" collapsed="false">
      <c r="A15966" s="0" t="s">
        <v>886</v>
      </c>
      <c r="B15966" s="0" t="s">
        <v>98</v>
      </c>
      <c r="D15966" s="6" t="n">
        <f aca="false">Q!L10</f>
        <v>7.76</v>
      </c>
      <c r="E15966" s="6" t="n">
        <f aca="false">Q!M10</f>
        <v>8.26</v>
      </c>
      <c r="F15966" s="6" t="n">
        <f aca="false">Sens!E15966*(1+Sens!F15967)</f>
        <v>8.79988041237113</v>
      </c>
      <c r="G15966" s="6" t="n">
        <f aca="false">Sens!F15966*(1+Sens!G15967)</f>
        <v>9.38321269125306</v>
      </c>
      <c r="H15966" s="6" t="n">
        <f aca="false">Sens!G15966*(1+Sens!H15967)</f>
        <v>10.0139193587476</v>
      </c>
      <c r="I15966" s="6" t="n">
        <f aca="false">Sens!H15966*(1+Sens!I15967)</f>
        <v>10.6963111830911</v>
      </c>
      <c r="J15966" s="6" t="n">
        <f aca="false">Sens!I15966*(1+Sens!J15967)</f>
        <v>11.4351285534696</v>
      </c>
      <c r="K15966" s="6" t="n">
        <f aca="false">Sens!J15966*(1+Sens!K15967)</f>
        <v>12.2355875522124</v>
      </c>
    </row>
    <row r="15967" customFormat="false" ht="15" hidden="false" customHeight="false" outlineLevel="0" collapsed="false">
      <c r="A15967" s="1" t="s">
        <v>876</v>
      </c>
      <c r="B15967" s="0" t="s">
        <v>129</v>
      </c>
      <c r="E15967" s="7" t="n">
        <f aca="false">Sens!E15966/Sens!D15966-1</f>
        <v>0.0644329896907216</v>
      </c>
      <c r="F15967" s="7" t="n">
        <f aca="false">Sens!$E$15967+(glt_fro-Sens!$E$15967)*MIN(1,(Sens!F15915-base_fy)/n_conv)</f>
        <v>0.065360824742268</v>
      </c>
      <c r="G15967" s="7" t="n">
        <f aca="false">Sens!$E$15967+(glt_fro-Sens!$E$15967)*MIN(1,(Sens!G15915-base_fy)/n_conv)</f>
        <v>0.0662886597938144</v>
      </c>
      <c r="H15967" s="7" t="n">
        <f aca="false">Sens!$E$15967+(glt_fro-Sens!$E$15967)*MIN(1,(Sens!H15915-base_fy)/n_conv)</f>
        <v>0.0672164948453608</v>
      </c>
      <c r="I15967" s="7" t="n">
        <f aca="false">Sens!$E$15967+(glt_fro-Sens!$E$15967)*MIN(1,(Sens!I15915-base_fy)/n_conv)</f>
        <v>0.0681443298969072</v>
      </c>
      <c r="J15967" s="7" t="n">
        <f aca="false">Sens!$E$15967+(glt_fro-Sens!$E$15967)*MIN(1,(Sens!J15915-base_fy)/n_conv)</f>
        <v>0.0690721649484536</v>
      </c>
      <c r="K15967" s="7" t="n">
        <f aca="false">Sens!$E$15967+(glt_fro-Sens!$E$15967)*MIN(1,(Sens!K15915-base_fy)/n_conv)</f>
        <v>0.07</v>
      </c>
    </row>
    <row r="15968" customFormat="false" ht="15" hidden="false" customHeight="false" outlineLevel="0" collapsed="false">
      <c r="A15968" s="0" t="s">
        <v>715</v>
      </c>
      <c r="B15968" s="0" t="s">
        <v>98</v>
      </c>
      <c r="D15968" s="6" t="n">
        <f aca="false">Sens!D15956+Sens!D15961+Sens!D15962+Sens!D15964+Sens!D15966</f>
        <v>218.783</v>
      </c>
      <c r="E15968" s="6" t="n">
        <f aca="false">Sens!E15956+Sens!E15961+Sens!E15962+Sens!E15964+Sens!E15966</f>
        <v>268.127</v>
      </c>
      <c r="F15968" s="6" t="n">
        <f aca="false">Sens!F15956+Sens!F15961+Sens!F15962+Sens!F15964+Sens!F15966</f>
        <v>339.433940907051</v>
      </c>
      <c r="G15968" s="6" t="n">
        <f aca="false">Sens!G15956+Sens!G15961+Sens!G15962+Sens!G15964+Sens!G15966</f>
        <v>424.490670881892</v>
      </c>
      <c r="H15968" s="6" t="n">
        <f aca="false">Sens!H15956+Sens!H15961+Sens!H15962+Sens!H15964+Sens!H15966</f>
        <v>515.646275281385</v>
      </c>
      <c r="I15968" s="6" t="n">
        <f aca="false">Sens!I15956+Sens!I15961+Sens!I15962+Sens!I15964+Sens!I15966</f>
        <v>592.863760444604</v>
      </c>
      <c r="J15968" s="6" t="n">
        <f aca="false">Sens!J15956+Sens!J15961+Sens!J15962+Sens!J15964+Sens!J15966</f>
        <v>654.596421863355</v>
      </c>
      <c r="K15968" s="6" t="n">
        <f aca="false">Sens!K15956+Sens!K15961+Sens!K15962+Sens!K15964+Sens!K15966</f>
        <v>703.647921299244</v>
      </c>
    </row>
    <row r="15969" customFormat="false" ht="15" hidden="false" customHeight="false" outlineLevel="0" collapsed="false">
      <c r="A15969" s="0" t="s">
        <v>887</v>
      </c>
      <c r="B15969" s="0" t="s">
        <v>98</v>
      </c>
      <c r="D15969" s="6" t="n">
        <f aca="false">Q!L13</f>
        <v>22.171</v>
      </c>
      <c r="E15969" s="6" t="n">
        <f aca="false">Q!M13</f>
        <v>24.835</v>
      </c>
      <c r="F15969" s="6" t="n">
        <f aca="false">Sens!E15969*(1+Sens!F15970)</f>
        <v>27.6114901218559</v>
      </c>
      <c r="G15969" s="6" t="n">
        <f aca="false">Sens!F15969*(1+Sens!G15970)</f>
        <v>30.4675667338515</v>
      </c>
      <c r="H15969" s="6" t="n">
        <f aca="false">Sens!G15969*(1+Sens!H15970)</f>
        <v>33.3643766955789</v>
      </c>
      <c r="I15969" s="6" t="n">
        <f aca="false">Sens!H15969*(1+Sens!I15970)</f>
        <v>36.2577016533691</v>
      </c>
      <c r="J15969" s="6" t="n">
        <f aca="false">Sens!I15969*(1+Sens!J15970)</f>
        <v>39.0988367952171</v>
      </c>
      <c r="K15969" s="6" t="n">
        <f aca="false">Sens!J15969*(1+Sens!K15970)</f>
        <v>41.8357553708823</v>
      </c>
    </row>
    <row r="15970" customFormat="false" ht="15" hidden="false" customHeight="false" outlineLevel="0" collapsed="false">
      <c r="A15970" s="1" t="s">
        <v>876</v>
      </c>
      <c r="B15970" s="0" t="s">
        <v>129</v>
      </c>
      <c r="E15970" s="7" t="n">
        <f aca="false">Sens!E15969/Sens!D15969-1</f>
        <v>0.120156961796942</v>
      </c>
      <c r="F15970" s="7" t="n">
        <f aca="false">Sens!$E$15970+(glt_srch-Sens!$E$15970)*MIN(1,(Sens!F15915-base_fy)/n_conv)</f>
        <v>0.111797468164118</v>
      </c>
      <c r="G15970" s="7" t="n">
        <f aca="false">Sens!$E$15970+(glt_srch-Sens!$E$15970)*MIN(1,(Sens!G15915-base_fy)/n_conv)</f>
        <v>0.103437974531295</v>
      </c>
      <c r="H15970" s="7" t="n">
        <f aca="false">Sens!$E$15970+(glt_srch-Sens!$E$15970)*MIN(1,(Sens!H15915-base_fy)/n_conv)</f>
        <v>0.095078480898471</v>
      </c>
      <c r="I15970" s="7" t="n">
        <f aca="false">Sens!$E$15970+(glt_srch-Sens!$E$15970)*MIN(1,(Sens!I15915-base_fy)/n_conv)</f>
        <v>0.0867189872656474</v>
      </c>
      <c r="J15970" s="7" t="n">
        <f aca="false">Sens!$E$15970+(glt_srch-Sens!$E$15970)*MIN(1,(Sens!J15915-base_fy)/n_conv)</f>
        <v>0.0783594936328237</v>
      </c>
      <c r="K15970" s="7" t="n">
        <f aca="false">Sens!$E$15970+(glt_srch-Sens!$E$15970)*MIN(1,(Sens!K15915-base_fy)/n_conv)</f>
        <v>0.07</v>
      </c>
    </row>
    <row r="15971" customFormat="false" ht="15" hidden="false" customHeight="false" outlineLevel="0" collapsed="false">
      <c r="A15971" s="0" t="s">
        <v>888</v>
      </c>
      <c r="B15971" s="0" t="s">
        <v>98</v>
      </c>
      <c r="D15971" s="6" t="n">
        <f aca="false">Q!L14</f>
        <v>23.455</v>
      </c>
      <c r="E15971" s="6" t="n">
        <f aca="false">Q!M14</f>
        <v>21.79</v>
      </c>
      <c r="F15971" s="6" t="n">
        <f aca="false">Sens!E15971*(1+Sens!F15972)</f>
        <v>20.5736277908051</v>
      </c>
      <c r="G15971" s="6" t="n">
        <f aca="false">Sens!F15971*(1+Sens!G15972)</f>
        <v>19.7371452817919</v>
      </c>
      <c r="H15971" s="6" t="n">
        <f aca="false">Sens!G15971*(1+Sens!H15972)</f>
        <v>19.2339764043138</v>
      </c>
      <c r="I15971" s="6" t="n">
        <f aca="false">Sens!H15971*(1+Sens!I15972)</f>
        <v>19.0353086852681</v>
      </c>
      <c r="J15971" s="6" t="n">
        <f aca="false">Sens!I15971*(1+Sens!J15972)</f>
        <v>19.1273539319129</v>
      </c>
      <c r="K15971" s="6" t="n">
        <f aca="false">Sens!J15971*(1+Sens!K15972)</f>
        <v>19.5099010105511</v>
      </c>
    </row>
    <row r="15972" customFormat="false" ht="15" hidden="false" customHeight="false" outlineLevel="0" collapsed="false">
      <c r="A15972" s="1" t="s">
        <v>876</v>
      </c>
      <c r="B15972" s="0" t="s">
        <v>129</v>
      </c>
      <c r="E15972" s="7" t="n">
        <f aca="false">Sens!E15971/Sens!D15971-1</f>
        <v>-0.0709869963760392</v>
      </c>
      <c r="F15972" s="7" t="n">
        <f aca="false">Sens!$E$15972+(glt_xbox-Sens!$E$15972)*MIN(1,(Sens!F15915-base_fy)/n_conv)</f>
        <v>-0.0558224969800327</v>
      </c>
      <c r="G15972" s="7" t="n">
        <f aca="false">Sens!$E$15972+(glt_xbox-Sens!$E$15972)*MIN(1,(Sens!G15915-base_fy)/n_conv)</f>
        <v>-0.0406579975840262</v>
      </c>
      <c r="H15972" s="7" t="n">
        <f aca="false">Sens!$E$15972+(glt_xbox-Sens!$E$15972)*MIN(1,(Sens!H15915-base_fy)/n_conv)</f>
        <v>-0.0254934981880196</v>
      </c>
      <c r="I15972" s="7" t="n">
        <f aca="false">Sens!$E$15972+(glt_xbox-Sens!$E$15972)*MIN(1,(Sens!I15915-base_fy)/n_conv)</f>
        <v>-0.0103289987920131</v>
      </c>
      <c r="J15972" s="7" t="n">
        <f aca="false">Sens!$E$15972+(glt_xbox-Sens!$E$15972)*MIN(1,(Sens!J15915-base_fy)/n_conv)</f>
        <v>0.00483550060399347</v>
      </c>
      <c r="K15972" s="7" t="n">
        <f aca="false">Sens!$E$15972+(glt_xbox-Sens!$E$15972)*MIN(1,(Sens!K15915-base_fy)/n_conv)</f>
        <v>0.02</v>
      </c>
    </row>
    <row r="15973" customFormat="false" ht="15" hidden="false" customHeight="false" outlineLevel="0" collapsed="false">
      <c r="A15973" s="0" t="s">
        <v>889</v>
      </c>
      <c r="B15973" s="0" t="s">
        <v>98</v>
      </c>
      <c r="D15973" s="6" t="n">
        <f aca="false">Q!L15</f>
        <v>17.315</v>
      </c>
      <c r="E15973" s="6" t="n">
        <f aca="false">Q!M15</f>
        <v>17.087</v>
      </c>
      <c r="F15973" s="6" t="n">
        <f aca="false">Sens!E15973*(1+Sens!F15974)</f>
        <v>16.9564585436519</v>
      </c>
      <c r="G15973" s="6" t="n">
        <f aca="false">Sens!F15973*(1+Sens!G15974)</f>
        <v>16.9206490624268</v>
      </c>
      <c r="H15973" s="6" t="n">
        <f aca="false">Sens!G15973*(1+Sens!H15974)</f>
        <v>16.9784519149849</v>
      </c>
      <c r="I15973" s="6" t="n">
        <f aca="false">Sens!H15973*(1+Sens!I15974)</f>
        <v>17.1303084701817</v>
      </c>
      <c r="J15973" s="6" t="n">
        <f aca="false">Sens!I15973*(1+Sens!J15974)</f>
        <v>17.3782189407267</v>
      </c>
      <c r="K15973" s="6" t="n">
        <f aca="false">Sens!J15973*(1+Sens!K15974)</f>
        <v>17.7257833195413</v>
      </c>
    </row>
    <row r="15974" customFormat="false" ht="15" hidden="false" customHeight="false" outlineLevel="0" collapsed="false">
      <c r="A15974" s="1" t="s">
        <v>876</v>
      </c>
      <c r="B15974" s="0" t="s">
        <v>129</v>
      </c>
      <c r="E15974" s="7" t="n">
        <f aca="false">Sens!E15973/Sens!D15973-1</f>
        <v>-0.0131677736066995</v>
      </c>
      <c r="F15974" s="7" t="n">
        <f aca="false">Sens!$E$15974+(glt_win-Sens!$E$15974)*MIN(1,(Sens!F15915-base_fy)/n_conv)</f>
        <v>-0.00763981133891627</v>
      </c>
      <c r="G15974" s="7" t="n">
        <f aca="false">Sens!$E$15974+(glt_win-Sens!$E$15974)*MIN(1,(Sens!G15915-base_fy)/n_conv)</f>
        <v>-0.00211184907113301</v>
      </c>
      <c r="H15974" s="7" t="n">
        <f aca="false">Sens!$E$15974+(glt_win-Sens!$E$15974)*MIN(1,(Sens!H15915-base_fy)/n_conv)</f>
        <v>0.00341611319665024</v>
      </c>
      <c r="I15974" s="7" t="n">
        <f aca="false">Sens!$E$15974+(glt_win-Sens!$E$15974)*MIN(1,(Sens!I15915-base_fy)/n_conv)</f>
        <v>0.00894407546443349</v>
      </c>
      <c r="J15974" s="7" t="n">
        <f aca="false">Sens!$E$15974+(glt_win-Sens!$E$15974)*MIN(1,(Sens!J15915-base_fy)/n_conv)</f>
        <v>0.0144720377322168</v>
      </c>
      <c r="K15974" s="7" t="n">
        <f aca="false">Sens!$E$15974+(glt_win-Sens!$E$15974)*MIN(1,(Sens!K15915-base_fy)/n_conv)</f>
        <v>0.02</v>
      </c>
    </row>
    <row r="15975" customFormat="false" ht="15" hidden="false" customHeight="false" outlineLevel="0" collapsed="false">
      <c r="A15975" s="0" t="s">
        <v>729</v>
      </c>
      <c r="B15975" s="0" t="s">
        <v>98</v>
      </c>
      <c r="D15975" s="6" t="n">
        <f aca="false">Sens!D15969+Sens!D15971+Sens!D15973</f>
        <v>62.941</v>
      </c>
      <c r="E15975" s="6" t="n">
        <f aca="false">Sens!E15969+Sens!E15971+Sens!E15973</f>
        <v>63.712</v>
      </c>
      <c r="F15975" s="6" t="n">
        <f aca="false">Sens!F15969+Sens!F15971+Sens!F15973</f>
        <v>65.1415764563129</v>
      </c>
      <c r="G15975" s="6" t="n">
        <f aca="false">Sens!G15969+Sens!G15971+Sens!G15973</f>
        <v>67.1253610780702</v>
      </c>
      <c r="H15975" s="6" t="n">
        <f aca="false">Sens!H15969+Sens!H15971+Sens!H15973</f>
        <v>69.5768050148776</v>
      </c>
      <c r="I15975" s="6" t="n">
        <f aca="false">Sens!I15969+Sens!I15971+Sens!I15973</f>
        <v>72.4233188088189</v>
      </c>
      <c r="J15975" s="6" t="n">
        <f aca="false">Sens!J15969+Sens!J15971+Sens!J15973</f>
        <v>75.6044096678567</v>
      </c>
      <c r="K15975" s="6" t="n">
        <f aca="false">Sens!K15969+Sens!K15971+Sens!K15973</f>
        <v>79.0714397009747</v>
      </c>
    </row>
    <row r="15976" customFormat="false" ht="15" hidden="false" customHeight="false" outlineLevel="0" collapsed="false">
      <c r="A15976" s="1" t="s">
        <v>890</v>
      </c>
      <c r="B15976" s="0" t="s">
        <v>98</v>
      </c>
      <c r="D15976" s="6" t="n">
        <f aca="false">Sens!D15968+Sens!D15975</f>
        <v>281.724</v>
      </c>
      <c r="E15976" s="6" t="n">
        <f aca="false">Sens!E15968+Sens!E15975</f>
        <v>331.839</v>
      </c>
      <c r="F15976" s="6" t="n">
        <f aca="false">Sens!F15968+Sens!F15975</f>
        <v>404.575517363364</v>
      </c>
      <c r="G15976" s="6" t="n">
        <f aca="false">Sens!G15968+Sens!G15975</f>
        <v>491.616031959962</v>
      </c>
      <c r="H15976" s="6" t="n">
        <f aca="false">Sens!H15968+Sens!H15975</f>
        <v>585.223080296262</v>
      </c>
      <c r="I15976" s="6" t="n">
        <f aca="false">Sens!I15968+Sens!I15975</f>
        <v>665.287079253422</v>
      </c>
      <c r="J15976" s="6" t="n">
        <f aca="false">Sens!J15968+Sens!J15975</f>
        <v>730.200831531211</v>
      </c>
      <c r="K15976" s="6" t="n">
        <f aca="false">Sens!K15968+Sens!K15975</f>
        <v>782.719361000218</v>
      </c>
    </row>
    <row r="15977" customFormat="false" ht="15" hidden="false" customHeight="false" outlineLevel="0" collapsed="false">
      <c r="A15977" s="23" t="s">
        <v>891</v>
      </c>
      <c r="B15977" s="30" t="s">
        <v>98</v>
      </c>
      <c r="C15977" s="30"/>
      <c r="D15977" s="24" t="n">
        <f aca="false">(Sens!D15956+Sens!D15961+Sens!D15962+Sens!D15964+Sens!D15966-Sens!D15968)+(Sens!D15969+Sens!D15971+Sens!D15973-Sens!D15975)+(Sens!D15968-Q!L5)+(Sens!D15975-Q!L12)+(Sens!D15956-Q!L6)+(Sens!D15961-Q!L7)</f>
        <v>0</v>
      </c>
      <c r="E15977" s="24" t="n">
        <f aca="false">(Sens!E15956+Sens!E15961+Sens!E15962+Sens!E15964+Sens!E15966-Sens!E15968)+(Sens!E15969+Sens!E15971+Sens!E15973-Sens!E15975)+(Sens!E15968-Q!M5)+(Sens!E15975-Q!M12)+(Sens!E15956-Q!M6)+(Sens!E15961-Q!M7)</f>
        <v>0</v>
      </c>
      <c r="F15977" s="24" t="n">
        <f aca="false">(Sens!F15956+Sens!F15961+Sens!F15962+Sens!F15964+Sens!F15966-Sens!F15968)+(Sens!F15969+Sens!F15971+Sens!F15973-Sens!F15975)</f>
        <v>0</v>
      </c>
      <c r="G15977" s="24" t="n">
        <f aca="false">(Sens!G15956+Sens!G15961+Sens!G15962+Sens!G15964+Sens!G15966-Sens!G15968)+(Sens!G15969+Sens!G15971+Sens!G15973-Sens!G15975)</f>
        <v>0</v>
      </c>
      <c r="H15977" s="24" t="n">
        <f aca="false">(Sens!H15956+Sens!H15961+Sens!H15962+Sens!H15964+Sens!H15966-Sens!H15968)+(Sens!H15969+Sens!H15971+Sens!H15973-Sens!H15975)</f>
        <v>0</v>
      </c>
      <c r="I15977" s="24" t="n">
        <f aca="false">(Sens!I15956+Sens!I15961+Sens!I15962+Sens!I15964+Sens!I15966-Sens!I15968)+(Sens!I15969+Sens!I15971+Sens!I15973-Sens!I15975)</f>
        <v>0</v>
      </c>
      <c r="J15977" s="24" t="n">
        <f aca="false">(Sens!J15956+Sens!J15961+Sens!J15962+Sens!J15964+Sens!J15966-Sens!J15968)+(Sens!J15969+Sens!J15971+Sens!J15973-Sens!J15975)</f>
        <v>0</v>
      </c>
      <c r="K15977" s="24" t="n">
        <f aca="false">(Sens!K15956+Sens!K15961+Sens!K15962+Sens!K15964+Sens!K15966-Sens!K15968)+(Sens!K15969+Sens!K15971+Sens!K15973-Sens!K15975)</f>
        <v>0</v>
      </c>
    </row>
    <row r="15978" customFormat="false" ht="17.15" hidden="false" customHeight="false" outlineLevel="0" collapsed="false">
      <c r="A15978" s="3" t="s">
        <v>1668</v>
      </c>
    </row>
    <row r="15979" customFormat="false" ht="15" hidden="false" customHeight="false" outlineLevel="0" collapsed="false">
      <c r="A15979" s="4" t="s">
        <v>43</v>
      </c>
      <c r="B15979" s="4" t="s">
        <v>65</v>
      </c>
      <c r="C15979" s="20" t="s">
        <v>799</v>
      </c>
      <c r="D15979" s="20" t="s">
        <v>800</v>
      </c>
      <c r="E15979" s="20" t="s">
        <v>801</v>
      </c>
      <c r="F15979" s="20" t="s">
        <v>802</v>
      </c>
      <c r="G15979" s="20" t="s">
        <v>803</v>
      </c>
      <c r="H15979" s="20" t="s">
        <v>804</v>
      </c>
      <c r="I15979" s="20" t="s">
        <v>805</v>
      </c>
      <c r="J15979" s="20" t="s">
        <v>806</v>
      </c>
      <c r="K15979" s="20" t="s">
        <v>807</v>
      </c>
      <c r="L15979" s="4" t="s">
        <v>47</v>
      </c>
    </row>
    <row r="15980" customFormat="false" ht="15" hidden="false" customHeight="false" outlineLevel="0" collapsed="false">
      <c r="A15980" s="0" t="s">
        <v>877</v>
      </c>
      <c r="B15980" s="0" t="s">
        <v>98</v>
      </c>
      <c r="D15980" s="6" t="n">
        <f aca="false">Sens!D15956</f>
        <v>72.61</v>
      </c>
      <c r="E15980" s="6" t="n">
        <f aca="false">Sens!E15956</f>
        <v>101.938</v>
      </c>
      <c r="F15980" s="6" t="n">
        <f aca="false">Sens!F15956</f>
        <v>148.812368967868</v>
      </c>
      <c r="G15980" s="6" t="n">
        <f aca="false">Sens!G15956</f>
        <v>208.397514344463</v>
      </c>
      <c r="H15980" s="6" t="n">
        <f aca="false">Sens!H15956</f>
        <v>274.05759259987</v>
      </c>
      <c r="I15980" s="6" t="n">
        <f aca="false">Sens!I15956</f>
        <v>328.302405465117</v>
      </c>
      <c r="J15980" s="6" t="n">
        <f aca="false">Sens!J15956</f>
        <v>369.905524759186</v>
      </c>
      <c r="K15980" s="6" t="n">
        <f aca="false">Sens!K15956</f>
        <v>399.753851959067</v>
      </c>
    </row>
    <row r="15981" customFormat="false" ht="17.15" hidden="false" customHeight="false" outlineLevel="0" collapsed="false">
      <c r="A15981" s="0" t="s">
        <v>874</v>
      </c>
      <c r="B15981" s="0" t="s">
        <v>98</v>
      </c>
      <c r="D15981" s="6" t="n">
        <f aca="false">Sens!D15953</f>
        <v>12.9359794422418</v>
      </c>
      <c r="E15981" s="6" t="n">
        <f aca="false">Sens!E15953</f>
        <v>27.8095064661409</v>
      </c>
      <c r="F15981" s="6" t="n">
        <f aca="false">Sens!F15953</f>
        <v>58.7324192305018</v>
      </c>
      <c r="G15981" s="6" t="n">
        <f aca="false">Sens!G15953</f>
        <v>101.369089141153</v>
      </c>
      <c r="H15981" s="6" t="n">
        <f aca="false">Sens!H15953</f>
        <v>149.785610014234</v>
      </c>
      <c r="I15981" s="6" t="n">
        <f aca="false">Sens!I15953</f>
        <v>187.368703083263</v>
      </c>
      <c r="J15981" s="6" t="n">
        <f aca="false">Sens!J15953</f>
        <v>213.886657444854</v>
      </c>
      <c r="K15981" s="6" t="n">
        <f aca="false">Sens!K15953</f>
        <v>231.253475259589</v>
      </c>
    </row>
    <row r="15982" customFormat="false" ht="17.15" hidden="false" customHeight="false" outlineLevel="0" collapsed="false">
      <c r="A15982" s="0" t="s">
        <v>902</v>
      </c>
      <c r="B15982" s="0" t="s">
        <v>98</v>
      </c>
      <c r="D15982" s="6" t="n">
        <f aca="false">Sens!D15954</f>
        <v>59.6740205577583</v>
      </c>
      <c r="E15982" s="6" t="n">
        <f aca="false">Sens!E15954</f>
        <v>74.1284935338591</v>
      </c>
      <c r="F15982" s="6" t="n">
        <f aca="false">Sens!F15954</f>
        <v>90.0799497373663</v>
      </c>
      <c r="G15982" s="6" t="n">
        <f aca="false">Sens!G15954</f>
        <v>107.02842520331</v>
      </c>
      <c r="H15982" s="6" t="n">
        <f aca="false">Sens!H15954</f>
        <v>124.271982585636</v>
      </c>
      <c r="I15982" s="6" t="n">
        <f aca="false">Sens!I15954</f>
        <v>140.933702381855</v>
      </c>
      <c r="J15982" s="6" t="n">
        <f aca="false">Sens!J15954</f>
        <v>156.018867314332</v>
      </c>
      <c r="K15982" s="6" t="n">
        <f aca="false">Sens!K15954</f>
        <v>168.500376699478</v>
      </c>
    </row>
    <row r="15983" customFormat="false" ht="15" hidden="false" customHeight="false" outlineLevel="0" collapsed="false">
      <c r="A15983" s="0" t="s">
        <v>883</v>
      </c>
      <c r="B15983" s="0" t="s">
        <v>98</v>
      </c>
      <c r="D15983" s="6" t="n">
        <f aca="false">Sens!D15961</f>
        <v>84.605</v>
      </c>
      <c r="E15983" s="6" t="n">
        <f aca="false">Sens!E15961</f>
        <v>100.299</v>
      </c>
      <c r="F15983" s="6" t="n">
        <f aca="false">Sens!F15961</f>
        <v>120.39238776686</v>
      </c>
      <c r="G15983" s="6" t="n">
        <f aca="false">Sens!G15961</f>
        <v>141.544168448684</v>
      </c>
      <c r="H15983" s="6" t="n">
        <f aca="false">Sens!H15961</f>
        <v>162.777359388781</v>
      </c>
      <c r="I15983" s="6" t="n">
        <f aca="false">Sens!I15961</f>
        <v>181.584028071957</v>
      </c>
      <c r="J15983" s="6" t="n">
        <f aca="false">Sens!J15961</f>
        <v>197.682702785465</v>
      </c>
      <c r="K15983" s="6" t="n">
        <f aca="false">Sens!K15961</f>
        <v>213.027991980448</v>
      </c>
    </row>
    <row r="15984" customFormat="false" ht="17.15" hidden="false" customHeight="false" outlineLevel="0" collapsed="false">
      <c r="A15984" s="0" t="s">
        <v>903</v>
      </c>
      <c r="B15984" s="0" t="s">
        <v>98</v>
      </c>
      <c r="D15984" s="6" t="n">
        <f aca="false">Sens!D15959</f>
        <v>83.705</v>
      </c>
      <c r="E15984" s="6" t="n">
        <f aca="false">Sens!E15959</f>
        <v>95.049</v>
      </c>
      <c r="F15984" s="6" t="n">
        <f aca="false">Sens!F15959</f>
        <v>106.89238776686</v>
      </c>
      <c r="G15984" s="6" t="n">
        <f aca="false">Sens!G15959</f>
        <v>119.044168448684</v>
      </c>
      <c r="H15984" s="6" t="n">
        <f aca="false">Sens!H15959</f>
        <v>131.277359388781</v>
      </c>
      <c r="I15984" s="6" t="n">
        <f aca="false">Sens!I15959</f>
        <v>143.334028071957</v>
      </c>
      <c r="J15984" s="6" t="n">
        <f aca="false">Sens!J15959</f>
        <v>154.932702785465</v>
      </c>
      <c r="K15984" s="6" t="n">
        <f aca="false">Sens!K15959</f>
        <v>165.777991980448</v>
      </c>
    </row>
    <row r="15985" customFormat="false" ht="17.15" hidden="false" customHeight="false" outlineLevel="0" collapsed="false">
      <c r="A15985" s="0" t="s">
        <v>904</v>
      </c>
      <c r="B15985" s="0" t="s">
        <v>98</v>
      </c>
      <c r="D15985" s="6" t="n">
        <f aca="false">Sens!D15958</f>
        <v>0.9</v>
      </c>
      <c r="E15985" s="6" t="n">
        <f aca="false">Sens!E15958</f>
        <v>5.25</v>
      </c>
      <c r="F15985" s="6" t="n">
        <f aca="false">Sens!F15958</f>
        <v>13.5</v>
      </c>
      <c r="G15985" s="6" t="n">
        <f aca="false">Sens!G15958</f>
        <v>22.5</v>
      </c>
      <c r="H15985" s="6" t="n">
        <f aca="false">Sens!H15958</f>
        <v>31.5</v>
      </c>
      <c r="I15985" s="6" t="n">
        <f aca="false">Sens!I15958</f>
        <v>38.25</v>
      </c>
      <c r="J15985" s="6" t="n">
        <f aca="false">Sens!J15958</f>
        <v>42.75</v>
      </c>
      <c r="K15985" s="6" t="n">
        <f aca="false">Sens!K15958</f>
        <v>47.25</v>
      </c>
    </row>
    <row r="15986" customFormat="false" ht="15" hidden="false" customHeight="false" outlineLevel="0" collapsed="false">
      <c r="A15986" s="0" t="s">
        <v>884</v>
      </c>
      <c r="B15986" s="0" t="s">
        <v>98</v>
      </c>
      <c r="D15986" s="6" t="n">
        <f aca="false">Sens!D15962</f>
        <v>35.391</v>
      </c>
      <c r="E15986" s="6" t="n">
        <f aca="false">Sens!E15962</f>
        <v>37.285</v>
      </c>
      <c r="F15986" s="6" t="n">
        <f aca="false">Sens!F15962</f>
        <v>39.0720834331704</v>
      </c>
      <c r="G15986" s="6" t="n">
        <f aca="false">Sens!G15962</f>
        <v>40.726562953769</v>
      </c>
      <c r="H15986" s="6" t="n">
        <f aca="false">Sens!H15962</f>
        <v>42.2235987259198</v>
      </c>
      <c r="I15986" s="6" t="n">
        <f aca="false">Sens!I15962</f>
        <v>43.5397988077414</v>
      </c>
      <c r="J15986" s="6" t="n">
        <f aca="false">Sens!J15962</f>
        <v>44.653811225693</v>
      </c>
      <c r="K15986" s="6" t="n">
        <f aca="false">Sens!K15962</f>
        <v>45.5468874502068</v>
      </c>
    </row>
    <row r="15987" customFormat="false" ht="15" hidden="false" customHeight="false" outlineLevel="0" collapsed="false">
      <c r="A15987" s="0" t="s">
        <v>885</v>
      </c>
      <c r="B15987" s="0" t="s">
        <v>98</v>
      </c>
      <c r="D15987" s="6" t="n">
        <f aca="false">Sens!D15964</f>
        <v>18.417</v>
      </c>
      <c r="E15987" s="6" t="n">
        <f aca="false">Sens!E15964</f>
        <v>20.345</v>
      </c>
      <c r="F15987" s="6" t="n">
        <f aca="false">Sens!F15964</f>
        <v>22.3572203267814</v>
      </c>
      <c r="G15987" s="6" t="n">
        <f aca="false">Sens!G15964</f>
        <v>24.4392124437232</v>
      </c>
      <c r="H15987" s="6" t="n">
        <f aca="false">Sens!H15964</f>
        <v>26.5738052080665</v>
      </c>
      <c r="I15987" s="6" t="n">
        <f aca="false">Sens!I15964</f>
        <v>28.7412169166967</v>
      </c>
      <c r="J15987" s="6" t="n">
        <f aca="false">Sens!J15964</f>
        <v>30.9192545395413</v>
      </c>
      <c r="K15987" s="6" t="n">
        <f aca="false">Sens!K15964</f>
        <v>33.0836023573092</v>
      </c>
    </row>
    <row r="15988" customFormat="false" ht="15" hidden="false" customHeight="false" outlineLevel="0" collapsed="false">
      <c r="A15988" s="0" t="s">
        <v>886</v>
      </c>
      <c r="B15988" s="0" t="s">
        <v>98</v>
      </c>
      <c r="D15988" s="6" t="n">
        <f aca="false">Sens!D15966</f>
        <v>7.76</v>
      </c>
      <c r="E15988" s="6" t="n">
        <f aca="false">Sens!E15966</f>
        <v>8.26</v>
      </c>
      <c r="F15988" s="6" t="n">
        <f aca="false">Sens!F15966</f>
        <v>8.79988041237113</v>
      </c>
      <c r="G15988" s="6" t="n">
        <f aca="false">Sens!G15966</f>
        <v>9.38321269125306</v>
      </c>
      <c r="H15988" s="6" t="n">
        <f aca="false">Sens!H15966</f>
        <v>10.0139193587476</v>
      </c>
      <c r="I15988" s="6" t="n">
        <f aca="false">Sens!I15966</f>
        <v>10.6963111830911</v>
      </c>
      <c r="J15988" s="6" t="n">
        <f aca="false">Sens!J15966</f>
        <v>11.4351285534696</v>
      </c>
      <c r="K15988" s="6" t="n">
        <f aca="false">Sens!K15966</f>
        <v>12.2355875522124</v>
      </c>
    </row>
    <row r="15989" customFormat="false" ht="15" hidden="false" customHeight="false" outlineLevel="0" collapsed="false">
      <c r="A15989" s="0" t="s">
        <v>715</v>
      </c>
      <c r="B15989" s="0" t="s">
        <v>98</v>
      </c>
      <c r="D15989" s="6" t="n">
        <f aca="false">Sens!D15968</f>
        <v>218.783</v>
      </c>
      <c r="E15989" s="6" t="n">
        <f aca="false">Sens!E15968</f>
        <v>268.127</v>
      </c>
      <c r="F15989" s="6" t="n">
        <f aca="false">Sens!F15968</f>
        <v>339.433940907051</v>
      </c>
      <c r="G15989" s="6" t="n">
        <f aca="false">Sens!G15968</f>
        <v>424.490670881892</v>
      </c>
      <c r="H15989" s="6" t="n">
        <f aca="false">Sens!H15968</f>
        <v>515.646275281385</v>
      </c>
      <c r="I15989" s="6" t="n">
        <f aca="false">Sens!I15968</f>
        <v>592.863760444604</v>
      </c>
      <c r="J15989" s="6" t="n">
        <f aca="false">Sens!J15968</f>
        <v>654.596421863355</v>
      </c>
      <c r="K15989" s="6" t="n">
        <f aca="false">Sens!K15968</f>
        <v>703.647921299244</v>
      </c>
    </row>
    <row r="15990" customFormat="false" ht="15" hidden="false" customHeight="false" outlineLevel="0" collapsed="false">
      <c r="A15990" s="0" t="s">
        <v>887</v>
      </c>
      <c r="B15990" s="0" t="s">
        <v>98</v>
      </c>
      <c r="D15990" s="6" t="n">
        <f aca="false">Sens!D15969</f>
        <v>22.171</v>
      </c>
      <c r="E15990" s="6" t="n">
        <f aca="false">Sens!E15969</f>
        <v>24.835</v>
      </c>
      <c r="F15990" s="6" t="n">
        <f aca="false">Sens!F15969</f>
        <v>27.6114901218559</v>
      </c>
      <c r="G15990" s="6" t="n">
        <f aca="false">Sens!G15969</f>
        <v>30.4675667338515</v>
      </c>
      <c r="H15990" s="6" t="n">
        <f aca="false">Sens!H15969</f>
        <v>33.3643766955789</v>
      </c>
      <c r="I15990" s="6" t="n">
        <f aca="false">Sens!I15969</f>
        <v>36.2577016533691</v>
      </c>
      <c r="J15990" s="6" t="n">
        <f aca="false">Sens!J15969</f>
        <v>39.0988367952171</v>
      </c>
      <c r="K15990" s="6" t="n">
        <f aca="false">Sens!K15969</f>
        <v>41.8357553708823</v>
      </c>
    </row>
    <row r="15991" customFormat="false" ht="15" hidden="false" customHeight="false" outlineLevel="0" collapsed="false">
      <c r="A15991" s="0" t="s">
        <v>888</v>
      </c>
      <c r="B15991" s="0" t="s">
        <v>98</v>
      </c>
      <c r="D15991" s="6" t="n">
        <f aca="false">Sens!D15971</f>
        <v>23.455</v>
      </c>
      <c r="E15991" s="6" t="n">
        <f aca="false">Sens!E15971</f>
        <v>21.79</v>
      </c>
      <c r="F15991" s="6" t="n">
        <f aca="false">Sens!F15971</f>
        <v>20.5736277908051</v>
      </c>
      <c r="G15991" s="6" t="n">
        <f aca="false">Sens!G15971</f>
        <v>19.7371452817919</v>
      </c>
      <c r="H15991" s="6" t="n">
        <f aca="false">Sens!H15971</f>
        <v>19.2339764043138</v>
      </c>
      <c r="I15991" s="6" t="n">
        <f aca="false">Sens!I15971</f>
        <v>19.0353086852681</v>
      </c>
      <c r="J15991" s="6" t="n">
        <f aca="false">Sens!J15971</f>
        <v>19.1273539319129</v>
      </c>
      <c r="K15991" s="6" t="n">
        <f aca="false">Sens!K15971</f>
        <v>19.5099010105511</v>
      </c>
    </row>
    <row r="15992" customFormat="false" ht="15" hidden="false" customHeight="false" outlineLevel="0" collapsed="false">
      <c r="A15992" s="0" t="s">
        <v>889</v>
      </c>
      <c r="B15992" s="0" t="s">
        <v>98</v>
      </c>
      <c r="D15992" s="6" t="n">
        <f aca="false">Sens!D15973</f>
        <v>17.315</v>
      </c>
      <c r="E15992" s="6" t="n">
        <f aca="false">Sens!E15973</f>
        <v>17.087</v>
      </c>
      <c r="F15992" s="6" t="n">
        <f aca="false">Sens!F15973</f>
        <v>16.9564585436519</v>
      </c>
      <c r="G15992" s="6" t="n">
        <f aca="false">Sens!G15973</f>
        <v>16.9206490624268</v>
      </c>
      <c r="H15992" s="6" t="n">
        <f aca="false">Sens!H15973</f>
        <v>16.9784519149849</v>
      </c>
      <c r="I15992" s="6" t="n">
        <f aca="false">Sens!I15973</f>
        <v>17.1303084701817</v>
      </c>
      <c r="J15992" s="6" t="n">
        <f aca="false">Sens!J15973</f>
        <v>17.3782189407267</v>
      </c>
      <c r="K15992" s="6" t="n">
        <f aca="false">Sens!K15973</f>
        <v>17.7257833195413</v>
      </c>
    </row>
    <row r="15993" customFormat="false" ht="15" hidden="false" customHeight="false" outlineLevel="0" collapsed="false">
      <c r="A15993" s="0" t="s">
        <v>729</v>
      </c>
      <c r="B15993" s="0" t="s">
        <v>98</v>
      </c>
      <c r="D15993" s="6" t="n">
        <f aca="false">Sens!D15975</f>
        <v>62.941</v>
      </c>
      <c r="E15993" s="6" t="n">
        <f aca="false">Sens!E15975</f>
        <v>63.712</v>
      </c>
      <c r="F15993" s="6" t="n">
        <f aca="false">Sens!F15975</f>
        <v>65.1415764563129</v>
      </c>
      <c r="G15993" s="6" t="n">
        <f aca="false">Sens!G15975</f>
        <v>67.1253610780702</v>
      </c>
      <c r="H15993" s="6" t="n">
        <f aca="false">Sens!H15975</f>
        <v>69.5768050148776</v>
      </c>
      <c r="I15993" s="6" t="n">
        <f aca="false">Sens!I15975</f>
        <v>72.4233188088189</v>
      </c>
      <c r="J15993" s="6" t="n">
        <f aca="false">Sens!J15975</f>
        <v>75.6044096678567</v>
      </c>
      <c r="K15993" s="6" t="n">
        <f aca="false">Sens!K15975</f>
        <v>79.0714397009747</v>
      </c>
    </row>
    <row r="15994" customFormat="false" ht="15" hidden="false" customHeight="false" outlineLevel="0" collapsed="false">
      <c r="A15994" s="1" t="s">
        <v>905</v>
      </c>
      <c r="B15994" s="0" t="s">
        <v>98</v>
      </c>
      <c r="D15994" s="6" t="n">
        <f aca="false">Sens!D15976</f>
        <v>281.724</v>
      </c>
      <c r="E15994" s="6" t="n">
        <f aca="false">Sens!E15976</f>
        <v>331.839</v>
      </c>
      <c r="F15994" s="6" t="n">
        <f aca="false">Sens!F15976</f>
        <v>404.575517363364</v>
      </c>
      <c r="G15994" s="6" t="n">
        <f aca="false">Sens!G15976</f>
        <v>491.616031959962</v>
      </c>
      <c r="H15994" s="6" t="n">
        <f aca="false">Sens!H15976</f>
        <v>585.223080296262</v>
      </c>
      <c r="I15994" s="6" t="n">
        <f aca="false">Sens!I15976</f>
        <v>665.287079253422</v>
      </c>
      <c r="J15994" s="6" t="n">
        <f aca="false">Sens!J15976</f>
        <v>730.200831531211</v>
      </c>
      <c r="K15994" s="6" t="n">
        <f aca="false">Sens!K15976</f>
        <v>782.719361000218</v>
      </c>
    </row>
    <row r="15995" customFormat="false" ht="15" hidden="false" customHeight="false" outlineLevel="0" collapsed="false">
      <c r="A15995" s="1" t="s">
        <v>906</v>
      </c>
      <c r="B15995" s="0" t="s">
        <v>129</v>
      </c>
      <c r="E15995" s="7" t="n">
        <f aca="false">Sens!E15994/Sens!D15994-1</f>
        <v>0.177886867998467</v>
      </c>
      <c r="F15995" s="7" t="n">
        <f aca="false">Sens!F15994/Sens!E15994-1</f>
        <v>0.219192190680914</v>
      </c>
      <c r="G15995" s="7" t="n">
        <f aca="false">Sens!G15994/Sens!F15994-1</f>
        <v>0.215140340581766</v>
      </c>
      <c r="H15995" s="7" t="n">
        <f aca="false">Sens!H15994/Sens!G15994-1</f>
        <v>0.19040682616291</v>
      </c>
      <c r="I15995" s="7" t="n">
        <f aca="false">Sens!I15994/Sens!H15994-1</f>
        <v>0.13680936663781</v>
      </c>
      <c r="J15995" s="7" t="n">
        <f aca="false">Sens!J15994/Sens!I15994-1</f>
        <v>0.0975725431953893</v>
      </c>
      <c r="K15995" s="7" t="n">
        <f aca="false">Sens!K15994/Sens!J15994-1</f>
        <v>0.0719234040844312</v>
      </c>
    </row>
    <row r="15996" customFormat="false" ht="17.15" hidden="false" customHeight="false" outlineLevel="0" collapsed="false">
      <c r="A15996" s="23" t="s">
        <v>907</v>
      </c>
      <c r="B15996" s="30" t="s">
        <v>98</v>
      </c>
      <c r="C15996" s="30"/>
      <c r="D15996" s="24" t="n">
        <f aca="false">(Sens!D15989+Sens!D15993-Sens!D15994)+(Sens!D15981+Sens!D15982-Sens!D15980)+(Sens!D15984+Sens!D15985-Sens!D15983)+(Sens!D15994-Q!L18)</f>
        <v>0</v>
      </c>
      <c r="E15996" s="24" t="n">
        <f aca="false">(Sens!E15989+Sens!E15993-Sens!E15994)+(Sens!E15981+Sens!E15982-Sens!E15980)+(Sens!E15984+Sens!E15985-Sens!E15983)+(Sens!E15994-Q!M18)</f>
        <v>0</v>
      </c>
      <c r="F15996" s="24" t="n">
        <f aca="false">(Sens!F15989+Sens!F15993-Sens!F15994)+(Sens!F15981+Sens!F15982-Sens!F15980)+(Sens!F15984+Sens!F15985-Sens!F15983)</f>
        <v>0</v>
      </c>
      <c r="G15996" s="24" t="n">
        <f aca="false">(Sens!G15989+Sens!G15993-Sens!G15994)+(Sens!G15981+Sens!G15982-Sens!G15980)+(Sens!G15984+Sens!G15985-Sens!G15983)</f>
        <v>0</v>
      </c>
      <c r="H15996" s="24" t="n">
        <f aca="false">(Sens!H15989+Sens!H15993-Sens!H15994)+(Sens!H15981+Sens!H15982-Sens!H15980)+(Sens!H15984+Sens!H15985-Sens!H15983)</f>
        <v>0</v>
      </c>
      <c r="I15996" s="24" t="n">
        <f aca="false">(Sens!I15989+Sens!I15993-Sens!I15994)+(Sens!I15981+Sens!I15982-Sens!I15980)+(Sens!I15984+Sens!I15985-Sens!I15983)</f>
        <v>0</v>
      </c>
      <c r="J15996" s="24" t="n">
        <f aca="false">(Sens!J15989+Sens!J15993-Sens!J15994)+(Sens!J15981+Sens!J15982-Sens!J15980)+(Sens!J15984+Sens!J15985-Sens!J15983)</f>
        <v>0</v>
      </c>
      <c r="K15996" s="24" t="n">
        <f aca="false">(Sens!K15989+Sens!K15993-Sens!K15994)+(Sens!K15981+Sens!K15982-Sens!K15980)+(Sens!K15984+Sens!K15985-Sens!K15983)</f>
        <v>0</v>
      </c>
    </row>
    <row r="15997" customFormat="false" ht="17.15" hidden="false" customHeight="false" outlineLevel="0" collapsed="false">
      <c r="A15997" s="0" t="s">
        <v>908</v>
      </c>
      <c r="B15997" s="0" t="s">
        <v>129</v>
      </c>
      <c r="E15997" s="7" t="n">
        <f aca="false">(Q!M21+Sens!E15934+Sens!E15935+Sens!E15936+Sens!E15949-Sens!E15932)/(Q!M5-Sens!E15932)</f>
        <v>0.570957350878296</v>
      </c>
      <c r="F15997" s="7" t="n">
        <f aca="false">Sens!$E$15997+dm_seg</f>
        <v>0.570957350878296</v>
      </c>
      <c r="G15997" s="7" t="n">
        <f aca="false">Sens!$E$15997+dm_seg</f>
        <v>0.570957350878296</v>
      </c>
      <c r="H15997" s="7" t="n">
        <f aca="false">Sens!$E$15997+dm_seg</f>
        <v>0.570957350878296</v>
      </c>
      <c r="I15997" s="7" t="n">
        <f aca="false">Sens!$E$15997+dm_seg</f>
        <v>0.570957350878296</v>
      </c>
      <c r="J15997" s="7" t="n">
        <f aca="false">Sens!$E$15997+dm_seg</f>
        <v>0.570957350878296</v>
      </c>
      <c r="K15997" s="7" t="n">
        <f aca="false">Sens!$E$15997+dm_seg</f>
        <v>0.570957350878296</v>
      </c>
      <c r="L15997" s="11" t="s">
        <v>909</v>
      </c>
    </row>
    <row r="15998" customFormat="false" ht="17.15" hidden="false" customHeight="false" outlineLevel="0" collapsed="false">
      <c r="A15998" s="0" t="s">
        <v>743</v>
      </c>
      <c r="B15998" s="0" t="s">
        <v>98</v>
      </c>
      <c r="D15998" s="6" t="n">
        <f aca="false">Q!L21</f>
        <v>110.814</v>
      </c>
      <c r="E15998" s="6" t="n">
        <f aca="false">Q!M21</f>
        <v>136.365</v>
      </c>
      <c r="F15998" s="6" t="n">
        <f aca="false">Sens!F15997*(Sens!F15968-Sens!F15932)+Sens!F15932-(Sens!F15934+Sens!F15935+Sens!F15936)-Sens!F15949-Sens!F16032</f>
        <v>162.135484602307</v>
      </c>
      <c r="G15998" s="6" t="n">
        <f aca="false">Sens!G15997*(Sens!G15968-Sens!G15932)+Sens!G15932-(Sens!G15934+Sens!G15935+Sens!G15936)-Sens!G15949-Sens!G16032</f>
        <v>191.693580267698</v>
      </c>
      <c r="H15998" s="6" t="n">
        <f aca="false">Sens!H15997*(Sens!H15968-Sens!H15932)+Sens!H15932-(Sens!H15934+Sens!H15935+Sens!H15936)-Sens!H15949-Sens!H16032</f>
        <v>226.079713997573</v>
      </c>
      <c r="I15998" s="6" t="n">
        <f aca="false">Sens!I15997*(Sens!I15968-Sens!I15932)+Sens!I15932-(Sens!I15934+Sens!I15935+Sens!I15936)-Sens!I15949-Sens!I16032</f>
        <v>252.347824766821</v>
      </c>
      <c r="J15998" s="6" t="n">
        <f aca="false">Sens!J15997*(Sens!J15968-Sens!J15932)+Sens!J15932-(Sens!J15934+Sens!J15935+Sens!J15936)-Sens!J15949-Sens!J16032</f>
        <v>274.961908681249</v>
      </c>
      <c r="K15998" s="6" t="n">
        <f aca="false">Sens!K15997*(Sens!K15968-Sens!K15932)+Sens!K15932-(Sens!K15934+Sens!K15935+Sens!K15936)-Sens!K15949-Sens!K16032</f>
        <v>295.504823828821</v>
      </c>
      <c r="L15998" s="1" t="s">
        <v>910</v>
      </c>
    </row>
    <row r="15999" customFormat="false" ht="17.15" hidden="false" customHeight="false" outlineLevel="0" collapsed="false">
      <c r="A15999" s="0" t="s">
        <v>911</v>
      </c>
      <c r="B15999" s="0" t="s">
        <v>129</v>
      </c>
      <c r="E15999" s="7" t="n">
        <f aca="false">Q!M22/Q!M12</f>
        <v>0.296207935710698</v>
      </c>
      <c r="F15999" s="7" t="n">
        <f aca="false">Sens!$E$15999+dm_seg</f>
        <v>0.296207935710698</v>
      </c>
      <c r="G15999" s="7" t="n">
        <f aca="false">Sens!$E$15999+dm_seg</f>
        <v>0.296207935710698</v>
      </c>
      <c r="H15999" s="7" t="n">
        <f aca="false">Sens!$E$15999+dm_seg</f>
        <v>0.296207935710698</v>
      </c>
      <c r="I15999" s="7" t="n">
        <f aca="false">Sens!$E$15999+dm_seg</f>
        <v>0.296207935710698</v>
      </c>
      <c r="J15999" s="7" t="n">
        <f aca="false">Sens!$E$15999+dm_seg</f>
        <v>0.296207935710698</v>
      </c>
      <c r="K15999" s="7" t="n">
        <f aca="false">Sens!$E$15999+dm_seg</f>
        <v>0.296207935710698</v>
      </c>
      <c r="L15999" s="11" t="s">
        <v>912</v>
      </c>
    </row>
    <row r="16000" customFormat="false" ht="17.15" hidden="false" customHeight="false" outlineLevel="0" collapsed="false">
      <c r="A16000" s="0" t="s">
        <v>745</v>
      </c>
      <c r="B16000" s="0" t="s">
        <v>98</v>
      </c>
      <c r="D16000" s="6" t="n">
        <f aca="false">Q!L22</f>
        <v>17.714</v>
      </c>
      <c r="E16000" s="6" t="n">
        <f aca="false">Q!M22</f>
        <v>18.872</v>
      </c>
      <c r="F16000" s="6" t="n">
        <f aca="false">Sens!F15975*Sens!F15999</f>
        <v>19.2954518910651</v>
      </c>
      <c r="G16000" s="6" t="n">
        <f aca="false">Sens!G15975*Sens!G15999</f>
        <v>19.8830646387704</v>
      </c>
      <c r="H16000" s="6" t="n">
        <f aca="false">Sens!H15975*Sens!H15999</f>
        <v>20.6092017868026</v>
      </c>
      <c r="I16000" s="6" t="n">
        <f aca="false">Sens!I15975*Sens!I15999</f>
        <v>21.452361761678</v>
      </c>
      <c r="J16000" s="6" t="n">
        <f aca="false">Sens!J15975*Sens!J15999</f>
        <v>22.3946261183418</v>
      </c>
      <c r="K16000" s="6" t="n">
        <f aca="false">Sens!K15975*Sens!K15999</f>
        <v>23.4215879274986</v>
      </c>
    </row>
    <row r="16001" customFormat="false" ht="15" hidden="false" customHeight="false" outlineLevel="0" collapsed="false">
      <c r="A16001" s="1" t="s">
        <v>913</v>
      </c>
      <c r="B16001" s="0" t="s">
        <v>98</v>
      </c>
      <c r="D16001" s="6" t="n">
        <f aca="false">Sens!D15998+Sens!D16000</f>
        <v>128.528</v>
      </c>
      <c r="E16001" s="6" t="n">
        <f aca="false">Sens!E15998+Sens!E16000</f>
        <v>155.237</v>
      </c>
      <c r="F16001" s="6" t="n">
        <f aca="false">Sens!F15998+Sens!F16000</f>
        <v>181.430936493372</v>
      </c>
      <c r="G16001" s="6" t="n">
        <f aca="false">Sens!G15998+Sens!G16000</f>
        <v>211.576644906468</v>
      </c>
      <c r="H16001" s="6" t="n">
        <f aca="false">Sens!H15998+Sens!H16000</f>
        <v>246.688915784375</v>
      </c>
      <c r="I16001" s="6" t="n">
        <f aca="false">Sens!I15998+Sens!I16000</f>
        <v>273.800186528499</v>
      </c>
      <c r="J16001" s="6" t="n">
        <f aca="false">Sens!J15998+Sens!J16000</f>
        <v>297.356534799591</v>
      </c>
      <c r="K16001" s="6" t="n">
        <f aca="false">Sens!K15998+Sens!K16000</f>
        <v>318.92641175632</v>
      </c>
    </row>
    <row r="16002" customFormat="false" ht="15" hidden="false" customHeight="false" outlineLevel="0" collapsed="false">
      <c r="A16002" s="23" t="s">
        <v>914</v>
      </c>
      <c r="B16002" s="30" t="s">
        <v>98</v>
      </c>
      <c r="C16002" s="30"/>
      <c r="D16002" s="24" t="n">
        <f aca="false">Sens!D16001-Q!L23</f>
        <v>0</v>
      </c>
      <c r="E16002" s="24" t="n">
        <f aca="false">Sens!E16001-Q!M23</f>
        <v>0</v>
      </c>
      <c r="F16002" s="30"/>
      <c r="G16002" s="30"/>
      <c r="H16002" s="30"/>
      <c r="I16002" s="30"/>
      <c r="J16002" s="30"/>
      <c r="K16002" s="30"/>
    </row>
    <row r="16003" customFormat="false" ht="15" hidden="false" customHeight="false" outlineLevel="0" collapsed="false">
      <c r="A16003" s="1" t="s">
        <v>915</v>
      </c>
      <c r="B16003" s="0" t="s">
        <v>129</v>
      </c>
      <c r="D16003" s="7" t="n">
        <f aca="false">Sens!D16001/Sens!D15994</f>
        <v>0.456219562408598</v>
      </c>
      <c r="E16003" s="7" t="n">
        <f aca="false">Sens!E16001/Sens!E15994</f>
        <v>0.467808184089272</v>
      </c>
      <c r="F16003" s="7" t="n">
        <f aca="false">Sens!F16001/Sens!F15994</f>
        <v>0.448447641309996</v>
      </c>
      <c r="G16003" s="7" t="n">
        <f aca="false">Sens!G16001/Sens!G15994</f>
        <v>0.430369701457782</v>
      </c>
      <c r="H16003" s="7" t="n">
        <f aca="false">Sens!H16001/Sens!H15994</f>
        <v>0.421529710789076</v>
      </c>
      <c r="I16003" s="7" t="n">
        <f aca="false">Sens!I16001/Sens!I15994</f>
        <v>0.411551937602267</v>
      </c>
      <c r="J16003" s="7" t="n">
        <f aca="false">Sens!J16001/Sens!J15994</f>
        <v>0.407225686358152</v>
      </c>
      <c r="K16003" s="7" t="n">
        <f aca="false">Sens!K16001/Sens!K15994</f>
        <v>0.407459464588651</v>
      </c>
    </row>
    <row r="16004" customFormat="false" ht="17.15" hidden="false" customHeight="false" outlineLevel="0" collapsed="false">
      <c r="A16004" s="1" t="s">
        <v>916</v>
      </c>
      <c r="B16004" s="0" t="s">
        <v>98</v>
      </c>
      <c r="F16004" s="6" t="n">
        <f aca="false">Sens!F16019</f>
        <v>8.44248444763781</v>
      </c>
      <c r="G16004" s="6" t="n">
        <f aca="false">Sens!G16019</f>
        <v>21.3653222817508</v>
      </c>
      <c r="H16004" s="6" t="n">
        <f aca="false">Sens!H16019</f>
        <v>35.8221390663856</v>
      </c>
      <c r="I16004" s="6" t="n">
        <f aca="false">Sens!I16019</f>
        <v>49.3691841492478</v>
      </c>
      <c r="J16004" s="6" t="n">
        <f aca="false">Sens!J16019</f>
        <v>59.0322720639359</v>
      </c>
      <c r="K16004" s="6" t="n">
        <f aca="false">Sens!K16019</f>
        <v>64.2195097796802</v>
      </c>
      <c r="L16004" s="1" t="s">
        <v>917</v>
      </c>
    </row>
    <row r="16005" customFormat="false" ht="17.15" hidden="false" customHeight="false" outlineLevel="0" collapsed="false">
      <c r="A16005" s="1" t="s">
        <v>918</v>
      </c>
      <c r="B16005" s="0" t="s">
        <v>98</v>
      </c>
      <c r="D16005" s="6" t="n">
        <f aca="false">Sens!D16001</f>
        <v>128.528</v>
      </c>
      <c r="E16005" s="6" t="n">
        <f aca="false">Sens!E16001</f>
        <v>155.237</v>
      </c>
      <c r="F16005" s="6" t="n">
        <f aca="false">Sens!F16001+Sens!F16004</f>
        <v>189.873420941009</v>
      </c>
      <c r="G16005" s="6" t="n">
        <f aca="false">Sens!G16001+Sens!G16004</f>
        <v>232.941967188219</v>
      </c>
      <c r="H16005" s="6" t="n">
        <f aca="false">Sens!H16001+Sens!H16004</f>
        <v>282.511054850761</v>
      </c>
      <c r="I16005" s="6" t="n">
        <f aca="false">Sens!I16001+Sens!I16004</f>
        <v>323.169370677747</v>
      </c>
      <c r="J16005" s="6" t="n">
        <f aca="false">Sens!J16001+Sens!J16004</f>
        <v>356.388806863527</v>
      </c>
      <c r="K16005" s="6" t="n">
        <f aca="false">Sens!K16001+Sens!K16004</f>
        <v>383.145921536</v>
      </c>
    </row>
    <row r="16006" customFormat="false" ht="17.15" hidden="false" customHeight="false" outlineLevel="0" collapsed="false">
      <c r="A16006" s="1" t="s">
        <v>919</v>
      </c>
      <c r="B16006" s="0" t="s">
        <v>98</v>
      </c>
      <c r="E16006" s="6" t="n">
        <f aca="false">Sens!E15949</f>
        <v>16.3054059770833</v>
      </c>
      <c r="F16006" s="6" t="n">
        <f aca="false">Sens!F15949</f>
        <v>34.7280354558698</v>
      </c>
      <c r="G16006" s="6" t="n">
        <f aca="false">Sens!G15949</f>
        <v>60.4817332603396</v>
      </c>
      <c r="H16006" s="6" t="n">
        <f aca="false">Sens!H15949</f>
        <v>87.7173159931396</v>
      </c>
      <c r="I16006" s="6" t="n">
        <f aca="false">Sens!I15949</f>
        <v>111.962039982221</v>
      </c>
      <c r="J16006" s="6" t="n">
        <f aca="false">Sens!J15949</f>
        <v>129.354619002672</v>
      </c>
      <c r="K16006" s="6" t="n">
        <f aca="false">Sens!K15949</f>
        <v>140.487760194137</v>
      </c>
    </row>
    <row r="16007" customFormat="false" ht="17.15" hidden="false" customHeight="false" outlineLevel="0" collapsed="false">
      <c r="A16007" s="1" t="s">
        <v>920</v>
      </c>
      <c r="B16007" s="0" t="s">
        <v>98</v>
      </c>
      <c r="E16007" s="6" t="n">
        <f aca="false">Sens!E16031</f>
        <v>22.2285940229167</v>
      </c>
      <c r="F16007" s="6" t="n">
        <f aca="false">Sens!F16031</f>
        <v>23.5786693435813</v>
      </c>
      <c r="G16007" s="6" t="n">
        <f aca="false">Sens!G16031</f>
        <v>25.3810917662621</v>
      </c>
      <c r="H16007" s="6" t="n">
        <f aca="false">Sens!H16031</f>
        <v>27.5991339540448</v>
      </c>
      <c r="I16007" s="6" t="n">
        <f aca="false">Sens!I16031</f>
        <v>30.1565605898047</v>
      </c>
      <c r="J16007" s="6" t="n">
        <f aca="false">Sens!J16031</f>
        <v>32.9614958558616</v>
      </c>
      <c r="K16007" s="6" t="n">
        <f aca="false">Sens!K16031</f>
        <v>35.9297165444749</v>
      </c>
    </row>
    <row r="16008" customFormat="false" ht="17.15" hidden="false" customHeight="false" outlineLevel="0" collapsed="false">
      <c r="A16008" s="1" t="s">
        <v>921</v>
      </c>
      <c r="B16008" s="0" t="s">
        <v>98</v>
      </c>
      <c r="D16008" s="6" t="n">
        <f aca="false">Q!L27</f>
        <v>-4.901</v>
      </c>
      <c r="E16008" s="6" t="n">
        <f aca="false">Q!M27</f>
        <v>10.697</v>
      </c>
      <c r="F16008" s="6" t="n">
        <f aca="false">oie_f</f>
        <v>-0.4</v>
      </c>
      <c r="G16008" s="6" t="n">
        <f aca="false">oie_f</f>
        <v>-0.4</v>
      </c>
      <c r="H16008" s="6" t="n">
        <f aca="false">oie_f</f>
        <v>-0.4</v>
      </c>
      <c r="I16008" s="6" t="n">
        <f aca="false">oie_f</f>
        <v>-0.4</v>
      </c>
      <c r="J16008" s="6" t="n">
        <f aca="false">oie_f</f>
        <v>-0.4</v>
      </c>
      <c r="K16008" s="6" t="n">
        <f aca="false">oie_f</f>
        <v>-0.4</v>
      </c>
      <c r="L16008" s="11" t="s">
        <v>922</v>
      </c>
    </row>
    <row r="16009" customFormat="false" ht="15" hidden="false" customHeight="false" outlineLevel="0" collapsed="false">
      <c r="A16009" s="1" t="s">
        <v>923</v>
      </c>
      <c r="B16009" s="0" t="s">
        <v>98</v>
      </c>
      <c r="D16009" s="6" t="n">
        <f aca="false">Sens!D16001+Sens!D16008</f>
        <v>123.627</v>
      </c>
      <c r="E16009" s="6" t="n">
        <f aca="false">Sens!E16001+Sens!E16008</f>
        <v>165.934</v>
      </c>
      <c r="F16009" s="6" t="n">
        <f aca="false">Sens!F16001+Sens!F16008</f>
        <v>181.030936493372</v>
      </c>
      <c r="G16009" s="6" t="n">
        <f aca="false">Sens!G16001+Sens!G16008</f>
        <v>211.176644906468</v>
      </c>
      <c r="H16009" s="6" t="n">
        <f aca="false">Sens!H16001+Sens!H16008</f>
        <v>246.288915784375</v>
      </c>
      <c r="I16009" s="6" t="n">
        <f aca="false">Sens!I16001+Sens!I16008</f>
        <v>273.400186528499</v>
      </c>
      <c r="J16009" s="6" t="n">
        <f aca="false">Sens!J16001+Sens!J16008</f>
        <v>296.956534799591</v>
      </c>
      <c r="K16009" s="6" t="n">
        <f aca="false">Sens!K16001+Sens!K16008</f>
        <v>318.52641175632</v>
      </c>
    </row>
    <row r="16010" customFormat="false" ht="15" hidden="false" customHeight="false" outlineLevel="0" collapsed="false">
      <c r="A16010" s="1" t="s">
        <v>924</v>
      </c>
      <c r="B16010" s="0" t="s">
        <v>98</v>
      </c>
      <c r="D16010" s="6" t="n">
        <f aca="false">Q!L29</f>
        <v>21.795</v>
      </c>
      <c r="E16010" s="6" t="n">
        <f aca="false">Q!M29</f>
        <v>32.185</v>
      </c>
      <c r="F16010" s="6" t="n">
        <f aca="false">Sens!F16009*tax_f</f>
        <v>36.2061872986743</v>
      </c>
      <c r="G16010" s="6" t="n">
        <f aca="false">Sens!G16009*tax_f</f>
        <v>42.2353289812936</v>
      </c>
      <c r="H16010" s="6" t="n">
        <f aca="false">Sens!H16009*tax_f</f>
        <v>49.2577831568751</v>
      </c>
      <c r="I16010" s="6" t="n">
        <f aca="false">Sens!I16009*tax_f</f>
        <v>54.6800373056998</v>
      </c>
      <c r="J16010" s="6" t="n">
        <f aca="false">Sens!J16009*tax_f</f>
        <v>59.3913069599182</v>
      </c>
      <c r="K16010" s="6" t="n">
        <f aca="false">Sens!K16009*tax_f</f>
        <v>63.705282351264</v>
      </c>
    </row>
    <row r="16011" customFormat="false" ht="15" hidden="false" customHeight="false" outlineLevel="0" collapsed="false">
      <c r="A16011" s="1" t="s">
        <v>925</v>
      </c>
      <c r="B16011" s="0" t="s">
        <v>98</v>
      </c>
      <c r="D16011" s="6" t="n">
        <f aca="false">Sens!D16009-Sens!D16010</f>
        <v>101.832</v>
      </c>
      <c r="E16011" s="6" t="n">
        <f aca="false">Sens!E16009-Sens!E16010</f>
        <v>133.749</v>
      </c>
      <c r="F16011" s="6" t="n">
        <f aca="false">Sens!F16009-Sens!F16010</f>
        <v>144.824749194697</v>
      </c>
      <c r="G16011" s="6" t="n">
        <f aca="false">Sens!G16009-Sens!G16010</f>
        <v>168.941315925174</v>
      </c>
      <c r="H16011" s="6" t="n">
        <f aca="false">Sens!H16009-Sens!H16010</f>
        <v>197.0311326275</v>
      </c>
      <c r="I16011" s="6" t="n">
        <f aca="false">Sens!I16009-Sens!I16010</f>
        <v>218.720149222799</v>
      </c>
      <c r="J16011" s="6" t="n">
        <f aca="false">Sens!J16009-Sens!J16010</f>
        <v>237.565227839673</v>
      </c>
      <c r="K16011" s="6" t="n">
        <f aca="false">Sens!K16009-Sens!K16010</f>
        <v>254.821129405056</v>
      </c>
    </row>
    <row r="16012" customFormat="false" ht="17.15" hidden="false" customHeight="false" outlineLevel="0" collapsed="false">
      <c r="A16012" s="1" t="s">
        <v>926</v>
      </c>
      <c r="B16012" s="1" t="s">
        <v>81</v>
      </c>
      <c r="D16012" s="14" t="n">
        <f aca="false">Q!L31</f>
        <v>7.465</v>
      </c>
      <c r="E16012" s="14" t="n">
        <f aca="false">Q!M31</f>
        <v>7.453</v>
      </c>
      <c r="F16012" s="14" t="n">
        <f aca="false">Sens!F16055</f>
        <v>7.4735</v>
      </c>
      <c r="G16012" s="14" t="n">
        <f aca="false">Sens!G16055</f>
        <v>7.50808342626474</v>
      </c>
      <c r="H16012" s="14" t="n">
        <f aca="false">Sens!H16055</f>
        <v>7.52541843837942</v>
      </c>
      <c r="I16012" s="14" t="n">
        <f aca="false">Sens!I16055</f>
        <v>7.53719927038673</v>
      </c>
      <c r="J16012" s="14" t="n">
        <f aca="false">Sens!J16055</f>
        <v>7.55144078150462</v>
      </c>
      <c r="K16012" s="14" t="n">
        <f aca="false">Sens!K16055</f>
        <v>7.56796069920636</v>
      </c>
    </row>
    <row r="16013" customFormat="false" ht="17.15" hidden="false" customHeight="false" outlineLevel="0" collapsed="false">
      <c r="A16013" s="0" t="s">
        <v>927</v>
      </c>
      <c r="B16013" s="0" t="s">
        <v>75</v>
      </c>
      <c r="D16013" s="8" t="n">
        <f aca="false">Sens!D16011/Sens!D16012</f>
        <v>13.641259209645</v>
      </c>
      <c r="E16013" s="8" t="n">
        <f aca="false">Sens!E16011/Sens!E16012</f>
        <v>17.9456594659869</v>
      </c>
      <c r="F16013" s="8" t="n">
        <f aca="false">Sens!F16011/Sens!F16012</f>
        <v>19.3784370368231</v>
      </c>
      <c r="G16013" s="8" t="n">
        <f aca="false">Sens!G16011/Sens!G16012</f>
        <v>22.5012571562784</v>
      </c>
      <c r="H16013" s="8" t="n">
        <f aca="false">Sens!H16011/Sens!H16012</f>
        <v>26.1820833274396</v>
      </c>
      <c r="I16013" s="8" t="n">
        <f aca="false">Sens!I16011/Sens!I16012</f>
        <v>29.0187563545174</v>
      </c>
      <c r="J16013" s="8" t="n">
        <f aca="false">Sens!J16011/Sens!J16012</f>
        <v>31.4595895953432</v>
      </c>
      <c r="K16013" s="8" t="n">
        <f aca="false">Sens!K16011/Sens!K16012</f>
        <v>33.6710429048315</v>
      </c>
      <c r="L16013" s="1" t="s">
        <v>928</v>
      </c>
    </row>
    <row r="16014" customFormat="false" ht="17.15" hidden="false" customHeight="false" outlineLevel="0" collapsed="false">
      <c r="A16014" s="1" t="s">
        <v>929</v>
      </c>
      <c r="B16014" s="0" t="s">
        <v>98</v>
      </c>
      <c r="D16014" s="6" t="n">
        <f aca="false">Sens!D16011</f>
        <v>101.832</v>
      </c>
      <c r="E16014" s="6" t="n">
        <f aca="false">Sens!E16011</f>
        <v>133.749</v>
      </c>
      <c r="F16014" s="6" t="n">
        <f aca="false">Sens!F16011+Sens!F16004*(1-tax_f)</f>
        <v>151.578736752808</v>
      </c>
      <c r="G16014" s="6" t="n">
        <f aca="false">Sens!G16011+Sens!G16004*(1-tax_f)</f>
        <v>186.033573750575</v>
      </c>
      <c r="H16014" s="6" t="n">
        <f aca="false">Sens!H16011+Sens!H16004*(1-tax_f)</f>
        <v>225.688843880609</v>
      </c>
      <c r="I16014" s="6" t="n">
        <f aca="false">Sens!I16011+Sens!I16004*(1-tax_f)</f>
        <v>258.215496542197</v>
      </c>
      <c r="J16014" s="6" t="n">
        <f aca="false">Sens!J16011+Sens!J16004*(1-tax_f)</f>
        <v>284.791045490821</v>
      </c>
      <c r="K16014" s="6" t="n">
        <f aca="false">Sens!K16011+Sens!K16004*(1-tax_f)</f>
        <v>306.1967372288</v>
      </c>
    </row>
    <row r="16015" customFormat="false" ht="17.15" hidden="false" customHeight="false" outlineLevel="0" collapsed="false">
      <c r="A16015" s="0" t="s">
        <v>930</v>
      </c>
      <c r="B16015" s="0" t="s">
        <v>75</v>
      </c>
      <c r="D16015" s="8" t="n">
        <f aca="false">Sens!D16014/Sens!D16012</f>
        <v>13.641259209645</v>
      </c>
      <c r="E16015" s="8" t="n">
        <f aca="false">Sens!E16014/Sens!E16012</f>
        <v>17.9456594659869</v>
      </c>
      <c r="F16015" s="8" t="n">
        <f aca="false">Sens!F16014/Sens!F16012</f>
        <v>20.2821618723232</v>
      </c>
      <c r="G16015" s="8" t="n">
        <f aca="false">Sens!G16014/Sens!G16012</f>
        <v>24.7777712618101</v>
      </c>
      <c r="H16015" s="8" t="n">
        <f aca="false">Sens!H16014/Sens!H16012</f>
        <v>29.9902052927186</v>
      </c>
      <c r="I16015" s="8" t="n">
        <f aca="false">Sens!I16014/Sens!I16012</f>
        <v>34.2588124950753</v>
      </c>
      <c r="J16015" s="8" t="n">
        <f aca="false">Sens!J16014/Sens!J16012</f>
        <v>37.7134713402437</v>
      </c>
      <c r="K16015" s="8" t="n">
        <f aca="false">Sens!K16014/Sens!K16012</f>
        <v>40.4596098471958</v>
      </c>
      <c r="L16015" s="1" t="s">
        <v>931</v>
      </c>
    </row>
    <row r="16016" customFormat="false" ht="17.15" hidden="false" customHeight="false" outlineLevel="0" collapsed="false">
      <c r="A16016" s="0" t="s">
        <v>932</v>
      </c>
      <c r="B16016" s="0" t="s">
        <v>129</v>
      </c>
      <c r="E16016" s="7" t="n">
        <f aca="false">Sens!E16015/Sens!D16015-1</f>
        <v>0.315542736208578</v>
      </c>
      <c r="F16016" s="7" t="n">
        <f aca="false">Sens!F16015/Sens!E16015-1</f>
        <v>0.130198748659242</v>
      </c>
      <c r="G16016" s="7" t="n">
        <f aca="false">Sens!G16015/Sens!F16015-1</f>
        <v>0.221653363077707</v>
      </c>
      <c r="H16016" s="7" t="n">
        <f aca="false">Sens!H16015/Sens!G16015-1</f>
        <v>0.210367348048871</v>
      </c>
      <c r="I16016" s="7" t="n">
        <f aca="false">Sens!I16015/Sens!H16015-1</f>
        <v>0.142333377204092</v>
      </c>
      <c r="J16016" s="7" t="n">
        <f aca="false">Sens!J16015/Sens!I16015-1</f>
        <v>0.100840005638402</v>
      </c>
      <c r="K16016" s="7" t="n">
        <f aca="false">Sens!K16015/Sens!J16015-1</f>
        <v>0.072815850924381</v>
      </c>
    </row>
    <row r="16017" customFormat="false" ht="17.15" hidden="false" customHeight="false" outlineLevel="0" collapsed="false">
      <c r="A16017" s="0" t="s">
        <v>856</v>
      </c>
      <c r="B16017" s="0" t="s">
        <v>98</v>
      </c>
      <c r="E16017" s="6" t="n">
        <f aca="false">Sens!E15958</f>
        <v>5.25</v>
      </c>
      <c r="F16017" s="6" t="n">
        <f aca="false">Sens!F15958</f>
        <v>13.5</v>
      </c>
      <c r="G16017" s="6" t="n">
        <f aca="false">Sens!G15958</f>
        <v>22.5</v>
      </c>
      <c r="H16017" s="6" t="n">
        <f aca="false">Sens!H15958</f>
        <v>31.5</v>
      </c>
      <c r="I16017" s="6" t="n">
        <f aca="false">Sens!I15958</f>
        <v>38.25</v>
      </c>
      <c r="J16017" s="6" t="n">
        <f aca="false">Sens!J15958</f>
        <v>42.75</v>
      </c>
      <c r="K16017" s="6" t="n">
        <f aca="false">Sens!K15958</f>
        <v>47.25</v>
      </c>
    </row>
    <row r="16018" customFormat="false" ht="17.15" hidden="false" customHeight="false" outlineLevel="0" collapsed="false">
      <c r="A16018" s="1" t="s">
        <v>857</v>
      </c>
      <c r="B16018" s="0" t="s">
        <v>98</v>
      </c>
      <c r="F16018" s="6" t="n">
        <f aca="false">MAX(0,((Sens!E15921+Sens!F15921)/2-(shadow_base*(Sens!$D$15921+Sens!$E$15921)/2+(1-shadow_base)*Sens!$E$15921))*Sens!F15929/1000-(Sens!F16017-Sens!$E$16017)*Sens!F15997)</f>
        <v>8.44248444763781</v>
      </c>
      <c r="G16018" s="6" t="n">
        <f aca="false">MAX(0,((Sens!F15921+Sens!G15921)/2-(shadow_base*(Sens!$D$15921+Sens!$E$15921)/2+(1-shadow_base)*Sens!$E$15921))*Sens!G15929/1000-(Sens!G16017-Sens!$E$16017)*Sens!G15997)</f>
        <v>21.3653222817508</v>
      </c>
      <c r="H16018" s="6" t="n">
        <f aca="false">MAX(0,((Sens!G15921+Sens!H15921)/2-(shadow_base*(Sens!$D$15921+Sens!$E$15921)/2+(1-shadow_base)*Sens!$E$15921))*Sens!H15929/1000-(Sens!H16017-Sens!$E$16017)*Sens!H15997)</f>
        <v>35.8221390663856</v>
      </c>
      <c r="I16018" s="6" t="n">
        <f aca="false">MAX(0,((Sens!H15921+Sens!I15921)/2-(shadow_base*(Sens!$D$15921+Sens!$E$15921)/2+(1-shadow_base)*Sens!$E$15921))*Sens!I15929/1000-(Sens!I16017-Sens!$E$16017)*Sens!I15997)</f>
        <v>49.3691841492478</v>
      </c>
      <c r="J16018" s="6" t="n">
        <f aca="false">MAX(0,((Sens!I15921+Sens!J15921)/2-(shadow_base*(Sens!$D$15921+Sens!$E$15921)/2+(1-shadow_base)*Sens!$E$15921))*Sens!J15929/1000-(Sens!J16017-Sens!$E$16017)*Sens!J15997)</f>
        <v>59.0322720639359</v>
      </c>
      <c r="K16018" s="6" t="n">
        <f aca="false">MAX(0,((Sens!J15921+Sens!K15921)/2-(shadow_base*(Sens!$D$15921+Sens!$E$15921)/2+(1-shadow_base)*Sens!$E$15921))*Sens!K15929/1000-(Sens!K16017-Sens!$E$16017)*Sens!K15997)</f>
        <v>64.2195097796802</v>
      </c>
      <c r="L16018" s="1" t="s">
        <v>858</v>
      </c>
    </row>
    <row r="16019" customFormat="false" ht="17.15" hidden="false" customHeight="false" outlineLevel="0" collapsed="false">
      <c r="A16019" s="1" t="s">
        <v>859</v>
      </c>
      <c r="B16019" s="0" t="s">
        <v>98</v>
      </c>
      <c r="F16019" s="6" t="n">
        <f aca="false">IF(internal_ai_reading=2,1,0)*Sens!F16018</f>
        <v>8.44248444763781</v>
      </c>
      <c r="G16019" s="6" t="n">
        <f aca="false">IF(internal_ai_reading=2,1,0)*Sens!G16018</f>
        <v>21.3653222817508</v>
      </c>
      <c r="H16019" s="6" t="n">
        <f aca="false">IF(internal_ai_reading=2,1,0)*Sens!H16018</f>
        <v>35.8221390663856</v>
      </c>
      <c r="I16019" s="6" t="n">
        <f aca="false">IF(internal_ai_reading=2,1,0)*Sens!I16018</f>
        <v>49.3691841492478</v>
      </c>
      <c r="J16019" s="6" t="n">
        <f aca="false">IF(internal_ai_reading=2,1,0)*Sens!J16018</f>
        <v>59.0322720639359</v>
      </c>
      <c r="K16019" s="6" t="n">
        <f aca="false">IF(internal_ai_reading=2,1,0)*Sens!K16018</f>
        <v>64.2195097796802</v>
      </c>
    </row>
    <row r="16020" customFormat="false" ht="17.15" hidden="false" customHeight="false" outlineLevel="0" collapsed="false">
      <c r="A16020" s="0" t="s">
        <v>860</v>
      </c>
      <c r="B16020" s="0" t="s">
        <v>98</v>
      </c>
      <c r="F16020" s="6" t="n">
        <f aca="false">Sens!F15938+Sens!F16017*Sens!F15997+Sens!F16019-Sens!F15939-Sens!F15949</f>
        <v>18.0172960828524</v>
      </c>
      <c r="G16020" s="6" t="n">
        <f aca="false">Sens!G15938+Sens!G16017*Sens!G15997+Sens!G16019-Sens!G15939-Sens!G15949</f>
        <v>41.416800621913</v>
      </c>
      <c r="H16020" s="6" t="n">
        <f aca="false">Sens!H15938+Sens!H16017*Sens!H15997+Sens!H16019-Sens!H15939-Sens!H15949</f>
        <v>70.9961733851212</v>
      </c>
      <c r="I16020" s="6" t="n">
        <f aca="false">Sens!I15938+Sens!I16017*Sens!I15997+Sens!I16019-Sens!I15939-Sens!I15949</f>
        <v>92.0357438418896</v>
      </c>
      <c r="J16020" s="6" t="n">
        <f aca="false">Sens!J15938+Sens!J16017*Sens!J15997+Sens!J16019-Sens!J15939-Sens!J15949</f>
        <v>106.776127896647</v>
      </c>
      <c r="K16020" s="6" t="n">
        <f aca="false">Sens!K15938+Sens!K16017*Sens!K15997+Sens!K16019-Sens!K15939-Sens!K15949</f>
        <v>116.98498695708</v>
      </c>
    </row>
    <row r="16021" customFormat="false" ht="17.15" hidden="false" customHeight="false" outlineLevel="0" collapsed="false">
      <c r="A16021" s="0" t="s">
        <v>861</v>
      </c>
      <c r="B16021" s="0" t="s">
        <v>98</v>
      </c>
      <c r="E16021" s="6" t="n">
        <f aca="false">Sens!E15920*(cxit_open+self_build*tk_cxfac)/1000*ai_net_open</f>
        <v>126.6980382</v>
      </c>
      <c r="F16021" s="6" t="n">
        <f aca="false">Sens!E16021+Sens!F15946-Sens!F15949</f>
        <v>260.440655514568</v>
      </c>
      <c r="G16021" s="6" t="n">
        <f aca="false">Sens!F16021+Sens!G15946-Sens!G15949</f>
        <v>383.533102737428</v>
      </c>
      <c r="H16021" s="6" t="n">
        <f aca="false">Sens!G16021+Sens!H15946-Sens!H15949</f>
        <v>483.896072654688</v>
      </c>
      <c r="I16021" s="6" t="n">
        <f aca="false">Sens!H16021+Sens!I15946-Sens!I15949</f>
        <v>535.640701826713</v>
      </c>
      <c r="J16021" s="6" t="n">
        <f aca="false">Sens!I16021+Sens!J15946-Sens!J15949</f>
        <v>533.467519418283</v>
      </c>
      <c r="K16021" s="6" t="n">
        <f aca="false">Sens!J16021+Sens!K15946-Sens!K15949</f>
        <v>514.387174527737</v>
      </c>
      <c r="L16021" s="1" t="s">
        <v>862</v>
      </c>
    </row>
    <row r="16022" customFormat="false" ht="17.15" hidden="false" customHeight="false" outlineLevel="0" collapsed="false">
      <c r="A16022" s="0" t="s">
        <v>863</v>
      </c>
      <c r="B16022" s="0" t="s">
        <v>129</v>
      </c>
      <c r="F16022" s="7" t="n">
        <f aca="false">Sens!F16020*(1-tax_f)/((Sens!E16021+Sens!F16021)/2)</f>
        <v>0.0744634266752422</v>
      </c>
      <c r="G16022" s="7" t="n">
        <f aca="false">Sens!G16020*(1-tax_f)/((Sens!F16021+Sens!G16021)/2)</f>
        <v>0.102903076633023</v>
      </c>
      <c r="H16022" s="7" t="n">
        <f aca="false">Sens!H16020*(1-tax_f)/((Sens!G16021+Sens!H16021)/2)</f>
        <v>0.130954642337047</v>
      </c>
      <c r="I16022" s="7" t="n">
        <f aca="false">Sens!I16020*(1-tax_f)/((Sens!H16021+Sens!I16021)/2)</f>
        <v>0.144435388534099</v>
      </c>
      <c r="J16022" s="7" t="n">
        <f aca="false">Sens!J16020*(1-tax_f)/((Sens!I16021+Sens!J16021)/2)</f>
        <v>0.159798420066106</v>
      </c>
      <c r="K16022" s="7" t="n">
        <f aca="false">Sens!K16020*(1-tax_f)/((Sens!J16021+Sens!K16021)/2)</f>
        <v>0.178627800412344</v>
      </c>
    </row>
    <row r="16023" customFormat="false" ht="17.15" hidden="false" customHeight="false" outlineLevel="0" collapsed="false">
      <c r="A16023" s="1" t="s">
        <v>864</v>
      </c>
      <c r="B16023" s="0" t="s">
        <v>129</v>
      </c>
      <c r="F16023" s="7" t="n">
        <f aca="false">(Sens!F16020-Sens!F16019)*(1-tax_f)/((Sens!E16021+Sens!F16021)/2)</f>
        <v>0.0395716028004121</v>
      </c>
      <c r="G16023" s="7" t="n">
        <f aca="false">(Sens!G16020-Sens!G16019)*(1-tax_f)/((Sens!F16021+Sens!G16021)/2)</f>
        <v>0.0498193675334598</v>
      </c>
      <c r="H16023" s="7" t="n">
        <f aca="false">(Sens!H16020-Sens!H16019)*(1-tax_f)/((Sens!G16021+Sens!H16021)/2)</f>
        <v>0.0648795965209916</v>
      </c>
      <c r="I16023" s="7" t="n">
        <f aca="false">(Sens!I16020-Sens!I16019)*(1-tax_f)/((Sens!H16021+Sens!I16021)/2)</f>
        <v>0.0669583454142216</v>
      </c>
      <c r="J16023" s="7" t="n">
        <f aca="false">(Sens!J16020-Sens!J16019)*(1-tax_f)/((Sens!I16021+Sens!J16021)/2)</f>
        <v>0.0714522326312114</v>
      </c>
      <c r="K16023" s="7" t="n">
        <f aca="false">(Sens!K16020-Sens!K16019)*(1-tax_f)/((Sens!J16021+Sens!K16021)/2)</f>
        <v>0.0805691514020055</v>
      </c>
    </row>
    <row r="16024" customFormat="false" ht="17.15" hidden="false" customHeight="false" outlineLevel="0" collapsed="false">
      <c r="A16024" s="1" t="s">
        <v>865</v>
      </c>
      <c r="B16024" s="0" t="s">
        <v>129</v>
      </c>
      <c r="F16024" s="7" t="n">
        <f aca="false">(Sens!F16020-Sens!F16019+Sens!F16018)*(1-tax_f)/((Sens!E16021+Sens!F16021)/2)</f>
        <v>0.0744634266752422</v>
      </c>
      <c r="G16024" s="7" t="n">
        <f aca="false">(Sens!G16020-Sens!G16019+Sens!G16018)*(1-tax_f)/((Sens!F16021+Sens!G16021)/2)</f>
        <v>0.102903076633023</v>
      </c>
      <c r="H16024" s="7" t="n">
        <f aca="false">(Sens!H16020-Sens!H16019+Sens!H16018)*(1-tax_f)/((Sens!G16021+Sens!H16021)/2)</f>
        <v>0.130954642337047</v>
      </c>
      <c r="I16024" s="7" t="n">
        <f aca="false">(Sens!I16020-Sens!I16019+Sens!I16018)*(1-tax_f)/((Sens!H16021+Sens!I16021)/2)</f>
        <v>0.144435388534099</v>
      </c>
      <c r="J16024" s="7" t="n">
        <f aca="false">(Sens!J16020-Sens!J16019+Sens!J16018)*(1-tax_f)/((Sens!I16021+Sens!J16021)/2)</f>
        <v>0.159798420066106</v>
      </c>
      <c r="K16024" s="7" t="n">
        <f aca="false">(Sens!K16020-Sens!K16019+Sens!K16018)*(1-tax_f)/((Sens!J16021+Sens!K16021)/2)</f>
        <v>0.178627800412344</v>
      </c>
    </row>
    <row r="16025" customFormat="false" ht="17.15" hidden="false" customHeight="false" outlineLevel="0" collapsed="false">
      <c r="A16025" s="1" t="s">
        <v>866</v>
      </c>
      <c r="B16025" s="0" t="s">
        <v>129</v>
      </c>
      <c r="F16025" s="7" t="n">
        <f aca="false">Sens!F15950*(1-tax_f)/(Sens!F15937*(Sens!E16021+Sens!F16021)/2)</f>
        <v>0.153543815988938</v>
      </c>
      <c r="G16025" s="7" t="n">
        <f aca="false">Sens!G15950*(1-tax_f)/(Sens!G15937*(Sens!F16021+Sens!G16021)/2)</f>
        <v>0.17467487096866</v>
      </c>
      <c r="H16025" s="7" t="n">
        <f aca="false">Sens!H15950*(1-tax_f)/(Sens!H15937*(Sens!G16021+Sens!H16021)/2)</f>
        <v>0.207630352867497</v>
      </c>
      <c r="I16025" s="7" t="n">
        <f aca="false">Sens!I15950*(1-tax_f)/(Sens!I15937*(Sens!H16021+Sens!I16021)/2)</f>
        <v>0.221683969864569</v>
      </c>
      <c r="J16025" s="7" t="n">
        <f aca="false">Sens!J15950*(1-tax_f)/(Sens!J15937*(Sens!I16021+Sens!J16021)/2)</f>
        <v>0.241615912533747</v>
      </c>
      <c r="K16025" s="7" t="n">
        <f aca="false">Sens!K15950*(1-tax_f)/(Sens!K15937*(Sens!J16021+Sens!K16021)/2)</f>
        <v>0.267939693346578</v>
      </c>
    </row>
    <row r="16026" customFormat="false" ht="17.15" hidden="false" customHeight="false" outlineLevel="0" collapsed="false">
      <c r="A16026" s="0" t="s">
        <v>867</v>
      </c>
      <c r="B16026" s="0" t="s">
        <v>209</v>
      </c>
      <c r="F16026" s="7" t="n">
        <f aca="false">Sens!F16022-wacc</f>
        <v>-0.0284709934176335</v>
      </c>
      <c r="G16026" s="7" t="n">
        <f aca="false">Sens!G16022-wacc</f>
        <v>-3.13434598529089E-005</v>
      </c>
      <c r="H16026" s="7" t="n">
        <f aca="false">Sens!H16022-wacc</f>
        <v>0.0280202222441709</v>
      </c>
      <c r="I16026" s="7" t="n">
        <f aca="false">Sens!I16022-wacc</f>
        <v>0.0415009684412234</v>
      </c>
      <c r="J16026" s="7" t="n">
        <f aca="false">Sens!J16022-wacc</f>
        <v>0.0568639999732305</v>
      </c>
      <c r="K16026" s="7" t="n">
        <f aca="false">Sens!K16022-wacc</f>
        <v>0.0756933803194682</v>
      </c>
    </row>
    <row r="16027" customFormat="false" ht="17.15" hidden="false" customHeight="false" outlineLevel="0" collapsed="false">
      <c r="A16027" s="0" t="s">
        <v>868</v>
      </c>
      <c r="B16027" s="0" t="s">
        <v>98</v>
      </c>
      <c r="F16027" s="6" t="n">
        <f aca="false">Sens!F16020*(1-tax_f)-wacc*(Sens!E16021+Sens!F16021)/2</f>
        <v>-5.51111160022935</v>
      </c>
      <c r="G16027" s="6" t="n">
        <f aca="false">Sens!G16020*(1-tax_f)-wacc*(Sens!F16021+Sens!G16021)/2</f>
        <v>-0.0100921828190508</v>
      </c>
      <c r="H16027" s="6" t="n">
        <f aca="false">Sens!H16020*(1-tax_f)-wacc*(Sens!G16021+Sens!H16021)/2</f>
        <v>12.1527791377825</v>
      </c>
      <c r="I16027" s="6" t="n">
        <f aca="false">Sens!I16020*(1-tax_f)-wacc*(Sens!H16021+Sens!I16021)/2</f>
        <v>21.1558817512097</v>
      </c>
      <c r="J16027" s="6" t="n">
        <f aca="false">Sens!J16020*(1-tax_f)-wacc*(Sens!I16021+Sens!J16021)/2</f>
        <v>30.396884932128</v>
      </c>
      <c r="K16027" s="6" t="n">
        <f aca="false">Sens!K16020*(1-tax_f)-wacc*(Sens!J16021+Sens!K16021)/2</f>
        <v>39.657831934198</v>
      </c>
    </row>
    <row r="16028" customFormat="false" ht="17.15" hidden="false" customHeight="false" outlineLevel="0" collapsed="false">
      <c r="A16028" s="3" t="s">
        <v>1669</v>
      </c>
    </row>
    <row r="16029" customFormat="false" ht="15" hidden="false" customHeight="false" outlineLevel="0" collapsed="false">
      <c r="A16029" s="4" t="s">
        <v>43</v>
      </c>
      <c r="B16029" s="4" t="s">
        <v>65</v>
      </c>
      <c r="C16029" s="20" t="s">
        <v>799</v>
      </c>
      <c r="D16029" s="20" t="s">
        <v>800</v>
      </c>
      <c r="E16029" s="20" t="s">
        <v>801</v>
      </c>
      <c r="F16029" s="20" t="s">
        <v>802</v>
      </c>
      <c r="G16029" s="20" t="s">
        <v>803</v>
      </c>
      <c r="H16029" s="20" t="s">
        <v>804</v>
      </c>
      <c r="I16029" s="20" t="s">
        <v>805</v>
      </c>
      <c r="J16029" s="20" t="s">
        <v>806</v>
      </c>
      <c r="K16029" s="20" t="s">
        <v>807</v>
      </c>
      <c r="L16029" s="4" t="s">
        <v>47</v>
      </c>
    </row>
    <row r="16030" customFormat="false" ht="15" hidden="false" customHeight="false" outlineLevel="0" collapsed="false">
      <c r="A16030" s="1" t="s">
        <v>925</v>
      </c>
      <c r="B16030" s="0" t="s">
        <v>98</v>
      </c>
      <c r="F16030" s="6" t="n">
        <f aca="false">Sens!F16011</f>
        <v>144.824749194697</v>
      </c>
      <c r="G16030" s="6" t="n">
        <f aca="false">Sens!G16011</f>
        <v>168.941315925174</v>
      </c>
      <c r="H16030" s="6" t="n">
        <f aca="false">Sens!H16011</f>
        <v>197.0311326275</v>
      </c>
      <c r="I16030" s="6" t="n">
        <f aca="false">Sens!I16011</f>
        <v>218.720149222799</v>
      </c>
      <c r="J16030" s="6" t="n">
        <f aca="false">Sens!J16011</f>
        <v>237.565227839673</v>
      </c>
      <c r="K16030" s="6" t="n">
        <f aca="false">Sens!K16011</f>
        <v>254.821129405056</v>
      </c>
    </row>
    <row r="16031" customFormat="false" ht="17.15" hidden="false" customHeight="false" outlineLevel="0" collapsed="false">
      <c r="A16031" s="1" t="s">
        <v>947</v>
      </c>
      <c r="B16031" s="0" t="s">
        <v>98</v>
      </c>
      <c r="E16031" s="6" t="n">
        <f aca="false">Q!M38-Sens!E15949</f>
        <v>22.2285940229167</v>
      </c>
      <c r="F16031" s="6" t="n">
        <f aca="false">Sens!E16031*(1-1/life_nonai)+(Sens!F16038+Sens!F16039)/life_nonai</f>
        <v>23.5786693435813</v>
      </c>
      <c r="G16031" s="6" t="n">
        <f aca="false">Sens!F16031*(1-1/life_nonai)+(Sens!G16038)/life_nonai</f>
        <v>25.3810917662621</v>
      </c>
      <c r="H16031" s="6" t="n">
        <f aca="false">Sens!G16031*(1-1/life_nonai)+(Sens!H16038)/life_nonai</f>
        <v>27.5991339540448</v>
      </c>
      <c r="I16031" s="6" t="n">
        <f aca="false">Sens!H16031*(1-1/life_nonai)+(Sens!I16038)/life_nonai</f>
        <v>30.1565605898047</v>
      </c>
      <c r="J16031" s="6" t="n">
        <f aca="false">Sens!I16031*(1-1/life_nonai)+(Sens!J16038)/life_nonai</f>
        <v>32.9614958558616</v>
      </c>
      <c r="K16031" s="6" t="n">
        <f aca="false">Sens!J16031*(1-1/life_nonai)+(Sens!K16038)/life_nonai</f>
        <v>35.9297165444749</v>
      </c>
      <c r="L16031" s="11" t="s">
        <v>948</v>
      </c>
    </row>
    <row r="16032" customFormat="false" ht="17.15" hidden="false" customHeight="false" outlineLevel="0" collapsed="false">
      <c r="A16032" s="1" t="s">
        <v>949</v>
      </c>
      <c r="B16032" s="0" t="s">
        <v>98</v>
      </c>
      <c r="F16032" s="6" t="n">
        <f aca="false">Sens!$F$16039/life_nonai*(1-1/life_nonai)^(Sens!F15915-2027)</f>
        <v>0</v>
      </c>
      <c r="G16032" s="6" t="n">
        <f aca="false">Sens!$F$16039/life_nonai*(1-1/life_nonai)^(Sens!G15915-2027)</f>
        <v>0</v>
      </c>
      <c r="H16032" s="6" t="n">
        <f aca="false">Sens!$F$16039/life_nonai*(1-1/life_nonai)^(Sens!H15915-2027)</f>
        <v>0</v>
      </c>
      <c r="I16032" s="6" t="n">
        <f aca="false">Sens!$F$16039/life_nonai*(1-1/life_nonai)^(Sens!I15915-2027)</f>
        <v>0</v>
      </c>
      <c r="J16032" s="6" t="n">
        <f aca="false">Sens!$F$16039/life_nonai*(1-1/life_nonai)^(Sens!J15915-2027)</f>
        <v>0</v>
      </c>
      <c r="K16032" s="6" t="n">
        <f aca="false">Sens!$F$16039/life_nonai*(1-1/life_nonai)^(Sens!K15915-2027)</f>
        <v>0</v>
      </c>
      <c r="L16032" s="1" t="s">
        <v>950</v>
      </c>
    </row>
    <row r="16033" customFormat="false" ht="17.15" hidden="false" customHeight="false" outlineLevel="0" collapsed="false">
      <c r="A16033" s="1" t="s">
        <v>951</v>
      </c>
      <c r="B16033" s="0" t="s">
        <v>98</v>
      </c>
      <c r="E16033" s="6" t="n">
        <f aca="false">Sens!E15949+Sens!E16031</f>
        <v>38.534</v>
      </c>
      <c r="F16033" s="6" t="n">
        <f aca="false">Sens!F15949+Sens!F16031</f>
        <v>58.306704799451</v>
      </c>
      <c r="G16033" s="6" t="n">
        <f aca="false">Sens!G15949+Sens!G16031</f>
        <v>85.8628250266016</v>
      </c>
      <c r="H16033" s="6" t="n">
        <f aca="false">Sens!H15949+Sens!H16031</f>
        <v>115.316449947184</v>
      </c>
      <c r="I16033" s="6" t="n">
        <f aca="false">Sens!I15949+Sens!I16031</f>
        <v>142.118600572026</v>
      </c>
      <c r="J16033" s="6" t="n">
        <f aca="false">Sens!J15949+Sens!J16031</f>
        <v>162.316114858533</v>
      </c>
      <c r="K16033" s="6" t="n">
        <f aca="false">Sens!K15949+Sens!K16031</f>
        <v>176.417476738611</v>
      </c>
    </row>
    <row r="16034" customFormat="false" ht="17.15" hidden="false" customHeight="false" outlineLevel="0" collapsed="false">
      <c r="A16034" s="1" t="s">
        <v>952</v>
      </c>
      <c r="B16034" s="0" t="s">
        <v>98</v>
      </c>
      <c r="F16034" s="6" t="n">
        <f aca="false">Sens!F15976*sbc_r</f>
        <v>15.1240791253967</v>
      </c>
      <c r="G16034" s="6" t="n">
        <f aca="false">Sens!G15976*sbc_r</f>
        <v>18.3778786594202</v>
      </c>
      <c r="H16034" s="6" t="n">
        <f aca="false">Sens!H15976*sbc_r</f>
        <v>21.8771522065674</v>
      </c>
      <c r="I16034" s="6" t="n">
        <f aca="false">Sens!I15976*sbc_r</f>
        <v>24.8701515437869</v>
      </c>
      <c r="J16034" s="6" t="n">
        <f aca="false">Sens!J15976*sbc_r</f>
        <v>27.2967954795689</v>
      </c>
      <c r="K16034" s="6" t="n">
        <f aca="false">Sens!K15976*sbc_r</f>
        <v>29.260073931056</v>
      </c>
    </row>
    <row r="16035" customFormat="false" ht="17.15" hidden="false" customHeight="false" outlineLevel="0" collapsed="false">
      <c r="A16035" s="1" t="s">
        <v>953</v>
      </c>
      <c r="B16035" s="0" t="s">
        <v>98</v>
      </c>
      <c r="F16035" s="6" t="n">
        <f aca="false">wc27</f>
        <v>-4.895</v>
      </c>
      <c r="G16035" s="6" t="n">
        <f aca="false">wc_f</f>
        <v>0</v>
      </c>
      <c r="H16035" s="6" t="n">
        <f aca="false">wc_f</f>
        <v>0</v>
      </c>
      <c r="I16035" s="6" t="n">
        <f aca="false">wc_f</f>
        <v>0</v>
      </c>
      <c r="J16035" s="6" t="n">
        <f aca="false">wc_f</f>
        <v>0</v>
      </c>
      <c r="K16035" s="6" t="n">
        <f aca="false">wc_f</f>
        <v>0</v>
      </c>
      <c r="L16035" s="11" t="s">
        <v>954</v>
      </c>
    </row>
    <row r="16036" customFormat="false" ht="15" hidden="false" customHeight="false" outlineLevel="0" collapsed="false">
      <c r="A16036" s="1" t="s">
        <v>767</v>
      </c>
      <c r="B16036" s="0" t="s">
        <v>98</v>
      </c>
      <c r="E16036" s="6" t="n">
        <f aca="false">Q!M35</f>
        <v>182.935</v>
      </c>
      <c r="F16036" s="6" t="n">
        <f aca="false">Sens!F16030+Sens!F16033+Sens!F16034+Sens!F16035</f>
        <v>213.360533119545</v>
      </c>
      <c r="G16036" s="6" t="n">
        <f aca="false">Sens!G16030+Sens!G16033+Sens!G16034+Sens!G16035</f>
        <v>273.182019611196</v>
      </c>
      <c r="H16036" s="6" t="n">
        <f aca="false">Sens!H16030+Sens!H16033+Sens!H16034+Sens!H16035</f>
        <v>334.224734781252</v>
      </c>
      <c r="I16036" s="6" t="n">
        <f aca="false">Sens!I16030+Sens!I16033+Sens!I16034+Sens!I16035</f>
        <v>385.708901338612</v>
      </c>
      <c r="J16036" s="6" t="n">
        <f aca="false">Sens!J16030+Sens!J16033+Sens!J16034+Sens!J16035</f>
        <v>427.178138177775</v>
      </c>
      <c r="K16036" s="6" t="n">
        <f aca="false">Sens!K16030+Sens!K16033+Sens!K16034+Sens!K16035</f>
        <v>460.498680074723</v>
      </c>
    </row>
    <row r="16037" customFormat="false" ht="17.15" hidden="false" customHeight="false" outlineLevel="0" collapsed="false">
      <c r="A16037" s="0" t="s">
        <v>955</v>
      </c>
      <c r="B16037" s="0" t="s">
        <v>98</v>
      </c>
      <c r="F16037" s="6" t="n">
        <f aca="false">Sens!F15946</f>
        <v>168.470652770438</v>
      </c>
      <c r="G16037" s="6" t="n">
        <f aca="false">Sens!G15946</f>
        <v>183.5741804832</v>
      </c>
      <c r="H16037" s="6" t="n">
        <f aca="false">Sens!H15946</f>
        <v>188.0802859104</v>
      </c>
      <c r="I16037" s="6" t="n">
        <f aca="false">Sens!I15946</f>
        <v>163.706669154245</v>
      </c>
      <c r="J16037" s="6" t="n">
        <f aca="false">Sens!J15946</f>
        <v>127.181436594242</v>
      </c>
      <c r="K16037" s="6" t="n">
        <f aca="false">Sens!K15946</f>
        <v>121.407415303591</v>
      </c>
    </row>
    <row r="16038" customFormat="false" ht="17.15" hidden="false" customHeight="false" outlineLevel="0" collapsed="false">
      <c r="A16038" s="1" t="s">
        <v>956</v>
      </c>
      <c r="B16038" s="0" t="s">
        <v>98</v>
      </c>
      <c r="E16038" s="6" t="n">
        <f aca="false">Sens!E15954*cx_azo+Sens!E15961*cx_m365+Sens!E15962*cx_lic+(Sens!E15964+Sens!E15966)*cx_ind+Sens!E15969*cx_srch+(Sens!E15971+Sens!E15973)*cx_dev</f>
        <v>30.1846587067718</v>
      </c>
      <c r="F16038" s="6" t="n">
        <f aca="false">Sens!F15954*cx_azo+Sens!F15961*cx_m365+Sens!F15962*cx_lic+(Sens!F15964+Sens!F15966)*cx_ind+Sens!F15969*cx_srch+(Sens!F15971+Sens!F15973)*cx_dev</f>
        <v>35.7293472295625</v>
      </c>
      <c r="G16038" s="6" t="n">
        <f aca="false">Sens!G15954*cx_azo+Sens!G15961*cx_m365+Sens!G15962*cx_lic+(Sens!G15964+Sens!G15966)*cx_ind+Sens!G15969*cx_srch+(Sens!G15971+Sens!G15973)*cx_dev</f>
        <v>41.6028935703892</v>
      </c>
      <c r="H16038" s="6" t="n">
        <f aca="false">Sens!H15954*cx_azo+Sens!H15961*cx_m365+Sens!H15962*cx_lic+(Sens!H15964+Sens!H15966)*cx_ind+Sens!H15969*cx_srch+(Sens!H15971+Sens!H15973)*cx_dev</f>
        <v>47.5615136440897</v>
      </c>
      <c r="I16038" s="6" t="n">
        <f aca="false">Sens!I15954*cx_azo+Sens!I15961*cx_m365+Sens!I15962*cx_lic+(Sens!I15964+Sens!I15966)*cx_ind+Sens!I15969*cx_srch+(Sens!I15971+Sens!I15973)*cx_dev</f>
        <v>53.1734003116439</v>
      </c>
      <c r="J16038" s="6" t="n">
        <f aca="false">Sens!J15954*cx_azo+Sens!J15961*cx_m365+Sens!J15962*cx_lic+(Sens!J15964+Sens!J15966)*cx_ind+Sens!J15969*cx_srch+(Sens!J15971+Sens!J15973)*cx_dev</f>
        <v>58.2059132503738</v>
      </c>
      <c r="K16038" s="6" t="n">
        <f aca="false">Sens!K15954*cx_azo+Sens!K15961*cx_m365+Sens!K15962*cx_lic+(Sens!K15964+Sens!K15966)*cx_ind+Sens!K15969*cx_srch+(Sens!K15971+Sens!K15973)*cx_dev</f>
        <v>62.643702741994</v>
      </c>
    </row>
    <row r="16039" customFormat="false" ht="17.15" hidden="false" customHeight="false" outlineLevel="0" collapsed="false">
      <c r="A16039" s="0" t="s">
        <v>957</v>
      </c>
      <c r="B16039" s="0" t="s">
        <v>98</v>
      </c>
      <c r="F16039" s="6" t="n">
        <f aca="false">0</f>
        <v>0</v>
      </c>
      <c r="L16039" s="1" t="s">
        <v>958</v>
      </c>
    </row>
    <row r="16040" customFormat="false" ht="17.15" hidden="false" customHeight="false" outlineLevel="0" collapsed="false">
      <c r="A16040" s="1" t="s">
        <v>959</v>
      </c>
      <c r="B16040" s="0" t="s">
        <v>98</v>
      </c>
      <c r="E16040" s="6" t="n">
        <f aca="false">Q!M42</f>
        <v>145.3</v>
      </c>
      <c r="F16040" s="6" t="n">
        <f aca="false">Sens!F16037+Sens!F16038+Sens!F16039</f>
        <v>204.2</v>
      </c>
      <c r="G16040" s="6" t="n">
        <f aca="false">Sens!G16037+Sens!G16038</f>
        <v>225.177074053589</v>
      </c>
      <c r="H16040" s="6" t="n">
        <f aca="false">Sens!H16037+Sens!H16038</f>
        <v>235.64179955449</v>
      </c>
      <c r="I16040" s="6" t="n">
        <f aca="false">Sens!I16037+Sens!I16038</f>
        <v>216.880069465889</v>
      </c>
      <c r="J16040" s="6" t="n">
        <f aca="false">Sens!J16037+Sens!J16038</f>
        <v>185.387349844616</v>
      </c>
      <c r="K16040" s="6" t="n">
        <f aca="false">Sens!K16037+Sens!K16038</f>
        <v>184.051118045585</v>
      </c>
      <c r="L16040" s="1" t="s">
        <v>960</v>
      </c>
    </row>
    <row r="16041" customFormat="false" ht="15" hidden="false" customHeight="false" outlineLevel="0" collapsed="false">
      <c r="A16041" s="1" t="s">
        <v>961</v>
      </c>
      <c r="B16041" s="0" t="s">
        <v>98</v>
      </c>
      <c r="E16041" s="6" t="n">
        <f aca="false">fl_liab</f>
        <v>66.594</v>
      </c>
      <c r="F16041" s="6" t="n">
        <f aca="false">Sens!E16041-Sens!F16042</f>
        <v>62.46973</v>
      </c>
      <c r="G16041" s="6" t="n">
        <f aca="false">Sens!F16041-Sens!G16042</f>
        <v>57.98686785</v>
      </c>
      <c r="H16041" s="6" t="n">
        <f aca="false">Sens!G16041-Sens!H16042</f>
        <v>53.92827690325</v>
      </c>
      <c r="I16041" s="6" t="n">
        <f aca="false">Sens!H16041-Sens!I16042</f>
        <v>49.7850493638962</v>
      </c>
      <c r="J16041" s="6" t="n">
        <f aca="false">Sens!I16041-Sens!J16042</f>
        <v>45.4823765852716</v>
      </c>
      <c r="K16041" s="6" t="n">
        <f aca="false">Sens!J16041-Sens!K16042</f>
        <v>40.9860835316088</v>
      </c>
    </row>
    <row r="16042" customFormat="false" ht="15" hidden="false" customHeight="false" outlineLevel="0" collapsed="false">
      <c r="A16042" s="1" t="s">
        <v>962</v>
      </c>
      <c r="B16042" s="0" t="s">
        <v>98</v>
      </c>
      <c r="F16042" s="6" t="n">
        <f aca="false">fl_pay_27-Sens!E16041*fl_rate</f>
        <v>4.12427</v>
      </c>
      <c r="G16042" s="6" t="n">
        <f aca="false">fl_pay_28-Sens!F16041*fl_rate</f>
        <v>4.48286215</v>
      </c>
      <c r="H16042" s="6" t="n">
        <f aca="false">fl_pay_29-Sens!G16041*fl_rate</f>
        <v>4.05859094675</v>
      </c>
      <c r="I16042" s="6" t="n">
        <f aca="false">fl_pay_30-Sens!H16041*fl_rate</f>
        <v>4.14322753935375</v>
      </c>
      <c r="J16042" s="6" t="n">
        <f aca="false">fl_pay_31-Sens!I16041*fl_rate</f>
        <v>4.30267277862467</v>
      </c>
      <c r="K16042" s="6" t="n">
        <f aca="false">fl_pay_32-Sens!J16041*fl_rate</f>
        <v>4.49629305366278</v>
      </c>
    </row>
    <row r="16043" customFormat="false" ht="17.15" hidden="false" customHeight="false" outlineLevel="0" collapsed="false">
      <c r="A16043" s="1" t="s">
        <v>963</v>
      </c>
      <c r="B16043" s="0" t="s">
        <v>98</v>
      </c>
      <c r="E16043" s="6" t="n">
        <f aca="false">Q!M35-Q!M36-Q!M43</f>
        <v>63.886</v>
      </c>
      <c r="F16043" s="6" t="n">
        <f aca="false">Sens!F16036-Sens!F16040-Sens!F16042</f>
        <v>5.03626311954508</v>
      </c>
      <c r="G16043" s="6" t="n">
        <f aca="false">Sens!G16036-Sens!G16040-Sens!G16042</f>
        <v>43.522083407607</v>
      </c>
      <c r="H16043" s="6" t="n">
        <f aca="false">Sens!H16036-Sens!H16040-Sens!H16042</f>
        <v>94.5243442800126</v>
      </c>
      <c r="I16043" s="6" t="n">
        <f aca="false">Sens!I16036-Sens!I16040-Sens!I16042</f>
        <v>164.685604333369</v>
      </c>
      <c r="J16043" s="6" t="n">
        <f aca="false">Sens!J16036-Sens!J16040-Sens!J16042</f>
        <v>237.488115554534</v>
      </c>
      <c r="K16043" s="6" t="n">
        <f aca="false">Sens!K16036-Sens!K16040-Sens!K16042</f>
        <v>271.951268975476</v>
      </c>
      <c r="L16043" s="11" t="s">
        <v>964</v>
      </c>
    </row>
    <row r="16044" customFormat="false" ht="15" hidden="false" customHeight="false" outlineLevel="0" collapsed="false">
      <c r="A16044" s="1" t="s">
        <v>965</v>
      </c>
      <c r="B16044" s="0" t="s">
        <v>75</v>
      </c>
      <c r="F16044" s="8" t="n">
        <f aca="false">dps_27</f>
        <v>3.85</v>
      </c>
      <c r="G16044" s="8" t="n">
        <f aca="false">Sens!F16044*(1+dps_g)</f>
        <v>4.158</v>
      </c>
      <c r="H16044" s="8" t="n">
        <f aca="false">Sens!G16044*(1+dps_g)</f>
        <v>4.49064</v>
      </c>
      <c r="I16044" s="8" t="n">
        <f aca="false">Sens!H16044*(1+dps_g)</f>
        <v>4.8498912</v>
      </c>
      <c r="J16044" s="8" t="n">
        <f aca="false">Sens!I16044*(1+dps_g)</f>
        <v>5.237882496</v>
      </c>
      <c r="K16044" s="8" t="n">
        <f aca="false">Sens!J16044*(1+dps_g)</f>
        <v>5.65691309568</v>
      </c>
    </row>
    <row r="16045" customFormat="false" ht="17.15" hidden="false" customHeight="false" outlineLevel="0" collapsed="false">
      <c r="A16045" s="1" t="s">
        <v>966</v>
      </c>
      <c r="B16045" s="0" t="s">
        <v>98</v>
      </c>
      <c r="E16045" s="6" t="n">
        <f aca="false">Q!M41</f>
        <v>26.445</v>
      </c>
      <c r="F16045" s="6" t="n">
        <f aca="false">Sens!F16044*Sens!E16054</f>
        <v>28.59395</v>
      </c>
      <c r="G16045" s="6" t="n">
        <f aca="false">Sens!G16044*Sens!F16054</f>
        <v>31.068576</v>
      </c>
      <c r="H16045" s="6" t="n">
        <f aca="false">Sens!H16044*Sens!G16054</f>
        <v>33.6625867146429</v>
      </c>
      <c r="I16045" s="6" t="n">
        <f aca="false">Sens!I16044*Sens!H16054</f>
        <v>36.4065328918138</v>
      </c>
      <c r="J16045" s="6" t="n">
        <f aca="false">Sens!J16044*Sens!I16054</f>
        <v>39.3874543714784</v>
      </c>
      <c r="K16045" s="6" t="n">
        <f aca="false">Sens!K16044*Sens!J16054</f>
        <v>42.6257059465017</v>
      </c>
      <c r="L16045" s="1" t="s">
        <v>967</v>
      </c>
    </row>
    <row r="16046" customFormat="false" ht="15" hidden="false" customHeight="false" outlineLevel="0" collapsed="false">
      <c r="A16046" s="1" t="s">
        <v>968</v>
      </c>
      <c r="B16046" s="0" t="s">
        <v>98</v>
      </c>
      <c r="E16046" s="6" t="n">
        <f aca="false">Sens!E16043-Sens!E16045</f>
        <v>37.441</v>
      </c>
      <c r="F16046" s="6" t="n">
        <f aca="false">Sens!F16043-Sens!F16045</f>
        <v>-23.5576868804549</v>
      </c>
      <c r="G16046" s="6" t="n">
        <f aca="false">Sens!G16043-Sens!G16045</f>
        <v>12.453507407607</v>
      </c>
      <c r="H16046" s="6" t="n">
        <f aca="false">Sens!H16043-Sens!H16045</f>
        <v>60.8617575653697</v>
      </c>
      <c r="I16046" s="6" t="n">
        <f aca="false">Sens!I16043-Sens!I16045</f>
        <v>128.279071441555</v>
      </c>
      <c r="J16046" s="6" t="n">
        <f aca="false">Sens!J16043-Sens!J16045</f>
        <v>198.100661183056</v>
      </c>
      <c r="K16046" s="6" t="n">
        <f aca="false">Sens!K16043-Sens!K16045</f>
        <v>229.325563028974</v>
      </c>
    </row>
    <row r="16047" customFormat="false" ht="15" hidden="false" customHeight="false" outlineLevel="0" collapsed="false">
      <c r="A16047" s="1" t="s">
        <v>969</v>
      </c>
      <c r="B16047" s="0" t="s">
        <v>98</v>
      </c>
      <c r="F16047" s="6" t="n">
        <f aca="false">debt_mat_27</f>
        <v>9.25</v>
      </c>
      <c r="G16047" s="6" t="n">
        <f aca="false">debt_mat_28</f>
        <v>0</v>
      </c>
      <c r="H16047" s="6" t="n">
        <f aca="false">debt_mat_29</f>
        <v>2.001</v>
      </c>
      <c r="I16047" s="6" t="n">
        <f aca="false">debt_mat_30</f>
        <v>0</v>
      </c>
      <c r="J16047" s="6" t="n">
        <f aca="false">debt_mat_31</f>
        <v>0.5</v>
      </c>
      <c r="K16047" s="6" t="n">
        <f aca="false">debt_mat_32</f>
        <v>0</v>
      </c>
    </row>
    <row r="16048" customFormat="false" ht="15" hidden="false" customHeight="false" outlineLevel="0" collapsed="false">
      <c r="A16048" s="1" t="s">
        <v>970</v>
      </c>
      <c r="B16048" s="0" t="s">
        <v>98</v>
      </c>
      <c r="E16048" s="6" t="n">
        <f aca="false">Q!M40</f>
        <v>22.271</v>
      </c>
      <c r="F16048" s="6" t="n">
        <f aca="false">MAX(0,MIN(bb_target,Sens!E16050+Sens!F16046-Sens!F16047-min_cash))</f>
        <v>0</v>
      </c>
      <c r="G16048" s="6" t="n">
        <f aca="false">MAX(0,MIN(bb_target,Sens!F16050+Sens!G16046-Sens!G16047-min_cash))</f>
        <v>12.453507407607</v>
      </c>
      <c r="H16048" s="6" t="n">
        <f aca="false">MAX(0,MIN(bb_target,Sens!G16050+Sens!H16046-Sens!H16047-min_cash))</f>
        <v>22.271</v>
      </c>
      <c r="I16048" s="6" t="n">
        <f aca="false">MAX(0,MIN(bb_target,Sens!H16050+Sens!I16046-Sens!I16047-min_cash))</f>
        <v>22.271</v>
      </c>
      <c r="J16048" s="6" t="n">
        <f aca="false">MAX(0,MIN(bb_target,Sens!I16050+Sens!J16046-Sens!J16047-min_cash))</f>
        <v>22.271</v>
      </c>
      <c r="K16048" s="6" t="n">
        <f aca="false">MAX(0,MIN(bb_target,Sens!J16050+Sens!K16046-Sens!K16047-min_cash))</f>
        <v>22.271</v>
      </c>
    </row>
    <row r="16049" customFormat="false" ht="15" hidden="false" customHeight="false" outlineLevel="0" collapsed="false">
      <c r="A16049" s="1" t="s">
        <v>971</v>
      </c>
      <c r="B16049" s="0" t="s">
        <v>98</v>
      </c>
      <c r="F16049" s="6" t="n">
        <f aca="false">MAX(0,min_cash-(Sens!E16050+Sens!F16046-Sens!F16047-Sens!F16048))</f>
        <v>5.96468688045492</v>
      </c>
      <c r="G16049" s="6" t="n">
        <f aca="false">MAX(0,min_cash-(Sens!F16050+Sens!G16046-Sens!G16047-Sens!G16048))</f>
        <v>0</v>
      </c>
      <c r="H16049" s="6" t="n">
        <f aca="false">MAX(0,min_cash-(Sens!G16050+Sens!H16046-Sens!H16047-Sens!H16048))</f>
        <v>0</v>
      </c>
      <c r="I16049" s="6" t="n">
        <f aca="false">MAX(0,min_cash-(Sens!H16050+Sens!I16046-Sens!I16047-Sens!I16048))</f>
        <v>0</v>
      </c>
      <c r="J16049" s="6" t="n">
        <f aca="false">MAX(0,min_cash-(Sens!I16050+Sens!J16046-Sens!J16047-Sens!J16048))</f>
        <v>0</v>
      </c>
      <c r="K16049" s="6" t="n">
        <f aca="false">MAX(0,min_cash-(Sens!J16050+Sens!K16046-Sens!K16047-Sens!K16048))</f>
        <v>0</v>
      </c>
    </row>
    <row r="16050" customFormat="false" ht="15" hidden="false" customHeight="false" outlineLevel="0" collapsed="false">
      <c r="A16050" s="1" t="s">
        <v>972</v>
      </c>
      <c r="B16050" s="0" t="s">
        <v>98</v>
      </c>
      <c r="E16050" s="6" t="n">
        <f aca="false">cash_open</f>
        <v>76.843</v>
      </c>
      <c r="F16050" s="6" t="n">
        <f aca="false">Sens!E16050+Sens!F16046-Sens!F16047-Sens!F16048+Sens!F16049</f>
        <v>50</v>
      </c>
      <c r="G16050" s="6" t="n">
        <f aca="false">Sens!F16050+Sens!G16046-Sens!G16047-Sens!G16048+Sens!G16049</f>
        <v>50</v>
      </c>
      <c r="H16050" s="6" t="n">
        <f aca="false">Sens!G16050+Sens!H16046-Sens!H16047-Sens!H16048+Sens!H16049</f>
        <v>86.5897575653697</v>
      </c>
      <c r="I16050" s="6" t="n">
        <f aca="false">Sens!H16050+Sens!I16046-Sens!I16047-Sens!I16048+Sens!I16049</f>
        <v>192.597829006925</v>
      </c>
      <c r="J16050" s="6" t="n">
        <f aca="false">Sens!I16050+Sens!J16046-Sens!J16047-Sens!J16048+Sens!J16049</f>
        <v>367.927490189981</v>
      </c>
      <c r="K16050" s="6" t="n">
        <f aca="false">Sens!J16050+Sens!K16046-Sens!K16047-Sens!K16048+Sens!K16049</f>
        <v>574.982053218955</v>
      </c>
    </row>
    <row r="16051" customFormat="false" ht="15" hidden="false" customHeight="false" outlineLevel="0" collapsed="false">
      <c r="A16051" s="1" t="s">
        <v>973</v>
      </c>
      <c r="B16051" s="0" t="s">
        <v>98</v>
      </c>
      <c r="E16051" s="6" t="n">
        <f aca="false">debt_face</f>
        <v>46.136</v>
      </c>
      <c r="F16051" s="6" t="n">
        <f aca="false">Sens!E16051-Sens!F16047+Sens!F16049</f>
        <v>42.8506868804549</v>
      </c>
      <c r="G16051" s="6" t="n">
        <f aca="false">Sens!F16051-Sens!G16047+Sens!G16049</f>
        <v>42.8506868804549</v>
      </c>
      <c r="H16051" s="6" t="n">
        <f aca="false">Sens!G16051-Sens!H16047+Sens!H16049</f>
        <v>40.8496868804549</v>
      </c>
      <c r="I16051" s="6" t="n">
        <f aca="false">Sens!H16051-Sens!I16047+Sens!I16049</f>
        <v>40.8496868804549</v>
      </c>
      <c r="J16051" s="6" t="n">
        <f aca="false">Sens!I16051-Sens!J16047+Sens!J16049</f>
        <v>40.3496868804549</v>
      </c>
      <c r="K16051" s="6" t="n">
        <f aca="false">Sens!J16051-Sens!K16047+Sens!K16049</f>
        <v>40.3496868804549</v>
      </c>
    </row>
    <row r="16052" customFormat="false" ht="15" hidden="false" customHeight="false" outlineLevel="0" collapsed="false">
      <c r="A16052" s="1" t="s">
        <v>974</v>
      </c>
      <c r="B16052" s="0" t="s">
        <v>98</v>
      </c>
      <c r="E16052" s="6" t="n">
        <f aca="false">Sens!E16050-Sens!E16051</f>
        <v>30.707</v>
      </c>
      <c r="F16052" s="6" t="n">
        <f aca="false">Sens!F16050-Sens!F16051</f>
        <v>7.14931311954508</v>
      </c>
      <c r="G16052" s="6" t="n">
        <f aca="false">Sens!G16050-Sens!G16051</f>
        <v>7.14931311954508</v>
      </c>
      <c r="H16052" s="6" t="n">
        <f aca="false">Sens!H16050-Sens!H16051</f>
        <v>45.7400706849148</v>
      </c>
      <c r="I16052" s="6" t="n">
        <f aca="false">Sens!I16050-Sens!I16051</f>
        <v>151.74814212647</v>
      </c>
      <c r="J16052" s="6" t="n">
        <f aca="false">Sens!J16050-Sens!J16051</f>
        <v>327.577803309526</v>
      </c>
      <c r="K16052" s="6" t="n">
        <f aca="false">Sens!K16050-Sens!K16051</f>
        <v>534.6323663385</v>
      </c>
    </row>
    <row r="16053" customFormat="false" ht="15" hidden="false" customHeight="false" outlineLevel="0" collapsed="false">
      <c r="A16053" s="1" t="s">
        <v>975</v>
      </c>
      <c r="B16053" s="0" t="s">
        <v>75</v>
      </c>
      <c r="F16053" s="29" t="n">
        <f aca="false">px*(1+bb_g)^(Sens!F15915-base_fy-mid_yr)</f>
        <v>553.494156066711</v>
      </c>
      <c r="G16053" s="29" t="n">
        <f aca="false">px*(1+bb_g)^(Sens!G15915-base_fy-mid_yr)</f>
        <v>597.773688552047</v>
      </c>
      <c r="H16053" s="29" t="n">
        <f aca="false">px*(1+bb_g)^(Sens!H15915-base_fy-mid_yr)</f>
        <v>645.595583636211</v>
      </c>
      <c r="I16053" s="29" t="n">
        <f aca="false">px*(1+bb_g)^(Sens!I15915-base_fy-mid_yr)</f>
        <v>697.243230327108</v>
      </c>
      <c r="J16053" s="29" t="n">
        <f aca="false">px*(1+bb_g)^(Sens!J15915-base_fy-mid_yr)</f>
        <v>753.022688753277</v>
      </c>
      <c r="K16053" s="29" t="n">
        <f aca="false">px*(1+bb_g)^(Sens!K15915-base_fy-mid_yr)</f>
        <v>813.264503853539</v>
      </c>
    </row>
    <row r="16054" customFormat="false" ht="15" hidden="false" customHeight="false" outlineLevel="0" collapsed="false">
      <c r="A16054" s="1" t="s">
        <v>976</v>
      </c>
      <c r="B16054" s="1" t="s">
        <v>81</v>
      </c>
      <c r="E16054" s="14" t="n">
        <f aca="false">sh_out26</f>
        <v>7.427</v>
      </c>
      <c r="F16054" s="14" t="n">
        <f aca="false">Sens!E16054+sh_iss-Sens!F16048/Sens!F16053</f>
        <v>7.472</v>
      </c>
      <c r="G16054" s="14" t="n">
        <f aca="false">Sens!F16054+sh_iss-Sens!G16048/Sens!G16053</f>
        <v>7.49616685252947</v>
      </c>
      <c r="H16054" s="14" t="n">
        <f aca="false">Sens!G16054+sh_iss-Sens!H16048/Sens!H16053</f>
        <v>7.50667002422937</v>
      </c>
      <c r="I16054" s="14" t="n">
        <f aca="false">Sens!H16054+sh_iss-Sens!I16048/Sens!I16053</f>
        <v>7.5197285165441</v>
      </c>
      <c r="J16054" s="14" t="n">
        <f aca="false">Sens!I16054+sh_iss-Sens!J16048/Sens!J16053</f>
        <v>7.53515304646514</v>
      </c>
      <c r="K16054" s="14" t="n">
        <f aca="false">Sens!J16054+sh_iss-Sens!K16048/Sens!K16053</f>
        <v>7.55276835194758</v>
      </c>
    </row>
    <row r="16055" customFormat="false" ht="15" hidden="false" customHeight="false" outlineLevel="0" collapsed="false">
      <c r="A16055" s="1" t="s">
        <v>977</v>
      </c>
      <c r="B16055" s="1" t="s">
        <v>81</v>
      </c>
      <c r="E16055" s="14" t="n">
        <f aca="false">sh_dil26</f>
        <v>7.453</v>
      </c>
      <c r="F16055" s="14" t="n">
        <f aca="false">(Sens!E16054+Sens!F16054)/2+dil_gap</f>
        <v>7.4735</v>
      </c>
      <c r="G16055" s="14" t="n">
        <f aca="false">(Sens!F16054+Sens!G16054)/2+dil_gap</f>
        <v>7.50808342626474</v>
      </c>
      <c r="H16055" s="14" t="n">
        <f aca="false">(Sens!G16054+Sens!H16054)/2+dil_gap</f>
        <v>7.52541843837942</v>
      </c>
      <c r="I16055" s="14" t="n">
        <f aca="false">(Sens!H16054+Sens!I16054)/2+dil_gap</f>
        <v>7.53719927038673</v>
      </c>
      <c r="J16055" s="14" t="n">
        <f aca="false">(Sens!I16054+Sens!J16054)/2+dil_gap</f>
        <v>7.55144078150462</v>
      </c>
      <c r="K16055" s="14" t="n">
        <f aca="false">(Sens!J16054+Sens!K16054)/2+dil_gap</f>
        <v>7.56796069920636</v>
      </c>
    </row>
    <row r="16056" customFormat="false" ht="17.15" hidden="false" customHeight="false" outlineLevel="0" collapsed="false">
      <c r="A16056" s="1" t="s">
        <v>978</v>
      </c>
      <c r="B16056" s="0" t="s">
        <v>98</v>
      </c>
      <c r="C16056" s="6" t="n">
        <f aca="false">SUM(Sens!F16046:J16046)</f>
        <v>376.137310717133</v>
      </c>
    </row>
    <row r="16057" customFormat="false" ht="15" hidden="false" customHeight="false" outlineLevel="0" collapsed="false">
      <c r="A16057" s="23" t="s">
        <v>945</v>
      </c>
      <c r="B16057" s="30" t="s">
        <v>98</v>
      </c>
      <c r="C16057" s="24" t="n">
        <f aca="false">Sens!$C$16056-(Sens!F16046+Sens!G16046+Sens!H16046+Sens!I16046+Sens!J16046)</f>
        <v>0</v>
      </c>
      <c r="D16057" s="30"/>
      <c r="E16057" s="30"/>
      <c r="F16057" s="30"/>
      <c r="G16057" s="30"/>
      <c r="H16057" s="30"/>
      <c r="I16057" s="30"/>
      <c r="J16057" s="30"/>
      <c r="K16057" s="30"/>
    </row>
    <row r="16058" customFormat="false" ht="17.15" hidden="false" customHeight="false" outlineLevel="0" collapsed="false">
      <c r="A16058" s="1" t="s">
        <v>939</v>
      </c>
      <c r="B16058" s="1" t="s">
        <v>979</v>
      </c>
      <c r="C16058" s="32" t="str">
        <f aca="false">IF(SUM(Sens!F16049:J16049)&gt;0.05,"需要舉債 "&amp;TEXT(SUM(Sens!F16049:J16049),"0.0")&amp;" 十億美元","不需舉債")&amp;"；"&amp;IF(SUM(Sens!F16048:J16048)&lt;COUNT(Sens!F16048:J16048)*bb_target-0.05,"回購較每年 "&amp;TEXT(bb_target,"0.0")&amp;" 的目標少 "&amp;TEXT(COUNT(Sens!F16048:J16048)*bb_target-SUM(Sens!F16048:J16048),"0.0")&amp;" 十億美元（"&amp;TEXT(COUNTIF(Sens!F16048:J16048,"&lt;"&amp;(bb_target-0.05)),"0")&amp;" 年減少）","回購不減")</f>
        <v>需要舉債 6.0 十億美元；回購較每年 22.3 的目標少 32.1 十億美元（2 年減少）</v>
      </c>
    </row>
    <row r="16059" customFormat="false" ht="17.15" hidden="false" customHeight="false" outlineLevel="0" collapsed="false">
      <c r="A16059" s="3" t="s">
        <v>1670</v>
      </c>
    </row>
    <row r="16060" customFormat="false" ht="15" hidden="false" customHeight="false" outlineLevel="0" collapsed="false">
      <c r="A16060" s="4" t="s">
        <v>43</v>
      </c>
      <c r="B16060" s="4" t="s">
        <v>65</v>
      </c>
      <c r="C16060" s="20" t="s">
        <v>799</v>
      </c>
      <c r="D16060" s="20" t="s">
        <v>800</v>
      </c>
      <c r="E16060" s="20" t="s">
        <v>801</v>
      </c>
      <c r="F16060" s="20" t="s">
        <v>802</v>
      </c>
      <c r="G16060" s="20" t="s">
        <v>803</v>
      </c>
      <c r="H16060" s="20" t="s">
        <v>804</v>
      </c>
      <c r="I16060" s="20" t="s">
        <v>805</v>
      </c>
      <c r="J16060" s="20" t="s">
        <v>806</v>
      </c>
      <c r="K16060" s="20" t="s">
        <v>807</v>
      </c>
      <c r="L16060" s="4" t="s">
        <v>47</v>
      </c>
    </row>
    <row r="16061" customFormat="false" ht="15" hidden="false" customHeight="false" outlineLevel="0" collapsed="false">
      <c r="A16061" s="1" t="s">
        <v>1057</v>
      </c>
      <c r="B16061" s="1" t="s">
        <v>235</v>
      </c>
      <c r="F16061" s="36" t="n">
        <f aca="false">Sens!F15915-base_fy-mid_yr</f>
        <v>0.5</v>
      </c>
      <c r="G16061" s="36" t="n">
        <f aca="false">Sens!G15915-base_fy-mid_yr</f>
        <v>1.5</v>
      </c>
      <c r="H16061" s="36" t="n">
        <f aca="false">Sens!H15915-base_fy-mid_yr</f>
        <v>2.5</v>
      </c>
      <c r="I16061" s="36" t="n">
        <f aca="false">Sens!I15915-base_fy-mid_yr</f>
        <v>3.5</v>
      </c>
      <c r="J16061" s="36" t="n">
        <f aca="false">Sens!J15915-base_fy-mid_yr</f>
        <v>4.5</v>
      </c>
      <c r="K16061" s="36" t="n">
        <f aca="false">Sens!K15915-base_fy-mid_yr</f>
        <v>5.5</v>
      </c>
    </row>
    <row r="16062" customFormat="false" ht="15" hidden="false" customHeight="false" outlineLevel="0" collapsed="false">
      <c r="A16062" s="1" t="s">
        <v>1058</v>
      </c>
      <c r="B16062" s="0" t="s">
        <v>185</v>
      </c>
      <c r="F16062" s="14" t="n">
        <f aca="false">1/(1+wacc)^Sens!F16061</f>
        <v>0.952193373608246</v>
      </c>
      <c r="G16062" s="14" t="n">
        <f aca="false">1/(1+wacc)^Sens!G16061</f>
        <v>0.863327280626589</v>
      </c>
      <c r="H16062" s="14" t="n">
        <f aca="false">1/(1+wacc)^Sens!H16061</f>
        <v>0.782754862754115</v>
      </c>
      <c r="I16062" s="14" t="n">
        <f aca="false">1/(1+wacc)^Sens!I16061</f>
        <v>0.709702089711011</v>
      </c>
      <c r="J16062" s="14" t="n">
        <f aca="false">1/(1+wacc)^Sens!J16061</f>
        <v>0.643467169744551</v>
      </c>
      <c r="K16062" s="14" t="n">
        <f aca="false">1/(1+wacc)^Sens!K16061</f>
        <v>0.583413807767797</v>
      </c>
    </row>
    <row r="16063" customFormat="false" ht="17.15" hidden="false" customHeight="false" outlineLevel="0" collapsed="false">
      <c r="A16063" s="1" t="s">
        <v>1059</v>
      </c>
      <c r="B16063" s="0" t="s">
        <v>98</v>
      </c>
      <c r="F16063" s="6" t="n">
        <f aca="false">Sens!F16036-Sens!F16034-Sens!F16040+Sens!F16019*(1-tax_f)</f>
        <v>0.790441552258611</v>
      </c>
      <c r="G16063" s="6" t="n">
        <f aca="false">Sens!G16036-Sens!G16034-Sens!G16040+Sens!G16019*(1-tax_f)</f>
        <v>46.7193247235875</v>
      </c>
      <c r="H16063" s="6" t="n">
        <f aca="false">Sens!H16036-Sens!H16034-Sens!H16040+Sens!H16019*(1-tax_f)</f>
        <v>105.363494273304</v>
      </c>
      <c r="I16063" s="6" t="n">
        <f aca="false">Sens!I16036-Sens!I16034-Sens!I16040+Sens!I16019*(1-tax_f)</f>
        <v>183.454027648334</v>
      </c>
      <c r="J16063" s="6" t="n">
        <f aca="false">Sens!J16036-Sens!J16034-Sens!J16040+Sens!J16019*(1-tax_f)</f>
        <v>261.719810504739</v>
      </c>
      <c r="K16063" s="6" t="n">
        <f aca="false">Sens!K16036-Sens!K16034-Sens!K16040+Sens!K16019*(1-tax_f)</f>
        <v>298.563095921827</v>
      </c>
      <c r="L16063" s="1" t="s">
        <v>1060</v>
      </c>
    </row>
    <row r="16064" customFormat="false" ht="15" hidden="false" customHeight="false" outlineLevel="0" collapsed="false">
      <c r="A16064" s="1" t="s">
        <v>1061</v>
      </c>
      <c r="B16064" s="0" t="s">
        <v>98</v>
      </c>
      <c r="F16064" s="6" t="n">
        <f aca="false">Sens!F16063*Sens!F16062</f>
        <v>0.752653208285265</v>
      </c>
      <c r="G16064" s="6" t="n">
        <f aca="false">Sens!G16063*Sens!G16062</f>
        <v>40.3340675663254</v>
      </c>
      <c r="H16064" s="6" t="n">
        <f aca="false">Sens!H16063*Sens!H16062</f>
        <v>82.4737874991939</v>
      </c>
      <c r="I16064" s="6" t="n">
        <f aca="false">Sens!I16063*Sens!I16062</f>
        <v>130.197706787924</v>
      </c>
      <c r="J16064" s="6" t="n">
        <f aca="false">Sens!J16063*Sens!J16062</f>
        <v>168.408105731565</v>
      </c>
      <c r="K16064" s="6" t="n">
        <f aca="false">Sens!K16063*Sens!K16062</f>
        <v>174.185832650695</v>
      </c>
    </row>
    <row r="16065" customFormat="false" ht="17.15" hidden="false" customHeight="false" outlineLevel="0" collapsed="false">
      <c r="A16065" s="1" t="s">
        <v>1062</v>
      </c>
      <c r="B16065" s="0" t="s">
        <v>98</v>
      </c>
      <c r="C16065" s="6" t="n">
        <f aca="false">SUM(Sens!F16064:K16064)</f>
        <v>596.352153443988</v>
      </c>
    </row>
    <row r="16066" customFormat="false" ht="17.15" hidden="false" customHeight="false" outlineLevel="0" collapsed="false">
      <c r="A16066" s="1" t="s">
        <v>1063</v>
      </c>
      <c r="B16066" s="0" t="s">
        <v>98</v>
      </c>
      <c r="C16066" s="6" t="n">
        <f aca="false">Sens!K16005*(1+g_tv)*(1-tax_f)</f>
        <v>315.712239345664</v>
      </c>
    </row>
    <row r="16067" customFormat="false" ht="17.15" hidden="false" customHeight="false" outlineLevel="0" collapsed="false">
      <c r="A16067" s="1" t="s">
        <v>1064</v>
      </c>
      <c r="B16067" s="0" t="s">
        <v>98</v>
      </c>
      <c r="C16067" s="6" t="n">
        <f aca="false">Sens!$C$16066*(1-g_tv/(wacc+ronic_prem))</f>
        <v>223.698633286349</v>
      </c>
    </row>
    <row r="16068" customFormat="false" ht="17.15" hidden="false" customHeight="false" outlineLevel="0" collapsed="false">
      <c r="A16068" s="1" t="s">
        <v>1065</v>
      </c>
      <c r="B16068" s="0" t="s">
        <v>98</v>
      </c>
      <c r="C16068" s="6" t="n">
        <f aca="false">Sens!$C$16067/(wacc-g_tv)</f>
        <v>3067.12020197717</v>
      </c>
    </row>
    <row r="16069" customFormat="false" ht="15" hidden="false" customHeight="false" outlineLevel="0" collapsed="false">
      <c r="A16069" s="1" t="s">
        <v>1066</v>
      </c>
      <c r="B16069" s="0" t="s">
        <v>98</v>
      </c>
      <c r="C16069" s="6" t="n">
        <f aca="false">Sens!$C$16068/(1+wacc)^(Sens!K16061+mid_yr)</f>
        <v>1703.85508546097</v>
      </c>
    </row>
    <row r="16070" customFormat="false" ht="17.15" hidden="false" customHeight="false" outlineLevel="0" collapsed="false">
      <c r="A16070" s="0" t="s">
        <v>986</v>
      </c>
      <c r="B16070" s="0" t="s">
        <v>98</v>
      </c>
      <c r="C16070" s="6" t="n">
        <f aca="false">Sens!$C$16065+Sens!$C$16069</f>
        <v>2300.20723890496</v>
      </c>
    </row>
    <row r="16071" customFormat="false" ht="15" hidden="false" customHeight="false" outlineLevel="0" collapsed="false">
      <c r="A16071" s="1" t="s">
        <v>987</v>
      </c>
      <c r="B16071" s="0" t="s">
        <v>129</v>
      </c>
      <c r="C16071" s="7" t="n">
        <f aca="false">Sens!$C$16069/Sens!$C$16070</f>
        <v>0.740739815370771</v>
      </c>
    </row>
    <row r="16072" customFormat="false" ht="17.15" hidden="false" customHeight="false" outlineLevel="0" collapsed="false">
      <c r="A16072" s="1" t="s">
        <v>1067</v>
      </c>
      <c r="B16072" s="0" t="s">
        <v>98</v>
      </c>
      <c r="C16072" s="6" t="n">
        <f aca="false">Sens!$C$16070+Sens!E16052-Sens!E16041+oai_v</f>
        <v>2434.72023890496</v>
      </c>
    </row>
    <row r="16073" customFormat="false" ht="17.15" hidden="false" customHeight="false" outlineLevel="0" collapsed="false">
      <c r="A16073" s="0" t="s">
        <v>994</v>
      </c>
      <c r="B16073" s="0" t="s">
        <v>75</v>
      </c>
      <c r="C16073" s="5" t="n">
        <f aca="false">Sens!$C$16072/sh_dil26</f>
        <v>326.676538159796</v>
      </c>
    </row>
    <row r="16074" customFormat="false" ht="15" hidden="false" customHeight="false" outlineLevel="0" collapsed="false">
      <c r="A16074" s="1" t="s">
        <v>1068</v>
      </c>
      <c r="B16074" s="0" t="s">
        <v>75</v>
      </c>
      <c r="C16074" s="8" t="n">
        <f aca="false">dps_27+Sens!G16044*roll_div_q/q_per_yr</f>
        <v>4.8895</v>
      </c>
    </row>
    <row r="16075" customFormat="false" ht="17.15" hidden="false" customHeight="false" outlineLevel="0" collapsed="false">
      <c r="A16075" s="0" t="s">
        <v>1069</v>
      </c>
      <c r="B16075" s="0" t="s">
        <v>75</v>
      </c>
      <c r="C16075" s="5" t="n">
        <f aca="false">Sens!$C$16073*(1+wacc)^t_roll-Sens!$C$16074</f>
        <v>367.10798157724</v>
      </c>
    </row>
    <row r="16076" customFormat="false" ht="17.15" hidden="false" customHeight="false" outlineLevel="0" collapsed="false">
      <c r="A16076" s="1" t="s">
        <v>1070</v>
      </c>
      <c r="B16076" s="0" t="s">
        <v>129</v>
      </c>
      <c r="F16076" s="7" t="n">
        <f aca="false">Sens!F16031/(Sens!F15976-Sens!F15932)</f>
        <v>0.0681773598226415</v>
      </c>
      <c r="G16076" s="7" t="n">
        <f aca="false">Sens!G16031/(Sens!G15976-Sens!G15932)</f>
        <v>0.0650385409375172</v>
      </c>
      <c r="H16076" s="7" t="n">
        <f aca="false">Sens!H16031/(Sens!H15976-Sens!H15932)</f>
        <v>0.063382542471986</v>
      </c>
      <c r="I16076" s="7" t="n">
        <f aca="false">Sens!I16031/(Sens!I15976-Sens!I15932)</f>
        <v>0.0630998138876076</v>
      </c>
      <c r="J16076" s="7" t="n">
        <f aca="false">Sens!J16031/(Sens!J15976-Sens!J15932)</f>
        <v>0.0638399980286975</v>
      </c>
      <c r="K16076" s="7" t="n">
        <f aca="false">Sens!K16031/(Sens!K15976-Sens!K15932)</f>
        <v>0.0651531082402687</v>
      </c>
    </row>
    <row r="16077" customFormat="false" ht="17.15" hidden="false" customHeight="false" outlineLevel="0" collapsed="false">
      <c r="A16077" s="0" t="s">
        <v>1071</v>
      </c>
      <c r="B16077" s="0" t="s">
        <v>98</v>
      </c>
      <c r="F16077" s="6" t="n">
        <f aca="false">Sens!F15961*(al_m365+Sens!F16076+sbc_r)</f>
        <v>84.944046606333</v>
      </c>
      <c r="G16077" s="6" t="n">
        <f aca="false">Sens!G15961*(al_m365+Sens!G16076+sbc_r)</f>
        <v>99.4236143320739</v>
      </c>
      <c r="H16077" s="6" t="n">
        <f aca="false">Sens!H15961*(al_m365+Sens!H16076+sbc_r)</f>
        <v>114.068697186163</v>
      </c>
      <c r="I16077" s="6" t="n">
        <f aca="false">Sens!I15961*(al_m365+Sens!I16076+sbc_r)</f>
        <v>127.196415789369</v>
      </c>
      <c r="J16077" s="6" t="n">
        <f aca="false">Sens!J15961*(al_m365+Sens!J16076+sbc_r)</f>
        <v>138.619575691419</v>
      </c>
      <c r="K16077" s="6" t="n">
        <f aca="false">Sens!K15961*(al_m365+Sens!K16076+sbc_r)</f>
        <v>149.659768267063</v>
      </c>
      <c r="L16077" s="11" t="s">
        <v>1072</v>
      </c>
    </row>
    <row r="16078" customFormat="false" ht="17.15" hidden="false" customHeight="false" outlineLevel="0" collapsed="false">
      <c r="A16078" s="0" t="s">
        <v>1073</v>
      </c>
      <c r="B16078" s="0" t="s">
        <v>98</v>
      </c>
      <c r="F16078" s="6" t="n">
        <f aca="false">Sens!F15962*(al_lic+Sens!F16076+sbc_r)</f>
        <v>33.4285095904825</v>
      </c>
      <c r="G16078" s="6" t="n">
        <f aca="false">Sens!G15962*(al_lic+Sens!G16076+sbc_r)</f>
        <v>34.7161826947861</v>
      </c>
      <c r="H16078" s="6" t="n">
        <f aca="false">Sens!H15962*(al_lic+Sens!H16076+sbc_r)</f>
        <v>35.9223654002493</v>
      </c>
      <c r="I16078" s="6" t="n">
        <f aca="false">Sens!I15962*(al_lic+Sens!I16076+sbc_r)</f>
        <v>37.0298325864501</v>
      </c>
      <c r="J16078" s="6" t="n">
        <f aca="false">Sens!J15962*(al_lic+Sens!J16076+sbc_r)</f>
        <v>38.0103325842314</v>
      </c>
      <c r="K16078" s="6" t="n">
        <f aca="false">Sens!K15962*(al_lic+Sens!K16076+sbc_r)</f>
        <v>38.8303473189322</v>
      </c>
    </row>
    <row r="16079" customFormat="false" ht="17.15" hidden="false" customHeight="false" outlineLevel="0" collapsed="false">
      <c r="A16079" s="0" t="s">
        <v>1074</v>
      </c>
      <c r="B16079" s="0" t="s">
        <v>98</v>
      </c>
      <c r="F16079" s="6" t="n">
        <f aca="false">Sens!F15964*(al_ind+Sens!F16076+sbc_r)</f>
        <v>9.06719306746208</v>
      </c>
      <c r="G16079" s="6" t="n">
        <f aca="false">Sens!G15964*(al_ind+Sens!G16076+sbc_r)</f>
        <v>9.83485541633448</v>
      </c>
      <c r="H16079" s="6" t="n">
        <f aca="false">Sens!H15964*(al_ind+Sens!H16076+sbc_r)</f>
        <v>10.6498544617516</v>
      </c>
      <c r="I16079" s="6" t="n">
        <f aca="false">Sens!I15964*(al_ind+Sens!I16076+sbc_r)</f>
        <v>11.5103515303299</v>
      </c>
      <c r="J16079" s="6" t="n">
        <f aca="false">Sens!J15964*(al_ind+Sens!J16076+sbc_r)</f>
        <v>12.4055032067278</v>
      </c>
      <c r="K16079" s="6" t="n">
        <f aca="false">Sens!K15964*(al_ind+Sens!K16076+sbc_r)</f>
        <v>13.3173308472897</v>
      </c>
    </row>
    <row r="16080" customFormat="false" ht="17.15" hidden="false" customHeight="false" outlineLevel="0" collapsed="false">
      <c r="A16080" s="0" t="s">
        <v>1075</v>
      </c>
      <c r="B16080" s="0" t="s">
        <v>98</v>
      </c>
      <c r="F16080" s="6" t="n">
        <f aca="false">Sens!F15966*(al_fro+Sens!F16076+sbc_r)</f>
        <v>3.56887902446295</v>
      </c>
      <c r="G16080" s="6" t="n">
        <f aca="false">Sens!G15966*(al_fro+Sens!G16076+sbc_r)</f>
        <v>3.77600302676241</v>
      </c>
      <c r="H16080" s="6" t="n">
        <f aca="false">Sens!H15966*(al_fro+Sens!H16076+sbc_r)</f>
        <v>4.01322967965482</v>
      </c>
      <c r="I16080" s="6" t="n">
        <f aca="false">Sens!I15966*(al_fro+Sens!I16076+sbc_r)</f>
        <v>4.28368437397841</v>
      </c>
      <c r="J16080" s="6" t="n">
        <f aca="false">Sens!J15966*(al_fro+Sens!J16076+sbc_r)</f>
        <v>4.58803182845156</v>
      </c>
      <c r="K16080" s="6" t="n">
        <f aca="false">Sens!K15966*(al_fro+Sens!K16076+sbc_r)</f>
        <v>4.92526073140255</v>
      </c>
    </row>
    <row r="16081" customFormat="false" ht="17.15" hidden="false" customHeight="false" outlineLevel="0" collapsed="false">
      <c r="A16081" s="0" t="s">
        <v>1076</v>
      </c>
      <c r="B16081" s="0" t="s">
        <v>98</v>
      </c>
      <c r="F16081" s="6" t="n">
        <f aca="false">Sens!F15969*(al_srch+Sens!F16076+sbc_r)</f>
        <v>11.1981144415922</v>
      </c>
      <c r="G16081" s="6" t="n">
        <f aca="false">Sens!G15969*(al_srch+Sens!G16076+sbc_r)</f>
        <v>12.2607925441521</v>
      </c>
      <c r="H16081" s="6" t="n">
        <f aca="false">Sens!H15969*(al_srch+Sens!H16076+sbc_r)</f>
        <v>13.3712787172501</v>
      </c>
      <c r="I16081" s="6" t="n">
        <f aca="false">Sens!I15969*(al_srch+Sens!I16076+sbc_r)</f>
        <v>14.5205713773955</v>
      </c>
      <c r="J16081" s="6" t="n">
        <f aca="false">Sens!J15969*(al_srch+Sens!J16076+sbc_r)</f>
        <v>15.6873363367184</v>
      </c>
      <c r="K16081" s="6" t="n">
        <f aca="false">Sens!K15969*(al_srch+Sens!K16076+sbc_r)</f>
        <v>16.8403848378749</v>
      </c>
    </row>
    <row r="16082" customFormat="false" ht="17.15" hidden="false" customHeight="false" outlineLevel="0" collapsed="false">
      <c r="A16082" s="0" t="s">
        <v>1077</v>
      </c>
      <c r="B16082" s="0" t="s">
        <v>98</v>
      </c>
      <c r="F16082" s="6" t="n">
        <f aca="false">Sens!F15938-Sens!F15939+Sens!F16019</f>
        <v>45.0374073018652</v>
      </c>
      <c r="G16082" s="6" t="n">
        <f aca="false">Sens!G15938-Sens!G15939+Sens!G16019</f>
        <v>89.051993487491</v>
      </c>
      <c r="H16082" s="6" t="n">
        <f aca="false">Sens!H15938-Sens!H15939+Sens!H16019</f>
        <v>140.728332825594</v>
      </c>
      <c r="I16082" s="6" t="n">
        <f aca="false">Sens!I15938-Sens!I15939+Sens!I16019</f>
        <v>182.158665153016</v>
      </c>
      <c r="J16082" s="6" t="n">
        <f aca="false">Sens!J15938-Sens!J15939+Sens!J16019</f>
        <v>211.722320149272</v>
      </c>
      <c r="K16082" s="6" t="n">
        <f aca="false">Sens!K15938-Sens!K15939+Sens!K16019</f>
        <v>230.495012322217</v>
      </c>
    </row>
    <row r="16083" customFormat="false" ht="17.15" hidden="false" customHeight="false" outlineLevel="0" collapsed="false">
      <c r="A16083" s="0" t="s">
        <v>1078</v>
      </c>
      <c r="B16083" s="0" t="s">
        <v>98</v>
      </c>
      <c r="F16083" s="6" t="n">
        <f aca="false">Sens!F15998+Sens!F16019+Sens!F15949+Sens!F16076*(Sens!F15968-Sens!F15932)+sbc_r*Sens!F15968</f>
        <v>237.132411684557</v>
      </c>
      <c r="G16083" s="6" t="n">
        <f aca="false">Sens!G15998+Sens!G16019+Sens!G15949+Sens!G16076*(Sens!G15968-Sens!G15932)+sbc_r*Sens!G15968</f>
        <v>310.424551098796</v>
      </c>
      <c r="H16083" s="6" t="n">
        <f aca="false">Sens!H15998+Sens!H16019+Sens!H15949+Sens!H16076*(Sens!H15968-Sens!H15932)+sbc_r*Sens!H15968</f>
        <v>392.084539512418</v>
      </c>
      <c r="I16083" s="6" t="n">
        <f aca="false">Sens!I15998+Sens!I16019+Sens!I15949+Sens!I16076*(Sens!I15968-Sens!I15932)+sbc_r*Sens!I15968</f>
        <v>461.428492140468</v>
      </c>
      <c r="J16083" s="6" t="n">
        <f aca="false">Sens!J15998+Sens!J16019+Sens!J15949+Sens!J16076*(Sens!J15968-Sens!J15932)+sbc_r*Sens!J15968</f>
        <v>515.954217362639</v>
      </c>
      <c r="K16083" s="6" t="n">
        <f aca="false">Sens!K15998+Sens!K16019+Sens!K15949+Sens!K16076*(Sens!K15968-Sens!K15932)+sbc_r*Sens!K15968</f>
        <v>557.294239303285</v>
      </c>
    </row>
    <row r="16084" customFormat="false" ht="17.15" hidden="false" customHeight="false" outlineLevel="0" collapsed="false">
      <c r="A16084" s="0" t="s">
        <v>1079</v>
      </c>
      <c r="B16084" s="0" t="s">
        <v>98</v>
      </c>
      <c r="F16084" s="6" t="n">
        <f aca="false">Sens!F16083-Sens!F16077-Sens!F16078-Sens!F16079-Sens!F16080-Sens!F16082</f>
        <v>61.0863760939514</v>
      </c>
      <c r="G16084" s="6" t="n">
        <f aca="false">Sens!G16083-Sens!G16077-Sens!G16078-Sens!G16079-Sens!G16080-Sens!G16082</f>
        <v>73.6219021413484</v>
      </c>
      <c r="H16084" s="6" t="n">
        <f aca="false">Sens!H16083-Sens!H16077-Sens!H16078-Sens!H16079-Sens!H16080-Sens!H16082</f>
        <v>86.7020599590046</v>
      </c>
      <c r="I16084" s="6" t="n">
        <f aca="false">Sens!I16083-Sens!I16077-Sens!I16078-Sens!I16079-Sens!I16080-Sens!I16082</f>
        <v>99.2495427073239</v>
      </c>
      <c r="J16084" s="6" t="n">
        <f aca="false">Sens!J16083-Sens!J16077-Sens!J16078-Sens!J16079-Sens!J16080-Sens!J16082</f>
        <v>110.608453902538</v>
      </c>
      <c r="K16084" s="6" t="n">
        <f aca="false">Sens!K16083-Sens!K16077-Sens!K16078-Sens!K16079-Sens!K16080-Sens!K16082</f>
        <v>120.066519816381</v>
      </c>
    </row>
    <row r="16085" customFormat="false" ht="17.15" hidden="false" customHeight="false" outlineLevel="0" collapsed="false">
      <c r="A16085" s="0" t="s">
        <v>1080</v>
      </c>
      <c r="B16085" s="0" t="s">
        <v>98</v>
      </c>
      <c r="F16085" s="6" t="n">
        <f aca="false">Sens!F16000+Sens!F16076*Sens!F15975+sbc_r*Sens!F15975</f>
        <v>26.1717931813002</v>
      </c>
      <c r="G16085" s="6" t="n">
        <f aca="false">Sens!G16000+Sens!G16076*Sens!G15975+sbc_r*Sens!G15975</f>
        <v>26.7581197754446</v>
      </c>
      <c r="H16085" s="6" t="n">
        <f aca="false">Sens!H16000+Sens!H16076*Sens!H15975+sbc_r*Sens!H15975</f>
        <v>27.6201174920951</v>
      </c>
      <c r="I16085" s="6" t="n">
        <f aca="false">Sens!I16000+Sens!I16076*Sens!I15975+sbc_r*Sens!I15975</f>
        <v>28.7296306530919</v>
      </c>
      <c r="J16085" s="6" t="n">
        <f aca="false">Sens!J16000+Sens!J16076*Sens!J15975+sbc_r*Sens!J15975</f>
        <v>30.04749983899</v>
      </c>
      <c r="K16085" s="6" t="n">
        <f aca="false">Sens!K16000+Sens!K16076*Sens!K15975+sbc_r*Sens!K15975</f>
        <v>31.5292329023825</v>
      </c>
    </row>
    <row r="16086" customFormat="false" ht="17.15" hidden="false" customHeight="false" outlineLevel="0" collapsed="false">
      <c r="A16086" s="0" t="s">
        <v>1081</v>
      </c>
      <c r="B16086" s="0" t="s">
        <v>98</v>
      </c>
      <c r="F16086" s="6" t="n">
        <f aca="false">(Sens!F16085-Sens!F16081)*Sens!F15971/(Sens!F15971+Sens!F15973)</f>
        <v>8.20842484359027</v>
      </c>
      <c r="G16086" s="6" t="n">
        <f aca="false">(Sens!G16085-Sens!G16081)*Sens!G15971/(Sens!G15971+Sens!G15973)</f>
        <v>7.80559384110416</v>
      </c>
      <c r="H16086" s="6" t="n">
        <f aca="false">(Sens!H16085-Sens!H16081)*Sens!H15971/(Sens!H15971+Sens!H15973)</f>
        <v>7.56817041839156</v>
      </c>
      <c r="I16086" s="6" t="n">
        <f aca="false">(Sens!I16085-Sens!I16081)*Sens!I15971/(Sens!I15971+Sens!I15973)</f>
        <v>7.47875608696462</v>
      </c>
      <c r="J16086" s="6" t="n">
        <f aca="false">(Sens!J16085-Sens!J16081)*Sens!J15971/(Sens!J15971+Sens!J15973)</f>
        <v>7.52410955955578</v>
      </c>
      <c r="K16086" s="6" t="n">
        <f aca="false">(Sens!K16085-Sens!K16081)*Sens!K15971/(Sens!K15971+Sens!K15973)</f>
        <v>7.6963261681206</v>
      </c>
    </row>
    <row r="16087" customFormat="false" ht="17.15" hidden="false" customHeight="false" outlineLevel="0" collapsed="false">
      <c r="A16087" s="0" t="s">
        <v>1082</v>
      </c>
      <c r="B16087" s="0" t="s">
        <v>98</v>
      </c>
      <c r="F16087" s="6" t="n">
        <f aca="false">Sens!F16085-Sens!F16081-Sens!F16086</f>
        <v>6.76525389611778</v>
      </c>
      <c r="G16087" s="6" t="n">
        <f aca="false">Sens!G16085-Sens!G16081-Sens!G16086</f>
        <v>6.69173339018827</v>
      </c>
      <c r="H16087" s="6" t="n">
        <f aca="false">Sens!H16085-Sens!H16081-Sens!H16086</f>
        <v>6.68066835645346</v>
      </c>
      <c r="I16087" s="6" t="n">
        <f aca="false">Sens!I16085-Sens!I16081-Sens!I16086</f>
        <v>6.73030318873177</v>
      </c>
      <c r="J16087" s="6" t="n">
        <f aca="false">Sens!J16085-Sens!J16081-Sens!J16086</f>
        <v>6.83605394271588</v>
      </c>
      <c r="K16087" s="6" t="n">
        <f aca="false">Sens!K16085-Sens!K16081-Sens!K16086</f>
        <v>6.99252189638696</v>
      </c>
    </row>
    <row r="16088" customFormat="false" ht="17.15" hidden="false" customHeight="false" outlineLevel="0" collapsed="false">
      <c r="A16088" s="0" t="s">
        <v>1083</v>
      </c>
      <c r="B16088" s="0" t="s">
        <v>98</v>
      </c>
      <c r="F16088" s="6" t="n">
        <f aca="false">Sens!F16082-tax_f*(Sens!F16082-Sens!F15949)-Sens!F15946</f>
        <v>-125.495119837771</v>
      </c>
      <c r="G16088" s="6" t="n">
        <f aca="false">Sens!G16082-tax_f*(Sens!G16082-Sens!G15949)-Sens!G15946</f>
        <v>-100.236239041139</v>
      </c>
      <c r="H16088" s="6" t="n">
        <f aca="false">Sens!H16082-tax_f*(Sens!H16082-Sens!H15949)-Sens!H15946</f>
        <v>-57.9541564512964</v>
      </c>
      <c r="I16088" s="6" t="n">
        <f aca="false">Sens!I16082-tax_f*(Sens!I16082-Sens!I15949)-Sens!I15946</f>
        <v>4.41267096461155</v>
      </c>
      <c r="J16088" s="6" t="n">
        <f aca="false">Sens!J16082-tax_f*(Sens!J16082-Sens!J15949)-Sens!J15946</f>
        <v>68.0673433257096</v>
      </c>
      <c r="K16088" s="6" t="n">
        <f aca="false">Sens!K16082-tax_f*(Sens!K16082-Sens!K15949)-Sens!K15946</f>
        <v>91.0861465930101</v>
      </c>
    </row>
    <row r="16089" customFormat="false" ht="17.15" hidden="false" customHeight="false" outlineLevel="0" collapsed="false">
      <c r="A16089" s="0" t="s">
        <v>1084</v>
      </c>
      <c r="B16089" s="0" t="s">
        <v>98</v>
      </c>
      <c r="G16089" s="6" t="n">
        <f aca="false">Sens!G16088/(1+wacc)^(Sens!G16061-(Sens!F16061+mid_yr))</f>
        <v>-95.444282610385</v>
      </c>
      <c r="H16089" s="6" t="n">
        <f aca="false">Sens!H16088/(1+wacc)^(Sens!H16061-(Sens!F16061+mid_yr))</f>
        <v>-50.0334042901056</v>
      </c>
      <c r="I16089" s="6" t="n">
        <f aca="false">Sens!I16088/(1+wacc)^(Sens!I16061-(Sens!F16061+mid_yr))</f>
        <v>3.45403965528358</v>
      </c>
      <c r="J16089" s="6" t="n">
        <f aca="false">Sens!J16088/(1+wacc)^(Sens!J16061-(Sens!F16061+mid_yr))</f>
        <v>48.3075357993329</v>
      </c>
      <c r="K16089" s="6" t="n">
        <f aca="false">Sens!K16088/(1+wacc)^(Sens!K16061-(Sens!F16061+mid_yr))</f>
        <v>58.6109449511415</v>
      </c>
      <c r="L16089" s="1" t="s">
        <v>1085</v>
      </c>
    </row>
    <row r="16090" customFormat="false" ht="17.15" hidden="false" customHeight="false" outlineLevel="0" collapsed="false">
      <c r="A16090" s="0" t="s">
        <v>1086</v>
      </c>
      <c r="B16090" s="0" t="s">
        <v>98</v>
      </c>
      <c r="C16090" s="6" t="n">
        <f aca="false">(Sens!K16082-Sens!K15949)*(1-tax_f)*(1+g_tv)*(1-g_tv/(wacc+ronic_prem))/(wacc-g_tv)/(1+wacc)^(Sens!K16061+mid_yr-(Sens!F16061+mid_yr))</f>
        <v>441.464352977063</v>
      </c>
    </row>
    <row r="16091" customFormat="false" ht="17.15" hidden="false" customHeight="false" outlineLevel="0" collapsed="false">
      <c r="A16091" s="1" t="s">
        <v>1087</v>
      </c>
      <c r="B16091" s="0" t="s">
        <v>98</v>
      </c>
      <c r="C16091" s="6" t="n">
        <f aca="false">(SUM(Sens!G16089:K16089)+Sens!$C$16090)*(1+wacc)^(t_roll-(Sens!F16061+mid_yr))</f>
        <v>419.548764965538</v>
      </c>
      <c r="L16091" s="11" t="s">
        <v>1088</v>
      </c>
    </row>
    <row r="16092" customFormat="false" ht="17.15" hidden="false" customHeight="false" outlineLevel="0" collapsed="false">
      <c r="A16092" s="1" t="s">
        <v>1089</v>
      </c>
      <c r="B16092" s="0" t="s">
        <v>98</v>
      </c>
      <c r="C16092" s="6" t="n">
        <f aca="false">(w_ntm28*Sens!G15938+(1-w_ntm28)*Sens!H15938)*m_ai</f>
        <v>551.711134531404</v>
      </c>
    </row>
    <row r="16093" customFormat="false" ht="17.15" hidden="false" customHeight="false" outlineLevel="0" collapsed="false">
      <c r="A16093" s="1" t="s">
        <v>1090</v>
      </c>
      <c r="B16093" s="0" t="s">
        <v>98</v>
      </c>
      <c r="C16093" s="6" t="n">
        <f aca="false">(w_ntm28*Sens!G16084+(1-w_ntm28)*Sens!H16084)*m_cloud</f>
        <v>1075.89468255979</v>
      </c>
    </row>
    <row r="16094" customFormat="false" ht="17.15" hidden="false" customHeight="false" outlineLevel="0" collapsed="false">
      <c r="A16094" s="1" t="s">
        <v>1091</v>
      </c>
      <c r="B16094" s="0" t="s">
        <v>98</v>
      </c>
      <c r="C16094" s="6" t="n">
        <f aca="false">(w_ntm28*Sens!G16077+(1-w_ntm28)*Sens!H16077)*m_sw</f>
        <v>1124.90844188024</v>
      </c>
    </row>
    <row r="16095" customFormat="false" ht="17.15" hidden="false" customHeight="false" outlineLevel="0" collapsed="false">
      <c r="A16095" s="1" t="s">
        <v>1092</v>
      </c>
      <c r="B16095" s="0" t="s">
        <v>98</v>
      </c>
      <c r="C16095" s="6" t="n">
        <f aca="false">(w_ntm28*Sens!G16078+(1-w_ntm28)*Sens!H16078)*m_sw</f>
        <v>379.14616828134</v>
      </c>
    </row>
    <row r="16096" customFormat="false" ht="17.15" hidden="false" customHeight="false" outlineLevel="0" collapsed="false">
      <c r="A16096" s="1" t="s">
        <v>1093</v>
      </c>
      <c r="B16096" s="0" t="s">
        <v>98</v>
      </c>
      <c r="C16096" s="6" t="n">
        <f aca="false">(w_ntm28*Sens!G16079+(1-w_ntm28)*Sens!H16079)*m_sw</f>
        <v>109.062013245671</v>
      </c>
    </row>
    <row r="16097" customFormat="false" ht="17.15" hidden="false" customHeight="false" outlineLevel="0" collapsed="false">
      <c r="A16097" s="1" t="s">
        <v>1094</v>
      </c>
      <c r="B16097" s="0" t="s">
        <v>98</v>
      </c>
      <c r="C16097" s="6" t="n">
        <f aca="false">(w_ntm28*Sens!G16080+(1-w_ntm28)*Sens!H16080)*m_sw</f>
        <v>41.609111172448</v>
      </c>
    </row>
    <row r="16098" customFormat="false" ht="17.15" hidden="false" customHeight="false" outlineLevel="0" collapsed="false">
      <c r="A16098" s="1" t="s">
        <v>1095</v>
      </c>
      <c r="B16098" s="0" t="s">
        <v>98</v>
      </c>
      <c r="C16098" s="6" t="n">
        <f aca="false">(w_ntm28*Sens!G16081+(1-w_ntm28)*Sens!H16081)*m_ads</f>
        <v>114.966369190532</v>
      </c>
    </row>
    <row r="16099" customFormat="false" ht="17.15" hidden="false" customHeight="false" outlineLevel="0" collapsed="false">
      <c r="A16099" s="1" t="s">
        <v>1096</v>
      </c>
      <c r="B16099" s="0" t="s">
        <v>98</v>
      </c>
      <c r="C16099" s="6" t="n">
        <f aca="false">(w_ntm28*Sens!G16086+(1-w_ntm28)*Sens!H16086)*m_game</f>
        <v>97.6152211068291</v>
      </c>
    </row>
    <row r="16100" customFormat="false" ht="17.15" hidden="false" customHeight="false" outlineLevel="0" collapsed="false">
      <c r="A16100" s="1" t="s">
        <v>1097</v>
      </c>
      <c r="B16100" s="0" t="s">
        <v>98</v>
      </c>
      <c r="C16100" s="6" t="n">
        <f aca="false">(w_ntm28*Sens!G16087+(1-w_ntm28)*Sens!H16087)*m_pc</f>
        <v>96.7776202313644</v>
      </c>
    </row>
    <row r="16101" customFormat="false" ht="17.15" hidden="false" customHeight="false" outlineLevel="0" collapsed="false">
      <c r="A16101" s="1" t="s">
        <v>1098</v>
      </c>
      <c r="B16101" s="0" t="s">
        <v>98</v>
      </c>
      <c r="C16101" s="6" t="n">
        <f aca="false">Sens!$C$16091+Sens!$C$16093+Sens!$C$16094+Sens!$C$16095+Sens!$C$16096+Sens!$C$16097+Sens!$C$16098+Sens!$C$16099+Sens!$C$16100</f>
        <v>3459.52839263375</v>
      </c>
    </row>
    <row r="16102" customFormat="false" ht="17.15" hidden="false" customHeight="false" outlineLevel="0" collapsed="false">
      <c r="A16102" s="1" t="s">
        <v>1099</v>
      </c>
      <c r="B16102" s="0" t="s">
        <v>98</v>
      </c>
      <c r="C16102" s="6" t="n">
        <f aca="false">(Sens!G16063-Sens!G16088)*t_stub</f>
        <v>47.9115399671301</v>
      </c>
      <c r="L16102" s="1" t="s">
        <v>1100</v>
      </c>
    </row>
    <row r="16103" customFormat="false" ht="17.15" hidden="false" customHeight="false" outlineLevel="0" collapsed="false">
      <c r="A16103" s="1" t="s">
        <v>1014</v>
      </c>
      <c r="B16103" s="0" t="s">
        <v>98</v>
      </c>
      <c r="C16103" s="6" t="n">
        <f aca="false">Sens!F16052+oai_v-Sens!F16041+Sens!$C$16102</f>
        <v>162.991123086675</v>
      </c>
      <c r="L16103" s="1" t="s">
        <v>1101</v>
      </c>
    </row>
    <row r="16104" customFormat="false" ht="17.15" hidden="false" customHeight="false" outlineLevel="0" collapsed="false">
      <c r="A16104" s="1" t="s">
        <v>1102</v>
      </c>
      <c r="B16104" s="0" t="s">
        <v>75</v>
      </c>
      <c r="C16104" s="5" t="n">
        <f aca="false">(Sens!$C$16101+Sens!$C$16103)/(Sens!F16054+dil_gap)-Sens!G16044*roll_div_q/q_per_yr</f>
        <v>482.220840944561</v>
      </c>
      <c r="L16104" s="1" t="s">
        <v>1103</v>
      </c>
    </row>
    <row r="16105" customFormat="false" ht="17.15" hidden="false" customHeight="false" outlineLevel="0" collapsed="false">
      <c r="A16105" s="1" t="s">
        <v>1104</v>
      </c>
      <c r="B16105" s="0" t="s">
        <v>75</v>
      </c>
      <c r="C16105" s="5" t="n">
        <f aca="false">w_dcf*Sens!$C$16075+(1-w_dcf)*Sens!$C$16104</f>
        <v>424.6644112609</v>
      </c>
    </row>
    <row r="16106" customFormat="false" ht="17.15" hidden="false" customHeight="false" outlineLevel="0" collapsed="false">
      <c r="A16106" s="3" t="s">
        <v>1671</v>
      </c>
    </row>
    <row r="16107" customFormat="false" ht="15" hidden="false" customHeight="false" outlineLevel="0" collapsed="false">
      <c r="A16107" s="4" t="s">
        <v>43</v>
      </c>
      <c r="B16107" s="4" t="s">
        <v>65</v>
      </c>
      <c r="C16107" s="20" t="s">
        <v>799</v>
      </c>
      <c r="D16107" s="20" t="s">
        <v>800</v>
      </c>
      <c r="E16107" s="20" t="s">
        <v>801</v>
      </c>
      <c r="F16107" s="20" t="s">
        <v>802</v>
      </c>
      <c r="G16107" s="20" t="s">
        <v>803</v>
      </c>
      <c r="H16107" s="20" t="s">
        <v>804</v>
      </c>
      <c r="I16107" s="20" t="s">
        <v>805</v>
      </c>
      <c r="J16107" s="20" t="s">
        <v>806</v>
      </c>
      <c r="K16107" s="20" t="s">
        <v>807</v>
      </c>
      <c r="L16107" s="4" t="s">
        <v>47</v>
      </c>
    </row>
    <row r="16108" customFormat="false" ht="17.15" hidden="false" customHeight="false" outlineLevel="0" collapsed="false">
      <c r="A16108" s="1" t="s">
        <v>808</v>
      </c>
      <c r="B16108" s="1" t="s">
        <v>235</v>
      </c>
      <c r="C16108" s="28" t="n">
        <v>2024</v>
      </c>
      <c r="D16108" s="28" t="n">
        <v>2025</v>
      </c>
      <c r="E16108" s="28" t="n">
        <v>2026</v>
      </c>
      <c r="F16108" s="28" t="n">
        <v>2027</v>
      </c>
      <c r="G16108" s="28" t="n">
        <v>2028</v>
      </c>
      <c r="H16108" s="28" t="n">
        <v>2029</v>
      </c>
      <c r="I16108" s="28" t="n">
        <v>2030</v>
      </c>
      <c r="J16108" s="28" t="n">
        <v>2031</v>
      </c>
      <c r="K16108" s="28" t="n">
        <v>2032</v>
      </c>
    </row>
    <row r="16109" customFormat="false" ht="17.15" hidden="false" customHeight="false" outlineLevel="0" collapsed="false">
      <c r="A16109" s="1" t="s">
        <v>809</v>
      </c>
      <c r="B16109" s="0" t="s">
        <v>399</v>
      </c>
      <c r="F16109" s="29" t="n">
        <f aca="false">pace</f>
        <v>2527.2</v>
      </c>
      <c r="G16109" s="29" t="n">
        <f aca="false">pace</f>
        <v>2527.2</v>
      </c>
      <c r="H16109" s="29" t="n">
        <f aca="false">pace</f>
        <v>2527.2</v>
      </c>
      <c r="I16109" s="29" t="n">
        <f aca="false">pace+(g_tv*Sens!H16110-pace)*MIN(1,(Sens!I16108-pace_y0)/(pace_y1-pace_y0))</f>
        <v>1793.116</v>
      </c>
      <c r="J16109" s="29" t="n">
        <f aca="false">pace+(g_tv*Sens!I16110-pace)*MIN(1,(Sens!J16108-pace_y0)/(pace_y1-pace_y0))</f>
        <v>1094.89432</v>
      </c>
      <c r="K16109" s="29" t="n">
        <f aca="false">pace+(g_tv*Sens!J16110-pace)*MIN(1,(Sens!K16108-pace_y0)/(pace_y1-pace_y0))</f>
        <v>411.5883096</v>
      </c>
      <c r="L16109" s="11" t="s">
        <v>810</v>
      </c>
    </row>
    <row r="16110" customFormat="false" ht="17.15" hidden="false" customHeight="false" outlineLevel="0" collapsed="false">
      <c r="A16110" s="1" t="s">
        <v>811</v>
      </c>
      <c r="B16110" s="0" t="s">
        <v>399</v>
      </c>
      <c r="C16110" s="29" t="n">
        <f aca="false">mw_ext_24</f>
        <v>640</v>
      </c>
      <c r="D16110" s="29" t="n">
        <f aca="false">mw_ext_25</f>
        <v>1630</v>
      </c>
      <c r="E16110" s="29" t="n">
        <f aca="false">mw_ext_26</f>
        <v>3250</v>
      </c>
      <c r="F16110" s="29" t="n">
        <f aca="false">Sens!E16110+Sens!F16109</f>
        <v>5777.2</v>
      </c>
      <c r="G16110" s="29" t="n">
        <f aca="false">Sens!F16110+Sens!G16109</f>
        <v>8304.4</v>
      </c>
      <c r="H16110" s="29" t="n">
        <f aca="false">Sens!G16110+Sens!H16109</f>
        <v>10831.6</v>
      </c>
      <c r="I16110" s="29" t="n">
        <f aca="false">Sens!H16110+Sens!I16109</f>
        <v>12624.716</v>
      </c>
      <c r="J16110" s="29" t="n">
        <f aca="false">Sens!I16110+Sens!J16109</f>
        <v>13719.61032</v>
      </c>
      <c r="K16110" s="29" t="n">
        <f aca="false">Sens!J16110+Sens!K16109</f>
        <v>14131.1986296</v>
      </c>
      <c r="L16110" s="1" t="s">
        <v>812</v>
      </c>
    </row>
    <row r="16111" customFormat="false" ht="17.15" hidden="false" customHeight="false" outlineLevel="0" collapsed="false">
      <c r="A16111" s="1" t="s">
        <v>813</v>
      </c>
      <c r="B16111" s="0" t="s">
        <v>399</v>
      </c>
      <c r="C16111" s="29" t="n">
        <f aca="false">rent_ext_24</f>
        <v>150</v>
      </c>
      <c r="D16111" s="29" t="n">
        <f aca="false">rent_ext_25</f>
        <v>400</v>
      </c>
      <c r="E16111" s="29" t="n">
        <f aca="false">rent_ext_26</f>
        <v>550</v>
      </c>
      <c r="F16111" s="29" t="n">
        <f aca="false">rent_ext_f</f>
        <v>756</v>
      </c>
      <c r="G16111" s="29" t="n">
        <f aca="false">rent_ext_f</f>
        <v>756</v>
      </c>
      <c r="H16111" s="29" t="n">
        <f aca="false">rent_ext_f</f>
        <v>756</v>
      </c>
      <c r="I16111" s="29" t="n">
        <f aca="false">rent_ext_f</f>
        <v>756</v>
      </c>
      <c r="J16111" s="29" t="n">
        <f aca="false">rent_ext_f</f>
        <v>756</v>
      </c>
      <c r="K16111" s="29" t="n">
        <f aca="false">rent_ext_f</f>
        <v>756</v>
      </c>
      <c r="L16111" s="1" t="s">
        <v>814</v>
      </c>
    </row>
    <row r="16112" customFormat="false" ht="17.15" hidden="false" customHeight="false" outlineLevel="0" collapsed="false">
      <c r="A16112" s="1" t="s">
        <v>815</v>
      </c>
      <c r="B16112" s="0" t="s">
        <v>399</v>
      </c>
      <c r="C16112" s="29" t="n">
        <f aca="false">Sens!C16110-Sens!C16111</f>
        <v>490</v>
      </c>
      <c r="D16112" s="29" t="n">
        <f aca="false">Sens!D16110-Sens!D16111</f>
        <v>1230</v>
      </c>
      <c r="E16112" s="29" t="n">
        <f aca="false">Sens!E16110-Sens!E16111</f>
        <v>2700</v>
      </c>
      <c r="F16112" s="29" t="n">
        <f aca="false">Sens!F16110-Sens!F16111</f>
        <v>5021.2</v>
      </c>
      <c r="G16112" s="29" t="n">
        <f aca="false">Sens!G16110-Sens!G16111</f>
        <v>7548.4</v>
      </c>
      <c r="H16112" s="29" t="n">
        <f aca="false">Sens!H16110-Sens!H16111</f>
        <v>10075.6</v>
      </c>
      <c r="I16112" s="29" t="n">
        <f aca="false">Sens!I16110-Sens!I16111</f>
        <v>11868.716</v>
      </c>
      <c r="J16112" s="29" t="n">
        <f aca="false">Sens!J16110-Sens!J16111</f>
        <v>12963.61032</v>
      </c>
      <c r="K16112" s="29" t="n">
        <f aca="false">Sens!K16110-Sens!K16111</f>
        <v>13375.1986296</v>
      </c>
    </row>
    <row r="16113" customFormat="false" ht="17.15" hidden="false" customHeight="false" outlineLevel="0" collapsed="false">
      <c r="A16113" s="1" t="s">
        <v>816</v>
      </c>
      <c r="B16113" s="0" t="s">
        <v>399</v>
      </c>
      <c r="C16113" s="29" t="n">
        <f aca="false">Sens!C16112/ext_sh</f>
        <v>816.666666666667</v>
      </c>
      <c r="D16113" s="29" t="n">
        <f aca="false">Sens!D16112/ext_sh</f>
        <v>2050</v>
      </c>
      <c r="E16113" s="29" t="n">
        <f aca="false">Sens!E16112/ext_sh</f>
        <v>4500</v>
      </c>
      <c r="F16113" s="29" t="n">
        <f aca="false">Sens!F16112/ext_sh</f>
        <v>8368.66666666667</v>
      </c>
      <c r="G16113" s="29" t="n">
        <f aca="false">Sens!G16112/ext_sh</f>
        <v>12580.6666666667</v>
      </c>
      <c r="H16113" s="29" t="n">
        <f aca="false">Sens!H16112/ext_sh</f>
        <v>16792.6666666667</v>
      </c>
      <c r="I16113" s="29" t="n">
        <f aca="false">Sens!I16112/ext_sh</f>
        <v>19781.1933333333</v>
      </c>
      <c r="J16113" s="29" t="n">
        <f aca="false">Sens!J16112/ext_sh</f>
        <v>21606.0172</v>
      </c>
      <c r="K16113" s="29" t="n">
        <f aca="false">Sens!K16112/ext_sh</f>
        <v>22291.997716</v>
      </c>
      <c r="L16113" s="1" t="s">
        <v>817</v>
      </c>
    </row>
    <row r="16114" customFormat="false" ht="17.15" hidden="false" customHeight="false" outlineLevel="0" collapsed="false">
      <c r="A16114" s="1" t="s">
        <v>818</v>
      </c>
      <c r="B16114" s="0" t="s">
        <v>399</v>
      </c>
      <c r="C16114" s="29" t="n">
        <f aca="false">Sens!C16113-Sens!C16112</f>
        <v>326.666666666667</v>
      </c>
      <c r="D16114" s="29" t="n">
        <f aca="false">Sens!D16113-Sens!D16112</f>
        <v>820</v>
      </c>
      <c r="E16114" s="29" t="n">
        <f aca="false">Sens!E16113-Sens!E16112</f>
        <v>1800</v>
      </c>
      <c r="F16114" s="29" t="n">
        <f aca="false">Sens!F16113-Sens!F16112</f>
        <v>3347.46666666667</v>
      </c>
      <c r="G16114" s="29" t="n">
        <f aca="false">Sens!G16113-Sens!G16112</f>
        <v>5032.26666666667</v>
      </c>
      <c r="H16114" s="29" t="n">
        <f aca="false">Sens!H16113-Sens!H16112</f>
        <v>6717.06666666667</v>
      </c>
      <c r="I16114" s="29" t="n">
        <f aca="false">Sens!I16113-Sens!I16112</f>
        <v>7912.47733333333</v>
      </c>
      <c r="J16114" s="29" t="n">
        <f aca="false">Sens!J16113-Sens!J16112</f>
        <v>8642.40688</v>
      </c>
      <c r="K16114" s="29" t="n">
        <f aca="false">Sens!K16113-Sens!K16112</f>
        <v>8916.7990864</v>
      </c>
    </row>
    <row r="16115" customFormat="false" ht="17.15" hidden="false" customHeight="false" outlineLevel="0" collapsed="false">
      <c r="A16115" s="1" t="s">
        <v>819</v>
      </c>
      <c r="B16115" s="0" t="s">
        <v>399</v>
      </c>
      <c r="C16115" s="29" t="n">
        <f aca="false">Sens!C16113</f>
        <v>816.666666666667</v>
      </c>
      <c r="D16115" s="29" t="n">
        <f aca="false">Sens!D16113-Sens!C16113</f>
        <v>1233.33333333333</v>
      </c>
      <c r="E16115" s="29" t="n">
        <f aca="false">Sens!E16113-Sens!D16113</f>
        <v>2450</v>
      </c>
      <c r="F16115" s="29" t="n">
        <f aca="false">Sens!F16113-Sens!E16113</f>
        <v>3868.66666666667</v>
      </c>
      <c r="G16115" s="29" t="n">
        <f aca="false">Sens!G16113-Sens!F16113</f>
        <v>4212</v>
      </c>
      <c r="H16115" s="29" t="n">
        <f aca="false">Sens!H16113-Sens!G16113</f>
        <v>4212</v>
      </c>
      <c r="I16115" s="29" t="n">
        <f aca="false">Sens!I16113-Sens!H16113</f>
        <v>2988.52666666667</v>
      </c>
      <c r="J16115" s="29" t="n">
        <f aca="false">Sens!J16113-Sens!I16113</f>
        <v>1824.82386666667</v>
      </c>
      <c r="K16115" s="29" t="n">
        <f aca="false">Sens!K16113-Sens!J16113</f>
        <v>685.980516</v>
      </c>
    </row>
    <row r="16116" customFormat="false" ht="17.15" hidden="false" customHeight="false" outlineLevel="0" collapsed="false">
      <c r="A16116" s="1" t="s">
        <v>820</v>
      </c>
      <c r="B16116" s="0" t="s">
        <v>399</v>
      </c>
      <c r="D16116" s="29" t="n">
        <f aca="false">Sens!D16110-Sens!C16110</f>
        <v>990</v>
      </c>
      <c r="E16116" s="29" t="n">
        <f aca="false">Sens!E16110-Sens!D16110</f>
        <v>1620</v>
      </c>
      <c r="F16116" s="29" t="n">
        <f aca="false">Sens!F16110-Sens!E16110</f>
        <v>2527.2</v>
      </c>
      <c r="G16116" s="29" t="n">
        <f aca="false">Sens!G16110-Sens!F16110</f>
        <v>2527.2</v>
      </c>
      <c r="H16116" s="29" t="n">
        <f aca="false">Sens!H16110-Sens!G16110</f>
        <v>2527.2</v>
      </c>
      <c r="I16116" s="29" t="n">
        <f aca="false">Sens!I16110-Sens!H16110</f>
        <v>1793.116</v>
      </c>
      <c r="J16116" s="29" t="n">
        <f aca="false">Sens!J16110-Sens!I16110</f>
        <v>1094.89432</v>
      </c>
      <c r="K16116" s="29" t="n">
        <f aca="false">Sens!K16110-Sens!J16110</f>
        <v>411.5883096</v>
      </c>
    </row>
    <row r="16117" customFormat="false" ht="17.15" hidden="false" customHeight="false" outlineLevel="0" collapsed="false">
      <c r="A16117" s="1" t="s">
        <v>821</v>
      </c>
      <c r="B16117" s="0" t="s">
        <v>399</v>
      </c>
      <c r="F16117" s="29" t="n">
        <f aca="false">Sens!F16134*ext_sh</f>
        <v>0</v>
      </c>
      <c r="G16117" s="29" t="n">
        <f aca="false">Sens!G16134*ext_sh</f>
        <v>0</v>
      </c>
      <c r="H16117" s="29" t="n">
        <f aca="false">Sens!H16134*ext_sh</f>
        <v>0</v>
      </c>
      <c r="I16117" s="29" t="n">
        <f aca="false">Sens!I16134*ext_sh</f>
        <v>490</v>
      </c>
      <c r="J16117" s="29" t="n">
        <f aca="false">Sens!J16134*ext_sh</f>
        <v>740</v>
      </c>
      <c r="K16117" s="29" t="n">
        <f aca="false">Sens!K16134*ext_sh</f>
        <v>1470</v>
      </c>
      <c r="L16117" s="1" t="s">
        <v>822</v>
      </c>
    </row>
    <row r="16118" customFormat="false" ht="17.15" hidden="false" customHeight="false" outlineLevel="0" collapsed="false">
      <c r="A16118" s="1" t="s">
        <v>823</v>
      </c>
      <c r="B16118" s="0" t="s">
        <v>399</v>
      </c>
      <c r="C16118" s="29" t="n">
        <f aca="false">mix_h*Sens!C16110</f>
        <v>128</v>
      </c>
      <c r="D16118" s="29" t="n">
        <f aca="false">mix_h*Sens!D16110</f>
        <v>326</v>
      </c>
      <c r="E16118" s="29" t="n">
        <f aca="false">mix_h*Sens!E16110</f>
        <v>650</v>
      </c>
      <c r="F16118" s="29" t="n">
        <f aca="false">Sens!E16118-Sens!F16117*mix_h</f>
        <v>650</v>
      </c>
      <c r="G16118" s="29" t="n">
        <f aca="false">Sens!F16118-Sens!G16117*mix_h</f>
        <v>650</v>
      </c>
      <c r="H16118" s="29" t="n">
        <f aca="false">Sens!G16118-Sens!H16117*mix_h</f>
        <v>650</v>
      </c>
      <c r="I16118" s="29" t="n">
        <f aca="false">Sens!H16118-Sens!I16117*mix_h</f>
        <v>552</v>
      </c>
      <c r="J16118" s="29" t="n">
        <f aca="false">Sens!I16118-Sens!J16117*mix_h</f>
        <v>404</v>
      </c>
      <c r="K16118" s="29" t="n">
        <f aca="false">Sens!J16118-Sens!K16117*mix_h</f>
        <v>110</v>
      </c>
    </row>
    <row r="16119" customFormat="false" ht="17.15" hidden="false" customHeight="false" outlineLevel="0" collapsed="false">
      <c r="A16119" s="1" t="s">
        <v>824</v>
      </c>
      <c r="B16119" s="0" t="s">
        <v>399</v>
      </c>
      <c r="C16119" s="29" t="n">
        <f aca="false">mix_g2*Sens!C16110</f>
        <v>288</v>
      </c>
      <c r="D16119" s="29" t="n">
        <f aca="false">mix_g2*Sens!D16110</f>
        <v>733.5</v>
      </c>
      <c r="E16119" s="29" t="n">
        <f aca="false">mix_g2*Sens!E16110</f>
        <v>1462.5</v>
      </c>
      <c r="F16119" s="29" t="n">
        <f aca="false">Sens!E16119-Sens!F16117*mix_g2</f>
        <v>1462.5</v>
      </c>
      <c r="G16119" s="29" t="n">
        <f aca="false">Sens!F16119-Sens!G16117*mix_g2</f>
        <v>1462.5</v>
      </c>
      <c r="H16119" s="29" t="n">
        <f aca="false">Sens!G16119-Sens!H16117*mix_g2</f>
        <v>1462.5</v>
      </c>
      <c r="I16119" s="29" t="n">
        <f aca="false">Sens!H16119-Sens!I16117*mix_g2</f>
        <v>1242</v>
      </c>
      <c r="J16119" s="29" t="n">
        <f aca="false">Sens!I16119-Sens!J16117*mix_g2</f>
        <v>909</v>
      </c>
      <c r="K16119" s="29" t="n">
        <f aca="false">Sens!J16119-Sens!K16117*mix_g2</f>
        <v>247.5</v>
      </c>
    </row>
    <row r="16120" customFormat="false" ht="17.15" hidden="false" customHeight="false" outlineLevel="0" collapsed="false">
      <c r="A16120" s="1" t="s">
        <v>825</v>
      </c>
      <c r="B16120" s="0" t="s">
        <v>399</v>
      </c>
      <c r="C16120" s="29" t="n">
        <f aca="false">mix_g3*Sens!C16110</f>
        <v>224</v>
      </c>
      <c r="D16120" s="29" t="n">
        <f aca="false">mix_g3*Sens!D16110</f>
        <v>570.5</v>
      </c>
      <c r="E16120" s="29" t="n">
        <f aca="false">mix_g3*Sens!E16110</f>
        <v>1137.5</v>
      </c>
      <c r="F16120" s="29" t="n">
        <f aca="false">Sens!E16120+(Sens!F16116+Sens!F16117)*a_g3_27-Sens!F16117*mix_g3</f>
        <v>2906.54</v>
      </c>
      <c r="G16120" s="29" t="n">
        <f aca="false">Sens!F16120+(Sens!G16116+Sens!G16117)*a_g3_28-Sens!G16117*mix_g3</f>
        <v>3664.7</v>
      </c>
      <c r="H16120" s="29" t="n">
        <f aca="false">Sens!G16120+(Sens!H16116+Sens!H16117)*a_g3_29-Sens!H16117*mix_g3</f>
        <v>3917.42</v>
      </c>
      <c r="I16120" s="29" t="n">
        <f aca="false">Sens!H16120+(Sens!I16116+Sens!I16117)*a_g3_29-Sens!I16117*mix_g3</f>
        <v>3974.2316</v>
      </c>
      <c r="J16120" s="29" t="n">
        <f aca="false">Sens!I16120+(Sens!J16116+Sens!J16117)*a_g3_29-Sens!J16117*mix_g3</f>
        <v>3898.721032</v>
      </c>
      <c r="K16120" s="29" t="n">
        <f aca="false">Sens!J16120+(Sens!K16116+Sens!K16117)*a_g3_29-Sens!K16117*mix_g3</f>
        <v>3572.37986296</v>
      </c>
    </row>
    <row r="16121" customFormat="false" ht="17.15" hidden="false" customHeight="false" outlineLevel="0" collapsed="false">
      <c r="A16121" s="1" t="s">
        <v>826</v>
      </c>
      <c r="B16121" s="0" t="s">
        <v>399</v>
      </c>
      <c r="C16121" s="29" t="n">
        <v>0</v>
      </c>
      <c r="D16121" s="29" t="n">
        <v>0</v>
      </c>
      <c r="E16121" s="29" t="n">
        <v>0</v>
      </c>
      <c r="F16121" s="29" t="n">
        <f aca="false">Sens!E16121+(Sens!F16116+Sens!F16117)*(1-a_g3_27)</f>
        <v>758.16</v>
      </c>
      <c r="G16121" s="29" t="n">
        <f aca="false">Sens!F16121+(Sens!G16116+Sens!G16117)*(1-a_g3_28)</f>
        <v>2527.2</v>
      </c>
      <c r="H16121" s="29" t="n">
        <f aca="false">Sens!G16121+(Sens!H16116+Sens!H16117)*(1-a_g3_29)</f>
        <v>4801.68</v>
      </c>
      <c r="I16121" s="29" t="n">
        <f aca="false">Sens!H16121+(Sens!I16116+Sens!I16117)*(1-a_g3_29)</f>
        <v>6856.4844</v>
      </c>
      <c r="J16121" s="29" t="n">
        <f aca="false">Sens!I16121+(Sens!J16116+Sens!J16117)*(1-a_g3_29)</f>
        <v>8507.889288</v>
      </c>
      <c r="K16121" s="29" t="n">
        <f aca="false">Sens!J16121+(Sens!K16116+Sens!K16117)*(1-a_g3_29)</f>
        <v>10201.31876664</v>
      </c>
    </row>
    <row r="16122" customFormat="false" ht="17.15" hidden="false" customHeight="false" outlineLevel="0" collapsed="false">
      <c r="A16122" s="1" t="s">
        <v>827</v>
      </c>
      <c r="B16122" s="0" t="s">
        <v>346</v>
      </c>
      <c r="C16122" s="14" t="n">
        <f aca="false">(Sens!C16118*tk_hold_h100+Sens!C16119*tk_hold_gb200+Sens!C16120*tk_hold_gb300+Sens!C16121*tk_hold_vr200)/Sens!C16110</f>
        <v>9.7235358126469</v>
      </c>
      <c r="D16122" s="14" t="n">
        <f aca="false">(Sens!D16118*tk_hold_h100+Sens!D16119*tk_hold_gb200+Sens!D16120*tk_hold_gb300+Sens!D16121*tk_hold_vr200)/Sens!D16110</f>
        <v>9.7235358126469</v>
      </c>
      <c r="E16122" s="14" t="n">
        <f aca="false">(Sens!E16118*tk_hold_h100+Sens!E16119*tk_hold_gb200+Sens!E16120*tk_hold_gb300+Sens!E16121*tk_hold_vr200)/Sens!E16110</f>
        <v>9.7235358126469</v>
      </c>
      <c r="F16122" s="14" t="n">
        <f aca="false">(Sens!F16118*tk_hold_h100+Sens!F16119*tk_hold_gb200+Sens!F16120*tk_hold_gb300+Sens!F16121*tk_hold_vr200)/Sens!F16110</f>
        <v>10.4079573161931</v>
      </c>
      <c r="G16122" s="14" t="n">
        <f aca="false">(Sens!G16118*tk_hold_h100+Sens!G16119*tk_hold_gb200+Sens!G16120*tk_hold_gb300+Sens!G16121*tk_hold_vr200)/Sens!G16110</f>
        <v>10.8388131109316</v>
      </c>
      <c r="H16122" s="14" t="n">
        <f aca="false">(Sens!H16118*tk_hold_h100+Sens!H16119*tk_hold_gb200+Sens!H16120*tk_hold_gb300+Sens!H16121*tk_hold_vr200)/Sens!H16110</f>
        <v>11.1311018388216</v>
      </c>
      <c r="I16122" s="14" t="n">
        <f aca="false">(Sens!I16118*tk_hold_h100+Sens!I16119*tk_hold_gb200+Sens!I16120*tk_hold_gb300+Sens!I16121*tk_hold_vr200)/Sens!I16110</f>
        <v>11.3594282560989</v>
      </c>
      <c r="J16122" s="14" t="n">
        <f aca="false">(Sens!J16118*tk_hold_h100+Sens!J16119*tk_hold_gb200+Sens!J16120*tk_hold_gb300+Sens!J16121*tk_hold_vr200)/Sens!J16110</f>
        <v>11.5455817917599</v>
      </c>
      <c r="K16122" s="14" t="n">
        <f aca="false">(Sens!K16118*tk_hold_h100+Sens!K16119*tk_hold_gb200+Sens!K16120*tk_hold_gb300+Sens!K16121*tk_hold_vr200)/Sens!K16110</f>
        <v>11.8078187977246</v>
      </c>
    </row>
    <row r="16123" customFormat="false" ht="17.15" hidden="false" customHeight="false" outlineLevel="0" collapsed="false">
      <c r="A16123" s="0" t="s">
        <v>828</v>
      </c>
      <c r="B16123" s="0" t="s">
        <v>185</v>
      </c>
      <c r="C16123" s="14" t="n">
        <f aca="false">k_B</f>
        <v>1.17213932619116</v>
      </c>
      <c r="D16123" s="14" t="n">
        <f aca="false">k_B</f>
        <v>1.17213932619116</v>
      </c>
      <c r="E16123" s="14" t="n">
        <f aca="false">k_B</f>
        <v>1.17213932619116</v>
      </c>
      <c r="F16123" s="14" t="n">
        <f aca="false">(k_B+((ls_B*k_long+(1-ls_B)*k_spot)-k_B)*MIN(1,(Sens!F16108-base_fy)/k_ramp))</f>
        <v>1.17213932619116</v>
      </c>
      <c r="G16123" s="14" t="n">
        <f aca="false">(k_B+((ls_B*k_long+(1-ls_B)*k_spot)-k_B)*MIN(1,(Sens!G16108-base_fy)/k_ramp))</f>
        <v>1.17213932619116</v>
      </c>
      <c r="H16123" s="14" t="n">
        <f aca="false">(k_B+((ls_B*k_long+(1-ls_B)*k_spot)-k_B)*MIN(1,(Sens!H16108-base_fy)/k_ramp))</f>
        <v>1.17213932619116</v>
      </c>
      <c r="I16123" s="14" t="n">
        <f aca="false">(k_B+((ls_B*k_long+(1-ls_B)*k_spot)-k_B)*MIN(1,(Sens!I16108-base_fy)/k_ramp))</f>
        <v>1.17213932619116</v>
      </c>
      <c r="J16123" s="14" t="n">
        <f aca="false">(k_B+((ls_B*k_long+(1-ls_B)*k_spot)-k_B)*MIN(1,(Sens!J16108-base_fy)/k_ramp))</f>
        <v>1.17213932619116</v>
      </c>
      <c r="K16123" s="14" t="n">
        <f aca="false">(k_B+((ls_B*k_long+(1-ls_B)*k_spot)-k_B)*MIN(1,(Sens!K16108-base_fy)/k_ramp))</f>
        <v>1.17213932619116</v>
      </c>
      <c r="L16123" s="1" t="s">
        <v>829</v>
      </c>
    </row>
    <row r="16124" customFormat="false" ht="17.15" hidden="false" customHeight="false" outlineLevel="0" collapsed="false">
      <c r="A16124" s="1" t="s">
        <v>830</v>
      </c>
      <c r="B16124" s="0" t="s">
        <v>346</v>
      </c>
      <c r="C16124" s="14" t="n">
        <f aca="false">Sens!C16122*Sens!C16123*chip_f</f>
        <v>11.3973387156315</v>
      </c>
      <c r="D16124" s="14" t="n">
        <f aca="false">Sens!D16122*Sens!D16123*chip_f</f>
        <v>11.3973387156315</v>
      </c>
      <c r="E16124" s="14" t="n">
        <f aca="false">Sens!E16122*Sens!E16123*chip_f</f>
        <v>11.3973387156315</v>
      </c>
      <c r="F16124" s="14" t="n">
        <f aca="false">Sens!F16122*Sens!F16123*chip_f</f>
        <v>12.1995760756289</v>
      </c>
      <c r="G16124" s="14" t="n">
        <f aca="false">Sens!G16122*Sens!G16123*chip_f</f>
        <v>12.7045990965592</v>
      </c>
      <c r="H16124" s="14" t="n">
        <f aca="false">Sens!H16122*Sens!H16123*chip_f</f>
        <v>13.0472022091214</v>
      </c>
      <c r="I16124" s="14" t="n">
        <f aca="false">Sens!I16122*Sens!I16123*chip_f</f>
        <v>13.3148325820205</v>
      </c>
      <c r="J16124" s="14" t="n">
        <f aca="false">Sens!J16122*Sens!J16123*chip_f</f>
        <v>13.5330304618783</v>
      </c>
      <c r="K16124" s="14" t="n">
        <f aca="false">Sens!K16122*Sens!K16123*chip_f</f>
        <v>13.8404087693522</v>
      </c>
      <c r="L16124" s="1" t="s">
        <v>831</v>
      </c>
    </row>
    <row r="16125" customFormat="false" ht="17.15" hidden="false" customHeight="false" outlineLevel="0" collapsed="false">
      <c r="A16125" s="0" t="s">
        <v>832</v>
      </c>
      <c r="B16125" s="0" t="s">
        <v>98</v>
      </c>
      <c r="D16125" s="6" t="n">
        <f aca="false">(Sens!C16110+Sens!D16110)/2*Sens!D16124/1000</f>
        <v>12.9359794422418</v>
      </c>
      <c r="E16125" s="6" t="n">
        <f aca="false">(Sens!D16110+Sens!E16110)/2*Sens!E16124/1000</f>
        <v>27.8095064661409</v>
      </c>
      <c r="F16125" s="6" t="n">
        <f aca="false">(Sens!E16110+Sens!F16110)/2*Sens!F16124/1000</f>
        <v>55.0640065749585</v>
      </c>
      <c r="G16125" s="6" t="n">
        <f aca="false">(Sens!F16110+Sens!G16110)/2*Sens!G16124/1000</f>
        <v>89.4505413190538</v>
      </c>
      <c r="H16125" s="6" t="n">
        <f aca="false">(Sens!G16110+Sens!H16110)/2*Sens!H16124/1000</f>
        <v>124.835630736874</v>
      </c>
      <c r="I16125" s="6" t="n">
        <f aca="false">(Sens!H16110+Sens!I16110)/2*Sens!I16124/1000</f>
        <v>156.158460265485</v>
      </c>
      <c r="J16125" s="6" t="n">
        <f aca="false">(Sens!I16110+Sens!J16110)/2*Sens!J16124/1000</f>
        <v>178.259285293112</v>
      </c>
      <c r="K16125" s="6" t="n">
        <f aca="false">(Sens!J16110+Sens!K16110)/2*Sens!K16124/1000</f>
        <v>192.733290209798</v>
      </c>
      <c r="L16125" s="11" t="s">
        <v>833</v>
      </c>
    </row>
    <row r="16126" customFormat="false" ht="17.15" hidden="false" customHeight="false" outlineLevel="0" collapsed="false">
      <c r="A16126" s="1" t="s">
        <v>834</v>
      </c>
      <c r="B16126" s="0" t="s">
        <v>346</v>
      </c>
      <c r="C16126" s="14" t="n">
        <f aca="false">(Sens!C16118*tk_opex_h100+Sens!C16119*tk_opex_gb200+Sens!C16120*tk_opex_gb300+Sens!C16121*tk_opex_vr200)/Sens!C16110</f>
        <v>1.88636041306092</v>
      </c>
      <c r="D16126" s="14" t="n">
        <f aca="false">(Sens!D16118*tk_opex_h100+Sens!D16119*tk_opex_gb200+Sens!D16120*tk_opex_gb300+Sens!D16121*tk_opex_vr200)/Sens!D16110</f>
        <v>1.88636041306092</v>
      </c>
      <c r="E16126" s="14" t="n">
        <f aca="false">(Sens!E16118*tk_opex_h100+Sens!E16119*tk_opex_gb200+Sens!E16120*tk_opex_gb300+Sens!E16121*tk_opex_vr200)/Sens!E16110</f>
        <v>1.88636041306092</v>
      </c>
      <c r="F16126" s="14" t="n">
        <f aca="false">(Sens!F16118*tk_opex_h100+Sens!F16119*tk_opex_gb200+Sens!F16120*tk_opex_gb300+Sens!F16121*tk_opex_vr200)/Sens!F16110</f>
        <v>1.9430236476499</v>
      </c>
      <c r="G16126" s="14" t="n">
        <f aca="false">(Sens!G16118*tk_opex_h100+Sens!G16119*tk_opex_gb200+Sens!G16120*tk_opex_gb300+Sens!G16121*tk_opex_vr200)/Sens!G16110</f>
        <v>1.9786941852423</v>
      </c>
      <c r="H16126" s="14" t="n">
        <f aca="false">(Sens!H16118*tk_opex_h100+Sens!H16119*tk_opex_gb200+Sens!H16120*tk_opex_gb300+Sens!H16121*tk_opex_vr200)/Sens!H16110</f>
        <v>2.00289275976156</v>
      </c>
      <c r="I16126" s="14" t="n">
        <f aca="false">(Sens!I16118*tk_opex_h100+Sens!I16119*tk_opex_gb200+Sens!I16120*tk_opex_gb300+Sens!I16121*tk_opex_vr200)/Sens!I16110</f>
        <v>2.02179589661219</v>
      </c>
      <c r="J16126" s="14" t="n">
        <f aca="false">(Sens!J16118*tk_opex_h100+Sens!J16119*tk_opex_gb200+Sens!J16120*tk_opex_gb300+Sens!J16121*tk_opex_vr200)/Sens!J16110</f>
        <v>2.03720754193029</v>
      </c>
      <c r="K16126" s="14" t="n">
        <f aca="false">(Sens!K16118*tk_opex_h100+Sens!K16119*tk_opex_gb200+Sens!K16120*tk_opex_gb300+Sens!K16121*tk_opex_vr200)/Sens!K16110</f>
        <v>2.0589181353437</v>
      </c>
    </row>
    <row r="16127" customFormat="false" ht="17.15" hidden="false" customHeight="false" outlineLevel="0" collapsed="false">
      <c r="A16127" s="0" t="s">
        <v>835</v>
      </c>
      <c r="B16127" s="0" t="s">
        <v>98</v>
      </c>
      <c r="D16127" s="6" t="n">
        <f aca="false">(Sens!C16113+Sens!D16113)/2*Sens!D16126/1000</f>
        <v>2.70378325872065</v>
      </c>
      <c r="E16127" s="6" t="n">
        <f aca="false">(Sens!D16113+Sens!E16113)/2*Sens!E16126/1000</f>
        <v>6.17783035277451</v>
      </c>
      <c r="F16127" s="6" t="n">
        <f aca="false">(Sens!E16113+Sens!F16113)/2*Sens!F16126/1000</f>
        <v>12.5020618235287</v>
      </c>
      <c r="G16127" s="6" t="n">
        <f aca="false">(Sens!F16113+Sens!G16113)/2*Sens!G16126/1000</f>
        <v>20.7261620256847</v>
      </c>
      <c r="H16127" s="6" t="n">
        <f aca="false">(Sens!G16113+Sens!H16113)/2*Sens!H16126/1000</f>
        <v>29.4158183316982</v>
      </c>
      <c r="I16127" s="6" t="n">
        <f aca="false">(Sens!H16113+Sens!I16113)/2*Sens!I16126/1000</f>
        <v>36.9724400356344</v>
      </c>
      <c r="J16127" s="6" t="n">
        <f aca="false">(Sens!I16113+Sens!J16113)/2*Sens!J16126/1000</f>
        <v>42.1571687189816</v>
      </c>
      <c r="K16127" s="6" t="n">
        <f aca="false">(Sens!J16113+Sens!K16113)/2*Sens!K16126/1000</f>
        <v>45.1912095080704</v>
      </c>
    </row>
    <row r="16128" customFormat="false" ht="17.15" hidden="false" customHeight="false" outlineLevel="0" collapsed="false">
      <c r="A16128" s="0" t="s">
        <v>836</v>
      </c>
      <c r="B16128" s="0" t="s">
        <v>98</v>
      </c>
      <c r="D16128" s="6" t="n">
        <f aca="false">(Sens!C16111+Sens!D16111)/2*rent_mw/1000</f>
        <v>2.44475</v>
      </c>
      <c r="E16128" s="6" t="n">
        <f aca="false">(Sens!D16111+Sens!E16111)/2*rent_mw/1000</f>
        <v>4.22275</v>
      </c>
      <c r="F16128" s="6" t="n">
        <f aca="false">(Sens!E16111+Sens!F16111)/2*rent_mw/1000</f>
        <v>5.80517</v>
      </c>
      <c r="G16128" s="6" t="n">
        <f aca="false">(Sens!F16111+Sens!G16111)/2*rent_mw/1000</f>
        <v>6.72084</v>
      </c>
      <c r="H16128" s="6" t="n">
        <f aca="false">(Sens!G16111+Sens!H16111)/2*rent_mw/1000</f>
        <v>6.72084</v>
      </c>
      <c r="I16128" s="6" t="n">
        <f aca="false">(Sens!H16111+Sens!I16111)/2*rent_mw/1000</f>
        <v>6.72084</v>
      </c>
      <c r="J16128" s="6" t="n">
        <f aca="false">(Sens!I16111+Sens!J16111)/2*rent_mw/1000</f>
        <v>6.72084</v>
      </c>
      <c r="K16128" s="6" t="n">
        <f aca="false">(Sens!J16111+Sens!K16111)/2*rent_mw/1000</f>
        <v>6.72084</v>
      </c>
    </row>
    <row r="16129" customFormat="false" ht="17.15" hidden="false" customHeight="false" outlineLevel="0" collapsed="false">
      <c r="A16129" s="0" t="s">
        <v>837</v>
      </c>
      <c r="B16129" s="0" t="s">
        <v>98</v>
      </c>
      <c r="D16129" s="6" t="n">
        <f aca="false">(Sens!C16113+Sens!D16113)/2*(1-self_build)*fac_rent/1000</f>
        <v>0.853242375631075</v>
      </c>
      <c r="E16129" s="6" t="n">
        <f aca="false">(Sens!D16113+Sens!E16113)/2*(1-self_build)*fac_rent/1000</f>
        <v>1.94955961408728</v>
      </c>
      <c r="F16129" s="6" t="n">
        <f aca="false">(Sens!E16113+Sens!F16113)/2*(1-self_build)*fac_rent/1000</f>
        <v>3.83026455274573</v>
      </c>
      <c r="G16129" s="6" t="n">
        <f aca="false">(Sens!F16113+Sens!G16113)/2*(1-self_build)*fac_rent/1000</f>
        <v>6.23541590972812</v>
      </c>
      <c r="H16129" s="6" t="n">
        <f aca="false">(Sens!G16113+Sens!H16113)/2*(1-self_build)*fac_rent/1000</f>
        <v>8.74275792332679</v>
      </c>
      <c r="I16129" s="6" t="n">
        <f aca="false">(Sens!H16113+Sens!I16113)/2*(1-self_build)*fac_rent/1000</f>
        <v>10.8859420438599</v>
      </c>
      <c r="J16129" s="6" t="n">
        <f aca="false">(Sens!I16113+Sens!J16113)/2*(1-self_build)*fac_rent/1000</f>
        <v>12.3186006405366</v>
      </c>
      <c r="K16129" s="6" t="n">
        <f aca="false">(Sens!J16113+Sens!K16113)/2*(1-self_build)*fac_rent/1000</f>
        <v>13.0659232089824</v>
      </c>
      <c r="L16129" s="11" t="s">
        <v>838</v>
      </c>
    </row>
    <row r="16130" customFormat="false" ht="17.15" hidden="false" customHeight="false" outlineLevel="0" collapsed="false">
      <c r="A16130" s="1" t="s">
        <v>839</v>
      </c>
      <c r="B16130" s="0" t="s">
        <v>129</v>
      </c>
      <c r="D16130" s="7" t="n">
        <f aca="false">(Sens!C16112+Sens!D16112)/(Sens!C16113+Sens!D16113)</f>
        <v>0.6</v>
      </c>
      <c r="E16130" s="7" t="n">
        <f aca="false">(Sens!D16112+Sens!E16112)/(Sens!D16113+Sens!E16113)</f>
        <v>0.6</v>
      </c>
      <c r="F16130" s="7" t="n">
        <f aca="false">(Sens!E16112+Sens!F16112)/(Sens!E16113+Sens!F16113)</f>
        <v>0.6</v>
      </c>
      <c r="G16130" s="7" t="n">
        <f aca="false">(Sens!F16112+Sens!G16112)/(Sens!F16113+Sens!G16113)</f>
        <v>0.6</v>
      </c>
      <c r="H16130" s="7" t="n">
        <f aca="false">(Sens!G16112+Sens!H16112)/(Sens!G16113+Sens!H16113)</f>
        <v>0.6</v>
      </c>
      <c r="I16130" s="7" t="n">
        <f aca="false">(Sens!H16112+Sens!I16112)/(Sens!H16113+Sens!I16113)</f>
        <v>0.6</v>
      </c>
      <c r="J16130" s="7" t="n">
        <f aca="false">(Sens!I16112+Sens!J16112)/(Sens!I16113+Sens!J16113)</f>
        <v>0.6</v>
      </c>
      <c r="K16130" s="7" t="n">
        <f aca="false">(Sens!J16112+Sens!K16112)/(Sens!J16113+Sens!K16113)</f>
        <v>0.6</v>
      </c>
    </row>
    <row r="16131" customFormat="false" ht="17.15" hidden="false" customHeight="false" outlineLevel="0" collapsed="false">
      <c r="A16131" s="0" t="s">
        <v>840</v>
      </c>
      <c r="B16131" s="0" t="s">
        <v>98</v>
      </c>
      <c r="D16131" s="6" t="n">
        <f aca="false">Sens!D16125-Sens!D16130*(Sens!D16127+Sens!D16129)-Sens!D16128</f>
        <v>8.35701406163072</v>
      </c>
      <c r="E16131" s="6" t="n">
        <f aca="false">Sens!E16125-Sens!E16130*(Sens!E16127+Sens!E16129)-Sens!E16128</f>
        <v>18.7103224860238</v>
      </c>
      <c r="F16131" s="6" t="n">
        <f aca="false">Sens!F16125-Sens!F16130*(Sens!F16127+Sens!F16129)-Sens!F16128</f>
        <v>39.4594407491938</v>
      </c>
      <c r="G16131" s="6" t="n">
        <f aca="false">Sens!G16125-Sens!G16130*(Sens!G16127+Sens!G16129)-Sens!G16128</f>
        <v>66.5527545578061</v>
      </c>
      <c r="H16131" s="6" t="n">
        <f aca="false">Sens!H16125-Sens!H16130*(Sens!H16127+Sens!H16129)-Sens!H16128</f>
        <v>95.219644983859</v>
      </c>
      <c r="I16131" s="6" t="n">
        <f aca="false">Sens!I16125-Sens!I16130*(Sens!I16127+Sens!I16129)-Sens!I16128</f>
        <v>120.722591017788</v>
      </c>
      <c r="J16131" s="6" t="n">
        <f aca="false">Sens!J16125-Sens!J16130*(Sens!J16127+Sens!J16129)-Sens!J16128</f>
        <v>138.852983677401</v>
      </c>
      <c r="K16131" s="6" t="n">
        <f aca="false">Sens!K16125-Sens!K16130*(Sens!K16127+Sens!K16129)-Sens!K16128</f>
        <v>151.058170579566</v>
      </c>
    </row>
    <row r="16132" customFormat="false" ht="17.15" hidden="false" customHeight="false" outlineLevel="0" collapsed="false">
      <c r="A16132" s="1" t="s">
        <v>841</v>
      </c>
      <c r="B16132" s="0" t="s">
        <v>98</v>
      </c>
      <c r="D16132" s="6" t="n">
        <f aca="false">(1-Sens!D16130)*(Sens!D16127+Sens!D16129)</f>
        <v>1.42281025374069</v>
      </c>
      <c r="E16132" s="6" t="n">
        <f aca="false">(1-Sens!E16130)*(Sens!E16127+Sens!E16129)</f>
        <v>3.25095598674472</v>
      </c>
      <c r="F16132" s="6" t="n">
        <f aca="false">(1-Sens!F16130)*(Sens!F16127+Sens!F16129)</f>
        <v>6.53293055050977</v>
      </c>
      <c r="G16132" s="6" t="n">
        <f aca="false">(1-Sens!G16130)*(Sens!G16127+Sens!G16129)</f>
        <v>10.7846311741651</v>
      </c>
      <c r="H16132" s="6" t="n">
        <f aca="false">(1-Sens!H16130)*(Sens!H16127+Sens!H16129)</f>
        <v>15.26343050201</v>
      </c>
      <c r="I16132" s="6" t="n">
        <f aca="false">(1-Sens!I16130)*(Sens!I16127+Sens!I16129)</f>
        <v>19.1433528317977</v>
      </c>
      <c r="J16132" s="6" t="n">
        <f aca="false">(1-Sens!J16130)*(Sens!J16127+Sens!J16129)</f>
        <v>21.7903077438073</v>
      </c>
      <c r="K16132" s="6" t="n">
        <f aca="false">(1-Sens!K16130)*(Sens!K16127+Sens!K16129)</f>
        <v>23.3028530868211</v>
      </c>
    </row>
    <row r="16133" customFormat="false" ht="17.15" hidden="false" customHeight="false" outlineLevel="0" collapsed="false">
      <c r="A16133" s="1" t="s">
        <v>842</v>
      </c>
      <c r="B16133" s="0" t="s">
        <v>357</v>
      </c>
      <c r="C16133" s="8" t="n">
        <f aca="false">cxit_open</f>
        <v>27.5918995</v>
      </c>
      <c r="D16133" s="8" t="n">
        <f aca="false">cxit_open</f>
        <v>27.5918995</v>
      </c>
      <c r="E16133" s="8" t="n">
        <f aca="false">cxit_open</f>
        <v>27.5918995</v>
      </c>
      <c r="F16133" s="8" t="n">
        <f aca="false">(a_g3_27*tk_cxit_gb300+(1-a_g3_27)*tk_cxit_vr200)</f>
        <v>33.8419624</v>
      </c>
      <c r="G16133" s="8" t="n">
        <f aca="false">(a_g3_28*tk_cxit_gb300+(1-a_g3_28)*tk_cxit_vr200)</f>
        <v>35.9816136</v>
      </c>
      <c r="H16133" s="8" t="n">
        <f aca="false">(a_g3_29*tk_cxit_gb300+(1-a_g3_29)*tk_cxit_vr200)</f>
        <v>37.0514392</v>
      </c>
      <c r="I16133" s="8" t="n">
        <f aca="false">(a_g3_29*tk_cxit_gb300+(1-a_g3_29)*tk_cxit_vr200)</f>
        <v>37.0514392</v>
      </c>
      <c r="J16133" s="8" t="n">
        <f aca="false">(a_g3_29*tk_cxit_gb300+(1-a_g3_29)*tk_cxit_vr200)</f>
        <v>37.0514392</v>
      </c>
      <c r="K16133" s="8" t="n">
        <f aca="false">(a_g3_29*tk_cxit_gb300+(1-a_g3_29)*tk_cxit_vr200)</f>
        <v>37.0514392</v>
      </c>
      <c r="L16133" s="11" t="s">
        <v>843</v>
      </c>
    </row>
    <row r="16134" customFormat="false" ht="17.15" hidden="false" customHeight="false" outlineLevel="0" collapsed="false">
      <c r="A16134" s="0" t="s">
        <v>844</v>
      </c>
      <c r="B16134" s="0" t="s">
        <v>399</v>
      </c>
      <c r="F16134" s="29" t="n">
        <f aca="false">Sens!C16115*IF(Sens!F16108-Sens!C16108=life_it,1,0)+Sens!D16115*IF(Sens!F16108-Sens!D16108=life_it,1,0)+Sens!E16115*IF(Sens!F16108-Sens!E16108=life_it,1,0)</f>
        <v>0</v>
      </c>
      <c r="G16134" s="29" t="n">
        <f aca="false">Sens!C16115*IF(Sens!G16108-Sens!C16108=life_it,1,0)+Sens!D16115*IF(Sens!G16108-Sens!D16108=life_it,1,0)+Sens!E16115*IF(Sens!G16108-Sens!E16108=life_it,1,0)+Sens!F16115*IF(Sens!G16108-Sens!F16108=life_it,1,0)</f>
        <v>0</v>
      </c>
      <c r="H16134" s="29" t="n">
        <f aca="false">Sens!C16115*IF(Sens!H16108-Sens!C16108=life_it,1,0)+Sens!D16115*IF(Sens!H16108-Sens!D16108=life_it,1,0)+Sens!E16115*IF(Sens!H16108-Sens!E16108=life_it,1,0)+Sens!F16115*IF(Sens!H16108-Sens!F16108=life_it,1,0)+Sens!G16115*IF(Sens!H16108-Sens!G16108=life_it,1,0)</f>
        <v>0</v>
      </c>
      <c r="I16134" s="29" t="n">
        <f aca="false">Sens!C16115*IF(Sens!I16108-Sens!C16108=life_it,1,0)+Sens!D16115*IF(Sens!I16108-Sens!D16108=life_it,1,0)+Sens!E16115*IF(Sens!I16108-Sens!E16108=life_it,1,0)+Sens!F16115*IF(Sens!I16108-Sens!F16108=life_it,1,0)+Sens!G16115*IF(Sens!I16108-Sens!G16108=life_it,1,0)+Sens!H16115*IF(Sens!I16108-Sens!H16108=life_it,1,0)</f>
        <v>816.666666666667</v>
      </c>
      <c r="J16134" s="29" t="n">
        <f aca="false">Sens!C16115*IF(Sens!J16108-Sens!C16108=life_it,1,0)+Sens!D16115*IF(Sens!J16108-Sens!D16108=life_it,1,0)+Sens!E16115*IF(Sens!J16108-Sens!E16108=life_it,1,0)+Sens!F16115*IF(Sens!J16108-Sens!F16108=life_it,1,0)+Sens!G16115*IF(Sens!J16108-Sens!G16108=life_it,1,0)+Sens!H16115*IF(Sens!J16108-Sens!H16108=life_it,1,0)+Sens!I16115*IF(Sens!J16108-Sens!I16108=life_it,1,0)</f>
        <v>1233.33333333333</v>
      </c>
      <c r="K16134" s="29" t="n">
        <f aca="false">Sens!C16115*IF(Sens!K16108-Sens!C16108=life_it,1,0)+Sens!D16115*IF(Sens!K16108-Sens!D16108=life_it,1,0)+Sens!E16115*IF(Sens!K16108-Sens!E16108=life_it,1,0)+Sens!F16115*IF(Sens!K16108-Sens!F16108=life_it,1,0)+Sens!G16115*IF(Sens!K16108-Sens!G16108=life_it,1,0)+Sens!H16115*IF(Sens!K16108-Sens!H16108=life_it,1,0)+Sens!I16115*IF(Sens!K16108-Sens!I16108=life_it,1,0)+Sens!J16115*IF(Sens!K16108-Sens!J16108=life_it,1,0)</f>
        <v>2450</v>
      </c>
      <c r="L16134" s="1" t="s">
        <v>845</v>
      </c>
    </row>
    <row r="16135" customFormat="false" ht="17.15" hidden="false" customHeight="false" outlineLevel="0" collapsed="false">
      <c r="A16135" s="0" t="s">
        <v>846</v>
      </c>
      <c r="B16135" s="0" t="s">
        <v>98</v>
      </c>
      <c r="C16135" s="6" t="n">
        <f aca="false">Sens!C16115*Sens!C16133/1000</f>
        <v>22.5333845916667</v>
      </c>
      <c r="D16135" s="6" t="n">
        <f aca="false">Sens!D16115*Sens!D16133/1000</f>
        <v>34.0300093833333</v>
      </c>
      <c r="E16135" s="6" t="n">
        <f aca="false">Sens!E16115*Sens!E16133/1000</f>
        <v>67.600153775</v>
      </c>
      <c r="F16135" s="6" t="n">
        <f aca="false">(Sens!F16115+Sens!F16134)*Sens!F16133/1000</f>
        <v>130.923271871467</v>
      </c>
      <c r="G16135" s="6" t="n">
        <f aca="false">(Sens!G16115+Sens!G16134)*Sens!G16133/1000</f>
        <v>151.5545564832</v>
      </c>
      <c r="H16135" s="6" t="n">
        <f aca="false">(Sens!H16115+Sens!H16134)*Sens!H16133/1000</f>
        <v>156.0606619104</v>
      </c>
      <c r="I16135" s="6" t="n">
        <f aca="false">(Sens!I16115+Sens!I16134)*Sens!I16133/1000</f>
        <v>140.987889434245</v>
      </c>
      <c r="J16135" s="6" t="n">
        <f aca="false">(Sens!J16115+Sens!J16134)*Sens!J16133/1000</f>
        <v>113.309125559842</v>
      </c>
      <c r="K16135" s="6" t="n">
        <f aca="false">(Sens!K16115+Sens!K16134)*Sens!K16133/1000</f>
        <v>116.192591420959</v>
      </c>
    </row>
    <row r="16136" customFormat="false" ht="17.15" hidden="false" customHeight="false" outlineLevel="0" collapsed="false">
      <c r="A16136" s="0" t="s">
        <v>847</v>
      </c>
      <c r="B16136" s="0" t="s">
        <v>98</v>
      </c>
      <c r="C16136" s="6" t="n">
        <f aca="false">Sens!C16115*self_build*tk_cxfac/1000</f>
        <v>6.2083</v>
      </c>
      <c r="D16136" s="6" t="n">
        <f aca="false">Sens!D16115*self_build*tk_cxfac/1000</f>
        <v>9.3758</v>
      </c>
      <c r="E16136" s="6" t="n">
        <f aca="false">Sens!E16115*self_build*tk_cxfac/1000</f>
        <v>18.6249</v>
      </c>
      <c r="F16136" s="6" t="n">
        <f aca="false">Sens!F16115*self_build*tk_cxfac/1000</f>
        <v>29.409604</v>
      </c>
      <c r="G16136" s="6" t="n">
        <f aca="false">Sens!G16115*self_build*tk_cxfac/1000</f>
        <v>32.019624</v>
      </c>
      <c r="H16136" s="6" t="n">
        <f aca="false">Sens!H16115*self_build*tk_cxfac/1000</f>
        <v>32.019624</v>
      </c>
      <c r="I16136" s="6" t="n">
        <f aca="false">Sens!I16115*self_build*tk_cxfac/1000</f>
        <v>22.71877972</v>
      </c>
      <c r="J16136" s="6" t="n">
        <f aca="false">Sens!J16115*self_build*tk_cxfac/1000</f>
        <v>13.8723110344</v>
      </c>
      <c r="K16136" s="6" t="n">
        <f aca="false">Sens!K16115*self_build*tk_cxfac/1000</f>
        <v>5.214823882632</v>
      </c>
    </row>
    <row r="16137" customFormat="false" ht="17.15" hidden="false" customHeight="false" outlineLevel="0" collapsed="false">
      <c r="A16137" s="0" t="s">
        <v>848</v>
      </c>
      <c r="B16137" s="0" t="s">
        <v>98</v>
      </c>
      <c r="F16137" s="6" t="n">
        <f aca="false">MAX(0,capex_floor27-Sens!F16135-Sens!F16136-Sens!F16231)</f>
        <v>8.28777689897088</v>
      </c>
    </row>
    <row r="16138" customFormat="false" ht="17.15" hidden="false" customHeight="false" outlineLevel="0" collapsed="false">
      <c r="A16138" s="0" t="s">
        <v>849</v>
      </c>
      <c r="B16138" s="0" t="s">
        <v>98</v>
      </c>
      <c r="C16138" s="6" t="n">
        <f aca="false">Sens!C16135</f>
        <v>22.5333845916667</v>
      </c>
      <c r="D16138" s="6" t="n">
        <f aca="false">Sens!D16135</f>
        <v>34.0300093833333</v>
      </c>
      <c r="E16138" s="6" t="n">
        <f aca="false">Sens!E16135</f>
        <v>67.600153775</v>
      </c>
      <c r="F16138" s="6" t="n">
        <f aca="false">Sens!F16135+Sens!F16137</f>
        <v>139.211048770438</v>
      </c>
      <c r="G16138" s="6" t="n">
        <f aca="false">Sens!G16135</f>
        <v>151.5545564832</v>
      </c>
      <c r="H16138" s="6" t="n">
        <f aca="false">Sens!H16135</f>
        <v>156.0606619104</v>
      </c>
      <c r="I16138" s="6" t="n">
        <f aca="false">Sens!I16135</f>
        <v>140.987889434245</v>
      </c>
      <c r="J16138" s="6" t="n">
        <f aca="false">Sens!J16135</f>
        <v>113.309125559842</v>
      </c>
      <c r="K16138" s="6" t="n">
        <f aca="false">Sens!K16135</f>
        <v>116.192591420959</v>
      </c>
    </row>
    <row r="16139" customFormat="false" ht="17.15" hidden="false" customHeight="false" outlineLevel="0" collapsed="false">
      <c r="A16139" s="0" t="s">
        <v>850</v>
      </c>
      <c r="B16139" s="0" t="s">
        <v>98</v>
      </c>
      <c r="C16139" s="6" t="n">
        <f aca="false">Sens!C16138+Sens!C16136</f>
        <v>28.7416845916667</v>
      </c>
      <c r="D16139" s="6" t="n">
        <f aca="false">Sens!D16138+Sens!D16136</f>
        <v>43.4058093833333</v>
      </c>
      <c r="E16139" s="6" t="n">
        <f aca="false">Sens!E16138+Sens!E16136</f>
        <v>86.225053775</v>
      </c>
      <c r="F16139" s="6" t="n">
        <f aca="false">Sens!F16138+Sens!F16136</f>
        <v>168.620652770438</v>
      </c>
      <c r="G16139" s="6" t="n">
        <f aca="false">Sens!G16138+Sens!G16136</f>
        <v>183.5741804832</v>
      </c>
      <c r="H16139" s="6" t="n">
        <f aca="false">Sens!H16138+Sens!H16136</f>
        <v>188.0802859104</v>
      </c>
      <c r="I16139" s="6" t="n">
        <f aca="false">Sens!I16138+Sens!I16136</f>
        <v>163.706669154245</v>
      </c>
      <c r="J16139" s="6" t="n">
        <f aca="false">Sens!J16138+Sens!J16136</f>
        <v>127.181436594242</v>
      </c>
      <c r="K16139" s="6" t="n">
        <f aca="false">Sens!K16138+Sens!K16136</f>
        <v>121.407415303591</v>
      </c>
      <c r="L16139" s="11" t="s">
        <v>851</v>
      </c>
    </row>
    <row r="16140" customFormat="false" ht="17.15" hidden="false" customHeight="false" outlineLevel="0" collapsed="false">
      <c r="A16140" s="0" t="s">
        <v>852</v>
      </c>
      <c r="B16140" s="0" t="s">
        <v>98</v>
      </c>
      <c r="E16140" s="6" t="n">
        <f aca="false">(Sens!C16138*IF(2&lt;life_it,1,IF(2=life_it,0.5,0))+Sens!D16138*IF(1&lt;life_it,1,IF(1=life_it,0.5,0))+Sens!E16138*0.5)/life_it</f>
        <v>15.0605784770833</v>
      </c>
      <c r="F16140" s="6" t="n">
        <f aca="false">(Sens!C16138*IF(3&lt;life_it,1,IF(3=life_it,0.5,0))+Sens!D16138*IF(2&lt;life_it,1,IF(2=life_it,0.5,0))+Sens!E16138*IF(1&lt;life_it,1,IF(1=life_it,0.5,0))+Sens!F16138*0.5)/life_it</f>
        <v>32.2948453558698</v>
      </c>
      <c r="G16140" s="6" t="n">
        <f aca="false">(Sens!C16138*IF(4&lt;life_it,1,IF(4=life_it,0.5,0))+Sens!D16138*IF(3&lt;life_it,1,IF(3=life_it,0.5,0))+Sens!E16138*IF(2&lt;life_it,1,IF(2=life_it,0.5,0))+Sens!F16138*IF(1&lt;life_it,1,IF(1=life_it,0.5,0))+Sens!G16138*0.5)/life_it</f>
        <v>56.5253124603396</v>
      </c>
      <c r="H16140" s="6" t="n">
        <f aca="false">(Sens!C16138*IF(5&lt;life_it,1,IF(5=life_it,0.5,0))+Sens!D16138*IF(4&lt;life_it,1,IF(4=life_it,0.5,0))+Sens!E16138*IF(3&lt;life_it,1,IF(3=life_it,0.5,0))+Sens!F16138*IF(2&lt;life_it,1,IF(2=life_it,0.5,0))+Sens!G16138*IF(1&lt;life_it,1,IF(1=life_it,0.5,0))+Sens!H16138*0.5)/life_it</f>
        <v>82.1599139931396</v>
      </c>
      <c r="I16140" s="6" t="n">
        <f aca="false">(Sens!C16138*IF(6&lt;life_it,1,IF(6=life_it,0.5,0))+Sens!D16138*IF(5&lt;life_it,1,IF(5=life_it,0.5,0))+Sens!E16138*IF(4&lt;life_it,1,IF(4=life_it,0.5,0))+Sens!F16138*IF(3&lt;life_it,1,IF(3=life_it,0.5,0))+Sens!G16138*IF(2&lt;life_it,1,IF(2=life_it,0.5,0))+Sens!H16138*IF(1&lt;life_it,1,IF(1=life_it,0.5,0))+Sens!I16138*0.5)/life_it</f>
        <v>105.036177889221</v>
      </c>
      <c r="J16140" s="6" t="n">
        <f aca="false">(Sens!C16138*IF(7&lt;life_it,1,IF(7=life_it,0.5,0))+Sens!D16138*IF(6&lt;life_it,1,IF(6=life_it,0.5,0))+Sens!E16138*IF(5&lt;life_it,1,IF(5=life_it,0.5,0))+Sens!F16138*IF(4&lt;life_it,1,IF(4=life_it,0.5,0))+Sens!G16138*IF(3&lt;life_it,1,IF(3=life_it,0.5,0))+Sens!H16138*IF(2&lt;life_it,1,IF(2=life_it,0.5,0))+Sens!I16138*IF(1&lt;life_it,1,IF(1=life_it,0.5,0))+Sens!J16138*0.5)/life_it</f>
        <v>121.513979640812</v>
      </c>
      <c r="K16140" s="6" t="n">
        <f aca="false">(Sens!C16138*IF(8&lt;life_it,1,IF(8=life_it,0.5,0))+Sens!D16138*IF(7&lt;life_it,1,IF(7=life_it,0.5,0))+Sens!E16138*IF(6&lt;life_it,1,IF(6=life_it,0.5,0))+Sens!F16138*IF(5&lt;life_it,1,IF(5=life_it,0.5,0))+Sens!G16138*IF(4&lt;life_it,1,IF(4=life_it,0.5,0))+Sens!H16138*IF(3&lt;life_it,1,IF(3=life_it,0.5,0))+Sens!I16138*IF(2&lt;life_it,1,IF(2=life_it,0.5,0))+Sens!J16138*IF(1&lt;life_it,1,IF(1=life_it,0.5,0))+Sens!K16138*0.5)/life_it</f>
        <v>132.169942459351</v>
      </c>
    </row>
    <row r="16141" customFormat="false" ht="17.15" hidden="false" customHeight="false" outlineLevel="0" collapsed="false">
      <c r="A16141" s="0" t="s">
        <v>853</v>
      </c>
      <c r="B16141" s="0" t="s">
        <v>98</v>
      </c>
      <c r="E16141" s="6" t="n">
        <f aca="false">(Sens!C16136*IF(2&lt;life_fac,1,IF(2=life_fac,0.5,0))+Sens!D16136*IF(1&lt;life_fac,1,IF(1=life_fac,0.5,0))+Sens!E16136*0.5)/life_fac</f>
        <v>1.2448275</v>
      </c>
      <c r="F16141" s="6" t="n">
        <f aca="false">(Sens!C16136*IF(3&lt;life_fac,1,IF(3=life_fac,0.5,0))+Sens!D16136*IF(2&lt;life_fac,1,IF(2=life_fac,0.5,0))+Sens!E16136*IF(1&lt;life_fac,1,IF(1=life_fac,0.5,0))+Sens!F16136*0.5)/life_fac</f>
        <v>2.4456901</v>
      </c>
      <c r="G16141" s="6" t="n">
        <f aca="false">(Sens!C16136*IF(4&lt;life_fac,1,IF(4=life_fac,0.5,0))+Sens!D16136*IF(3&lt;life_fac,1,IF(3=life_fac,0.5,0))+Sens!E16136*IF(2&lt;life_fac,1,IF(2=life_fac,0.5,0))+Sens!F16136*IF(1&lt;life_fac,1,IF(1=life_fac,0.5,0))+Sens!G16136*0.5)/life_fac</f>
        <v>3.9814208</v>
      </c>
      <c r="H16141" s="6" t="n">
        <f aca="false">(Sens!C16136*IF(5&lt;life_fac,1,IF(5=life_fac,0.5,0))+Sens!D16136*IF(4&lt;life_fac,1,IF(4=life_fac,0.5,0))+Sens!E16136*IF(3&lt;life_fac,1,IF(3=life_fac,0.5,0))+Sens!F16136*IF(2&lt;life_fac,1,IF(2=life_fac,0.5,0))+Sens!G16136*IF(1&lt;life_fac,1,IF(1=life_fac,0.5,0))+Sens!H16136*0.5)/life_fac</f>
        <v>5.582402</v>
      </c>
      <c r="I16141" s="6" t="n">
        <f aca="false">(Sens!C16136*IF(6&lt;life_fac,1,IF(6=life_fac,0.5,0))+Sens!D16136*IF(5&lt;life_fac,1,IF(5=life_fac,0.5,0))+Sens!E16136*IF(4&lt;life_fac,1,IF(4=life_fac,0.5,0))+Sens!F16136*IF(3&lt;life_fac,1,IF(3=life_fac,0.5,0))+Sens!G16136*IF(2&lt;life_fac,1,IF(2=life_fac,0.5,0))+Sens!H16136*IF(1&lt;life_fac,1,IF(1=life_fac,0.5,0))+Sens!I16136*0.5)/life_fac</f>
        <v>6.950862093</v>
      </c>
      <c r="J16141" s="6" t="n">
        <f aca="false">(Sens!C16136*IF(7&lt;life_fac,1,IF(7=life_fac,0.5,0))+Sens!D16136*IF(6&lt;life_fac,1,IF(6=life_fac,0.5,0))+Sens!E16136*IF(5&lt;life_fac,1,IF(5=life_fac,0.5,0))+Sens!F16136*IF(4&lt;life_fac,1,IF(4=life_fac,0.5,0))+Sens!G16136*IF(3&lt;life_fac,1,IF(3=life_fac,0.5,0))+Sens!H16136*IF(2&lt;life_fac,1,IF(2=life_fac,0.5,0))+Sens!I16136*IF(1&lt;life_fac,1,IF(1=life_fac,0.5,0))+Sens!J16136*0.5)/life_fac</f>
        <v>7.86563936186</v>
      </c>
      <c r="K16141" s="6" t="n">
        <f aca="false">(Sens!C16136*IF(8&lt;life_fac,1,IF(8=life_fac,0.5,0))+Sens!D16136*IF(7&lt;life_fac,1,IF(7=life_fac,0.5,0))+Sens!E16136*IF(6&lt;life_fac,1,IF(6=life_fac,0.5,0))+Sens!F16136*IF(5&lt;life_fac,1,IF(5=life_fac,0.5,0))+Sens!G16136*IF(4&lt;life_fac,1,IF(4=life_fac,0.5,0))+Sens!H16136*IF(3&lt;life_fac,1,IF(3=life_fac,0.5,0))+Sens!I16136*IF(2&lt;life_fac,1,IF(2=life_fac,0.5,0))+Sens!J16136*IF(1&lt;life_fac,1,IF(1=life_fac,0.5,0))+Sens!K16136*0.5)/life_fac</f>
        <v>8.3428177347858</v>
      </c>
    </row>
    <row r="16142" customFormat="false" ht="17.15" hidden="false" customHeight="false" outlineLevel="0" collapsed="false">
      <c r="A16142" s="0" t="s">
        <v>854</v>
      </c>
      <c r="B16142" s="0" t="s">
        <v>98</v>
      </c>
      <c r="E16142" s="6" t="n">
        <f aca="false">Sens!E16140+Sens!E16141</f>
        <v>16.3054059770833</v>
      </c>
      <c r="F16142" s="6" t="n">
        <f aca="false">Sens!F16140+Sens!F16141</f>
        <v>34.7405354558698</v>
      </c>
      <c r="G16142" s="6" t="n">
        <f aca="false">Sens!G16140+Sens!G16141</f>
        <v>60.5067332603396</v>
      </c>
      <c r="H16142" s="6" t="n">
        <f aca="false">Sens!H16140+Sens!H16141</f>
        <v>87.7423159931396</v>
      </c>
      <c r="I16142" s="6" t="n">
        <f aca="false">Sens!I16140+Sens!I16141</f>
        <v>111.987039982221</v>
      </c>
      <c r="J16142" s="6" t="n">
        <f aca="false">Sens!J16140+Sens!J16141</f>
        <v>129.379619002672</v>
      </c>
      <c r="K16142" s="6" t="n">
        <f aca="false">Sens!K16140+Sens!K16141</f>
        <v>140.512760194137</v>
      </c>
    </row>
    <row r="16143" customFormat="false" ht="17.15" hidden="false" customHeight="false" outlineLevel="0" collapsed="false">
      <c r="A16143" s="0" t="s">
        <v>855</v>
      </c>
      <c r="B16143" s="0" t="s">
        <v>98</v>
      </c>
      <c r="E16143" s="6" t="n">
        <f aca="false">Sens!E16131-Sens!E16130*Sens!E16142</f>
        <v>8.92707889977379</v>
      </c>
      <c r="F16143" s="6" t="n">
        <f aca="false">Sens!F16131-Sens!F16130*Sens!F16142</f>
        <v>18.615119475672</v>
      </c>
      <c r="G16143" s="6" t="n">
        <f aca="false">Sens!G16131-Sens!G16130*Sens!G16142</f>
        <v>30.2487146016024</v>
      </c>
      <c r="H16143" s="6" t="n">
        <f aca="false">Sens!H16131-Sens!H16130*Sens!H16142</f>
        <v>42.5742553879752</v>
      </c>
      <c r="I16143" s="6" t="n">
        <f aca="false">Sens!I16131-Sens!I16130*Sens!I16142</f>
        <v>53.5303670284555</v>
      </c>
      <c r="J16143" s="6" t="n">
        <f aca="false">Sens!J16131-Sens!J16130*Sens!J16142</f>
        <v>61.2252122757976</v>
      </c>
      <c r="K16143" s="6" t="n">
        <f aca="false">Sens!K16131-Sens!K16130*Sens!K16142</f>
        <v>66.7505144630841</v>
      </c>
    </row>
    <row r="16144" customFormat="false" ht="17.15" hidden="false" customHeight="false" outlineLevel="0" collapsed="false">
      <c r="A16144" s="3" t="s">
        <v>1672</v>
      </c>
    </row>
    <row r="16145" customFormat="false" ht="15" hidden="false" customHeight="false" outlineLevel="0" collapsed="false">
      <c r="A16145" s="4" t="s">
        <v>43</v>
      </c>
      <c r="B16145" s="4" t="s">
        <v>65</v>
      </c>
      <c r="C16145" s="20" t="s">
        <v>799</v>
      </c>
      <c r="D16145" s="20" t="s">
        <v>800</v>
      </c>
      <c r="E16145" s="20" t="s">
        <v>801</v>
      </c>
      <c r="F16145" s="20" t="s">
        <v>802</v>
      </c>
      <c r="G16145" s="20" t="s">
        <v>803</v>
      </c>
      <c r="H16145" s="20" t="s">
        <v>804</v>
      </c>
      <c r="I16145" s="20" t="s">
        <v>805</v>
      </c>
      <c r="J16145" s="20" t="s">
        <v>806</v>
      </c>
      <c r="K16145" s="20" t="s">
        <v>807</v>
      </c>
      <c r="L16145" s="4" t="s">
        <v>47</v>
      </c>
    </row>
    <row r="16146" customFormat="false" ht="17.15" hidden="false" customHeight="false" outlineLevel="0" collapsed="false">
      <c r="A16146" s="0" t="s">
        <v>874</v>
      </c>
      <c r="B16146" s="0" t="s">
        <v>98</v>
      </c>
      <c r="D16146" s="6" t="n">
        <f aca="false">Sens!D16125</f>
        <v>12.9359794422418</v>
      </c>
      <c r="E16146" s="6" t="n">
        <f aca="false">Sens!E16125</f>
        <v>27.8095064661409</v>
      </c>
      <c r="F16146" s="6" t="n">
        <f aca="false">Sens!F16125</f>
        <v>55.0640065749585</v>
      </c>
      <c r="G16146" s="6" t="n">
        <f aca="false">Sens!G16125</f>
        <v>89.4505413190538</v>
      </c>
      <c r="H16146" s="6" t="n">
        <f aca="false">Sens!H16125</f>
        <v>124.835630736874</v>
      </c>
      <c r="I16146" s="6" t="n">
        <f aca="false">Sens!I16125</f>
        <v>156.158460265485</v>
      </c>
      <c r="J16146" s="6" t="n">
        <f aca="false">Sens!J16125</f>
        <v>178.259285293112</v>
      </c>
      <c r="K16146" s="6" t="n">
        <f aca="false">Sens!K16125</f>
        <v>192.733290209798</v>
      </c>
    </row>
    <row r="16147" customFormat="false" ht="17.15" hidden="false" customHeight="false" outlineLevel="0" collapsed="false">
      <c r="A16147" s="0" t="s">
        <v>875</v>
      </c>
      <c r="B16147" s="0" t="s">
        <v>98</v>
      </c>
      <c r="D16147" s="6" t="n">
        <f aca="false">Q!L6-Sens!D16146</f>
        <v>59.6740205577583</v>
      </c>
      <c r="E16147" s="6" t="n">
        <f aca="false">Q!M6-Sens!E16146</f>
        <v>74.1284935338591</v>
      </c>
      <c r="F16147" s="6" t="n">
        <f aca="false">Sens!E16147*(1+Sens!F16148)</f>
        <v>90.0799497373663</v>
      </c>
      <c r="G16147" s="6" t="n">
        <f aca="false">Sens!F16147*(1+Sens!G16148)</f>
        <v>107.02842520331</v>
      </c>
      <c r="H16147" s="6" t="n">
        <f aca="false">Sens!G16147*(1+Sens!H16148)</f>
        <v>124.271982585636</v>
      </c>
      <c r="I16147" s="6" t="n">
        <f aca="false">Sens!H16147*(1+Sens!I16148)</f>
        <v>140.933702381855</v>
      </c>
      <c r="J16147" s="6" t="n">
        <f aca="false">Sens!I16147*(1+Sens!J16148)</f>
        <v>156.018867314332</v>
      </c>
      <c r="K16147" s="6" t="n">
        <f aca="false">Sens!J16147*(1+Sens!K16148)</f>
        <v>168.500376699478</v>
      </c>
    </row>
    <row r="16148" customFormat="false" ht="15" hidden="false" customHeight="false" outlineLevel="0" collapsed="false">
      <c r="A16148" s="1" t="s">
        <v>876</v>
      </c>
      <c r="B16148" s="0" t="s">
        <v>129</v>
      </c>
      <c r="E16148" s="7" t="n">
        <f aca="false">Sens!E16147/Sens!D16147-1</f>
        <v>0.242223883039864</v>
      </c>
      <c r="F16148" s="7" t="n">
        <f aca="false">Sens!$E$16148+(glt_azo-Sens!$E$16148)*MIN(1,(Sens!F16108-base_fy)/n_conv)</f>
        <v>0.215186569199887</v>
      </c>
      <c r="G16148" s="7" t="n">
        <f aca="false">Sens!$E$16148+(glt_azo-Sens!$E$16148)*MIN(1,(Sens!G16108-base_fy)/n_conv)</f>
        <v>0.18814925535991</v>
      </c>
      <c r="H16148" s="7" t="n">
        <f aca="false">Sens!$E$16148+(glt_azo-Sens!$E$16148)*MIN(1,(Sens!H16108-base_fy)/n_conv)</f>
        <v>0.161111941519932</v>
      </c>
      <c r="I16148" s="7" t="n">
        <f aca="false">Sens!$E$16148+(glt_azo-Sens!$E$16148)*MIN(1,(Sens!I16108-base_fy)/n_conv)</f>
        <v>0.134074627679955</v>
      </c>
      <c r="J16148" s="7" t="n">
        <f aca="false">Sens!$E$16148+(glt_azo-Sens!$E$16148)*MIN(1,(Sens!J16108-base_fy)/n_conv)</f>
        <v>0.107037313839977</v>
      </c>
      <c r="K16148" s="7" t="n">
        <f aca="false">Sens!$E$16148+(glt_azo-Sens!$E$16148)*MIN(1,(Sens!K16108-base_fy)/n_conv)</f>
        <v>0.08</v>
      </c>
    </row>
    <row r="16149" customFormat="false" ht="15" hidden="false" customHeight="false" outlineLevel="0" collapsed="false">
      <c r="A16149" s="0" t="s">
        <v>877</v>
      </c>
      <c r="B16149" s="0" t="s">
        <v>98</v>
      </c>
      <c r="D16149" s="6" t="n">
        <f aca="false">Sens!D16146+Sens!D16147</f>
        <v>72.61</v>
      </c>
      <c r="E16149" s="6" t="n">
        <f aca="false">Sens!E16146+Sens!E16147</f>
        <v>101.938</v>
      </c>
      <c r="F16149" s="6" t="n">
        <f aca="false">Sens!F16146+Sens!F16147</f>
        <v>145.143956312325</v>
      </c>
      <c r="G16149" s="6" t="n">
        <f aca="false">Sens!G16146+Sens!G16147</f>
        <v>196.478966522364</v>
      </c>
      <c r="H16149" s="6" t="n">
        <f aca="false">Sens!H16146+Sens!H16147</f>
        <v>249.10761332251</v>
      </c>
      <c r="I16149" s="6" t="n">
        <f aca="false">Sens!I16146+Sens!I16147</f>
        <v>297.09216264734</v>
      </c>
      <c r="J16149" s="6" t="n">
        <f aca="false">Sens!J16146+Sens!J16147</f>
        <v>334.278152607443</v>
      </c>
      <c r="K16149" s="6" t="n">
        <f aca="false">Sens!K16146+Sens!K16147</f>
        <v>361.233666909276</v>
      </c>
    </row>
    <row r="16150" customFormat="false" ht="17.15" hidden="false" customHeight="false" outlineLevel="0" collapsed="false">
      <c r="A16150" s="0" t="s">
        <v>878</v>
      </c>
      <c r="B16150" s="1" t="s">
        <v>528</v>
      </c>
      <c r="C16150" s="29" t="n">
        <f aca="false">cop_s24</f>
        <v>1</v>
      </c>
      <c r="D16150" s="29" t="n">
        <f aca="false">cop_s25</f>
        <v>5</v>
      </c>
      <c r="E16150" s="29" t="n">
        <f aca="false">cop_s26</f>
        <v>30</v>
      </c>
      <c r="F16150" s="29" t="n">
        <f aca="false">Sens!E16150+cop_add_B</f>
        <v>50</v>
      </c>
      <c r="G16150" s="29" t="n">
        <f aca="false">Sens!F16150+cop_add_B</f>
        <v>70</v>
      </c>
      <c r="H16150" s="29" t="n">
        <f aca="false">Sens!G16150+cop_add_B</f>
        <v>90</v>
      </c>
      <c r="I16150" s="29" t="n">
        <f aca="false">Sens!H16150+cop_add_B*cop_tail</f>
        <v>100</v>
      </c>
      <c r="J16150" s="29" t="n">
        <f aca="false">Sens!I16150+cop_add_B*cop_tail</f>
        <v>110</v>
      </c>
      <c r="K16150" s="29" t="n">
        <f aca="false">Sens!J16150+cop_add_B*cop_tail</f>
        <v>120</v>
      </c>
      <c r="L16150" s="11" t="s">
        <v>879</v>
      </c>
    </row>
    <row r="16151" customFormat="false" ht="17.15" hidden="false" customHeight="false" outlineLevel="0" collapsed="false">
      <c r="A16151" s="0" t="s">
        <v>880</v>
      </c>
      <c r="B16151" s="0" t="s">
        <v>98</v>
      </c>
      <c r="D16151" s="6" t="n">
        <f aca="false">(Sens!C16150+Sens!D16150)/2*cop_px*12/1000</f>
        <v>0.9</v>
      </c>
      <c r="E16151" s="6" t="n">
        <f aca="false">(Sens!D16150+Sens!E16150)/2*cop_px*12/1000</f>
        <v>5.25</v>
      </c>
      <c r="F16151" s="6" t="n">
        <f aca="false">(Sens!E16150+Sens!F16150)/2*cop_px*12/1000</f>
        <v>12</v>
      </c>
      <c r="G16151" s="6" t="n">
        <f aca="false">(Sens!F16150+Sens!G16150)/2*cop_px*12/1000</f>
        <v>18</v>
      </c>
      <c r="H16151" s="6" t="n">
        <f aca="false">(Sens!G16150+Sens!H16150)/2*cop_px*12/1000</f>
        <v>24</v>
      </c>
      <c r="I16151" s="6" t="n">
        <f aca="false">(Sens!H16150+Sens!I16150)/2*cop_px*12/1000</f>
        <v>28.5</v>
      </c>
      <c r="J16151" s="6" t="n">
        <f aca="false">(Sens!I16150+Sens!J16150)/2*cop_px*12/1000</f>
        <v>31.5</v>
      </c>
      <c r="K16151" s="6" t="n">
        <f aca="false">(Sens!J16150+Sens!K16150)/2*cop_px*12/1000</f>
        <v>34.5</v>
      </c>
      <c r="L16151" s="1" t="s">
        <v>881</v>
      </c>
    </row>
    <row r="16152" customFormat="false" ht="17.15" hidden="false" customHeight="false" outlineLevel="0" collapsed="false">
      <c r="A16152" s="0" t="s">
        <v>882</v>
      </c>
      <c r="B16152" s="0" t="s">
        <v>98</v>
      </c>
      <c r="D16152" s="6" t="n">
        <f aca="false">Q!L7-Sens!D16151</f>
        <v>83.705</v>
      </c>
      <c r="E16152" s="6" t="n">
        <f aca="false">Q!M7-Sens!E16151</f>
        <v>95.049</v>
      </c>
      <c r="F16152" s="6" t="n">
        <f aca="false">Sens!E16152*(1+Sens!F16153)</f>
        <v>106.89238776686</v>
      </c>
      <c r="G16152" s="6" t="n">
        <f aca="false">Sens!F16152*(1+Sens!G16153)</f>
        <v>119.044168448684</v>
      </c>
      <c r="H16152" s="6" t="n">
        <f aca="false">Sens!G16152*(1+Sens!H16153)</f>
        <v>131.277359388781</v>
      </c>
      <c r="I16152" s="6" t="n">
        <f aca="false">Sens!H16152*(1+Sens!I16153)</f>
        <v>143.334028071957</v>
      </c>
      <c r="J16152" s="6" t="n">
        <f aca="false">Sens!I16152*(1+Sens!J16153)</f>
        <v>154.932702785465</v>
      </c>
      <c r="K16152" s="6" t="n">
        <f aca="false">Sens!J16152*(1+Sens!K16153)</f>
        <v>165.777991980448</v>
      </c>
    </row>
    <row r="16153" customFormat="false" ht="15" hidden="false" customHeight="false" outlineLevel="0" collapsed="false">
      <c r="A16153" s="1" t="s">
        <v>876</v>
      </c>
      <c r="B16153" s="0" t="s">
        <v>129</v>
      </c>
      <c r="E16153" s="7" t="n">
        <f aca="false">Sens!E16152/Sens!D16152-1</f>
        <v>0.135523564900544</v>
      </c>
      <c r="F16153" s="7" t="n">
        <f aca="false">Sens!$E$16153+(glt_m365b-Sens!$E$16153)*MIN(1,(Sens!F16108-base_fy)/n_conv)</f>
        <v>0.124602970750453</v>
      </c>
      <c r="G16153" s="7" t="n">
        <f aca="false">Sens!$E$16153+(glt_m365b-Sens!$E$16153)*MIN(1,(Sens!G16108-base_fy)/n_conv)</f>
        <v>0.113682376600363</v>
      </c>
      <c r="H16153" s="7" t="n">
        <f aca="false">Sens!$E$16153+(glt_m365b-Sens!$E$16153)*MIN(1,(Sens!H16108-base_fy)/n_conv)</f>
        <v>0.102761782450272</v>
      </c>
      <c r="I16153" s="7" t="n">
        <f aca="false">Sens!$E$16153+(glt_m365b-Sens!$E$16153)*MIN(1,(Sens!I16108-base_fy)/n_conv)</f>
        <v>0.0918411883001813</v>
      </c>
      <c r="J16153" s="7" t="n">
        <f aca="false">Sens!$E$16153+(glt_m365b-Sens!$E$16153)*MIN(1,(Sens!J16108-base_fy)/n_conv)</f>
        <v>0.0809205941500906</v>
      </c>
      <c r="K16153" s="7" t="n">
        <f aca="false">Sens!$E$16153+(glt_m365b-Sens!$E$16153)*MIN(1,(Sens!K16108-base_fy)/n_conv)</f>
        <v>0.07</v>
      </c>
    </row>
    <row r="16154" customFormat="false" ht="15" hidden="false" customHeight="false" outlineLevel="0" collapsed="false">
      <c r="A16154" s="0" t="s">
        <v>883</v>
      </c>
      <c r="B16154" s="0" t="s">
        <v>98</v>
      </c>
      <c r="D16154" s="6" t="n">
        <f aca="false">Sens!D16152+Sens!D16151</f>
        <v>84.605</v>
      </c>
      <c r="E16154" s="6" t="n">
        <f aca="false">Sens!E16152+Sens!E16151</f>
        <v>100.299</v>
      </c>
      <c r="F16154" s="6" t="n">
        <f aca="false">Sens!F16152+Sens!F16151</f>
        <v>118.89238776686</v>
      </c>
      <c r="G16154" s="6" t="n">
        <f aca="false">Sens!G16152+Sens!G16151</f>
        <v>137.044168448684</v>
      </c>
      <c r="H16154" s="6" t="n">
        <f aca="false">Sens!H16152+Sens!H16151</f>
        <v>155.277359388781</v>
      </c>
      <c r="I16154" s="6" t="n">
        <f aca="false">Sens!I16152+Sens!I16151</f>
        <v>171.834028071957</v>
      </c>
      <c r="J16154" s="6" t="n">
        <f aca="false">Sens!J16152+Sens!J16151</f>
        <v>186.432702785465</v>
      </c>
      <c r="K16154" s="6" t="n">
        <f aca="false">Sens!K16152+Sens!K16151</f>
        <v>200.277991980448</v>
      </c>
    </row>
    <row r="16155" customFormat="false" ht="15" hidden="false" customHeight="false" outlineLevel="0" collapsed="false">
      <c r="A16155" s="0" t="s">
        <v>884</v>
      </c>
      <c r="B16155" s="0" t="s">
        <v>98</v>
      </c>
      <c r="D16155" s="6" t="n">
        <f aca="false">Q!L8</f>
        <v>35.391</v>
      </c>
      <c r="E16155" s="6" t="n">
        <f aca="false">Q!M8</f>
        <v>37.285</v>
      </c>
      <c r="F16155" s="6" t="n">
        <f aca="false">Sens!E16155*(1+Sens!F16156)</f>
        <v>39.0720834331704</v>
      </c>
      <c r="G16155" s="6" t="n">
        <f aca="false">Sens!F16155*(1+Sens!G16156)</f>
        <v>40.726562953769</v>
      </c>
      <c r="H16155" s="6" t="n">
        <f aca="false">Sens!G16155*(1+Sens!H16156)</f>
        <v>42.2235987259198</v>
      </c>
      <c r="I16155" s="6" t="n">
        <f aca="false">Sens!H16155*(1+Sens!I16156)</f>
        <v>43.5397988077414</v>
      </c>
      <c r="J16155" s="6" t="n">
        <f aca="false">Sens!I16155*(1+Sens!J16156)</f>
        <v>44.653811225693</v>
      </c>
      <c r="K16155" s="6" t="n">
        <f aca="false">Sens!J16155*(1+Sens!K16156)</f>
        <v>45.5468874502068</v>
      </c>
    </row>
    <row r="16156" customFormat="false" ht="15" hidden="false" customHeight="false" outlineLevel="0" collapsed="false">
      <c r="A16156" s="1" t="s">
        <v>876</v>
      </c>
      <c r="B16156" s="0" t="s">
        <v>129</v>
      </c>
      <c r="E16156" s="7" t="n">
        <f aca="false">Sens!E16155/Sens!D16155-1</f>
        <v>0.0535164307309768</v>
      </c>
      <c r="F16156" s="7" t="n">
        <f aca="false">Sens!$E$16156+(glt_lic-Sens!$E$16156)*MIN(1,(Sens!F16108-base_fy)/n_conv)</f>
        <v>0.0479303589424807</v>
      </c>
      <c r="G16156" s="7" t="n">
        <f aca="false">Sens!$E$16156+(glt_lic-Sens!$E$16156)*MIN(1,(Sens!G16108-base_fy)/n_conv)</f>
        <v>0.0423442871539845</v>
      </c>
      <c r="H16156" s="7" t="n">
        <f aca="false">Sens!$E$16156+(glt_lic-Sens!$E$16156)*MIN(1,(Sens!H16108-base_fy)/n_conv)</f>
        <v>0.0367582153654884</v>
      </c>
      <c r="I16156" s="7" t="n">
        <f aca="false">Sens!$E$16156+(glt_lic-Sens!$E$16156)*MIN(1,(Sens!I16108-base_fy)/n_conv)</f>
        <v>0.0311721435769923</v>
      </c>
      <c r="J16156" s="7" t="n">
        <f aca="false">Sens!$E$16156+(glt_lic-Sens!$E$16156)*MIN(1,(Sens!J16108-base_fy)/n_conv)</f>
        <v>0.0255860717884961</v>
      </c>
      <c r="K16156" s="7" t="n">
        <f aca="false">Sens!$E$16156+(glt_lic-Sens!$E$16156)*MIN(1,(Sens!K16108-base_fy)/n_conv)</f>
        <v>0.02</v>
      </c>
    </row>
    <row r="16157" customFormat="false" ht="15" hidden="false" customHeight="false" outlineLevel="0" collapsed="false">
      <c r="A16157" s="0" t="s">
        <v>885</v>
      </c>
      <c r="B16157" s="0" t="s">
        <v>98</v>
      </c>
      <c r="D16157" s="6" t="n">
        <f aca="false">Q!L9</f>
        <v>18.417</v>
      </c>
      <c r="E16157" s="6" t="n">
        <f aca="false">Q!M9</f>
        <v>20.345</v>
      </c>
      <c r="F16157" s="6" t="n">
        <f aca="false">Sens!E16157*(1+Sens!F16158)</f>
        <v>22.3572203267814</v>
      </c>
      <c r="G16157" s="6" t="n">
        <f aca="false">Sens!F16157*(1+Sens!G16158)</f>
        <v>24.4392124437232</v>
      </c>
      <c r="H16157" s="6" t="n">
        <f aca="false">Sens!G16157*(1+Sens!H16158)</f>
        <v>26.5738052080665</v>
      </c>
      <c r="I16157" s="6" t="n">
        <f aca="false">Sens!H16157*(1+Sens!I16158)</f>
        <v>28.7412169166967</v>
      </c>
      <c r="J16157" s="6" t="n">
        <f aca="false">Sens!I16157*(1+Sens!J16158)</f>
        <v>30.9192545395413</v>
      </c>
      <c r="K16157" s="6" t="n">
        <f aca="false">Sens!J16157*(1+Sens!K16158)</f>
        <v>33.0836023573092</v>
      </c>
    </row>
    <row r="16158" customFormat="false" ht="15" hidden="false" customHeight="false" outlineLevel="0" collapsed="false">
      <c r="A16158" s="1" t="s">
        <v>876</v>
      </c>
      <c r="B16158" s="0" t="s">
        <v>129</v>
      </c>
      <c r="E16158" s="7" t="n">
        <f aca="false">Sens!E16157/Sens!D16157-1</f>
        <v>0.104685888038225</v>
      </c>
      <c r="F16158" s="7" t="n">
        <f aca="false">Sens!$E$16158+(glt_ind-Sens!$E$16158)*MIN(1,(Sens!F16108-base_fy)/n_conv)</f>
        <v>0.0989049066985211</v>
      </c>
      <c r="G16158" s="7" t="n">
        <f aca="false">Sens!$E$16158+(glt_ind-Sens!$E$16158)*MIN(1,(Sens!G16108-base_fy)/n_conv)</f>
        <v>0.0931239253588169</v>
      </c>
      <c r="H16158" s="7" t="n">
        <f aca="false">Sens!$E$16158+(glt_ind-Sens!$E$16158)*MIN(1,(Sens!H16108-base_fy)/n_conv)</f>
        <v>0.0873429440191127</v>
      </c>
      <c r="I16158" s="7" t="n">
        <f aca="false">Sens!$E$16158+(glt_ind-Sens!$E$16158)*MIN(1,(Sens!I16108-base_fy)/n_conv)</f>
        <v>0.0815619626794085</v>
      </c>
      <c r="J16158" s="7" t="n">
        <f aca="false">Sens!$E$16158+(glt_ind-Sens!$E$16158)*MIN(1,(Sens!J16108-base_fy)/n_conv)</f>
        <v>0.0757809813397042</v>
      </c>
      <c r="K16158" s="7" t="n">
        <f aca="false">Sens!$E$16158+(glt_ind-Sens!$E$16158)*MIN(1,(Sens!K16108-base_fy)/n_conv)</f>
        <v>0.07</v>
      </c>
    </row>
    <row r="16159" customFormat="false" ht="15" hidden="false" customHeight="false" outlineLevel="0" collapsed="false">
      <c r="A16159" s="0" t="s">
        <v>886</v>
      </c>
      <c r="B16159" s="0" t="s">
        <v>98</v>
      </c>
      <c r="D16159" s="6" t="n">
        <f aca="false">Q!L10</f>
        <v>7.76</v>
      </c>
      <c r="E16159" s="6" t="n">
        <f aca="false">Q!M10</f>
        <v>8.26</v>
      </c>
      <c r="F16159" s="6" t="n">
        <f aca="false">Sens!E16159*(1+Sens!F16160)</f>
        <v>8.79988041237113</v>
      </c>
      <c r="G16159" s="6" t="n">
        <f aca="false">Sens!F16159*(1+Sens!G16160)</f>
        <v>9.38321269125306</v>
      </c>
      <c r="H16159" s="6" t="n">
        <f aca="false">Sens!G16159*(1+Sens!H16160)</f>
        <v>10.0139193587476</v>
      </c>
      <c r="I16159" s="6" t="n">
        <f aca="false">Sens!H16159*(1+Sens!I16160)</f>
        <v>10.6963111830911</v>
      </c>
      <c r="J16159" s="6" t="n">
        <f aca="false">Sens!I16159*(1+Sens!J16160)</f>
        <v>11.4351285534696</v>
      </c>
      <c r="K16159" s="6" t="n">
        <f aca="false">Sens!J16159*(1+Sens!K16160)</f>
        <v>12.2355875522124</v>
      </c>
    </row>
    <row r="16160" customFormat="false" ht="15" hidden="false" customHeight="false" outlineLevel="0" collapsed="false">
      <c r="A16160" s="1" t="s">
        <v>876</v>
      </c>
      <c r="B16160" s="0" t="s">
        <v>129</v>
      </c>
      <c r="E16160" s="7" t="n">
        <f aca="false">Sens!E16159/Sens!D16159-1</f>
        <v>0.0644329896907216</v>
      </c>
      <c r="F16160" s="7" t="n">
        <f aca="false">Sens!$E$16160+(glt_fro-Sens!$E$16160)*MIN(1,(Sens!F16108-base_fy)/n_conv)</f>
        <v>0.065360824742268</v>
      </c>
      <c r="G16160" s="7" t="n">
        <f aca="false">Sens!$E$16160+(glt_fro-Sens!$E$16160)*MIN(1,(Sens!G16108-base_fy)/n_conv)</f>
        <v>0.0662886597938144</v>
      </c>
      <c r="H16160" s="7" t="n">
        <f aca="false">Sens!$E$16160+(glt_fro-Sens!$E$16160)*MIN(1,(Sens!H16108-base_fy)/n_conv)</f>
        <v>0.0672164948453608</v>
      </c>
      <c r="I16160" s="7" t="n">
        <f aca="false">Sens!$E$16160+(glt_fro-Sens!$E$16160)*MIN(1,(Sens!I16108-base_fy)/n_conv)</f>
        <v>0.0681443298969072</v>
      </c>
      <c r="J16160" s="7" t="n">
        <f aca="false">Sens!$E$16160+(glt_fro-Sens!$E$16160)*MIN(1,(Sens!J16108-base_fy)/n_conv)</f>
        <v>0.0690721649484536</v>
      </c>
      <c r="K16160" s="7" t="n">
        <f aca="false">Sens!$E$16160+(glt_fro-Sens!$E$16160)*MIN(1,(Sens!K16108-base_fy)/n_conv)</f>
        <v>0.07</v>
      </c>
    </row>
    <row r="16161" customFormat="false" ht="15" hidden="false" customHeight="false" outlineLevel="0" collapsed="false">
      <c r="A16161" s="0" t="s">
        <v>715</v>
      </c>
      <c r="B16161" s="0" t="s">
        <v>98</v>
      </c>
      <c r="D16161" s="6" t="n">
        <f aca="false">Sens!D16149+Sens!D16154+Sens!D16155+Sens!D16157+Sens!D16159</f>
        <v>218.783</v>
      </c>
      <c r="E16161" s="6" t="n">
        <f aca="false">Sens!E16149+Sens!E16154+Sens!E16155+Sens!E16157+Sens!E16159</f>
        <v>268.127</v>
      </c>
      <c r="F16161" s="6" t="n">
        <f aca="false">Sens!F16149+Sens!F16154+Sens!F16155+Sens!F16157+Sens!F16159</f>
        <v>334.265528251508</v>
      </c>
      <c r="G16161" s="6" t="n">
        <f aca="false">Sens!G16149+Sens!G16154+Sens!G16155+Sens!G16157+Sens!G16159</f>
        <v>408.072123059793</v>
      </c>
      <c r="H16161" s="6" t="n">
        <f aca="false">Sens!H16149+Sens!H16154+Sens!H16155+Sens!H16157+Sens!H16159</f>
        <v>483.196296004025</v>
      </c>
      <c r="I16161" s="6" t="n">
        <f aca="false">Sens!I16149+Sens!I16154+Sens!I16155+Sens!I16157+Sens!I16159</f>
        <v>551.903517626826</v>
      </c>
      <c r="J16161" s="6" t="n">
        <f aca="false">Sens!J16149+Sens!J16154+Sens!J16155+Sens!J16157+Sens!J16159</f>
        <v>607.719049711612</v>
      </c>
      <c r="K16161" s="6" t="n">
        <f aca="false">Sens!K16149+Sens!K16154+Sens!K16155+Sens!K16157+Sens!K16159</f>
        <v>652.377736249452</v>
      </c>
    </row>
    <row r="16162" customFormat="false" ht="15" hidden="false" customHeight="false" outlineLevel="0" collapsed="false">
      <c r="A16162" s="0" t="s">
        <v>887</v>
      </c>
      <c r="B16162" s="0" t="s">
        <v>98</v>
      </c>
      <c r="D16162" s="6" t="n">
        <f aca="false">Q!L13</f>
        <v>22.171</v>
      </c>
      <c r="E16162" s="6" t="n">
        <f aca="false">Q!M13</f>
        <v>24.835</v>
      </c>
      <c r="F16162" s="6" t="n">
        <f aca="false">Sens!E16162*(1+Sens!F16163)</f>
        <v>27.6114901218559</v>
      </c>
      <c r="G16162" s="6" t="n">
        <f aca="false">Sens!F16162*(1+Sens!G16163)</f>
        <v>30.4675667338515</v>
      </c>
      <c r="H16162" s="6" t="n">
        <f aca="false">Sens!G16162*(1+Sens!H16163)</f>
        <v>33.3643766955789</v>
      </c>
      <c r="I16162" s="6" t="n">
        <f aca="false">Sens!H16162*(1+Sens!I16163)</f>
        <v>36.2577016533691</v>
      </c>
      <c r="J16162" s="6" t="n">
        <f aca="false">Sens!I16162*(1+Sens!J16163)</f>
        <v>39.0988367952171</v>
      </c>
      <c r="K16162" s="6" t="n">
        <f aca="false">Sens!J16162*(1+Sens!K16163)</f>
        <v>41.8357553708823</v>
      </c>
    </row>
    <row r="16163" customFormat="false" ht="15" hidden="false" customHeight="false" outlineLevel="0" collapsed="false">
      <c r="A16163" s="1" t="s">
        <v>876</v>
      </c>
      <c r="B16163" s="0" t="s">
        <v>129</v>
      </c>
      <c r="E16163" s="7" t="n">
        <f aca="false">Sens!E16162/Sens!D16162-1</f>
        <v>0.120156961796942</v>
      </c>
      <c r="F16163" s="7" t="n">
        <f aca="false">Sens!$E$16163+(glt_srch-Sens!$E$16163)*MIN(1,(Sens!F16108-base_fy)/n_conv)</f>
        <v>0.111797468164118</v>
      </c>
      <c r="G16163" s="7" t="n">
        <f aca="false">Sens!$E$16163+(glt_srch-Sens!$E$16163)*MIN(1,(Sens!G16108-base_fy)/n_conv)</f>
        <v>0.103437974531295</v>
      </c>
      <c r="H16163" s="7" t="n">
        <f aca="false">Sens!$E$16163+(glt_srch-Sens!$E$16163)*MIN(1,(Sens!H16108-base_fy)/n_conv)</f>
        <v>0.095078480898471</v>
      </c>
      <c r="I16163" s="7" t="n">
        <f aca="false">Sens!$E$16163+(glt_srch-Sens!$E$16163)*MIN(1,(Sens!I16108-base_fy)/n_conv)</f>
        <v>0.0867189872656474</v>
      </c>
      <c r="J16163" s="7" t="n">
        <f aca="false">Sens!$E$16163+(glt_srch-Sens!$E$16163)*MIN(1,(Sens!J16108-base_fy)/n_conv)</f>
        <v>0.0783594936328237</v>
      </c>
      <c r="K16163" s="7" t="n">
        <f aca="false">Sens!$E$16163+(glt_srch-Sens!$E$16163)*MIN(1,(Sens!K16108-base_fy)/n_conv)</f>
        <v>0.07</v>
      </c>
    </row>
    <row r="16164" customFormat="false" ht="15" hidden="false" customHeight="false" outlineLevel="0" collapsed="false">
      <c r="A16164" s="0" t="s">
        <v>888</v>
      </c>
      <c r="B16164" s="0" t="s">
        <v>98</v>
      </c>
      <c r="D16164" s="6" t="n">
        <f aca="false">Q!L14</f>
        <v>23.455</v>
      </c>
      <c r="E16164" s="6" t="n">
        <f aca="false">Q!M14</f>
        <v>21.79</v>
      </c>
      <c r="F16164" s="6" t="n">
        <f aca="false">Sens!E16164*(1+Sens!F16165)</f>
        <v>20.5736277908051</v>
      </c>
      <c r="G16164" s="6" t="n">
        <f aca="false">Sens!F16164*(1+Sens!G16165)</f>
        <v>19.7371452817919</v>
      </c>
      <c r="H16164" s="6" t="n">
        <f aca="false">Sens!G16164*(1+Sens!H16165)</f>
        <v>19.2339764043138</v>
      </c>
      <c r="I16164" s="6" t="n">
        <f aca="false">Sens!H16164*(1+Sens!I16165)</f>
        <v>19.0353086852681</v>
      </c>
      <c r="J16164" s="6" t="n">
        <f aca="false">Sens!I16164*(1+Sens!J16165)</f>
        <v>19.1273539319129</v>
      </c>
      <c r="K16164" s="6" t="n">
        <f aca="false">Sens!J16164*(1+Sens!K16165)</f>
        <v>19.5099010105511</v>
      </c>
    </row>
    <row r="16165" customFormat="false" ht="15" hidden="false" customHeight="false" outlineLevel="0" collapsed="false">
      <c r="A16165" s="1" t="s">
        <v>876</v>
      </c>
      <c r="B16165" s="0" t="s">
        <v>129</v>
      </c>
      <c r="E16165" s="7" t="n">
        <f aca="false">Sens!E16164/Sens!D16164-1</f>
        <v>-0.0709869963760392</v>
      </c>
      <c r="F16165" s="7" t="n">
        <f aca="false">Sens!$E$16165+(glt_xbox-Sens!$E$16165)*MIN(1,(Sens!F16108-base_fy)/n_conv)</f>
        <v>-0.0558224969800327</v>
      </c>
      <c r="G16165" s="7" t="n">
        <f aca="false">Sens!$E$16165+(glt_xbox-Sens!$E$16165)*MIN(1,(Sens!G16108-base_fy)/n_conv)</f>
        <v>-0.0406579975840262</v>
      </c>
      <c r="H16165" s="7" t="n">
        <f aca="false">Sens!$E$16165+(glt_xbox-Sens!$E$16165)*MIN(1,(Sens!H16108-base_fy)/n_conv)</f>
        <v>-0.0254934981880196</v>
      </c>
      <c r="I16165" s="7" t="n">
        <f aca="false">Sens!$E$16165+(glt_xbox-Sens!$E$16165)*MIN(1,(Sens!I16108-base_fy)/n_conv)</f>
        <v>-0.0103289987920131</v>
      </c>
      <c r="J16165" s="7" t="n">
        <f aca="false">Sens!$E$16165+(glt_xbox-Sens!$E$16165)*MIN(1,(Sens!J16108-base_fy)/n_conv)</f>
        <v>0.00483550060399347</v>
      </c>
      <c r="K16165" s="7" t="n">
        <f aca="false">Sens!$E$16165+(glt_xbox-Sens!$E$16165)*MIN(1,(Sens!K16108-base_fy)/n_conv)</f>
        <v>0.02</v>
      </c>
    </row>
    <row r="16166" customFormat="false" ht="15" hidden="false" customHeight="false" outlineLevel="0" collapsed="false">
      <c r="A16166" s="0" t="s">
        <v>889</v>
      </c>
      <c r="B16166" s="0" t="s">
        <v>98</v>
      </c>
      <c r="D16166" s="6" t="n">
        <f aca="false">Q!L15</f>
        <v>17.315</v>
      </c>
      <c r="E16166" s="6" t="n">
        <f aca="false">Q!M15</f>
        <v>17.087</v>
      </c>
      <c r="F16166" s="6" t="n">
        <f aca="false">Sens!E16166*(1+Sens!F16167)</f>
        <v>16.9564585436519</v>
      </c>
      <c r="G16166" s="6" t="n">
        <f aca="false">Sens!F16166*(1+Sens!G16167)</f>
        <v>16.9206490624268</v>
      </c>
      <c r="H16166" s="6" t="n">
        <f aca="false">Sens!G16166*(1+Sens!H16167)</f>
        <v>16.9784519149849</v>
      </c>
      <c r="I16166" s="6" t="n">
        <f aca="false">Sens!H16166*(1+Sens!I16167)</f>
        <v>17.1303084701817</v>
      </c>
      <c r="J16166" s="6" t="n">
        <f aca="false">Sens!I16166*(1+Sens!J16167)</f>
        <v>17.3782189407267</v>
      </c>
      <c r="K16166" s="6" t="n">
        <f aca="false">Sens!J16166*(1+Sens!K16167)</f>
        <v>17.7257833195413</v>
      </c>
    </row>
    <row r="16167" customFormat="false" ht="15" hidden="false" customHeight="false" outlineLevel="0" collapsed="false">
      <c r="A16167" s="1" t="s">
        <v>876</v>
      </c>
      <c r="B16167" s="0" t="s">
        <v>129</v>
      </c>
      <c r="E16167" s="7" t="n">
        <f aca="false">Sens!E16166/Sens!D16166-1</f>
        <v>-0.0131677736066995</v>
      </c>
      <c r="F16167" s="7" t="n">
        <f aca="false">Sens!$E$16167+(glt_win-Sens!$E$16167)*MIN(1,(Sens!F16108-base_fy)/n_conv)</f>
        <v>-0.00763981133891627</v>
      </c>
      <c r="G16167" s="7" t="n">
        <f aca="false">Sens!$E$16167+(glt_win-Sens!$E$16167)*MIN(1,(Sens!G16108-base_fy)/n_conv)</f>
        <v>-0.00211184907113301</v>
      </c>
      <c r="H16167" s="7" t="n">
        <f aca="false">Sens!$E$16167+(glt_win-Sens!$E$16167)*MIN(1,(Sens!H16108-base_fy)/n_conv)</f>
        <v>0.00341611319665024</v>
      </c>
      <c r="I16167" s="7" t="n">
        <f aca="false">Sens!$E$16167+(glt_win-Sens!$E$16167)*MIN(1,(Sens!I16108-base_fy)/n_conv)</f>
        <v>0.00894407546443349</v>
      </c>
      <c r="J16167" s="7" t="n">
        <f aca="false">Sens!$E$16167+(glt_win-Sens!$E$16167)*MIN(1,(Sens!J16108-base_fy)/n_conv)</f>
        <v>0.0144720377322168</v>
      </c>
      <c r="K16167" s="7" t="n">
        <f aca="false">Sens!$E$16167+(glt_win-Sens!$E$16167)*MIN(1,(Sens!K16108-base_fy)/n_conv)</f>
        <v>0.02</v>
      </c>
    </row>
    <row r="16168" customFormat="false" ht="15" hidden="false" customHeight="false" outlineLevel="0" collapsed="false">
      <c r="A16168" s="0" t="s">
        <v>729</v>
      </c>
      <c r="B16168" s="0" t="s">
        <v>98</v>
      </c>
      <c r="D16168" s="6" t="n">
        <f aca="false">Sens!D16162+Sens!D16164+Sens!D16166</f>
        <v>62.941</v>
      </c>
      <c r="E16168" s="6" t="n">
        <f aca="false">Sens!E16162+Sens!E16164+Sens!E16166</f>
        <v>63.712</v>
      </c>
      <c r="F16168" s="6" t="n">
        <f aca="false">Sens!F16162+Sens!F16164+Sens!F16166</f>
        <v>65.1415764563129</v>
      </c>
      <c r="G16168" s="6" t="n">
        <f aca="false">Sens!G16162+Sens!G16164+Sens!G16166</f>
        <v>67.1253610780702</v>
      </c>
      <c r="H16168" s="6" t="n">
        <f aca="false">Sens!H16162+Sens!H16164+Sens!H16166</f>
        <v>69.5768050148776</v>
      </c>
      <c r="I16168" s="6" t="n">
        <f aca="false">Sens!I16162+Sens!I16164+Sens!I16166</f>
        <v>72.4233188088189</v>
      </c>
      <c r="J16168" s="6" t="n">
        <f aca="false">Sens!J16162+Sens!J16164+Sens!J16166</f>
        <v>75.6044096678567</v>
      </c>
      <c r="K16168" s="6" t="n">
        <f aca="false">Sens!K16162+Sens!K16164+Sens!K16166</f>
        <v>79.0714397009747</v>
      </c>
    </row>
    <row r="16169" customFormat="false" ht="15" hidden="false" customHeight="false" outlineLevel="0" collapsed="false">
      <c r="A16169" s="1" t="s">
        <v>890</v>
      </c>
      <c r="B16169" s="0" t="s">
        <v>98</v>
      </c>
      <c r="D16169" s="6" t="n">
        <f aca="false">Sens!D16161+Sens!D16168</f>
        <v>281.724</v>
      </c>
      <c r="E16169" s="6" t="n">
        <f aca="false">Sens!E16161+Sens!E16168</f>
        <v>331.839</v>
      </c>
      <c r="F16169" s="6" t="n">
        <f aca="false">Sens!F16161+Sens!F16168</f>
        <v>399.407104707821</v>
      </c>
      <c r="G16169" s="6" t="n">
        <f aca="false">Sens!G16161+Sens!G16168</f>
        <v>475.197484137863</v>
      </c>
      <c r="H16169" s="6" t="n">
        <f aca="false">Sens!H16161+Sens!H16168</f>
        <v>552.773101018903</v>
      </c>
      <c r="I16169" s="6" t="n">
        <f aca="false">Sens!I16161+Sens!I16168</f>
        <v>624.326836435645</v>
      </c>
      <c r="J16169" s="6" t="n">
        <f aca="false">Sens!J16161+Sens!J16168</f>
        <v>683.323459379469</v>
      </c>
      <c r="K16169" s="6" t="n">
        <f aca="false">Sens!K16161+Sens!K16168</f>
        <v>731.449175950427</v>
      </c>
    </row>
    <row r="16170" customFormat="false" ht="15" hidden="false" customHeight="false" outlineLevel="0" collapsed="false">
      <c r="A16170" s="23" t="s">
        <v>891</v>
      </c>
      <c r="B16170" s="30" t="s">
        <v>98</v>
      </c>
      <c r="C16170" s="30"/>
      <c r="D16170" s="24" t="n">
        <f aca="false">(Sens!D16149+Sens!D16154+Sens!D16155+Sens!D16157+Sens!D16159-Sens!D16161)+(Sens!D16162+Sens!D16164+Sens!D16166-Sens!D16168)+(Sens!D16161-Q!L5)+(Sens!D16168-Q!L12)+(Sens!D16149-Q!L6)+(Sens!D16154-Q!L7)</f>
        <v>0</v>
      </c>
      <c r="E16170" s="24" t="n">
        <f aca="false">(Sens!E16149+Sens!E16154+Sens!E16155+Sens!E16157+Sens!E16159-Sens!E16161)+(Sens!E16162+Sens!E16164+Sens!E16166-Sens!E16168)+(Sens!E16161-Q!M5)+(Sens!E16168-Q!M12)+(Sens!E16149-Q!M6)+(Sens!E16154-Q!M7)</f>
        <v>0</v>
      </c>
      <c r="F16170" s="24" t="n">
        <f aca="false">(Sens!F16149+Sens!F16154+Sens!F16155+Sens!F16157+Sens!F16159-Sens!F16161)+(Sens!F16162+Sens!F16164+Sens!F16166-Sens!F16168)</f>
        <v>0</v>
      </c>
      <c r="G16170" s="24" t="n">
        <f aca="false">(Sens!G16149+Sens!G16154+Sens!G16155+Sens!G16157+Sens!G16159-Sens!G16161)+(Sens!G16162+Sens!G16164+Sens!G16166-Sens!G16168)</f>
        <v>0</v>
      </c>
      <c r="H16170" s="24" t="n">
        <f aca="false">(Sens!H16149+Sens!H16154+Sens!H16155+Sens!H16157+Sens!H16159-Sens!H16161)+(Sens!H16162+Sens!H16164+Sens!H16166-Sens!H16168)</f>
        <v>0</v>
      </c>
      <c r="I16170" s="24" t="n">
        <f aca="false">(Sens!I16149+Sens!I16154+Sens!I16155+Sens!I16157+Sens!I16159-Sens!I16161)+(Sens!I16162+Sens!I16164+Sens!I16166-Sens!I16168)</f>
        <v>0</v>
      </c>
      <c r="J16170" s="24" t="n">
        <f aca="false">(Sens!J16149+Sens!J16154+Sens!J16155+Sens!J16157+Sens!J16159-Sens!J16161)+(Sens!J16162+Sens!J16164+Sens!J16166-Sens!J16168)</f>
        <v>0</v>
      </c>
      <c r="K16170" s="24" t="n">
        <f aca="false">(Sens!K16149+Sens!K16154+Sens!K16155+Sens!K16157+Sens!K16159-Sens!K16161)+(Sens!K16162+Sens!K16164+Sens!K16166-Sens!K16168)</f>
        <v>0</v>
      </c>
    </row>
    <row r="16171" customFormat="false" ht="17.15" hidden="false" customHeight="false" outlineLevel="0" collapsed="false">
      <c r="A16171" s="3" t="s">
        <v>1673</v>
      </c>
    </row>
    <row r="16172" customFormat="false" ht="15" hidden="false" customHeight="false" outlineLevel="0" collapsed="false">
      <c r="A16172" s="4" t="s">
        <v>43</v>
      </c>
      <c r="B16172" s="4" t="s">
        <v>65</v>
      </c>
      <c r="C16172" s="20" t="s">
        <v>799</v>
      </c>
      <c r="D16172" s="20" t="s">
        <v>800</v>
      </c>
      <c r="E16172" s="20" t="s">
        <v>801</v>
      </c>
      <c r="F16172" s="20" t="s">
        <v>802</v>
      </c>
      <c r="G16172" s="20" t="s">
        <v>803</v>
      </c>
      <c r="H16172" s="20" t="s">
        <v>804</v>
      </c>
      <c r="I16172" s="20" t="s">
        <v>805</v>
      </c>
      <c r="J16172" s="20" t="s">
        <v>806</v>
      </c>
      <c r="K16172" s="20" t="s">
        <v>807</v>
      </c>
      <c r="L16172" s="4" t="s">
        <v>47</v>
      </c>
    </row>
    <row r="16173" customFormat="false" ht="15" hidden="false" customHeight="false" outlineLevel="0" collapsed="false">
      <c r="A16173" s="0" t="s">
        <v>877</v>
      </c>
      <c r="B16173" s="0" t="s">
        <v>98</v>
      </c>
      <c r="D16173" s="6" t="n">
        <f aca="false">Sens!D16149</f>
        <v>72.61</v>
      </c>
      <c r="E16173" s="6" t="n">
        <f aca="false">Sens!E16149</f>
        <v>101.938</v>
      </c>
      <c r="F16173" s="6" t="n">
        <f aca="false">Sens!F16149</f>
        <v>145.143956312325</v>
      </c>
      <c r="G16173" s="6" t="n">
        <f aca="false">Sens!G16149</f>
        <v>196.478966522364</v>
      </c>
      <c r="H16173" s="6" t="n">
        <f aca="false">Sens!H16149</f>
        <v>249.10761332251</v>
      </c>
      <c r="I16173" s="6" t="n">
        <f aca="false">Sens!I16149</f>
        <v>297.09216264734</v>
      </c>
      <c r="J16173" s="6" t="n">
        <f aca="false">Sens!J16149</f>
        <v>334.278152607443</v>
      </c>
      <c r="K16173" s="6" t="n">
        <f aca="false">Sens!K16149</f>
        <v>361.233666909276</v>
      </c>
    </row>
    <row r="16174" customFormat="false" ht="17.15" hidden="false" customHeight="false" outlineLevel="0" collapsed="false">
      <c r="A16174" s="0" t="s">
        <v>874</v>
      </c>
      <c r="B16174" s="0" t="s">
        <v>98</v>
      </c>
      <c r="D16174" s="6" t="n">
        <f aca="false">Sens!D16146</f>
        <v>12.9359794422418</v>
      </c>
      <c r="E16174" s="6" t="n">
        <f aca="false">Sens!E16146</f>
        <v>27.8095064661409</v>
      </c>
      <c r="F16174" s="6" t="n">
        <f aca="false">Sens!F16146</f>
        <v>55.0640065749585</v>
      </c>
      <c r="G16174" s="6" t="n">
        <f aca="false">Sens!G16146</f>
        <v>89.4505413190538</v>
      </c>
      <c r="H16174" s="6" t="n">
        <f aca="false">Sens!H16146</f>
        <v>124.835630736874</v>
      </c>
      <c r="I16174" s="6" t="n">
        <f aca="false">Sens!I16146</f>
        <v>156.158460265485</v>
      </c>
      <c r="J16174" s="6" t="n">
        <f aca="false">Sens!J16146</f>
        <v>178.259285293112</v>
      </c>
      <c r="K16174" s="6" t="n">
        <f aca="false">Sens!K16146</f>
        <v>192.733290209798</v>
      </c>
    </row>
    <row r="16175" customFormat="false" ht="17.15" hidden="false" customHeight="false" outlineLevel="0" collapsed="false">
      <c r="A16175" s="0" t="s">
        <v>902</v>
      </c>
      <c r="B16175" s="0" t="s">
        <v>98</v>
      </c>
      <c r="D16175" s="6" t="n">
        <f aca="false">Sens!D16147</f>
        <v>59.6740205577583</v>
      </c>
      <c r="E16175" s="6" t="n">
        <f aca="false">Sens!E16147</f>
        <v>74.1284935338591</v>
      </c>
      <c r="F16175" s="6" t="n">
        <f aca="false">Sens!F16147</f>
        <v>90.0799497373663</v>
      </c>
      <c r="G16175" s="6" t="n">
        <f aca="false">Sens!G16147</f>
        <v>107.02842520331</v>
      </c>
      <c r="H16175" s="6" t="n">
        <f aca="false">Sens!H16147</f>
        <v>124.271982585636</v>
      </c>
      <c r="I16175" s="6" t="n">
        <f aca="false">Sens!I16147</f>
        <v>140.933702381855</v>
      </c>
      <c r="J16175" s="6" t="n">
        <f aca="false">Sens!J16147</f>
        <v>156.018867314332</v>
      </c>
      <c r="K16175" s="6" t="n">
        <f aca="false">Sens!K16147</f>
        <v>168.500376699478</v>
      </c>
    </row>
    <row r="16176" customFormat="false" ht="15" hidden="false" customHeight="false" outlineLevel="0" collapsed="false">
      <c r="A16176" s="0" t="s">
        <v>883</v>
      </c>
      <c r="B16176" s="0" t="s">
        <v>98</v>
      </c>
      <c r="D16176" s="6" t="n">
        <f aca="false">Sens!D16154</f>
        <v>84.605</v>
      </c>
      <c r="E16176" s="6" t="n">
        <f aca="false">Sens!E16154</f>
        <v>100.299</v>
      </c>
      <c r="F16176" s="6" t="n">
        <f aca="false">Sens!F16154</f>
        <v>118.89238776686</v>
      </c>
      <c r="G16176" s="6" t="n">
        <f aca="false">Sens!G16154</f>
        <v>137.044168448684</v>
      </c>
      <c r="H16176" s="6" t="n">
        <f aca="false">Sens!H16154</f>
        <v>155.277359388781</v>
      </c>
      <c r="I16176" s="6" t="n">
        <f aca="false">Sens!I16154</f>
        <v>171.834028071957</v>
      </c>
      <c r="J16176" s="6" t="n">
        <f aca="false">Sens!J16154</f>
        <v>186.432702785465</v>
      </c>
      <c r="K16176" s="6" t="n">
        <f aca="false">Sens!K16154</f>
        <v>200.277991980448</v>
      </c>
    </row>
    <row r="16177" customFormat="false" ht="17.15" hidden="false" customHeight="false" outlineLevel="0" collapsed="false">
      <c r="A16177" s="0" t="s">
        <v>903</v>
      </c>
      <c r="B16177" s="0" t="s">
        <v>98</v>
      </c>
      <c r="D16177" s="6" t="n">
        <f aca="false">Sens!D16152</f>
        <v>83.705</v>
      </c>
      <c r="E16177" s="6" t="n">
        <f aca="false">Sens!E16152</f>
        <v>95.049</v>
      </c>
      <c r="F16177" s="6" t="n">
        <f aca="false">Sens!F16152</f>
        <v>106.89238776686</v>
      </c>
      <c r="G16177" s="6" t="n">
        <f aca="false">Sens!G16152</f>
        <v>119.044168448684</v>
      </c>
      <c r="H16177" s="6" t="n">
        <f aca="false">Sens!H16152</f>
        <v>131.277359388781</v>
      </c>
      <c r="I16177" s="6" t="n">
        <f aca="false">Sens!I16152</f>
        <v>143.334028071957</v>
      </c>
      <c r="J16177" s="6" t="n">
        <f aca="false">Sens!J16152</f>
        <v>154.932702785465</v>
      </c>
      <c r="K16177" s="6" t="n">
        <f aca="false">Sens!K16152</f>
        <v>165.777991980448</v>
      </c>
    </row>
    <row r="16178" customFormat="false" ht="17.15" hidden="false" customHeight="false" outlineLevel="0" collapsed="false">
      <c r="A16178" s="0" t="s">
        <v>904</v>
      </c>
      <c r="B16178" s="0" t="s">
        <v>98</v>
      </c>
      <c r="D16178" s="6" t="n">
        <f aca="false">Sens!D16151</f>
        <v>0.9</v>
      </c>
      <c r="E16178" s="6" t="n">
        <f aca="false">Sens!E16151</f>
        <v>5.25</v>
      </c>
      <c r="F16178" s="6" t="n">
        <f aca="false">Sens!F16151</f>
        <v>12</v>
      </c>
      <c r="G16178" s="6" t="n">
        <f aca="false">Sens!G16151</f>
        <v>18</v>
      </c>
      <c r="H16178" s="6" t="n">
        <f aca="false">Sens!H16151</f>
        <v>24</v>
      </c>
      <c r="I16178" s="6" t="n">
        <f aca="false">Sens!I16151</f>
        <v>28.5</v>
      </c>
      <c r="J16178" s="6" t="n">
        <f aca="false">Sens!J16151</f>
        <v>31.5</v>
      </c>
      <c r="K16178" s="6" t="n">
        <f aca="false">Sens!K16151</f>
        <v>34.5</v>
      </c>
    </row>
    <row r="16179" customFormat="false" ht="15" hidden="false" customHeight="false" outlineLevel="0" collapsed="false">
      <c r="A16179" s="0" t="s">
        <v>884</v>
      </c>
      <c r="B16179" s="0" t="s">
        <v>98</v>
      </c>
      <c r="D16179" s="6" t="n">
        <f aca="false">Sens!D16155</f>
        <v>35.391</v>
      </c>
      <c r="E16179" s="6" t="n">
        <f aca="false">Sens!E16155</f>
        <v>37.285</v>
      </c>
      <c r="F16179" s="6" t="n">
        <f aca="false">Sens!F16155</f>
        <v>39.0720834331704</v>
      </c>
      <c r="G16179" s="6" t="n">
        <f aca="false">Sens!G16155</f>
        <v>40.726562953769</v>
      </c>
      <c r="H16179" s="6" t="n">
        <f aca="false">Sens!H16155</f>
        <v>42.2235987259198</v>
      </c>
      <c r="I16179" s="6" t="n">
        <f aca="false">Sens!I16155</f>
        <v>43.5397988077414</v>
      </c>
      <c r="J16179" s="6" t="n">
        <f aca="false">Sens!J16155</f>
        <v>44.653811225693</v>
      </c>
      <c r="K16179" s="6" t="n">
        <f aca="false">Sens!K16155</f>
        <v>45.5468874502068</v>
      </c>
    </row>
    <row r="16180" customFormat="false" ht="15" hidden="false" customHeight="false" outlineLevel="0" collapsed="false">
      <c r="A16180" s="0" t="s">
        <v>885</v>
      </c>
      <c r="B16180" s="0" t="s">
        <v>98</v>
      </c>
      <c r="D16180" s="6" t="n">
        <f aca="false">Sens!D16157</f>
        <v>18.417</v>
      </c>
      <c r="E16180" s="6" t="n">
        <f aca="false">Sens!E16157</f>
        <v>20.345</v>
      </c>
      <c r="F16180" s="6" t="n">
        <f aca="false">Sens!F16157</f>
        <v>22.3572203267814</v>
      </c>
      <c r="G16180" s="6" t="n">
        <f aca="false">Sens!G16157</f>
        <v>24.4392124437232</v>
      </c>
      <c r="H16180" s="6" t="n">
        <f aca="false">Sens!H16157</f>
        <v>26.5738052080665</v>
      </c>
      <c r="I16180" s="6" t="n">
        <f aca="false">Sens!I16157</f>
        <v>28.7412169166967</v>
      </c>
      <c r="J16180" s="6" t="n">
        <f aca="false">Sens!J16157</f>
        <v>30.9192545395413</v>
      </c>
      <c r="K16180" s="6" t="n">
        <f aca="false">Sens!K16157</f>
        <v>33.0836023573092</v>
      </c>
    </row>
    <row r="16181" customFormat="false" ht="15" hidden="false" customHeight="false" outlineLevel="0" collapsed="false">
      <c r="A16181" s="0" t="s">
        <v>886</v>
      </c>
      <c r="B16181" s="0" t="s">
        <v>98</v>
      </c>
      <c r="D16181" s="6" t="n">
        <f aca="false">Sens!D16159</f>
        <v>7.76</v>
      </c>
      <c r="E16181" s="6" t="n">
        <f aca="false">Sens!E16159</f>
        <v>8.26</v>
      </c>
      <c r="F16181" s="6" t="n">
        <f aca="false">Sens!F16159</f>
        <v>8.79988041237113</v>
      </c>
      <c r="G16181" s="6" t="n">
        <f aca="false">Sens!G16159</f>
        <v>9.38321269125306</v>
      </c>
      <c r="H16181" s="6" t="n">
        <f aca="false">Sens!H16159</f>
        <v>10.0139193587476</v>
      </c>
      <c r="I16181" s="6" t="n">
        <f aca="false">Sens!I16159</f>
        <v>10.6963111830911</v>
      </c>
      <c r="J16181" s="6" t="n">
        <f aca="false">Sens!J16159</f>
        <v>11.4351285534696</v>
      </c>
      <c r="K16181" s="6" t="n">
        <f aca="false">Sens!K16159</f>
        <v>12.2355875522124</v>
      </c>
    </row>
    <row r="16182" customFormat="false" ht="15" hidden="false" customHeight="false" outlineLevel="0" collapsed="false">
      <c r="A16182" s="0" t="s">
        <v>715</v>
      </c>
      <c r="B16182" s="0" t="s">
        <v>98</v>
      </c>
      <c r="D16182" s="6" t="n">
        <f aca="false">Sens!D16161</f>
        <v>218.783</v>
      </c>
      <c r="E16182" s="6" t="n">
        <f aca="false">Sens!E16161</f>
        <v>268.127</v>
      </c>
      <c r="F16182" s="6" t="n">
        <f aca="false">Sens!F16161</f>
        <v>334.265528251508</v>
      </c>
      <c r="G16182" s="6" t="n">
        <f aca="false">Sens!G16161</f>
        <v>408.072123059793</v>
      </c>
      <c r="H16182" s="6" t="n">
        <f aca="false">Sens!H16161</f>
        <v>483.196296004025</v>
      </c>
      <c r="I16182" s="6" t="n">
        <f aca="false">Sens!I16161</f>
        <v>551.903517626826</v>
      </c>
      <c r="J16182" s="6" t="n">
        <f aca="false">Sens!J16161</f>
        <v>607.719049711612</v>
      </c>
      <c r="K16182" s="6" t="n">
        <f aca="false">Sens!K16161</f>
        <v>652.377736249452</v>
      </c>
    </row>
    <row r="16183" customFormat="false" ht="15" hidden="false" customHeight="false" outlineLevel="0" collapsed="false">
      <c r="A16183" s="0" t="s">
        <v>887</v>
      </c>
      <c r="B16183" s="0" t="s">
        <v>98</v>
      </c>
      <c r="D16183" s="6" t="n">
        <f aca="false">Sens!D16162</f>
        <v>22.171</v>
      </c>
      <c r="E16183" s="6" t="n">
        <f aca="false">Sens!E16162</f>
        <v>24.835</v>
      </c>
      <c r="F16183" s="6" t="n">
        <f aca="false">Sens!F16162</f>
        <v>27.6114901218559</v>
      </c>
      <c r="G16183" s="6" t="n">
        <f aca="false">Sens!G16162</f>
        <v>30.4675667338515</v>
      </c>
      <c r="H16183" s="6" t="n">
        <f aca="false">Sens!H16162</f>
        <v>33.3643766955789</v>
      </c>
      <c r="I16183" s="6" t="n">
        <f aca="false">Sens!I16162</f>
        <v>36.2577016533691</v>
      </c>
      <c r="J16183" s="6" t="n">
        <f aca="false">Sens!J16162</f>
        <v>39.0988367952171</v>
      </c>
      <c r="K16183" s="6" t="n">
        <f aca="false">Sens!K16162</f>
        <v>41.8357553708823</v>
      </c>
    </row>
    <row r="16184" customFormat="false" ht="15" hidden="false" customHeight="false" outlineLevel="0" collapsed="false">
      <c r="A16184" s="0" t="s">
        <v>888</v>
      </c>
      <c r="B16184" s="0" t="s">
        <v>98</v>
      </c>
      <c r="D16184" s="6" t="n">
        <f aca="false">Sens!D16164</f>
        <v>23.455</v>
      </c>
      <c r="E16184" s="6" t="n">
        <f aca="false">Sens!E16164</f>
        <v>21.79</v>
      </c>
      <c r="F16184" s="6" t="n">
        <f aca="false">Sens!F16164</f>
        <v>20.5736277908051</v>
      </c>
      <c r="G16184" s="6" t="n">
        <f aca="false">Sens!G16164</f>
        <v>19.7371452817919</v>
      </c>
      <c r="H16184" s="6" t="n">
        <f aca="false">Sens!H16164</f>
        <v>19.2339764043138</v>
      </c>
      <c r="I16184" s="6" t="n">
        <f aca="false">Sens!I16164</f>
        <v>19.0353086852681</v>
      </c>
      <c r="J16184" s="6" t="n">
        <f aca="false">Sens!J16164</f>
        <v>19.1273539319129</v>
      </c>
      <c r="K16184" s="6" t="n">
        <f aca="false">Sens!K16164</f>
        <v>19.5099010105511</v>
      </c>
    </row>
    <row r="16185" customFormat="false" ht="15" hidden="false" customHeight="false" outlineLevel="0" collapsed="false">
      <c r="A16185" s="0" t="s">
        <v>889</v>
      </c>
      <c r="B16185" s="0" t="s">
        <v>98</v>
      </c>
      <c r="D16185" s="6" t="n">
        <f aca="false">Sens!D16166</f>
        <v>17.315</v>
      </c>
      <c r="E16185" s="6" t="n">
        <f aca="false">Sens!E16166</f>
        <v>17.087</v>
      </c>
      <c r="F16185" s="6" t="n">
        <f aca="false">Sens!F16166</f>
        <v>16.9564585436519</v>
      </c>
      <c r="G16185" s="6" t="n">
        <f aca="false">Sens!G16166</f>
        <v>16.9206490624268</v>
      </c>
      <c r="H16185" s="6" t="n">
        <f aca="false">Sens!H16166</f>
        <v>16.9784519149849</v>
      </c>
      <c r="I16185" s="6" t="n">
        <f aca="false">Sens!I16166</f>
        <v>17.1303084701817</v>
      </c>
      <c r="J16185" s="6" t="n">
        <f aca="false">Sens!J16166</f>
        <v>17.3782189407267</v>
      </c>
      <c r="K16185" s="6" t="n">
        <f aca="false">Sens!K16166</f>
        <v>17.7257833195413</v>
      </c>
    </row>
    <row r="16186" customFormat="false" ht="15" hidden="false" customHeight="false" outlineLevel="0" collapsed="false">
      <c r="A16186" s="0" t="s">
        <v>729</v>
      </c>
      <c r="B16186" s="0" t="s">
        <v>98</v>
      </c>
      <c r="D16186" s="6" t="n">
        <f aca="false">Sens!D16168</f>
        <v>62.941</v>
      </c>
      <c r="E16186" s="6" t="n">
        <f aca="false">Sens!E16168</f>
        <v>63.712</v>
      </c>
      <c r="F16186" s="6" t="n">
        <f aca="false">Sens!F16168</f>
        <v>65.1415764563129</v>
      </c>
      <c r="G16186" s="6" t="n">
        <f aca="false">Sens!G16168</f>
        <v>67.1253610780702</v>
      </c>
      <c r="H16186" s="6" t="n">
        <f aca="false">Sens!H16168</f>
        <v>69.5768050148776</v>
      </c>
      <c r="I16186" s="6" t="n">
        <f aca="false">Sens!I16168</f>
        <v>72.4233188088189</v>
      </c>
      <c r="J16186" s="6" t="n">
        <f aca="false">Sens!J16168</f>
        <v>75.6044096678567</v>
      </c>
      <c r="K16186" s="6" t="n">
        <f aca="false">Sens!K16168</f>
        <v>79.0714397009747</v>
      </c>
    </row>
    <row r="16187" customFormat="false" ht="15" hidden="false" customHeight="false" outlineLevel="0" collapsed="false">
      <c r="A16187" s="1" t="s">
        <v>905</v>
      </c>
      <c r="B16187" s="0" t="s">
        <v>98</v>
      </c>
      <c r="D16187" s="6" t="n">
        <f aca="false">Sens!D16169</f>
        <v>281.724</v>
      </c>
      <c r="E16187" s="6" t="n">
        <f aca="false">Sens!E16169</f>
        <v>331.839</v>
      </c>
      <c r="F16187" s="6" t="n">
        <f aca="false">Sens!F16169</f>
        <v>399.407104707821</v>
      </c>
      <c r="G16187" s="6" t="n">
        <f aca="false">Sens!G16169</f>
        <v>475.197484137863</v>
      </c>
      <c r="H16187" s="6" t="n">
        <f aca="false">Sens!H16169</f>
        <v>552.773101018903</v>
      </c>
      <c r="I16187" s="6" t="n">
        <f aca="false">Sens!I16169</f>
        <v>624.326836435645</v>
      </c>
      <c r="J16187" s="6" t="n">
        <f aca="false">Sens!J16169</f>
        <v>683.323459379469</v>
      </c>
      <c r="K16187" s="6" t="n">
        <f aca="false">Sens!K16169</f>
        <v>731.449175950427</v>
      </c>
    </row>
    <row r="16188" customFormat="false" ht="15" hidden="false" customHeight="false" outlineLevel="0" collapsed="false">
      <c r="A16188" s="1" t="s">
        <v>906</v>
      </c>
      <c r="B16188" s="0" t="s">
        <v>129</v>
      </c>
      <c r="E16188" s="7" t="n">
        <f aca="false">Sens!E16187/Sens!D16187-1</f>
        <v>0.177886867998467</v>
      </c>
      <c r="F16188" s="7" t="n">
        <f aca="false">Sens!F16187/Sens!E16187-1</f>
        <v>0.203617129715978</v>
      </c>
      <c r="G16188" s="7" t="n">
        <f aca="false">Sens!G16187/Sens!F16187-1</f>
        <v>0.189757213972159</v>
      </c>
      <c r="H16188" s="7" t="n">
        <f aca="false">Sens!H16187/Sens!G16187-1</f>
        <v>0.163249216316418</v>
      </c>
      <c r="I16188" s="7" t="n">
        <f aca="false">Sens!I16187/Sens!H16187-1</f>
        <v>0.129445038633121</v>
      </c>
      <c r="J16188" s="7" t="n">
        <f aca="false">Sens!J16187/Sens!I16187-1</f>
        <v>0.0944963751368479</v>
      </c>
      <c r="K16188" s="7" t="n">
        <f aca="false">Sens!K16187/Sens!J16187-1</f>
        <v>0.0704288955843271</v>
      </c>
    </row>
    <row r="16189" customFormat="false" ht="17.15" hidden="false" customHeight="false" outlineLevel="0" collapsed="false">
      <c r="A16189" s="23" t="s">
        <v>907</v>
      </c>
      <c r="B16189" s="30" t="s">
        <v>98</v>
      </c>
      <c r="C16189" s="30"/>
      <c r="D16189" s="24" t="n">
        <f aca="false">(Sens!D16182+Sens!D16186-Sens!D16187)+(Sens!D16174+Sens!D16175-Sens!D16173)+(Sens!D16177+Sens!D16178-Sens!D16176)+(Sens!D16187-Q!L18)</f>
        <v>0</v>
      </c>
      <c r="E16189" s="24" t="n">
        <f aca="false">(Sens!E16182+Sens!E16186-Sens!E16187)+(Sens!E16174+Sens!E16175-Sens!E16173)+(Sens!E16177+Sens!E16178-Sens!E16176)+(Sens!E16187-Q!M18)</f>
        <v>0</v>
      </c>
      <c r="F16189" s="24" t="n">
        <f aca="false">(Sens!F16182+Sens!F16186-Sens!F16187)+(Sens!F16174+Sens!F16175-Sens!F16173)+(Sens!F16177+Sens!F16178-Sens!F16176)</f>
        <v>0</v>
      </c>
      <c r="G16189" s="24" t="n">
        <f aca="false">(Sens!G16182+Sens!G16186-Sens!G16187)+(Sens!G16174+Sens!G16175-Sens!G16173)+(Sens!G16177+Sens!G16178-Sens!G16176)</f>
        <v>0</v>
      </c>
      <c r="H16189" s="24" t="n">
        <f aca="false">(Sens!H16182+Sens!H16186-Sens!H16187)+(Sens!H16174+Sens!H16175-Sens!H16173)+(Sens!H16177+Sens!H16178-Sens!H16176)</f>
        <v>0</v>
      </c>
      <c r="I16189" s="24" t="n">
        <f aca="false">(Sens!I16182+Sens!I16186-Sens!I16187)+(Sens!I16174+Sens!I16175-Sens!I16173)+(Sens!I16177+Sens!I16178-Sens!I16176)</f>
        <v>0</v>
      </c>
      <c r="J16189" s="24" t="n">
        <f aca="false">(Sens!J16182+Sens!J16186-Sens!J16187)+(Sens!J16174+Sens!J16175-Sens!J16173)+(Sens!J16177+Sens!J16178-Sens!J16176)</f>
        <v>0</v>
      </c>
      <c r="K16189" s="24" t="n">
        <f aca="false">(Sens!K16182+Sens!K16186-Sens!K16187)+(Sens!K16174+Sens!K16175-Sens!K16173)+(Sens!K16177+Sens!K16178-Sens!K16176)</f>
        <v>0</v>
      </c>
    </row>
    <row r="16190" customFormat="false" ht="17.15" hidden="false" customHeight="false" outlineLevel="0" collapsed="false">
      <c r="A16190" s="0" t="s">
        <v>908</v>
      </c>
      <c r="B16190" s="0" t="s">
        <v>129</v>
      </c>
      <c r="E16190" s="7" t="n">
        <f aca="false">(Q!M21+Sens!E16127+Sens!E16128+Sens!E16129+Sens!E16142-Sens!E16125)/(Q!M5-Sens!E16125)</f>
        <v>0.570957350878296</v>
      </c>
      <c r="F16190" s="7" t="n">
        <f aca="false">Sens!$E$16190+dm_seg</f>
        <v>0.570957350878296</v>
      </c>
      <c r="G16190" s="7" t="n">
        <f aca="false">Sens!$E$16190+dm_seg</f>
        <v>0.570957350878296</v>
      </c>
      <c r="H16190" s="7" t="n">
        <f aca="false">Sens!$E$16190+dm_seg</f>
        <v>0.570957350878296</v>
      </c>
      <c r="I16190" s="7" t="n">
        <f aca="false">Sens!$E$16190+dm_seg</f>
        <v>0.570957350878296</v>
      </c>
      <c r="J16190" s="7" t="n">
        <f aca="false">Sens!$E$16190+dm_seg</f>
        <v>0.570957350878296</v>
      </c>
      <c r="K16190" s="7" t="n">
        <f aca="false">Sens!$E$16190+dm_seg</f>
        <v>0.570957350878296</v>
      </c>
      <c r="L16190" s="11" t="s">
        <v>909</v>
      </c>
    </row>
    <row r="16191" customFormat="false" ht="17.15" hidden="false" customHeight="false" outlineLevel="0" collapsed="false">
      <c r="A16191" s="0" t="s">
        <v>743</v>
      </c>
      <c r="B16191" s="0" t="s">
        <v>98</v>
      </c>
      <c r="D16191" s="6" t="n">
        <f aca="false">Q!L21</f>
        <v>110.814</v>
      </c>
      <c r="E16191" s="6" t="n">
        <f aca="false">Q!M21</f>
        <v>136.365</v>
      </c>
      <c r="F16191" s="6" t="n">
        <f aca="false">Sens!F16190*(Sens!F16161-Sens!F16125)+Sens!F16125-(Sens!F16127+Sens!F16128+Sens!F16129)-Sens!F16142-Sens!F16225</f>
        <v>157.598135920446</v>
      </c>
      <c r="G16191" s="6" t="n">
        <f aca="false">Sens!G16190*(Sens!G16161-Sens!G16125)+Sens!G16125-(Sens!G16127+Sens!G16128+Sens!G16129)-Sens!G16142-Sens!G16225</f>
        <v>177.180724366646</v>
      </c>
      <c r="H16191" s="6" t="n">
        <f aca="false">Sens!H16190*(Sens!H16161-Sens!H16125)+Sens!H16125-(Sens!H16127+Sens!H16128+Sens!H16129)-Sens!H16142-Sens!H16225</f>
        <v>196.822554588626</v>
      </c>
      <c r="I16191" s="6" t="n">
        <f aca="false">Sens!I16190*(Sens!I16161-Sens!I16125)+Sens!I16125-(Sens!I16127+Sens!I16128+Sens!I16129)-Sens!I16142-Sens!I16225</f>
        <v>215.54574777798</v>
      </c>
      <c r="J16191" s="6" t="n">
        <f aca="false">Sens!J16190*(Sens!J16161-Sens!J16125)+Sens!J16125-(Sens!J16127+Sens!J16128+Sens!J16129)-Sens!J16142-Sens!J16225</f>
        <v>232.886266332126</v>
      </c>
      <c r="K16191" s="6" t="n">
        <f aca="false">Sens!K16190*(Sens!K16161-Sens!K16125)+Sens!K16125-(Sens!K16127+Sens!K16128+Sens!K16129)-Sens!K16142-Sens!K16225</f>
        <v>249.679932555331</v>
      </c>
      <c r="L16191" s="1" t="s">
        <v>910</v>
      </c>
    </row>
    <row r="16192" customFormat="false" ht="17.15" hidden="false" customHeight="false" outlineLevel="0" collapsed="false">
      <c r="A16192" s="0" t="s">
        <v>911</v>
      </c>
      <c r="B16192" s="0" t="s">
        <v>129</v>
      </c>
      <c r="E16192" s="7" t="n">
        <f aca="false">Q!M22/Q!M12</f>
        <v>0.296207935710698</v>
      </c>
      <c r="F16192" s="7" t="n">
        <f aca="false">Sens!$E$16192+dm_seg</f>
        <v>0.296207935710698</v>
      </c>
      <c r="G16192" s="7" t="n">
        <f aca="false">Sens!$E$16192+dm_seg</f>
        <v>0.296207935710698</v>
      </c>
      <c r="H16192" s="7" t="n">
        <f aca="false">Sens!$E$16192+dm_seg</f>
        <v>0.296207935710698</v>
      </c>
      <c r="I16192" s="7" t="n">
        <f aca="false">Sens!$E$16192+dm_seg</f>
        <v>0.296207935710698</v>
      </c>
      <c r="J16192" s="7" t="n">
        <f aca="false">Sens!$E$16192+dm_seg</f>
        <v>0.296207935710698</v>
      </c>
      <c r="K16192" s="7" t="n">
        <f aca="false">Sens!$E$16192+dm_seg</f>
        <v>0.296207935710698</v>
      </c>
      <c r="L16192" s="11" t="s">
        <v>912</v>
      </c>
    </row>
    <row r="16193" customFormat="false" ht="17.15" hidden="false" customHeight="false" outlineLevel="0" collapsed="false">
      <c r="A16193" s="0" t="s">
        <v>745</v>
      </c>
      <c r="B16193" s="0" t="s">
        <v>98</v>
      </c>
      <c r="D16193" s="6" t="n">
        <f aca="false">Q!L22</f>
        <v>17.714</v>
      </c>
      <c r="E16193" s="6" t="n">
        <f aca="false">Q!M22</f>
        <v>18.872</v>
      </c>
      <c r="F16193" s="6" t="n">
        <f aca="false">Sens!F16168*Sens!F16192</f>
        <v>19.2954518910651</v>
      </c>
      <c r="G16193" s="6" t="n">
        <f aca="false">Sens!G16168*Sens!G16192</f>
        <v>19.8830646387704</v>
      </c>
      <c r="H16193" s="6" t="n">
        <f aca="false">Sens!H16168*Sens!H16192</f>
        <v>20.6092017868026</v>
      </c>
      <c r="I16193" s="6" t="n">
        <f aca="false">Sens!I16168*Sens!I16192</f>
        <v>21.452361761678</v>
      </c>
      <c r="J16193" s="6" t="n">
        <f aca="false">Sens!J16168*Sens!J16192</f>
        <v>22.3946261183418</v>
      </c>
      <c r="K16193" s="6" t="n">
        <f aca="false">Sens!K16168*Sens!K16192</f>
        <v>23.4215879274986</v>
      </c>
    </row>
    <row r="16194" customFormat="false" ht="15" hidden="false" customHeight="false" outlineLevel="0" collapsed="false">
      <c r="A16194" s="1" t="s">
        <v>913</v>
      </c>
      <c r="B16194" s="0" t="s">
        <v>98</v>
      </c>
      <c r="D16194" s="6" t="n">
        <f aca="false">Sens!D16191+Sens!D16193</f>
        <v>128.528</v>
      </c>
      <c r="E16194" s="6" t="n">
        <f aca="false">Sens!E16191+Sens!E16193</f>
        <v>155.237</v>
      </c>
      <c r="F16194" s="6" t="n">
        <f aca="false">Sens!F16191+Sens!F16193</f>
        <v>176.893587811511</v>
      </c>
      <c r="G16194" s="6" t="n">
        <f aca="false">Sens!G16191+Sens!G16193</f>
        <v>197.063789005417</v>
      </c>
      <c r="H16194" s="6" t="n">
        <f aca="false">Sens!H16191+Sens!H16193</f>
        <v>217.431756375428</v>
      </c>
      <c r="I16194" s="6" t="n">
        <f aca="false">Sens!I16191+Sens!I16193</f>
        <v>236.998109539658</v>
      </c>
      <c r="J16194" s="6" t="n">
        <f aca="false">Sens!J16191+Sens!J16193</f>
        <v>255.280892450468</v>
      </c>
      <c r="K16194" s="6" t="n">
        <f aca="false">Sens!K16191+Sens!K16193</f>
        <v>273.10152048283</v>
      </c>
    </row>
    <row r="16195" customFormat="false" ht="15" hidden="false" customHeight="false" outlineLevel="0" collapsed="false">
      <c r="A16195" s="23" t="s">
        <v>914</v>
      </c>
      <c r="B16195" s="30" t="s">
        <v>98</v>
      </c>
      <c r="C16195" s="30"/>
      <c r="D16195" s="24" t="n">
        <f aca="false">Sens!D16194-Q!L23</f>
        <v>0</v>
      </c>
      <c r="E16195" s="24" t="n">
        <f aca="false">Sens!E16194-Q!M23</f>
        <v>0</v>
      </c>
      <c r="F16195" s="30"/>
      <c r="G16195" s="30"/>
      <c r="H16195" s="30"/>
      <c r="I16195" s="30"/>
      <c r="J16195" s="30"/>
      <c r="K16195" s="30"/>
    </row>
    <row r="16196" customFormat="false" ht="15" hidden="false" customHeight="false" outlineLevel="0" collapsed="false">
      <c r="A16196" s="1" t="s">
        <v>915</v>
      </c>
      <c r="B16196" s="0" t="s">
        <v>129</v>
      </c>
      <c r="D16196" s="7" t="n">
        <f aca="false">Sens!D16194/Sens!D16187</f>
        <v>0.456219562408598</v>
      </c>
      <c r="E16196" s="7" t="n">
        <f aca="false">Sens!E16194/Sens!E16187</f>
        <v>0.467808184089272</v>
      </c>
      <c r="F16196" s="7" t="n">
        <f aca="false">Sens!F16194/Sens!F16187</f>
        <v>0.442890438668873</v>
      </c>
      <c r="G16196" s="7" t="n">
        <f aca="false">Sens!G16194/Sens!G16187</f>
        <v>0.414698721233644</v>
      </c>
      <c r="H16196" s="7" t="n">
        <f aca="false">Sens!H16194/Sens!H16187</f>
        <v>0.393347208781769</v>
      </c>
      <c r="I16196" s="7" t="n">
        <f aca="false">Sens!I16194/Sens!I16187</f>
        <v>0.37960583416966</v>
      </c>
      <c r="J16196" s="7" t="n">
        <f aca="false">Sens!J16194/Sens!J16187</f>
        <v>0.373587192048536</v>
      </c>
      <c r="K16196" s="7" t="n">
        <f aca="false">Sens!K16194/Sens!K16187</f>
        <v>0.373370467097688</v>
      </c>
    </row>
    <row r="16197" customFormat="false" ht="17.15" hidden="false" customHeight="false" outlineLevel="0" collapsed="false">
      <c r="A16197" s="1" t="s">
        <v>916</v>
      </c>
      <c r="B16197" s="0" t="s">
        <v>98</v>
      </c>
      <c r="F16197" s="6" t="n">
        <f aca="false">Sens!F16212</f>
        <v>9.29892047395526</v>
      </c>
      <c r="G16197" s="6" t="n">
        <f aca="false">Sens!G16212</f>
        <v>23.9346303607031</v>
      </c>
      <c r="H16197" s="6" t="n">
        <f aca="false">Sens!H16212</f>
        <v>40.1043191979728</v>
      </c>
      <c r="I16197" s="6" t="n">
        <f aca="false">Sens!I16212</f>
        <v>54.9360183203111</v>
      </c>
      <c r="J16197" s="6" t="n">
        <f aca="false">Sens!J16212</f>
        <v>65.4555422613168</v>
      </c>
      <c r="K16197" s="6" t="n">
        <f aca="false">Sens!K16212</f>
        <v>71.4992160033785</v>
      </c>
      <c r="L16197" s="1" t="s">
        <v>917</v>
      </c>
    </row>
    <row r="16198" customFormat="false" ht="17.15" hidden="false" customHeight="false" outlineLevel="0" collapsed="false">
      <c r="A16198" s="1" t="s">
        <v>918</v>
      </c>
      <c r="B16198" s="0" t="s">
        <v>98</v>
      </c>
      <c r="D16198" s="6" t="n">
        <f aca="false">Sens!D16194</f>
        <v>128.528</v>
      </c>
      <c r="E16198" s="6" t="n">
        <f aca="false">Sens!E16194</f>
        <v>155.237</v>
      </c>
      <c r="F16198" s="6" t="n">
        <f aca="false">Sens!F16194+Sens!F16197</f>
        <v>186.192508285466</v>
      </c>
      <c r="G16198" s="6" t="n">
        <f aca="false">Sens!G16194+Sens!G16197</f>
        <v>220.99841936612</v>
      </c>
      <c r="H16198" s="6" t="n">
        <f aca="false">Sens!H16194+Sens!H16197</f>
        <v>257.536075573401</v>
      </c>
      <c r="I16198" s="6" t="n">
        <f aca="false">Sens!I16194+Sens!I16197</f>
        <v>291.934127859969</v>
      </c>
      <c r="J16198" s="6" t="n">
        <f aca="false">Sens!J16194+Sens!J16197</f>
        <v>320.736434711784</v>
      </c>
      <c r="K16198" s="6" t="n">
        <f aca="false">Sens!K16194+Sens!K16197</f>
        <v>344.600736486208</v>
      </c>
    </row>
    <row r="16199" customFormat="false" ht="17.15" hidden="false" customHeight="false" outlineLevel="0" collapsed="false">
      <c r="A16199" s="1" t="s">
        <v>919</v>
      </c>
      <c r="B16199" s="0" t="s">
        <v>98</v>
      </c>
      <c r="E16199" s="6" t="n">
        <f aca="false">Sens!E16142</f>
        <v>16.3054059770833</v>
      </c>
      <c r="F16199" s="6" t="n">
        <f aca="false">Sens!F16142</f>
        <v>34.7405354558698</v>
      </c>
      <c r="G16199" s="6" t="n">
        <f aca="false">Sens!G16142</f>
        <v>60.5067332603396</v>
      </c>
      <c r="H16199" s="6" t="n">
        <f aca="false">Sens!H16142</f>
        <v>87.7423159931396</v>
      </c>
      <c r="I16199" s="6" t="n">
        <f aca="false">Sens!I16142</f>
        <v>111.987039982221</v>
      </c>
      <c r="J16199" s="6" t="n">
        <f aca="false">Sens!J16142</f>
        <v>129.379619002672</v>
      </c>
      <c r="K16199" s="6" t="n">
        <f aca="false">Sens!K16142</f>
        <v>140.512760194137</v>
      </c>
    </row>
    <row r="16200" customFormat="false" ht="17.15" hidden="false" customHeight="false" outlineLevel="0" collapsed="false">
      <c r="A16200" s="1" t="s">
        <v>920</v>
      </c>
      <c r="B16200" s="0" t="s">
        <v>98</v>
      </c>
      <c r="E16200" s="6" t="n">
        <f aca="false">Sens!E16224</f>
        <v>22.2285940229167</v>
      </c>
      <c r="F16200" s="6" t="n">
        <f aca="false">Sens!F16224</f>
        <v>23.5636693435813</v>
      </c>
      <c r="G16200" s="6" t="n">
        <f aca="false">Sens!G16224</f>
        <v>25.3225917662621</v>
      </c>
      <c r="H16200" s="6" t="n">
        <f aca="false">Sens!H16224</f>
        <v>27.4714839540448</v>
      </c>
      <c r="I16200" s="6" t="n">
        <f aca="false">Sens!I16224</f>
        <v>29.9441755898047</v>
      </c>
      <c r="J16200" s="6" t="n">
        <f aca="false">Sens!J16224</f>
        <v>32.6578493558616</v>
      </c>
      <c r="K16200" s="6" t="n">
        <f aca="false">Sens!K16224</f>
        <v>35.5289346944749</v>
      </c>
    </row>
    <row r="16201" customFormat="false" ht="17.15" hidden="false" customHeight="false" outlineLevel="0" collapsed="false">
      <c r="A16201" s="1" t="s">
        <v>921</v>
      </c>
      <c r="B16201" s="0" t="s">
        <v>98</v>
      </c>
      <c r="D16201" s="6" t="n">
        <f aca="false">Q!L27</f>
        <v>-4.901</v>
      </c>
      <c r="E16201" s="6" t="n">
        <f aca="false">Q!M27</f>
        <v>10.697</v>
      </c>
      <c r="F16201" s="6" t="n">
        <f aca="false">oie_f</f>
        <v>-0.4</v>
      </c>
      <c r="G16201" s="6" t="n">
        <f aca="false">oie_f</f>
        <v>-0.4</v>
      </c>
      <c r="H16201" s="6" t="n">
        <f aca="false">oie_f</f>
        <v>-0.4</v>
      </c>
      <c r="I16201" s="6" t="n">
        <f aca="false">oie_f</f>
        <v>-0.4</v>
      </c>
      <c r="J16201" s="6" t="n">
        <f aca="false">oie_f</f>
        <v>-0.4</v>
      </c>
      <c r="K16201" s="6" t="n">
        <f aca="false">oie_f</f>
        <v>-0.4</v>
      </c>
      <c r="L16201" s="11" t="s">
        <v>922</v>
      </c>
    </row>
    <row r="16202" customFormat="false" ht="15" hidden="false" customHeight="false" outlineLevel="0" collapsed="false">
      <c r="A16202" s="1" t="s">
        <v>923</v>
      </c>
      <c r="B16202" s="0" t="s">
        <v>98</v>
      </c>
      <c r="D16202" s="6" t="n">
        <f aca="false">Sens!D16194+Sens!D16201</f>
        <v>123.627</v>
      </c>
      <c r="E16202" s="6" t="n">
        <f aca="false">Sens!E16194+Sens!E16201</f>
        <v>165.934</v>
      </c>
      <c r="F16202" s="6" t="n">
        <f aca="false">Sens!F16194+Sens!F16201</f>
        <v>176.493587811511</v>
      </c>
      <c r="G16202" s="6" t="n">
        <f aca="false">Sens!G16194+Sens!G16201</f>
        <v>196.663789005417</v>
      </c>
      <c r="H16202" s="6" t="n">
        <f aca="false">Sens!H16194+Sens!H16201</f>
        <v>217.031756375428</v>
      </c>
      <c r="I16202" s="6" t="n">
        <f aca="false">Sens!I16194+Sens!I16201</f>
        <v>236.598109539658</v>
      </c>
      <c r="J16202" s="6" t="n">
        <f aca="false">Sens!J16194+Sens!J16201</f>
        <v>254.880892450468</v>
      </c>
      <c r="K16202" s="6" t="n">
        <f aca="false">Sens!K16194+Sens!K16201</f>
        <v>272.70152048283</v>
      </c>
    </row>
    <row r="16203" customFormat="false" ht="15" hidden="false" customHeight="false" outlineLevel="0" collapsed="false">
      <c r="A16203" s="1" t="s">
        <v>924</v>
      </c>
      <c r="B16203" s="0" t="s">
        <v>98</v>
      </c>
      <c r="D16203" s="6" t="n">
        <f aca="false">Q!L29</f>
        <v>21.795</v>
      </c>
      <c r="E16203" s="6" t="n">
        <f aca="false">Q!M29</f>
        <v>32.185</v>
      </c>
      <c r="F16203" s="6" t="n">
        <f aca="false">Sens!F16202*tax_f</f>
        <v>35.2987175623022</v>
      </c>
      <c r="G16203" s="6" t="n">
        <f aca="false">Sens!G16202*tax_f</f>
        <v>39.3327578010833</v>
      </c>
      <c r="H16203" s="6" t="n">
        <f aca="false">Sens!H16202*tax_f</f>
        <v>43.4063512750857</v>
      </c>
      <c r="I16203" s="6" t="n">
        <f aca="false">Sens!I16202*tax_f</f>
        <v>47.3196219079316</v>
      </c>
      <c r="J16203" s="6" t="n">
        <f aca="false">Sens!J16202*tax_f</f>
        <v>50.9761784900935</v>
      </c>
      <c r="K16203" s="6" t="n">
        <f aca="false">Sens!K16202*tax_f</f>
        <v>54.540304096566</v>
      </c>
    </row>
    <row r="16204" customFormat="false" ht="15" hidden="false" customHeight="false" outlineLevel="0" collapsed="false">
      <c r="A16204" s="1" t="s">
        <v>925</v>
      </c>
      <c r="B16204" s="0" t="s">
        <v>98</v>
      </c>
      <c r="D16204" s="6" t="n">
        <f aca="false">Sens!D16202-Sens!D16203</f>
        <v>101.832</v>
      </c>
      <c r="E16204" s="6" t="n">
        <f aca="false">Sens!E16202-Sens!E16203</f>
        <v>133.749</v>
      </c>
      <c r="F16204" s="6" t="n">
        <f aca="false">Sens!F16202-Sens!F16203</f>
        <v>141.194870249209</v>
      </c>
      <c r="G16204" s="6" t="n">
        <f aca="false">Sens!G16202-Sens!G16203</f>
        <v>157.331031204333</v>
      </c>
      <c r="H16204" s="6" t="n">
        <f aca="false">Sens!H16202-Sens!H16203</f>
        <v>173.625405100343</v>
      </c>
      <c r="I16204" s="6" t="n">
        <f aca="false">Sens!I16202-Sens!I16203</f>
        <v>189.278487631726</v>
      </c>
      <c r="J16204" s="6" t="n">
        <f aca="false">Sens!J16202-Sens!J16203</f>
        <v>203.904713960374</v>
      </c>
      <c r="K16204" s="6" t="n">
        <f aca="false">Sens!K16202-Sens!K16203</f>
        <v>218.161216386264</v>
      </c>
    </row>
    <row r="16205" customFormat="false" ht="17.15" hidden="false" customHeight="false" outlineLevel="0" collapsed="false">
      <c r="A16205" s="1" t="s">
        <v>926</v>
      </c>
      <c r="B16205" s="1" t="s">
        <v>81</v>
      </c>
      <c r="D16205" s="14" t="n">
        <f aca="false">Q!L31</f>
        <v>7.465</v>
      </c>
      <c r="E16205" s="14" t="n">
        <f aca="false">Q!M31</f>
        <v>7.453</v>
      </c>
      <c r="F16205" s="14" t="n">
        <f aca="false">Sens!F16248</f>
        <v>7.4735</v>
      </c>
      <c r="G16205" s="14" t="n">
        <f aca="false">Sens!G16248</f>
        <v>7.51795969944731</v>
      </c>
      <c r="H16205" s="14" t="n">
        <f aca="false">Sens!H16248</f>
        <v>7.54517098474457</v>
      </c>
      <c r="I16205" s="14" t="n">
        <f aca="false">Sens!I16248</f>
        <v>7.55695181675188</v>
      </c>
      <c r="J16205" s="14" t="n">
        <f aca="false">Sens!J16248</f>
        <v>7.57119332786977</v>
      </c>
      <c r="K16205" s="14" t="n">
        <f aca="false">Sens!K16248</f>
        <v>7.58771324557151</v>
      </c>
    </row>
    <row r="16206" customFormat="false" ht="17.15" hidden="false" customHeight="false" outlineLevel="0" collapsed="false">
      <c r="A16206" s="0" t="s">
        <v>927</v>
      </c>
      <c r="B16206" s="0" t="s">
        <v>75</v>
      </c>
      <c r="D16206" s="8" t="n">
        <f aca="false">Sens!D16204/Sens!D16205</f>
        <v>13.641259209645</v>
      </c>
      <c r="E16206" s="8" t="n">
        <f aca="false">Sens!E16204/Sens!E16205</f>
        <v>17.9456594659869</v>
      </c>
      <c r="F16206" s="8" t="n">
        <f aca="false">Sens!F16204/Sens!F16205</f>
        <v>18.8927370374267</v>
      </c>
      <c r="G16206" s="8" t="n">
        <f aca="false">Sens!G16204/Sens!G16205</f>
        <v>20.9273576201665</v>
      </c>
      <c r="H16206" s="8" t="n">
        <f aca="false">Sens!H16204/Sens!H16205</f>
        <v>23.0114606350727</v>
      </c>
      <c r="I16206" s="8" t="n">
        <f aca="false">Sens!I16204/Sens!I16205</f>
        <v>25.0469358838762</v>
      </c>
      <c r="J16206" s="8" t="n">
        <f aca="false">Sens!J16204/Sens!J16205</f>
        <v>26.9316480415043</v>
      </c>
      <c r="K16206" s="8" t="n">
        <f aca="false">Sens!K16204/Sens!K16205</f>
        <v>28.751905788426</v>
      </c>
      <c r="L16206" s="1" t="s">
        <v>928</v>
      </c>
    </row>
    <row r="16207" customFormat="false" ht="17.15" hidden="false" customHeight="false" outlineLevel="0" collapsed="false">
      <c r="A16207" s="1" t="s">
        <v>929</v>
      </c>
      <c r="B16207" s="0" t="s">
        <v>98</v>
      </c>
      <c r="D16207" s="6" t="n">
        <f aca="false">Sens!D16204</f>
        <v>101.832</v>
      </c>
      <c r="E16207" s="6" t="n">
        <f aca="false">Sens!E16204</f>
        <v>133.749</v>
      </c>
      <c r="F16207" s="6" t="n">
        <f aca="false">Sens!F16204+Sens!F16197*(1-tax_f)</f>
        <v>148.634006628373</v>
      </c>
      <c r="G16207" s="6" t="n">
        <f aca="false">Sens!G16204+Sens!G16197*(1-tax_f)</f>
        <v>176.478735492896</v>
      </c>
      <c r="H16207" s="6" t="n">
        <f aca="false">Sens!H16204+Sens!H16197*(1-tax_f)</f>
        <v>205.708860458721</v>
      </c>
      <c r="I16207" s="6" t="n">
        <f aca="false">Sens!I16204+Sens!I16197*(1-tax_f)</f>
        <v>233.227302287975</v>
      </c>
      <c r="J16207" s="6" t="n">
        <f aca="false">Sens!J16204+Sens!J16197*(1-tax_f)</f>
        <v>256.269147769427</v>
      </c>
      <c r="K16207" s="6" t="n">
        <f aca="false">Sens!K16204+Sens!K16197*(1-tax_f)</f>
        <v>275.360589188967</v>
      </c>
    </row>
    <row r="16208" customFormat="false" ht="17.15" hidden="false" customHeight="false" outlineLevel="0" collapsed="false">
      <c r="A16208" s="0" t="s">
        <v>930</v>
      </c>
      <c r="B16208" s="0" t="s">
        <v>75</v>
      </c>
      <c r="D16208" s="8" t="n">
        <f aca="false">Sens!D16207/Sens!D16205</f>
        <v>13.641259209645</v>
      </c>
      <c r="E16208" s="8" t="n">
        <f aca="false">Sens!E16207/Sens!E16205</f>
        <v>17.9456594659869</v>
      </c>
      <c r="F16208" s="8" t="n">
        <f aca="false">Sens!F16207/Sens!F16205</f>
        <v>19.8881389748275</v>
      </c>
      <c r="G16208" s="8" t="n">
        <f aca="false">Sens!G16207/Sens!G16205</f>
        <v>23.4742859164129</v>
      </c>
      <c r="H16208" s="8" t="n">
        <f aca="false">Sens!H16207/Sens!H16205</f>
        <v>27.2636446376947</v>
      </c>
      <c r="I16208" s="8" t="n">
        <f aca="false">Sens!I16207/Sens!I16205</f>
        <v>30.8626160313697</v>
      </c>
      <c r="J16208" s="8" t="n">
        <f aca="false">Sens!J16207/Sens!J16205</f>
        <v>33.8479202249524</v>
      </c>
      <c r="K16208" s="8" t="n">
        <f aca="false">Sens!K16207/Sens!K16205</f>
        <v>36.2903262520731</v>
      </c>
      <c r="L16208" s="1" t="s">
        <v>931</v>
      </c>
    </row>
    <row r="16209" customFormat="false" ht="17.15" hidden="false" customHeight="false" outlineLevel="0" collapsed="false">
      <c r="A16209" s="0" t="s">
        <v>932</v>
      </c>
      <c r="B16209" s="0" t="s">
        <v>129</v>
      </c>
      <c r="E16209" s="7" t="n">
        <f aca="false">Sens!E16208/Sens!D16208-1</f>
        <v>0.315542736208578</v>
      </c>
      <c r="F16209" s="7" t="n">
        <f aca="false">Sens!F16208/Sens!E16208-1</f>
        <v>0.108242302965921</v>
      </c>
      <c r="G16209" s="7" t="n">
        <f aca="false">Sens!G16208/Sens!F16208-1</f>
        <v>0.180315862943459</v>
      </c>
      <c r="H16209" s="7" t="n">
        <f aca="false">Sens!H16208/Sens!G16208-1</f>
        <v>0.161425942189462</v>
      </c>
      <c r="I16209" s="7" t="n">
        <f aca="false">Sens!I16208/Sens!H16208-1</f>
        <v>0.13200624646857</v>
      </c>
      <c r="J16209" s="7" t="n">
        <f aca="false">Sens!J16208/Sens!I16208-1</f>
        <v>0.0967288123128736</v>
      </c>
      <c r="K16209" s="7" t="n">
        <f aca="false">Sens!K16208/Sens!J16208-1</f>
        <v>0.0721582304285935</v>
      </c>
    </row>
    <row r="16210" customFormat="false" ht="17.15" hidden="false" customHeight="false" outlineLevel="0" collapsed="false">
      <c r="A16210" s="0" t="s">
        <v>856</v>
      </c>
      <c r="B16210" s="0" t="s">
        <v>98</v>
      </c>
      <c r="E16210" s="6" t="n">
        <f aca="false">Sens!E16151</f>
        <v>5.25</v>
      </c>
      <c r="F16210" s="6" t="n">
        <f aca="false">Sens!F16151</f>
        <v>12</v>
      </c>
      <c r="G16210" s="6" t="n">
        <f aca="false">Sens!G16151</f>
        <v>18</v>
      </c>
      <c r="H16210" s="6" t="n">
        <f aca="false">Sens!H16151</f>
        <v>24</v>
      </c>
      <c r="I16210" s="6" t="n">
        <f aca="false">Sens!I16151</f>
        <v>28.5</v>
      </c>
      <c r="J16210" s="6" t="n">
        <f aca="false">Sens!J16151</f>
        <v>31.5</v>
      </c>
      <c r="K16210" s="6" t="n">
        <f aca="false">Sens!K16151</f>
        <v>34.5</v>
      </c>
    </row>
    <row r="16211" customFormat="false" ht="17.15" hidden="false" customHeight="false" outlineLevel="0" collapsed="false">
      <c r="A16211" s="1" t="s">
        <v>857</v>
      </c>
      <c r="B16211" s="0" t="s">
        <v>98</v>
      </c>
      <c r="F16211" s="6" t="n">
        <f aca="false">MAX(0,((Sens!E16114+Sens!F16114)/2-(shadow_base*(Sens!$D$16114+Sens!$E$16114)/2+(1-shadow_base)*Sens!$E$16114))*Sens!F16122/1000-(Sens!F16210-Sens!$E$16210)*Sens!F16190)</f>
        <v>9.29892047395526</v>
      </c>
      <c r="G16211" s="6" t="n">
        <f aca="false">MAX(0,((Sens!F16114+Sens!G16114)/2-(shadow_base*(Sens!$D$16114+Sens!$E$16114)/2+(1-shadow_base)*Sens!$E$16114))*Sens!G16122/1000-(Sens!G16210-Sens!$E$16210)*Sens!G16190)</f>
        <v>23.9346303607031</v>
      </c>
      <c r="H16211" s="6" t="n">
        <f aca="false">MAX(0,((Sens!G16114+Sens!H16114)/2-(shadow_base*(Sens!$D$16114+Sens!$E$16114)/2+(1-shadow_base)*Sens!$E$16114))*Sens!H16122/1000-(Sens!H16210-Sens!$E$16210)*Sens!H16190)</f>
        <v>40.1043191979728</v>
      </c>
      <c r="I16211" s="6" t="n">
        <f aca="false">MAX(0,((Sens!H16114+Sens!I16114)/2-(shadow_base*(Sens!$D$16114+Sens!$E$16114)/2+(1-shadow_base)*Sens!$E$16114))*Sens!I16122/1000-(Sens!I16210-Sens!$E$16210)*Sens!I16190)</f>
        <v>54.9360183203111</v>
      </c>
      <c r="J16211" s="6" t="n">
        <f aca="false">MAX(0,((Sens!I16114+Sens!J16114)/2-(shadow_base*(Sens!$D$16114+Sens!$E$16114)/2+(1-shadow_base)*Sens!$E$16114))*Sens!J16122/1000-(Sens!J16210-Sens!$E$16210)*Sens!J16190)</f>
        <v>65.4555422613168</v>
      </c>
      <c r="K16211" s="6" t="n">
        <f aca="false">MAX(0,((Sens!J16114+Sens!K16114)/2-(shadow_base*(Sens!$D$16114+Sens!$E$16114)/2+(1-shadow_base)*Sens!$E$16114))*Sens!K16122/1000-(Sens!K16210-Sens!$E$16210)*Sens!K16190)</f>
        <v>71.4992160033785</v>
      </c>
      <c r="L16211" s="1" t="s">
        <v>858</v>
      </c>
    </row>
    <row r="16212" customFormat="false" ht="17.15" hidden="false" customHeight="false" outlineLevel="0" collapsed="false">
      <c r="A16212" s="1" t="s">
        <v>859</v>
      </c>
      <c r="B16212" s="0" t="s">
        <v>98</v>
      </c>
      <c r="F16212" s="6" t="n">
        <f aca="false">IF(internal_ai_reading=2,1,0)*Sens!F16211</f>
        <v>9.29892047395526</v>
      </c>
      <c r="G16212" s="6" t="n">
        <f aca="false">IF(internal_ai_reading=2,1,0)*Sens!G16211</f>
        <v>23.9346303607031</v>
      </c>
      <c r="H16212" s="6" t="n">
        <f aca="false">IF(internal_ai_reading=2,1,0)*Sens!H16211</f>
        <v>40.1043191979728</v>
      </c>
      <c r="I16212" s="6" t="n">
        <f aca="false">IF(internal_ai_reading=2,1,0)*Sens!I16211</f>
        <v>54.9360183203111</v>
      </c>
      <c r="J16212" s="6" t="n">
        <f aca="false">IF(internal_ai_reading=2,1,0)*Sens!J16211</f>
        <v>65.4555422613168</v>
      </c>
      <c r="K16212" s="6" t="n">
        <f aca="false">IF(internal_ai_reading=2,1,0)*Sens!K16211</f>
        <v>71.4992160033785</v>
      </c>
    </row>
    <row r="16213" customFormat="false" ht="17.15" hidden="false" customHeight="false" outlineLevel="0" collapsed="false">
      <c r="A16213" s="0" t="s">
        <v>860</v>
      </c>
      <c r="B16213" s="0" t="s">
        <v>98</v>
      </c>
      <c r="F16213" s="6" t="n">
        <f aca="false">Sens!F16131+Sens!F16210*Sens!F16190+Sens!F16212-Sens!F16132-Sens!F16142</f>
        <v>14.3363834273091</v>
      </c>
      <c r="G16213" s="6" t="n">
        <f aca="false">Sens!G16131+Sens!G16210*Sens!G16190+Sens!G16212-Sens!G16132-Sens!G16142</f>
        <v>29.4732527998139</v>
      </c>
      <c r="H16213" s="6" t="n">
        <f aca="false">Sens!H16131+Sens!H16210*Sens!H16190+Sens!H16212-Sens!H16132-Sens!H16142</f>
        <v>46.0211941077613</v>
      </c>
      <c r="I16213" s="6" t="n">
        <f aca="false">Sens!I16131+Sens!I16210*Sens!I16190+Sens!I16212-Sens!I16132-Sens!I16142</f>
        <v>60.8005010241119</v>
      </c>
      <c r="J16213" s="6" t="n">
        <f aca="false">Sens!J16131+Sens!J16210*Sens!J16190+Sens!J16212-Sens!J16132-Sens!J16142</f>
        <v>71.1237557449047</v>
      </c>
      <c r="K16213" s="6" t="n">
        <f aca="false">Sens!K16131+Sens!K16210*Sens!K16190+Sens!K16212-Sens!K16132-Sens!K16142</f>
        <v>78.439801907288</v>
      </c>
    </row>
    <row r="16214" customFormat="false" ht="17.15" hidden="false" customHeight="false" outlineLevel="0" collapsed="false">
      <c r="A16214" s="0" t="s">
        <v>861</v>
      </c>
      <c r="B16214" s="0" t="s">
        <v>98</v>
      </c>
      <c r="E16214" s="6" t="n">
        <f aca="false">Sens!E16113*(cxit_open+self_build*tk_cxfac)/1000*ai_net_open</f>
        <v>126.6980382</v>
      </c>
      <c r="F16214" s="6" t="n">
        <f aca="false">Sens!E16214+Sens!F16139-Sens!F16142</f>
        <v>260.578155514568</v>
      </c>
      <c r="G16214" s="6" t="n">
        <f aca="false">Sens!F16214+Sens!G16139-Sens!G16142</f>
        <v>383.645602737428</v>
      </c>
      <c r="H16214" s="6" t="n">
        <f aca="false">Sens!G16214+Sens!H16139-Sens!H16142</f>
        <v>483.983572654688</v>
      </c>
      <c r="I16214" s="6" t="n">
        <f aca="false">Sens!H16214+Sens!I16139-Sens!I16142</f>
        <v>535.703201826713</v>
      </c>
      <c r="J16214" s="6" t="n">
        <f aca="false">Sens!I16214+Sens!J16139-Sens!J16142</f>
        <v>533.505019418283</v>
      </c>
      <c r="K16214" s="6" t="n">
        <f aca="false">Sens!J16214+Sens!K16139-Sens!K16142</f>
        <v>514.399674527737</v>
      </c>
      <c r="L16214" s="1" t="s">
        <v>862</v>
      </c>
    </row>
    <row r="16215" customFormat="false" ht="17.15" hidden="false" customHeight="false" outlineLevel="0" collapsed="false">
      <c r="A16215" s="0" t="s">
        <v>863</v>
      </c>
      <c r="B16215" s="0" t="s">
        <v>129</v>
      </c>
      <c r="F16215" s="7" t="n">
        <f aca="false">Sens!F16213*(1-tax_f)/((Sens!E16214+Sens!F16214)/2)</f>
        <v>0.0592295985551866</v>
      </c>
      <c r="G16215" s="7" t="n">
        <f aca="false">Sens!G16213*(1-tax_f)/((Sens!F16214+Sens!G16214)/2)</f>
        <v>0.0732000393895068</v>
      </c>
      <c r="H16215" s="7" t="n">
        <f aca="false">Sens!H16213*(1-tax_f)/((Sens!G16214+Sens!H16214)/2)</f>
        <v>0.0848679512640178</v>
      </c>
      <c r="I16215" s="7" t="n">
        <f aca="false">Sens!I16213*(1-tax_f)/((Sens!H16214+Sens!I16214)/2)</f>
        <v>0.095402631546393</v>
      </c>
      <c r="J16215" s="7" t="n">
        <f aca="false">Sens!J16213*(1-tax_f)/((Sens!I16214+Sens!J16214)/2)</f>
        <v>0.106432037212864</v>
      </c>
      <c r="K16215" s="7" t="n">
        <f aca="false">Sens!K16213*(1-tax_f)/((Sens!J16214+Sens!K16214)/2)</f>
        <v>0.119766314414587</v>
      </c>
    </row>
    <row r="16216" customFormat="false" ht="17.15" hidden="false" customHeight="false" outlineLevel="0" collapsed="false">
      <c r="A16216" s="1" t="s">
        <v>864</v>
      </c>
      <c r="B16216" s="0" t="s">
        <v>129</v>
      </c>
      <c r="F16216" s="7" t="n">
        <f aca="false">(Sens!F16213-Sens!F16212)*(1-tax_f)/((Sens!E16214+Sens!F16214)/2)</f>
        <v>0.020811867231133</v>
      </c>
      <c r="G16216" s="7" t="n">
        <f aca="false">(Sens!G16213-Sens!G16212)*(1-tax_f)/((Sens!F16214+Sens!G16214)/2)</f>
        <v>0.0137557731907037</v>
      </c>
      <c r="H16216" s="7" t="n">
        <f aca="false">(Sens!H16213-Sens!H16212)*(1-tax_f)/((Sens!G16214+Sens!H16214)/2)</f>
        <v>0.0109113433759107</v>
      </c>
      <c r="I16216" s="7" t="n">
        <f aca="false">(Sens!I16213-Sens!I16212)*(1-tax_f)/((Sens!H16214+Sens!I16214)/2)</f>
        <v>0.00920201434489857</v>
      </c>
      <c r="J16216" s="7" t="n">
        <f aca="false">(Sens!J16213-Sens!J16212)*(1-tax_f)/((Sens!I16214+Sens!J16214)/2)</f>
        <v>0.00848210983935431</v>
      </c>
      <c r="K16216" s="7" t="n">
        <f aca="false">(Sens!K16213-Sens!K16212)*(1-tax_f)/((Sens!J16214+Sens!K16214)/2)</f>
        <v>0.0105972780830269</v>
      </c>
    </row>
    <row r="16217" customFormat="false" ht="17.15" hidden="false" customHeight="false" outlineLevel="0" collapsed="false">
      <c r="A16217" s="1" t="s">
        <v>865</v>
      </c>
      <c r="B16217" s="0" t="s">
        <v>129</v>
      </c>
      <c r="F16217" s="7" t="n">
        <f aca="false">(Sens!F16213-Sens!F16212+Sens!F16211)*(1-tax_f)/((Sens!E16214+Sens!F16214)/2)</f>
        <v>0.0592295985551866</v>
      </c>
      <c r="G16217" s="7" t="n">
        <f aca="false">(Sens!G16213-Sens!G16212+Sens!G16211)*(1-tax_f)/((Sens!F16214+Sens!G16214)/2)</f>
        <v>0.0732000393895068</v>
      </c>
      <c r="H16217" s="7" t="n">
        <f aca="false">(Sens!H16213-Sens!H16212+Sens!H16211)*(1-tax_f)/((Sens!G16214+Sens!H16214)/2)</f>
        <v>0.0848679512640178</v>
      </c>
      <c r="I16217" s="7" t="n">
        <f aca="false">(Sens!I16213-Sens!I16212+Sens!I16211)*(1-tax_f)/((Sens!H16214+Sens!I16214)/2)</f>
        <v>0.095402631546393</v>
      </c>
      <c r="J16217" s="7" t="n">
        <f aca="false">(Sens!J16213-Sens!J16212+Sens!J16211)*(1-tax_f)/((Sens!I16214+Sens!J16214)/2)</f>
        <v>0.106432037212864</v>
      </c>
      <c r="K16217" s="7" t="n">
        <f aca="false">(Sens!K16213-Sens!K16212+Sens!K16211)*(1-tax_f)/((Sens!J16214+Sens!K16214)/2)</f>
        <v>0.119766314414587</v>
      </c>
    </row>
    <row r="16218" customFormat="false" ht="17.15" hidden="false" customHeight="false" outlineLevel="0" collapsed="false">
      <c r="A16218" s="1" t="s">
        <v>866</v>
      </c>
      <c r="B16218" s="0" t="s">
        <v>129</v>
      </c>
      <c r="F16218" s="7" t="n">
        <f aca="false">Sens!F16143*(1-tax_f)/(Sens!F16130*(Sens!E16214+Sens!F16214)/2)</f>
        <v>0.128178079126594</v>
      </c>
      <c r="G16218" s="7" t="n">
        <f aca="false">Sens!G16143*(1-tax_f)/(Sens!G16130*(Sens!F16214+Sens!G16214)/2)</f>
        <v>0.125209972318428</v>
      </c>
      <c r="H16218" s="7" t="n">
        <f aca="false">Sens!H16143*(1-tax_f)/(Sens!H16130*(Sens!G16214+Sens!H16214)/2)</f>
        <v>0.130852385928537</v>
      </c>
      <c r="I16218" s="7" t="n">
        <f aca="false">Sens!I16143*(1-tax_f)/(Sens!I16130*(Sens!H16214+Sens!I16214)/2)</f>
        <v>0.139991661146938</v>
      </c>
      <c r="J16218" s="7" t="n">
        <f aca="false">Sens!J16143*(1-tax_f)/(Sens!J16130*(Sens!I16214+Sens!J16214)/2)</f>
        <v>0.152699193189284</v>
      </c>
      <c r="K16218" s="7" t="n">
        <f aca="false">Sens!K16143*(1-tax_f)/(Sens!K16130*(Sens!J16214+Sens!K16214)/2)</f>
        <v>0.169864084901911</v>
      </c>
    </row>
    <row r="16219" customFormat="false" ht="17.15" hidden="false" customHeight="false" outlineLevel="0" collapsed="false">
      <c r="A16219" s="0" t="s">
        <v>867</v>
      </c>
      <c r="B16219" s="0" t="s">
        <v>209</v>
      </c>
      <c r="F16219" s="7" t="n">
        <f aca="false">Sens!F16215-wacc</f>
        <v>-0.0437048215376891</v>
      </c>
      <c r="G16219" s="7" t="n">
        <f aca="false">Sens!G16215-wacc</f>
        <v>-0.0297343807033689</v>
      </c>
      <c r="H16219" s="7" t="n">
        <f aca="false">Sens!H16215-wacc</f>
        <v>-0.018066468828858</v>
      </c>
      <c r="I16219" s="7" t="n">
        <f aca="false">Sens!I16215-wacc</f>
        <v>-0.00753178854648273</v>
      </c>
      <c r="J16219" s="7" t="n">
        <f aca="false">Sens!J16215-wacc</f>
        <v>0.00349761711998826</v>
      </c>
      <c r="K16219" s="7" t="n">
        <f aca="false">Sens!K16215-wacc</f>
        <v>0.0168318943217114</v>
      </c>
    </row>
    <row r="16220" customFormat="false" ht="17.15" hidden="false" customHeight="false" outlineLevel="0" collapsed="false">
      <c r="A16220" s="0" t="s">
        <v>868</v>
      </c>
      <c r="B16220" s="0" t="s">
        <v>98</v>
      </c>
      <c r="F16220" s="6" t="n">
        <f aca="false">Sens!F16213*(1-tax_f)-wacc*(Sens!E16214+Sens!F16214)/2</f>
        <v>-8.46291846604535</v>
      </c>
      <c r="G16220" s="6" t="n">
        <f aca="false">Sens!G16213*(1-tax_f)-wacc*(Sens!F16214+Sens!G16214)/2</f>
        <v>-9.57779724300998</v>
      </c>
      <c r="H16220" s="6" t="n">
        <f aca="false">Sens!H16213*(1-tax_f)-wacc*(Sens!G16214+Sens!H16214)/2</f>
        <v>-7.83749772611472</v>
      </c>
      <c r="I16220" s="6" t="n">
        <f aca="false">Sens!I16213*(1-tax_f)-wacc*(Sens!H16214+Sens!I16214)/2</f>
        <v>-3.84003258451947</v>
      </c>
      <c r="J16220" s="6" t="n">
        <f aca="false">Sens!J16213*(1-tax_f)-wacc*(Sens!I16214+Sens!J16214)/2</f>
        <v>1.86984048972935</v>
      </c>
      <c r="K16220" s="6" t="n">
        <f aca="false">Sens!K16213*(1-tax_f)-wacc*(Sens!J16214+Sens!K16214)/2</f>
        <v>8.81911053386239</v>
      </c>
    </row>
    <row r="16221" customFormat="false" ht="17.15" hidden="false" customHeight="false" outlineLevel="0" collapsed="false">
      <c r="A16221" s="3" t="s">
        <v>1674</v>
      </c>
    </row>
    <row r="16222" customFormat="false" ht="15" hidden="false" customHeight="false" outlineLevel="0" collapsed="false">
      <c r="A16222" s="4" t="s">
        <v>43</v>
      </c>
      <c r="B16222" s="4" t="s">
        <v>65</v>
      </c>
      <c r="C16222" s="20" t="s">
        <v>799</v>
      </c>
      <c r="D16222" s="20" t="s">
        <v>800</v>
      </c>
      <c r="E16222" s="20" t="s">
        <v>801</v>
      </c>
      <c r="F16222" s="20" t="s">
        <v>802</v>
      </c>
      <c r="G16222" s="20" t="s">
        <v>803</v>
      </c>
      <c r="H16222" s="20" t="s">
        <v>804</v>
      </c>
      <c r="I16222" s="20" t="s">
        <v>805</v>
      </c>
      <c r="J16222" s="20" t="s">
        <v>806</v>
      </c>
      <c r="K16222" s="20" t="s">
        <v>807</v>
      </c>
      <c r="L16222" s="4" t="s">
        <v>47</v>
      </c>
    </row>
    <row r="16223" customFormat="false" ht="15" hidden="false" customHeight="false" outlineLevel="0" collapsed="false">
      <c r="A16223" s="1" t="s">
        <v>925</v>
      </c>
      <c r="B16223" s="0" t="s">
        <v>98</v>
      </c>
      <c r="F16223" s="6" t="n">
        <f aca="false">Sens!F16204</f>
        <v>141.194870249209</v>
      </c>
      <c r="G16223" s="6" t="n">
        <f aca="false">Sens!G16204</f>
        <v>157.331031204333</v>
      </c>
      <c r="H16223" s="6" t="n">
        <f aca="false">Sens!H16204</f>
        <v>173.625405100343</v>
      </c>
      <c r="I16223" s="6" t="n">
        <f aca="false">Sens!I16204</f>
        <v>189.278487631726</v>
      </c>
      <c r="J16223" s="6" t="n">
        <f aca="false">Sens!J16204</f>
        <v>203.904713960374</v>
      </c>
      <c r="K16223" s="6" t="n">
        <f aca="false">Sens!K16204</f>
        <v>218.161216386264</v>
      </c>
    </row>
    <row r="16224" customFormat="false" ht="17.15" hidden="false" customHeight="false" outlineLevel="0" collapsed="false">
      <c r="A16224" s="1" t="s">
        <v>947</v>
      </c>
      <c r="B16224" s="0" t="s">
        <v>98</v>
      </c>
      <c r="E16224" s="6" t="n">
        <f aca="false">Q!M38-Sens!E16142</f>
        <v>22.2285940229167</v>
      </c>
      <c r="F16224" s="6" t="n">
        <f aca="false">Sens!E16224*(1-1/life_nonai)+(Sens!F16231+Sens!F16232)/life_nonai</f>
        <v>23.5636693435813</v>
      </c>
      <c r="G16224" s="6" t="n">
        <f aca="false">Sens!F16224*(1-1/life_nonai)+(Sens!G16231)/life_nonai</f>
        <v>25.3225917662621</v>
      </c>
      <c r="H16224" s="6" t="n">
        <f aca="false">Sens!G16224*(1-1/life_nonai)+(Sens!H16231)/life_nonai</f>
        <v>27.4714839540448</v>
      </c>
      <c r="I16224" s="6" t="n">
        <f aca="false">Sens!H16224*(1-1/life_nonai)+(Sens!I16231)/life_nonai</f>
        <v>29.9441755898047</v>
      </c>
      <c r="J16224" s="6" t="n">
        <f aca="false">Sens!I16224*(1-1/life_nonai)+(Sens!J16231)/life_nonai</f>
        <v>32.6578493558616</v>
      </c>
      <c r="K16224" s="6" t="n">
        <f aca="false">Sens!J16224*(1-1/life_nonai)+(Sens!K16231)/life_nonai</f>
        <v>35.5289346944749</v>
      </c>
      <c r="L16224" s="11" t="s">
        <v>948</v>
      </c>
    </row>
    <row r="16225" customFormat="false" ht="17.15" hidden="false" customHeight="false" outlineLevel="0" collapsed="false">
      <c r="A16225" s="1" t="s">
        <v>949</v>
      </c>
      <c r="B16225" s="0" t="s">
        <v>98</v>
      </c>
      <c r="F16225" s="6" t="n">
        <f aca="false">Sens!$F$16232/life_nonai*(1-1/life_nonai)^(Sens!F16108-2027)</f>
        <v>0</v>
      </c>
      <c r="G16225" s="6" t="n">
        <f aca="false">Sens!$F$16232/life_nonai*(1-1/life_nonai)^(Sens!G16108-2027)</f>
        <v>0</v>
      </c>
      <c r="H16225" s="6" t="n">
        <f aca="false">Sens!$F$16232/life_nonai*(1-1/life_nonai)^(Sens!H16108-2027)</f>
        <v>0</v>
      </c>
      <c r="I16225" s="6" t="n">
        <f aca="false">Sens!$F$16232/life_nonai*(1-1/life_nonai)^(Sens!I16108-2027)</f>
        <v>0</v>
      </c>
      <c r="J16225" s="6" t="n">
        <f aca="false">Sens!$F$16232/life_nonai*(1-1/life_nonai)^(Sens!J16108-2027)</f>
        <v>0</v>
      </c>
      <c r="K16225" s="6" t="n">
        <f aca="false">Sens!$F$16232/life_nonai*(1-1/life_nonai)^(Sens!K16108-2027)</f>
        <v>0</v>
      </c>
      <c r="L16225" s="1" t="s">
        <v>950</v>
      </c>
    </row>
    <row r="16226" customFormat="false" ht="17.15" hidden="false" customHeight="false" outlineLevel="0" collapsed="false">
      <c r="A16226" s="1" t="s">
        <v>951</v>
      </c>
      <c r="B16226" s="0" t="s">
        <v>98</v>
      </c>
      <c r="E16226" s="6" t="n">
        <f aca="false">Sens!E16142+Sens!E16224</f>
        <v>38.534</v>
      </c>
      <c r="F16226" s="6" t="n">
        <f aca="false">Sens!F16142+Sens!F16224</f>
        <v>58.304204799451</v>
      </c>
      <c r="G16226" s="6" t="n">
        <f aca="false">Sens!G16142+Sens!G16224</f>
        <v>85.8293250266017</v>
      </c>
      <c r="H16226" s="6" t="n">
        <f aca="false">Sens!H16142+Sens!H16224</f>
        <v>115.213799947184</v>
      </c>
      <c r="I16226" s="6" t="n">
        <f aca="false">Sens!I16142+Sens!I16224</f>
        <v>141.931215572026</v>
      </c>
      <c r="J16226" s="6" t="n">
        <f aca="false">Sens!J16142+Sens!J16224</f>
        <v>162.037468358533</v>
      </c>
      <c r="K16226" s="6" t="n">
        <f aca="false">Sens!K16142+Sens!K16224</f>
        <v>176.041694888611</v>
      </c>
    </row>
    <row r="16227" customFormat="false" ht="17.15" hidden="false" customHeight="false" outlineLevel="0" collapsed="false">
      <c r="A16227" s="1" t="s">
        <v>952</v>
      </c>
      <c r="B16227" s="0" t="s">
        <v>98</v>
      </c>
      <c r="F16227" s="6" t="n">
        <f aca="false">Sens!F16169*sbc_r</f>
        <v>14.9308704941267</v>
      </c>
      <c r="G16227" s="6" t="n">
        <f aca="false">Sens!G16169*sbc_r</f>
        <v>17.7641108812713</v>
      </c>
      <c r="H16227" s="6" t="n">
        <f aca="false">Sens!H16169*sbc_r</f>
        <v>20.6640880611968</v>
      </c>
      <c r="I16227" s="6" t="n">
        <f aca="false">Sens!I16169*sbc_r</f>
        <v>23.3389517385966</v>
      </c>
      <c r="J16227" s="6" t="n">
        <f aca="false">Sens!J16169*sbc_r</f>
        <v>25.5443980773879</v>
      </c>
      <c r="K16227" s="6" t="n">
        <f aca="false">Sens!K16169*sbc_r</f>
        <v>27.3434618223447</v>
      </c>
    </row>
    <row r="16228" customFormat="false" ht="17.15" hidden="false" customHeight="false" outlineLevel="0" collapsed="false">
      <c r="A16228" s="1" t="s">
        <v>953</v>
      </c>
      <c r="B16228" s="0" t="s">
        <v>98</v>
      </c>
      <c r="F16228" s="6" t="n">
        <f aca="false">wc27</f>
        <v>-4.895</v>
      </c>
      <c r="G16228" s="6" t="n">
        <f aca="false">wc_f</f>
        <v>0</v>
      </c>
      <c r="H16228" s="6" t="n">
        <f aca="false">wc_f</f>
        <v>0</v>
      </c>
      <c r="I16228" s="6" t="n">
        <f aca="false">wc_f</f>
        <v>0</v>
      </c>
      <c r="J16228" s="6" t="n">
        <f aca="false">wc_f</f>
        <v>0</v>
      </c>
      <c r="K16228" s="6" t="n">
        <f aca="false">wc_f</f>
        <v>0</v>
      </c>
      <c r="L16228" s="11" t="s">
        <v>954</v>
      </c>
    </row>
    <row r="16229" customFormat="false" ht="15" hidden="false" customHeight="false" outlineLevel="0" collapsed="false">
      <c r="A16229" s="1" t="s">
        <v>767</v>
      </c>
      <c r="B16229" s="0" t="s">
        <v>98</v>
      </c>
      <c r="E16229" s="6" t="n">
        <f aca="false">Q!M35</f>
        <v>182.935</v>
      </c>
      <c r="F16229" s="6" t="n">
        <f aca="false">Sens!F16223+Sens!F16226+Sens!F16227+Sens!F16228</f>
        <v>209.534945542787</v>
      </c>
      <c r="G16229" s="6" t="n">
        <f aca="false">Sens!G16223+Sens!G16226+Sens!G16227+Sens!G16228</f>
        <v>260.924467112206</v>
      </c>
      <c r="H16229" s="6" t="n">
        <f aca="false">Sens!H16223+Sens!H16226+Sens!H16227+Sens!H16228</f>
        <v>309.503293108724</v>
      </c>
      <c r="I16229" s="6" t="n">
        <f aca="false">Sens!I16223+Sens!I16226+Sens!I16227+Sens!I16228</f>
        <v>354.548654942349</v>
      </c>
      <c r="J16229" s="6" t="n">
        <f aca="false">Sens!J16223+Sens!J16226+Sens!J16227+Sens!J16228</f>
        <v>391.486580396295</v>
      </c>
      <c r="K16229" s="6" t="n">
        <f aca="false">Sens!K16223+Sens!K16226+Sens!K16227+Sens!K16228</f>
        <v>421.54637309722</v>
      </c>
    </row>
    <row r="16230" customFormat="false" ht="17.15" hidden="false" customHeight="false" outlineLevel="0" collapsed="false">
      <c r="A16230" s="0" t="s">
        <v>955</v>
      </c>
      <c r="B16230" s="0" t="s">
        <v>98</v>
      </c>
      <c r="F16230" s="6" t="n">
        <f aca="false">Sens!F16139</f>
        <v>168.620652770438</v>
      </c>
      <c r="G16230" s="6" t="n">
        <f aca="false">Sens!G16139</f>
        <v>183.5741804832</v>
      </c>
      <c r="H16230" s="6" t="n">
        <f aca="false">Sens!H16139</f>
        <v>188.0802859104</v>
      </c>
      <c r="I16230" s="6" t="n">
        <f aca="false">Sens!I16139</f>
        <v>163.706669154245</v>
      </c>
      <c r="J16230" s="6" t="n">
        <f aca="false">Sens!J16139</f>
        <v>127.181436594242</v>
      </c>
      <c r="K16230" s="6" t="n">
        <f aca="false">Sens!K16139</f>
        <v>121.407415303591</v>
      </c>
    </row>
    <row r="16231" customFormat="false" ht="17.15" hidden="false" customHeight="false" outlineLevel="0" collapsed="false">
      <c r="A16231" s="1" t="s">
        <v>956</v>
      </c>
      <c r="B16231" s="0" t="s">
        <v>98</v>
      </c>
      <c r="E16231" s="6" t="n">
        <f aca="false">Sens!E16147*cx_azo+Sens!E16154*cx_m365+Sens!E16155*cx_lic+(Sens!E16157+Sens!E16159)*cx_ind+Sens!E16162*cx_srch+(Sens!E16164+Sens!E16166)*cx_dev</f>
        <v>30.1846587067718</v>
      </c>
      <c r="F16231" s="6" t="n">
        <f aca="false">Sens!F16147*cx_azo+Sens!F16154*cx_m365+Sens!F16155*cx_lic+(Sens!F16157+Sens!F16159)*cx_ind+Sens!F16162*cx_srch+(Sens!F16164+Sens!F16166)*cx_dev</f>
        <v>35.5793472295625</v>
      </c>
      <c r="G16231" s="6" t="n">
        <f aca="false">Sens!G16147*cx_azo+Sens!G16154*cx_m365+Sens!G16155*cx_lic+(Sens!G16157+Sens!G16159)*cx_ind+Sens!G16162*cx_srch+(Sens!G16164+Sens!G16166)*cx_dev</f>
        <v>41.1528935703892</v>
      </c>
      <c r="H16231" s="6" t="n">
        <f aca="false">Sens!H16147*cx_azo+Sens!H16154*cx_m365+Sens!H16155*cx_lic+(Sens!H16157+Sens!H16159)*cx_ind+Sens!H16162*cx_srch+(Sens!H16164+Sens!H16166)*cx_dev</f>
        <v>46.8115136440897</v>
      </c>
      <c r="I16231" s="6" t="n">
        <f aca="false">Sens!I16147*cx_azo+Sens!I16154*cx_m365+Sens!I16155*cx_lic+(Sens!I16157+Sens!I16159)*cx_ind+Sens!I16162*cx_srch+(Sens!I16164+Sens!I16166)*cx_dev</f>
        <v>52.1984003116439</v>
      </c>
      <c r="J16231" s="6" t="n">
        <f aca="false">Sens!J16147*cx_azo+Sens!J16154*cx_m365+Sens!J16155*cx_lic+(Sens!J16157+Sens!J16159)*cx_ind+Sens!J16162*cx_srch+(Sens!J16164+Sens!J16166)*cx_dev</f>
        <v>57.0809132503738</v>
      </c>
      <c r="K16231" s="6" t="n">
        <f aca="false">Sens!K16147*cx_azo+Sens!K16154*cx_m365+Sens!K16155*cx_lic+(Sens!K16157+Sens!K16159)*cx_ind+Sens!K16162*cx_srch+(Sens!K16164+Sens!K16166)*cx_dev</f>
        <v>61.368702741994</v>
      </c>
    </row>
    <row r="16232" customFormat="false" ht="17.15" hidden="false" customHeight="false" outlineLevel="0" collapsed="false">
      <c r="A16232" s="0" t="s">
        <v>957</v>
      </c>
      <c r="B16232" s="0" t="s">
        <v>98</v>
      </c>
      <c r="F16232" s="6" t="n">
        <f aca="false">0</f>
        <v>0</v>
      </c>
      <c r="L16232" s="1" t="s">
        <v>958</v>
      </c>
    </row>
    <row r="16233" customFormat="false" ht="17.15" hidden="false" customHeight="false" outlineLevel="0" collapsed="false">
      <c r="A16233" s="1" t="s">
        <v>959</v>
      </c>
      <c r="B16233" s="0" t="s">
        <v>98</v>
      </c>
      <c r="E16233" s="6" t="n">
        <f aca="false">Q!M42</f>
        <v>145.3</v>
      </c>
      <c r="F16233" s="6" t="n">
        <f aca="false">Sens!F16230+Sens!F16231+Sens!F16232</f>
        <v>204.2</v>
      </c>
      <c r="G16233" s="6" t="n">
        <f aca="false">Sens!G16230+Sens!G16231</f>
        <v>224.727074053589</v>
      </c>
      <c r="H16233" s="6" t="n">
        <f aca="false">Sens!H16230+Sens!H16231</f>
        <v>234.89179955449</v>
      </c>
      <c r="I16233" s="6" t="n">
        <f aca="false">Sens!I16230+Sens!I16231</f>
        <v>215.905069465889</v>
      </c>
      <c r="J16233" s="6" t="n">
        <f aca="false">Sens!J16230+Sens!J16231</f>
        <v>184.262349844616</v>
      </c>
      <c r="K16233" s="6" t="n">
        <f aca="false">Sens!K16230+Sens!K16231</f>
        <v>182.776118045585</v>
      </c>
      <c r="L16233" s="1" t="s">
        <v>960</v>
      </c>
    </row>
    <row r="16234" customFormat="false" ht="15" hidden="false" customHeight="false" outlineLevel="0" collapsed="false">
      <c r="A16234" s="1" t="s">
        <v>961</v>
      </c>
      <c r="B16234" s="0" t="s">
        <v>98</v>
      </c>
      <c r="E16234" s="6" t="n">
        <f aca="false">fl_liab</f>
        <v>66.594</v>
      </c>
      <c r="F16234" s="6" t="n">
        <f aca="false">Sens!E16234-Sens!F16235</f>
        <v>62.46973</v>
      </c>
      <c r="G16234" s="6" t="n">
        <f aca="false">Sens!F16234-Sens!G16235</f>
        <v>57.98686785</v>
      </c>
      <c r="H16234" s="6" t="n">
        <f aca="false">Sens!G16234-Sens!H16235</f>
        <v>53.92827690325</v>
      </c>
      <c r="I16234" s="6" t="n">
        <f aca="false">Sens!H16234-Sens!I16235</f>
        <v>49.7850493638962</v>
      </c>
      <c r="J16234" s="6" t="n">
        <f aca="false">Sens!I16234-Sens!J16235</f>
        <v>45.4823765852716</v>
      </c>
      <c r="K16234" s="6" t="n">
        <f aca="false">Sens!J16234-Sens!K16235</f>
        <v>40.9860835316088</v>
      </c>
    </row>
    <row r="16235" customFormat="false" ht="15" hidden="false" customHeight="false" outlineLevel="0" collapsed="false">
      <c r="A16235" s="1" t="s">
        <v>962</v>
      </c>
      <c r="B16235" s="0" t="s">
        <v>98</v>
      </c>
      <c r="F16235" s="6" t="n">
        <f aca="false">fl_pay_27-Sens!E16234*fl_rate</f>
        <v>4.12427</v>
      </c>
      <c r="G16235" s="6" t="n">
        <f aca="false">fl_pay_28-Sens!F16234*fl_rate</f>
        <v>4.48286215</v>
      </c>
      <c r="H16235" s="6" t="n">
        <f aca="false">fl_pay_29-Sens!G16234*fl_rate</f>
        <v>4.05859094675</v>
      </c>
      <c r="I16235" s="6" t="n">
        <f aca="false">fl_pay_30-Sens!H16234*fl_rate</f>
        <v>4.14322753935375</v>
      </c>
      <c r="J16235" s="6" t="n">
        <f aca="false">fl_pay_31-Sens!I16234*fl_rate</f>
        <v>4.30267277862467</v>
      </c>
      <c r="K16235" s="6" t="n">
        <f aca="false">fl_pay_32-Sens!J16234*fl_rate</f>
        <v>4.49629305366278</v>
      </c>
    </row>
    <row r="16236" customFormat="false" ht="17.15" hidden="false" customHeight="false" outlineLevel="0" collapsed="false">
      <c r="A16236" s="1" t="s">
        <v>963</v>
      </c>
      <c r="B16236" s="0" t="s">
        <v>98</v>
      </c>
      <c r="E16236" s="6" t="n">
        <f aca="false">Q!M35-Q!M36-Q!M43</f>
        <v>63.886</v>
      </c>
      <c r="F16236" s="6" t="n">
        <f aca="false">Sens!F16229-Sens!F16233-Sens!F16235</f>
        <v>1.2106755427865</v>
      </c>
      <c r="G16236" s="6" t="n">
        <f aca="false">Sens!G16229-Sens!G16233-Sens!G16235</f>
        <v>31.7145309086171</v>
      </c>
      <c r="H16236" s="6" t="n">
        <f aca="false">Sens!H16229-Sens!H16233-Sens!H16235</f>
        <v>70.5529026074843</v>
      </c>
      <c r="I16236" s="6" t="n">
        <f aca="false">Sens!I16229-Sens!I16233-Sens!I16235</f>
        <v>134.500357937106</v>
      </c>
      <c r="J16236" s="6" t="n">
        <f aca="false">Sens!J16229-Sens!J16233-Sens!J16235</f>
        <v>202.921557773055</v>
      </c>
      <c r="K16236" s="6" t="n">
        <f aca="false">Sens!K16229-Sens!K16233-Sens!K16235</f>
        <v>234.273961997973</v>
      </c>
      <c r="L16236" s="11" t="s">
        <v>964</v>
      </c>
    </row>
    <row r="16237" customFormat="false" ht="15" hidden="false" customHeight="false" outlineLevel="0" collapsed="false">
      <c r="A16237" s="1" t="s">
        <v>965</v>
      </c>
      <c r="B16237" s="0" t="s">
        <v>75</v>
      </c>
      <c r="F16237" s="8" t="n">
        <f aca="false">dps_27</f>
        <v>3.85</v>
      </c>
      <c r="G16237" s="8" t="n">
        <f aca="false">Sens!F16237*(1+dps_g)</f>
        <v>4.158</v>
      </c>
      <c r="H16237" s="8" t="n">
        <f aca="false">Sens!G16237*(1+dps_g)</f>
        <v>4.49064</v>
      </c>
      <c r="I16237" s="8" t="n">
        <f aca="false">Sens!H16237*(1+dps_g)</f>
        <v>4.8498912</v>
      </c>
      <c r="J16237" s="8" t="n">
        <f aca="false">Sens!I16237*(1+dps_g)</f>
        <v>5.237882496</v>
      </c>
      <c r="K16237" s="8" t="n">
        <f aca="false">Sens!J16237*(1+dps_g)</f>
        <v>5.65691309568</v>
      </c>
    </row>
    <row r="16238" customFormat="false" ht="17.15" hidden="false" customHeight="false" outlineLevel="0" collapsed="false">
      <c r="A16238" s="1" t="s">
        <v>966</v>
      </c>
      <c r="B16238" s="0" t="s">
        <v>98</v>
      </c>
      <c r="E16238" s="6" t="n">
        <f aca="false">Q!M41</f>
        <v>26.445</v>
      </c>
      <c r="F16238" s="6" t="n">
        <f aca="false">Sens!F16237*Sens!E16247</f>
        <v>28.59395</v>
      </c>
      <c r="G16238" s="6" t="n">
        <f aca="false">Sens!G16237*Sens!F16247</f>
        <v>31.068576</v>
      </c>
      <c r="H16238" s="6" t="n">
        <f aca="false">Sens!H16237*Sens!G16247</f>
        <v>33.7512882894521</v>
      </c>
      <c r="I16238" s="6" t="n">
        <f aca="false">Sens!I16237*Sens!H16247</f>
        <v>36.5023305926078</v>
      </c>
      <c r="J16238" s="6" t="n">
        <f aca="false">Sens!J16237*Sens!I16247</f>
        <v>39.4909158883358</v>
      </c>
      <c r="K16238" s="6" t="n">
        <f aca="false">Sens!K16237*Sens!J16247</f>
        <v>42.7374443847077</v>
      </c>
      <c r="L16238" s="1" t="s">
        <v>967</v>
      </c>
    </row>
    <row r="16239" customFormat="false" ht="15" hidden="false" customHeight="false" outlineLevel="0" collapsed="false">
      <c r="A16239" s="1" t="s">
        <v>968</v>
      </c>
      <c r="B16239" s="0" t="s">
        <v>98</v>
      </c>
      <c r="E16239" s="6" t="n">
        <f aca="false">Sens!E16236-Sens!E16238</f>
        <v>37.441</v>
      </c>
      <c r="F16239" s="6" t="n">
        <f aca="false">Sens!F16236-Sens!F16238</f>
        <v>-27.3832744572135</v>
      </c>
      <c r="G16239" s="6" t="n">
        <f aca="false">Sens!G16236-Sens!G16238</f>
        <v>0.645954908617053</v>
      </c>
      <c r="H16239" s="6" t="n">
        <f aca="false">Sens!H16236-Sens!H16238</f>
        <v>36.8016143180322</v>
      </c>
      <c r="I16239" s="6" t="n">
        <f aca="false">Sens!I16236-Sens!I16238</f>
        <v>97.998027344498</v>
      </c>
      <c r="J16239" s="6" t="n">
        <f aca="false">Sens!J16236-Sens!J16238</f>
        <v>163.430641884719</v>
      </c>
      <c r="K16239" s="6" t="n">
        <f aca="false">Sens!K16236-Sens!K16238</f>
        <v>191.536517613265</v>
      </c>
    </row>
    <row r="16240" customFormat="false" ht="15" hidden="false" customHeight="false" outlineLevel="0" collapsed="false">
      <c r="A16240" s="1" t="s">
        <v>969</v>
      </c>
      <c r="B16240" s="0" t="s">
        <v>98</v>
      </c>
      <c r="F16240" s="6" t="n">
        <f aca="false">debt_mat_27</f>
        <v>9.25</v>
      </c>
      <c r="G16240" s="6" t="n">
        <f aca="false">debt_mat_28</f>
        <v>0</v>
      </c>
      <c r="H16240" s="6" t="n">
        <f aca="false">debt_mat_29</f>
        <v>2.001</v>
      </c>
      <c r="I16240" s="6" t="n">
        <f aca="false">debt_mat_30</f>
        <v>0</v>
      </c>
      <c r="J16240" s="6" t="n">
        <f aca="false">debt_mat_31</f>
        <v>0.5</v>
      </c>
      <c r="K16240" s="6" t="n">
        <f aca="false">debt_mat_32</f>
        <v>0</v>
      </c>
    </row>
    <row r="16241" customFormat="false" ht="15" hidden="false" customHeight="false" outlineLevel="0" collapsed="false">
      <c r="A16241" s="1" t="s">
        <v>970</v>
      </c>
      <c r="B16241" s="0" t="s">
        <v>98</v>
      </c>
      <c r="E16241" s="6" t="n">
        <f aca="false">Q!M40</f>
        <v>22.271</v>
      </c>
      <c r="F16241" s="6" t="n">
        <f aca="false">MAX(0,MIN(bb_target,Sens!E16243+Sens!F16239-Sens!F16240-min_cash))</f>
        <v>0</v>
      </c>
      <c r="G16241" s="6" t="n">
        <f aca="false">MAX(0,MIN(bb_target,Sens!F16243+Sens!G16239-Sens!G16240-min_cash))</f>
        <v>0.645954908617057</v>
      </c>
      <c r="H16241" s="6" t="n">
        <f aca="false">MAX(0,MIN(bb_target,Sens!G16243+Sens!H16239-Sens!H16240-min_cash))</f>
        <v>22.271</v>
      </c>
      <c r="I16241" s="6" t="n">
        <f aca="false">MAX(0,MIN(bb_target,Sens!H16243+Sens!I16239-Sens!I16240-min_cash))</f>
        <v>22.271</v>
      </c>
      <c r="J16241" s="6" t="n">
        <f aca="false">MAX(0,MIN(bb_target,Sens!I16243+Sens!J16239-Sens!J16240-min_cash))</f>
        <v>22.271</v>
      </c>
      <c r="K16241" s="6" t="n">
        <f aca="false">MAX(0,MIN(bb_target,Sens!J16243+Sens!K16239-Sens!K16240-min_cash))</f>
        <v>22.271</v>
      </c>
    </row>
    <row r="16242" customFormat="false" ht="15" hidden="false" customHeight="false" outlineLevel="0" collapsed="false">
      <c r="A16242" s="1" t="s">
        <v>971</v>
      </c>
      <c r="B16242" s="0" t="s">
        <v>98</v>
      </c>
      <c r="F16242" s="6" t="n">
        <f aca="false">MAX(0,min_cash-(Sens!E16243+Sens!F16239-Sens!F16240-Sens!F16241))</f>
        <v>9.7902744572135</v>
      </c>
      <c r="G16242" s="6" t="n">
        <f aca="false">MAX(0,min_cash-(Sens!F16243+Sens!G16239-Sens!G16240-Sens!G16241))</f>
        <v>0</v>
      </c>
      <c r="H16242" s="6" t="n">
        <f aca="false">MAX(0,min_cash-(Sens!G16243+Sens!H16239-Sens!H16240-Sens!H16241))</f>
        <v>0</v>
      </c>
      <c r="I16242" s="6" t="n">
        <f aca="false">MAX(0,min_cash-(Sens!H16243+Sens!I16239-Sens!I16240-Sens!I16241))</f>
        <v>0</v>
      </c>
      <c r="J16242" s="6" t="n">
        <f aca="false">MAX(0,min_cash-(Sens!I16243+Sens!J16239-Sens!J16240-Sens!J16241))</f>
        <v>0</v>
      </c>
      <c r="K16242" s="6" t="n">
        <f aca="false">MAX(0,min_cash-(Sens!J16243+Sens!K16239-Sens!K16240-Sens!K16241))</f>
        <v>0</v>
      </c>
    </row>
    <row r="16243" customFormat="false" ht="15" hidden="false" customHeight="false" outlineLevel="0" collapsed="false">
      <c r="A16243" s="1" t="s">
        <v>972</v>
      </c>
      <c r="B16243" s="0" t="s">
        <v>98</v>
      </c>
      <c r="E16243" s="6" t="n">
        <f aca="false">cash_open</f>
        <v>76.843</v>
      </c>
      <c r="F16243" s="6" t="n">
        <f aca="false">Sens!E16243+Sens!F16239-Sens!F16240-Sens!F16241+Sens!F16242</f>
        <v>50</v>
      </c>
      <c r="G16243" s="6" t="n">
        <f aca="false">Sens!F16243+Sens!G16239-Sens!G16240-Sens!G16241+Sens!G16242</f>
        <v>50</v>
      </c>
      <c r="H16243" s="6" t="n">
        <f aca="false">Sens!G16243+Sens!H16239-Sens!H16240-Sens!H16241+Sens!H16242</f>
        <v>62.5296143180322</v>
      </c>
      <c r="I16243" s="6" t="n">
        <f aca="false">Sens!H16243+Sens!I16239-Sens!I16240-Sens!I16241+Sens!I16242</f>
        <v>138.25664166253</v>
      </c>
      <c r="J16243" s="6" t="n">
        <f aca="false">Sens!I16243+Sens!J16239-Sens!J16240-Sens!J16241+Sens!J16242</f>
        <v>278.916283547249</v>
      </c>
      <c r="K16243" s="6" t="n">
        <f aca="false">Sens!J16243+Sens!K16239-Sens!K16240-Sens!K16241+Sens!K16242</f>
        <v>448.181801160514</v>
      </c>
    </row>
    <row r="16244" customFormat="false" ht="15" hidden="false" customHeight="false" outlineLevel="0" collapsed="false">
      <c r="A16244" s="1" t="s">
        <v>973</v>
      </c>
      <c r="B16244" s="0" t="s">
        <v>98</v>
      </c>
      <c r="E16244" s="6" t="n">
        <f aca="false">debt_face</f>
        <v>46.136</v>
      </c>
      <c r="F16244" s="6" t="n">
        <f aca="false">Sens!E16244-Sens!F16240+Sens!F16242</f>
        <v>46.6762744572135</v>
      </c>
      <c r="G16244" s="6" t="n">
        <f aca="false">Sens!F16244-Sens!G16240+Sens!G16242</f>
        <v>46.6762744572135</v>
      </c>
      <c r="H16244" s="6" t="n">
        <f aca="false">Sens!G16244-Sens!H16240+Sens!H16242</f>
        <v>44.6752744572135</v>
      </c>
      <c r="I16244" s="6" t="n">
        <f aca="false">Sens!H16244-Sens!I16240+Sens!I16242</f>
        <v>44.6752744572135</v>
      </c>
      <c r="J16244" s="6" t="n">
        <f aca="false">Sens!I16244-Sens!J16240+Sens!J16242</f>
        <v>44.1752744572135</v>
      </c>
      <c r="K16244" s="6" t="n">
        <f aca="false">Sens!J16244-Sens!K16240+Sens!K16242</f>
        <v>44.1752744572135</v>
      </c>
    </row>
    <row r="16245" customFormat="false" ht="15" hidden="false" customHeight="false" outlineLevel="0" collapsed="false">
      <c r="A16245" s="1" t="s">
        <v>974</v>
      </c>
      <c r="B16245" s="0" t="s">
        <v>98</v>
      </c>
      <c r="E16245" s="6" t="n">
        <f aca="false">Sens!E16243-Sens!E16244</f>
        <v>30.707</v>
      </c>
      <c r="F16245" s="6" t="n">
        <f aca="false">Sens!F16243-Sens!F16244</f>
        <v>3.3237255427865</v>
      </c>
      <c r="G16245" s="6" t="n">
        <f aca="false">Sens!G16243-Sens!G16244</f>
        <v>3.3237255427865</v>
      </c>
      <c r="H16245" s="6" t="n">
        <f aca="false">Sens!H16243-Sens!H16244</f>
        <v>17.8543398608187</v>
      </c>
      <c r="I16245" s="6" t="n">
        <f aca="false">Sens!I16243-Sens!I16244</f>
        <v>93.5813672053166</v>
      </c>
      <c r="J16245" s="6" t="n">
        <f aca="false">Sens!J16243-Sens!J16244</f>
        <v>234.741009090035</v>
      </c>
      <c r="K16245" s="6" t="n">
        <f aca="false">Sens!K16243-Sens!K16244</f>
        <v>404.0065267033</v>
      </c>
    </row>
    <row r="16246" customFormat="false" ht="15" hidden="false" customHeight="false" outlineLevel="0" collapsed="false">
      <c r="A16246" s="1" t="s">
        <v>975</v>
      </c>
      <c r="B16246" s="0" t="s">
        <v>75</v>
      </c>
      <c r="F16246" s="29" t="n">
        <f aca="false">px*(1+bb_g)^(Sens!F16108-base_fy-mid_yr)</f>
        <v>553.494156066711</v>
      </c>
      <c r="G16246" s="29" t="n">
        <f aca="false">px*(1+bb_g)^(Sens!G16108-base_fy-mid_yr)</f>
        <v>597.773688552047</v>
      </c>
      <c r="H16246" s="29" t="n">
        <f aca="false">px*(1+bb_g)^(Sens!H16108-base_fy-mid_yr)</f>
        <v>645.595583636211</v>
      </c>
      <c r="I16246" s="29" t="n">
        <f aca="false">px*(1+bb_g)^(Sens!I16108-base_fy-mid_yr)</f>
        <v>697.243230327108</v>
      </c>
      <c r="J16246" s="29" t="n">
        <f aca="false">px*(1+bb_g)^(Sens!J16108-base_fy-mid_yr)</f>
        <v>753.022688753277</v>
      </c>
      <c r="K16246" s="29" t="n">
        <f aca="false">px*(1+bb_g)^(Sens!K16108-base_fy-mid_yr)</f>
        <v>813.264503853539</v>
      </c>
    </row>
    <row r="16247" customFormat="false" ht="15" hidden="false" customHeight="false" outlineLevel="0" collapsed="false">
      <c r="A16247" s="1" t="s">
        <v>976</v>
      </c>
      <c r="B16247" s="1" t="s">
        <v>81</v>
      </c>
      <c r="E16247" s="14" t="n">
        <f aca="false">sh_out26</f>
        <v>7.427</v>
      </c>
      <c r="F16247" s="14" t="n">
        <f aca="false">Sens!E16247+sh_iss-Sens!F16241/Sens!F16246</f>
        <v>7.472</v>
      </c>
      <c r="G16247" s="14" t="n">
        <f aca="false">Sens!F16247+sh_iss-Sens!G16241/Sens!G16246</f>
        <v>7.51591939889462</v>
      </c>
      <c r="H16247" s="14" t="n">
        <f aca="false">Sens!G16247+sh_iss-Sens!H16241/Sens!H16246</f>
        <v>7.52642257059452</v>
      </c>
      <c r="I16247" s="14" t="n">
        <f aca="false">Sens!H16247+sh_iss-Sens!I16241/Sens!I16246</f>
        <v>7.53948106290924</v>
      </c>
      <c r="J16247" s="14" t="n">
        <f aca="false">Sens!I16247+sh_iss-Sens!J16241/Sens!J16246</f>
        <v>7.55490559283029</v>
      </c>
      <c r="K16247" s="14" t="n">
        <f aca="false">Sens!J16247+sh_iss-Sens!K16241/Sens!K16246</f>
        <v>7.57252089831273</v>
      </c>
    </row>
    <row r="16248" customFormat="false" ht="15" hidden="false" customHeight="false" outlineLevel="0" collapsed="false">
      <c r="A16248" s="1" t="s">
        <v>977</v>
      </c>
      <c r="B16248" s="1" t="s">
        <v>81</v>
      </c>
      <c r="E16248" s="14" t="n">
        <f aca="false">sh_dil26</f>
        <v>7.453</v>
      </c>
      <c r="F16248" s="14" t="n">
        <f aca="false">(Sens!E16247+Sens!F16247)/2+dil_gap</f>
        <v>7.4735</v>
      </c>
      <c r="G16248" s="14" t="n">
        <f aca="false">(Sens!F16247+Sens!G16247)/2+dil_gap</f>
        <v>7.51795969944731</v>
      </c>
      <c r="H16248" s="14" t="n">
        <f aca="false">(Sens!G16247+Sens!H16247)/2+dil_gap</f>
        <v>7.54517098474457</v>
      </c>
      <c r="I16248" s="14" t="n">
        <f aca="false">(Sens!H16247+Sens!I16247)/2+dil_gap</f>
        <v>7.55695181675188</v>
      </c>
      <c r="J16248" s="14" t="n">
        <f aca="false">(Sens!I16247+Sens!J16247)/2+dil_gap</f>
        <v>7.57119332786977</v>
      </c>
      <c r="K16248" s="14" t="n">
        <f aca="false">(Sens!J16247+Sens!K16247)/2+dil_gap</f>
        <v>7.58771324557151</v>
      </c>
    </row>
    <row r="16249" customFormat="false" ht="17.15" hidden="false" customHeight="false" outlineLevel="0" collapsed="false">
      <c r="A16249" s="1" t="s">
        <v>978</v>
      </c>
      <c r="B16249" s="0" t="s">
        <v>98</v>
      </c>
      <c r="C16249" s="6" t="n">
        <f aca="false">SUM(Sens!F16239:J16239)</f>
        <v>271.492963998653</v>
      </c>
    </row>
    <row r="16250" customFormat="false" ht="15" hidden="false" customHeight="false" outlineLevel="0" collapsed="false">
      <c r="A16250" s="23" t="s">
        <v>945</v>
      </c>
      <c r="B16250" s="30" t="s">
        <v>98</v>
      </c>
      <c r="C16250" s="24" t="n">
        <f aca="false">Sens!$C$16249-(Sens!F16239+Sens!G16239+Sens!H16239+Sens!I16239+Sens!J16239)</f>
        <v>0</v>
      </c>
      <c r="D16250" s="30"/>
      <c r="E16250" s="30"/>
      <c r="F16250" s="30"/>
      <c r="G16250" s="30"/>
      <c r="H16250" s="30"/>
      <c r="I16250" s="30"/>
      <c r="J16250" s="30"/>
      <c r="K16250" s="30"/>
    </row>
    <row r="16251" customFormat="false" ht="17.15" hidden="false" customHeight="false" outlineLevel="0" collapsed="false">
      <c r="A16251" s="1" t="s">
        <v>939</v>
      </c>
      <c r="B16251" s="1" t="s">
        <v>979</v>
      </c>
      <c r="C16251" s="32" t="str">
        <f aca="false">IF(SUM(Sens!F16242:J16242)&gt;0.05,"需要舉債 "&amp;TEXT(SUM(Sens!F16242:J16242),"0.0")&amp;" 十億美元","不需舉債")&amp;"；"&amp;IF(SUM(Sens!F16241:J16241)&lt;COUNT(Sens!F16241:J16241)*bb_target-0.05,"回購較每年 "&amp;TEXT(bb_target,"0.0")&amp;" 的目標少 "&amp;TEXT(COUNT(Sens!F16241:J16241)*bb_target-SUM(Sens!F16241:J16241),"0.0")&amp;" 十億美元（"&amp;TEXT(COUNTIF(Sens!F16241:J16241,"&lt;"&amp;(bb_target-0.05)),"0")&amp;" 年減少）","回購不減")</f>
        <v>需要舉債 9.8 十億美元；回購較每年 22.3 的目標少 43.9 十億美元（2 年減少）</v>
      </c>
    </row>
    <row r="16252" customFormat="false" ht="17.15" hidden="false" customHeight="false" outlineLevel="0" collapsed="false">
      <c r="A16252" s="3" t="s">
        <v>1675</v>
      </c>
    </row>
    <row r="16253" customFormat="false" ht="15" hidden="false" customHeight="false" outlineLevel="0" collapsed="false">
      <c r="A16253" s="4" t="s">
        <v>43</v>
      </c>
      <c r="B16253" s="4" t="s">
        <v>65</v>
      </c>
      <c r="C16253" s="20" t="s">
        <v>799</v>
      </c>
      <c r="D16253" s="20" t="s">
        <v>800</v>
      </c>
      <c r="E16253" s="20" t="s">
        <v>801</v>
      </c>
      <c r="F16253" s="20" t="s">
        <v>802</v>
      </c>
      <c r="G16253" s="20" t="s">
        <v>803</v>
      </c>
      <c r="H16253" s="20" t="s">
        <v>804</v>
      </c>
      <c r="I16253" s="20" t="s">
        <v>805</v>
      </c>
      <c r="J16253" s="20" t="s">
        <v>806</v>
      </c>
      <c r="K16253" s="20" t="s">
        <v>807</v>
      </c>
      <c r="L16253" s="4" t="s">
        <v>47</v>
      </c>
    </row>
    <row r="16254" customFormat="false" ht="15" hidden="false" customHeight="false" outlineLevel="0" collapsed="false">
      <c r="A16254" s="1" t="s">
        <v>1057</v>
      </c>
      <c r="B16254" s="1" t="s">
        <v>235</v>
      </c>
      <c r="F16254" s="36" t="n">
        <f aca="false">Sens!F16108-base_fy-mid_yr</f>
        <v>0.5</v>
      </c>
      <c r="G16254" s="36" t="n">
        <f aca="false">Sens!G16108-base_fy-mid_yr</f>
        <v>1.5</v>
      </c>
      <c r="H16254" s="36" t="n">
        <f aca="false">Sens!H16108-base_fy-mid_yr</f>
        <v>2.5</v>
      </c>
      <c r="I16254" s="36" t="n">
        <f aca="false">Sens!I16108-base_fy-mid_yr</f>
        <v>3.5</v>
      </c>
      <c r="J16254" s="36" t="n">
        <f aca="false">Sens!J16108-base_fy-mid_yr</f>
        <v>4.5</v>
      </c>
      <c r="K16254" s="36" t="n">
        <f aca="false">Sens!K16108-base_fy-mid_yr</f>
        <v>5.5</v>
      </c>
    </row>
    <row r="16255" customFormat="false" ht="15" hidden="false" customHeight="false" outlineLevel="0" collapsed="false">
      <c r="A16255" s="1" t="s">
        <v>1058</v>
      </c>
      <c r="B16255" s="0" t="s">
        <v>185</v>
      </c>
      <c r="F16255" s="14" t="n">
        <f aca="false">1/(1+wacc)^Sens!F16254</f>
        <v>0.952193373608246</v>
      </c>
      <c r="G16255" s="14" t="n">
        <f aca="false">1/(1+wacc)^Sens!G16254</f>
        <v>0.863327280626589</v>
      </c>
      <c r="H16255" s="14" t="n">
        <f aca="false">1/(1+wacc)^Sens!H16254</f>
        <v>0.782754862754115</v>
      </c>
      <c r="I16255" s="14" t="n">
        <f aca="false">1/(1+wacc)^Sens!I16254</f>
        <v>0.709702089711011</v>
      </c>
      <c r="J16255" s="14" t="n">
        <f aca="false">1/(1+wacc)^Sens!J16254</f>
        <v>0.643467169744551</v>
      </c>
      <c r="K16255" s="14" t="n">
        <f aca="false">1/(1+wacc)^Sens!K16254</f>
        <v>0.583413807767797</v>
      </c>
    </row>
    <row r="16256" customFormat="false" ht="17.15" hidden="false" customHeight="false" outlineLevel="0" collapsed="false">
      <c r="A16256" s="1" t="s">
        <v>1059</v>
      </c>
      <c r="B16256" s="0" t="s">
        <v>98</v>
      </c>
      <c r="F16256" s="6" t="n">
        <f aca="false">Sens!F16229-Sens!F16227-Sens!F16233+Sens!F16212*(1-tax_f)</f>
        <v>-2.156788572176</v>
      </c>
      <c r="G16256" s="6" t="n">
        <f aca="false">Sens!G16229-Sens!G16227-Sens!G16233+Sens!G16212*(1-tax_f)</f>
        <v>37.5809864659083</v>
      </c>
      <c r="H16256" s="6" t="n">
        <f aca="false">Sens!H16229-Sens!H16227-Sens!H16233+Sens!H16212*(1-tax_f)</f>
        <v>86.0308608514157</v>
      </c>
      <c r="I16256" s="6" t="n">
        <f aca="false">Sens!I16229-Sens!I16227-Sens!I16233+Sens!I16212*(1-tax_f)</f>
        <v>159.253448394112</v>
      </c>
      <c r="J16256" s="6" t="n">
        <f aca="false">Sens!J16229-Sens!J16227-Sens!J16233+Sens!J16212*(1-tax_f)</f>
        <v>234.044266283345</v>
      </c>
      <c r="K16256" s="6" t="n">
        <f aca="false">Sens!K16229-Sens!K16227-Sens!K16233+Sens!K16212*(1-tax_f)</f>
        <v>268.626166031994</v>
      </c>
      <c r="L16256" s="1" t="s">
        <v>1060</v>
      </c>
    </row>
    <row r="16257" customFormat="false" ht="15" hidden="false" customHeight="false" outlineLevel="0" collapsed="false">
      <c r="A16257" s="1" t="s">
        <v>1061</v>
      </c>
      <c r="B16257" s="0" t="s">
        <v>98</v>
      </c>
      <c r="F16257" s="6" t="n">
        <f aca="false">Sens!F16256*Sens!F16255</f>
        <v>-2.05367978669998</v>
      </c>
      <c r="G16257" s="6" t="n">
        <f aca="false">Sens!G16256*Sens!G16255</f>
        <v>32.4446908488772</v>
      </c>
      <c r="H16257" s="6" t="n">
        <f aca="false">Sens!H16256*Sens!H16255</f>
        <v>67.3410746783683</v>
      </c>
      <c r="I16257" s="6" t="n">
        <f aca="false">Sens!I16256*Sens!I16255</f>
        <v>113.022505118986</v>
      </c>
      <c r="J16257" s="6" t="n">
        <f aca="false">Sens!J16256*Sens!J16255</f>
        <v>150.599801620284</v>
      </c>
      <c r="K16257" s="6" t="n">
        <f aca="false">Sens!K16256*Sens!K16255</f>
        <v>156.72021439079</v>
      </c>
    </row>
    <row r="16258" customFormat="false" ht="17.15" hidden="false" customHeight="false" outlineLevel="0" collapsed="false">
      <c r="A16258" s="1" t="s">
        <v>1062</v>
      </c>
      <c r="B16258" s="0" t="s">
        <v>98</v>
      </c>
      <c r="C16258" s="6" t="n">
        <f aca="false">SUM(Sens!F16257:K16257)</f>
        <v>518.074606870605</v>
      </c>
    </row>
    <row r="16259" customFormat="false" ht="17.15" hidden="false" customHeight="false" outlineLevel="0" collapsed="false">
      <c r="A16259" s="1" t="s">
        <v>1063</v>
      </c>
      <c r="B16259" s="0" t="s">
        <v>98</v>
      </c>
      <c r="C16259" s="6" t="n">
        <f aca="false">Sens!K16198*(1+g_tv)*(1-tax_f)</f>
        <v>283.951006864636</v>
      </c>
    </row>
    <row r="16260" customFormat="false" ht="17.15" hidden="false" customHeight="false" outlineLevel="0" collapsed="false">
      <c r="A16260" s="1" t="s">
        <v>1064</v>
      </c>
      <c r="B16260" s="0" t="s">
        <v>98</v>
      </c>
      <c r="C16260" s="6" t="n">
        <f aca="false">Sens!$C$16259*(1-g_tv/(wacc+ronic_prem))</f>
        <v>201.194138965123</v>
      </c>
    </row>
    <row r="16261" customFormat="false" ht="17.15" hidden="false" customHeight="false" outlineLevel="0" collapsed="false">
      <c r="A16261" s="1" t="s">
        <v>1065</v>
      </c>
      <c r="B16261" s="0" t="s">
        <v>98</v>
      </c>
      <c r="C16261" s="6" t="n">
        <f aca="false">Sens!$C$16260/(wacc-g_tv)</f>
        <v>2758.56226331709</v>
      </c>
    </row>
    <row r="16262" customFormat="false" ht="15" hidden="false" customHeight="false" outlineLevel="0" collapsed="false">
      <c r="A16262" s="1" t="s">
        <v>1066</v>
      </c>
      <c r="B16262" s="0" t="s">
        <v>98</v>
      </c>
      <c r="C16262" s="6" t="n">
        <f aca="false">Sens!$C$16261/(1+wacc)^(Sens!K16254+mid_yr)</f>
        <v>1532.44412719255</v>
      </c>
    </row>
    <row r="16263" customFormat="false" ht="17.15" hidden="false" customHeight="false" outlineLevel="0" collapsed="false">
      <c r="A16263" s="0" t="s">
        <v>986</v>
      </c>
      <c r="B16263" s="0" t="s">
        <v>98</v>
      </c>
      <c r="C16263" s="6" t="n">
        <f aca="false">Sens!$C$16258+Sens!$C$16262</f>
        <v>2050.51873406316</v>
      </c>
    </row>
    <row r="16264" customFormat="false" ht="15" hidden="false" customHeight="false" outlineLevel="0" collapsed="false">
      <c r="A16264" s="1" t="s">
        <v>987</v>
      </c>
      <c r="B16264" s="0" t="s">
        <v>129</v>
      </c>
      <c r="C16264" s="7" t="n">
        <f aca="false">Sens!$C$16262/Sens!$C$16263</f>
        <v>0.747344611749034</v>
      </c>
    </row>
    <row r="16265" customFormat="false" ht="17.15" hidden="false" customHeight="false" outlineLevel="0" collapsed="false">
      <c r="A16265" s="1" t="s">
        <v>1067</v>
      </c>
      <c r="B16265" s="0" t="s">
        <v>98</v>
      </c>
      <c r="C16265" s="6" t="n">
        <f aca="false">Sens!$C$16263+Sens!E16245-Sens!E16234+oai_v</f>
        <v>2185.03173406316</v>
      </c>
    </row>
    <row r="16266" customFormat="false" ht="17.15" hidden="false" customHeight="false" outlineLevel="0" collapsed="false">
      <c r="A16266" s="0" t="s">
        <v>994</v>
      </c>
      <c r="B16266" s="0" t="s">
        <v>75</v>
      </c>
      <c r="C16266" s="5" t="n">
        <f aca="false">Sens!$C$16265/sh_dil26</f>
        <v>293.174793246096</v>
      </c>
    </row>
    <row r="16267" customFormat="false" ht="15" hidden="false" customHeight="false" outlineLevel="0" collapsed="false">
      <c r="A16267" s="1" t="s">
        <v>1068</v>
      </c>
      <c r="B16267" s="0" t="s">
        <v>75</v>
      </c>
      <c r="C16267" s="8" t="n">
        <f aca="false">dps_27+Sens!G16237*roll_div_q/q_per_yr</f>
        <v>4.8895</v>
      </c>
    </row>
    <row r="16268" customFormat="false" ht="17.15" hidden="false" customHeight="false" outlineLevel="0" collapsed="false">
      <c r="A16268" s="0" t="s">
        <v>1069</v>
      </c>
      <c r="B16268" s="0" t="s">
        <v>75</v>
      </c>
      <c r="C16268" s="5" t="n">
        <f aca="false">Sens!$C$16266*(1+wacc)^t_roll-Sens!$C$16267</f>
        <v>328.958426036636</v>
      </c>
    </row>
    <row r="16269" customFormat="false" ht="17.15" hidden="false" customHeight="false" outlineLevel="0" collapsed="false">
      <c r="A16269" s="1" t="s">
        <v>1070</v>
      </c>
      <c r="B16269" s="0" t="s">
        <v>129</v>
      </c>
      <c r="F16269" s="7" t="n">
        <f aca="false">Sens!F16224/(Sens!F16169-Sens!F16125)</f>
        <v>0.0684307874075333</v>
      </c>
      <c r="G16269" s="7" t="n">
        <f aca="false">Sens!G16224/(Sens!G16169-Sens!G16125)</f>
        <v>0.0656456058503526</v>
      </c>
      <c r="H16269" s="7" t="n">
        <f aca="false">Sens!H16224/(Sens!H16169-Sens!H16125)</f>
        <v>0.0641950889132003</v>
      </c>
      <c r="I16269" s="7" t="n">
        <f aca="false">Sens!I16224/(Sens!I16169-Sens!I16125)</f>
        <v>0.063960269667854</v>
      </c>
      <c r="J16269" s="7" t="n">
        <f aca="false">Sens!J16224/(Sens!J16169-Sens!J16125)</f>
        <v>0.0646607917002597</v>
      </c>
      <c r="K16269" s="7" t="n">
        <f aca="false">Sens!K16224/(Sens!K16169-Sens!K16125)</f>
        <v>0.0659511546529383</v>
      </c>
    </row>
    <row r="16270" customFormat="false" ht="17.15" hidden="false" customHeight="false" outlineLevel="0" collapsed="false">
      <c r="A16270" s="0" t="s">
        <v>1071</v>
      </c>
      <c r="B16270" s="0" t="s">
        <v>98</v>
      </c>
      <c r="F16270" s="6" t="n">
        <f aca="false">Sens!F16154*(al_m365+Sens!F16269+sbc_r)</f>
        <v>83.9158372980923</v>
      </c>
      <c r="G16270" s="6" t="n">
        <f aca="false">Sens!G16154*(al_m365+Sens!G16269+sbc_r)</f>
        <v>96.3459139664276</v>
      </c>
      <c r="H16270" s="6" t="n">
        <f aca="false">Sens!H16154*(al_m365+Sens!H16269+sbc_r)</f>
        <v>108.939128787393</v>
      </c>
      <c r="I16270" s="6" t="n">
        <f aca="false">Sens!I16154*(al_m365+Sens!I16269+sbc_r)</f>
        <v>120.51456797186</v>
      </c>
      <c r="J16270" s="6" t="n">
        <f aca="false">Sens!J16154*(al_m365+Sens!J16269+sbc_r)</f>
        <v>130.883844402211</v>
      </c>
      <c r="K16270" s="6" t="n">
        <f aca="false">Sens!K16154*(al_m365+Sens!K16269+sbc_r)</f>
        <v>140.862269296832</v>
      </c>
      <c r="L16270" s="11" t="s">
        <v>1072</v>
      </c>
    </row>
    <row r="16271" customFormat="false" ht="17.15" hidden="false" customHeight="false" outlineLevel="0" collapsed="false">
      <c r="A16271" s="0" t="s">
        <v>1073</v>
      </c>
      <c r="B16271" s="0" t="s">
        <v>98</v>
      </c>
      <c r="F16271" s="6" t="n">
        <f aca="false">Sens!F16155*(al_lic+Sens!F16269+sbc_r)</f>
        <v>33.4384115342236</v>
      </c>
      <c r="G16271" s="6" t="n">
        <f aca="false">Sens!G16155*(al_lic+Sens!G16269+sbc_r)</f>
        <v>34.7409063621757</v>
      </c>
      <c r="H16271" s="6" t="n">
        <f aca="false">Sens!H16155*(al_lic+Sens!H16269+sbc_r)</f>
        <v>35.9566740351293</v>
      </c>
      <c r="I16271" s="6" t="n">
        <f aca="false">Sens!I16155*(al_lic+Sens!I16269+sbc_r)</f>
        <v>37.0672966580049</v>
      </c>
      <c r="J16271" s="6" t="n">
        <f aca="false">Sens!J16155*(al_lic+Sens!J16269+sbc_r)</f>
        <v>38.0469841498966</v>
      </c>
      <c r="K16271" s="6" t="n">
        <f aca="false">Sens!K16155*(al_lic+Sens!K16269+sbc_r)</f>
        <v>38.8666958490701</v>
      </c>
    </row>
    <row r="16272" customFormat="false" ht="17.15" hidden="false" customHeight="false" outlineLevel="0" collapsed="false">
      <c r="A16272" s="0" t="s">
        <v>1074</v>
      </c>
      <c r="B16272" s="0" t="s">
        <v>98</v>
      </c>
      <c r="F16272" s="6" t="n">
        <f aca="false">Sens!F16157*(al_ind+Sens!F16269+sbc_r)</f>
        <v>9.07285900381439</v>
      </c>
      <c r="G16272" s="6" t="n">
        <f aca="false">Sens!G16157*(al_ind+Sens!G16269+sbc_r)</f>
        <v>9.84969160470639</v>
      </c>
      <c r="H16272" s="6" t="n">
        <f aca="false">Sens!H16157*(al_ind+Sens!H16269+sbc_r)</f>
        <v>10.6714469126029</v>
      </c>
      <c r="I16272" s="6" t="n">
        <f aca="false">Sens!I16157*(al_ind+Sens!I16269+sbc_r)</f>
        <v>11.5350820765572</v>
      </c>
      <c r="J16272" s="6" t="n">
        <f aca="false">Sens!J16157*(al_ind+Sens!J16269+sbc_r)</f>
        <v>12.4308815351832</v>
      </c>
      <c r="K16272" s="6" t="n">
        <f aca="false">Sens!K16157*(al_ind+Sens!K16269+sbc_r)</f>
        <v>13.3437330974691</v>
      </c>
    </row>
    <row r="16273" customFormat="false" ht="17.15" hidden="false" customHeight="false" outlineLevel="0" collapsed="false">
      <c r="A16273" s="0" t="s">
        <v>1075</v>
      </c>
      <c r="B16273" s="0" t="s">
        <v>98</v>
      </c>
      <c r="F16273" s="6" t="n">
        <f aca="false">Sens!F16159*(al_fro+Sens!F16269+sbc_r)</f>
        <v>3.5711091569032</v>
      </c>
      <c r="G16273" s="6" t="n">
        <f aca="false">Sens!G16159*(al_fro+Sens!G16269+sbc_r)</f>
        <v>3.78169924595694</v>
      </c>
      <c r="H16273" s="6" t="n">
        <f aca="false">Sens!H16159*(al_fro+Sens!H16269+sbc_r)</f>
        <v>4.02136645419237</v>
      </c>
      <c r="I16273" s="6" t="n">
        <f aca="false">Sens!I16159*(al_fro+Sens!I16269+sbc_r)</f>
        <v>4.29288807676321</v>
      </c>
      <c r="J16273" s="6" t="n">
        <f aca="false">Sens!J16159*(al_fro+Sens!J16269+sbc_r)</f>
        <v>4.59741770960175</v>
      </c>
      <c r="K16273" s="6" t="n">
        <f aca="false">Sens!K16159*(al_fro+Sens!K16269+sbc_r)</f>
        <v>4.9350252981555</v>
      </c>
    </row>
    <row r="16274" customFormat="false" ht="17.15" hidden="false" customHeight="false" outlineLevel="0" collapsed="false">
      <c r="A16274" s="0" t="s">
        <v>1076</v>
      </c>
      <c r="B16274" s="0" t="s">
        <v>98</v>
      </c>
      <c r="F16274" s="6" t="n">
        <f aca="false">Sens!F16162*(al_srch+Sens!F16269+sbc_r)</f>
        <v>11.205111954849</v>
      </c>
      <c r="G16274" s="6" t="n">
        <f aca="false">Sens!G16162*(al_srch+Sens!G16269+sbc_r)</f>
        <v>12.2792883348957</v>
      </c>
      <c r="H16274" s="6" t="n">
        <f aca="false">Sens!H16162*(al_srch+Sens!H16269+sbc_r)</f>
        <v>13.3983888227975</v>
      </c>
      <c r="I16274" s="6" t="n">
        <f aca="false">Sens!I16162*(al_srch+Sens!I16269+sbc_r)</f>
        <v>14.5517695263616</v>
      </c>
      <c r="J16274" s="6" t="n">
        <f aca="false">Sens!J16162*(al_srch+Sens!J16269+sbc_r)</f>
        <v>15.7194284145253</v>
      </c>
      <c r="K16274" s="6" t="n">
        <f aca="false">Sens!K16162*(al_srch+Sens!K16269+sbc_r)</f>
        <v>16.87377171237</v>
      </c>
    </row>
    <row r="16275" customFormat="false" ht="17.15" hidden="false" customHeight="false" outlineLevel="0" collapsed="false">
      <c r="A16275" s="0" t="s">
        <v>1077</v>
      </c>
      <c r="B16275" s="0" t="s">
        <v>98</v>
      </c>
      <c r="F16275" s="6" t="n">
        <f aca="false">Sens!F16131-Sens!F16132+Sens!F16212</f>
        <v>42.2254306726393</v>
      </c>
      <c r="G16275" s="6" t="n">
        <f aca="false">Sens!G16131-Sens!G16132+Sens!G16212</f>
        <v>79.7027537443441</v>
      </c>
      <c r="H16275" s="6" t="n">
        <f aca="false">Sens!H16131-Sens!H16132+Sens!H16212</f>
        <v>120.060533679822</v>
      </c>
      <c r="I16275" s="6" t="n">
        <f aca="false">Sens!I16131-Sens!I16132+Sens!I16212</f>
        <v>156.515256506302</v>
      </c>
      <c r="J16275" s="6" t="n">
        <f aca="false">Sens!J16131-Sens!J16132+Sens!J16212</f>
        <v>182.51821819491</v>
      </c>
      <c r="K16275" s="6" t="n">
        <f aca="false">Sens!K16131-Sens!K16132+Sens!K16212</f>
        <v>199.254533496123</v>
      </c>
    </row>
    <row r="16276" customFormat="false" ht="17.15" hidden="false" customHeight="false" outlineLevel="0" collapsed="false">
      <c r="A16276" s="0" t="s">
        <v>1078</v>
      </c>
      <c r="B16276" s="0" t="s">
        <v>98</v>
      </c>
      <c r="F16276" s="6" t="n">
        <f aca="false">Sens!F16191+Sens!F16212+Sens!F16142+Sens!F16269*(Sens!F16161-Sens!F16125)+sbc_r*Sens!F16161</f>
        <v>233.239281725346</v>
      </c>
      <c r="G16276" s="6" t="n">
        <f aca="false">Sens!G16191+Sens!G16212+Sens!G16142+Sens!G16269*(Sens!G16161-Sens!G16125)+sbc_r*Sens!G16161</f>
        <v>297.792986047076</v>
      </c>
      <c r="H16276" s="6" t="n">
        <f aca="false">Sens!H16191+Sens!H16212+Sens!H16142+Sens!H16269*(Sens!H16161-Sens!H16125)+sbc_r*Sens!H16161</f>
        <v>365.737311704381</v>
      </c>
      <c r="I16276" s="6" t="n">
        <f aca="false">Sens!I16191+Sens!I16212+Sens!I16142+Sens!I16269*(Sens!I16161-Sens!I16125)+sbc_r*Sens!I16161</f>
        <v>428.412347454206</v>
      </c>
      <c r="J16276" s="6" t="n">
        <f aca="false">Sens!J16191+Sens!J16212+Sens!J16142+Sens!J16269*(Sens!J16161-Sens!J16125)+sbc_r*Sens!J16161</f>
        <v>478.208745687718</v>
      </c>
      <c r="K16276" s="6" t="n">
        <f aca="false">Sens!K16191+Sens!K16212+Sens!K16142+Sens!K16269*(Sens!K16161-Sens!K16125)+sbc_r*Sens!K16161</f>
        <v>516.393557615984</v>
      </c>
    </row>
    <row r="16277" customFormat="false" ht="17.15" hidden="false" customHeight="false" outlineLevel="0" collapsed="false">
      <c r="A16277" s="0" t="s">
        <v>1079</v>
      </c>
      <c r="B16277" s="0" t="s">
        <v>98</v>
      </c>
      <c r="F16277" s="6" t="n">
        <f aca="false">Sens!F16276-Sens!F16270-Sens!F16271-Sens!F16272-Sens!F16273-Sens!F16275</f>
        <v>61.0156340596736</v>
      </c>
      <c r="G16277" s="6" t="n">
        <f aca="false">Sens!G16276-Sens!G16270-Sens!G16271-Sens!G16272-Sens!G16273-Sens!G16275</f>
        <v>73.3720211234655</v>
      </c>
      <c r="H16277" s="6" t="n">
        <f aca="false">Sens!H16276-Sens!H16270-Sens!H16271-Sens!H16272-Sens!H16273-Sens!H16275</f>
        <v>86.0881618352416</v>
      </c>
      <c r="I16277" s="6" t="n">
        <f aca="false">Sens!I16276-Sens!I16270-Sens!I16271-Sens!I16272-Sens!I16273-Sens!I16275</f>
        <v>98.4872561647193</v>
      </c>
      <c r="J16277" s="6" t="n">
        <f aca="false">Sens!J16276-Sens!J16270-Sens!J16271-Sens!J16272-Sens!J16273-Sens!J16275</f>
        <v>109.731399695915</v>
      </c>
      <c r="K16277" s="6" t="n">
        <f aca="false">Sens!K16276-Sens!K16270-Sens!K16271-Sens!K16272-Sens!K16273-Sens!K16275</f>
        <v>119.131300578334</v>
      </c>
    </row>
    <row r="16278" customFormat="false" ht="17.15" hidden="false" customHeight="false" outlineLevel="0" collapsed="false">
      <c r="A16278" s="0" t="s">
        <v>1080</v>
      </c>
      <c r="B16278" s="0" t="s">
        <v>98</v>
      </c>
      <c r="F16278" s="6" t="n">
        <f aca="false">Sens!F16193+Sens!F16269*Sens!F16168+sbc_r*Sens!F16168</f>
        <v>26.1883018536976</v>
      </c>
      <c r="G16278" s="6" t="n">
        <f aca="false">Sens!G16193+Sens!G16269*Sens!G16168+sbc_r*Sens!G16168</f>
        <v>26.7988692269165</v>
      </c>
      <c r="H16278" s="6" t="n">
        <f aca="false">Sens!H16193+Sens!H16269*Sens!H16168+sbc_r*Sens!H16168</f>
        <v>27.676651877401</v>
      </c>
      <c r="I16278" s="6" t="n">
        <f aca="false">Sens!I16193+Sens!I16269*Sens!I16168+sbc_r*Sens!I16168</f>
        <v>28.7919477163856</v>
      </c>
      <c r="J16278" s="6" t="n">
        <f aca="false">Sens!J16193+Sens!J16269*Sens!J16168+sbc_r*Sens!J16168</f>
        <v>30.1095554599876</v>
      </c>
      <c r="K16278" s="6" t="n">
        <f aca="false">Sens!K16193+Sens!K16269*Sens!K16168+sbc_r*Sens!K16168</f>
        <v>31.5923355811805</v>
      </c>
    </row>
    <row r="16279" customFormat="false" ht="17.15" hidden="false" customHeight="false" outlineLevel="0" collapsed="false">
      <c r="A16279" s="0" t="s">
        <v>1081</v>
      </c>
      <c r="B16279" s="0" t="s">
        <v>98</v>
      </c>
      <c r="F16279" s="6" t="n">
        <f aca="false">(Sens!F16278-Sens!F16274)*Sens!F16164/(Sens!F16164+Sens!F16166)</f>
        <v>8.21363876839376</v>
      </c>
      <c r="G16279" s="6" t="n">
        <f aca="false">(Sens!G16278-Sens!G16274)*Sens!G16164/(Sens!G16164+Sens!G16166)</f>
        <v>7.81757556948427</v>
      </c>
      <c r="H16279" s="6" t="n">
        <f aca="false">(Sens!H16278-Sens!H16274)*Sens!H16164/(Sens!H16164+Sens!H16166)</f>
        <v>7.58379891746928</v>
      </c>
      <c r="I16279" s="6" t="n">
        <f aca="false">(Sens!I16278-Sens!I16274)*Sens!I16164/(Sens!I16164+Sens!I16166)</f>
        <v>7.49513512835163</v>
      </c>
      <c r="J16279" s="6" t="n">
        <f aca="false">(Sens!J16278-Sens!J16274)*Sens!J16164/(Sens!J16164+Sens!J16166)</f>
        <v>7.53980917061682</v>
      </c>
      <c r="K16279" s="6" t="n">
        <f aca="false">(Sens!K16278-Sens!K16274)*Sens!K16164/(Sens!K16164+Sens!K16166)</f>
        <v>7.71189597463361</v>
      </c>
    </row>
    <row r="16280" customFormat="false" ht="17.15" hidden="false" customHeight="false" outlineLevel="0" collapsed="false">
      <c r="A16280" s="0" t="s">
        <v>1082</v>
      </c>
      <c r="B16280" s="0" t="s">
        <v>98</v>
      </c>
      <c r="F16280" s="6" t="n">
        <f aca="false">Sens!F16278-Sens!F16274-Sens!F16279</f>
        <v>6.76955113045481</v>
      </c>
      <c r="G16280" s="6" t="n">
        <f aca="false">Sens!G16278-Sens!G16274-Sens!G16279</f>
        <v>6.70200532253647</v>
      </c>
      <c r="H16280" s="6" t="n">
        <f aca="false">Sens!H16278-Sens!H16274-Sens!H16279</f>
        <v>6.69446413713431</v>
      </c>
      <c r="I16280" s="6" t="n">
        <f aca="false">Sens!I16278-Sens!I16274-Sens!I16279</f>
        <v>6.74504306167234</v>
      </c>
      <c r="J16280" s="6" t="n">
        <f aca="false">Sens!J16278-Sens!J16274-Sens!J16279</f>
        <v>6.85031787484545</v>
      </c>
      <c r="K16280" s="6" t="n">
        <f aca="false">Sens!K16278-Sens!K16274-Sens!K16279</f>
        <v>7.00666789417688</v>
      </c>
    </row>
    <row r="16281" customFormat="false" ht="17.15" hidden="false" customHeight="false" outlineLevel="0" collapsed="false">
      <c r="A16281" s="0" t="s">
        <v>1083</v>
      </c>
      <c r="B16281" s="0" t="s">
        <v>98</v>
      </c>
      <c r="F16281" s="6" t="n">
        <f aca="false">Sens!F16275-tax_f*(Sens!F16275-Sens!F16142)-Sens!F16139</f>
        <v>-127.892201141152</v>
      </c>
      <c r="G16281" s="6" t="n">
        <f aca="false">Sens!G16275-tax_f*(Sens!G16275-Sens!G16142)-Sens!G16139</f>
        <v>-107.710630835657</v>
      </c>
      <c r="H16281" s="6" t="n">
        <f aca="false">Sens!H16275-tax_f*(Sens!H16275-Sens!H16142)-Sens!H16139</f>
        <v>-74.4833957679146</v>
      </c>
      <c r="I16281" s="6" t="n">
        <f aca="false">Sens!I16275-tax_f*(Sens!I16275-Sens!I16142)-Sens!I16139</f>
        <v>-16.0970559527599</v>
      </c>
      <c r="J16281" s="6" t="n">
        <f aca="false">Sens!J16275-tax_f*(Sens!J16275-Sens!J16142)-Sens!J16139</f>
        <v>44.7090617622203</v>
      </c>
      <c r="K16281" s="6" t="n">
        <f aca="false">Sens!K16275-tax_f*(Sens!K16275-Sens!K16142)-Sens!K16139</f>
        <v>66.0987635321354</v>
      </c>
    </row>
    <row r="16282" customFormat="false" ht="17.15" hidden="false" customHeight="false" outlineLevel="0" collapsed="false">
      <c r="A16282" s="0" t="s">
        <v>1084</v>
      </c>
      <c r="B16282" s="0" t="s">
        <v>98</v>
      </c>
      <c r="G16282" s="6" t="n">
        <f aca="false">Sens!G16281/(1+wacc)^(Sens!G16254-(Sens!F16254+mid_yr))</f>
        <v>-102.561348948876</v>
      </c>
      <c r="H16282" s="6" t="n">
        <f aca="false">Sens!H16281/(1+wacc)^(Sens!H16254-(Sens!F16254+mid_yr))</f>
        <v>-64.3035475201477</v>
      </c>
      <c r="I16282" s="6" t="n">
        <f aca="false">Sens!I16281/(1+wacc)^(Sens!I16254-(Sens!F16254+mid_yr))</f>
        <v>-12.6000488230479</v>
      </c>
      <c r="J16282" s="6" t="n">
        <f aca="false">Sens!J16281/(1+wacc)^(Sens!J16254-(Sens!F16254+mid_yr))</f>
        <v>31.7301145616664</v>
      </c>
      <c r="K16282" s="6" t="n">
        <f aca="false">Sens!K16281/(1+wacc)^(Sens!K16254-(Sens!F16254+mid_yr))</f>
        <v>42.5323842936375</v>
      </c>
      <c r="L16282" s="1" t="s">
        <v>1085</v>
      </c>
    </row>
    <row r="16283" customFormat="false" ht="17.15" hidden="false" customHeight="false" outlineLevel="0" collapsed="false">
      <c r="A16283" s="0" t="s">
        <v>1086</v>
      </c>
      <c r="B16283" s="0" t="s">
        <v>98</v>
      </c>
      <c r="C16283" s="6" t="n">
        <f aca="false">(Sens!K16275-Sens!K16142)*(1-tax_f)*(1+g_tv)*(1-g_tv/(wacc+ronic_prem))/(wacc-g_tv)/(1+wacc)^(Sens!K16254+mid_yr-(Sens!F16254+mid_yr))</f>
        <v>288.11454999854</v>
      </c>
    </row>
    <row r="16284" customFormat="false" ht="17.15" hidden="false" customHeight="false" outlineLevel="0" collapsed="false">
      <c r="A16284" s="1" t="s">
        <v>1087</v>
      </c>
      <c r="B16284" s="0" t="s">
        <v>98</v>
      </c>
      <c r="C16284" s="6" t="n">
        <f aca="false">(SUM(Sens!G16282:K16282)+Sens!$C$16283)*(1+wacc)^(t_roll-(Sens!F16254+mid_yr))</f>
        <v>188.849052019467</v>
      </c>
      <c r="L16284" s="11" t="s">
        <v>1088</v>
      </c>
    </row>
    <row r="16285" customFormat="false" ht="17.15" hidden="false" customHeight="false" outlineLevel="0" collapsed="false">
      <c r="A16285" s="1" t="s">
        <v>1089</v>
      </c>
      <c r="B16285" s="0" t="s">
        <v>98</v>
      </c>
      <c r="C16285" s="6" t="n">
        <f aca="false">(w_ntm28*Sens!G16131+(1-w_ntm28)*Sens!H16131)*m_ai</f>
        <v>454.922440830797</v>
      </c>
    </row>
    <row r="16286" customFormat="false" ht="17.15" hidden="false" customHeight="false" outlineLevel="0" collapsed="false">
      <c r="A16286" s="1" t="s">
        <v>1090</v>
      </c>
      <c r="B16286" s="0" t="s">
        <v>98</v>
      </c>
      <c r="C16286" s="6" t="n">
        <f aca="false">(w_ntm28*Sens!G16277+(1-w_ntm28)*Sens!H16277)*m_cloud</f>
        <v>1070.81495830201</v>
      </c>
    </row>
    <row r="16287" customFormat="false" ht="17.15" hidden="false" customHeight="false" outlineLevel="0" collapsed="false">
      <c r="A16287" s="1" t="s">
        <v>1091</v>
      </c>
      <c r="B16287" s="0" t="s">
        <v>98</v>
      </c>
      <c r="C16287" s="6" t="n">
        <f aca="false">(w_ntm28*Sens!G16270+(1-w_ntm28)*Sens!H16270)*m_sw</f>
        <v>1084.50516663972</v>
      </c>
    </row>
    <row r="16288" customFormat="false" ht="17.15" hidden="false" customHeight="false" outlineLevel="0" collapsed="false">
      <c r="A16288" s="1" t="s">
        <v>1092</v>
      </c>
      <c r="B16288" s="0" t="s">
        <v>98</v>
      </c>
      <c r="C16288" s="6" t="n">
        <f aca="false">(w_ntm28*Sens!G16271+(1-w_ntm28)*Sens!H16271)*m_sw</f>
        <v>379.446649868791</v>
      </c>
    </row>
    <row r="16289" customFormat="false" ht="17.15" hidden="false" customHeight="false" outlineLevel="0" collapsed="false">
      <c r="A16289" s="1" t="s">
        <v>1093</v>
      </c>
      <c r="B16289" s="0" t="s">
        <v>98</v>
      </c>
      <c r="C16289" s="6" t="n">
        <f aca="false">(w_ntm28*Sens!G16272+(1-w_ntm28)*Sens!H16272)*m_sw</f>
        <v>109.245833616811</v>
      </c>
    </row>
    <row r="16290" customFormat="false" ht="17.15" hidden="false" customHeight="false" outlineLevel="0" collapsed="false">
      <c r="A16290" s="1" t="s">
        <v>1094</v>
      </c>
      <c r="B16290" s="0" t="s">
        <v>98</v>
      </c>
      <c r="C16290" s="6" t="n">
        <f aca="false">(w_ntm28*Sens!G16273+(1-w_ntm28)*Sens!H16273)*m_sw</f>
        <v>41.6791515554452</v>
      </c>
    </row>
    <row r="16291" customFormat="false" ht="17.15" hidden="false" customHeight="false" outlineLevel="0" collapsed="false">
      <c r="A16291" s="1" t="s">
        <v>1095</v>
      </c>
      <c r="B16291" s="0" t="s">
        <v>98</v>
      </c>
      <c r="C16291" s="6" t="n">
        <f aca="false">(w_ntm28*Sens!G16274+(1-w_ntm28)*Sens!H16274)*m_ads</f>
        <v>115.160236299351</v>
      </c>
    </row>
    <row r="16292" customFormat="false" ht="17.15" hidden="false" customHeight="false" outlineLevel="0" collapsed="false">
      <c r="A16292" s="1" t="s">
        <v>1096</v>
      </c>
      <c r="B16292" s="0" t="s">
        <v>98</v>
      </c>
      <c r="C16292" s="6" t="n">
        <f aca="false">(w_ntm28*Sens!G16279+(1-w_ntm28)*Sens!H16279)*m_game</f>
        <v>97.7814405506301</v>
      </c>
    </row>
    <row r="16293" customFormat="false" ht="17.15" hidden="false" customHeight="false" outlineLevel="0" collapsed="false">
      <c r="A16293" s="1" t="s">
        <v>1097</v>
      </c>
      <c r="B16293" s="0" t="s">
        <v>98</v>
      </c>
      <c r="C16293" s="6" t="n">
        <f aca="false">(w_ntm28*Sens!G16280+(1-w_ntm28)*Sens!H16280)*m_pc</f>
        <v>96.9427395583992</v>
      </c>
    </row>
    <row r="16294" customFormat="false" ht="17.15" hidden="false" customHeight="false" outlineLevel="0" collapsed="false">
      <c r="A16294" s="1" t="s">
        <v>1098</v>
      </c>
      <c r="B16294" s="0" t="s">
        <v>98</v>
      </c>
      <c r="C16294" s="6" t="n">
        <f aca="false">Sens!$C$16284+Sens!$C$16286+Sens!$C$16287+Sens!$C$16288+Sens!$C$16289+Sens!$C$16290+Sens!$C$16291+Sens!$C$16292+Sens!$C$16293</f>
        <v>3184.42522841062</v>
      </c>
    </row>
    <row r="16295" customFormat="false" ht="17.15" hidden="false" customHeight="false" outlineLevel="0" collapsed="false">
      <c r="A16295" s="1" t="s">
        <v>1099</v>
      </c>
      <c r="B16295" s="0" t="s">
        <v>98</v>
      </c>
      <c r="C16295" s="6" t="n">
        <f aca="false">(Sens!G16256-Sens!G16281)*t_stub</f>
        <v>47.369047832565</v>
      </c>
      <c r="L16295" s="1" t="s">
        <v>1100</v>
      </c>
    </row>
    <row r="16296" customFormat="false" ht="17.15" hidden="false" customHeight="false" outlineLevel="0" collapsed="false">
      <c r="A16296" s="1" t="s">
        <v>1014</v>
      </c>
      <c r="B16296" s="0" t="s">
        <v>98</v>
      </c>
      <c r="C16296" s="6" t="n">
        <f aca="false">Sens!F16245+oai_v-Sens!F16234+Sens!$C$16295</f>
        <v>158.623043375352</v>
      </c>
      <c r="L16296" s="1" t="s">
        <v>1101</v>
      </c>
    </row>
    <row r="16297" customFormat="false" ht="17.15" hidden="false" customHeight="false" outlineLevel="0" collapsed="false">
      <c r="A16297" s="1" t="s">
        <v>1102</v>
      </c>
      <c r="B16297" s="0" t="s">
        <v>75</v>
      </c>
      <c r="C16297" s="5" t="n">
        <f aca="false">(Sens!$C$16294+Sens!$C$16296)/(Sens!F16247+dil_gap)-Sens!G16237*roll_div_q/q_per_yr</f>
        <v>444.938124304425</v>
      </c>
      <c r="L16297" s="1" t="s">
        <v>1103</v>
      </c>
    </row>
    <row r="16298" customFormat="false" ht="17.15" hidden="false" customHeight="false" outlineLevel="0" collapsed="false">
      <c r="A16298" s="1" t="s">
        <v>1104</v>
      </c>
      <c r="B16298" s="0" t="s">
        <v>75</v>
      </c>
      <c r="C16298" s="5" t="n">
        <f aca="false">w_dcf*Sens!$C$16268+(1-w_dcf)*Sens!$C$16297</f>
        <v>386.948275170531</v>
      </c>
    </row>
    <row r="16299" customFormat="false" ht="17.15" hidden="false" customHeight="false" outlineLevel="0" collapsed="false">
      <c r="A16299" s="3" t="s">
        <v>1676</v>
      </c>
    </row>
    <row r="16300" customFormat="false" ht="15" hidden="false" customHeight="false" outlineLevel="0" collapsed="false">
      <c r="A16300" s="4" t="s">
        <v>43</v>
      </c>
      <c r="B16300" s="4" t="s">
        <v>65</v>
      </c>
      <c r="C16300" s="20" t="s">
        <v>799</v>
      </c>
      <c r="D16300" s="20" t="s">
        <v>800</v>
      </c>
      <c r="E16300" s="20" t="s">
        <v>801</v>
      </c>
      <c r="F16300" s="20" t="s">
        <v>802</v>
      </c>
      <c r="G16300" s="20" t="s">
        <v>803</v>
      </c>
      <c r="H16300" s="20" t="s">
        <v>804</v>
      </c>
      <c r="I16300" s="20" t="s">
        <v>805</v>
      </c>
      <c r="J16300" s="20" t="s">
        <v>806</v>
      </c>
      <c r="K16300" s="20" t="s">
        <v>807</v>
      </c>
      <c r="L16300" s="4" t="s">
        <v>47</v>
      </c>
    </row>
    <row r="16301" customFormat="false" ht="17.15" hidden="false" customHeight="false" outlineLevel="0" collapsed="false">
      <c r="A16301" s="1" t="s">
        <v>808</v>
      </c>
      <c r="B16301" s="1" t="s">
        <v>235</v>
      </c>
      <c r="C16301" s="28" t="n">
        <v>2024</v>
      </c>
      <c r="D16301" s="28" t="n">
        <v>2025</v>
      </c>
      <c r="E16301" s="28" t="n">
        <v>2026</v>
      </c>
      <c r="F16301" s="28" t="n">
        <v>2027</v>
      </c>
      <c r="G16301" s="28" t="n">
        <v>2028</v>
      </c>
      <c r="H16301" s="28" t="n">
        <v>2029</v>
      </c>
      <c r="I16301" s="28" t="n">
        <v>2030</v>
      </c>
      <c r="J16301" s="28" t="n">
        <v>2031</v>
      </c>
      <c r="K16301" s="28" t="n">
        <v>2032</v>
      </c>
    </row>
    <row r="16302" customFormat="false" ht="17.15" hidden="false" customHeight="false" outlineLevel="0" collapsed="false">
      <c r="A16302" s="1" t="s">
        <v>809</v>
      </c>
      <c r="B16302" s="0" t="s">
        <v>399</v>
      </c>
      <c r="F16302" s="29" t="n">
        <f aca="false">pace</f>
        <v>2527.2</v>
      </c>
      <c r="G16302" s="29" t="n">
        <f aca="false">pace</f>
        <v>2527.2</v>
      </c>
      <c r="H16302" s="29" t="n">
        <f aca="false">pace</f>
        <v>2527.2</v>
      </c>
      <c r="I16302" s="29" t="n">
        <f aca="false">pace+(g_tv*Sens!H16303-pace)*MIN(1,(Sens!I16301-pace_y0)/(pace_y1-pace_y0))</f>
        <v>1793.116</v>
      </c>
      <c r="J16302" s="29" t="n">
        <f aca="false">pace+(g_tv*Sens!I16303-pace)*MIN(1,(Sens!J16301-pace_y0)/(pace_y1-pace_y0))</f>
        <v>1094.89432</v>
      </c>
      <c r="K16302" s="29" t="n">
        <f aca="false">pace+(g_tv*Sens!J16303-pace)*MIN(1,(Sens!K16301-pace_y0)/(pace_y1-pace_y0))</f>
        <v>411.5883096</v>
      </c>
      <c r="L16302" s="11" t="s">
        <v>810</v>
      </c>
    </row>
    <row r="16303" customFormat="false" ht="17.15" hidden="false" customHeight="false" outlineLevel="0" collapsed="false">
      <c r="A16303" s="1" t="s">
        <v>811</v>
      </c>
      <c r="B16303" s="0" t="s">
        <v>399</v>
      </c>
      <c r="C16303" s="29" t="n">
        <f aca="false">mw_ext_24</f>
        <v>640</v>
      </c>
      <c r="D16303" s="29" t="n">
        <f aca="false">mw_ext_25</f>
        <v>1630</v>
      </c>
      <c r="E16303" s="29" t="n">
        <f aca="false">mw_ext_26</f>
        <v>3250</v>
      </c>
      <c r="F16303" s="29" t="n">
        <f aca="false">Sens!E16303+Sens!F16302</f>
        <v>5777.2</v>
      </c>
      <c r="G16303" s="29" t="n">
        <f aca="false">Sens!F16303+Sens!G16302</f>
        <v>8304.4</v>
      </c>
      <c r="H16303" s="29" t="n">
        <f aca="false">Sens!G16303+Sens!H16302</f>
        <v>10831.6</v>
      </c>
      <c r="I16303" s="29" t="n">
        <f aca="false">Sens!H16303+Sens!I16302</f>
        <v>12624.716</v>
      </c>
      <c r="J16303" s="29" t="n">
        <f aca="false">Sens!I16303+Sens!J16302</f>
        <v>13719.61032</v>
      </c>
      <c r="K16303" s="29" t="n">
        <f aca="false">Sens!J16303+Sens!K16302</f>
        <v>14131.1986296</v>
      </c>
      <c r="L16303" s="1" t="s">
        <v>812</v>
      </c>
    </row>
    <row r="16304" customFormat="false" ht="17.15" hidden="false" customHeight="false" outlineLevel="0" collapsed="false">
      <c r="A16304" s="1" t="s">
        <v>813</v>
      </c>
      <c r="B16304" s="0" t="s">
        <v>399</v>
      </c>
      <c r="C16304" s="29" t="n">
        <f aca="false">rent_ext_24</f>
        <v>150</v>
      </c>
      <c r="D16304" s="29" t="n">
        <f aca="false">rent_ext_25</f>
        <v>400</v>
      </c>
      <c r="E16304" s="29" t="n">
        <f aca="false">rent_ext_26</f>
        <v>550</v>
      </c>
      <c r="F16304" s="29" t="n">
        <f aca="false">rent_ext_f</f>
        <v>756</v>
      </c>
      <c r="G16304" s="29" t="n">
        <f aca="false">rent_ext_f</f>
        <v>756</v>
      </c>
      <c r="H16304" s="29" t="n">
        <f aca="false">rent_ext_f</f>
        <v>756</v>
      </c>
      <c r="I16304" s="29" t="n">
        <f aca="false">rent_ext_f</f>
        <v>756</v>
      </c>
      <c r="J16304" s="29" t="n">
        <f aca="false">rent_ext_f</f>
        <v>756</v>
      </c>
      <c r="K16304" s="29" t="n">
        <f aca="false">rent_ext_f</f>
        <v>756</v>
      </c>
      <c r="L16304" s="1" t="s">
        <v>814</v>
      </c>
    </row>
    <row r="16305" customFormat="false" ht="17.15" hidden="false" customHeight="false" outlineLevel="0" collapsed="false">
      <c r="A16305" s="1" t="s">
        <v>815</v>
      </c>
      <c r="B16305" s="0" t="s">
        <v>399</v>
      </c>
      <c r="C16305" s="29" t="n">
        <f aca="false">Sens!C16303-Sens!C16304</f>
        <v>490</v>
      </c>
      <c r="D16305" s="29" t="n">
        <f aca="false">Sens!D16303-Sens!D16304</f>
        <v>1230</v>
      </c>
      <c r="E16305" s="29" t="n">
        <f aca="false">Sens!E16303-Sens!E16304</f>
        <v>2700</v>
      </c>
      <c r="F16305" s="29" t="n">
        <f aca="false">Sens!F16303-Sens!F16304</f>
        <v>5021.2</v>
      </c>
      <c r="G16305" s="29" t="n">
        <f aca="false">Sens!G16303-Sens!G16304</f>
        <v>7548.4</v>
      </c>
      <c r="H16305" s="29" t="n">
        <f aca="false">Sens!H16303-Sens!H16304</f>
        <v>10075.6</v>
      </c>
      <c r="I16305" s="29" t="n">
        <f aca="false">Sens!I16303-Sens!I16304</f>
        <v>11868.716</v>
      </c>
      <c r="J16305" s="29" t="n">
        <f aca="false">Sens!J16303-Sens!J16304</f>
        <v>12963.61032</v>
      </c>
      <c r="K16305" s="29" t="n">
        <f aca="false">Sens!K16303-Sens!K16304</f>
        <v>13375.1986296</v>
      </c>
    </row>
    <row r="16306" customFormat="false" ht="17.15" hidden="false" customHeight="false" outlineLevel="0" collapsed="false">
      <c r="A16306" s="1" t="s">
        <v>816</v>
      </c>
      <c r="B16306" s="0" t="s">
        <v>399</v>
      </c>
      <c r="C16306" s="29" t="n">
        <f aca="false">Sens!C16305/ext_sh</f>
        <v>816.666666666667</v>
      </c>
      <c r="D16306" s="29" t="n">
        <f aca="false">Sens!D16305/ext_sh</f>
        <v>2050</v>
      </c>
      <c r="E16306" s="29" t="n">
        <f aca="false">Sens!E16305/ext_sh</f>
        <v>4500</v>
      </c>
      <c r="F16306" s="29" t="n">
        <f aca="false">Sens!F16305/ext_sh</f>
        <v>8368.66666666667</v>
      </c>
      <c r="G16306" s="29" t="n">
        <f aca="false">Sens!G16305/ext_sh</f>
        <v>12580.6666666667</v>
      </c>
      <c r="H16306" s="29" t="n">
        <f aca="false">Sens!H16305/ext_sh</f>
        <v>16792.6666666667</v>
      </c>
      <c r="I16306" s="29" t="n">
        <f aca="false">Sens!I16305/ext_sh</f>
        <v>19781.1933333333</v>
      </c>
      <c r="J16306" s="29" t="n">
        <f aca="false">Sens!J16305/ext_sh</f>
        <v>21606.0172</v>
      </c>
      <c r="K16306" s="29" t="n">
        <f aca="false">Sens!K16305/ext_sh</f>
        <v>22291.997716</v>
      </c>
      <c r="L16306" s="1" t="s">
        <v>817</v>
      </c>
    </row>
    <row r="16307" customFormat="false" ht="17.15" hidden="false" customHeight="false" outlineLevel="0" collapsed="false">
      <c r="A16307" s="1" t="s">
        <v>818</v>
      </c>
      <c r="B16307" s="0" t="s">
        <v>399</v>
      </c>
      <c r="C16307" s="29" t="n">
        <f aca="false">Sens!C16306-Sens!C16305</f>
        <v>326.666666666667</v>
      </c>
      <c r="D16307" s="29" t="n">
        <f aca="false">Sens!D16306-Sens!D16305</f>
        <v>820</v>
      </c>
      <c r="E16307" s="29" t="n">
        <f aca="false">Sens!E16306-Sens!E16305</f>
        <v>1800</v>
      </c>
      <c r="F16307" s="29" t="n">
        <f aca="false">Sens!F16306-Sens!F16305</f>
        <v>3347.46666666667</v>
      </c>
      <c r="G16307" s="29" t="n">
        <f aca="false">Sens!G16306-Sens!G16305</f>
        <v>5032.26666666667</v>
      </c>
      <c r="H16307" s="29" t="n">
        <f aca="false">Sens!H16306-Sens!H16305</f>
        <v>6717.06666666667</v>
      </c>
      <c r="I16307" s="29" t="n">
        <f aca="false">Sens!I16306-Sens!I16305</f>
        <v>7912.47733333333</v>
      </c>
      <c r="J16307" s="29" t="n">
        <f aca="false">Sens!J16306-Sens!J16305</f>
        <v>8642.40688</v>
      </c>
      <c r="K16307" s="29" t="n">
        <f aca="false">Sens!K16306-Sens!K16305</f>
        <v>8916.7990864</v>
      </c>
    </row>
    <row r="16308" customFormat="false" ht="17.15" hidden="false" customHeight="false" outlineLevel="0" collapsed="false">
      <c r="A16308" s="1" t="s">
        <v>819</v>
      </c>
      <c r="B16308" s="0" t="s">
        <v>399</v>
      </c>
      <c r="C16308" s="29" t="n">
        <f aca="false">Sens!C16306</f>
        <v>816.666666666667</v>
      </c>
      <c r="D16308" s="29" t="n">
        <f aca="false">Sens!D16306-Sens!C16306</f>
        <v>1233.33333333333</v>
      </c>
      <c r="E16308" s="29" t="n">
        <f aca="false">Sens!E16306-Sens!D16306</f>
        <v>2450</v>
      </c>
      <c r="F16308" s="29" t="n">
        <f aca="false">Sens!F16306-Sens!E16306</f>
        <v>3868.66666666667</v>
      </c>
      <c r="G16308" s="29" t="n">
        <f aca="false">Sens!G16306-Sens!F16306</f>
        <v>4212</v>
      </c>
      <c r="H16308" s="29" t="n">
        <f aca="false">Sens!H16306-Sens!G16306</f>
        <v>4212</v>
      </c>
      <c r="I16308" s="29" t="n">
        <f aca="false">Sens!I16306-Sens!H16306</f>
        <v>2988.52666666667</v>
      </c>
      <c r="J16308" s="29" t="n">
        <f aca="false">Sens!J16306-Sens!I16306</f>
        <v>1824.82386666667</v>
      </c>
      <c r="K16308" s="29" t="n">
        <f aca="false">Sens!K16306-Sens!J16306</f>
        <v>685.980516</v>
      </c>
    </row>
    <row r="16309" customFormat="false" ht="17.15" hidden="false" customHeight="false" outlineLevel="0" collapsed="false">
      <c r="A16309" s="1" t="s">
        <v>820</v>
      </c>
      <c r="B16309" s="0" t="s">
        <v>399</v>
      </c>
      <c r="D16309" s="29" t="n">
        <f aca="false">Sens!D16303-Sens!C16303</f>
        <v>990</v>
      </c>
      <c r="E16309" s="29" t="n">
        <f aca="false">Sens!E16303-Sens!D16303</f>
        <v>1620</v>
      </c>
      <c r="F16309" s="29" t="n">
        <f aca="false">Sens!F16303-Sens!E16303</f>
        <v>2527.2</v>
      </c>
      <c r="G16309" s="29" t="n">
        <f aca="false">Sens!G16303-Sens!F16303</f>
        <v>2527.2</v>
      </c>
      <c r="H16309" s="29" t="n">
        <f aca="false">Sens!H16303-Sens!G16303</f>
        <v>2527.2</v>
      </c>
      <c r="I16309" s="29" t="n">
        <f aca="false">Sens!I16303-Sens!H16303</f>
        <v>1793.116</v>
      </c>
      <c r="J16309" s="29" t="n">
        <f aca="false">Sens!J16303-Sens!I16303</f>
        <v>1094.89432</v>
      </c>
      <c r="K16309" s="29" t="n">
        <f aca="false">Sens!K16303-Sens!J16303</f>
        <v>411.5883096</v>
      </c>
    </row>
    <row r="16310" customFormat="false" ht="17.15" hidden="false" customHeight="false" outlineLevel="0" collapsed="false">
      <c r="A16310" s="1" t="s">
        <v>821</v>
      </c>
      <c r="B16310" s="0" t="s">
        <v>399</v>
      </c>
      <c r="F16310" s="29" t="n">
        <f aca="false">Sens!F16327*ext_sh</f>
        <v>0</v>
      </c>
      <c r="G16310" s="29" t="n">
        <f aca="false">Sens!G16327*ext_sh</f>
        <v>0</v>
      </c>
      <c r="H16310" s="29" t="n">
        <f aca="false">Sens!H16327*ext_sh</f>
        <v>0</v>
      </c>
      <c r="I16310" s="29" t="n">
        <f aca="false">Sens!I16327*ext_sh</f>
        <v>490</v>
      </c>
      <c r="J16310" s="29" t="n">
        <f aca="false">Sens!J16327*ext_sh</f>
        <v>740</v>
      </c>
      <c r="K16310" s="29" t="n">
        <f aca="false">Sens!K16327*ext_sh</f>
        <v>1470</v>
      </c>
      <c r="L16310" s="1" t="s">
        <v>822</v>
      </c>
    </row>
    <row r="16311" customFormat="false" ht="17.15" hidden="false" customHeight="false" outlineLevel="0" collapsed="false">
      <c r="A16311" s="1" t="s">
        <v>823</v>
      </c>
      <c r="B16311" s="0" t="s">
        <v>399</v>
      </c>
      <c r="C16311" s="29" t="n">
        <f aca="false">mix_h*Sens!C16303</f>
        <v>128</v>
      </c>
      <c r="D16311" s="29" t="n">
        <f aca="false">mix_h*Sens!D16303</f>
        <v>326</v>
      </c>
      <c r="E16311" s="29" t="n">
        <f aca="false">mix_h*Sens!E16303</f>
        <v>650</v>
      </c>
      <c r="F16311" s="29" t="n">
        <f aca="false">Sens!E16311-Sens!F16310*mix_h</f>
        <v>650</v>
      </c>
      <c r="G16311" s="29" t="n">
        <f aca="false">Sens!F16311-Sens!G16310*mix_h</f>
        <v>650</v>
      </c>
      <c r="H16311" s="29" t="n">
        <f aca="false">Sens!G16311-Sens!H16310*mix_h</f>
        <v>650</v>
      </c>
      <c r="I16311" s="29" t="n">
        <f aca="false">Sens!H16311-Sens!I16310*mix_h</f>
        <v>552</v>
      </c>
      <c r="J16311" s="29" t="n">
        <f aca="false">Sens!I16311-Sens!J16310*mix_h</f>
        <v>404</v>
      </c>
      <c r="K16311" s="29" t="n">
        <f aca="false">Sens!J16311-Sens!K16310*mix_h</f>
        <v>110</v>
      </c>
    </row>
    <row r="16312" customFormat="false" ht="17.15" hidden="false" customHeight="false" outlineLevel="0" collapsed="false">
      <c r="A16312" s="1" t="s">
        <v>824</v>
      </c>
      <c r="B16312" s="0" t="s">
        <v>399</v>
      </c>
      <c r="C16312" s="29" t="n">
        <f aca="false">mix_g2*Sens!C16303</f>
        <v>288</v>
      </c>
      <c r="D16312" s="29" t="n">
        <f aca="false">mix_g2*Sens!D16303</f>
        <v>733.5</v>
      </c>
      <c r="E16312" s="29" t="n">
        <f aca="false">mix_g2*Sens!E16303</f>
        <v>1462.5</v>
      </c>
      <c r="F16312" s="29" t="n">
        <f aca="false">Sens!E16312-Sens!F16310*mix_g2</f>
        <v>1462.5</v>
      </c>
      <c r="G16312" s="29" t="n">
        <f aca="false">Sens!F16312-Sens!G16310*mix_g2</f>
        <v>1462.5</v>
      </c>
      <c r="H16312" s="29" t="n">
        <f aca="false">Sens!G16312-Sens!H16310*mix_g2</f>
        <v>1462.5</v>
      </c>
      <c r="I16312" s="29" t="n">
        <f aca="false">Sens!H16312-Sens!I16310*mix_g2</f>
        <v>1242</v>
      </c>
      <c r="J16312" s="29" t="n">
        <f aca="false">Sens!I16312-Sens!J16310*mix_g2</f>
        <v>909</v>
      </c>
      <c r="K16312" s="29" t="n">
        <f aca="false">Sens!J16312-Sens!K16310*mix_g2</f>
        <v>247.5</v>
      </c>
    </row>
    <row r="16313" customFormat="false" ht="17.15" hidden="false" customHeight="false" outlineLevel="0" collapsed="false">
      <c r="A16313" s="1" t="s">
        <v>825</v>
      </c>
      <c r="B16313" s="0" t="s">
        <v>399</v>
      </c>
      <c r="C16313" s="29" t="n">
        <f aca="false">mix_g3*Sens!C16303</f>
        <v>224</v>
      </c>
      <c r="D16313" s="29" t="n">
        <f aca="false">mix_g3*Sens!D16303</f>
        <v>570.5</v>
      </c>
      <c r="E16313" s="29" t="n">
        <f aca="false">mix_g3*Sens!E16303</f>
        <v>1137.5</v>
      </c>
      <c r="F16313" s="29" t="n">
        <f aca="false">Sens!E16313+(Sens!F16309+Sens!F16310)*a_g3_27-Sens!F16310*mix_g3</f>
        <v>2906.54</v>
      </c>
      <c r="G16313" s="29" t="n">
        <f aca="false">Sens!F16313+(Sens!G16309+Sens!G16310)*a_g3_28-Sens!G16310*mix_g3</f>
        <v>3664.7</v>
      </c>
      <c r="H16313" s="29" t="n">
        <f aca="false">Sens!G16313+(Sens!H16309+Sens!H16310)*a_g3_29-Sens!H16310*mix_g3</f>
        <v>3917.42</v>
      </c>
      <c r="I16313" s="29" t="n">
        <f aca="false">Sens!H16313+(Sens!I16309+Sens!I16310)*a_g3_29-Sens!I16310*mix_g3</f>
        <v>3974.2316</v>
      </c>
      <c r="J16313" s="29" t="n">
        <f aca="false">Sens!I16313+(Sens!J16309+Sens!J16310)*a_g3_29-Sens!J16310*mix_g3</f>
        <v>3898.721032</v>
      </c>
      <c r="K16313" s="29" t="n">
        <f aca="false">Sens!J16313+(Sens!K16309+Sens!K16310)*a_g3_29-Sens!K16310*mix_g3</f>
        <v>3572.37986296</v>
      </c>
    </row>
    <row r="16314" customFormat="false" ht="17.15" hidden="false" customHeight="false" outlineLevel="0" collapsed="false">
      <c r="A16314" s="1" t="s">
        <v>826</v>
      </c>
      <c r="B16314" s="0" t="s">
        <v>399</v>
      </c>
      <c r="C16314" s="29" t="n">
        <v>0</v>
      </c>
      <c r="D16314" s="29" t="n">
        <v>0</v>
      </c>
      <c r="E16314" s="29" t="n">
        <v>0</v>
      </c>
      <c r="F16314" s="29" t="n">
        <f aca="false">Sens!E16314+(Sens!F16309+Sens!F16310)*(1-a_g3_27)</f>
        <v>758.16</v>
      </c>
      <c r="G16314" s="29" t="n">
        <f aca="false">Sens!F16314+(Sens!G16309+Sens!G16310)*(1-a_g3_28)</f>
        <v>2527.2</v>
      </c>
      <c r="H16314" s="29" t="n">
        <f aca="false">Sens!G16314+(Sens!H16309+Sens!H16310)*(1-a_g3_29)</f>
        <v>4801.68</v>
      </c>
      <c r="I16314" s="29" t="n">
        <f aca="false">Sens!H16314+(Sens!I16309+Sens!I16310)*(1-a_g3_29)</f>
        <v>6856.4844</v>
      </c>
      <c r="J16314" s="29" t="n">
        <f aca="false">Sens!I16314+(Sens!J16309+Sens!J16310)*(1-a_g3_29)</f>
        <v>8507.889288</v>
      </c>
      <c r="K16314" s="29" t="n">
        <f aca="false">Sens!J16314+(Sens!K16309+Sens!K16310)*(1-a_g3_29)</f>
        <v>10201.31876664</v>
      </c>
    </row>
    <row r="16315" customFormat="false" ht="17.15" hidden="false" customHeight="false" outlineLevel="0" collapsed="false">
      <c r="A16315" s="1" t="s">
        <v>827</v>
      </c>
      <c r="B16315" s="0" t="s">
        <v>346</v>
      </c>
      <c r="C16315" s="14" t="n">
        <f aca="false">(Sens!C16311*tk_hold_h100+Sens!C16312*tk_hold_gb200+Sens!C16313*tk_hold_gb300+Sens!C16314*tk_hold_vr200)/Sens!C16303</f>
        <v>9.7235358126469</v>
      </c>
      <c r="D16315" s="14" t="n">
        <f aca="false">(Sens!D16311*tk_hold_h100+Sens!D16312*tk_hold_gb200+Sens!D16313*tk_hold_gb300+Sens!D16314*tk_hold_vr200)/Sens!D16303</f>
        <v>9.7235358126469</v>
      </c>
      <c r="E16315" s="14" t="n">
        <f aca="false">(Sens!E16311*tk_hold_h100+Sens!E16312*tk_hold_gb200+Sens!E16313*tk_hold_gb300+Sens!E16314*tk_hold_vr200)/Sens!E16303</f>
        <v>9.7235358126469</v>
      </c>
      <c r="F16315" s="14" t="n">
        <f aca="false">(Sens!F16311*tk_hold_h100+Sens!F16312*tk_hold_gb200+Sens!F16313*tk_hold_gb300+Sens!F16314*tk_hold_vr200)/Sens!F16303</f>
        <v>10.4079573161931</v>
      </c>
      <c r="G16315" s="14" t="n">
        <f aca="false">(Sens!G16311*tk_hold_h100+Sens!G16312*tk_hold_gb200+Sens!G16313*tk_hold_gb300+Sens!G16314*tk_hold_vr200)/Sens!G16303</f>
        <v>10.8388131109316</v>
      </c>
      <c r="H16315" s="14" t="n">
        <f aca="false">(Sens!H16311*tk_hold_h100+Sens!H16312*tk_hold_gb200+Sens!H16313*tk_hold_gb300+Sens!H16314*tk_hold_vr200)/Sens!H16303</f>
        <v>11.1311018388216</v>
      </c>
      <c r="I16315" s="14" t="n">
        <f aca="false">(Sens!I16311*tk_hold_h100+Sens!I16312*tk_hold_gb200+Sens!I16313*tk_hold_gb300+Sens!I16314*tk_hold_vr200)/Sens!I16303</f>
        <v>11.3594282560989</v>
      </c>
      <c r="J16315" s="14" t="n">
        <f aca="false">(Sens!J16311*tk_hold_h100+Sens!J16312*tk_hold_gb200+Sens!J16313*tk_hold_gb300+Sens!J16314*tk_hold_vr200)/Sens!J16303</f>
        <v>11.5455817917599</v>
      </c>
      <c r="K16315" s="14" t="n">
        <f aca="false">(Sens!K16311*tk_hold_h100+Sens!K16312*tk_hold_gb200+Sens!K16313*tk_hold_gb300+Sens!K16314*tk_hold_vr200)/Sens!K16303</f>
        <v>11.8078187977246</v>
      </c>
    </row>
    <row r="16316" customFormat="false" ht="17.15" hidden="false" customHeight="false" outlineLevel="0" collapsed="false">
      <c r="A16316" s="0" t="s">
        <v>828</v>
      </c>
      <c r="B16316" s="0" t="s">
        <v>185</v>
      </c>
      <c r="C16316" s="14" t="n">
        <f aca="false">k_B</f>
        <v>1.17213932619116</v>
      </c>
      <c r="D16316" s="14" t="n">
        <f aca="false">k_B</f>
        <v>1.17213932619116</v>
      </c>
      <c r="E16316" s="14" t="n">
        <f aca="false">k_B</f>
        <v>1.17213932619116</v>
      </c>
      <c r="F16316" s="14" t="n">
        <f aca="false">(k_B+((ls_C*k_long+(1-ls_C)*k_spot)-k_B)*MIN(1,(Sens!F16301-base_fy)/k_ramp))</f>
        <v>1.07843258004497</v>
      </c>
      <c r="G16316" s="14" t="n">
        <f aca="false">(k_B+((ls_C*k_long+(1-ls_C)*k_spot)-k_B)*MIN(1,(Sens!G16301-base_fy)/k_ramp))</f>
        <v>0.984725833898784</v>
      </c>
      <c r="H16316" s="14" t="n">
        <f aca="false">(k_B+((ls_C*k_long+(1-ls_C)*k_spot)-k_B)*MIN(1,(Sens!H16301-base_fy)/k_ramp))</f>
        <v>0.891019087752599</v>
      </c>
      <c r="I16316" s="14" t="n">
        <f aca="false">(k_B+((ls_C*k_long+(1-ls_C)*k_spot)-k_B)*MIN(1,(Sens!I16301-base_fy)/k_ramp))</f>
        <v>0.891019087752599</v>
      </c>
      <c r="J16316" s="14" t="n">
        <f aca="false">(k_B+((ls_C*k_long+(1-ls_C)*k_spot)-k_B)*MIN(1,(Sens!J16301-base_fy)/k_ramp))</f>
        <v>0.891019087752599</v>
      </c>
      <c r="K16316" s="14" t="n">
        <f aca="false">(k_B+((ls_C*k_long+(1-ls_C)*k_spot)-k_B)*MIN(1,(Sens!K16301-base_fy)/k_ramp))</f>
        <v>0.891019087752599</v>
      </c>
      <c r="L16316" s="1" t="s">
        <v>829</v>
      </c>
    </row>
    <row r="16317" customFormat="false" ht="17.15" hidden="false" customHeight="false" outlineLevel="0" collapsed="false">
      <c r="A16317" s="1" t="s">
        <v>830</v>
      </c>
      <c r="B16317" s="0" t="s">
        <v>346</v>
      </c>
      <c r="C16317" s="14" t="n">
        <f aca="false">Sens!C16315*Sens!C16316*chip_f</f>
        <v>11.3973387156315</v>
      </c>
      <c r="D16317" s="14" t="n">
        <f aca="false">Sens!D16315*Sens!D16316*chip_f</f>
        <v>11.3973387156315</v>
      </c>
      <c r="E16317" s="14" t="n">
        <f aca="false">Sens!E16315*Sens!E16316*chip_f</f>
        <v>11.3973387156315</v>
      </c>
      <c r="F16317" s="14" t="n">
        <f aca="false">Sens!F16315*Sens!F16316*chip_f</f>
        <v>11.2242802615</v>
      </c>
      <c r="G16317" s="14" t="n">
        <f aca="false">Sens!G16315*Sens!G16316*chip_f</f>
        <v>10.6732592791352</v>
      </c>
      <c r="H16317" s="14" t="n">
        <f aca="false">Sens!H16315*Sens!H16316*chip_f</f>
        <v>9.91802420610807</v>
      </c>
      <c r="I16317" s="14" t="n">
        <f aca="false">Sens!I16315*Sens!I16316*chip_f</f>
        <v>10.1214674021403</v>
      </c>
      <c r="J16317" s="14" t="n">
        <f aca="false">Sens!J16315*Sens!J16316*chip_f</f>
        <v>10.2873337556669</v>
      </c>
      <c r="K16317" s="14" t="n">
        <f aca="false">Sens!K16315*Sens!K16316*chip_f</f>
        <v>10.5209919334966</v>
      </c>
      <c r="L16317" s="1" t="s">
        <v>831</v>
      </c>
    </row>
    <row r="16318" customFormat="false" ht="17.15" hidden="false" customHeight="false" outlineLevel="0" collapsed="false">
      <c r="A16318" s="0" t="s">
        <v>832</v>
      </c>
      <c r="B16318" s="0" t="s">
        <v>98</v>
      </c>
      <c r="D16318" s="6" t="n">
        <f aca="false">(Sens!C16303+Sens!D16303)/2*Sens!D16317/1000</f>
        <v>12.9359794422418</v>
      </c>
      <c r="E16318" s="6" t="n">
        <f aca="false">(Sens!D16303+Sens!E16303)/2*Sens!E16317/1000</f>
        <v>27.8095064661409</v>
      </c>
      <c r="F16318" s="6" t="n">
        <f aca="false">(Sens!E16303+Sens!F16303)/2*Sens!F16317/1000</f>
        <v>50.6619113883066</v>
      </c>
      <c r="G16318" s="6" t="n">
        <f aca="false">(Sens!F16303+Sens!G16303)/2*Sens!G16317/1000</f>
        <v>75.1482839325348</v>
      </c>
      <c r="H16318" s="6" t="n">
        <f aca="false">(Sens!G16303+Sens!H16303)/2*Sens!H16317/1000</f>
        <v>94.895655604042</v>
      </c>
      <c r="I16318" s="6" t="n">
        <f aca="false">(Sens!H16303+Sens!I16303)/2*Sens!I16317/1000</f>
        <v>118.706168884151</v>
      </c>
      <c r="J16318" s="6" t="n">
        <f aca="false">(Sens!I16303+Sens!J16303)/2*Sens!J16317/1000</f>
        <v>135.50643871102</v>
      </c>
      <c r="K16318" s="6" t="n">
        <f aca="false">(Sens!J16303+Sens!K16303)/2*Sens!K16317/1000</f>
        <v>146.509068150048</v>
      </c>
      <c r="L16318" s="11" t="s">
        <v>833</v>
      </c>
    </row>
    <row r="16319" customFormat="false" ht="17.15" hidden="false" customHeight="false" outlineLevel="0" collapsed="false">
      <c r="A16319" s="1" t="s">
        <v>834</v>
      </c>
      <c r="B16319" s="0" t="s">
        <v>346</v>
      </c>
      <c r="C16319" s="14" t="n">
        <f aca="false">(Sens!C16311*tk_opex_h100+Sens!C16312*tk_opex_gb200+Sens!C16313*tk_opex_gb300+Sens!C16314*tk_opex_vr200)/Sens!C16303</f>
        <v>1.88636041306092</v>
      </c>
      <c r="D16319" s="14" t="n">
        <f aca="false">(Sens!D16311*tk_opex_h100+Sens!D16312*tk_opex_gb200+Sens!D16313*tk_opex_gb300+Sens!D16314*tk_opex_vr200)/Sens!D16303</f>
        <v>1.88636041306092</v>
      </c>
      <c r="E16319" s="14" t="n">
        <f aca="false">(Sens!E16311*tk_opex_h100+Sens!E16312*tk_opex_gb200+Sens!E16313*tk_opex_gb300+Sens!E16314*tk_opex_vr200)/Sens!E16303</f>
        <v>1.88636041306092</v>
      </c>
      <c r="F16319" s="14" t="n">
        <f aca="false">(Sens!F16311*tk_opex_h100+Sens!F16312*tk_opex_gb200+Sens!F16313*tk_opex_gb300+Sens!F16314*tk_opex_vr200)/Sens!F16303</f>
        <v>1.9430236476499</v>
      </c>
      <c r="G16319" s="14" t="n">
        <f aca="false">(Sens!G16311*tk_opex_h100+Sens!G16312*tk_opex_gb200+Sens!G16313*tk_opex_gb300+Sens!G16314*tk_opex_vr200)/Sens!G16303</f>
        <v>1.9786941852423</v>
      </c>
      <c r="H16319" s="14" t="n">
        <f aca="false">(Sens!H16311*tk_opex_h100+Sens!H16312*tk_opex_gb200+Sens!H16313*tk_opex_gb300+Sens!H16314*tk_opex_vr200)/Sens!H16303</f>
        <v>2.00289275976156</v>
      </c>
      <c r="I16319" s="14" t="n">
        <f aca="false">(Sens!I16311*tk_opex_h100+Sens!I16312*tk_opex_gb200+Sens!I16313*tk_opex_gb300+Sens!I16314*tk_opex_vr200)/Sens!I16303</f>
        <v>2.02179589661219</v>
      </c>
      <c r="J16319" s="14" t="n">
        <f aca="false">(Sens!J16311*tk_opex_h100+Sens!J16312*tk_opex_gb200+Sens!J16313*tk_opex_gb300+Sens!J16314*tk_opex_vr200)/Sens!J16303</f>
        <v>2.03720754193029</v>
      </c>
      <c r="K16319" s="14" t="n">
        <f aca="false">(Sens!K16311*tk_opex_h100+Sens!K16312*tk_opex_gb200+Sens!K16313*tk_opex_gb300+Sens!K16314*tk_opex_vr200)/Sens!K16303</f>
        <v>2.0589181353437</v>
      </c>
    </row>
    <row r="16320" customFormat="false" ht="17.15" hidden="false" customHeight="false" outlineLevel="0" collapsed="false">
      <c r="A16320" s="0" t="s">
        <v>835</v>
      </c>
      <c r="B16320" s="0" t="s">
        <v>98</v>
      </c>
      <c r="D16320" s="6" t="n">
        <f aca="false">(Sens!C16306+Sens!D16306)/2*Sens!D16319/1000</f>
        <v>2.70378325872065</v>
      </c>
      <c r="E16320" s="6" t="n">
        <f aca="false">(Sens!D16306+Sens!E16306)/2*Sens!E16319/1000</f>
        <v>6.17783035277451</v>
      </c>
      <c r="F16320" s="6" t="n">
        <f aca="false">(Sens!E16306+Sens!F16306)/2*Sens!F16319/1000</f>
        <v>12.5020618235287</v>
      </c>
      <c r="G16320" s="6" t="n">
        <f aca="false">(Sens!F16306+Sens!G16306)/2*Sens!G16319/1000</f>
        <v>20.7261620256847</v>
      </c>
      <c r="H16320" s="6" t="n">
        <f aca="false">(Sens!G16306+Sens!H16306)/2*Sens!H16319/1000</f>
        <v>29.4158183316982</v>
      </c>
      <c r="I16320" s="6" t="n">
        <f aca="false">(Sens!H16306+Sens!I16306)/2*Sens!I16319/1000</f>
        <v>36.9724400356344</v>
      </c>
      <c r="J16320" s="6" t="n">
        <f aca="false">(Sens!I16306+Sens!J16306)/2*Sens!J16319/1000</f>
        <v>42.1571687189816</v>
      </c>
      <c r="K16320" s="6" t="n">
        <f aca="false">(Sens!J16306+Sens!K16306)/2*Sens!K16319/1000</f>
        <v>45.1912095080704</v>
      </c>
    </row>
    <row r="16321" customFormat="false" ht="17.15" hidden="false" customHeight="false" outlineLevel="0" collapsed="false">
      <c r="A16321" s="0" t="s">
        <v>836</v>
      </c>
      <c r="B16321" s="0" t="s">
        <v>98</v>
      </c>
      <c r="D16321" s="6" t="n">
        <f aca="false">(Sens!C16304+Sens!D16304)/2*rent_mw/1000</f>
        <v>2.44475</v>
      </c>
      <c r="E16321" s="6" t="n">
        <f aca="false">(Sens!D16304+Sens!E16304)/2*rent_mw/1000</f>
        <v>4.22275</v>
      </c>
      <c r="F16321" s="6" t="n">
        <f aca="false">(Sens!E16304+Sens!F16304)/2*rent_mw/1000</f>
        <v>5.80517</v>
      </c>
      <c r="G16321" s="6" t="n">
        <f aca="false">(Sens!F16304+Sens!G16304)/2*rent_mw/1000</f>
        <v>6.72084</v>
      </c>
      <c r="H16321" s="6" t="n">
        <f aca="false">(Sens!G16304+Sens!H16304)/2*rent_mw/1000</f>
        <v>6.72084</v>
      </c>
      <c r="I16321" s="6" t="n">
        <f aca="false">(Sens!H16304+Sens!I16304)/2*rent_mw/1000</f>
        <v>6.72084</v>
      </c>
      <c r="J16321" s="6" t="n">
        <f aca="false">(Sens!I16304+Sens!J16304)/2*rent_mw/1000</f>
        <v>6.72084</v>
      </c>
      <c r="K16321" s="6" t="n">
        <f aca="false">(Sens!J16304+Sens!K16304)/2*rent_mw/1000</f>
        <v>6.72084</v>
      </c>
    </row>
    <row r="16322" customFormat="false" ht="17.15" hidden="false" customHeight="false" outlineLevel="0" collapsed="false">
      <c r="A16322" s="0" t="s">
        <v>837</v>
      </c>
      <c r="B16322" s="0" t="s">
        <v>98</v>
      </c>
      <c r="D16322" s="6" t="n">
        <f aca="false">(Sens!C16306+Sens!D16306)/2*(1-self_build)*fac_rent/1000</f>
        <v>0.853242375631075</v>
      </c>
      <c r="E16322" s="6" t="n">
        <f aca="false">(Sens!D16306+Sens!E16306)/2*(1-self_build)*fac_rent/1000</f>
        <v>1.94955961408728</v>
      </c>
      <c r="F16322" s="6" t="n">
        <f aca="false">(Sens!E16306+Sens!F16306)/2*(1-self_build)*fac_rent/1000</f>
        <v>3.83026455274573</v>
      </c>
      <c r="G16322" s="6" t="n">
        <f aca="false">(Sens!F16306+Sens!G16306)/2*(1-self_build)*fac_rent/1000</f>
        <v>6.23541590972812</v>
      </c>
      <c r="H16322" s="6" t="n">
        <f aca="false">(Sens!G16306+Sens!H16306)/2*(1-self_build)*fac_rent/1000</f>
        <v>8.74275792332679</v>
      </c>
      <c r="I16322" s="6" t="n">
        <f aca="false">(Sens!H16306+Sens!I16306)/2*(1-self_build)*fac_rent/1000</f>
        <v>10.8859420438599</v>
      </c>
      <c r="J16322" s="6" t="n">
        <f aca="false">(Sens!I16306+Sens!J16306)/2*(1-self_build)*fac_rent/1000</f>
        <v>12.3186006405366</v>
      </c>
      <c r="K16322" s="6" t="n">
        <f aca="false">(Sens!J16306+Sens!K16306)/2*(1-self_build)*fac_rent/1000</f>
        <v>13.0659232089824</v>
      </c>
      <c r="L16322" s="11" t="s">
        <v>838</v>
      </c>
    </row>
    <row r="16323" customFormat="false" ht="17.15" hidden="false" customHeight="false" outlineLevel="0" collapsed="false">
      <c r="A16323" s="1" t="s">
        <v>839</v>
      </c>
      <c r="B16323" s="0" t="s">
        <v>129</v>
      </c>
      <c r="D16323" s="7" t="n">
        <f aca="false">(Sens!C16305+Sens!D16305)/(Sens!C16306+Sens!D16306)</f>
        <v>0.6</v>
      </c>
      <c r="E16323" s="7" t="n">
        <f aca="false">(Sens!D16305+Sens!E16305)/(Sens!D16306+Sens!E16306)</f>
        <v>0.6</v>
      </c>
      <c r="F16323" s="7" t="n">
        <f aca="false">(Sens!E16305+Sens!F16305)/(Sens!E16306+Sens!F16306)</f>
        <v>0.6</v>
      </c>
      <c r="G16323" s="7" t="n">
        <f aca="false">(Sens!F16305+Sens!G16305)/(Sens!F16306+Sens!G16306)</f>
        <v>0.6</v>
      </c>
      <c r="H16323" s="7" t="n">
        <f aca="false">(Sens!G16305+Sens!H16305)/(Sens!G16306+Sens!H16306)</f>
        <v>0.6</v>
      </c>
      <c r="I16323" s="7" t="n">
        <f aca="false">(Sens!H16305+Sens!I16305)/(Sens!H16306+Sens!I16306)</f>
        <v>0.6</v>
      </c>
      <c r="J16323" s="7" t="n">
        <f aca="false">(Sens!I16305+Sens!J16305)/(Sens!I16306+Sens!J16306)</f>
        <v>0.6</v>
      </c>
      <c r="K16323" s="7" t="n">
        <f aca="false">(Sens!J16305+Sens!K16305)/(Sens!J16306+Sens!K16306)</f>
        <v>0.6</v>
      </c>
    </row>
    <row r="16324" customFormat="false" ht="17.15" hidden="false" customHeight="false" outlineLevel="0" collapsed="false">
      <c r="A16324" s="0" t="s">
        <v>840</v>
      </c>
      <c r="B16324" s="0" t="s">
        <v>98</v>
      </c>
      <c r="D16324" s="6" t="n">
        <f aca="false">Sens!D16318-Sens!D16323*(Sens!D16320+Sens!D16322)-Sens!D16321</f>
        <v>8.35701406163072</v>
      </c>
      <c r="E16324" s="6" t="n">
        <f aca="false">Sens!E16318-Sens!E16323*(Sens!E16320+Sens!E16322)-Sens!E16321</f>
        <v>18.7103224860238</v>
      </c>
      <c r="F16324" s="6" t="n">
        <f aca="false">Sens!F16318-Sens!F16323*(Sens!F16320+Sens!F16322)-Sens!F16321</f>
        <v>35.0573455625419</v>
      </c>
      <c r="G16324" s="6" t="n">
        <f aca="false">Sens!G16318-Sens!G16323*(Sens!G16320+Sens!G16322)-Sens!G16321</f>
        <v>52.2504971712871</v>
      </c>
      <c r="H16324" s="6" t="n">
        <f aca="false">Sens!H16318-Sens!H16323*(Sens!H16320+Sens!H16322)-Sens!H16321</f>
        <v>65.2796698510271</v>
      </c>
      <c r="I16324" s="6" t="n">
        <f aca="false">Sens!I16318-Sens!I16323*(Sens!I16320+Sens!I16322)-Sens!I16321</f>
        <v>83.2702996364549</v>
      </c>
      <c r="J16324" s="6" t="n">
        <f aca="false">Sens!J16318-Sens!J16323*(Sens!J16320+Sens!J16322)-Sens!J16321</f>
        <v>96.1001370953095</v>
      </c>
      <c r="K16324" s="6" t="n">
        <f aca="false">Sens!K16318-Sens!K16323*(Sens!K16320+Sens!K16322)-Sens!K16321</f>
        <v>104.833948519816</v>
      </c>
    </row>
    <row r="16325" customFormat="false" ht="17.15" hidden="false" customHeight="false" outlineLevel="0" collapsed="false">
      <c r="A16325" s="1" t="s">
        <v>841</v>
      </c>
      <c r="B16325" s="0" t="s">
        <v>98</v>
      </c>
      <c r="D16325" s="6" t="n">
        <f aca="false">(1-Sens!D16323)*(Sens!D16320+Sens!D16322)</f>
        <v>1.42281025374069</v>
      </c>
      <c r="E16325" s="6" t="n">
        <f aca="false">(1-Sens!E16323)*(Sens!E16320+Sens!E16322)</f>
        <v>3.25095598674472</v>
      </c>
      <c r="F16325" s="6" t="n">
        <f aca="false">(1-Sens!F16323)*(Sens!F16320+Sens!F16322)</f>
        <v>6.53293055050977</v>
      </c>
      <c r="G16325" s="6" t="n">
        <f aca="false">(1-Sens!G16323)*(Sens!G16320+Sens!G16322)</f>
        <v>10.7846311741651</v>
      </c>
      <c r="H16325" s="6" t="n">
        <f aca="false">(1-Sens!H16323)*(Sens!H16320+Sens!H16322)</f>
        <v>15.26343050201</v>
      </c>
      <c r="I16325" s="6" t="n">
        <f aca="false">(1-Sens!I16323)*(Sens!I16320+Sens!I16322)</f>
        <v>19.1433528317977</v>
      </c>
      <c r="J16325" s="6" t="n">
        <f aca="false">(1-Sens!J16323)*(Sens!J16320+Sens!J16322)</f>
        <v>21.7903077438073</v>
      </c>
      <c r="K16325" s="6" t="n">
        <f aca="false">(1-Sens!K16323)*(Sens!K16320+Sens!K16322)</f>
        <v>23.3028530868211</v>
      </c>
    </row>
    <row r="16326" customFormat="false" ht="17.15" hidden="false" customHeight="false" outlineLevel="0" collapsed="false">
      <c r="A16326" s="1" t="s">
        <v>842</v>
      </c>
      <c r="B16326" s="0" t="s">
        <v>357</v>
      </c>
      <c r="C16326" s="8" t="n">
        <f aca="false">cxit_open</f>
        <v>27.5918995</v>
      </c>
      <c r="D16326" s="8" t="n">
        <f aca="false">cxit_open</f>
        <v>27.5918995</v>
      </c>
      <c r="E16326" s="8" t="n">
        <f aca="false">cxit_open</f>
        <v>27.5918995</v>
      </c>
      <c r="F16326" s="8" t="n">
        <f aca="false">(a_g3_27*tk_cxit_gb300+(1-a_g3_27)*tk_cxit_vr200)</f>
        <v>33.8419624</v>
      </c>
      <c r="G16326" s="8" t="n">
        <f aca="false">(a_g3_28*tk_cxit_gb300+(1-a_g3_28)*tk_cxit_vr200)</f>
        <v>35.9816136</v>
      </c>
      <c r="H16326" s="8" t="n">
        <f aca="false">(a_g3_29*tk_cxit_gb300+(1-a_g3_29)*tk_cxit_vr200)</f>
        <v>37.0514392</v>
      </c>
      <c r="I16326" s="8" t="n">
        <f aca="false">(a_g3_29*tk_cxit_gb300+(1-a_g3_29)*tk_cxit_vr200)</f>
        <v>37.0514392</v>
      </c>
      <c r="J16326" s="8" t="n">
        <f aca="false">(a_g3_29*tk_cxit_gb300+(1-a_g3_29)*tk_cxit_vr200)</f>
        <v>37.0514392</v>
      </c>
      <c r="K16326" s="8" t="n">
        <f aca="false">(a_g3_29*tk_cxit_gb300+(1-a_g3_29)*tk_cxit_vr200)</f>
        <v>37.0514392</v>
      </c>
      <c r="L16326" s="11" t="s">
        <v>843</v>
      </c>
    </row>
    <row r="16327" customFormat="false" ht="17.15" hidden="false" customHeight="false" outlineLevel="0" collapsed="false">
      <c r="A16327" s="0" t="s">
        <v>844</v>
      </c>
      <c r="B16327" s="0" t="s">
        <v>399</v>
      </c>
      <c r="F16327" s="29" t="n">
        <f aca="false">Sens!C16308*IF(Sens!F16301-Sens!C16301=life_it,1,0)+Sens!D16308*IF(Sens!F16301-Sens!D16301=life_it,1,0)+Sens!E16308*IF(Sens!F16301-Sens!E16301=life_it,1,0)</f>
        <v>0</v>
      </c>
      <c r="G16327" s="29" t="n">
        <f aca="false">Sens!C16308*IF(Sens!G16301-Sens!C16301=life_it,1,0)+Sens!D16308*IF(Sens!G16301-Sens!D16301=life_it,1,0)+Sens!E16308*IF(Sens!G16301-Sens!E16301=life_it,1,0)+Sens!F16308*IF(Sens!G16301-Sens!F16301=life_it,1,0)</f>
        <v>0</v>
      </c>
      <c r="H16327" s="29" t="n">
        <f aca="false">Sens!C16308*IF(Sens!H16301-Sens!C16301=life_it,1,0)+Sens!D16308*IF(Sens!H16301-Sens!D16301=life_it,1,0)+Sens!E16308*IF(Sens!H16301-Sens!E16301=life_it,1,0)+Sens!F16308*IF(Sens!H16301-Sens!F16301=life_it,1,0)+Sens!G16308*IF(Sens!H16301-Sens!G16301=life_it,1,0)</f>
        <v>0</v>
      </c>
      <c r="I16327" s="29" t="n">
        <f aca="false">Sens!C16308*IF(Sens!I16301-Sens!C16301=life_it,1,0)+Sens!D16308*IF(Sens!I16301-Sens!D16301=life_it,1,0)+Sens!E16308*IF(Sens!I16301-Sens!E16301=life_it,1,0)+Sens!F16308*IF(Sens!I16301-Sens!F16301=life_it,1,0)+Sens!G16308*IF(Sens!I16301-Sens!G16301=life_it,1,0)+Sens!H16308*IF(Sens!I16301-Sens!H16301=life_it,1,0)</f>
        <v>816.666666666667</v>
      </c>
      <c r="J16327" s="29" t="n">
        <f aca="false">Sens!C16308*IF(Sens!J16301-Sens!C16301=life_it,1,0)+Sens!D16308*IF(Sens!J16301-Sens!D16301=life_it,1,0)+Sens!E16308*IF(Sens!J16301-Sens!E16301=life_it,1,0)+Sens!F16308*IF(Sens!J16301-Sens!F16301=life_it,1,0)+Sens!G16308*IF(Sens!J16301-Sens!G16301=life_it,1,0)+Sens!H16308*IF(Sens!J16301-Sens!H16301=life_it,1,0)+Sens!I16308*IF(Sens!J16301-Sens!I16301=life_it,1,0)</f>
        <v>1233.33333333333</v>
      </c>
      <c r="K16327" s="29" t="n">
        <f aca="false">Sens!C16308*IF(Sens!K16301-Sens!C16301=life_it,1,0)+Sens!D16308*IF(Sens!K16301-Sens!D16301=life_it,1,0)+Sens!E16308*IF(Sens!K16301-Sens!E16301=life_it,1,0)+Sens!F16308*IF(Sens!K16301-Sens!F16301=life_it,1,0)+Sens!G16308*IF(Sens!K16301-Sens!G16301=life_it,1,0)+Sens!H16308*IF(Sens!K16301-Sens!H16301=life_it,1,0)+Sens!I16308*IF(Sens!K16301-Sens!I16301=life_it,1,0)+Sens!J16308*IF(Sens!K16301-Sens!J16301=life_it,1,0)</f>
        <v>2450</v>
      </c>
      <c r="L16327" s="1" t="s">
        <v>845</v>
      </c>
    </row>
    <row r="16328" customFormat="false" ht="17.15" hidden="false" customHeight="false" outlineLevel="0" collapsed="false">
      <c r="A16328" s="0" t="s">
        <v>846</v>
      </c>
      <c r="B16328" s="0" t="s">
        <v>98</v>
      </c>
      <c r="C16328" s="6" t="n">
        <f aca="false">Sens!C16308*Sens!C16326/1000</f>
        <v>22.5333845916667</v>
      </c>
      <c r="D16328" s="6" t="n">
        <f aca="false">Sens!D16308*Sens!D16326/1000</f>
        <v>34.0300093833333</v>
      </c>
      <c r="E16328" s="6" t="n">
        <f aca="false">Sens!E16308*Sens!E16326/1000</f>
        <v>67.600153775</v>
      </c>
      <c r="F16328" s="6" t="n">
        <f aca="false">(Sens!F16308+Sens!F16327)*Sens!F16326/1000</f>
        <v>130.923271871467</v>
      </c>
      <c r="G16328" s="6" t="n">
        <f aca="false">(Sens!G16308+Sens!G16327)*Sens!G16326/1000</f>
        <v>151.5545564832</v>
      </c>
      <c r="H16328" s="6" t="n">
        <f aca="false">(Sens!H16308+Sens!H16327)*Sens!H16326/1000</f>
        <v>156.0606619104</v>
      </c>
      <c r="I16328" s="6" t="n">
        <f aca="false">(Sens!I16308+Sens!I16327)*Sens!I16326/1000</f>
        <v>140.987889434245</v>
      </c>
      <c r="J16328" s="6" t="n">
        <f aca="false">(Sens!J16308+Sens!J16327)*Sens!J16326/1000</f>
        <v>113.309125559842</v>
      </c>
      <c r="K16328" s="6" t="n">
        <f aca="false">(Sens!K16308+Sens!K16327)*Sens!K16326/1000</f>
        <v>116.192591420959</v>
      </c>
    </row>
    <row r="16329" customFormat="false" ht="17.15" hidden="false" customHeight="false" outlineLevel="0" collapsed="false">
      <c r="A16329" s="0" t="s">
        <v>847</v>
      </c>
      <c r="B16329" s="0" t="s">
        <v>98</v>
      </c>
      <c r="C16329" s="6" t="n">
        <f aca="false">Sens!C16308*self_build*tk_cxfac/1000</f>
        <v>6.2083</v>
      </c>
      <c r="D16329" s="6" t="n">
        <f aca="false">Sens!D16308*self_build*tk_cxfac/1000</f>
        <v>9.3758</v>
      </c>
      <c r="E16329" s="6" t="n">
        <f aca="false">Sens!E16308*self_build*tk_cxfac/1000</f>
        <v>18.6249</v>
      </c>
      <c r="F16329" s="6" t="n">
        <f aca="false">Sens!F16308*self_build*tk_cxfac/1000</f>
        <v>29.409604</v>
      </c>
      <c r="G16329" s="6" t="n">
        <f aca="false">Sens!G16308*self_build*tk_cxfac/1000</f>
        <v>32.019624</v>
      </c>
      <c r="H16329" s="6" t="n">
        <f aca="false">Sens!H16308*self_build*tk_cxfac/1000</f>
        <v>32.019624</v>
      </c>
      <c r="I16329" s="6" t="n">
        <f aca="false">Sens!I16308*self_build*tk_cxfac/1000</f>
        <v>22.71877972</v>
      </c>
      <c r="J16329" s="6" t="n">
        <f aca="false">Sens!J16308*self_build*tk_cxfac/1000</f>
        <v>13.8723110344</v>
      </c>
      <c r="K16329" s="6" t="n">
        <f aca="false">Sens!K16308*self_build*tk_cxfac/1000</f>
        <v>5.214823882632</v>
      </c>
    </row>
    <row r="16330" customFormat="false" ht="17.15" hidden="false" customHeight="false" outlineLevel="0" collapsed="false">
      <c r="A16330" s="0" t="s">
        <v>848</v>
      </c>
      <c r="B16330" s="0" t="s">
        <v>98</v>
      </c>
      <c r="F16330" s="6" t="n">
        <f aca="false">MAX(0,capex_floor27-Sens!F16328-Sens!F16329-Sens!F16424)</f>
        <v>8.43777689897088</v>
      </c>
    </row>
    <row r="16331" customFormat="false" ht="17.15" hidden="false" customHeight="false" outlineLevel="0" collapsed="false">
      <c r="A16331" s="0" t="s">
        <v>849</v>
      </c>
      <c r="B16331" s="0" t="s">
        <v>98</v>
      </c>
      <c r="C16331" s="6" t="n">
        <f aca="false">Sens!C16328</f>
        <v>22.5333845916667</v>
      </c>
      <c r="D16331" s="6" t="n">
        <f aca="false">Sens!D16328</f>
        <v>34.0300093833333</v>
      </c>
      <c r="E16331" s="6" t="n">
        <f aca="false">Sens!E16328</f>
        <v>67.600153775</v>
      </c>
      <c r="F16331" s="6" t="n">
        <f aca="false">Sens!F16328+Sens!F16330</f>
        <v>139.361048770438</v>
      </c>
      <c r="G16331" s="6" t="n">
        <f aca="false">Sens!G16328</f>
        <v>151.5545564832</v>
      </c>
      <c r="H16331" s="6" t="n">
        <f aca="false">Sens!H16328</f>
        <v>156.0606619104</v>
      </c>
      <c r="I16331" s="6" t="n">
        <f aca="false">Sens!I16328</f>
        <v>140.987889434245</v>
      </c>
      <c r="J16331" s="6" t="n">
        <f aca="false">Sens!J16328</f>
        <v>113.309125559842</v>
      </c>
      <c r="K16331" s="6" t="n">
        <f aca="false">Sens!K16328</f>
        <v>116.192591420959</v>
      </c>
    </row>
    <row r="16332" customFormat="false" ht="17.15" hidden="false" customHeight="false" outlineLevel="0" collapsed="false">
      <c r="A16332" s="0" t="s">
        <v>850</v>
      </c>
      <c r="B16332" s="0" t="s">
        <v>98</v>
      </c>
      <c r="C16332" s="6" t="n">
        <f aca="false">Sens!C16331+Sens!C16329</f>
        <v>28.7416845916667</v>
      </c>
      <c r="D16332" s="6" t="n">
        <f aca="false">Sens!D16331+Sens!D16329</f>
        <v>43.4058093833333</v>
      </c>
      <c r="E16332" s="6" t="n">
        <f aca="false">Sens!E16331+Sens!E16329</f>
        <v>86.225053775</v>
      </c>
      <c r="F16332" s="6" t="n">
        <f aca="false">Sens!F16331+Sens!F16329</f>
        <v>168.770652770438</v>
      </c>
      <c r="G16332" s="6" t="n">
        <f aca="false">Sens!G16331+Sens!G16329</f>
        <v>183.5741804832</v>
      </c>
      <c r="H16332" s="6" t="n">
        <f aca="false">Sens!H16331+Sens!H16329</f>
        <v>188.0802859104</v>
      </c>
      <c r="I16332" s="6" t="n">
        <f aca="false">Sens!I16331+Sens!I16329</f>
        <v>163.706669154245</v>
      </c>
      <c r="J16332" s="6" t="n">
        <f aca="false">Sens!J16331+Sens!J16329</f>
        <v>127.181436594242</v>
      </c>
      <c r="K16332" s="6" t="n">
        <f aca="false">Sens!K16331+Sens!K16329</f>
        <v>121.407415303591</v>
      </c>
      <c r="L16332" s="11" t="s">
        <v>851</v>
      </c>
    </row>
    <row r="16333" customFormat="false" ht="17.15" hidden="false" customHeight="false" outlineLevel="0" collapsed="false">
      <c r="A16333" s="0" t="s">
        <v>852</v>
      </c>
      <c r="B16333" s="0" t="s">
        <v>98</v>
      </c>
      <c r="E16333" s="6" t="n">
        <f aca="false">(Sens!C16331*IF(2&lt;life_it,1,IF(2=life_it,0.5,0))+Sens!D16331*IF(1&lt;life_it,1,IF(1=life_it,0.5,0))+Sens!E16331*0.5)/life_it</f>
        <v>15.0605784770833</v>
      </c>
      <c r="F16333" s="6" t="n">
        <f aca="false">(Sens!C16331*IF(3&lt;life_it,1,IF(3=life_it,0.5,0))+Sens!D16331*IF(2&lt;life_it,1,IF(2=life_it,0.5,0))+Sens!E16331*IF(1&lt;life_it,1,IF(1=life_it,0.5,0))+Sens!F16331*0.5)/life_it</f>
        <v>32.3073453558698</v>
      </c>
      <c r="G16333" s="6" t="n">
        <f aca="false">(Sens!C16331*IF(4&lt;life_it,1,IF(4=life_it,0.5,0))+Sens!D16331*IF(3&lt;life_it,1,IF(3=life_it,0.5,0))+Sens!E16331*IF(2&lt;life_it,1,IF(2=life_it,0.5,0))+Sens!F16331*IF(1&lt;life_it,1,IF(1=life_it,0.5,0))+Sens!G16331*0.5)/life_it</f>
        <v>56.5503124603396</v>
      </c>
      <c r="H16333" s="6" t="n">
        <f aca="false">(Sens!C16331*IF(5&lt;life_it,1,IF(5=life_it,0.5,0))+Sens!D16331*IF(4&lt;life_it,1,IF(4=life_it,0.5,0))+Sens!E16331*IF(3&lt;life_it,1,IF(3=life_it,0.5,0))+Sens!F16331*IF(2&lt;life_it,1,IF(2=life_it,0.5,0))+Sens!G16331*IF(1&lt;life_it,1,IF(1=life_it,0.5,0))+Sens!H16331*0.5)/life_it</f>
        <v>82.1849139931396</v>
      </c>
      <c r="I16333" s="6" t="n">
        <f aca="false">(Sens!C16331*IF(6&lt;life_it,1,IF(6=life_it,0.5,0))+Sens!D16331*IF(5&lt;life_it,1,IF(5=life_it,0.5,0))+Sens!E16331*IF(4&lt;life_it,1,IF(4=life_it,0.5,0))+Sens!F16331*IF(3&lt;life_it,1,IF(3=life_it,0.5,0))+Sens!G16331*IF(2&lt;life_it,1,IF(2=life_it,0.5,0))+Sens!H16331*IF(1&lt;life_it,1,IF(1=life_it,0.5,0))+Sens!I16331*0.5)/life_it</f>
        <v>105.061177889221</v>
      </c>
      <c r="J16333" s="6" t="n">
        <f aca="false">(Sens!C16331*IF(7&lt;life_it,1,IF(7=life_it,0.5,0))+Sens!D16331*IF(6&lt;life_it,1,IF(6=life_it,0.5,0))+Sens!E16331*IF(5&lt;life_it,1,IF(5=life_it,0.5,0))+Sens!F16331*IF(4&lt;life_it,1,IF(4=life_it,0.5,0))+Sens!G16331*IF(3&lt;life_it,1,IF(3=life_it,0.5,0))+Sens!H16331*IF(2&lt;life_it,1,IF(2=life_it,0.5,0))+Sens!I16331*IF(1&lt;life_it,1,IF(1=life_it,0.5,0))+Sens!J16331*0.5)/life_it</f>
        <v>121.538979640812</v>
      </c>
      <c r="K16333" s="6" t="n">
        <f aca="false">(Sens!C16331*IF(8&lt;life_it,1,IF(8=life_it,0.5,0))+Sens!D16331*IF(7&lt;life_it,1,IF(7=life_it,0.5,0))+Sens!E16331*IF(6&lt;life_it,1,IF(6=life_it,0.5,0))+Sens!F16331*IF(5&lt;life_it,1,IF(5=life_it,0.5,0))+Sens!G16331*IF(4&lt;life_it,1,IF(4=life_it,0.5,0))+Sens!H16331*IF(3&lt;life_it,1,IF(3=life_it,0.5,0))+Sens!I16331*IF(2&lt;life_it,1,IF(2=life_it,0.5,0))+Sens!J16331*IF(1&lt;life_it,1,IF(1=life_it,0.5,0))+Sens!K16331*0.5)/life_it</f>
        <v>132.194942459351</v>
      </c>
    </row>
    <row r="16334" customFormat="false" ht="17.15" hidden="false" customHeight="false" outlineLevel="0" collapsed="false">
      <c r="A16334" s="0" t="s">
        <v>853</v>
      </c>
      <c r="B16334" s="0" t="s">
        <v>98</v>
      </c>
      <c r="E16334" s="6" t="n">
        <f aca="false">(Sens!C16329*IF(2&lt;life_fac,1,IF(2=life_fac,0.5,0))+Sens!D16329*IF(1&lt;life_fac,1,IF(1=life_fac,0.5,0))+Sens!E16329*0.5)/life_fac</f>
        <v>1.2448275</v>
      </c>
      <c r="F16334" s="6" t="n">
        <f aca="false">(Sens!C16329*IF(3&lt;life_fac,1,IF(3=life_fac,0.5,0))+Sens!D16329*IF(2&lt;life_fac,1,IF(2=life_fac,0.5,0))+Sens!E16329*IF(1&lt;life_fac,1,IF(1=life_fac,0.5,0))+Sens!F16329*0.5)/life_fac</f>
        <v>2.4456901</v>
      </c>
      <c r="G16334" s="6" t="n">
        <f aca="false">(Sens!C16329*IF(4&lt;life_fac,1,IF(4=life_fac,0.5,0))+Sens!D16329*IF(3&lt;life_fac,1,IF(3=life_fac,0.5,0))+Sens!E16329*IF(2&lt;life_fac,1,IF(2=life_fac,0.5,0))+Sens!F16329*IF(1&lt;life_fac,1,IF(1=life_fac,0.5,0))+Sens!G16329*0.5)/life_fac</f>
        <v>3.9814208</v>
      </c>
      <c r="H16334" s="6" t="n">
        <f aca="false">(Sens!C16329*IF(5&lt;life_fac,1,IF(5=life_fac,0.5,0))+Sens!D16329*IF(4&lt;life_fac,1,IF(4=life_fac,0.5,0))+Sens!E16329*IF(3&lt;life_fac,1,IF(3=life_fac,0.5,0))+Sens!F16329*IF(2&lt;life_fac,1,IF(2=life_fac,0.5,0))+Sens!G16329*IF(1&lt;life_fac,1,IF(1=life_fac,0.5,0))+Sens!H16329*0.5)/life_fac</f>
        <v>5.582402</v>
      </c>
      <c r="I16334" s="6" t="n">
        <f aca="false">(Sens!C16329*IF(6&lt;life_fac,1,IF(6=life_fac,0.5,0))+Sens!D16329*IF(5&lt;life_fac,1,IF(5=life_fac,0.5,0))+Sens!E16329*IF(4&lt;life_fac,1,IF(4=life_fac,0.5,0))+Sens!F16329*IF(3&lt;life_fac,1,IF(3=life_fac,0.5,0))+Sens!G16329*IF(2&lt;life_fac,1,IF(2=life_fac,0.5,0))+Sens!H16329*IF(1&lt;life_fac,1,IF(1=life_fac,0.5,0))+Sens!I16329*0.5)/life_fac</f>
        <v>6.950862093</v>
      </c>
      <c r="J16334" s="6" t="n">
        <f aca="false">(Sens!C16329*IF(7&lt;life_fac,1,IF(7=life_fac,0.5,0))+Sens!D16329*IF(6&lt;life_fac,1,IF(6=life_fac,0.5,0))+Sens!E16329*IF(5&lt;life_fac,1,IF(5=life_fac,0.5,0))+Sens!F16329*IF(4&lt;life_fac,1,IF(4=life_fac,0.5,0))+Sens!G16329*IF(3&lt;life_fac,1,IF(3=life_fac,0.5,0))+Sens!H16329*IF(2&lt;life_fac,1,IF(2=life_fac,0.5,0))+Sens!I16329*IF(1&lt;life_fac,1,IF(1=life_fac,0.5,0))+Sens!J16329*0.5)/life_fac</f>
        <v>7.86563936186</v>
      </c>
      <c r="K16334" s="6" t="n">
        <f aca="false">(Sens!C16329*IF(8&lt;life_fac,1,IF(8=life_fac,0.5,0))+Sens!D16329*IF(7&lt;life_fac,1,IF(7=life_fac,0.5,0))+Sens!E16329*IF(6&lt;life_fac,1,IF(6=life_fac,0.5,0))+Sens!F16329*IF(5&lt;life_fac,1,IF(5=life_fac,0.5,0))+Sens!G16329*IF(4&lt;life_fac,1,IF(4=life_fac,0.5,0))+Sens!H16329*IF(3&lt;life_fac,1,IF(3=life_fac,0.5,0))+Sens!I16329*IF(2&lt;life_fac,1,IF(2=life_fac,0.5,0))+Sens!J16329*IF(1&lt;life_fac,1,IF(1=life_fac,0.5,0))+Sens!K16329*0.5)/life_fac</f>
        <v>8.3428177347858</v>
      </c>
    </row>
    <row r="16335" customFormat="false" ht="17.15" hidden="false" customHeight="false" outlineLevel="0" collapsed="false">
      <c r="A16335" s="0" t="s">
        <v>854</v>
      </c>
      <c r="B16335" s="0" t="s">
        <v>98</v>
      </c>
      <c r="E16335" s="6" t="n">
        <f aca="false">Sens!E16333+Sens!E16334</f>
        <v>16.3054059770833</v>
      </c>
      <c r="F16335" s="6" t="n">
        <f aca="false">Sens!F16333+Sens!F16334</f>
        <v>34.7530354558698</v>
      </c>
      <c r="G16335" s="6" t="n">
        <f aca="false">Sens!G16333+Sens!G16334</f>
        <v>60.5317332603396</v>
      </c>
      <c r="H16335" s="6" t="n">
        <f aca="false">Sens!H16333+Sens!H16334</f>
        <v>87.7673159931396</v>
      </c>
      <c r="I16335" s="6" t="n">
        <f aca="false">Sens!I16333+Sens!I16334</f>
        <v>112.012039982221</v>
      </c>
      <c r="J16335" s="6" t="n">
        <f aca="false">Sens!J16333+Sens!J16334</f>
        <v>129.404619002672</v>
      </c>
      <c r="K16335" s="6" t="n">
        <f aca="false">Sens!K16333+Sens!K16334</f>
        <v>140.537760194137</v>
      </c>
    </row>
    <row r="16336" customFormat="false" ht="17.15" hidden="false" customHeight="false" outlineLevel="0" collapsed="false">
      <c r="A16336" s="0" t="s">
        <v>855</v>
      </c>
      <c r="B16336" s="0" t="s">
        <v>98</v>
      </c>
      <c r="E16336" s="6" t="n">
        <f aca="false">Sens!E16324-Sens!E16323*Sens!E16335</f>
        <v>8.92707889977379</v>
      </c>
      <c r="F16336" s="6" t="n">
        <f aca="false">Sens!F16324-Sens!F16323*Sens!F16335</f>
        <v>14.2055242890201</v>
      </c>
      <c r="G16336" s="6" t="n">
        <f aca="false">Sens!G16324-Sens!G16323*Sens!G16335</f>
        <v>15.9314572150833</v>
      </c>
      <c r="H16336" s="6" t="n">
        <f aca="false">Sens!H16324-Sens!H16323*Sens!H16335</f>
        <v>12.6192802551433</v>
      </c>
      <c r="I16336" s="6" t="n">
        <f aca="false">Sens!I16324-Sens!I16323*Sens!I16335</f>
        <v>16.0630756471222</v>
      </c>
      <c r="J16336" s="6" t="n">
        <f aca="false">Sens!J16324-Sens!J16323*Sens!J16335</f>
        <v>18.4573656937065</v>
      </c>
      <c r="K16336" s="6" t="n">
        <f aca="false">Sens!K16324-Sens!K16323*Sens!K16335</f>
        <v>20.5112924033341</v>
      </c>
    </row>
    <row r="16337" customFormat="false" ht="17.15" hidden="false" customHeight="false" outlineLevel="0" collapsed="false">
      <c r="A16337" s="3" t="s">
        <v>1677</v>
      </c>
    </row>
    <row r="16338" customFormat="false" ht="15" hidden="false" customHeight="false" outlineLevel="0" collapsed="false">
      <c r="A16338" s="4" t="s">
        <v>43</v>
      </c>
      <c r="B16338" s="4" t="s">
        <v>65</v>
      </c>
      <c r="C16338" s="20" t="s">
        <v>799</v>
      </c>
      <c r="D16338" s="20" t="s">
        <v>800</v>
      </c>
      <c r="E16338" s="20" t="s">
        <v>801</v>
      </c>
      <c r="F16338" s="20" t="s">
        <v>802</v>
      </c>
      <c r="G16338" s="20" t="s">
        <v>803</v>
      </c>
      <c r="H16338" s="20" t="s">
        <v>804</v>
      </c>
      <c r="I16338" s="20" t="s">
        <v>805</v>
      </c>
      <c r="J16338" s="20" t="s">
        <v>806</v>
      </c>
      <c r="K16338" s="20" t="s">
        <v>807</v>
      </c>
      <c r="L16338" s="4" t="s">
        <v>47</v>
      </c>
    </row>
    <row r="16339" customFormat="false" ht="17.15" hidden="false" customHeight="false" outlineLevel="0" collapsed="false">
      <c r="A16339" s="0" t="s">
        <v>874</v>
      </c>
      <c r="B16339" s="0" t="s">
        <v>98</v>
      </c>
      <c r="D16339" s="6" t="n">
        <f aca="false">Sens!D16318</f>
        <v>12.9359794422418</v>
      </c>
      <c r="E16339" s="6" t="n">
        <f aca="false">Sens!E16318</f>
        <v>27.8095064661409</v>
      </c>
      <c r="F16339" s="6" t="n">
        <f aca="false">Sens!F16318</f>
        <v>50.6619113883066</v>
      </c>
      <c r="G16339" s="6" t="n">
        <f aca="false">Sens!G16318</f>
        <v>75.1482839325348</v>
      </c>
      <c r="H16339" s="6" t="n">
        <f aca="false">Sens!H16318</f>
        <v>94.895655604042</v>
      </c>
      <c r="I16339" s="6" t="n">
        <f aca="false">Sens!I16318</f>
        <v>118.706168884151</v>
      </c>
      <c r="J16339" s="6" t="n">
        <f aca="false">Sens!J16318</f>
        <v>135.50643871102</v>
      </c>
      <c r="K16339" s="6" t="n">
        <f aca="false">Sens!K16318</f>
        <v>146.509068150048</v>
      </c>
    </row>
    <row r="16340" customFormat="false" ht="17.15" hidden="false" customHeight="false" outlineLevel="0" collapsed="false">
      <c r="A16340" s="0" t="s">
        <v>875</v>
      </c>
      <c r="B16340" s="0" t="s">
        <v>98</v>
      </c>
      <c r="D16340" s="6" t="n">
        <f aca="false">Q!L6-Sens!D16339</f>
        <v>59.6740205577583</v>
      </c>
      <c r="E16340" s="6" t="n">
        <f aca="false">Q!M6-Sens!E16339</f>
        <v>74.1284935338591</v>
      </c>
      <c r="F16340" s="6" t="n">
        <f aca="false">Sens!E16340*(1+Sens!F16341)</f>
        <v>90.0799497373663</v>
      </c>
      <c r="G16340" s="6" t="n">
        <f aca="false">Sens!F16340*(1+Sens!G16341)</f>
        <v>107.02842520331</v>
      </c>
      <c r="H16340" s="6" t="n">
        <f aca="false">Sens!G16340*(1+Sens!H16341)</f>
        <v>124.271982585636</v>
      </c>
      <c r="I16340" s="6" t="n">
        <f aca="false">Sens!H16340*(1+Sens!I16341)</f>
        <v>140.933702381855</v>
      </c>
      <c r="J16340" s="6" t="n">
        <f aca="false">Sens!I16340*(1+Sens!J16341)</f>
        <v>156.018867314332</v>
      </c>
      <c r="K16340" s="6" t="n">
        <f aca="false">Sens!J16340*(1+Sens!K16341)</f>
        <v>168.500376699478</v>
      </c>
    </row>
    <row r="16341" customFormat="false" ht="15" hidden="false" customHeight="false" outlineLevel="0" collapsed="false">
      <c r="A16341" s="1" t="s">
        <v>876</v>
      </c>
      <c r="B16341" s="0" t="s">
        <v>129</v>
      </c>
      <c r="E16341" s="7" t="n">
        <f aca="false">Sens!E16340/Sens!D16340-1</f>
        <v>0.242223883039864</v>
      </c>
      <c r="F16341" s="7" t="n">
        <f aca="false">Sens!$E$16341+(glt_azo-Sens!$E$16341)*MIN(1,(Sens!F16301-base_fy)/n_conv)</f>
        <v>0.215186569199887</v>
      </c>
      <c r="G16341" s="7" t="n">
        <f aca="false">Sens!$E$16341+(glt_azo-Sens!$E$16341)*MIN(1,(Sens!G16301-base_fy)/n_conv)</f>
        <v>0.18814925535991</v>
      </c>
      <c r="H16341" s="7" t="n">
        <f aca="false">Sens!$E$16341+(glt_azo-Sens!$E$16341)*MIN(1,(Sens!H16301-base_fy)/n_conv)</f>
        <v>0.161111941519932</v>
      </c>
      <c r="I16341" s="7" t="n">
        <f aca="false">Sens!$E$16341+(glt_azo-Sens!$E$16341)*MIN(1,(Sens!I16301-base_fy)/n_conv)</f>
        <v>0.134074627679955</v>
      </c>
      <c r="J16341" s="7" t="n">
        <f aca="false">Sens!$E$16341+(glt_azo-Sens!$E$16341)*MIN(1,(Sens!J16301-base_fy)/n_conv)</f>
        <v>0.107037313839977</v>
      </c>
      <c r="K16341" s="7" t="n">
        <f aca="false">Sens!$E$16341+(glt_azo-Sens!$E$16341)*MIN(1,(Sens!K16301-base_fy)/n_conv)</f>
        <v>0.08</v>
      </c>
    </row>
    <row r="16342" customFormat="false" ht="15" hidden="false" customHeight="false" outlineLevel="0" collapsed="false">
      <c r="A16342" s="0" t="s">
        <v>877</v>
      </c>
      <c r="B16342" s="0" t="s">
        <v>98</v>
      </c>
      <c r="D16342" s="6" t="n">
        <f aca="false">Sens!D16339+Sens!D16340</f>
        <v>72.61</v>
      </c>
      <c r="E16342" s="6" t="n">
        <f aca="false">Sens!E16339+Sens!E16340</f>
        <v>101.938</v>
      </c>
      <c r="F16342" s="6" t="n">
        <f aca="false">Sens!F16339+Sens!F16340</f>
        <v>140.741861125673</v>
      </c>
      <c r="G16342" s="6" t="n">
        <f aca="false">Sens!G16339+Sens!G16340</f>
        <v>182.176709135845</v>
      </c>
      <c r="H16342" s="6" t="n">
        <f aca="false">Sens!H16339+Sens!H16340</f>
        <v>219.167638189678</v>
      </c>
      <c r="I16342" s="6" t="n">
        <f aca="false">Sens!I16339+Sens!I16340</f>
        <v>259.639871266006</v>
      </c>
      <c r="J16342" s="6" t="n">
        <f aca="false">Sens!J16339+Sens!J16340</f>
        <v>291.525306025352</v>
      </c>
      <c r="K16342" s="6" t="n">
        <f aca="false">Sens!K16339+Sens!K16340</f>
        <v>315.009444849526</v>
      </c>
    </row>
    <row r="16343" customFormat="false" ht="17.15" hidden="false" customHeight="false" outlineLevel="0" collapsed="false">
      <c r="A16343" s="0" t="s">
        <v>878</v>
      </c>
      <c r="B16343" s="1" t="s">
        <v>528</v>
      </c>
      <c r="C16343" s="29" t="n">
        <f aca="false">cop_s24</f>
        <v>1</v>
      </c>
      <c r="D16343" s="29" t="n">
        <f aca="false">cop_s25</f>
        <v>5</v>
      </c>
      <c r="E16343" s="29" t="n">
        <f aca="false">cop_s26</f>
        <v>30</v>
      </c>
      <c r="F16343" s="29" t="n">
        <f aca="false">Sens!E16343+cop_add_C</f>
        <v>40</v>
      </c>
      <c r="G16343" s="29" t="n">
        <f aca="false">Sens!F16343+cop_add_C</f>
        <v>50</v>
      </c>
      <c r="H16343" s="29" t="n">
        <f aca="false">Sens!G16343+cop_add_C</f>
        <v>60</v>
      </c>
      <c r="I16343" s="29" t="n">
        <f aca="false">Sens!H16343+cop_add_C*cop_tail</f>
        <v>65</v>
      </c>
      <c r="J16343" s="29" t="n">
        <f aca="false">Sens!I16343+cop_add_C*cop_tail</f>
        <v>70</v>
      </c>
      <c r="K16343" s="29" t="n">
        <f aca="false">Sens!J16343+cop_add_C*cop_tail</f>
        <v>75</v>
      </c>
      <c r="L16343" s="11" t="s">
        <v>879</v>
      </c>
    </row>
    <row r="16344" customFormat="false" ht="17.15" hidden="false" customHeight="false" outlineLevel="0" collapsed="false">
      <c r="A16344" s="0" t="s">
        <v>880</v>
      </c>
      <c r="B16344" s="0" t="s">
        <v>98</v>
      </c>
      <c r="D16344" s="6" t="n">
        <f aca="false">(Sens!C16343+Sens!D16343)/2*cop_px*12/1000</f>
        <v>0.9</v>
      </c>
      <c r="E16344" s="6" t="n">
        <f aca="false">(Sens!D16343+Sens!E16343)/2*cop_px*12/1000</f>
        <v>5.25</v>
      </c>
      <c r="F16344" s="6" t="n">
        <f aca="false">(Sens!E16343+Sens!F16343)/2*cop_px*12/1000</f>
        <v>10.5</v>
      </c>
      <c r="G16344" s="6" t="n">
        <f aca="false">(Sens!F16343+Sens!G16343)/2*cop_px*12/1000</f>
        <v>13.5</v>
      </c>
      <c r="H16344" s="6" t="n">
        <f aca="false">(Sens!G16343+Sens!H16343)/2*cop_px*12/1000</f>
        <v>16.5</v>
      </c>
      <c r="I16344" s="6" t="n">
        <f aca="false">(Sens!H16343+Sens!I16343)/2*cop_px*12/1000</f>
        <v>18.75</v>
      </c>
      <c r="J16344" s="6" t="n">
        <f aca="false">(Sens!I16343+Sens!J16343)/2*cop_px*12/1000</f>
        <v>20.25</v>
      </c>
      <c r="K16344" s="6" t="n">
        <f aca="false">(Sens!J16343+Sens!K16343)/2*cop_px*12/1000</f>
        <v>21.75</v>
      </c>
      <c r="L16344" s="1" t="s">
        <v>881</v>
      </c>
    </row>
    <row r="16345" customFormat="false" ht="17.15" hidden="false" customHeight="false" outlineLevel="0" collapsed="false">
      <c r="A16345" s="0" t="s">
        <v>882</v>
      </c>
      <c r="B16345" s="0" t="s">
        <v>98</v>
      </c>
      <c r="D16345" s="6" t="n">
        <f aca="false">Q!L7-Sens!D16344</f>
        <v>83.705</v>
      </c>
      <c r="E16345" s="6" t="n">
        <f aca="false">Q!M7-Sens!E16344</f>
        <v>95.049</v>
      </c>
      <c r="F16345" s="6" t="n">
        <f aca="false">Sens!E16345*(1+Sens!F16346)</f>
        <v>106.89238776686</v>
      </c>
      <c r="G16345" s="6" t="n">
        <f aca="false">Sens!F16345*(1+Sens!G16346)</f>
        <v>119.044168448684</v>
      </c>
      <c r="H16345" s="6" t="n">
        <f aca="false">Sens!G16345*(1+Sens!H16346)</f>
        <v>131.277359388781</v>
      </c>
      <c r="I16345" s="6" t="n">
        <f aca="false">Sens!H16345*(1+Sens!I16346)</f>
        <v>143.334028071957</v>
      </c>
      <c r="J16345" s="6" t="n">
        <f aca="false">Sens!I16345*(1+Sens!J16346)</f>
        <v>154.932702785465</v>
      </c>
      <c r="K16345" s="6" t="n">
        <f aca="false">Sens!J16345*(1+Sens!K16346)</f>
        <v>165.777991980448</v>
      </c>
    </row>
    <row r="16346" customFormat="false" ht="15" hidden="false" customHeight="false" outlineLevel="0" collapsed="false">
      <c r="A16346" s="1" t="s">
        <v>876</v>
      </c>
      <c r="B16346" s="0" t="s">
        <v>129</v>
      </c>
      <c r="E16346" s="7" t="n">
        <f aca="false">Sens!E16345/Sens!D16345-1</f>
        <v>0.135523564900544</v>
      </c>
      <c r="F16346" s="7" t="n">
        <f aca="false">Sens!$E$16346+(glt_m365b-Sens!$E$16346)*MIN(1,(Sens!F16301-base_fy)/n_conv)</f>
        <v>0.124602970750453</v>
      </c>
      <c r="G16346" s="7" t="n">
        <f aca="false">Sens!$E$16346+(glt_m365b-Sens!$E$16346)*MIN(1,(Sens!G16301-base_fy)/n_conv)</f>
        <v>0.113682376600363</v>
      </c>
      <c r="H16346" s="7" t="n">
        <f aca="false">Sens!$E$16346+(glt_m365b-Sens!$E$16346)*MIN(1,(Sens!H16301-base_fy)/n_conv)</f>
        <v>0.102761782450272</v>
      </c>
      <c r="I16346" s="7" t="n">
        <f aca="false">Sens!$E$16346+(glt_m365b-Sens!$E$16346)*MIN(1,(Sens!I16301-base_fy)/n_conv)</f>
        <v>0.0918411883001813</v>
      </c>
      <c r="J16346" s="7" t="n">
        <f aca="false">Sens!$E$16346+(glt_m365b-Sens!$E$16346)*MIN(1,(Sens!J16301-base_fy)/n_conv)</f>
        <v>0.0809205941500906</v>
      </c>
      <c r="K16346" s="7" t="n">
        <f aca="false">Sens!$E$16346+(glt_m365b-Sens!$E$16346)*MIN(1,(Sens!K16301-base_fy)/n_conv)</f>
        <v>0.07</v>
      </c>
    </row>
    <row r="16347" customFormat="false" ht="15" hidden="false" customHeight="false" outlineLevel="0" collapsed="false">
      <c r="A16347" s="0" t="s">
        <v>883</v>
      </c>
      <c r="B16347" s="0" t="s">
        <v>98</v>
      </c>
      <c r="D16347" s="6" t="n">
        <f aca="false">Sens!D16345+Sens!D16344</f>
        <v>84.605</v>
      </c>
      <c r="E16347" s="6" t="n">
        <f aca="false">Sens!E16345+Sens!E16344</f>
        <v>100.299</v>
      </c>
      <c r="F16347" s="6" t="n">
        <f aca="false">Sens!F16345+Sens!F16344</f>
        <v>117.39238776686</v>
      </c>
      <c r="G16347" s="6" t="n">
        <f aca="false">Sens!G16345+Sens!G16344</f>
        <v>132.544168448684</v>
      </c>
      <c r="H16347" s="6" t="n">
        <f aca="false">Sens!H16345+Sens!H16344</f>
        <v>147.777359388781</v>
      </c>
      <c r="I16347" s="6" t="n">
        <f aca="false">Sens!I16345+Sens!I16344</f>
        <v>162.084028071957</v>
      </c>
      <c r="J16347" s="6" t="n">
        <f aca="false">Sens!J16345+Sens!J16344</f>
        <v>175.182702785465</v>
      </c>
      <c r="K16347" s="6" t="n">
        <f aca="false">Sens!K16345+Sens!K16344</f>
        <v>187.527991980448</v>
      </c>
    </row>
    <row r="16348" customFormat="false" ht="15" hidden="false" customHeight="false" outlineLevel="0" collapsed="false">
      <c r="A16348" s="0" t="s">
        <v>884</v>
      </c>
      <c r="B16348" s="0" t="s">
        <v>98</v>
      </c>
      <c r="D16348" s="6" t="n">
        <f aca="false">Q!L8</f>
        <v>35.391</v>
      </c>
      <c r="E16348" s="6" t="n">
        <f aca="false">Q!M8</f>
        <v>37.285</v>
      </c>
      <c r="F16348" s="6" t="n">
        <f aca="false">Sens!E16348*(1+Sens!F16349)</f>
        <v>39.0720834331704</v>
      </c>
      <c r="G16348" s="6" t="n">
        <f aca="false">Sens!F16348*(1+Sens!G16349)</f>
        <v>40.726562953769</v>
      </c>
      <c r="H16348" s="6" t="n">
        <f aca="false">Sens!G16348*(1+Sens!H16349)</f>
        <v>42.2235987259198</v>
      </c>
      <c r="I16348" s="6" t="n">
        <f aca="false">Sens!H16348*(1+Sens!I16349)</f>
        <v>43.5397988077414</v>
      </c>
      <c r="J16348" s="6" t="n">
        <f aca="false">Sens!I16348*(1+Sens!J16349)</f>
        <v>44.653811225693</v>
      </c>
      <c r="K16348" s="6" t="n">
        <f aca="false">Sens!J16348*(1+Sens!K16349)</f>
        <v>45.5468874502068</v>
      </c>
    </row>
    <row r="16349" customFormat="false" ht="15" hidden="false" customHeight="false" outlineLevel="0" collapsed="false">
      <c r="A16349" s="1" t="s">
        <v>876</v>
      </c>
      <c r="B16349" s="0" t="s">
        <v>129</v>
      </c>
      <c r="E16349" s="7" t="n">
        <f aca="false">Sens!E16348/Sens!D16348-1</f>
        <v>0.0535164307309768</v>
      </c>
      <c r="F16349" s="7" t="n">
        <f aca="false">Sens!$E$16349+(glt_lic-Sens!$E$16349)*MIN(1,(Sens!F16301-base_fy)/n_conv)</f>
        <v>0.0479303589424807</v>
      </c>
      <c r="G16349" s="7" t="n">
        <f aca="false">Sens!$E$16349+(glt_lic-Sens!$E$16349)*MIN(1,(Sens!G16301-base_fy)/n_conv)</f>
        <v>0.0423442871539845</v>
      </c>
      <c r="H16349" s="7" t="n">
        <f aca="false">Sens!$E$16349+(glt_lic-Sens!$E$16349)*MIN(1,(Sens!H16301-base_fy)/n_conv)</f>
        <v>0.0367582153654884</v>
      </c>
      <c r="I16349" s="7" t="n">
        <f aca="false">Sens!$E$16349+(glt_lic-Sens!$E$16349)*MIN(1,(Sens!I16301-base_fy)/n_conv)</f>
        <v>0.0311721435769923</v>
      </c>
      <c r="J16349" s="7" t="n">
        <f aca="false">Sens!$E$16349+(glt_lic-Sens!$E$16349)*MIN(1,(Sens!J16301-base_fy)/n_conv)</f>
        <v>0.0255860717884961</v>
      </c>
      <c r="K16349" s="7" t="n">
        <f aca="false">Sens!$E$16349+(glt_lic-Sens!$E$16349)*MIN(1,(Sens!K16301-base_fy)/n_conv)</f>
        <v>0.02</v>
      </c>
    </row>
    <row r="16350" customFormat="false" ht="15" hidden="false" customHeight="false" outlineLevel="0" collapsed="false">
      <c r="A16350" s="0" t="s">
        <v>885</v>
      </c>
      <c r="B16350" s="0" t="s">
        <v>98</v>
      </c>
      <c r="D16350" s="6" t="n">
        <f aca="false">Q!L9</f>
        <v>18.417</v>
      </c>
      <c r="E16350" s="6" t="n">
        <f aca="false">Q!M9</f>
        <v>20.345</v>
      </c>
      <c r="F16350" s="6" t="n">
        <f aca="false">Sens!E16350*(1+Sens!F16351)</f>
        <v>22.3572203267814</v>
      </c>
      <c r="G16350" s="6" t="n">
        <f aca="false">Sens!F16350*(1+Sens!G16351)</f>
        <v>24.4392124437232</v>
      </c>
      <c r="H16350" s="6" t="n">
        <f aca="false">Sens!G16350*(1+Sens!H16351)</f>
        <v>26.5738052080665</v>
      </c>
      <c r="I16350" s="6" t="n">
        <f aca="false">Sens!H16350*(1+Sens!I16351)</f>
        <v>28.7412169166967</v>
      </c>
      <c r="J16350" s="6" t="n">
        <f aca="false">Sens!I16350*(1+Sens!J16351)</f>
        <v>30.9192545395413</v>
      </c>
      <c r="K16350" s="6" t="n">
        <f aca="false">Sens!J16350*(1+Sens!K16351)</f>
        <v>33.0836023573092</v>
      </c>
    </row>
    <row r="16351" customFormat="false" ht="15" hidden="false" customHeight="false" outlineLevel="0" collapsed="false">
      <c r="A16351" s="1" t="s">
        <v>876</v>
      </c>
      <c r="B16351" s="0" t="s">
        <v>129</v>
      </c>
      <c r="E16351" s="7" t="n">
        <f aca="false">Sens!E16350/Sens!D16350-1</f>
        <v>0.104685888038225</v>
      </c>
      <c r="F16351" s="7" t="n">
        <f aca="false">Sens!$E$16351+(glt_ind-Sens!$E$16351)*MIN(1,(Sens!F16301-base_fy)/n_conv)</f>
        <v>0.0989049066985211</v>
      </c>
      <c r="G16351" s="7" t="n">
        <f aca="false">Sens!$E$16351+(glt_ind-Sens!$E$16351)*MIN(1,(Sens!G16301-base_fy)/n_conv)</f>
        <v>0.0931239253588169</v>
      </c>
      <c r="H16351" s="7" t="n">
        <f aca="false">Sens!$E$16351+(glt_ind-Sens!$E$16351)*MIN(1,(Sens!H16301-base_fy)/n_conv)</f>
        <v>0.0873429440191127</v>
      </c>
      <c r="I16351" s="7" t="n">
        <f aca="false">Sens!$E$16351+(glt_ind-Sens!$E$16351)*MIN(1,(Sens!I16301-base_fy)/n_conv)</f>
        <v>0.0815619626794085</v>
      </c>
      <c r="J16351" s="7" t="n">
        <f aca="false">Sens!$E$16351+(glt_ind-Sens!$E$16351)*MIN(1,(Sens!J16301-base_fy)/n_conv)</f>
        <v>0.0757809813397042</v>
      </c>
      <c r="K16351" s="7" t="n">
        <f aca="false">Sens!$E$16351+(glt_ind-Sens!$E$16351)*MIN(1,(Sens!K16301-base_fy)/n_conv)</f>
        <v>0.07</v>
      </c>
    </row>
    <row r="16352" customFormat="false" ht="15" hidden="false" customHeight="false" outlineLevel="0" collapsed="false">
      <c r="A16352" s="0" t="s">
        <v>886</v>
      </c>
      <c r="B16352" s="0" t="s">
        <v>98</v>
      </c>
      <c r="D16352" s="6" t="n">
        <f aca="false">Q!L10</f>
        <v>7.76</v>
      </c>
      <c r="E16352" s="6" t="n">
        <f aca="false">Q!M10</f>
        <v>8.26</v>
      </c>
      <c r="F16352" s="6" t="n">
        <f aca="false">Sens!E16352*(1+Sens!F16353)</f>
        <v>8.79988041237113</v>
      </c>
      <c r="G16352" s="6" t="n">
        <f aca="false">Sens!F16352*(1+Sens!G16353)</f>
        <v>9.38321269125306</v>
      </c>
      <c r="H16352" s="6" t="n">
        <f aca="false">Sens!G16352*(1+Sens!H16353)</f>
        <v>10.0139193587476</v>
      </c>
      <c r="I16352" s="6" t="n">
        <f aca="false">Sens!H16352*(1+Sens!I16353)</f>
        <v>10.6963111830911</v>
      </c>
      <c r="J16352" s="6" t="n">
        <f aca="false">Sens!I16352*(1+Sens!J16353)</f>
        <v>11.4351285534696</v>
      </c>
      <c r="K16352" s="6" t="n">
        <f aca="false">Sens!J16352*(1+Sens!K16353)</f>
        <v>12.2355875522124</v>
      </c>
    </row>
    <row r="16353" customFormat="false" ht="15" hidden="false" customHeight="false" outlineLevel="0" collapsed="false">
      <c r="A16353" s="1" t="s">
        <v>876</v>
      </c>
      <c r="B16353" s="0" t="s">
        <v>129</v>
      </c>
      <c r="E16353" s="7" t="n">
        <f aca="false">Sens!E16352/Sens!D16352-1</f>
        <v>0.0644329896907216</v>
      </c>
      <c r="F16353" s="7" t="n">
        <f aca="false">Sens!$E$16353+(glt_fro-Sens!$E$16353)*MIN(1,(Sens!F16301-base_fy)/n_conv)</f>
        <v>0.065360824742268</v>
      </c>
      <c r="G16353" s="7" t="n">
        <f aca="false">Sens!$E$16353+(glt_fro-Sens!$E$16353)*MIN(1,(Sens!G16301-base_fy)/n_conv)</f>
        <v>0.0662886597938144</v>
      </c>
      <c r="H16353" s="7" t="n">
        <f aca="false">Sens!$E$16353+(glt_fro-Sens!$E$16353)*MIN(1,(Sens!H16301-base_fy)/n_conv)</f>
        <v>0.0672164948453608</v>
      </c>
      <c r="I16353" s="7" t="n">
        <f aca="false">Sens!$E$16353+(glt_fro-Sens!$E$16353)*MIN(1,(Sens!I16301-base_fy)/n_conv)</f>
        <v>0.0681443298969072</v>
      </c>
      <c r="J16353" s="7" t="n">
        <f aca="false">Sens!$E$16353+(glt_fro-Sens!$E$16353)*MIN(1,(Sens!J16301-base_fy)/n_conv)</f>
        <v>0.0690721649484536</v>
      </c>
      <c r="K16353" s="7" t="n">
        <f aca="false">Sens!$E$16353+(glt_fro-Sens!$E$16353)*MIN(1,(Sens!K16301-base_fy)/n_conv)</f>
        <v>0.07</v>
      </c>
    </row>
    <row r="16354" customFormat="false" ht="15" hidden="false" customHeight="false" outlineLevel="0" collapsed="false">
      <c r="A16354" s="0" t="s">
        <v>715</v>
      </c>
      <c r="B16354" s="0" t="s">
        <v>98</v>
      </c>
      <c r="D16354" s="6" t="n">
        <f aca="false">Sens!D16342+Sens!D16347+Sens!D16348+Sens!D16350+Sens!D16352</f>
        <v>218.783</v>
      </c>
      <c r="E16354" s="6" t="n">
        <f aca="false">Sens!E16342+Sens!E16347+Sens!E16348+Sens!E16350+Sens!E16352</f>
        <v>268.127</v>
      </c>
      <c r="F16354" s="6" t="n">
        <f aca="false">Sens!F16342+Sens!F16347+Sens!F16348+Sens!F16350+Sens!F16352</f>
        <v>328.363433064856</v>
      </c>
      <c r="G16354" s="6" t="n">
        <f aca="false">Sens!G16342+Sens!G16347+Sens!G16348+Sens!G16350+Sens!G16352</f>
        <v>389.269865673274</v>
      </c>
      <c r="H16354" s="6" t="n">
        <f aca="false">Sens!H16342+Sens!H16347+Sens!H16348+Sens!H16350+Sens!H16352</f>
        <v>445.756320871193</v>
      </c>
      <c r="I16354" s="6" t="n">
        <f aca="false">Sens!I16342+Sens!I16347+Sens!I16348+Sens!I16350+Sens!I16352</f>
        <v>504.701226245492</v>
      </c>
      <c r="J16354" s="6" t="n">
        <f aca="false">Sens!J16342+Sens!J16347+Sens!J16348+Sens!J16350+Sens!J16352</f>
        <v>553.716203129521</v>
      </c>
      <c r="K16354" s="6" t="n">
        <f aca="false">Sens!K16342+Sens!K16347+Sens!K16348+Sens!K16350+Sens!K16352</f>
        <v>593.403514189702</v>
      </c>
    </row>
    <row r="16355" customFormat="false" ht="15" hidden="false" customHeight="false" outlineLevel="0" collapsed="false">
      <c r="A16355" s="0" t="s">
        <v>887</v>
      </c>
      <c r="B16355" s="0" t="s">
        <v>98</v>
      </c>
      <c r="D16355" s="6" t="n">
        <f aca="false">Q!L13</f>
        <v>22.171</v>
      </c>
      <c r="E16355" s="6" t="n">
        <f aca="false">Q!M13</f>
        <v>24.835</v>
      </c>
      <c r="F16355" s="6" t="n">
        <f aca="false">Sens!E16355*(1+Sens!F16356)</f>
        <v>27.6114901218559</v>
      </c>
      <c r="G16355" s="6" t="n">
        <f aca="false">Sens!F16355*(1+Sens!G16356)</f>
        <v>30.4675667338515</v>
      </c>
      <c r="H16355" s="6" t="n">
        <f aca="false">Sens!G16355*(1+Sens!H16356)</f>
        <v>33.3643766955789</v>
      </c>
      <c r="I16355" s="6" t="n">
        <f aca="false">Sens!H16355*(1+Sens!I16356)</f>
        <v>36.2577016533691</v>
      </c>
      <c r="J16355" s="6" t="n">
        <f aca="false">Sens!I16355*(1+Sens!J16356)</f>
        <v>39.0988367952171</v>
      </c>
      <c r="K16355" s="6" t="n">
        <f aca="false">Sens!J16355*(1+Sens!K16356)</f>
        <v>41.8357553708823</v>
      </c>
    </row>
    <row r="16356" customFormat="false" ht="15" hidden="false" customHeight="false" outlineLevel="0" collapsed="false">
      <c r="A16356" s="1" t="s">
        <v>876</v>
      </c>
      <c r="B16356" s="0" t="s">
        <v>129</v>
      </c>
      <c r="E16356" s="7" t="n">
        <f aca="false">Sens!E16355/Sens!D16355-1</f>
        <v>0.120156961796942</v>
      </c>
      <c r="F16356" s="7" t="n">
        <f aca="false">Sens!$E$16356+(glt_srch-Sens!$E$16356)*MIN(1,(Sens!F16301-base_fy)/n_conv)</f>
        <v>0.111797468164118</v>
      </c>
      <c r="G16356" s="7" t="n">
        <f aca="false">Sens!$E$16356+(glt_srch-Sens!$E$16356)*MIN(1,(Sens!G16301-base_fy)/n_conv)</f>
        <v>0.103437974531295</v>
      </c>
      <c r="H16356" s="7" t="n">
        <f aca="false">Sens!$E$16356+(glt_srch-Sens!$E$16356)*MIN(1,(Sens!H16301-base_fy)/n_conv)</f>
        <v>0.095078480898471</v>
      </c>
      <c r="I16356" s="7" t="n">
        <f aca="false">Sens!$E$16356+(glt_srch-Sens!$E$16356)*MIN(1,(Sens!I16301-base_fy)/n_conv)</f>
        <v>0.0867189872656474</v>
      </c>
      <c r="J16356" s="7" t="n">
        <f aca="false">Sens!$E$16356+(glt_srch-Sens!$E$16356)*MIN(1,(Sens!J16301-base_fy)/n_conv)</f>
        <v>0.0783594936328237</v>
      </c>
      <c r="K16356" s="7" t="n">
        <f aca="false">Sens!$E$16356+(glt_srch-Sens!$E$16356)*MIN(1,(Sens!K16301-base_fy)/n_conv)</f>
        <v>0.07</v>
      </c>
    </row>
    <row r="16357" customFormat="false" ht="15" hidden="false" customHeight="false" outlineLevel="0" collapsed="false">
      <c r="A16357" s="0" t="s">
        <v>888</v>
      </c>
      <c r="B16357" s="0" t="s">
        <v>98</v>
      </c>
      <c r="D16357" s="6" t="n">
        <f aca="false">Q!L14</f>
        <v>23.455</v>
      </c>
      <c r="E16357" s="6" t="n">
        <f aca="false">Q!M14</f>
        <v>21.79</v>
      </c>
      <c r="F16357" s="6" t="n">
        <f aca="false">Sens!E16357*(1+Sens!F16358)</f>
        <v>20.5736277908051</v>
      </c>
      <c r="G16357" s="6" t="n">
        <f aca="false">Sens!F16357*(1+Sens!G16358)</f>
        <v>19.7371452817919</v>
      </c>
      <c r="H16357" s="6" t="n">
        <f aca="false">Sens!G16357*(1+Sens!H16358)</f>
        <v>19.2339764043138</v>
      </c>
      <c r="I16357" s="6" t="n">
        <f aca="false">Sens!H16357*(1+Sens!I16358)</f>
        <v>19.0353086852681</v>
      </c>
      <c r="J16357" s="6" t="n">
        <f aca="false">Sens!I16357*(1+Sens!J16358)</f>
        <v>19.1273539319129</v>
      </c>
      <c r="K16357" s="6" t="n">
        <f aca="false">Sens!J16357*(1+Sens!K16358)</f>
        <v>19.5099010105511</v>
      </c>
    </row>
    <row r="16358" customFormat="false" ht="15" hidden="false" customHeight="false" outlineLevel="0" collapsed="false">
      <c r="A16358" s="1" t="s">
        <v>876</v>
      </c>
      <c r="B16358" s="0" t="s">
        <v>129</v>
      </c>
      <c r="E16358" s="7" t="n">
        <f aca="false">Sens!E16357/Sens!D16357-1</f>
        <v>-0.0709869963760392</v>
      </c>
      <c r="F16358" s="7" t="n">
        <f aca="false">Sens!$E$16358+(glt_xbox-Sens!$E$16358)*MIN(1,(Sens!F16301-base_fy)/n_conv)</f>
        <v>-0.0558224969800327</v>
      </c>
      <c r="G16358" s="7" t="n">
        <f aca="false">Sens!$E$16358+(glt_xbox-Sens!$E$16358)*MIN(1,(Sens!G16301-base_fy)/n_conv)</f>
        <v>-0.0406579975840262</v>
      </c>
      <c r="H16358" s="7" t="n">
        <f aca="false">Sens!$E$16358+(glt_xbox-Sens!$E$16358)*MIN(1,(Sens!H16301-base_fy)/n_conv)</f>
        <v>-0.0254934981880196</v>
      </c>
      <c r="I16358" s="7" t="n">
        <f aca="false">Sens!$E$16358+(glt_xbox-Sens!$E$16358)*MIN(1,(Sens!I16301-base_fy)/n_conv)</f>
        <v>-0.0103289987920131</v>
      </c>
      <c r="J16358" s="7" t="n">
        <f aca="false">Sens!$E$16358+(glt_xbox-Sens!$E$16358)*MIN(1,(Sens!J16301-base_fy)/n_conv)</f>
        <v>0.00483550060399347</v>
      </c>
      <c r="K16358" s="7" t="n">
        <f aca="false">Sens!$E$16358+(glt_xbox-Sens!$E$16358)*MIN(1,(Sens!K16301-base_fy)/n_conv)</f>
        <v>0.02</v>
      </c>
    </row>
    <row r="16359" customFormat="false" ht="15" hidden="false" customHeight="false" outlineLevel="0" collapsed="false">
      <c r="A16359" s="0" t="s">
        <v>889</v>
      </c>
      <c r="B16359" s="0" t="s">
        <v>98</v>
      </c>
      <c r="D16359" s="6" t="n">
        <f aca="false">Q!L15</f>
        <v>17.315</v>
      </c>
      <c r="E16359" s="6" t="n">
        <f aca="false">Q!M15</f>
        <v>17.087</v>
      </c>
      <c r="F16359" s="6" t="n">
        <f aca="false">Sens!E16359*(1+Sens!F16360)</f>
        <v>16.9564585436519</v>
      </c>
      <c r="G16359" s="6" t="n">
        <f aca="false">Sens!F16359*(1+Sens!G16360)</f>
        <v>16.9206490624268</v>
      </c>
      <c r="H16359" s="6" t="n">
        <f aca="false">Sens!G16359*(1+Sens!H16360)</f>
        <v>16.9784519149849</v>
      </c>
      <c r="I16359" s="6" t="n">
        <f aca="false">Sens!H16359*(1+Sens!I16360)</f>
        <v>17.1303084701817</v>
      </c>
      <c r="J16359" s="6" t="n">
        <f aca="false">Sens!I16359*(1+Sens!J16360)</f>
        <v>17.3782189407267</v>
      </c>
      <c r="K16359" s="6" t="n">
        <f aca="false">Sens!J16359*(1+Sens!K16360)</f>
        <v>17.7257833195413</v>
      </c>
    </row>
    <row r="16360" customFormat="false" ht="15" hidden="false" customHeight="false" outlineLevel="0" collapsed="false">
      <c r="A16360" s="1" t="s">
        <v>876</v>
      </c>
      <c r="B16360" s="0" t="s">
        <v>129</v>
      </c>
      <c r="E16360" s="7" t="n">
        <f aca="false">Sens!E16359/Sens!D16359-1</f>
        <v>-0.0131677736066995</v>
      </c>
      <c r="F16360" s="7" t="n">
        <f aca="false">Sens!$E$16360+(glt_win-Sens!$E$16360)*MIN(1,(Sens!F16301-base_fy)/n_conv)</f>
        <v>-0.00763981133891627</v>
      </c>
      <c r="G16360" s="7" t="n">
        <f aca="false">Sens!$E$16360+(glt_win-Sens!$E$16360)*MIN(1,(Sens!G16301-base_fy)/n_conv)</f>
        <v>-0.00211184907113301</v>
      </c>
      <c r="H16360" s="7" t="n">
        <f aca="false">Sens!$E$16360+(glt_win-Sens!$E$16360)*MIN(1,(Sens!H16301-base_fy)/n_conv)</f>
        <v>0.00341611319665024</v>
      </c>
      <c r="I16360" s="7" t="n">
        <f aca="false">Sens!$E$16360+(glt_win-Sens!$E$16360)*MIN(1,(Sens!I16301-base_fy)/n_conv)</f>
        <v>0.00894407546443349</v>
      </c>
      <c r="J16360" s="7" t="n">
        <f aca="false">Sens!$E$16360+(glt_win-Sens!$E$16360)*MIN(1,(Sens!J16301-base_fy)/n_conv)</f>
        <v>0.0144720377322168</v>
      </c>
      <c r="K16360" s="7" t="n">
        <f aca="false">Sens!$E$16360+(glt_win-Sens!$E$16360)*MIN(1,(Sens!K16301-base_fy)/n_conv)</f>
        <v>0.02</v>
      </c>
    </row>
    <row r="16361" customFormat="false" ht="15" hidden="false" customHeight="false" outlineLevel="0" collapsed="false">
      <c r="A16361" s="0" t="s">
        <v>729</v>
      </c>
      <c r="B16361" s="0" t="s">
        <v>98</v>
      </c>
      <c r="D16361" s="6" t="n">
        <f aca="false">Sens!D16355+Sens!D16357+Sens!D16359</f>
        <v>62.941</v>
      </c>
      <c r="E16361" s="6" t="n">
        <f aca="false">Sens!E16355+Sens!E16357+Sens!E16359</f>
        <v>63.712</v>
      </c>
      <c r="F16361" s="6" t="n">
        <f aca="false">Sens!F16355+Sens!F16357+Sens!F16359</f>
        <v>65.1415764563129</v>
      </c>
      <c r="G16361" s="6" t="n">
        <f aca="false">Sens!G16355+Sens!G16357+Sens!G16359</f>
        <v>67.1253610780702</v>
      </c>
      <c r="H16361" s="6" t="n">
        <f aca="false">Sens!H16355+Sens!H16357+Sens!H16359</f>
        <v>69.5768050148776</v>
      </c>
      <c r="I16361" s="6" t="n">
        <f aca="false">Sens!I16355+Sens!I16357+Sens!I16359</f>
        <v>72.4233188088189</v>
      </c>
      <c r="J16361" s="6" t="n">
        <f aca="false">Sens!J16355+Sens!J16357+Sens!J16359</f>
        <v>75.6044096678567</v>
      </c>
      <c r="K16361" s="6" t="n">
        <f aca="false">Sens!K16355+Sens!K16357+Sens!K16359</f>
        <v>79.0714397009747</v>
      </c>
    </row>
    <row r="16362" customFormat="false" ht="15" hidden="false" customHeight="false" outlineLevel="0" collapsed="false">
      <c r="A16362" s="1" t="s">
        <v>890</v>
      </c>
      <c r="B16362" s="0" t="s">
        <v>98</v>
      </c>
      <c r="D16362" s="6" t="n">
        <f aca="false">Sens!D16354+Sens!D16361</f>
        <v>281.724</v>
      </c>
      <c r="E16362" s="6" t="n">
        <f aca="false">Sens!E16354+Sens!E16361</f>
        <v>331.839</v>
      </c>
      <c r="F16362" s="6" t="n">
        <f aca="false">Sens!F16354+Sens!F16361</f>
        <v>393.505009521169</v>
      </c>
      <c r="G16362" s="6" t="n">
        <f aca="false">Sens!G16354+Sens!G16361</f>
        <v>456.395226751344</v>
      </c>
      <c r="H16362" s="6" t="n">
        <f aca="false">Sens!H16354+Sens!H16361</f>
        <v>515.333125886071</v>
      </c>
      <c r="I16362" s="6" t="n">
        <f aca="false">Sens!I16354+Sens!I16361</f>
        <v>577.124545054311</v>
      </c>
      <c r="J16362" s="6" t="n">
        <f aca="false">Sens!J16354+Sens!J16361</f>
        <v>629.320612797378</v>
      </c>
      <c r="K16362" s="6" t="n">
        <f aca="false">Sens!K16354+Sens!K16361</f>
        <v>672.474953890677</v>
      </c>
    </row>
    <row r="16363" customFormat="false" ht="15" hidden="false" customHeight="false" outlineLevel="0" collapsed="false">
      <c r="A16363" s="23" t="s">
        <v>891</v>
      </c>
      <c r="B16363" s="30" t="s">
        <v>98</v>
      </c>
      <c r="C16363" s="30"/>
      <c r="D16363" s="24" t="n">
        <f aca="false">(Sens!D16342+Sens!D16347+Sens!D16348+Sens!D16350+Sens!D16352-Sens!D16354)+(Sens!D16355+Sens!D16357+Sens!D16359-Sens!D16361)+(Sens!D16354-Q!L5)+(Sens!D16361-Q!L12)+(Sens!D16342-Q!L6)+(Sens!D16347-Q!L7)</f>
        <v>0</v>
      </c>
      <c r="E16363" s="24" t="n">
        <f aca="false">(Sens!E16342+Sens!E16347+Sens!E16348+Sens!E16350+Sens!E16352-Sens!E16354)+(Sens!E16355+Sens!E16357+Sens!E16359-Sens!E16361)+(Sens!E16354-Q!M5)+(Sens!E16361-Q!M12)+(Sens!E16342-Q!M6)+(Sens!E16347-Q!M7)</f>
        <v>0</v>
      </c>
      <c r="F16363" s="24" t="n">
        <f aca="false">(Sens!F16342+Sens!F16347+Sens!F16348+Sens!F16350+Sens!F16352-Sens!F16354)+(Sens!F16355+Sens!F16357+Sens!F16359-Sens!F16361)</f>
        <v>0</v>
      </c>
      <c r="G16363" s="24" t="n">
        <f aca="false">(Sens!G16342+Sens!G16347+Sens!G16348+Sens!G16350+Sens!G16352-Sens!G16354)+(Sens!G16355+Sens!G16357+Sens!G16359-Sens!G16361)</f>
        <v>0</v>
      </c>
      <c r="H16363" s="24" t="n">
        <f aca="false">(Sens!H16342+Sens!H16347+Sens!H16348+Sens!H16350+Sens!H16352-Sens!H16354)+(Sens!H16355+Sens!H16357+Sens!H16359-Sens!H16361)</f>
        <v>0</v>
      </c>
      <c r="I16363" s="24" t="n">
        <f aca="false">(Sens!I16342+Sens!I16347+Sens!I16348+Sens!I16350+Sens!I16352-Sens!I16354)+(Sens!I16355+Sens!I16357+Sens!I16359-Sens!I16361)</f>
        <v>0</v>
      </c>
      <c r="J16363" s="24" t="n">
        <f aca="false">(Sens!J16342+Sens!J16347+Sens!J16348+Sens!J16350+Sens!J16352-Sens!J16354)+(Sens!J16355+Sens!J16357+Sens!J16359-Sens!J16361)</f>
        <v>0</v>
      </c>
      <c r="K16363" s="24" t="n">
        <f aca="false">(Sens!K16342+Sens!K16347+Sens!K16348+Sens!K16350+Sens!K16352-Sens!K16354)+(Sens!K16355+Sens!K16357+Sens!K16359-Sens!K16361)</f>
        <v>0</v>
      </c>
    </row>
    <row r="16364" customFormat="false" ht="17.15" hidden="false" customHeight="false" outlineLevel="0" collapsed="false">
      <c r="A16364" s="3" t="s">
        <v>1678</v>
      </c>
    </row>
    <row r="16365" customFormat="false" ht="15" hidden="false" customHeight="false" outlineLevel="0" collapsed="false">
      <c r="A16365" s="4" t="s">
        <v>43</v>
      </c>
      <c r="B16365" s="4" t="s">
        <v>65</v>
      </c>
      <c r="C16365" s="20" t="s">
        <v>799</v>
      </c>
      <c r="D16365" s="20" t="s">
        <v>800</v>
      </c>
      <c r="E16365" s="20" t="s">
        <v>801</v>
      </c>
      <c r="F16365" s="20" t="s">
        <v>802</v>
      </c>
      <c r="G16365" s="20" t="s">
        <v>803</v>
      </c>
      <c r="H16365" s="20" t="s">
        <v>804</v>
      </c>
      <c r="I16365" s="20" t="s">
        <v>805</v>
      </c>
      <c r="J16365" s="20" t="s">
        <v>806</v>
      </c>
      <c r="K16365" s="20" t="s">
        <v>807</v>
      </c>
      <c r="L16365" s="4" t="s">
        <v>47</v>
      </c>
    </row>
    <row r="16366" customFormat="false" ht="15" hidden="false" customHeight="false" outlineLevel="0" collapsed="false">
      <c r="A16366" s="0" t="s">
        <v>877</v>
      </c>
      <c r="B16366" s="0" t="s">
        <v>98</v>
      </c>
      <c r="D16366" s="6" t="n">
        <f aca="false">Sens!D16342</f>
        <v>72.61</v>
      </c>
      <c r="E16366" s="6" t="n">
        <f aca="false">Sens!E16342</f>
        <v>101.938</v>
      </c>
      <c r="F16366" s="6" t="n">
        <f aca="false">Sens!F16342</f>
        <v>140.741861125673</v>
      </c>
      <c r="G16366" s="6" t="n">
        <f aca="false">Sens!G16342</f>
        <v>182.176709135845</v>
      </c>
      <c r="H16366" s="6" t="n">
        <f aca="false">Sens!H16342</f>
        <v>219.167638189678</v>
      </c>
      <c r="I16366" s="6" t="n">
        <f aca="false">Sens!I16342</f>
        <v>259.639871266006</v>
      </c>
      <c r="J16366" s="6" t="n">
        <f aca="false">Sens!J16342</f>
        <v>291.525306025352</v>
      </c>
      <c r="K16366" s="6" t="n">
        <f aca="false">Sens!K16342</f>
        <v>315.009444849526</v>
      </c>
    </row>
    <row r="16367" customFormat="false" ht="17.15" hidden="false" customHeight="false" outlineLevel="0" collapsed="false">
      <c r="A16367" s="0" t="s">
        <v>874</v>
      </c>
      <c r="B16367" s="0" t="s">
        <v>98</v>
      </c>
      <c r="D16367" s="6" t="n">
        <f aca="false">Sens!D16339</f>
        <v>12.9359794422418</v>
      </c>
      <c r="E16367" s="6" t="n">
        <f aca="false">Sens!E16339</f>
        <v>27.8095064661409</v>
      </c>
      <c r="F16367" s="6" t="n">
        <f aca="false">Sens!F16339</f>
        <v>50.6619113883066</v>
      </c>
      <c r="G16367" s="6" t="n">
        <f aca="false">Sens!G16339</f>
        <v>75.1482839325348</v>
      </c>
      <c r="H16367" s="6" t="n">
        <f aca="false">Sens!H16339</f>
        <v>94.895655604042</v>
      </c>
      <c r="I16367" s="6" t="n">
        <f aca="false">Sens!I16339</f>
        <v>118.706168884151</v>
      </c>
      <c r="J16367" s="6" t="n">
        <f aca="false">Sens!J16339</f>
        <v>135.50643871102</v>
      </c>
      <c r="K16367" s="6" t="n">
        <f aca="false">Sens!K16339</f>
        <v>146.509068150048</v>
      </c>
    </row>
    <row r="16368" customFormat="false" ht="17.15" hidden="false" customHeight="false" outlineLevel="0" collapsed="false">
      <c r="A16368" s="0" t="s">
        <v>902</v>
      </c>
      <c r="B16368" s="0" t="s">
        <v>98</v>
      </c>
      <c r="D16368" s="6" t="n">
        <f aca="false">Sens!D16340</f>
        <v>59.6740205577583</v>
      </c>
      <c r="E16368" s="6" t="n">
        <f aca="false">Sens!E16340</f>
        <v>74.1284935338591</v>
      </c>
      <c r="F16368" s="6" t="n">
        <f aca="false">Sens!F16340</f>
        <v>90.0799497373663</v>
      </c>
      <c r="G16368" s="6" t="n">
        <f aca="false">Sens!G16340</f>
        <v>107.02842520331</v>
      </c>
      <c r="H16368" s="6" t="n">
        <f aca="false">Sens!H16340</f>
        <v>124.271982585636</v>
      </c>
      <c r="I16368" s="6" t="n">
        <f aca="false">Sens!I16340</f>
        <v>140.933702381855</v>
      </c>
      <c r="J16368" s="6" t="n">
        <f aca="false">Sens!J16340</f>
        <v>156.018867314332</v>
      </c>
      <c r="K16368" s="6" t="n">
        <f aca="false">Sens!K16340</f>
        <v>168.500376699478</v>
      </c>
    </row>
    <row r="16369" customFormat="false" ht="15" hidden="false" customHeight="false" outlineLevel="0" collapsed="false">
      <c r="A16369" s="0" t="s">
        <v>883</v>
      </c>
      <c r="B16369" s="0" t="s">
        <v>98</v>
      </c>
      <c r="D16369" s="6" t="n">
        <f aca="false">Sens!D16347</f>
        <v>84.605</v>
      </c>
      <c r="E16369" s="6" t="n">
        <f aca="false">Sens!E16347</f>
        <v>100.299</v>
      </c>
      <c r="F16369" s="6" t="n">
        <f aca="false">Sens!F16347</f>
        <v>117.39238776686</v>
      </c>
      <c r="G16369" s="6" t="n">
        <f aca="false">Sens!G16347</f>
        <v>132.544168448684</v>
      </c>
      <c r="H16369" s="6" t="n">
        <f aca="false">Sens!H16347</f>
        <v>147.777359388781</v>
      </c>
      <c r="I16369" s="6" t="n">
        <f aca="false">Sens!I16347</f>
        <v>162.084028071957</v>
      </c>
      <c r="J16369" s="6" t="n">
        <f aca="false">Sens!J16347</f>
        <v>175.182702785465</v>
      </c>
      <c r="K16369" s="6" t="n">
        <f aca="false">Sens!K16347</f>
        <v>187.527991980448</v>
      </c>
    </row>
    <row r="16370" customFormat="false" ht="17.15" hidden="false" customHeight="false" outlineLevel="0" collapsed="false">
      <c r="A16370" s="0" t="s">
        <v>903</v>
      </c>
      <c r="B16370" s="0" t="s">
        <v>98</v>
      </c>
      <c r="D16370" s="6" t="n">
        <f aca="false">Sens!D16345</f>
        <v>83.705</v>
      </c>
      <c r="E16370" s="6" t="n">
        <f aca="false">Sens!E16345</f>
        <v>95.049</v>
      </c>
      <c r="F16370" s="6" t="n">
        <f aca="false">Sens!F16345</f>
        <v>106.89238776686</v>
      </c>
      <c r="G16370" s="6" t="n">
        <f aca="false">Sens!G16345</f>
        <v>119.044168448684</v>
      </c>
      <c r="H16370" s="6" t="n">
        <f aca="false">Sens!H16345</f>
        <v>131.277359388781</v>
      </c>
      <c r="I16370" s="6" t="n">
        <f aca="false">Sens!I16345</f>
        <v>143.334028071957</v>
      </c>
      <c r="J16370" s="6" t="n">
        <f aca="false">Sens!J16345</f>
        <v>154.932702785465</v>
      </c>
      <c r="K16370" s="6" t="n">
        <f aca="false">Sens!K16345</f>
        <v>165.777991980448</v>
      </c>
    </row>
    <row r="16371" customFormat="false" ht="17.15" hidden="false" customHeight="false" outlineLevel="0" collapsed="false">
      <c r="A16371" s="0" t="s">
        <v>904</v>
      </c>
      <c r="B16371" s="0" t="s">
        <v>98</v>
      </c>
      <c r="D16371" s="6" t="n">
        <f aca="false">Sens!D16344</f>
        <v>0.9</v>
      </c>
      <c r="E16371" s="6" t="n">
        <f aca="false">Sens!E16344</f>
        <v>5.25</v>
      </c>
      <c r="F16371" s="6" t="n">
        <f aca="false">Sens!F16344</f>
        <v>10.5</v>
      </c>
      <c r="G16371" s="6" t="n">
        <f aca="false">Sens!G16344</f>
        <v>13.5</v>
      </c>
      <c r="H16371" s="6" t="n">
        <f aca="false">Sens!H16344</f>
        <v>16.5</v>
      </c>
      <c r="I16371" s="6" t="n">
        <f aca="false">Sens!I16344</f>
        <v>18.75</v>
      </c>
      <c r="J16371" s="6" t="n">
        <f aca="false">Sens!J16344</f>
        <v>20.25</v>
      </c>
      <c r="K16371" s="6" t="n">
        <f aca="false">Sens!K16344</f>
        <v>21.75</v>
      </c>
    </row>
    <row r="16372" customFormat="false" ht="15" hidden="false" customHeight="false" outlineLevel="0" collapsed="false">
      <c r="A16372" s="0" t="s">
        <v>884</v>
      </c>
      <c r="B16372" s="0" t="s">
        <v>98</v>
      </c>
      <c r="D16372" s="6" t="n">
        <f aca="false">Sens!D16348</f>
        <v>35.391</v>
      </c>
      <c r="E16372" s="6" t="n">
        <f aca="false">Sens!E16348</f>
        <v>37.285</v>
      </c>
      <c r="F16372" s="6" t="n">
        <f aca="false">Sens!F16348</f>
        <v>39.0720834331704</v>
      </c>
      <c r="G16372" s="6" t="n">
        <f aca="false">Sens!G16348</f>
        <v>40.726562953769</v>
      </c>
      <c r="H16372" s="6" t="n">
        <f aca="false">Sens!H16348</f>
        <v>42.2235987259198</v>
      </c>
      <c r="I16372" s="6" t="n">
        <f aca="false">Sens!I16348</f>
        <v>43.5397988077414</v>
      </c>
      <c r="J16372" s="6" t="n">
        <f aca="false">Sens!J16348</f>
        <v>44.653811225693</v>
      </c>
      <c r="K16372" s="6" t="n">
        <f aca="false">Sens!K16348</f>
        <v>45.5468874502068</v>
      </c>
    </row>
    <row r="16373" customFormat="false" ht="15" hidden="false" customHeight="false" outlineLevel="0" collapsed="false">
      <c r="A16373" s="0" t="s">
        <v>885</v>
      </c>
      <c r="B16373" s="0" t="s">
        <v>98</v>
      </c>
      <c r="D16373" s="6" t="n">
        <f aca="false">Sens!D16350</f>
        <v>18.417</v>
      </c>
      <c r="E16373" s="6" t="n">
        <f aca="false">Sens!E16350</f>
        <v>20.345</v>
      </c>
      <c r="F16373" s="6" t="n">
        <f aca="false">Sens!F16350</f>
        <v>22.3572203267814</v>
      </c>
      <c r="G16373" s="6" t="n">
        <f aca="false">Sens!G16350</f>
        <v>24.4392124437232</v>
      </c>
      <c r="H16373" s="6" t="n">
        <f aca="false">Sens!H16350</f>
        <v>26.5738052080665</v>
      </c>
      <c r="I16373" s="6" t="n">
        <f aca="false">Sens!I16350</f>
        <v>28.7412169166967</v>
      </c>
      <c r="J16373" s="6" t="n">
        <f aca="false">Sens!J16350</f>
        <v>30.9192545395413</v>
      </c>
      <c r="K16373" s="6" t="n">
        <f aca="false">Sens!K16350</f>
        <v>33.0836023573092</v>
      </c>
    </row>
    <row r="16374" customFormat="false" ht="15" hidden="false" customHeight="false" outlineLevel="0" collapsed="false">
      <c r="A16374" s="0" t="s">
        <v>886</v>
      </c>
      <c r="B16374" s="0" t="s">
        <v>98</v>
      </c>
      <c r="D16374" s="6" t="n">
        <f aca="false">Sens!D16352</f>
        <v>7.76</v>
      </c>
      <c r="E16374" s="6" t="n">
        <f aca="false">Sens!E16352</f>
        <v>8.26</v>
      </c>
      <c r="F16374" s="6" t="n">
        <f aca="false">Sens!F16352</f>
        <v>8.79988041237113</v>
      </c>
      <c r="G16374" s="6" t="n">
        <f aca="false">Sens!G16352</f>
        <v>9.38321269125306</v>
      </c>
      <c r="H16374" s="6" t="n">
        <f aca="false">Sens!H16352</f>
        <v>10.0139193587476</v>
      </c>
      <c r="I16374" s="6" t="n">
        <f aca="false">Sens!I16352</f>
        <v>10.6963111830911</v>
      </c>
      <c r="J16374" s="6" t="n">
        <f aca="false">Sens!J16352</f>
        <v>11.4351285534696</v>
      </c>
      <c r="K16374" s="6" t="n">
        <f aca="false">Sens!K16352</f>
        <v>12.2355875522124</v>
      </c>
    </row>
    <row r="16375" customFormat="false" ht="15" hidden="false" customHeight="false" outlineLevel="0" collapsed="false">
      <c r="A16375" s="0" t="s">
        <v>715</v>
      </c>
      <c r="B16375" s="0" t="s">
        <v>98</v>
      </c>
      <c r="D16375" s="6" t="n">
        <f aca="false">Sens!D16354</f>
        <v>218.783</v>
      </c>
      <c r="E16375" s="6" t="n">
        <f aca="false">Sens!E16354</f>
        <v>268.127</v>
      </c>
      <c r="F16375" s="6" t="n">
        <f aca="false">Sens!F16354</f>
        <v>328.363433064856</v>
      </c>
      <c r="G16375" s="6" t="n">
        <f aca="false">Sens!G16354</f>
        <v>389.269865673274</v>
      </c>
      <c r="H16375" s="6" t="n">
        <f aca="false">Sens!H16354</f>
        <v>445.756320871193</v>
      </c>
      <c r="I16375" s="6" t="n">
        <f aca="false">Sens!I16354</f>
        <v>504.701226245492</v>
      </c>
      <c r="J16375" s="6" t="n">
        <f aca="false">Sens!J16354</f>
        <v>553.716203129521</v>
      </c>
      <c r="K16375" s="6" t="n">
        <f aca="false">Sens!K16354</f>
        <v>593.403514189702</v>
      </c>
    </row>
    <row r="16376" customFormat="false" ht="15" hidden="false" customHeight="false" outlineLevel="0" collapsed="false">
      <c r="A16376" s="0" t="s">
        <v>887</v>
      </c>
      <c r="B16376" s="0" t="s">
        <v>98</v>
      </c>
      <c r="D16376" s="6" t="n">
        <f aca="false">Sens!D16355</f>
        <v>22.171</v>
      </c>
      <c r="E16376" s="6" t="n">
        <f aca="false">Sens!E16355</f>
        <v>24.835</v>
      </c>
      <c r="F16376" s="6" t="n">
        <f aca="false">Sens!F16355</f>
        <v>27.6114901218559</v>
      </c>
      <c r="G16376" s="6" t="n">
        <f aca="false">Sens!G16355</f>
        <v>30.4675667338515</v>
      </c>
      <c r="H16376" s="6" t="n">
        <f aca="false">Sens!H16355</f>
        <v>33.3643766955789</v>
      </c>
      <c r="I16376" s="6" t="n">
        <f aca="false">Sens!I16355</f>
        <v>36.2577016533691</v>
      </c>
      <c r="J16376" s="6" t="n">
        <f aca="false">Sens!J16355</f>
        <v>39.0988367952171</v>
      </c>
      <c r="K16376" s="6" t="n">
        <f aca="false">Sens!K16355</f>
        <v>41.8357553708823</v>
      </c>
    </row>
    <row r="16377" customFormat="false" ht="15" hidden="false" customHeight="false" outlineLevel="0" collapsed="false">
      <c r="A16377" s="0" t="s">
        <v>888</v>
      </c>
      <c r="B16377" s="0" t="s">
        <v>98</v>
      </c>
      <c r="D16377" s="6" t="n">
        <f aca="false">Sens!D16357</f>
        <v>23.455</v>
      </c>
      <c r="E16377" s="6" t="n">
        <f aca="false">Sens!E16357</f>
        <v>21.79</v>
      </c>
      <c r="F16377" s="6" t="n">
        <f aca="false">Sens!F16357</f>
        <v>20.5736277908051</v>
      </c>
      <c r="G16377" s="6" t="n">
        <f aca="false">Sens!G16357</f>
        <v>19.7371452817919</v>
      </c>
      <c r="H16377" s="6" t="n">
        <f aca="false">Sens!H16357</f>
        <v>19.2339764043138</v>
      </c>
      <c r="I16377" s="6" t="n">
        <f aca="false">Sens!I16357</f>
        <v>19.0353086852681</v>
      </c>
      <c r="J16377" s="6" t="n">
        <f aca="false">Sens!J16357</f>
        <v>19.1273539319129</v>
      </c>
      <c r="K16377" s="6" t="n">
        <f aca="false">Sens!K16357</f>
        <v>19.5099010105511</v>
      </c>
    </row>
    <row r="16378" customFormat="false" ht="15" hidden="false" customHeight="false" outlineLevel="0" collapsed="false">
      <c r="A16378" s="0" t="s">
        <v>889</v>
      </c>
      <c r="B16378" s="0" t="s">
        <v>98</v>
      </c>
      <c r="D16378" s="6" t="n">
        <f aca="false">Sens!D16359</f>
        <v>17.315</v>
      </c>
      <c r="E16378" s="6" t="n">
        <f aca="false">Sens!E16359</f>
        <v>17.087</v>
      </c>
      <c r="F16378" s="6" t="n">
        <f aca="false">Sens!F16359</f>
        <v>16.9564585436519</v>
      </c>
      <c r="G16378" s="6" t="n">
        <f aca="false">Sens!G16359</f>
        <v>16.9206490624268</v>
      </c>
      <c r="H16378" s="6" t="n">
        <f aca="false">Sens!H16359</f>
        <v>16.9784519149849</v>
      </c>
      <c r="I16378" s="6" t="n">
        <f aca="false">Sens!I16359</f>
        <v>17.1303084701817</v>
      </c>
      <c r="J16378" s="6" t="n">
        <f aca="false">Sens!J16359</f>
        <v>17.3782189407267</v>
      </c>
      <c r="K16378" s="6" t="n">
        <f aca="false">Sens!K16359</f>
        <v>17.7257833195413</v>
      </c>
    </row>
    <row r="16379" customFormat="false" ht="15" hidden="false" customHeight="false" outlineLevel="0" collapsed="false">
      <c r="A16379" s="0" t="s">
        <v>729</v>
      </c>
      <c r="B16379" s="0" t="s">
        <v>98</v>
      </c>
      <c r="D16379" s="6" t="n">
        <f aca="false">Sens!D16361</f>
        <v>62.941</v>
      </c>
      <c r="E16379" s="6" t="n">
        <f aca="false">Sens!E16361</f>
        <v>63.712</v>
      </c>
      <c r="F16379" s="6" t="n">
        <f aca="false">Sens!F16361</f>
        <v>65.1415764563129</v>
      </c>
      <c r="G16379" s="6" t="n">
        <f aca="false">Sens!G16361</f>
        <v>67.1253610780702</v>
      </c>
      <c r="H16379" s="6" t="n">
        <f aca="false">Sens!H16361</f>
        <v>69.5768050148776</v>
      </c>
      <c r="I16379" s="6" t="n">
        <f aca="false">Sens!I16361</f>
        <v>72.4233188088189</v>
      </c>
      <c r="J16379" s="6" t="n">
        <f aca="false">Sens!J16361</f>
        <v>75.6044096678567</v>
      </c>
      <c r="K16379" s="6" t="n">
        <f aca="false">Sens!K16361</f>
        <v>79.0714397009747</v>
      </c>
    </row>
    <row r="16380" customFormat="false" ht="15" hidden="false" customHeight="false" outlineLevel="0" collapsed="false">
      <c r="A16380" s="1" t="s">
        <v>905</v>
      </c>
      <c r="B16380" s="0" t="s">
        <v>98</v>
      </c>
      <c r="D16380" s="6" t="n">
        <f aca="false">Sens!D16362</f>
        <v>281.724</v>
      </c>
      <c r="E16380" s="6" t="n">
        <f aca="false">Sens!E16362</f>
        <v>331.839</v>
      </c>
      <c r="F16380" s="6" t="n">
        <f aca="false">Sens!F16362</f>
        <v>393.505009521169</v>
      </c>
      <c r="G16380" s="6" t="n">
        <f aca="false">Sens!G16362</f>
        <v>456.395226751344</v>
      </c>
      <c r="H16380" s="6" t="n">
        <f aca="false">Sens!H16362</f>
        <v>515.333125886071</v>
      </c>
      <c r="I16380" s="6" t="n">
        <f aca="false">Sens!I16362</f>
        <v>577.124545054311</v>
      </c>
      <c r="J16380" s="6" t="n">
        <f aca="false">Sens!J16362</f>
        <v>629.320612797378</v>
      </c>
      <c r="K16380" s="6" t="n">
        <f aca="false">Sens!K16362</f>
        <v>672.474953890677</v>
      </c>
    </row>
    <row r="16381" customFormat="false" ht="15" hidden="false" customHeight="false" outlineLevel="0" collapsed="false">
      <c r="A16381" s="1" t="s">
        <v>906</v>
      </c>
      <c r="B16381" s="0" t="s">
        <v>129</v>
      </c>
      <c r="E16381" s="7" t="n">
        <f aca="false">Sens!E16380/Sens!D16380-1</f>
        <v>0.177886867998467</v>
      </c>
      <c r="F16381" s="7" t="n">
        <f aca="false">Sens!F16380/Sens!E16380-1</f>
        <v>0.185831109427067</v>
      </c>
      <c r="G16381" s="7" t="n">
        <f aca="false">Sens!G16380/Sens!F16380-1</f>
        <v>0.159820626697237</v>
      </c>
      <c r="H16381" s="7" t="n">
        <f aca="false">Sens!H16380/Sens!G16380-1</f>
        <v>0.129137851756801</v>
      </c>
      <c r="I16381" s="7" t="n">
        <f aca="false">Sens!I16380/Sens!H16380-1</f>
        <v>0.119905777572508</v>
      </c>
      <c r="J16381" s="7" t="n">
        <f aca="false">Sens!J16380/Sens!I16380-1</f>
        <v>0.0904416008474471</v>
      </c>
      <c r="K16381" s="7" t="n">
        <f aca="false">Sens!K16380/Sens!J16380-1</f>
        <v>0.0685729026123501</v>
      </c>
    </row>
    <row r="16382" customFormat="false" ht="17.15" hidden="false" customHeight="false" outlineLevel="0" collapsed="false">
      <c r="A16382" s="23" t="s">
        <v>907</v>
      </c>
      <c r="B16382" s="30" t="s">
        <v>98</v>
      </c>
      <c r="C16382" s="30"/>
      <c r="D16382" s="24" t="n">
        <f aca="false">(Sens!D16375+Sens!D16379-Sens!D16380)+(Sens!D16367+Sens!D16368-Sens!D16366)+(Sens!D16370+Sens!D16371-Sens!D16369)+(Sens!D16380-Q!L18)</f>
        <v>0</v>
      </c>
      <c r="E16382" s="24" t="n">
        <f aca="false">(Sens!E16375+Sens!E16379-Sens!E16380)+(Sens!E16367+Sens!E16368-Sens!E16366)+(Sens!E16370+Sens!E16371-Sens!E16369)+(Sens!E16380-Q!M18)</f>
        <v>0</v>
      </c>
      <c r="F16382" s="24" t="n">
        <f aca="false">(Sens!F16375+Sens!F16379-Sens!F16380)+(Sens!F16367+Sens!F16368-Sens!F16366)+(Sens!F16370+Sens!F16371-Sens!F16369)</f>
        <v>0</v>
      </c>
      <c r="G16382" s="24" t="n">
        <f aca="false">(Sens!G16375+Sens!G16379-Sens!G16380)+(Sens!G16367+Sens!G16368-Sens!G16366)+(Sens!G16370+Sens!G16371-Sens!G16369)</f>
        <v>0</v>
      </c>
      <c r="H16382" s="24" t="n">
        <f aca="false">(Sens!H16375+Sens!H16379-Sens!H16380)+(Sens!H16367+Sens!H16368-Sens!H16366)+(Sens!H16370+Sens!H16371-Sens!H16369)</f>
        <v>0</v>
      </c>
      <c r="I16382" s="24" t="n">
        <f aca="false">(Sens!I16375+Sens!I16379-Sens!I16380)+(Sens!I16367+Sens!I16368-Sens!I16366)+(Sens!I16370+Sens!I16371-Sens!I16369)</f>
        <v>0</v>
      </c>
      <c r="J16382" s="24" t="n">
        <f aca="false">(Sens!J16375+Sens!J16379-Sens!J16380)+(Sens!J16367+Sens!J16368-Sens!J16366)+(Sens!J16370+Sens!J16371-Sens!J16369)</f>
        <v>0</v>
      </c>
      <c r="K16382" s="24" t="n">
        <f aca="false">(Sens!K16375+Sens!K16379-Sens!K16380)+(Sens!K16367+Sens!K16368-Sens!K16366)+(Sens!K16370+Sens!K16371-Sens!K16369)</f>
        <v>0</v>
      </c>
    </row>
    <row r="16383" customFormat="false" ht="17.15" hidden="false" customHeight="false" outlineLevel="0" collapsed="false">
      <c r="A16383" s="0" t="s">
        <v>908</v>
      </c>
      <c r="B16383" s="0" t="s">
        <v>129</v>
      </c>
      <c r="E16383" s="7" t="n">
        <f aca="false">(Q!M21+Sens!E16320+Sens!E16321+Sens!E16322+Sens!E16335-Sens!E16318)/(Q!M5-Sens!E16318)</f>
        <v>0.570957350878296</v>
      </c>
      <c r="F16383" s="7" t="n">
        <f aca="false">Sens!$E$16383+dm_seg</f>
        <v>0.570957350878296</v>
      </c>
      <c r="G16383" s="7" t="n">
        <f aca="false">Sens!$E$16383+dm_seg</f>
        <v>0.570957350878296</v>
      </c>
      <c r="H16383" s="7" t="n">
        <f aca="false">Sens!$E$16383+dm_seg</f>
        <v>0.570957350878296</v>
      </c>
      <c r="I16383" s="7" t="n">
        <f aca="false">Sens!$E$16383+dm_seg</f>
        <v>0.570957350878296</v>
      </c>
      <c r="J16383" s="7" t="n">
        <f aca="false">Sens!$E$16383+dm_seg</f>
        <v>0.570957350878296</v>
      </c>
      <c r="K16383" s="7" t="n">
        <f aca="false">Sens!$E$16383+dm_seg</f>
        <v>0.570957350878296</v>
      </c>
      <c r="L16383" s="11" t="s">
        <v>909</v>
      </c>
    </row>
    <row r="16384" customFormat="false" ht="17.15" hidden="false" customHeight="false" outlineLevel="0" collapsed="false">
      <c r="A16384" s="0" t="s">
        <v>743</v>
      </c>
      <c r="B16384" s="0" t="s">
        <v>98</v>
      </c>
      <c r="D16384" s="6" t="n">
        <f aca="false">Q!L21</f>
        <v>110.814</v>
      </c>
      <c r="E16384" s="6" t="n">
        <f aca="false">Q!M21</f>
        <v>136.365</v>
      </c>
      <c r="F16384" s="6" t="n">
        <f aca="false">Sens!F16383*(Sens!F16354-Sens!F16318)+Sens!F16318-(Sens!F16320+Sens!F16321+Sens!F16322)-Sens!F16335-Sens!F16418</f>
        <v>152.327104707477</v>
      </c>
      <c r="G16384" s="6" t="n">
        <f aca="false">Sens!G16383*(Sens!G16354-Sens!G16318)+Sens!G16318-(Sens!G16320+Sens!G16321+Sens!G16322)-Sens!G16335-Sens!G16418</f>
        <v>160.284158901175</v>
      </c>
      <c r="H16384" s="6" t="n">
        <f aca="false">Sens!H16383*(Sens!H16354-Sens!H16318)+Sens!H16318-(Sens!H16320+Sens!H16321+Sens!H16322)-Sens!H16335-Sens!H16418</f>
        <v>162.575399324207</v>
      </c>
      <c r="I16384" s="6" t="n">
        <f aca="false">Sens!I16383*(Sens!I16354-Sens!I16318)+Sens!I16318-(Sens!I16320+Sens!I16321+Sens!I16322)-Sens!I16335-Sens!I16418</f>
        <v>172.501622225583</v>
      </c>
      <c r="J16384" s="6" t="n">
        <f aca="false">Sens!J16383*(Sens!J16354-Sens!J16318)+Sens!J16318-(Sens!J16320+Sens!J16321+Sens!J16322)-Sens!J16335-Sens!J16418</f>
        <v>183.685149552654</v>
      </c>
      <c r="K16384" s="6" t="n">
        <f aca="false">Sens!K16383*(Sens!K16354-Sens!K16318)+Sens!K16318-(Sens!K16320+Sens!K16321+Sens!K16322)-Sens!K16335-Sens!K16418</f>
        <v>196.151004271883</v>
      </c>
      <c r="L16384" s="1" t="s">
        <v>910</v>
      </c>
    </row>
    <row r="16385" customFormat="false" ht="17.15" hidden="false" customHeight="false" outlineLevel="0" collapsed="false">
      <c r="A16385" s="0" t="s">
        <v>911</v>
      </c>
      <c r="B16385" s="0" t="s">
        <v>129</v>
      </c>
      <c r="E16385" s="7" t="n">
        <f aca="false">Q!M22/Q!M12</f>
        <v>0.296207935710698</v>
      </c>
      <c r="F16385" s="7" t="n">
        <f aca="false">Sens!$E$16385+dm_seg</f>
        <v>0.296207935710698</v>
      </c>
      <c r="G16385" s="7" t="n">
        <f aca="false">Sens!$E$16385+dm_seg</f>
        <v>0.296207935710698</v>
      </c>
      <c r="H16385" s="7" t="n">
        <f aca="false">Sens!$E$16385+dm_seg</f>
        <v>0.296207935710698</v>
      </c>
      <c r="I16385" s="7" t="n">
        <f aca="false">Sens!$E$16385+dm_seg</f>
        <v>0.296207935710698</v>
      </c>
      <c r="J16385" s="7" t="n">
        <f aca="false">Sens!$E$16385+dm_seg</f>
        <v>0.296207935710698</v>
      </c>
      <c r="K16385" s="7" t="n">
        <f aca="false">Sens!$E$16385+dm_seg</f>
        <v>0.296207935710698</v>
      </c>
      <c r="L16385" s="11" t="s">
        <v>912</v>
      </c>
    </row>
    <row r="16386" customFormat="false" ht="17.15" hidden="false" customHeight="false" outlineLevel="0" collapsed="false">
      <c r="A16386" s="0" t="s">
        <v>745</v>
      </c>
      <c r="B16386" s="0" t="s">
        <v>98</v>
      </c>
      <c r="D16386" s="6" t="n">
        <f aca="false">Q!L22</f>
        <v>17.714</v>
      </c>
      <c r="E16386" s="6" t="n">
        <f aca="false">Q!M22</f>
        <v>18.872</v>
      </c>
      <c r="F16386" s="6" t="n">
        <f aca="false">Sens!F16361*Sens!F16385</f>
        <v>19.2954518910651</v>
      </c>
      <c r="G16386" s="6" t="n">
        <f aca="false">Sens!G16361*Sens!G16385</f>
        <v>19.8830646387704</v>
      </c>
      <c r="H16386" s="6" t="n">
        <f aca="false">Sens!H16361*Sens!H16385</f>
        <v>20.6092017868026</v>
      </c>
      <c r="I16386" s="6" t="n">
        <f aca="false">Sens!I16361*Sens!I16385</f>
        <v>21.452361761678</v>
      </c>
      <c r="J16386" s="6" t="n">
        <f aca="false">Sens!J16361*Sens!J16385</f>
        <v>22.3946261183418</v>
      </c>
      <c r="K16386" s="6" t="n">
        <f aca="false">Sens!K16361*Sens!K16385</f>
        <v>23.4215879274986</v>
      </c>
    </row>
    <row r="16387" customFormat="false" ht="15" hidden="false" customHeight="false" outlineLevel="0" collapsed="false">
      <c r="A16387" s="1" t="s">
        <v>913</v>
      </c>
      <c r="B16387" s="0" t="s">
        <v>98</v>
      </c>
      <c r="D16387" s="6" t="n">
        <f aca="false">Sens!D16384+Sens!D16386</f>
        <v>128.528</v>
      </c>
      <c r="E16387" s="6" t="n">
        <f aca="false">Sens!E16384+Sens!E16386</f>
        <v>155.237</v>
      </c>
      <c r="F16387" s="6" t="n">
        <f aca="false">Sens!F16384+Sens!F16386</f>
        <v>171.622556598542</v>
      </c>
      <c r="G16387" s="6" t="n">
        <f aca="false">Sens!G16384+Sens!G16386</f>
        <v>180.167223539945</v>
      </c>
      <c r="H16387" s="6" t="n">
        <f aca="false">Sens!H16384+Sens!H16386</f>
        <v>183.184601111009</v>
      </c>
      <c r="I16387" s="6" t="n">
        <f aca="false">Sens!I16384+Sens!I16386</f>
        <v>193.953983987261</v>
      </c>
      <c r="J16387" s="6" t="n">
        <f aca="false">Sens!J16384+Sens!J16386</f>
        <v>206.079775670996</v>
      </c>
      <c r="K16387" s="6" t="n">
        <f aca="false">Sens!K16384+Sens!K16386</f>
        <v>219.572592199382</v>
      </c>
    </row>
    <row r="16388" customFormat="false" ht="15" hidden="false" customHeight="false" outlineLevel="0" collapsed="false">
      <c r="A16388" s="23" t="s">
        <v>914</v>
      </c>
      <c r="B16388" s="30" t="s">
        <v>98</v>
      </c>
      <c r="C16388" s="30"/>
      <c r="D16388" s="24" t="n">
        <f aca="false">Sens!D16387-Q!L23</f>
        <v>0</v>
      </c>
      <c r="E16388" s="24" t="n">
        <f aca="false">Sens!E16387-Q!M23</f>
        <v>0</v>
      </c>
      <c r="F16388" s="30"/>
      <c r="G16388" s="30"/>
      <c r="H16388" s="30"/>
      <c r="I16388" s="30"/>
      <c r="J16388" s="30"/>
      <c r="K16388" s="30"/>
    </row>
    <row r="16389" customFormat="false" ht="15" hidden="false" customHeight="false" outlineLevel="0" collapsed="false">
      <c r="A16389" s="1" t="s">
        <v>915</v>
      </c>
      <c r="B16389" s="0" t="s">
        <v>129</v>
      </c>
      <c r="D16389" s="7" t="n">
        <f aca="false">Sens!D16387/Sens!D16380</f>
        <v>0.456219562408598</v>
      </c>
      <c r="E16389" s="7" t="n">
        <f aca="false">Sens!E16387/Sens!E16380</f>
        <v>0.467808184089272</v>
      </c>
      <c r="F16389" s="7" t="n">
        <f aca="false">Sens!F16387/Sens!F16380</f>
        <v>0.436138174727123</v>
      </c>
      <c r="G16389" s="7" t="n">
        <f aca="false">Sens!G16387/Sens!G16380</f>
        <v>0.394761410679926</v>
      </c>
      <c r="H16389" s="7" t="n">
        <f aca="false">Sens!H16387/Sens!H16380</f>
        <v>0.355468321187464</v>
      </c>
      <c r="I16389" s="7" t="n">
        <f aca="false">Sens!I16387/Sens!I16380</f>
        <v>0.336069546251942</v>
      </c>
      <c r="J16389" s="7" t="n">
        <f aca="false">Sens!J16387/Sens!J16380</f>
        <v>0.327463889598269</v>
      </c>
      <c r="K16389" s="7" t="n">
        <f aca="false">Sens!K16387/Sens!K16380</f>
        <v>0.326514156295369</v>
      </c>
    </row>
    <row r="16390" customFormat="false" ht="17.15" hidden="false" customHeight="false" outlineLevel="0" collapsed="false">
      <c r="A16390" s="1" t="s">
        <v>916</v>
      </c>
      <c r="B16390" s="0" t="s">
        <v>98</v>
      </c>
      <c r="F16390" s="6" t="n">
        <f aca="false">Sens!F16405</f>
        <v>10.1553565002727</v>
      </c>
      <c r="G16390" s="6" t="n">
        <f aca="false">Sens!G16405</f>
        <v>26.5039384396555</v>
      </c>
      <c r="H16390" s="6" t="n">
        <f aca="false">Sens!H16405</f>
        <v>44.38649932956</v>
      </c>
      <c r="I16390" s="6" t="n">
        <f aca="false">Sens!I16405</f>
        <v>60.5028524913745</v>
      </c>
      <c r="J16390" s="6" t="n">
        <f aca="false">Sens!J16405</f>
        <v>71.8788124586976</v>
      </c>
      <c r="K16390" s="6" t="n">
        <f aca="false">Sens!K16405</f>
        <v>78.7789222270768</v>
      </c>
      <c r="L16390" s="1" t="s">
        <v>917</v>
      </c>
    </row>
    <row r="16391" customFormat="false" ht="17.15" hidden="false" customHeight="false" outlineLevel="0" collapsed="false">
      <c r="A16391" s="1" t="s">
        <v>918</v>
      </c>
      <c r="B16391" s="0" t="s">
        <v>98</v>
      </c>
      <c r="D16391" s="6" t="n">
        <f aca="false">Sens!D16387</f>
        <v>128.528</v>
      </c>
      <c r="E16391" s="6" t="n">
        <f aca="false">Sens!E16387</f>
        <v>155.237</v>
      </c>
      <c r="F16391" s="6" t="n">
        <f aca="false">Sens!F16387+Sens!F16390</f>
        <v>181.777913098814</v>
      </c>
      <c r="G16391" s="6" t="n">
        <f aca="false">Sens!G16387+Sens!G16390</f>
        <v>206.671161979601</v>
      </c>
      <c r="H16391" s="6" t="n">
        <f aca="false">Sens!H16387+Sens!H16390</f>
        <v>227.571100440569</v>
      </c>
      <c r="I16391" s="6" t="n">
        <f aca="false">Sens!I16387+Sens!I16390</f>
        <v>254.456836478636</v>
      </c>
      <c r="J16391" s="6" t="n">
        <f aca="false">Sens!J16387+Sens!J16390</f>
        <v>277.958588129693</v>
      </c>
      <c r="K16391" s="6" t="n">
        <f aca="false">Sens!K16387+Sens!K16390</f>
        <v>298.351514426458</v>
      </c>
    </row>
    <row r="16392" customFormat="false" ht="17.15" hidden="false" customHeight="false" outlineLevel="0" collapsed="false">
      <c r="A16392" s="1" t="s">
        <v>919</v>
      </c>
      <c r="B16392" s="0" t="s">
        <v>98</v>
      </c>
      <c r="E16392" s="6" t="n">
        <f aca="false">Sens!E16335</f>
        <v>16.3054059770833</v>
      </c>
      <c r="F16392" s="6" t="n">
        <f aca="false">Sens!F16335</f>
        <v>34.7530354558698</v>
      </c>
      <c r="G16392" s="6" t="n">
        <f aca="false">Sens!G16335</f>
        <v>60.5317332603396</v>
      </c>
      <c r="H16392" s="6" t="n">
        <f aca="false">Sens!H16335</f>
        <v>87.7673159931396</v>
      </c>
      <c r="I16392" s="6" t="n">
        <f aca="false">Sens!I16335</f>
        <v>112.012039982221</v>
      </c>
      <c r="J16392" s="6" t="n">
        <f aca="false">Sens!J16335</f>
        <v>129.404619002672</v>
      </c>
      <c r="K16392" s="6" t="n">
        <f aca="false">Sens!K16335</f>
        <v>140.537760194137</v>
      </c>
    </row>
    <row r="16393" customFormat="false" ht="17.15" hidden="false" customHeight="false" outlineLevel="0" collapsed="false">
      <c r="A16393" s="1" t="s">
        <v>920</v>
      </c>
      <c r="B16393" s="0" t="s">
        <v>98</v>
      </c>
      <c r="E16393" s="6" t="n">
        <f aca="false">Sens!E16417</f>
        <v>22.2285940229167</v>
      </c>
      <c r="F16393" s="6" t="n">
        <f aca="false">Sens!F16417</f>
        <v>23.5486693435813</v>
      </c>
      <c r="G16393" s="6" t="n">
        <f aca="false">Sens!G16417</f>
        <v>25.264091766262</v>
      </c>
      <c r="H16393" s="6" t="n">
        <f aca="false">Sens!H16417</f>
        <v>27.3438339540448</v>
      </c>
      <c r="I16393" s="6" t="n">
        <f aca="false">Sens!I16417</f>
        <v>29.7317905898047</v>
      </c>
      <c r="J16393" s="6" t="n">
        <f aca="false">Sens!J16417</f>
        <v>32.3542028558616</v>
      </c>
      <c r="K16393" s="6" t="n">
        <f aca="false">Sens!K16417</f>
        <v>35.1281528444749</v>
      </c>
    </row>
    <row r="16394" customFormat="false" ht="17.15" hidden="false" customHeight="false" outlineLevel="0" collapsed="false">
      <c r="A16394" s="1" t="s">
        <v>921</v>
      </c>
      <c r="B16394" s="0" t="s">
        <v>98</v>
      </c>
      <c r="D16394" s="6" t="n">
        <f aca="false">Q!L27</f>
        <v>-4.901</v>
      </c>
      <c r="E16394" s="6" t="n">
        <f aca="false">Q!M27</f>
        <v>10.697</v>
      </c>
      <c r="F16394" s="6" t="n">
        <f aca="false">oie_f</f>
        <v>-0.4</v>
      </c>
      <c r="G16394" s="6" t="n">
        <f aca="false">oie_f</f>
        <v>-0.4</v>
      </c>
      <c r="H16394" s="6" t="n">
        <f aca="false">oie_f</f>
        <v>-0.4</v>
      </c>
      <c r="I16394" s="6" t="n">
        <f aca="false">oie_f</f>
        <v>-0.4</v>
      </c>
      <c r="J16394" s="6" t="n">
        <f aca="false">oie_f</f>
        <v>-0.4</v>
      </c>
      <c r="K16394" s="6" t="n">
        <f aca="false">oie_f</f>
        <v>-0.4</v>
      </c>
      <c r="L16394" s="11" t="s">
        <v>922</v>
      </c>
    </row>
    <row r="16395" customFormat="false" ht="15" hidden="false" customHeight="false" outlineLevel="0" collapsed="false">
      <c r="A16395" s="1" t="s">
        <v>923</v>
      </c>
      <c r="B16395" s="0" t="s">
        <v>98</v>
      </c>
      <c r="D16395" s="6" t="n">
        <f aca="false">Sens!D16387+Sens!D16394</f>
        <v>123.627</v>
      </c>
      <c r="E16395" s="6" t="n">
        <f aca="false">Sens!E16387+Sens!E16394</f>
        <v>165.934</v>
      </c>
      <c r="F16395" s="6" t="n">
        <f aca="false">Sens!F16387+Sens!F16394</f>
        <v>171.222556598542</v>
      </c>
      <c r="G16395" s="6" t="n">
        <f aca="false">Sens!G16387+Sens!G16394</f>
        <v>179.767223539945</v>
      </c>
      <c r="H16395" s="6" t="n">
        <f aca="false">Sens!H16387+Sens!H16394</f>
        <v>182.784601111009</v>
      </c>
      <c r="I16395" s="6" t="n">
        <f aca="false">Sens!I16387+Sens!I16394</f>
        <v>193.553983987261</v>
      </c>
      <c r="J16395" s="6" t="n">
        <f aca="false">Sens!J16387+Sens!J16394</f>
        <v>205.679775670996</v>
      </c>
      <c r="K16395" s="6" t="n">
        <f aca="false">Sens!K16387+Sens!K16394</f>
        <v>219.172592199382</v>
      </c>
    </row>
    <row r="16396" customFormat="false" ht="15" hidden="false" customHeight="false" outlineLevel="0" collapsed="false">
      <c r="A16396" s="1" t="s">
        <v>924</v>
      </c>
      <c r="B16396" s="0" t="s">
        <v>98</v>
      </c>
      <c r="D16396" s="6" t="n">
        <f aca="false">Q!L29</f>
        <v>21.795</v>
      </c>
      <c r="E16396" s="6" t="n">
        <f aca="false">Q!M29</f>
        <v>32.185</v>
      </c>
      <c r="F16396" s="6" t="n">
        <f aca="false">Sens!F16395*tax_f</f>
        <v>34.2445113197083</v>
      </c>
      <c r="G16396" s="6" t="n">
        <f aca="false">Sens!G16395*tax_f</f>
        <v>35.9534447079891</v>
      </c>
      <c r="H16396" s="6" t="n">
        <f aca="false">Sens!H16395*tax_f</f>
        <v>36.5569202222019</v>
      </c>
      <c r="I16396" s="6" t="n">
        <f aca="false">Sens!I16395*tax_f</f>
        <v>38.7107967974522</v>
      </c>
      <c r="J16396" s="6" t="n">
        <f aca="false">Sens!J16395*tax_f</f>
        <v>41.1359551341991</v>
      </c>
      <c r="K16396" s="6" t="n">
        <f aca="false">Sens!K16395*tax_f</f>
        <v>43.8345184398763</v>
      </c>
    </row>
    <row r="16397" customFormat="false" ht="15" hidden="false" customHeight="false" outlineLevel="0" collapsed="false">
      <c r="A16397" s="1" t="s">
        <v>925</v>
      </c>
      <c r="B16397" s="0" t="s">
        <v>98</v>
      </c>
      <c r="D16397" s="6" t="n">
        <f aca="false">Sens!D16395-Sens!D16396</f>
        <v>101.832</v>
      </c>
      <c r="E16397" s="6" t="n">
        <f aca="false">Sens!E16395-Sens!E16396</f>
        <v>133.749</v>
      </c>
      <c r="F16397" s="6" t="n">
        <f aca="false">Sens!F16395-Sens!F16396</f>
        <v>136.978045278833</v>
      </c>
      <c r="G16397" s="6" t="n">
        <f aca="false">Sens!G16395-Sens!G16396</f>
        <v>143.813778831956</v>
      </c>
      <c r="H16397" s="6" t="n">
        <f aca="false">Sens!H16395-Sens!H16396</f>
        <v>146.227680888807</v>
      </c>
      <c r="I16397" s="6" t="n">
        <f aca="false">Sens!I16395-Sens!I16396</f>
        <v>154.843187189809</v>
      </c>
      <c r="J16397" s="6" t="n">
        <f aca="false">Sens!J16395-Sens!J16396</f>
        <v>164.543820536796</v>
      </c>
      <c r="K16397" s="6" t="n">
        <f aca="false">Sens!K16395-Sens!K16396</f>
        <v>175.338073759505</v>
      </c>
    </row>
    <row r="16398" customFormat="false" ht="17.15" hidden="false" customHeight="false" outlineLevel="0" collapsed="false">
      <c r="A16398" s="1" t="s">
        <v>926</v>
      </c>
      <c r="B16398" s="1" t="s">
        <v>81</v>
      </c>
      <c r="D16398" s="14" t="n">
        <f aca="false">Q!L31</f>
        <v>7.465</v>
      </c>
      <c r="E16398" s="14" t="n">
        <f aca="false">Q!M31</f>
        <v>7.453</v>
      </c>
      <c r="F16398" s="14" t="n">
        <f aca="false">Sens!F16441</f>
        <v>7.4735</v>
      </c>
      <c r="G16398" s="14" t="n">
        <f aca="false">Sens!G16441</f>
        <v>7.5185</v>
      </c>
      <c r="H16398" s="14" t="n">
        <f aca="false">Sens!H16441</f>
        <v>7.55835298181311</v>
      </c>
      <c r="I16398" s="14" t="n">
        <f aca="false">Sens!I16441</f>
        <v>7.58223520978358</v>
      </c>
      <c r="J16398" s="14" t="n">
        <f aca="false">Sens!J16441</f>
        <v>7.59647672090146</v>
      </c>
      <c r="K16398" s="14" t="n">
        <f aca="false">Sens!K16441</f>
        <v>7.6129966386032</v>
      </c>
    </row>
    <row r="16399" customFormat="false" ht="17.15" hidden="false" customHeight="false" outlineLevel="0" collapsed="false">
      <c r="A16399" s="0" t="s">
        <v>927</v>
      </c>
      <c r="B16399" s="0" t="s">
        <v>75</v>
      </c>
      <c r="D16399" s="8" t="n">
        <f aca="false">Sens!D16397/Sens!D16398</f>
        <v>13.641259209645</v>
      </c>
      <c r="E16399" s="8" t="n">
        <f aca="false">Sens!E16397/Sens!E16398</f>
        <v>17.9456594659869</v>
      </c>
      <c r="F16399" s="8" t="n">
        <f aca="false">Sens!F16397/Sens!F16398</f>
        <v>18.3285000707611</v>
      </c>
      <c r="G16399" s="8" t="n">
        <f aca="false">Sens!G16397/Sens!G16398</f>
        <v>19.1279881401817</v>
      </c>
      <c r="H16399" s="8" t="n">
        <f aca="false">Sens!H16397/Sens!H16398</f>
        <v>19.3465006517505</v>
      </c>
      <c r="I16399" s="8" t="n">
        <f aca="false">Sens!I16397/Sens!I16398</f>
        <v>20.4218390627094</v>
      </c>
      <c r="J16399" s="8" t="n">
        <f aca="false">Sens!J16397/Sens!J16398</f>
        <v>21.6605442999726</v>
      </c>
      <c r="K16399" s="8" t="n">
        <f aca="false">Sens!K16397/Sens!K16398</f>
        <v>23.0314135264974</v>
      </c>
      <c r="L16399" s="1" t="s">
        <v>928</v>
      </c>
    </row>
    <row r="16400" customFormat="false" ht="17.15" hidden="false" customHeight="false" outlineLevel="0" collapsed="false">
      <c r="A16400" s="1" t="s">
        <v>929</v>
      </c>
      <c r="B16400" s="0" t="s">
        <v>98</v>
      </c>
      <c r="D16400" s="6" t="n">
        <f aca="false">Sens!D16397</f>
        <v>101.832</v>
      </c>
      <c r="E16400" s="6" t="n">
        <f aca="false">Sens!E16397</f>
        <v>133.749</v>
      </c>
      <c r="F16400" s="6" t="n">
        <f aca="false">Sens!F16397+Sens!F16390*(1-tax_f)</f>
        <v>145.102330479051</v>
      </c>
      <c r="G16400" s="6" t="n">
        <f aca="false">Sens!G16397+Sens!G16390*(1-tax_f)</f>
        <v>165.016929583681</v>
      </c>
      <c r="H16400" s="6" t="n">
        <f aca="false">Sens!H16397+Sens!H16390*(1-tax_f)</f>
        <v>181.736880352455</v>
      </c>
      <c r="I16400" s="6" t="n">
        <f aca="false">Sens!I16397+Sens!I16390*(1-tax_f)</f>
        <v>203.245469182908</v>
      </c>
      <c r="J16400" s="6" t="n">
        <f aca="false">Sens!J16397+Sens!J16390*(1-tax_f)</f>
        <v>222.046870503755</v>
      </c>
      <c r="K16400" s="6" t="n">
        <f aca="false">Sens!K16397+Sens!K16390*(1-tax_f)</f>
        <v>238.361211541167</v>
      </c>
    </row>
    <row r="16401" customFormat="false" ht="17.15" hidden="false" customHeight="false" outlineLevel="0" collapsed="false">
      <c r="A16401" s="0" t="s">
        <v>930</v>
      </c>
      <c r="B16401" s="0" t="s">
        <v>75</v>
      </c>
      <c r="D16401" s="8" t="n">
        <f aca="false">Sens!D16400/Sens!D16398</f>
        <v>13.641259209645</v>
      </c>
      <c r="E16401" s="8" t="n">
        <f aca="false">Sens!E16400/Sens!E16398</f>
        <v>17.9456594659869</v>
      </c>
      <c r="F16401" s="8" t="n">
        <f aca="false">Sens!F16400/Sens!F16398</f>
        <v>19.4155791100624</v>
      </c>
      <c r="G16401" s="8" t="n">
        <f aca="false">Sens!G16400/Sens!G16398</f>
        <v>21.9481185853136</v>
      </c>
      <c r="H16401" s="8" t="n">
        <f aca="false">Sens!H16400/Sens!H16398</f>
        <v>24.044508213595</v>
      </c>
      <c r="I16401" s="8" t="n">
        <f aca="false">Sens!I16400/Sens!I16398</f>
        <v>26.8054819666706</v>
      </c>
      <c r="J16401" s="8" t="n">
        <f aca="false">Sens!J16400/Sens!J16398</f>
        <v>29.2302443174478</v>
      </c>
      <c r="K16401" s="8" t="n">
        <f aca="false">Sens!K16400/Sens!K16398</f>
        <v>31.309774962005</v>
      </c>
      <c r="L16401" s="1" t="s">
        <v>931</v>
      </c>
    </row>
    <row r="16402" customFormat="false" ht="17.15" hidden="false" customHeight="false" outlineLevel="0" collapsed="false">
      <c r="A16402" s="0" t="s">
        <v>932</v>
      </c>
      <c r="B16402" s="0" t="s">
        <v>129</v>
      </c>
      <c r="E16402" s="7" t="n">
        <f aca="false">Sens!E16401/Sens!D16401-1</f>
        <v>0.315542736208578</v>
      </c>
      <c r="F16402" s="7" t="n">
        <f aca="false">Sens!F16401/Sens!E16401-1</f>
        <v>0.0819094804992571</v>
      </c>
      <c r="G16402" s="7" t="n">
        <f aca="false">Sens!G16401/Sens!F16401-1</f>
        <v>0.130438523666735</v>
      </c>
      <c r="H16402" s="7" t="n">
        <f aca="false">Sens!H16401/Sens!G16401-1</f>
        <v>0.0955156871479692</v>
      </c>
      <c r="I16402" s="7" t="n">
        <f aca="false">Sens!I16401/Sens!H16401-1</f>
        <v>0.114827624193807</v>
      </c>
      <c r="J16402" s="7" t="n">
        <f aca="false">Sens!J16401/Sens!I16401-1</f>
        <v>0.0904577039051986</v>
      </c>
      <c r="K16402" s="7" t="n">
        <f aca="false">Sens!K16401/Sens!J16401-1</f>
        <v>0.0711431153969482</v>
      </c>
    </row>
    <row r="16403" customFormat="false" ht="17.15" hidden="false" customHeight="false" outlineLevel="0" collapsed="false">
      <c r="A16403" s="0" t="s">
        <v>856</v>
      </c>
      <c r="B16403" s="0" t="s">
        <v>98</v>
      </c>
      <c r="E16403" s="6" t="n">
        <f aca="false">Sens!E16344</f>
        <v>5.25</v>
      </c>
      <c r="F16403" s="6" t="n">
        <f aca="false">Sens!F16344</f>
        <v>10.5</v>
      </c>
      <c r="G16403" s="6" t="n">
        <f aca="false">Sens!G16344</f>
        <v>13.5</v>
      </c>
      <c r="H16403" s="6" t="n">
        <f aca="false">Sens!H16344</f>
        <v>16.5</v>
      </c>
      <c r="I16403" s="6" t="n">
        <f aca="false">Sens!I16344</f>
        <v>18.75</v>
      </c>
      <c r="J16403" s="6" t="n">
        <f aca="false">Sens!J16344</f>
        <v>20.25</v>
      </c>
      <c r="K16403" s="6" t="n">
        <f aca="false">Sens!K16344</f>
        <v>21.75</v>
      </c>
    </row>
    <row r="16404" customFormat="false" ht="17.15" hidden="false" customHeight="false" outlineLevel="0" collapsed="false">
      <c r="A16404" s="1" t="s">
        <v>857</v>
      </c>
      <c r="B16404" s="0" t="s">
        <v>98</v>
      </c>
      <c r="F16404" s="6" t="n">
        <f aca="false">MAX(0,((Sens!E16307+Sens!F16307)/2-(shadow_base*(Sens!$D$16307+Sens!$E$16307)/2+(1-shadow_base)*Sens!$E$16307))*Sens!F16315/1000-(Sens!F16403-Sens!$E$16403)*Sens!F16383)</f>
        <v>10.1553565002727</v>
      </c>
      <c r="G16404" s="6" t="n">
        <f aca="false">MAX(0,((Sens!F16307+Sens!G16307)/2-(shadow_base*(Sens!$D$16307+Sens!$E$16307)/2+(1-shadow_base)*Sens!$E$16307))*Sens!G16315/1000-(Sens!G16403-Sens!$E$16403)*Sens!G16383)</f>
        <v>26.5039384396555</v>
      </c>
      <c r="H16404" s="6" t="n">
        <f aca="false">MAX(0,((Sens!G16307+Sens!H16307)/2-(shadow_base*(Sens!$D$16307+Sens!$E$16307)/2+(1-shadow_base)*Sens!$E$16307))*Sens!H16315/1000-(Sens!H16403-Sens!$E$16403)*Sens!H16383)</f>
        <v>44.38649932956</v>
      </c>
      <c r="I16404" s="6" t="n">
        <f aca="false">MAX(0,((Sens!H16307+Sens!I16307)/2-(shadow_base*(Sens!$D$16307+Sens!$E$16307)/2+(1-shadow_base)*Sens!$E$16307))*Sens!I16315/1000-(Sens!I16403-Sens!$E$16403)*Sens!I16383)</f>
        <v>60.5028524913745</v>
      </c>
      <c r="J16404" s="6" t="n">
        <f aca="false">MAX(0,((Sens!I16307+Sens!J16307)/2-(shadow_base*(Sens!$D$16307+Sens!$E$16307)/2+(1-shadow_base)*Sens!$E$16307))*Sens!J16315/1000-(Sens!J16403-Sens!$E$16403)*Sens!J16383)</f>
        <v>71.8788124586976</v>
      </c>
      <c r="K16404" s="6" t="n">
        <f aca="false">MAX(0,((Sens!J16307+Sens!K16307)/2-(shadow_base*(Sens!$D$16307+Sens!$E$16307)/2+(1-shadow_base)*Sens!$E$16307))*Sens!K16315/1000-(Sens!K16403-Sens!$E$16403)*Sens!K16383)</f>
        <v>78.7789222270768</v>
      </c>
      <c r="L16404" s="1" t="s">
        <v>858</v>
      </c>
    </row>
    <row r="16405" customFormat="false" ht="17.15" hidden="false" customHeight="false" outlineLevel="0" collapsed="false">
      <c r="A16405" s="1" t="s">
        <v>859</v>
      </c>
      <c r="B16405" s="0" t="s">
        <v>98</v>
      </c>
      <c r="F16405" s="6" t="n">
        <f aca="false">IF(internal_ai_reading=2,1,0)*Sens!F16404</f>
        <v>10.1553565002727</v>
      </c>
      <c r="G16405" s="6" t="n">
        <f aca="false">IF(internal_ai_reading=2,1,0)*Sens!G16404</f>
        <v>26.5039384396555</v>
      </c>
      <c r="H16405" s="6" t="n">
        <f aca="false">IF(internal_ai_reading=2,1,0)*Sens!H16404</f>
        <v>44.38649932956</v>
      </c>
      <c r="I16405" s="6" t="n">
        <f aca="false">IF(internal_ai_reading=2,1,0)*Sens!I16404</f>
        <v>60.5028524913745</v>
      </c>
      <c r="J16405" s="6" t="n">
        <f aca="false">IF(internal_ai_reading=2,1,0)*Sens!J16404</f>
        <v>71.8788124586976</v>
      </c>
      <c r="K16405" s="6" t="n">
        <f aca="false">IF(internal_ai_reading=2,1,0)*Sens!K16404</f>
        <v>78.7789222270768</v>
      </c>
    </row>
    <row r="16406" customFormat="false" ht="17.15" hidden="false" customHeight="false" outlineLevel="0" collapsed="false">
      <c r="A16406" s="0" t="s">
        <v>860</v>
      </c>
      <c r="B16406" s="0" t="s">
        <v>98</v>
      </c>
      <c r="F16406" s="6" t="n">
        <f aca="false">Sens!F16324+Sens!F16403*Sens!F16383+Sens!F16405-Sens!F16325-Sens!F16335</f>
        <v>9.92178824065718</v>
      </c>
      <c r="G16406" s="6" t="n">
        <f aca="false">Sens!G16324+Sens!G16403*Sens!G16383+Sens!G16405-Sens!G16325-Sens!G16335</f>
        <v>15.1459954132949</v>
      </c>
      <c r="H16406" s="6" t="n">
        <f aca="false">Sens!H16324+Sens!H16403*Sens!H16383+Sens!H16405-Sens!H16325-Sens!H16335</f>
        <v>16.0562189749294</v>
      </c>
      <c r="I16406" s="6" t="n">
        <f aca="false">Sens!I16324+Sens!I16403*Sens!I16383+Sens!I16405-Sens!I16325-Sens!I16335</f>
        <v>23.3232096427786</v>
      </c>
      <c r="J16406" s="6" t="n">
        <f aca="false">Sens!J16324+Sens!J16403*Sens!J16383+Sens!J16405-Sens!J16325-Sens!J16335</f>
        <v>28.3459091628135</v>
      </c>
      <c r="K16406" s="6" t="n">
        <f aca="false">Sens!K16324+Sens!K16403*Sens!K16383+Sens!K16405-Sens!K16325-Sens!K16335</f>
        <v>32.190579847538</v>
      </c>
    </row>
    <row r="16407" customFormat="false" ht="17.15" hidden="false" customHeight="false" outlineLevel="0" collapsed="false">
      <c r="A16407" s="0" t="s">
        <v>861</v>
      </c>
      <c r="B16407" s="0" t="s">
        <v>98</v>
      </c>
      <c r="E16407" s="6" t="n">
        <f aca="false">Sens!E16306*(cxit_open+self_build*tk_cxfac)/1000*ai_net_open</f>
        <v>126.6980382</v>
      </c>
      <c r="F16407" s="6" t="n">
        <f aca="false">Sens!E16407+Sens!F16332-Sens!F16335</f>
        <v>260.715655514568</v>
      </c>
      <c r="G16407" s="6" t="n">
        <f aca="false">Sens!F16407+Sens!G16332-Sens!G16335</f>
        <v>383.758102737428</v>
      </c>
      <c r="H16407" s="6" t="n">
        <f aca="false">Sens!G16407+Sens!H16332-Sens!H16335</f>
        <v>484.071072654689</v>
      </c>
      <c r="I16407" s="6" t="n">
        <f aca="false">Sens!H16407+Sens!I16332-Sens!I16335</f>
        <v>535.765701826713</v>
      </c>
      <c r="J16407" s="6" t="n">
        <f aca="false">Sens!I16407+Sens!J16332-Sens!J16335</f>
        <v>533.542519418283</v>
      </c>
      <c r="K16407" s="6" t="n">
        <f aca="false">Sens!J16407+Sens!K16332-Sens!K16335</f>
        <v>514.412174527737</v>
      </c>
      <c r="L16407" s="1" t="s">
        <v>862</v>
      </c>
    </row>
    <row r="16408" customFormat="false" ht="17.15" hidden="false" customHeight="false" outlineLevel="0" collapsed="false">
      <c r="A16408" s="0" t="s">
        <v>863</v>
      </c>
      <c r="B16408" s="0" t="s">
        <v>129</v>
      </c>
      <c r="F16408" s="7" t="n">
        <f aca="false">Sens!F16406*(1-tax_f)/((Sens!E16407+Sens!F16407)/2)</f>
        <v>0.0409765102333928</v>
      </c>
      <c r="G16408" s="7" t="n">
        <f aca="false">Sens!G16406*(1-tax_f)/((Sens!F16407+Sens!G16407)/2)</f>
        <v>0.0376021402748817</v>
      </c>
      <c r="H16408" s="7" t="n">
        <f aca="false">Sens!H16406*(1-tax_f)/((Sens!G16407+Sens!H16407)/2)</f>
        <v>0.0296025428602114</v>
      </c>
      <c r="I16408" s="7" t="n">
        <f aca="false">Sens!I16406*(1-tax_f)/((Sens!H16407+Sens!I16407)/2)</f>
        <v>0.0365912824112681</v>
      </c>
      <c r="J16408" s="7" t="n">
        <f aca="false">Sens!J16406*(1-tax_f)/((Sens!I16407+Sens!J16407)/2)</f>
        <v>0.0424138277060066</v>
      </c>
      <c r="K16408" s="7" t="n">
        <f aca="false">Sens!K16406*(1-tax_f)/((Sens!J16407+Sens!K16407)/2)</f>
        <v>0.0491480481490298</v>
      </c>
    </row>
    <row r="16409" customFormat="false" ht="17.15" hidden="false" customHeight="false" outlineLevel="0" collapsed="false">
      <c r="A16409" s="1" t="s">
        <v>864</v>
      </c>
      <c r="B16409" s="0" t="s">
        <v>129</v>
      </c>
      <c r="F16409" s="7" t="n">
        <f aca="false">(Sens!F16406-Sens!F16405)*(1-tax_f)/((Sens!E16407+Sens!F16407)/2)</f>
        <v>-0.000964625725543327</v>
      </c>
      <c r="G16409" s="7" t="n">
        <f aca="false">(Sens!G16406-Sens!G16405)*(1-tax_f)/((Sens!F16407+Sens!G16407)/2)</f>
        <v>-0.0281977483326346</v>
      </c>
      <c r="H16409" s="7" t="n">
        <f aca="false">(Sens!H16406-Sens!H16405)*(1-tax_f)/((Sens!G16407+Sens!H16407)/2)</f>
        <v>-0.0522319943287548</v>
      </c>
      <c r="I16409" s="7" t="n">
        <f aca="false">(Sens!I16406-Sens!I16405)*(1-tax_f)/((Sens!H16407+Sens!I16407)/2)</f>
        <v>-0.0583303427041093</v>
      </c>
      <c r="J16409" s="7" t="n">
        <f aca="false">(Sens!J16406-Sens!J16405)*(1-tax_f)/((Sens!I16407+Sens!J16407)/2)</f>
        <v>-0.0651380433532232</v>
      </c>
      <c r="K16409" s="7" t="n">
        <f aca="false">(Sens!K16406-Sens!K16405)*(1-tax_f)/((Sens!J16407+Sens!K16407)/2)</f>
        <v>-0.0711303153064569</v>
      </c>
    </row>
    <row r="16410" customFormat="false" ht="17.15" hidden="false" customHeight="false" outlineLevel="0" collapsed="false">
      <c r="A16410" s="1" t="s">
        <v>865</v>
      </c>
      <c r="B16410" s="0" t="s">
        <v>129</v>
      </c>
      <c r="F16410" s="7" t="n">
        <f aca="false">(Sens!F16406-Sens!F16405+Sens!F16404)*(1-tax_f)/((Sens!E16407+Sens!F16407)/2)</f>
        <v>0.0409765102333928</v>
      </c>
      <c r="G16410" s="7" t="n">
        <f aca="false">(Sens!G16406-Sens!G16405+Sens!G16404)*(1-tax_f)/((Sens!F16407+Sens!G16407)/2)</f>
        <v>0.0376021402748817</v>
      </c>
      <c r="H16410" s="7" t="n">
        <f aca="false">(Sens!H16406-Sens!H16405+Sens!H16404)*(1-tax_f)/((Sens!G16407+Sens!H16407)/2)</f>
        <v>0.0296025428602114</v>
      </c>
      <c r="I16410" s="7" t="n">
        <f aca="false">(Sens!I16406-Sens!I16405+Sens!I16404)*(1-tax_f)/((Sens!H16407+Sens!I16407)/2)</f>
        <v>0.0365912824112681</v>
      </c>
      <c r="J16410" s="7" t="n">
        <f aca="false">(Sens!J16406-Sens!J16405+Sens!J16404)*(1-tax_f)/((Sens!I16407+Sens!J16407)/2)</f>
        <v>0.0424138277060066</v>
      </c>
      <c r="K16410" s="7" t="n">
        <f aca="false">(Sens!K16406-Sens!K16405+Sens!K16404)*(1-tax_f)/((Sens!J16407+Sens!K16407)/2)</f>
        <v>0.0491480481490298</v>
      </c>
    </row>
    <row r="16411" customFormat="false" ht="17.15" hidden="false" customHeight="false" outlineLevel="0" collapsed="false">
      <c r="A16411" s="1" t="s">
        <v>866</v>
      </c>
      <c r="B16411" s="0" t="s">
        <v>129</v>
      </c>
      <c r="F16411" s="7" t="n">
        <f aca="false">Sens!F16336*(1-tax_f)/(Sens!F16323*(Sens!E16407+Sens!F16407)/2)</f>
        <v>0.0977802249085266</v>
      </c>
      <c r="G16411" s="7" t="n">
        <f aca="false">Sens!G16336*(1-tax_f)/(Sens!G16323*(Sens!F16407+Sens!G16407)/2)</f>
        <v>0.0659202727231561</v>
      </c>
      <c r="H16411" s="7" t="n">
        <f aca="false">Sens!H16336*(1-tax_f)/(Sens!H16323*(Sens!G16407+Sens!H16407)/2)</f>
        <v>0.0387765414760463</v>
      </c>
      <c r="I16411" s="7" t="n">
        <f aca="false">Sens!I16336*(1-tax_f)/(Sens!I16323*(Sens!H16407+Sens!I16407)/2)</f>
        <v>0.0420016903333455</v>
      </c>
      <c r="J16411" s="7" t="n">
        <f aca="false">Sens!J16336*(1-tax_f)/(Sens!J16323*(Sens!I16407+Sens!J16407)/2)</f>
        <v>0.0460294243249879</v>
      </c>
      <c r="K16411" s="7" t="n">
        <f aca="false">Sens!K16336*(1-tax_f)/(Sens!K16323*(Sens!J16407+Sens!K16407)/2)</f>
        <v>0.0521938401137041</v>
      </c>
    </row>
    <row r="16412" customFormat="false" ht="17.15" hidden="false" customHeight="false" outlineLevel="0" collapsed="false">
      <c r="A16412" s="0" t="s">
        <v>867</v>
      </c>
      <c r="B16412" s="0" t="s">
        <v>209</v>
      </c>
      <c r="F16412" s="7" t="n">
        <f aca="false">Sens!F16408-wacc</f>
        <v>-0.0619579098594829</v>
      </c>
      <c r="G16412" s="7" t="n">
        <f aca="false">Sens!G16408-wacc</f>
        <v>-0.065332279817994</v>
      </c>
      <c r="H16412" s="7" t="n">
        <f aca="false">Sens!H16408-wacc</f>
        <v>-0.0733318772326643</v>
      </c>
      <c r="I16412" s="7" t="n">
        <f aca="false">Sens!I16408-wacc</f>
        <v>-0.0663431376816076</v>
      </c>
      <c r="J16412" s="7" t="n">
        <f aca="false">Sens!J16408-wacc</f>
        <v>-0.0605205923868691</v>
      </c>
      <c r="K16412" s="7" t="n">
        <f aca="false">Sens!K16408-wacc</f>
        <v>-0.0537863719438459</v>
      </c>
    </row>
    <row r="16413" customFormat="false" ht="17.15" hidden="false" customHeight="false" outlineLevel="0" collapsed="false">
      <c r="A16413" s="0" t="s">
        <v>868</v>
      </c>
      <c r="B16413" s="0" t="s">
        <v>98</v>
      </c>
      <c r="F16413" s="6" t="n">
        <f aca="false">Sens!F16406*(1-tax_f)-wacc*(Sens!E16407+Sens!F16407)/2</f>
        <v>-12.0016713567483</v>
      </c>
      <c r="G16413" s="6" t="n">
        <f aca="false">Sens!G16406*(1-tax_f)-wacc*(Sens!F16407+Sens!G16407)/2</f>
        <v>-21.0524699547368</v>
      </c>
      <c r="H16413" s="6" t="n">
        <f aca="false">Sens!H16406*(1-tax_f)-wacc*(Sens!G16407+Sens!H16407)/2</f>
        <v>-31.8197712743895</v>
      </c>
      <c r="I16413" s="6" t="n">
        <f aca="false">Sens!I16406*(1-tax_f)-wacc*(Sens!H16407+Sens!I16407)/2</f>
        <v>-33.8295857710931</v>
      </c>
      <c r="J16413" s="6" t="n">
        <f aca="false">Sens!J16406*(1-tax_f)-wacc*(Sens!I16407+Sens!J16407)/2</f>
        <v>-32.3575834969482</v>
      </c>
      <c r="K16413" s="6" t="n">
        <f aca="false">Sens!K16406*(1-tax_f)-wacc*(Sens!J16407+Sens!K16407)/2</f>
        <v>-28.1828404744399</v>
      </c>
    </row>
    <row r="16414" customFormat="false" ht="17.15" hidden="false" customHeight="false" outlineLevel="0" collapsed="false">
      <c r="A16414" s="3" t="s">
        <v>1679</v>
      </c>
    </row>
    <row r="16415" customFormat="false" ht="15" hidden="false" customHeight="false" outlineLevel="0" collapsed="false">
      <c r="A16415" s="4" t="s">
        <v>43</v>
      </c>
      <c r="B16415" s="4" t="s">
        <v>65</v>
      </c>
      <c r="C16415" s="20" t="s">
        <v>799</v>
      </c>
      <c r="D16415" s="20" t="s">
        <v>800</v>
      </c>
      <c r="E16415" s="20" t="s">
        <v>801</v>
      </c>
      <c r="F16415" s="20" t="s">
        <v>802</v>
      </c>
      <c r="G16415" s="20" t="s">
        <v>803</v>
      </c>
      <c r="H16415" s="20" t="s">
        <v>804</v>
      </c>
      <c r="I16415" s="20" t="s">
        <v>805</v>
      </c>
      <c r="J16415" s="20" t="s">
        <v>806</v>
      </c>
      <c r="K16415" s="20" t="s">
        <v>807</v>
      </c>
      <c r="L16415" s="4" t="s">
        <v>47</v>
      </c>
    </row>
    <row r="16416" customFormat="false" ht="15" hidden="false" customHeight="false" outlineLevel="0" collapsed="false">
      <c r="A16416" s="1" t="s">
        <v>925</v>
      </c>
      <c r="B16416" s="0" t="s">
        <v>98</v>
      </c>
      <c r="F16416" s="6" t="n">
        <f aca="false">Sens!F16397</f>
        <v>136.978045278833</v>
      </c>
      <c r="G16416" s="6" t="n">
        <f aca="false">Sens!G16397</f>
        <v>143.813778831956</v>
      </c>
      <c r="H16416" s="6" t="n">
        <f aca="false">Sens!H16397</f>
        <v>146.227680888807</v>
      </c>
      <c r="I16416" s="6" t="n">
        <f aca="false">Sens!I16397</f>
        <v>154.843187189809</v>
      </c>
      <c r="J16416" s="6" t="n">
        <f aca="false">Sens!J16397</f>
        <v>164.543820536796</v>
      </c>
      <c r="K16416" s="6" t="n">
        <f aca="false">Sens!K16397</f>
        <v>175.338073759505</v>
      </c>
    </row>
    <row r="16417" customFormat="false" ht="17.15" hidden="false" customHeight="false" outlineLevel="0" collapsed="false">
      <c r="A16417" s="1" t="s">
        <v>947</v>
      </c>
      <c r="B16417" s="0" t="s">
        <v>98</v>
      </c>
      <c r="E16417" s="6" t="n">
        <f aca="false">Q!M38-Sens!E16335</f>
        <v>22.2285940229167</v>
      </c>
      <c r="F16417" s="6" t="n">
        <f aca="false">Sens!E16417*(1-1/life_nonai)+(Sens!F16424+Sens!F16425)/life_nonai</f>
        <v>23.5486693435813</v>
      </c>
      <c r="G16417" s="6" t="n">
        <f aca="false">Sens!F16417*(1-1/life_nonai)+(Sens!G16424)/life_nonai</f>
        <v>25.264091766262</v>
      </c>
      <c r="H16417" s="6" t="n">
        <f aca="false">Sens!G16417*(1-1/life_nonai)+(Sens!H16424)/life_nonai</f>
        <v>27.3438339540448</v>
      </c>
      <c r="I16417" s="6" t="n">
        <f aca="false">Sens!H16417*(1-1/life_nonai)+(Sens!I16424)/life_nonai</f>
        <v>29.7317905898047</v>
      </c>
      <c r="J16417" s="6" t="n">
        <f aca="false">Sens!I16417*(1-1/life_nonai)+(Sens!J16424)/life_nonai</f>
        <v>32.3542028558616</v>
      </c>
      <c r="K16417" s="6" t="n">
        <f aca="false">Sens!J16417*(1-1/life_nonai)+(Sens!K16424)/life_nonai</f>
        <v>35.1281528444749</v>
      </c>
      <c r="L16417" s="11" t="s">
        <v>948</v>
      </c>
    </row>
    <row r="16418" customFormat="false" ht="17.15" hidden="false" customHeight="false" outlineLevel="0" collapsed="false">
      <c r="A16418" s="1" t="s">
        <v>949</v>
      </c>
      <c r="B16418" s="0" t="s">
        <v>98</v>
      </c>
      <c r="F16418" s="6" t="n">
        <f aca="false">Sens!$F$16425/life_nonai*(1-1/life_nonai)^(Sens!F16301-2027)</f>
        <v>0</v>
      </c>
      <c r="G16418" s="6" t="n">
        <f aca="false">Sens!$F$16425/life_nonai*(1-1/life_nonai)^(Sens!G16301-2027)</f>
        <v>0</v>
      </c>
      <c r="H16418" s="6" t="n">
        <f aca="false">Sens!$F$16425/life_nonai*(1-1/life_nonai)^(Sens!H16301-2027)</f>
        <v>0</v>
      </c>
      <c r="I16418" s="6" t="n">
        <f aca="false">Sens!$F$16425/life_nonai*(1-1/life_nonai)^(Sens!I16301-2027)</f>
        <v>0</v>
      </c>
      <c r="J16418" s="6" t="n">
        <f aca="false">Sens!$F$16425/life_nonai*(1-1/life_nonai)^(Sens!J16301-2027)</f>
        <v>0</v>
      </c>
      <c r="K16418" s="6" t="n">
        <f aca="false">Sens!$F$16425/life_nonai*(1-1/life_nonai)^(Sens!K16301-2027)</f>
        <v>0</v>
      </c>
      <c r="L16418" s="1" t="s">
        <v>950</v>
      </c>
    </row>
    <row r="16419" customFormat="false" ht="17.15" hidden="false" customHeight="false" outlineLevel="0" collapsed="false">
      <c r="A16419" s="1" t="s">
        <v>951</v>
      </c>
      <c r="B16419" s="0" t="s">
        <v>98</v>
      </c>
      <c r="E16419" s="6" t="n">
        <f aca="false">Sens!E16335+Sens!E16417</f>
        <v>38.534</v>
      </c>
      <c r="F16419" s="6" t="n">
        <f aca="false">Sens!F16335+Sens!F16417</f>
        <v>58.301704799451</v>
      </c>
      <c r="G16419" s="6" t="n">
        <f aca="false">Sens!G16335+Sens!G16417</f>
        <v>85.7958250266017</v>
      </c>
      <c r="H16419" s="6" t="n">
        <f aca="false">Sens!H16335+Sens!H16417</f>
        <v>115.111149947184</v>
      </c>
      <c r="I16419" s="6" t="n">
        <f aca="false">Sens!I16335+Sens!I16417</f>
        <v>141.743830572026</v>
      </c>
      <c r="J16419" s="6" t="n">
        <f aca="false">Sens!J16335+Sens!J16417</f>
        <v>161.758821858533</v>
      </c>
      <c r="K16419" s="6" t="n">
        <f aca="false">Sens!K16335+Sens!K16417</f>
        <v>175.665913038611</v>
      </c>
    </row>
    <row r="16420" customFormat="false" ht="17.15" hidden="false" customHeight="false" outlineLevel="0" collapsed="false">
      <c r="A16420" s="1" t="s">
        <v>952</v>
      </c>
      <c r="B16420" s="0" t="s">
        <v>98</v>
      </c>
      <c r="F16420" s="6" t="n">
        <f aca="false">Sens!F16362*sbc_r</f>
        <v>14.7102349124428</v>
      </c>
      <c r="G16420" s="6" t="n">
        <f aca="false">Sens!G16362*sbc_r</f>
        <v>17.061233875013</v>
      </c>
      <c r="H16420" s="6" t="n">
        <f aca="false">Sens!H16362*sbc_r</f>
        <v>19.2644849659525</v>
      </c>
      <c r="I16420" s="6" t="n">
        <f aca="false">Sens!I16362*sbc_r</f>
        <v>21.5744080153289</v>
      </c>
      <c r="J16420" s="6" t="n">
        <f aca="false">Sens!J16362*sbc_r</f>
        <v>23.5256320135712</v>
      </c>
      <c r="K16420" s="6" t="n">
        <f aca="false">Sens!K16362*sbc_r</f>
        <v>25.1388528865318</v>
      </c>
    </row>
    <row r="16421" customFormat="false" ht="17.15" hidden="false" customHeight="false" outlineLevel="0" collapsed="false">
      <c r="A16421" s="1" t="s">
        <v>953</v>
      </c>
      <c r="B16421" s="0" t="s">
        <v>98</v>
      </c>
      <c r="F16421" s="6" t="n">
        <f aca="false">wc27</f>
        <v>-4.895</v>
      </c>
      <c r="G16421" s="6" t="n">
        <f aca="false">wc_f</f>
        <v>0</v>
      </c>
      <c r="H16421" s="6" t="n">
        <f aca="false">wc_f</f>
        <v>0</v>
      </c>
      <c r="I16421" s="6" t="n">
        <f aca="false">wc_f</f>
        <v>0</v>
      </c>
      <c r="J16421" s="6" t="n">
        <f aca="false">wc_f</f>
        <v>0</v>
      </c>
      <c r="K16421" s="6" t="n">
        <f aca="false">wc_f</f>
        <v>0</v>
      </c>
      <c r="L16421" s="11" t="s">
        <v>954</v>
      </c>
    </row>
    <row r="16422" customFormat="false" ht="15" hidden="false" customHeight="false" outlineLevel="0" collapsed="false">
      <c r="A16422" s="1" t="s">
        <v>767</v>
      </c>
      <c r="B16422" s="0" t="s">
        <v>98</v>
      </c>
      <c r="E16422" s="6" t="n">
        <f aca="false">Q!M35</f>
        <v>182.935</v>
      </c>
      <c r="F16422" s="6" t="n">
        <f aca="false">Sens!F16416+Sens!F16419+Sens!F16420+Sens!F16421</f>
        <v>205.094984990727</v>
      </c>
      <c r="G16422" s="6" t="n">
        <f aca="false">Sens!G16416+Sens!G16419+Sens!G16420+Sens!G16421</f>
        <v>246.670837733571</v>
      </c>
      <c r="H16422" s="6" t="n">
        <f aca="false">Sens!H16416+Sens!H16419+Sens!H16420+Sens!H16421</f>
        <v>280.603315801944</v>
      </c>
      <c r="I16422" s="6" t="n">
        <f aca="false">Sens!I16416+Sens!I16419+Sens!I16420+Sens!I16421</f>
        <v>318.161425777164</v>
      </c>
      <c r="J16422" s="6" t="n">
        <f aca="false">Sens!J16416+Sens!J16419+Sens!J16420+Sens!J16421</f>
        <v>349.828274408901</v>
      </c>
      <c r="K16422" s="6" t="n">
        <f aca="false">Sens!K16416+Sens!K16419+Sens!K16420+Sens!K16421</f>
        <v>376.142839684649</v>
      </c>
    </row>
    <row r="16423" customFormat="false" ht="17.15" hidden="false" customHeight="false" outlineLevel="0" collapsed="false">
      <c r="A16423" s="0" t="s">
        <v>955</v>
      </c>
      <c r="B16423" s="0" t="s">
        <v>98</v>
      </c>
      <c r="F16423" s="6" t="n">
        <f aca="false">Sens!F16332</f>
        <v>168.770652770438</v>
      </c>
      <c r="G16423" s="6" t="n">
        <f aca="false">Sens!G16332</f>
        <v>183.5741804832</v>
      </c>
      <c r="H16423" s="6" t="n">
        <f aca="false">Sens!H16332</f>
        <v>188.0802859104</v>
      </c>
      <c r="I16423" s="6" t="n">
        <f aca="false">Sens!I16332</f>
        <v>163.706669154245</v>
      </c>
      <c r="J16423" s="6" t="n">
        <f aca="false">Sens!J16332</f>
        <v>127.181436594242</v>
      </c>
      <c r="K16423" s="6" t="n">
        <f aca="false">Sens!K16332</f>
        <v>121.407415303591</v>
      </c>
    </row>
    <row r="16424" customFormat="false" ht="17.15" hidden="false" customHeight="false" outlineLevel="0" collapsed="false">
      <c r="A16424" s="1" t="s">
        <v>956</v>
      </c>
      <c r="B16424" s="0" t="s">
        <v>98</v>
      </c>
      <c r="E16424" s="6" t="n">
        <f aca="false">Sens!E16340*cx_azo+Sens!E16347*cx_m365+Sens!E16348*cx_lic+(Sens!E16350+Sens!E16352)*cx_ind+Sens!E16355*cx_srch+(Sens!E16357+Sens!E16359)*cx_dev</f>
        <v>30.1846587067718</v>
      </c>
      <c r="F16424" s="6" t="n">
        <f aca="false">Sens!F16340*cx_azo+Sens!F16347*cx_m365+Sens!F16348*cx_lic+(Sens!F16350+Sens!F16352)*cx_ind+Sens!F16355*cx_srch+(Sens!F16357+Sens!F16359)*cx_dev</f>
        <v>35.4293472295625</v>
      </c>
      <c r="G16424" s="6" t="n">
        <f aca="false">Sens!G16340*cx_azo+Sens!G16347*cx_m365+Sens!G16348*cx_lic+(Sens!G16350+Sens!G16352)*cx_ind+Sens!G16355*cx_srch+(Sens!G16357+Sens!G16359)*cx_dev</f>
        <v>40.7028935703892</v>
      </c>
      <c r="H16424" s="6" t="n">
        <f aca="false">Sens!H16340*cx_azo+Sens!H16347*cx_m365+Sens!H16348*cx_lic+(Sens!H16350+Sens!H16352)*cx_ind+Sens!H16355*cx_srch+(Sens!H16357+Sens!H16359)*cx_dev</f>
        <v>46.0615136440897</v>
      </c>
      <c r="I16424" s="6" t="n">
        <f aca="false">Sens!I16340*cx_azo+Sens!I16347*cx_m365+Sens!I16348*cx_lic+(Sens!I16350+Sens!I16352)*cx_ind+Sens!I16355*cx_srch+(Sens!I16357+Sens!I16359)*cx_dev</f>
        <v>51.2234003116439</v>
      </c>
      <c r="J16424" s="6" t="n">
        <f aca="false">Sens!J16340*cx_azo+Sens!J16347*cx_m365+Sens!J16348*cx_lic+(Sens!J16350+Sens!J16352)*cx_ind+Sens!J16355*cx_srch+(Sens!J16357+Sens!J16359)*cx_dev</f>
        <v>55.9559132503738</v>
      </c>
      <c r="K16424" s="6" t="n">
        <f aca="false">Sens!K16340*cx_azo+Sens!K16347*cx_m365+Sens!K16348*cx_lic+(Sens!K16350+Sens!K16352)*cx_ind+Sens!K16355*cx_srch+(Sens!K16357+Sens!K16359)*cx_dev</f>
        <v>60.093702741994</v>
      </c>
    </row>
    <row r="16425" customFormat="false" ht="17.15" hidden="false" customHeight="false" outlineLevel="0" collapsed="false">
      <c r="A16425" s="0" t="s">
        <v>957</v>
      </c>
      <c r="B16425" s="0" t="s">
        <v>98</v>
      </c>
      <c r="F16425" s="6" t="n">
        <f aca="false">0</f>
        <v>0</v>
      </c>
      <c r="L16425" s="1" t="s">
        <v>958</v>
      </c>
    </row>
    <row r="16426" customFormat="false" ht="17.15" hidden="false" customHeight="false" outlineLevel="0" collapsed="false">
      <c r="A16426" s="1" t="s">
        <v>959</v>
      </c>
      <c r="B16426" s="0" t="s">
        <v>98</v>
      </c>
      <c r="E16426" s="6" t="n">
        <f aca="false">Q!M42</f>
        <v>145.3</v>
      </c>
      <c r="F16426" s="6" t="n">
        <f aca="false">Sens!F16423+Sens!F16424+Sens!F16425</f>
        <v>204.2</v>
      </c>
      <c r="G16426" s="6" t="n">
        <f aca="false">Sens!G16423+Sens!G16424</f>
        <v>224.277074053589</v>
      </c>
      <c r="H16426" s="6" t="n">
        <f aca="false">Sens!H16423+Sens!H16424</f>
        <v>234.14179955449</v>
      </c>
      <c r="I16426" s="6" t="n">
        <f aca="false">Sens!I16423+Sens!I16424</f>
        <v>214.930069465889</v>
      </c>
      <c r="J16426" s="6" t="n">
        <f aca="false">Sens!J16423+Sens!J16424</f>
        <v>183.137349844616</v>
      </c>
      <c r="K16426" s="6" t="n">
        <f aca="false">Sens!K16423+Sens!K16424</f>
        <v>181.501118045585</v>
      </c>
      <c r="L16426" s="1" t="s">
        <v>960</v>
      </c>
    </row>
    <row r="16427" customFormat="false" ht="15" hidden="false" customHeight="false" outlineLevel="0" collapsed="false">
      <c r="A16427" s="1" t="s">
        <v>961</v>
      </c>
      <c r="B16427" s="0" t="s">
        <v>98</v>
      </c>
      <c r="E16427" s="6" t="n">
        <f aca="false">fl_liab</f>
        <v>66.594</v>
      </c>
      <c r="F16427" s="6" t="n">
        <f aca="false">Sens!E16427-Sens!F16428</f>
        <v>62.46973</v>
      </c>
      <c r="G16427" s="6" t="n">
        <f aca="false">Sens!F16427-Sens!G16428</f>
        <v>57.98686785</v>
      </c>
      <c r="H16427" s="6" t="n">
        <f aca="false">Sens!G16427-Sens!H16428</f>
        <v>53.92827690325</v>
      </c>
      <c r="I16427" s="6" t="n">
        <f aca="false">Sens!H16427-Sens!I16428</f>
        <v>49.7850493638962</v>
      </c>
      <c r="J16427" s="6" t="n">
        <f aca="false">Sens!I16427-Sens!J16428</f>
        <v>45.4823765852716</v>
      </c>
      <c r="K16427" s="6" t="n">
        <f aca="false">Sens!J16427-Sens!K16428</f>
        <v>40.9860835316088</v>
      </c>
    </row>
    <row r="16428" customFormat="false" ht="15" hidden="false" customHeight="false" outlineLevel="0" collapsed="false">
      <c r="A16428" s="1" t="s">
        <v>962</v>
      </c>
      <c r="B16428" s="0" t="s">
        <v>98</v>
      </c>
      <c r="F16428" s="6" t="n">
        <f aca="false">fl_pay_27-Sens!E16427*fl_rate</f>
        <v>4.12427</v>
      </c>
      <c r="G16428" s="6" t="n">
        <f aca="false">fl_pay_28-Sens!F16427*fl_rate</f>
        <v>4.48286215</v>
      </c>
      <c r="H16428" s="6" t="n">
        <f aca="false">fl_pay_29-Sens!G16427*fl_rate</f>
        <v>4.05859094675</v>
      </c>
      <c r="I16428" s="6" t="n">
        <f aca="false">fl_pay_30-Sens!H16427*fl_rate</f>
        <v>4.14322753935375</v>
      </c>
      <c r="J16428" s="6" t="n">
        <f aca="false">fl_pay_31-Sens!I16427*fl_rate</f>
        <v>4.30267277862467</v>
      </c>
      <c r="K16428" s="6" t="n">
        <f aca="false">fl_pay_32-Sens!J16427*fl_rate</f>
        <v>4.49629305366278</v>
      </c>
    </row>
    <row r="16429" customFormat="false" ht="17.15" hidden="false" customHeight="false" outlineLevel="0" collapsed="false">
      <c r="A16429" s="1" t="s">
        <v>963</v>
      </c>
      <c r="B16429" s="0" t="s">
        <v>98</v>
      </c>
      <c r="E16429" s="6" t="n">
        <f aca="false">Q!M35-Q!M36-Q!M43</f>
        <v>63.886</v>
      </c>
      <c r="F16429" s="6" t="n">
        <f aca="false">Sens!F16422-Sens!F16426-Sens!F16428</f>
        <v>-3.22928500927296</v>
      </c>
      <c r="G16429" s="6" t="n">
        <f aca="false">Sens!G16422-Sens!G16426-Sens!G16428</f>
        <v>17.9109015299816</v>
      </c>
      <c r="H16429" s="6" t="n">
        <f aca="false">Sens!H16422-Sens!H16426-Sens!H16428</f>
        <v>42.4029253007048</v>
      </c>
      <c r="I16429" s="6" t="n">
        <f aca="false">Sens!I16422-Sens!I16426-Sens!I16428</f>
        <v>99.0881287719206</v>
      </c>
      <c r="J16429" s="6" t="n">
        <f aca="false">Sens!J16422-Sens!J16426-Sens!J16428</f>
        <v>162.38825178566</v>
      </c>
      <c r="K16429" s="6" t="n">
        <f aca="false">Sens!K16422-Sens!K16426-Sens!K16428</f>
        <v>190.145428585401</v>
      </c>
      <c r="L16429" s="11" t="s">
        <v>964</v>
      </c>
    </row>
    <row r="16430" customFormat="false" ht="15" hidden="false" customHeight="false" outlineLevel="0" collapsed="false">
      <c r="A16430" s="1" t="s">
        <v>965</v>
      </c>
      <c r="B16430" s="0" t="s">
        <v>75</v>
      </c>
      <c r="F16430" s="8" t="n">
        <f aca="false">dps_27</f>
        <v>3.85</v>
      </c>
      <c r="G16430" s="8" t="n">
        <f aca="false">Sens!F16430*(1+dps_g)</f>
        <v>4.158</v>
      </c>
      <c r="H16430" s="8" t="n">
        <f aca="false">Sens!G16430*(1+dps_g)</f>
        <v>4.49064</v>
      </c>
      <c r="I16430" s="8" t="n">
        <f aca="false">Sens!H16430*(1+dps_g)</f>
        <v>4.8498912</v>
      </c>
      <c r="J16430" s="8" t="n">
        <f aca="false">Sens!I16430*(1+dps_g)</f>
        <v>5.237882496</v>
      </c>
      <c r="K16430" s="8" t="n">
        <f aca="false">Sens!J16430*(1+dps_g)</f>
        <v>5.65691309568</v>
      </c>
    </row>
    <row r="16431" customFormat="false" ht="17.15" hidden="false" customHeight="false" outlineLevel="0" collapsed="false">
      <c r="A16431" s="1" t="s">
        <v>966</v>
      </c>
      <c r="B16431" s="0" t="s">
        <v>98</v>
      </c>
      <c r="E16431" s="6" t="n">
        <f aca="false">Q!M41</f>
        <v>26.445</v>
      </c>
      <c r="F16431" s="6" t="n">
        <f aca="false">Sens!F16430*Sens!E16440</f>
        <v>28.59395</v>
      </c>
      <c r="G16431" s="6" t="n">
        <f aca="false">Sens!G16430*Sens!F16440</f>
        <v>31.068576</v>
      </c>
      <c r="H16431" s="6" t="n">
        <f aca="false">Sens!H16430*Sens!G16440</f>
        <v>33.75614088</v>
      </c>
      <c r="I16431" s="6" t="n">
        <f aca="false">Sens!I16430*Sens!H16440</f>
        <v>36.6249522979783</v>
      </c>
      <c r="J16431" s="6" t="n">
        <f aca="false">Sens!J16430*Sens!I16440</f>
        <v>39.623347330136</v>
      </c>
      <c r="K16431" s="6" t="n">
        <f aca="false">Sens!K16430*Sens!J16440</f>
        <v>42.880470341852</v>
      </c>
      <c r="L16431" s="1" t="s">
        <v>967</v>
      </c>
    </row>
    <row r="16432" customFormat="false" ht="15" hidden="false" customHeight="false" outlineLevel="0" collapsed="false">
      <c r="A16432" s="1" t="s">
        <v>968</v>
      </c>
      <c r="B16432" s="0" t="s">
        <v>98</v>
      </c>
      <c r="E16432" s="6" t="n">
        <f aca="false">Sens!E16429-Sens!E16431</f>
        <v>37.441</v>
      </c>
      <c r="F16432" s="6" t="n">
        <f aca="false">Sens!F16429-Sens!F16431</f>
        <v>-31.823235009273</v>
      </c>
      <c r="G16432" s="6" t="n">
        <f aca="false">Sens!G16429-Sens!G16431</f>
        <v>-13.1576744700184</v>
      </c>
      <c r="H16432" s="6" t="n">
        <f aca="false">Sens!H16429-Sens!H16431</f>
        <v>8.64678442070476</v>
      </c>
      <c r="I16432" s="6" t="n">
        <f aca="false">Sens!I16429-Sens!I16431</f>
        <v>62.4631764739423</v>
      </c>
      <c r="J16432" s="6" t="n">
        <f aca="false">Sens!J16429-Sens!J16431</f>
        <v>122.764904455524</v>
      </c>
      <c r="K16432" s="6" t="n">
        <f aca="false">Sens!K16429-Sens!K16431</f>
        <v>147.264958243549</v>
      </c>
    </row>
    <row r="16433" customFormat="false" ht="15" hidden="false" customHeight="false" outlineLevel="0" collapsed="false">
      <c r="A16433" s="1" t="s">
        <v>969</v>
      </c>
      <c r="B16433" s="0" t="s">
        <v>98</v>
      </c>
      <c r="F16433" s="6" t="n">
        <f aca="false">debt_mat_27</f>
        <v>9.25</v>
      </c>
      <c r="G16433" s="6" t="n">
        <f aca="false">debt_mat_28</f>
        <v>0</v>
      </c>
      <c r="H16433" s="6" t="n">
        <f aca="false">debt_mat_29</f>
        <v>2.001</v>
      </c>
      <c r="I16433" s="6" t="n">
        <f aca="false">debt_mat_30</f>
        <v>0</v>
      </c>
      <c r="J16433" s="6" t="n">
        <f aca="false">debt_mat_31</f>
        <v>0.5</v>
      </c>
      <c r="K16433" s="6" t="n">
        <f aca="false">debt_mat_32</f>
        <v>0</v>
      </c>
    </row>
    <row r="16434" customFormat="false" ht="15" hidden="false" customHeight="false" outlineLevel="0" collapsed="false">
      <c r="A16434" s="1" t="s">
        <v>970</v>
      </c>
      <c r="B16434" s="0" t="s">
        <v>98</v>
      </c>
      <c r="E16434" s="6" t="n">
        <f aca="false">Q!M40</f>
        <v>22.271</v>
      </c>
      <c r="F16434" s="6" t="n">
        <f aca="false">MAX(0,MIN(bb_target,Sens!E16436+Sens!F16432-Sens!F16433-min_cash))</f>
        <v>0</v>
      </c>
      <c r="G16434" s="6" t="n">
        <f aca="false">MAX(0,MIN(bb_target,Sens!F16436+Sens!G16432-Sens!G16433-min_cash))</f>
        <v>0</v>
      </c>
      <c r="H16434" s="6" t="n">
        <f aca="false">MAX(0,MIN(bb_target,Sens!G16436+Sens!H16432-Sens!H16433-min_cash))</f>
        <v>6.64578442070476</v>
      </c>
      <c r="I16434" s="6" t="n">
        <f aca="false">MAX(0,MIN(bb_target,Sens!H16436+Sens!I16432-Sens!I16433-min_cash))</f>
        <v>22.271</v>
      </c>
      <c r="J16434" s="6" t="n">
        <f aca="false">MAX(0,MIN(bb_target,Sens!I16436+Sens!J16432-Sens!J16433-min_cash))</f>
        <v>22.271</v>
      </c>
      <c r="K16434" s="6" t="n">
        <f aca="false">MAX(0,MIN(bb_target,Sens!J16436+Sens!K16432-Sens!K16433-min_cash))</f>
        <v>22.271</v>
      </c>
    </row>
    <row r="16435" customFormat="false" ht="15" hidden="false" customHeight="false" outlineLevel="0" collapsed="false">
      <c r="A16435" s="1" t="s">
        <v>971</v>
      </c>
      <c r="B16435" s="0" t="s">
        <v>98</v>
      </c>
      <c r="F16435" s="6" t="n">
        <f aca="false">MAX(0,min_cash-(Sens!E16436+Sens!F16432-Sens!F16433-Sens!F16434))</f>
        <v>14.230235009273</v>
      </c>
      <c r="G16435" s="6" t="n">
        <f aca="false">MAX(0,min_cash-(Sens!F16436+Sens!G16432-Sens!G16433-Sens!G16434))</f>
        <v>13.1576744700184</v>
      </c>
      <c r="H16435" s="6" t="n">
        <f aca="false">MAX(0,min_cash-(Sens!G16436+Sens!H16432-Sens!H16433-Sens!H16434))</f>
        <v>0</v>
      </c>
      <c r="I16435" s="6" t="n">
        <f aca="false">MAX(0,min_cash-(Sens!H16436+Sens!I16432-Sens!I16433-Sens!I16434))</f>
        <v>0</v>
      </c>
      <c r="J16435" s="6" t="n">
        <f aca="false">MAX(0,min_cash-(Sens!I16436+Sens!J16432-Sens!J16433-Sens!J16434))</f>
        <v>0</v>
      </c>
      <c r="K16435" s="6" t="n">
        <f aca="false">MAX(0,min_cash-(Sens!J16436+Sens!K16432-Sens!K16433-Sens!K16434))</f>
        <v>0</v>
      </c>
    </row>
    <row r="16436" customFormat="false" ht="15" hidden="false" customHeight="false" outlineLevel="0" collapsed="false">
      <c r="A16436" s="1" t="s">
        <v>972</v>
      </c>
      <c r="B16436" s="0" t="s">
        <v>98</v>
      </c>
      <c r="E16436" s="6" t="n">
        <f aca="false">cash_open</f>
        <v>76.843</v>
      </c>
      <c r="F16436" s="6" t="n">
        <f aca="false">Sens!E16436+Sens!F16432-Sens!F16433-Sens!F16434+Sens!F16435</f>
        <v>50</v>
      </c>
      <c r="G16436" s="6" t="n">
        <f aca="false">Sens!F16436+Sens!G16432-Sens!G16433-Sens!G16434+Sens!G16435</f>
        <v>50</v>
      </c>
      <c r="H16436" s="6" t="n">
        <f aca="false">Sens!G16436+Sens!H16432-Sens!H16433-Sens!H16434+Sens!H16435</f>
        <v>50</v>
      </c>
      <c r="I16436" s="6" t="n">
        <f aca="false">Sens!H16436+Sens!I16432-Sens!I16433-Sens!I16434+Sens!I16435</f>
        <v>90.1921764739423</v>
      </c>
      <c r="J16436" s="6" t="n">
        <f aca="false">Sens!I16436+Sens!J16432-Sens!J16433-Sens!J16434+Sens!J16435</f>
        <v>190.186080929467</v>
      </c>
      <c r="K16436" s="6" t="n">
        <f aca="false">Sens!J16436+Sens!K16432-Sens!K16433-Sens!K16434+Sens!K16435</f>
        <v>315.180039173016</v>
      </c>
    </row>
    <row r="16437" customFormat="false" ht="15" hidden="false" customHeight="false" outlineLevel="0" collapsed="false">
      <c r="A16437" s="1" t="s">
        <v>973</v>
      </c>
      <c r="B16437" s="0" t="s">
        <v>98</v>
      </c>
      <c r="E16437" s="6" t="n">
        <f aca="false">debt_face</f>
        <v>46.136</v>
      </c>
      <c r="F16437" s="6" t="n">
        <f aca="false">Sens!E16437-Sens!F16433+Sens!F16435</f>
        <v>51.116235009273</v>
      </c>
      <c r="G16437" s="6" t="n">
        <f aca="false">Sens!F16437-Sens!G16433+Sens!G16435</f>
        <v>64.2739094792914</v>
      </c>
      <c r="H16437" s="6" t="n">
        <f aca="false">Sens!G16437-Sens!H16433+Sens!H16435</f>
        <v>62.2729094792914</v>
      </c>
      <c r="I16437" s="6" t="n">
        <f aca="false">Sens!H16437-Sens!I16433+Sens!I16435</f>
        <v>62.2729094792914</v>
      </c>
      <c r="J16437" s="6" t="n">
        <f aca="false">Sens!I16437-Sens!J16433+Sens!J16435</f>
        <v>61.7729094792914</v>
      </c>
      <c r="K16437" s="6" t="n">
        <f aca="false">Sens!J16437-Sens!K16433+Sens!K16435</f>
        <v>61.7729094792914</v>
      </c>
    </row>
    <row r="16438" customFormat="false" ht="15" hidden="false" customHeight="false" outlineLevel="0" collapsed="false">
      <c r="A16438" s="1" t="s">
        <v>974</v>
      </c>
      <c r="B16438" s="0" t="s">
        <v>98</v>
      </c>
      <c r="E16438" s="6" t="n">
        <f aca="false">Sens!E16436-Sens!E16437</f>
        <v>30.707</v>
      </c>
      <c r="F16438" s="6" t="n">
        <f aca="false">Sens!F16436-Sens!F16437</f>
        <v>-1.11623500927296</v>
      </c>
      <c r="G16438" s="6" t="n">
        <f aca="false">Sens!G16436-Sens!G16437</f>
        <v>-14.2739094792913</v>
      </c>
      <c r="H16438" s="6" t="n">
        <f aca="false">Sens!H16436-Sens!H16437</f>
        <v>-12.2729094792914</v>
      </c>
      <c r="I16438" s="6" t="n">
        <f aca="false">Sens!I16436-Sens!I16437</f>
        <v>27.9192669946509</v>
      </c>
      <c r="J16438" s="6" t="n">
        <f aca="false">Sens!J16436-Sens!J16437</f>
        <v>128.413171450175</v>
      </c>
      <c r="K16438" s="6" t="n">
        <f aca="false">Sens!K16436-Sens!K16437</f>
        <v>253.407129693724</v>
      </c>
    </row>
    <row r="16439" customFormat="false" ht="15" hidden="false" customHeight="false" outlineLevel="0" collapsed="false">
      <c r="A16439" s="1" t="s">
        <v>975</v>
      </c>
      <c r="B16439" s="0" t="s">
        <v>75</v>
      </c>
      <c r="F16439" s="29" t="n">
        <f aca="false">px*(1+bb_g)^(Sens!F16301-base_fy-mid_yr)</f>
        <v>553.494156066711</v>
      </c>
      <c r="G16439" s="29" t="n">
        <f aca="false">px*(1+bb_g)^(Sens!G16301-base_fy-mid_yr)</f>
        <v>597.773688552047</v>
      </c>
      <c r="H16439" s="29" t="n">
        <f aca="false">px*(1+bb_g)^(Sens!H16301-base_fy-mid_yr)</f>
        <v>645.595583636211</v>
      </c>
      <c r="I16439" s="29" t="n">
        <f aca="false">px*(1+bb_g)^(Sens!I16301-base_fy-mid_yr)</f>
        <v>697.243230327108</v>
      </c>
      <c r="J16439" s="29" t="n">
        <f aca="false">px*(1+bb_g)^(Sens!J16301-base_fy-mid_yr)</f>
        <v>753.022688753277</v>
      </c>
      <c r="K16439" s="29" t="n">
        <f aca="false">px*(1+bb_g)^(Sens!K16301-base_fy-mid_yr)</f>
        <v>813.264503853539</v>
      </c>
    </row>
    <row r="16440" customFormat="false" ht="15" hidden="false" customHeight="false" outlineLevel="0" collapsed="false">
      <c r="A16440" s="1" t="s">
        <v>976</v>
      </c>
      <c r="B16440" s="1" t="s">
        <v>81</v>
      </c>
      <c r="E16440" s="14" t="n">
        <f aca="false">sh_out26</f>
        <v>7.427</v>
      </c>
      <c r="F16440" s="14" t="n">
        <f aca="false">Sens!E16440+sh_iss-Sens!F16434/Sens!F16439</f>
        <v>7.472</v>
      </c>
      <c r="G16440" s="14" t="n">
        <f aca="false">Sens!F16440+sh_iss-Sens!G16434/Sens!G16439</f>
        <v>7.517</v>
      </c>
      <c r="H16440" s="14" t="n">
        <f aca="false">Sens!G16440+sh_iss-Sens!H16434/Sens!H16439</f>
        <v>7.55170596362622</v>
      </c>
      <c r="I16440" s="14" t="n">
        <f aca="false">Sens!H16440+sh_iss-Sens!I16434/Sens!I16439</f>
        <v>7.56476445594094</v>
      </c>
      <c r="J16440" s="14" t="n">
        <f aca="false">Sens!I16440+sh_iss-Sens!J16434/Sens!J16439</f>
        <v>7.58018898586198</v>
      </c>
      <c r="K16440" s="14" t="n">
        <f aca="false">Sens!J16440+sh_iss-Sens!K16434/Sens!K16439</f>
        <v>7.59780429134443</v>
      </c>
    </row>
    <row r="16441" customFormat="false" ht="15" hidden="false" customHeight="false" outlineLevel="0" collapsed="false">
      <c r="A16441" s="1" t="s">
        <v>977</v>
      </c>
      <c r="B16441" s="1" t="s">
        <v>81</v>
      </c>
      <c r="E16441" s="14" t="n">
        <f aca="false">sh_dil26</f>
        <v>7.453</v>
      </c>
      <c r="F16441" s="14" t="n">
        <f aca="false">(Sens!E16440+Sens!F16440)/2+dil_gap</f>
        <v>7.4735</v>
      </c>
      <c r="G16441" s="14" t="n">
        <f aca="false">(Sens!F16440+Sens!G16440)/2+dil_gap</f>
        <v>7.5185</v>
      </c>
      <c r="H16441" s="14" t="n">
        <f aca="false">(Sens!G16440+Sens!H16440)/2+dil_gap</f>
        <v>7.55835298181311</v>
      </c>
      <c r="I16441" s="14" t="n">
        <f aca="false">(Sens!H16440+Sens!I16440)/2+dil_gap</f>
        <v>7.58223520978358</v>
      </c>
      <c r="J16441" s="14" t="n">
        <f aca="false">(Sens!I16440+Sens!J16440)/2+dil_gap</f>
        <v>7.59647672090146</v>
      </c>
      <c r="K16441" s="14" t="n">
        <f aca="false">(Sens!J16440+Sens!K16440)/2+dil_gap</f>
        <v>7.6129966386032</v>
      </c>
    </row>
    <row r="16442" customFormat="false" ht="17.15" hidden="false" customHeight="false" outlineLevel="0" collapsed="false">
      <c r="A16442" s="1" t="s">
        <v>978</v>
      </c>
      <c r="B16442" s="0" t="s">
        <v>98</v>
      </c>
      <c r="C16442" s="6" t="n">
        <f aca="false">SUM(Sens!F16432:J16432)</f>
        <v>148.89395587088</v>
      </c>
    </row>
    <row r="16443" customFormat="false" ht="15" hidden="false" customHeight="false" outlineLevel="0" collapsed="false">
      <c r="A16443" s="23" t="s">
        <v>945</v>
      </c>
      <c r="B16443" s="30" t="s">
        <v>98</v>
      </c>
      <c r="C16443" s="24" t="n">
        <f aca="false">Sens!$C$16442-(Sens!F16432+Sens!G16432+Sens!H16432+Sens!I16432+Sens!J16432)</f>
        <v>0</v>
      </c>
      <c r="D16443" s="30"/>
      <c r="E16443" s="30"/>
      <c r="F16443" s="30"/>
      <c r="G16443" s="30"/>
      <c r="H16443" s="30"/>
      <c r="I16443" s="30"/>
      <c r="J16443" s="30"/>
      <c r="K16443" s="30"/>
    </row>
    <row r="16444" customFormat="false" ht="17.15" hidden="false" customHeight="false" outlineLevel="0" collapsed="false">
      <c r="A16444" s="1" t="s">
        <v>939</v>
      </c>
      <c r="B16444" s="1" t="s">
        <v>979</v>
      </c>
      <c r="C16444" s="32" t="str">
        <f aca="false">IF(SUM(Sens!F16435:J16435)&gt;0.05,"需要舉債 "&amp;TEXT(SUM(Sens!F16435:J16435),"0.0")&amp;" 十億美元","不需舉債")&amp;"；"&amp;IF(SUM(Sens!F16434:J16434)&lt;COUNT(Sens!F16434:J16434)*bb_target-0.05,"回購較每年 "&amp;TEXT(bb_target,"0.0")&amp;" 的目標少 "&amp;TEXT(COUNT(Sens!F16434:J16434)*bb_target-SUM(Sens!F16434:J16434),"0.0")&amp;" 十億美元（"&amp;TEXT(COUNTIF(Sens!F16434:J16434,"&lt;"&amp;(bb_target-0.05)),"0")&amp;" 年減少）","回購不減")</f>
        <v>需要舉債 27.4 十億美元；回購較每年 22.3 的目標少 60.2 十億美元（3 年減少）</v>
      </c>
    </row>
    <row r="16445" customFormat="false" ht="17.15" hidden="false" customHeight="false" outlineLevel="0" collapsed="false">
      <c r="A16445" s="3" t="s">
        <v>1680</v>
      </c>
    </row>
    <row r="16446" customFormat="false" ht="15" hidden="false" customHeight="false" outlineLevel="0" collapsed="false">
      <c r="A16446" s="4" t="s">
        <v>43</v>
      </c>
      <c r="B16446" s="4" t="s">
        <v>65</v>
      </c>
      <c r="C16446" s="20" t="s">
        <v>799</v>
      </c>
      <c r="D16446" s="20" t="s">
        <v>800</v>
      </c>
      <c r="E16446" s="20" t="s">
        <v>801</v>
      </c>
      <c r="F16446" s="20" t="s">
        <v>802</v>
      </c>
      <c r="G16446" s="20" t="s">
        <v>803</v>
      </c>
      <c r="H16446" s="20" t="s">
        <v>804</v>
      </c>
      <c r="I16446" s="20" t="s">
        <v>805</v>
      </c>
      <c r="J16446" s="20" t="s">
        <v>806</v>
      </c>
      <c r="K16446" s="20" t="s">
        <v>807</v>
      </c>
      <c r="L16446" s="4" t="s">
        <v>47</v>
      </c>
    </row>
    <row r="16447" customFormat="false" ht="15" hidden="false" customHeight="false" outlineLevel="0" collapsed="false">
      <c r="A16447" s="1" t="s">
        <v>1057</v>
      </c>
      <c r="B16447" s="1" t="s">
        <v>235</v>
      </c>
      <c r="F16447" s="36" t="n">
        <f aca="false">Sens!F16301-base_fy-mid_yr</f>
        <v>0.5</v>
      </c>
      <c r="G16447" s="36" t="n">
        <f aca="false">Sens!G16301-base_fy-mid_yr</f>
        <v>1.5</v>
      </c>
      <c r="H16447" s="36" t="n">
        <f aca="false">Sens!H16301-base_fy-mid_yr</f>
        <v>2.5</v>
      </c>
      <c r="I16447" s="36" t="n">
        <f aca="false">Sens!I16301-base_fy-mid_yr</f>
        <v>3.5</v>
      </c>
      <c r="J16447" s="36" t="n">
        <f aca="false">Sens!J16301-base_fy-mid_yr</f>
        <v>4.5</v>
      </c>
      <c r="K16447" s="36" t="n">
        <f aca="false">Sens!K16301-base_fy-mid_yr</f>
        <v>5.5</v>
      </c>
    </row>
    <row r="16448" customFormat="false" ht="15" hidden="false" customHeight="false" outlineLevel="0" collapsed="false">
      <c r="A16448" s="1" t="s">
        <v>1058</v>
      </c>
      <c r="B16448" s="0" t="s">
        <v>185</v>
      </c>
      <c r="F16448" s="14" t="n">
        <f aca="false">1/(1+wacc)^Sens!F16447</f>
        <v>0.952193373608246</v>
      </c>
      <c r="G16448" s="14" t="n">
        <f aca="false">1/(1+wacc)^Sens!G16447</f>
        <v>0.863327280626589</v>
      </c>
      <c r="H16448" s="14" t="n">
        <f aca="false">1/(1+wacc)^Sens!H16447</f>
        <v>0.782754862754115</v>
      </c>
      <c r="I16448" s="14" t="n">
        <f aca="false">1/(1+wacc)^Sens!I16447</f>
        <v>0.709702089711011</v>
      </c>
      <c r="J16448" s="14" t="n">
        <f aca="false">1/(1+wacc)^Sens!J16447</f>
        <v>0.643467169744551</v>
      </c>
      <c r="K16448" s="14" t="n">
        <f aca="false">1/(1+wacc)^Sens!K16447</f>
        <v>0.583413807767797</v>
      </c>
    </row>
    <row r="16449" customFormat="false" ht="17.15" hidden="false" customHeight="false" outlineLevel="0" collapsed="false">
      <c r="A16449" s="1" t="s">
        <v>1059</v>
      </c>
      <c r="B16449" s="0" t="s">
        <v>98</v>
      </c>
      <c r="F16449" s="6" t="n">
        <f aca="false">Sens!F16422-Sens!F16420-Sens!F16426+Sens!F16405*(1-tax_f)</f>
        <v>-5.69096472149756</v>
      </c>
      <c r="G16449" s="6" t="n">
        <f aca="false">Sens!G16422-Sens!G16420-Sens!G16426+Sens!G16405*(1-tax_f)</f>
        <v>26.535680556693</v>
      </c>
      <c r="H16449" s="6" t="n">
        <f aca="false">Sens!H16422-Sens!H16420-Sens!H16426+Sens!H16405*(1-tax_f)</f>
        <v>62.7062307451503</v>
      </c>
      <c r="I16449" s="6" t="n">
        <f aca="false">Sens!I16422-Sens!I16420-Sens!I16426+Sens!I16405*(1-tax_f)</f>
        <v>130.059230289045</v>
      </c>
      <c r="J16449" s="6" t="n">
        <f aca="false">Sens!J16422-Sens!J16420-Sens!J16426+Sens!J16405*(1-tax_f)</f>
        <v>200.668342517672</v>
      </c>
      <c r="K16449" s="6" t="n">
        <f aca="false">Sens!K16422-Sens!K16420-Sens!K16426+Sens!K16405*(1-tax_f)</f>
        <v>232.526006534194</v>
      </c>
      <c r="L16449" s="1" t="s">
        <v>1060</v>
      </c>
    </row>
    <row r="16450" customFormat="false" ht="15" hidden="false" customHeight="false" outlineLevel="0" collapsed="false">
      <c r="A16450" s="1" t="s">
        <v>1061</v>
      </c>
      <c r="B16450" s="0" t="s">
        <v>98</v>
      </c>
      <c r="F16450" s="6" t="n">
        <f aca="false">Sens!F16449*Sens!F16448</f>
        <v>-5.41889889724827</v>
      </c>
      <c r="G16450" s="6" t="n">
        <f aca="false">Sens!G16449*Sens!G16448</f>
        <v>22.9089769345857</v>
      </c>
      <c r="H16450" s="6" t="n">
        <f aca="false">Sens!H16449*Sens!H16448</f>
        <v>49.083607040748</v>
      </c>
      <c r="I16450" s="6" t="n">
        <f aca="false">Sens!I16449*Sens!I16448</f>
        <v>92.3033075223408</v>
      </c>
      <c r="J16450" s="6" t="n">
        <f aca="false">Sens!J16449*Sens!J16448</f>
        <v>129.123490417177</v>
      </c>
      <c r="K16450" s="6" t="n">
        <f aca="false">Sens!K16449*Sens!K16448</f>
        <v>135.658882877153</v>
      </c>
    </row>
    <row r="16451" customFormat="false" ht="17.15" hidden="false" customHeight="false" outlineLevel="0" collapsed="false">
      <c r="A16451" s="1" t="s">
        <v>1062</v>
      </c>
      <c r="B16451" s="0" t="s">
        <v>98</v>
      </c>
      <c r="C16451" s="6" t="n">
        <f aca="false">SUM(Sens!F16450:K16450)</f>
        <v>423.659365894756</v>
      </c>
    </row>
    <row r="16452" customFormat="false" ht="17.15" hidden="false" customHeight="false" outlineLevel="0" collapsed="false">
      <c r="A16452" s="1" t="s">
        <v>1063</v>
      </c>
      <c r="B16452" s="0" t="s">
        <v>98</v>
      </c>
      <c r="C16452" s="6" t="n">
        <f aca="false">Sens!K16391*(1+g_tv)*(1-tax_f)</f>
        <v>245.841647887402</v>
      </c>
    </row>
    <row r="16453" customFormat="false" ht="17.15" hidden="false" customHeight="false" outlineLevel="0" collapsed="false">
      <c r="A16453" s="1" t="s">
        <v>1064</v>
      </c>
      <c r="B16453" s="0" t="s">
        <v>98</v>
      </c>
      <c r="C16453" s="6" t="n">
        <f aca="false">Sens!$C$16452*(1-g_tv/(wacc+ronic_prem))</f>
        <v>174.191665015127</v>
      </c>
    </row>
    <row r="16454" customFormat="false" ht="17.15" hidden="false" customHeight="false" outlineLevel="0" collapsed="false">
      <c r="A16454" s="1" t="s">
        <v>1065</v>
      </c>
      <c r="B16454" s="0" t="s">
        <v>98</v>
      </c>
      <c r="C16454" s="6" t="n">
        <f aca="false">Sens!$C$16453/(wacc-g_tv)</f>
        <v>2388.33276240915</v>
      </c>
    </row>
    <row r="16455" customFormat="false" ht="15" hidden="false" customHeight="false" outlineLevel="0" collapsed="false">
      <c r="A16455" s="1" t="s">
        <v>1066</v>
      </c>
      <c r="B16455" s="0" t="s">
        <v>98</v>
      </c>
      <c r="C16455" s="6" t="n">
        <f aca="false">Sens!$C$16454/(1+wacc)^(Sens!K16447+mid_yr)</f>
        <v>1326.77321233795</v>
      </c>
    </row>
    <row r="16456" customFormat="false" ht="17.15" hidden="false" customHeight="false" outlineLevel="0" collapsed="false">
      <c r="A16456" s="0" t="s">
        <v>986</v>
      </c>
      <c r="B16456" s="0" t="s">
        <v>98</v>
      </c>
      <c r="C16456" s="6" t="n">
        <f aca="false">Sens!$C$16451+Sens!$C$16455</f>
        <v>1750.43257823271</v>
      </c>
    </row>
    <row r="16457" customFormat="false" ht="15" hidden="false" customHeight="false" outlineLevel="0" collapsed="false">
      <c r="A16457" s="1" t="s">
        <v>987</v>
      </c>
      <c r="B16457" s="0" t="s">
        <v>129</v>
      </c>
      <c r="C16457" s="7" t="n">
        <f aca="false">Sens!$C$16455/Sens!$C$16456</f>
        <v>0.75796876088624</v>
      </c>
    </row>
    <row r="16458" customFormat="false" ht="17.15" hidden="false" customHeight="false" outlineLevel="0" collapsed="false">
      <c r="A16458" s="1" t="s">
        <v>1067</v>
      </c>
      <c r="B16458" s="0" t="s">
        <v>98</v>
      </c>
      <c r="C16458" s="6" t="n">
        <f aca="false">Sens!$C$16456+Sens!E16438-Sens!E16427+oai_v</f>
        <v>1884.94557823271</v>
      </c>
    </row>
    <row r="16459" customFormat="false" ht="17.15" hidden="false" customHeight="false" outlineLevel="0" collapsed="false">
      <c r="A16459" s="0" t="s">
        <v>994</v>
      </c>
      <c r="B16459" s="0" t="s">
        <v>75</v>
      </c>
      <c r="C16459" s="5" t="n">
        <f aca="false">Sens!$C$16458/sh_dil26</f>
        <v>252.910985942936</v>
      </c>
    </row>
    <row r="16460" customFormat="false" ht="15" hidden="false" customHeight="false" outlineLevel="0" collapsed="false">
      <c r="A16460" s="1" t="s">
        <v>1068</v>
      </c>
      <c r="B16460" s="0" t="s">
        <v>75</v>
      </c>
      <c r="C16460" s="8" t="n">
        <f aca="false">dps_27+Sens!G16430*roll_div_q/q_per_yr</f>
        <v>4.8895</v>
      </c>
    </row>
    <row r="16461" customFormat="false" ht="17.15" hidden="false" customHeight="false" outlineLevel="0" collapsed="false">
      <c r="A16461" s="0" t="s">
        <v>1069</v>
      </c>
      <c r="B16461" s="0" t="s">
        <v>75</v>
      </c>
      <c r="C16461" s="5" t="n">
        <f aca="false">Sens!$C$16459*(1+wacc)^t_roll-Sens!$C$16460</f>
        <v>283.108684271098</v>
      </c>
    </row>
    <row r="16462" customFormat="false" ht="17.15" hidden="false" customHeight="false" outlineLevel="0" collapsed="false">
      <c r="A16462" s="1" t="s">
        <v>1070</v>
      </c>
      <c r="B16462" s="0" t="s">
        <v>129</v>
      </c>
      <c r="F16462" s="7" t="n">
        <f aca="false">Sens!F16417/(Sens!F16362-Sens!F16318)</f>
        <v>0.0686864325746334</v>
      </c>
      <c r="G16462" s="7" t="n">
        <f aca="false">Sens!G16417/(Sens!G16362-Sens!G16318)</f>
        <v>0.066267001590801</v>
      </c>
      <c r="H16462" s="7" t="n">
        <f aca="false">Sens!H16417/(Sens!H16362-Sens!H16318)</f>
        <v>0.0650366246750144</v>
      </c>
      <c r="I16462" s="7" t="n">
        <f aca="false">Sens!I16417/(Sens!I16362-Sens!I16318)</f>
        <v>0.0648573271390164</v>
      </c>
      <c r="J16462" s="7" t="n">
        <f aca="false">Sens!J16417/(Sens!J16362-Sens!J16318)</f>
        <v>0.0655189837669657</v>
      </c>
      <c r="K16462" s="7" t="n">
        <f aca="false">Sens!K16417/(Sens!K16362-Sens!K16318)</f>
        <v>0.0667878921367872</v>
      </c>
    </row>
    <row r="16463" customFormat="false" ht="17.15" hidden="false" customHeight="false" outlineLevel="0" collapsed="false">
      <c r="A16463" s="0" t="s">
        <v>1071</v>
      </c>
      <c r="B16463" s="0" t="s">
        <v>98</v>
      </c>
      <c r="F16463" s="6" t="n">
        <f aca="false">Sens!F16347*(al_m365+Sens!F16462+sbc_r)</f>
        <v>82.8871280343675</v>
      </c>
      <c r="G16463" s="6" t="n">
        <f aca="false">Sens!G16347*(al_m365+Sens!G16462+sbc_r)</f>
        <v>93.2646494841949</v>
      </c>
      <c r="H16463" s="6" t="n">
        <f aca="false">Sens!H16347*(al_m365+Sens!H16462+sbc_r)</f>
        <v>103.801656157254</v>
      </c>
      <c r="I16463" s="6" t="n">
        <f aca="false">Sens!I16347*(al_m365+Sens!I16462+sbc_r)</f>
        <v>113.821873816133</v>
      </c>
      <c r="J16463" s="6" t="n">
        <f aca="false">Sens!J16347*(al_m365+Sens!J16462+sbc_r)</f>
        <v>123.136196807334</v>
      </c>
      <c r="K16463" s="6" t="n">
        <f aca="false">Sens!K16347*(al_m365+Sens!K16462+sbc_r)</f>
        <v>132.051675801964</v>
      </c>
      <c r="L16463" s="11" t="s">
        <v>1072</v>
      </c>
    </row>
    <row r="16464" customFormat="false" ht="17.15" hidden="false" customHeight="false" outlineLevel="0" collapsed="false">
      <c r="A16464" s="0" t="s">
        <v>1073</v>
      </c>
      <c r="B16464" s="0" t="s">
        <v>98</v>
      </c>
      <c r="F16464" s="6" t="n">
        <f aca="false">Sens!F16348*(al_lic+Sens!F16462+sbc_r)</f>
        <v>33.4484001235218</v>
      </c>
      <c r="G16464" s="6" t="n">
        <f aca="false">Sens!G16348*(al_lic+Sens!G16462+sbc_r)</f>
        <v>34.7662136749183</v>
      </c>
      <c r="H16464" s="6" t="n">
        <f aca="false">Sens!H16348*(al_lic+Sens!H16462+sbc_r)</f>
        <v>35.9922067034497</v>
      </c>
      <c r="I16464" s="6" t="n">
        <f aca="false">Sens!I16348*(al_lic+Sens!I16462+sbc_r)</f>
        <v>37.1063543598183</v>
      </c>
      <c r="J16464" s="6" t="n">
        <f aca="false">Sens!J16348*(al_lic+Sens!J16462+sbc_r)</f>
        <v>38.0853056964387</v>
      </c>
      <c r="K16464" s="6" t="n">
        <f aca="false">Sens!K16348*(al_lic+Sens!K16462+sbc_r)</f>
        <v>38.9048066370724</v>
      </c>
    </row>
    <row r="16465" customFormat="false" ht="17.15" hidden="false" customHeight="false" outlineLevel="0" collapsed="false">
      <c r="A16465" s="0" t="s">
        <v>1074</v>
      </c>
      <c r="B16465" s="0" t="s">
        <v>98</v>
      </c>
      <c r="F16465" s="6" t="n">
        <f aca="false">Sens!F16350*(al_ind+Sens!F16462+sbc_r)</f>
        <v>9.07857451914073</v>
      </c>
      <c r="G16465" s="6" t="n">
        <f aca="false">Sens!G16350*(al_ind+Sens!G16462+sbc_r)</f>
        <v>9.86487802721884</v>
      </c>
      <c r="H16465" s="6" t="n">
        <f aca="false">Sens!H16350*(al_ind+Sens!H16462+sbc_r)</f>
        <v>10.693809720013</v>
      </c>
      <c r="I16465" s="6" t="n">
        <f aca="false">Sens!I16350*(al_ind+Sens!I16462+sbc_r)</f>
        <v>11.5608645999226</v>
      </c>
      <c r="J16465" s="6" t="n">
        <f aca="false">Sens!J16350*(al_ind+Sens!J16462+sbc_r)</f>
        <v>12.4574161941375</v>
      </c>
      <c r="K16465" s="6" t="n">
        <f aca="false">Sens!K16350*(al_ind+Sens!K16462+sbc_r)</f>
        <v>13.3714153876622</v>
      </c>
    </row>
    <row r="16466" customFormat="false" ht="17.15" hidden="false" customHeight="false" outlineLevel="0" collapsed="false">
      <c r="A16466" s="0" t="s">
        <v>1075</v>
      </c>
      <c r="B16466" s="0" t="s">
        <v>98</v>
      </c>
      <c r="F16466" s="6" t="n">
        <f aca="false">Sens!F16352*(al_fro+Sens!F16462+sbc_r)</f>
        <v>3.57335880380168</v>
      </c>
      <c r="G16466" s="6" t="n">
        <f aca="false">Sens!G16352*(al_fro+Sens!G16462+sbc_r)</f>
        <v>3.78752993435501</v>
      </c>
      <c r="H16466" s="6" t="n">
        <f aca="false">Sens!H16352*(al_fro+Sens!H16462+sbc_r)</f>
        <v>4.02979352544868</v>
      </c>
      <c r="I16466" s="6" t="n">
        <f aca="false">Sens!I16352*(al_fro+Sens!I16462+sbc_r)</f>
        <v>4.30248328262388</v>
      </c>
      <c r="J16466" s="6" t="n">
        <f aca="false">Sens!J16352*(al_fro+Sens!J16462+sbc_r)</f>
        <v>4.6072312462081</v>
      </c>
      <c r="K16466" s="6" t="n">
        <f aca="false">Sens!K16352*(al_fro+Sens!K16462+sbc_r)</f>
        <v>4.94526327289735</v>
      </c>
    </row>
    <row r="16467" customFormat="false" ht="17.15" hidden="false" customHeight="false" outlineLevel="0" collapsed="false">
      <c r="A16467" s="0" t="s">
        <v>1076</v>
      </c>
      <c r="B16467" s="0" t="s">
        <v>98</v>
      </c>
      <c r="F16467" s="6" t="n">
        <f aca="false">Sens!F16355*(al_srch+Sens!F16462+sbc_r)</f>
        <v>11.2121706988551</v>
      </c>
      <c r="G16467" s="6" t="n">
        <f aca="false">Sens!G16355*(al_srch+Sens!G16462+sbc_r)</f>
        <v>12.298220751086</v>
      </c>
      <c r="H16467" s="6" t="n">
        <f aca="false">Sens!H16355*(al_srch+Sens!H16462+sbc_r)</f>
        <v>13.4264661389574</v>
      </c>
      <c r="I16467" s="6" t="n">
        <f aca="false">Sens!I16355*(al_srch+Sens!I16462+sbc_r)</f>
        <v>14.5842947685169</v>
      </c>
      <c r="J16467" s="6" t="n">
        <f aca="false">Sens!J16355*(al_srch+Sens!J16462+sbc_r)</f>
        <v>15.7529827260804</v>
      </c>
      <c r="K16467" s="6" t="n">
        <f aca="false">Sens!K16355*(al_srch+Sens!K16462+sbc_r)</f>
        <v>16.908777257054</v>
      </c>
    </row>
    <row r="16468" customFormat="false" ht="17.15" hidden="false" customHeight="false" outlineLevel="0" collapsed="false">
      <c r="A16468" s="0" t="s">
        <v>1077</v>
      </c>
      <c r="B16468" s="0" t="s">
        <v>98</v>
      </c>
      <c r="F16468" s="6" t="n">
        <f aca="false">Sens!F16324-Sens!F16325+Sens!F16405</f>
        <v>38.6797715123049</v>
      </c>
      <c r="G16468" s="6" t="n">
        <f aca="false">Sens!G16324-Sens!G16325+Sens!G16405</f>
        <v>67.9698044367775</v>
      </c>
      <c r="H16468" s="6" t="n">
        <f aca="false">Sens!H16324-Sens!H16325+Sens!H16405</f>
        <v>94.4027386785771</v>
      </c>
      <c r="I16468" s="6" t="n">
        <f aca="false">Sens!I16324-Sens!I16325+Sens!I16405</f>
        <v>124.629799296032</v>
      </c>
      <c r="J16468" s="6" t="n">
        <f aca="false">Sens!J16324-Sens!J16325+Sens!J16405</f>
        <v>146.1886418102</v>
      </c>
      <c r="K16468" s="6" t="n">
        <f aca="false">Sens!K16324-Sens!K16325+Sens!K16405</f>
        <v>160.310017660072</v>
      </c>
    </row>
    <row r="16469" customFormat="false" ht="17.15" hidden="false" customHeight="false" outlineLevel="0" collapsed="false">
      <c r="A16469" s="0" t="s">
        <v>1078</v>
      </c>
      <c r="B16469" s="0" t="s">
        <v>98</v>
      </c>
      <c r="F16469" s="6" t="n">
        <f aca="false">Sens!F16384+Sens!F16405+Sens!F16335+Sens!F16462*(Sens!F16354-Sens!F16318)+sbc_r*Sens!F16354</f>
        <v>228.584897827812</v>
      </c>
      <c r="G16469" s="6" t="n">
        <f aca="false">Sens!G16384+Sens!G16405+Sens!G16335+Sens!G16462*(Sens!G16354-Sens!G16318)+sbc_r*Sens!G16354</f>
        <v>282.687640240849</v>
      </c>
      <c r="H16469" s="6" t="n">
        <f aca="false">Sens!H16384+Sens!H16405+Sens!H16335+Sens!H16462*(Sens!H16354-Sens!H16318)+sbc_r*Sens!H16354</f>
        <v>334.211532106692</v>
      </c>
      <c r="I16469" s="6" t="n">
        <f aca="false">Sens!I16384+Sens!I16405+Sens!I16335+Sens!I16462*(Sens!I16354-Sens!I16318)+sbc_r*Sens!I16354</f>
        <v>388.918159470381</v>
      </c>
      <c r="J16469" s="6" t="n">
        <f aca="false">Sens!J16384+Sens!J16405+Sens!J16335+Sens!J16462*(Sens!J16354-Sens!J16318)+sbc_r*Sens!J16354</f>
        <v>433.068603437225</v>
      </c>
      <c r="K16469" s="6" t="n">
        <f aca="false">Sens!K16384+Sens!K16405+Sens!K16335+Sens!K16462*(Sens!K16354-Sens!K16318)+sbc_r*Sens!K16354</f>
        <v>467.497782732921</v>
      </c>
    </row>
    <row r="16470" customFormat="false" ht="17.15" hidden="false" customHeight="false" outlineLevel="0" collapsed="false">
      <c r="A16470" s="0" t="s">
        <v>1079</v>
      </c>
      <c r="B16470" s="0" t="s">
        <v>98</v>
      </c>
      <c r="F16470" s="6" t="n">
        <f aca="false">Sens!F16469-Sens!F16463-Sens!F16464-Sens!F16465-Sens!F16466-Sens!F16468</f>
        <v>60.9176648346755</v>
      </c>
      <c r="G16470" s="6" t="n">
        <f aca="false">Sens!G16469-Sens!G16463-Sens!G16464-Sens!G16465-Sens!G16466-Sens!G16468</f>
        <v>73.0345646833845</v>
      </c>
      <c r="H16470" s="6" t="n">
        <f aca="false">Sens!H16469-Sens!H16463-Sens!H16464-Sens!H16465-Sens!H16466-Sens!H16468</f>
        <v>85.2913273219498</v>
      </c>
      <c r="I16470" s="6" t="n">
        <f aca="false">Sens!I16469-Sens!I16463-Sens!I16464-Sens!I16465-Sens!I16466-Sens!I16468</f>
        <v>97.4967841158513</v>
      </c>
      <c r="J16470" s="6" t="n">
        <f aca="false">Sens!J16469-Sens!J16463-Sens!J16464-Sens!J16465-Sens!J16466-Sens!J16468</f>
        <v>108.593811682907</v>
      </c>
      <c r="K16470" s="6" t="n">
        <f aca="false">Sens!K16469-Sens!K16463-Sens!K16464-Sens!K16465-Sens!K16466-Sens!K16468</f>
        <v>117.914603973254</v>
      </c>
    </row>
    <row r="16471" customFormat="false" ht="17.15" hidden="false" customHeight="false" outlineLevel="0" collapsed="false">
      <c r="A16471" s="0" t="s">
        <v>1080</v>
      </c>
      <c r="B16471" s="0" t="s">
        <v>98</v>
      </c>
      <c r="F16471" s="6" t="n">
        <f aca="false">Sens!F16386+Sens!F16462*Sens!F16361+sbc_r*Sens!F16361</f>
        <v>26.2049549828959</v>
      </c>
      <c r="G16471" s="6" t="n">
        <f aca="false">Sens!G16386+Sens!G16462*Sens!G16361+sbc_r*Sens!G16361</f>
        <v>26.8405806403664</v>
      </c>
      <c r="H16471" s="6" t="n">
        <f aca="false">Sens!H16386+Sens!H16462*Sens!H16361+sbc_r*Sens!H16361</f>
        <v>27.7352032470138</v>
      </c>
      <c r="I16471" s="6" t="n">
        <f aca="false">Sens!I16386+Sens!I16462*Sens!I16361+sbc_r*Sens!I16361</f>
        <v>28.8569155956094</v>
      </c>
      <c r="J16471" s="6" t="n">
        <f aca="false">Sens!J16386+Sens!J16462*Sens!J16361+sbc_r*Sens!J16361</f>
        <v>30.1744385645725</v>
      </c>
      <c r="K16471" s="6" t="n">
        <f aca="false">Sens!K16386+Sens!K16462*Sens!K16361+sbc_r*Sens!K16361</f>
        <v>31.6584976186802</v>
      </c>
    </row>
    <row r="16472" customFormat="false" ht="17.15" hidden="false" customHeight="false" outlineLevel="0" collapsed="false">
      <c r="A16472" s="0" t="s">
        <v>1081</v>
      </c>
      <c r="B16472" s="0" t="s">
        <v>98</v>
      </c>
      <c r="F16472" s="6" t="n">
        <f aca="false">(Sens!F16471-Sens!F16467)*Sens!F16357/(Sens!F16357+Sens!F16359)</f>
        <v>8.21889831690819</v>
      </c>
      <c r="G16472" s="6" t="n">
        <f aca="false">(Sens!G16471-Sens!G16467)*Sens!G16357/(Sens!G16357+Sens!G16359)</f>
        <v>7.82984014749099</v>
      </c>
      <c r="H16472" s="6" t="n">
        <f aca="false">(Sens!H16471-Sens!H16467)*Sens!H16357/(Sens!H16357+Sens!H16359)</f>
        <v>7.5999849964554</v>
      </c>
      <c r="I16472" s="6" t="n">
        <f aca="false">(Sens!I16471-Sens!I16467)*Sens!I16357/(Sens!I16357+Sens!I16359)</f>
        <v>7.51221089422364</v>
      </c>
      <c r="J16472" s="6" t="n">
        <f aca="false">(Sens!J16471-Sens!J16467)*Sens!J16357/(Sens!J16357+Sens!J16359)</f>
        <v>7.55622411401827</v>
      </c>
      <c r="K16472" s="6" t="n">
        <f aca="false">(Sens!K16471-Sens!K16467)*Sens!K16357/(Sens!K16357+Sens!K16359)</f>
        <v>7.72822064011532</v>
      </c>
    </row>
    <row r="16473" customFormat="false" ht="17.15" hidden="false" customHeight="false" outlineLevel="0" collapsed="false">
      <c r="A16473" s="0" t="s">
        <v>1082</v>
      </c>
      <c r="B16473" s="0" t="s">
        <v>98</v>
      </c>
      <c r="F16473" s="6" t="n">
        <f aca="false">Sens!F16471-Sens!F16467-Sens!F16472</f>
        <v>6.77388596713263</v>
      </c>
      <c r="G16473" s="6" t="n">
        <f aca="false">Sens!G16471-Sens!G16467-Sens!G16472</f>
        <v>6.71251974178949</v>
      </c>
      <c r="H16473" s="6" t="n">
        <f aca="false">Sens!H16471-Sens!H16467-Sens!H16472</f>
        <v>6.70875211160101</v>
      </c>
      <c r="I16473" s="6" t="n">
        <f aca="false">Sens!I16471-Sens!I16467-Sens!I16472</f>
        <v>6.76040993286883</v>
      </c>
      <c r="J16473" s="6" t="n">
        <f aca="false">Sens!J16471-Sens!J16467-Sens!J16472</f>
        <v>6.86523172447386</v>
      </c>
      <c r="K16473" s="6" t="n">
        <f aca="false">Sens!K16471-Sens!K16467-Sens!K16472</f>
        <v>7.02149972151092</v>
      </c>
    </row>
    <row r="16474" customFormat="false" ht="17.15" hidden="false" customHeight="false" outlineLevel="0" collapsed="false">
      <c r="A16474" s="0" t="s">
        <v>1083</v>
      </c>
      <c r="B16474" s="0" t="s">
        <v>98</v>
      </c>
      <c r="F16474" s="6" t="n">
        <f aca="false">Sens!F16468-tax_f*(Sens!F16468-Sens!F16335)-Sens!F16332</f>
        <v>-130.87622846942</v>
      </c>
      <c r="G16474" s="6" t="n">
        <f aca="false">Sens!G16468-tax_f*(Sens!G16468-Sens!G16335)-Sens!G16332</f>
        <v>-117.09199028171</v>
      </c>
      <c r="H16474" s="6" t="n">
        <f aca="false">Sens!H16468-tax_f*(Sens!H16468-Sens!H16335)-Sens!H16332</f>
        <v>-95.0046317689103</v>
      </c>
      <c r="I16474" s="6" t="n">
        <f aca="false">Sens!I16468-tax_f*(Sens!I16468-Sens!I16335)-Sens!I16332</f>
        <v>-41.6004217209759</v>
      </c>
      <c r="J16474" s="6" t="n">
        <f aca="false">Sens!J16468-tax_f*(Sens!J16468-Sens!J16335)-Sens!J16332</f>
        <v>15.6504006544521</v>
      </c>
      <c r="K16474" s="6" t="n">
        <f aca="false">Sens!K16468-tax_f*(Sens!K16468-Sens!K16335)-Sens!K16332</f>
        <v>34.948150863294</v>
      </c>
    </row>
    <row r="16475" customFormat="false" ht="17.15" hidden="false" customHeight="false" outlineLevel="0" collapsed="false">
      <c r="A16475" s="0" t="s">
        <v>1084</v>
      </c>
      <c r="B16475" s="0" t="s">
        <v>98</v>
      </c>
      <c r="G16475" s="6" t="n">
        <f aca="false">Sens!G16474/(1+wacc)^(Sens!G16447-(Sens!F16447+mid_yr))</f>
        <v>-111.494217248846</v>
      </c>
      <c r="H16475" s="6" t="n">
        <f aca="false">Sens!H16474/(1+wacc)^(Sens!H16447-(Sens!F16447+mid_yr))</f>
        <v>-82.0200903919838</v>
      </c>
      <c r="I16475" s="6" t="n">
        <f aca="false">Sens!I16474/(1+wacc)^(Sens!I16447-(Sens!F16447+mid_yr))</f>
        <v>-32.5629323947158</v>
      </c>
      <c r="J16475" s="6" t="n">
        <f aca="false">Sens!J16474/(1+wacc)^(Sens!J16447-(Sens!F16447+mid_yr))</f>
        <v>11.1071220492792</v>
      </c>
      <c r="K16475" s="6" t="n">
        <f aca="false">Sens!K16474/(1+wacc)^(Sens!K16447-(Sens!F16447+mid_yr))</f>
        <v>22.4879877238094</v>
      </c>
      <c r="L16475" s="1" t="s">
        <v>1085</v>
      </c>
    </row>
    <row r="16476" customFormat="false" ht="17.15" hidden="false" customHeight="false" outlineLevel="0" collapsed="false">
      <c r="A16476" s="0" t="s">
        <v>1086</v>
      </c>
      <c r="B16476" s="0" t="s">
        <v>98</v>
      </c>
      <c r="C16476" s="6" t="n">
        <f aca="false">(Sens!K16468-Sens!K16335)*(1-tax_f)*(1+g_tv)*(1-g_tv/(wacc+ronic_prem))/(wacc-g_tv)/(1+wacc)^(Sens!K16447+mid_yr-(Sens!F16447+mid_yr))</f>
        <v>96.9782616702258</v>
      </c>
    </row>
    <row r="16477" customFormat="false" ht="17.15" hidden="false" customHeight="false" outlineLevel="0" collapsed="false">
      <c r="A16477" s="1" t="s">
        <v>1087</v>
      </c>
      <c r="B16477" s="0" t="s">
        <v>98</v>
      </c>
      <c r="C16477" s="6" t="n">
        <f aca="false">(SUM(Sens!G16475:K16475)+Sens!$C$16476)*(1+wacc)^(t_roll-(Sens!F16447+mid_yr))</f>
        <v>-98.6037265803112</v>
      </c>
      <c r="L16477" s="11" t="s">
        <v>1088</v>
      </c>
    </row>
    <row r="16478" customFormat="false" ht="17.15" hidden="false" customHeight="false" outlineLevel="0" collapsed="false">
      <c r="A16478" s="1" t="s">
        <v>1089</v>
      </c>
      <c r="B16478" s="0" t="s">
        <v>98</v>
      </c>
      <c r="C16478" s="6" t="n">
        <f aca="false">(w_ntm28*Sens!G16324+(1-w_ntm28)*Sens!H16324)*m_ai</f>
        <v>338.776008390068</v>
      </c>
    </row>
    <row r="16479" customFormat="false" ht="17.15" hidden="false" customHeight="false" outlineLevel="0" collapsed="false">
      <c r="A16479" s="1" t="s">
        <v>1090</v>
      </c>
      <c r="B16479" s="0" t="s">
        <v>98</v>
      </c>
      <c r="C16479" s="6" t="n">
        <f aca="false">(w_ntm28*Sens!G16470+(1-w_ntm28)*Sens!H16470)*m_cloud</f>
        <v>1064.09888458319</v>
      </c>
    </row>
    <row r="16480" customFormat="false" ht="17.15" hidden="false" customHeight="false" outlineLevel="0" collapsed="false">
      <c r="A16480" s="1" t="s">
        <v>1091</v>
      </c>
      <c r="B16480" s="0" t="s">
        <v>98</v>
      </c>
      <c r="C16480" s="6" t="n">
        <f aca="false">(w_ntm28*Sens!G16463+(1-w_ntm28)*Sens!H16463)*m_sw</f>
        <v>1044.04824539957</v>
      </c>
    </row>
    <row r="16481" customFormat="false" ht="17.15" hidden="false" customHeight="false" outlineLevel="0" collapsed="false">
      <c r="A16481" s="1" t="s">
        <v>1092</v>
      </c>
      <c r="B16481" s="0" t="s">
        <v>98</v>
      </c>
      <c r="C16481" s="6" t="n">
        <f aca="false">(w_ntm28*Sens!G16464+(1-w_ntm28)*Sens!H16464)*m_sw</f>
        <v>379.755670745447</v>
      </c>
    </row>
    <row r="16482" customFormat="false" ht="17.15" hidden="false" customHeight="false" outlineLevel="0" collapsed="false">
      <c r="A16482" s="1" t="s">
        <v>1093</v>
      </c>
      <c r="B16482" s="0" t="s">
        <v>98</v>
      </c>
      <c r="C16482" s="6" t="n">
        <f aca="false">(w_ntm28*Sens!G16465+(1-w_ntm28)*Sens!H16465)*m_sw</f>
        <v>109.434903376969</v>
      </c>
    </row>
    <row r="16483" customFormat="false" ht="17.15" hidden="false" customHeight="false" outlineLevel="0" collapsed="false">
      <c r="A16483" s="1" t="s">
        <v>1094</v>
      </c>
      <c r="B16483" s="0" t="s">
        <v>98</v>
      </c>
      <c r="C16483" s="6" t="n">
        <f aca="false">(w_ntm28*Sens!G16466+(1-w_ntm28)*Sens!H16466)*m_sw</f>
        <v>41.7511882786773</v>
      </c>
    </row>
    <row r="16484" customFormat="false" ht="17.15" hidden="false" customHeight="false" outlineLevel="0" collapsed="false">
      <c r="A16484" s="1" t="s">
        <v>1095</v>
      </c>
      <c r="B16484" s="0" t="s">
        <v>98</v>
      </c>
      <c r="C16484" s="6" t="n">
        <f aca="false">(w_ntm28*Sens!G16467+(1-w_ntm28)*Sens!H16467)*m_ads</f>
        <v>115.359643719254</v>
      </c>
    </row>
    <row r="16485" customFormat="false" ht="17.15" hidden="false" customHeight="false" outlineLevel="0" collapsed="false">
      <c r="A16485" s="1" t="s">
        <v>1096</v>
      </c>
      <c r="B16485" s="0" t="s">
        <v>98</v>
      </c>
      <c r="C16485" s="6" t="n">
        <f aca="false">(w_ntm28*Sens!G16472+(1-w_ntm28)*Sens!H16472)*m_game</f>
        <v>97.9523541428266</v>
      </c>
    </row>
    <row r="16486" customFormat="false" ht="17.15" hidden="false" customHeight="false" outlineLevel="0" collapsed="false">
      <c r="A16486" s="1" t="s">
        <v>1097</v>
      </c>
      <c r="B16486" s="0" t="s">
        <v>98</v>
      </c>
      <c r="C16486" s="6" t="n">
        <f aca="false">(w_ntm28*Sens!G16473+(1-w_ntm28)*Sens!H16473)*m_pc</f>
        <v>97.1125357928949</v>
      </c>
    </row>
    <row r="16487" customFormat="false" ht="17.15" hidden="false" customHeight="false" outlineLevel="0" collapsed="false">
      <c r="A16487" s="1" t="s">
        <v>1098</v>
      </c>
      <c r="B16487" s="0" t="s">
        <v>98</v>
      </c>
      <c r="C16487" s="6" t="n">
        <f aca="false">Sens!$C$16477+Sens!$C$16479+Sens!$C$16480+Sens!$C$16481+Sens!$C$16482+Sens!$C$16483+Sens!$C$16484+Sens!$C$16485+Sens!$C$16486</f>
        <v>2850.90969945851</v>
      </c>
    </row>
    <row r="16488" customFormat="false" ht="17.15" hidden="false" customHeight="false" outlineLevel="0" collapsed="false">
      <c r="A16488" s="1" t="s">
        <v>1099</v>
      </c>
      <c r="B16488" s="0" t="s">
        <v>98</v>
      </c>
      <c r="C16488" s="6" t="n">
        <f aca="false">(Sens!G16449-Sens!G16474)*t_stub</f>
        <v>46.8265556979999</v>
      </c>
      <c r="L16488" s="1" t="s">
        <v>1100</v>
      </c>
    </row>
    <row r="16489" customFormat="false" ht="17.15" hidden="false" customHeight="false" outlineLevel="0" collapsed="false">
      <c r="A16489" s="1" t="s">
        <v>1014</v>
      </c>
      <c r="B16489" s="0" t="s">
        <v>98</v>
      </c>
      <c r="C16489" s="6" t="n">
        <f aca="false">Sens!F16438+oai_v-Sens!F16427+Sens!$C$16488</f>
        <v>153.640590688727</v>
      </c>
      <c r="L16489" s="1" t="s">
        <v>1101</v>
      </c>
    </row>
    <row r="16490" customFormat="false" ht="17.15" hidden="false" customHeight="false" outlineLevel="0" collapsed="false">
      <c r="A16490" s="1" t="s">
        <v>1102</v>
      </c>
      <c r="B16490" s="0" t="s">
        <v>75</v>
      </c>
      <c r="C16490" s="5" t="n">
        <f aca="false">(Sens!$C$16487+Sens!$C$16489)/(Sens!F16440+dil_gap)-Sens!G16430*roll_div_q/q_per_yr</f>
        <v>399.780976273645</v>
      </c>
      <c r="L16490" s="1" t="s">
        <v>1103</v>
      </c>
    </row>
    <row r="16491" customFormat="false" ht="17.15" hidden="false" customHeight="false" outlineLevel="0" collapsed="false">
      <c r="A16491" s="1" t="s">
        <v>1104</v>
      </c>
      <c r="B16491" s="0" t="s">
        <v>75</v>
      </c>
      <c r="C16491" s="5" t="n">
        <f aca="false">w_dcf*Sens!$C$16461+(1-w_dcf)*Sens!$C$16490</f>
        <v>341.444830272371</v>
      </c>
    </row>
    <row r="16492" customFormat="false" ht="17.15" hidden="false" customHeight="false" outlineLevel="0" collapsed="false">
      <c r="A16492" s="3" t="s">
        <v>1681</v>
      </c>
    </row>
    <row r="16493" customFormat="false" ht="15" hidden="false" customHeight="false" outlineLevel="0" collapsed="false">
      <c r="A16493" s="4" t="s">
        <v>43</v>
      </c>
      <c r="B16493" s="4" t="s">
        <v>65</v>
      </c>
      <c r="C16493" s="20" t="s">
        <v>799</v>
      </c>
      <c r="D16493" s="20" t="s">
        <v>800</v>
      </c>
      <c r="E16493" s="20" t="s">
        <v>801</v>
      </c>
      <c r="F16493" s="20" t="s">
        <v>802</v>
      </c>
      <c r="G16493" s="20" t="s">
        <v>803</v>
      </c>
      <c r="H16493" s="20" t="s">
        <v>804</v>
      </c>
      <c r="I16493" s="20" t="s">
        <v>805</v>
      </c>
      <c r="J16493" s="20" t="s">
        <v>806</v>
      </c>
      <c r="K16493" s="20" t="s">
        <v>807</v>
      </c>
      <c r="L16493" s="4" t="s">
        <v>47</v>
      </c>
    </row>
    <row r="16494" customFormat="false" ht="15" hidden="false" customHeight="false" outlineLevel="0" collapsed="false">
      <c r="A16494" s="1" t="s">
        <v>1057</v>
      </c>
      <c r="B16494" s="1" t="s">
        <v>235</v>
      </c>
      <c r="F16494" s="36" t="n">
        <f aca="false">Thesis!F6-base_fy-mid_yr</f>
        <v>0.5</v>
      </c>
      <c r="G16494" s="36" t="n">
        <f aca="false">Thesis!G6-base_fy-mid_yr</f>
        <v>1.5</v>
      </c>
      <c r="H16494" s="36" t="n">
        <f aca="false">Thesis!H6-base_fy-mid_yr</f>
        <v>2.5</v>
      </c>
      <c r="I16494" s="36" t="n">
        <f aca="false">Thesis!I6-base_fy-mid_yr</f>
        <v>3.5</v>
      </c>
      <c r="J16494" s="36" t="n">
        <f aca="false">Thesis!J6-base_fy-mid_yr</f>
        <v>4.5</v>
      </c>
      <c r="K16494" s="36" t="n">
        <f aca="false">Thesis!K6-base_fy-mid_yr</f>
        <v>5.5</v>
      </c>
    </row>
    <row r="16495" customFormat="false" ht="15" hidden="false" customHeight="false" outlineLevel="0" collapsed="false">
      <c r="A16495" s="1" t="s">
        <v>1058</v>
      </c>
      <c r="B16495" s="0" t="s">
        <v>185</v>
      </c>
      <c r="F16495" s="14" t="n">
        <f aca="false">1/(1+wacc)^Sens!F16494</f>
        <v>0.952193373608246</v>
      </c>
      <c r="G16495" s="14" t="n">
        <f aca="false">1/(1+wacc)^Sens!G16494</f>
        <v>0.863327280626589</v>
      </c>
      <c r="H16495" s="14" t="n">
        <f aca="false">1/(1+wacc)^Sens!H16494</f>
        <v>0.782754862754115</v>
      </c>
      <c r="I16495" s="14" t="n">
        <f aca="false">1/(1+wacc)^Sens!I16494</f>
        <v>0.709702089711011</v>
      </c>
      <c r="J16495" s="14" t="n">
        <f aca="false">1/(1+wacc)^Sens!J16494</f>
        <v>0.643467169744551</v>
      </c>
      <c r="K16495" s="14" t="n">
        <f aca="false">1/(1+wacc)^Sens!K16494</f>
        <v>0.583413807767797</v>
      </c>
    </row>
    <row r="16496" customFormat="false" ht="17.15" hidden="false" customHeight="false" outlineLevel="0" collapsed="false">
      <c r="A16496" s="1" t="s">
        <v>1059</v>
      </c>
      <c r="B16496" s="0" t="s">
        <v>98</v>
      </c>
      <c r="F16496" s="6" t="n">
        <f aca="false">CF!F22-CF!F20-CF!F26+Thesis!F44*(1-tax_f)</f>
        <v>0.8175674752552</v>
      </c>
      <c r="G16496" s="6" t="n">
        <f aca="false">CF!G22-CF!G20-CF!G26+Thesis!G44*(1-tax_f)</f>
        <v>46.5945454778033</v>
      </c>
      <c r="H16496" s="6" t="n">
        <f aca="false">CF!H22-CF!H20-CF!H26+Thesis!H44*(1-tax_f)</f>
        <v>105.224067029101</v>
      </c>
      <c r="I16496" s="6" t="n">
        <f aca="false">CF!I22-CF!I20-CF!I26+Thesis!I44*(1-tax_f)</f>
        <v>183.301417205555</v>
      </c>
      <c r="J16496" s="6" t="n">
        <f aca="false">CF!J22-CF!J20-CF!J26+Thesis!J44*(1-tax_f)</f>
        <v>261.555335183242</v>
      </c>
      <c r="K16496" s="6" t="n">
        <f aca="false">CF!K22-CF!K20-CF!K26+Thesis!K44*(1-tax_f)</f>
        <v>298.387942209483</v>
      </c>
      <c r="L16496" s="1" t="s">
        <v>1060</v>
      </c>
    </row>
    <row r="16497" customFormat="false" ht="15" hidden="false" customHeight="false" outlineLevel="0" collapsed="false">
      <c r="A16497" s="1" t="s">
        <v>1061</v>
      </c>
      <c r="B16497" s="0" t="s">
        <v>98</v>
      </c>
      <c r="F16497" s="6" t="n">
        <f aca="false">Sens!F16496*Sens!F16495</f>
        <v>0.778482332415625</v>
      </c>
      <c r="G16497" s="6" t="n">
        <f aca="false">Sens!G16496*Sens!G16495</f>
        <v>40.2263422393839</v>
      </c>
      <c r="H16497" s="6" t="n">
        <f aca="false">Sens!H16496*Sens!H16495</f>
        <v>82.364650145794</v>
      </c>
      <c r="I16497" s="6" t="n">
        <f aca="false">Sens!I16496*Sens!I16495</f>
        <v>130.089398837772</v>
      </c>
      <c r="J16497" s="6" t="n">
        <f aca="false">Sens!J16496*Sens!J16495</f>
        <v>168.302271261948</v>
      </c>
      <c r="K16497" s="6" t="n">
        <f aca="false">Sens!K16496*Sens!K16495</f>
        <v>174.083645556432</v>
      </c>
    </row>
    <row r="16498" customFormat="false" ht="17.15" hidden="false" customHeight="false" outlineLevel="0" collapsed="false">
      <c r="A16498" s="1" t="s">
        <v>1062</v>
      </c>
      <c r="B16498" s="0" t="s">
        <v>98</v>
      </c>
      <c r="C16498" s="6" t="n">
        <f aca="false">SUM(Sens!F16497:K16497)</f>
        <v>595.844790373745</v>
      </c>
    </row>
    <row r="16499" customFormat="false" ht="17.15" hidden="false" customHeight="false" outlineLevel="0" collapsed="false">
      <c r="A16499" s="1" t="s">
        <v>1063</v>
      </c>
      <c r="B16499" s="0" t="s">
        <v>98</v>
      </c>
      <c r="C16499" s="6" t="n">
        <f aca="false">PL!K39*(1+g_tv)*(1-tax_f)</f>
        <v>316.433872640522</v>
      </c>
    </row>
    <row r="16500" customFormat="false" ht="17.15" hidden="false" customHeight="false" outlineLevel="0" collapsed="false">
      <c r="A16500" s="1" t="s">
        <v>1064</v>
      </c>
      <c r="B16500" s="0" t="s">
        <v>98</v>
      </c>
      <c r="C16500" s="6" t="n">
        <f aca="false">Sens!$C$16499*(1-g_tv/(wacc+ronic_prem))</f>
        <v>224.209948217085</v>
      </c>
    </row>
    <row r="16501" customFormat="false" ht="17.15" hidden="false" customHeight="false" outlineLevel="0" collapsed="false">
      <c r="A16501" s="1" t="s">
        <v>1065</v>
      </c>
      <c r="B16501" s="0" t="s">
        <v>98</v>
      </c>
      <c r="C16501" s="6" t="n">
        <f aca="false">Sens!$C$16500/(wacc-g_tv)</f>
        <v>3074.13081411456</v>
      </c>
    </row>
    <row r="16502" customFormat="false" ht="15" hidden="false" customHeight="false" outlineLevel="0" collapsed="false">
      <c r="A16502" s="1" t="s">
        <v>1066</v>
      </c>
      <c r="B16502" s="0" t="s">
        <v>98</v>
      </c>
      <c r="C16502" s="6" t="n">
        <f aca="false">Sens!$C$16501/(1+wacc)^(Sens!K16494+mid_yr)</f>
        <v>1707.74964007764</v>
      </c>
    </row>
    <row r="16503" customFormat="false" ht="17.15" hidden="false" customHeight="false" outlineLevel="0" collapsed="false">
      <c r="A16503" s="0" t="s">
        <v>986</v>
      </c>
      <c r="B16503" s="0" t="s">
        <v>98</v>
      </c>
      <c r="C16503" s="6" t="n">
        <f aca="false">Sens!$C$16498+Sens!$C$16502</f>
        <v>2303.59443045138</v>
      </c>
    </row>
    <row r="16504" customFormat="false" ht="15" hidden="false" customHeight="false" outlineLevel="0" collapsed="false">
      <c r="A16504" s="1" t="s">
        <v>987</v>
      </c>
      <c r="B16504" s="0" t="s">
        <v>129</v>
      </c>
      <c r="C16504" s="7" t="n">
        <f aca="false">Sens!$C$16502/Sens!$C$16503</f>
        <v>0.741341278439803</v>
      </c>
    </row>
    <row r="16505" customFormat="false" ht="17.15" hidden="false" customHeight="false" outlineLevel="0" collapsed="false">
      <c r="A16505" s="1" t="s">
        <v>1067</v>
      </c>
      <c r="B16505" s="0" t="s">
        <v>98</v>
      </c>
      <c r="C16505" s="6" t="n">
        <f aca="false">Sens!$C$16503+CF!E38-CF!E27+(oai_stake_hi*oai_val*(1-liq_disc))</f>
        <v>2451.73943045138</v>
      </c>
    </row>
    <row r="16506" customFormat="false" ht="17.15" hidden="false" customHeight="false" outlineLevel="0" collapsed="false">
      <c r="A16506" s="0" t="s">
        <v>994</v>
      </c>
      <c r="B16506" s="0" t="s">
        <v>75</v>
      </c>
      <c r="C16506" s="5" t="n">
        <f aca="false">Sens!$C$16505/sh_dil26</f>
        <v>328.960073856351</v>
      </c>
    </row>
    <row r="16507" customFormat="false" ht="15" hidden="false" customHeight="false" outlineLevel="0" collapsed="false">
      <c r="A16507" s="1" t="s">
        <v>1068</v>
      </c>
      <c r="B16507" s="0" t="s">
        <v>75</v>
      </c>
      <c r="C16507" s="8" t="n">
        <f aca="false">dps_27+CF!G30*roll_div_q/q_per_yr</f>
        <v>4.8895</v>
      </c>
    </row>
    <row r="16508" customFormat="false" ht="17.15" hidden="false" customHeight="false" outlineLevel="0" collapsed="false">
      <c r="A16508" s="0" t="s">
        <v>1069</v>
      </c>
      <c r="B16508" s="0" t="s">
        <v>75</v>
      </c>
      <c r="C16508" s="5" t="n">
        <f aca="false">Sens!$C$16506*(1+wacc)^t_roll-Sens!$C$16507</f>
        <v>369.708319921081</v>
      </c>
    </row>
    <row r="16509" customFormat="false" ht="17.15" hidden="false" customHeight="false" outlineLevel="0" collapsed="false">
      <c r="A16509" s="1" t="s">
        <v>1070</v>
      </c>
      <c r="B16509" s="0" t="s">
        <v>129</v>
      </c>
      <c r="F16509" s="7" t="n">
        <f aca="false">CF!F17/(Seg!F29-Thesis!F23)</f>
        <v>0.0705303854989974</v>
      </c>
      <c r="G16509" s="7" t="n">
        <f aca="false">CF!G17/(Seg!G29-Thesis!G23)</f>
        <v>0.0669153011130541</v>
      </c>
      <c r="H16509" s="7" t="n">
        <f aca="false">CF!H17/(Seg!H29-Thesis!H23)</f>
        <v>0.0648963302688647</v>
      </c>
      <c r="I16509" s="7" t="n">
        <f aca="false">CF!I17/(Seg!I29-Thesis!I23)</f>
        <v>0.0643411219550834</v>
      </c>
      <c r="J16509" s="7" t="n">
        <f aca="false">CF!J17/(Seg!J29-Thesis!J23)</f>
        <v>0.0648740961982593</v>
      </c>
      <c r="K16509" s="7" t="n">
        <f aca="false">CF!K17/(Seg!K29-Thesis!K23)</f>
        <v>0.0660244723636577</v>
      </c>
    </row>
    <row r="16510" customFormat="false" ht="17.15" hidden="false" customHeight="false" outlineLevel="0" collapsed="false">
      <c r="A16510" s="0" t="s">
        <v>1071</v>
      </c>
      <c r="B16510" s="0" t="s">
        <v>98</v>
      </c>
      <c r="F16510" s="6" t="n">
        <f aca="false">Seg!F14*(al_m365+Sens!F16509+sbc_r)</f>
        <v>85.2273329859862</v>
      </c>
      <c r="G16510" s="6" t="n">
        <f aca="false">Seg!G14*(al_m365+Sens!G16509+sbc_r)</f>
        <v>99.6892587904979</v>
      </c>
      <c r="H16510" s="6" t="n">
        <f aca="false">Seg!H14*(al_m365+Sens!H16509+sbc_r)</f>
        <v>114.315107566414</v>
      </c>
      <c r="I16510" s="6" t="n">
        <f aca="false">Seg!I14*(al_m365+Sens!I16509+sbc_r)</f>
        <v>127.42181750834</v>
      </c>
      <c r="J16510" s="6" t="n">
        <f aca="false">Seg!J14*(al_m365+Sens!J16509+sbc_r)</f>
        <v>138.823999012523</v>
      </c>
      <c r="K16510" s="6" t="n">
        <f aca="false">Seg!K14*(al_m365+Sens!K16509+sbc_r)</f>
        <v>149.845393216552</v>
      </c>
      <c r="L16510" s="11" t="s">
        <v>1072</v>
      </c>
    </row>
    <row r="16511" customFormat="false" ht="17.15" hidden="false" customHeight="false" outlineLevel="0" collapsed="false">
      <c r="A16511" s="0" t="s">
        <v>1073</v>
      </c>
      <c r="B16511" s="0" t="s">
        <v>98</v>
      </c>
      <c r="F16511" s="6" t="n">
        <f aca="false">Seg!F15*(al_lic+Sens!F16509+sbc_r)</f>
        <v>33.5204472060294</v>
      </c>
      <c r="G16511" s="6" t="n">
        <f aca="false">Seg!G15*(al_lic+Sens!G16509+sbc_r)</f>
        <v>34.7926166862242</v>
      </c>
      <c r="H16511" s="6" t="n">
        <f aca="false">Seg!H15*(al_lic+Sens!H16509+sbc_r)</f>
        <v>35.9862829687409</v>
      </c>
      <c r="I16511" s="6" t="n">
        <f aca="false">Seg!I15*(al_lic+Sens!I16509+sbc_r)</f>
        <v>37.0838788899664</v>
      </c>
      <c r="J16511" s="6" t="n">
        <f aca="false">Seg!J15*(al_lic+Sens!J16509+sbc_r)</f>
        <v>38.0565090086839</v>
      </c>
      <c r="K16511" s="6" t="n">
        <f aca="false">Seg!K15*(al_lic+Sens!K16509+sbc_r)</f>
        <v>38.8700352425884</v>
      </c>
    </row>
    <row r="16512" customFormat="false" ht="17.15" hidden="false" customHeight="false" outlineLevel="0" collapsed="false">
      <c r="A16512" s="0" t="s">
        <v>1074</v>
      </c>
      <c r="B16512" s="0" t="s">
        <v>98</v>
      </c>
      <c r="F16512" s="6" t="n">
        <f aca="false">Seg!F17*(al_ind+Sens!F16509+sbc_r)</f>
        <v>9.11980018094294</v>
      </c>
      <c r="G16512" s="6" t="n">
        <f aca="false">Seg!G17*(al_ind+Sens!G16509+sbc_r)</f>
        <v>9.88072195697034</v>
      </c>
      <c r="H16512" s="6" t="n">
        <f aca="false">Seg!H17*(al_ind+Sens!H16509+sbc_r)</f>
        <v>10.6900815637922</v>
      </c>
      <c r="I16512" s="6" t="n">
        <f aca="false">Seg!I17*(al_ind+Sens!I16509+sbc_r)</f>
        <v>11.5460282347577</v>
      </c>
      <c r="J16512" s="6" t="n">
        <f aca="false">Seg!J17*(al_ind+Sens!J16509+sbc_r)</f>
        <v>12.4374767512513</v>
      </c>
      <c r="K16512" s="6" t="n">
        <f aca="false">Seg!K17*(al_ind+Sens!K16509+sbc_r)</f>
        <v>13.3461587114563</v>
      </c>
    </row>
    <row r="16513" customFormat="false" ht="17.15" hidden="false" customHeight="false" outlineLevel="0" collapsed="false">
      <c r="A16513" s="0" t="s">
        <v>1075</v>
      </c>
      <c r="B16513" s="0" t="s">
        <v>98</v>
      </c>
      <c r="F16513" s="6" t="n">
        <f aca="false">Seg!F19*(al_fro+Sens!F16509+sbc_r)</f>
        <v>3.58958536902212</v>
      </c>
      <c r="G16513" s="6" t="n">
        <f aca="false">Seg!G19*(al_fro+Sens!G16509+sbc_r)</f>
        <v>3.79361306665995</v>
      </c>
      <c r="H16513" s="6" t="n">
        <f aca="false">Seg!H19*(al_fro+Sens!H16509+sbc_r)</f>
        <v>4.02838862857902</v>
      </c>
      <c r="I16513" s="6" t="n">
        <f aca="false">Seg!I19*(al_fro+Sens!I16509+sbc_r)</f>
        <v>4.29696179134221</v>
      </c>
      <c r="J16513" s="6" t="n">
        <f aca="false">Seg!J19*(al_fro+Sens!J16509+sbc_r)</f>
        <v>4.59985687395741</v>
      </c>
      <c r="K16513" s="6" t="n">
        <f aca="false">Seg!K19*(al_fro+Sens!K16509+sbc_r)</f>
        <v>4.93592238342414</v>
      </c>
    </row>
    <row r="16514" customFormat="false" ht="17.15" hidden="false" customHeight="false" outlineLevel="0" collapsed="false">
      <c r="A16514" s="0" t="s">
        <v>1076</v>
      </c>
      <c r="B16514" s="0" t="s">
        <v>98</v>
      </c>
      <c r="F16514" s="6" t="n">
        <f aca="false">Seg!F22*(al_srch+Sens!F16509+sbc_r)</f>
        <v>11.2630849868114</v>
      </c>
      <c r="G16514" s="6" t="n">
        <f aca="false">Seg!G22*(al_srch+Sens!G16509+sbc_r)</f>
        <v>12.3179728600437</v>
      </c>
      <c r="H16514" s="6" t="n">
        <f aca="false">Seg!H22*(al_srch+Sens!H16509+sbc_r)</f>
        <v>13.4217853035424</v>
      </c>
      <c r="I16514" s="6" t="n">
        <f aca="false">Seg!I22*(al_srch+Sens!I16509+sbc_r)</f>
        <v>14.565578354966</v>
      </c>
      <c r="J16514" s="6" t="n">
        <f aca="false">Seg!J22*(al_srch+Sens!J16509+sbc_r)</f>
        <v>15.7277683722803</v>
      </c>
      <c r="K16514" s="6" t="n">
        <f aca="false">Seg!K22*(al_srch+Sens!K16509+sbc_r)</f>
        <v>16.87683901418</v>
      </c>
    </row>
    <row r="16515" customFormat="false" ht="17.15" hidden="false" customHeight="false" outlineLevel="0" collapsed="false">
      <c r="A16515" s="0" t="s">
        <v>1077</v>
      </c>
      <c r="B16515" s="0" t="s">
        <v>98</v>
      </c>
      <c r="F16515" s="6" t="n">
        <f aca="false">Thesis!F29-Thesis!F30+Thesis!F44</f>
        <v>45.0374073018652</v>
      </c>
      <c r="G16515" s="6" t="n">
        <f aca="false">Thesis!G29-Thesis!G30+Thesis!G44</f>
        <v>89.051993487491</v>
      </c>
      <c r="H16515" s="6" t="n">
        <f aca="false">Thesis!H29-Thesis!H30+Thesis!H44</f>
        <v>140.728332825594</v>
      </c>
      <c r="I16515" s="6" t="n">
        <f aca="false">Thesis!I29-Thesis!I30+Thesis!I44</f>
        <v>182.158665153016</v>
      </c>
      <c r="J16515" s="6" t="n">
        <f aca="false">Thesis!J29-Thesis!J30+Thesis!J44</f>
        <v>211.722320149272</v>
      </c>
      <c r="K16515" s="6" t="n">
        <f aca="false">Thesis!K29-Thesis!K30+Thesis!K44</f>
        <v>230.495012322217</v>
      </c>
    </row>
    <row r="16516" customFormat="false" ht="17.15" hidden="false" customHeight="false" outlineLevel="0" collapsed="false">
      <c r="A16516" s="0" t="s">
        <v>1078</v>
      </c>
      <c r="B16516" s="0" t="s">
        <v>98</v>
      </c>
      <c r="F16516" s="6" t="n">
        <f aca="false">PL!F32+Thesis!F44+Thesis!F40+Sens!F16509*(Seg!F21-Thesis!F23)+sbc_r*Seg!F21</f>
        <v>236.979131882557</v>
      </c>
      <c r="G16516" s="6" t="n">
        <f aca="false">PL!G32+Thesis!G44+Thesis!G40+Sens!G16509*(Seg!G21-Thesis!G23)+sbc_r*Seg!G21</f>
        <v>310.298572894356</v>
      </c>
      <c r="H16516" s="6" t="n">
        <f aca="false">PL!H32+Thesis!H44+Thesis!H40+Sens!H16509*(Seg!H21-Thesis!H23)+sbc_r*Seg!H21</f>
        <v>391.97921499404</v>
      </c>
      <c r="I16516" s="6" t="n">
        <f aca="false">PL!I32+Thesis!I44+Thesis!I40+Sens!I16509*(Seg!I21-Thesis!I23)+sbc_r*Seg!I21</f>
        <v>461.338592490557</v>
      </c>
      <c r="J16516" s="6" t="n">
        <f aca="false">PL!J32+Thesis!J44+Thesis!J40+Sens!J16509*(Seg!J21-Thesis!J23)+sbc_r*Seg!J21</f>
        <v>515.876034980991</v>
      </c>
      <c r="K16516" s="6" t="n">
        <f aca="false">PL!K32+Thesis!K44+Thesis!K40+Sens!K16509*(Seg!K21-Thesis!K23)+sbc_r*Seg!K21</f>
        <v>557.225339287545</v>
      </c>
    </row>
    <row r="16517" customFormat="false" ht="17.15" hidden="false" customHeight="false" outlineLevel="0" collapsed="false">
      <c r="A16517" s="0" t="s">
        <v>1079</v>
      </c>
      <c r="B16517" s="0" t="s">
        <v>98</v>
      </c>
      <c r="F16517" s="6" t="n">
        <f aca="false">Sens!F16516-Sens!F16510-Sens!F16511-Sens!F16512-Sens!F16513-Sens!F16515</f>
        <v>60.4845588387112</v>
      </c>
      <c r="G16517" s="6" t="n">
        <f aca="false">Sens!G16516-Sens!G16510-Sens!G16511-Sens!G16512-Sens!G16513-Sens!G16515</f>
        <v>73.090368906513</v>
      </c>
      <c r="H16517" s="6" t="n">
        <f aca="false">Sens!H16516-Sens!H16510-Sens!H16511-Sens!H16512-Sens!H16513-Sens!H16515</f>
        <v>86.23102144092</v>
      </c>
      <c r="I16517" s="6" t="n">
        <f aca="false">Sens!I16516-Sens!I16510-Sens!I16511-Sens!I16512-Sens!I16513-Sens!I16515</f>
        <v>98.8312409131349</v>
      </c>
      <c r="J16517" s="6" t="n">
        <f aca="false">Sens!J16516-Sens!J16510-Sens!J16511-Sens!J16512-Sens!J16513-Sens!J16515</f>
        <v>110.235873185303</v>
      </c>
      <c r="K16517" s="6" t="n">
        <f aca="false">Sens!K16516-Sens!K16510-Sens!K16511-Sens!K16512-Sens!K16513-Sens!K16515</f>
        <v>119.732817411307</v>
      </c>
    </row>
    <row r="16518" customFormat="false" ht="17.15" hidden="false" customHeight="false" outlineLevel="0" collapsed="false">
      <c r="A16518" s="0" t="s">
        <v>1080</v>
      </c>
      <c r="B16518" s="0" t="s">
        <v>98</v>
      </c>
      <c r="F16518" s="6" t="n">
        <f aca="false">PL!F34+Sens!F16509*Seg!F28+sbc_r*Seg!F28</f>
        <v>26.3250729833002</v>
      </c>
      <c r="G16518" s="6" t="n">
        <f aca="false">PL!G34+Sens!G16509*Seg!G28+sbc_r*Seg!G28</f>
        <v>26.8840979798844</v>
      </c>
      <c r="H16518" s="6" t="n">
        <f aca="false">PL!H34+Sens!H16509*Seg!H28+sbc_r*Seg!H28</f>
        <v>27.7254420104725</v>
      </c>
      <c r="I16518" s="6" t="n">
        <f aca="false">PL!I34+Sens!I16509*Seg!I28+sbc_r*Seg!I28</f>
        <v>28.8195303030026</v>
      </c>
      <c r="J16518" s="6" t="n">
        <f aca="false">PL!J34+Sens!J16509*Seg!J28+sbc_r*Seg!J28</f>
        <v>30.1256822206383</v>
      </c>
      <c r="K16518" s="6" t="n">
        <f aca="false">PL!K34+Sens!K16509*Seg!K28+sbc_r*Seg!K28</f>
        <v>31.5981329181227</v>
      </c>
    </row>
    <row r="16519" customFormat="false" ht="17.15" hidden="false" customHeight="false" outlineLevel="0" collapsed="false">
      <c r="A16519" s="0" t="s">
        <v>1081</v>
      </c>
      <c r="B16519" s="0" t="s">
        <v>98</v>
      </c>
      <c r="F16519" s="6" t="n">
        <f aca="false">(Sens!F16518-Sens!F16514)*Seg!F24/(Seg!F24+Seg!F26)</f>
        <v>8.25683511803782</v>
      </c>
      <c r="G16519" s="6" t="n">
        <f aca="false">(Sens!G16518-Sens!G16514)*Seg!G24/(Seg!G24+Seg!G26)</f>
        <v>7.84263572934781</v>
      </c>
      <c r="H16519" s="6" t="n">
        <f aca="false">(Sens!H16518-Sens!H16514)*Seg!H24/(Seg!H24+Seg!H26)</f>
        <v>7.59728657715786</v>
      </c>
      <c r="I16519" s="6" t="n">
        <f aca="false">(Sens!I16518-Sens!I16514)*Seg!I24/(Seg!I24+Seg!I26)</f>
        <v>7.50238476920254</v>
      </c>
      <c r="J16519" s="6" t="n">
        <f aca="false">(Sens!J16518-Sens!J16514)*Seg!J24/(Seg!J24+Seg!J26)</f>
        <v>7.54388912124533</v>
      </c>
      <c r="K16519" s="6" t="n">
        <f aca="false">(Sens!K16518-Sens!K16514)*Seg!K24/(Seg!K24+Seg!K26)</f>
        <v>7.71332639591206</v>
      </c>
    </row>
    <row r="16520" customFormat="false" ht="17.15" hidden="false" customHeight="false" outlineLevel="0" collapsed="false">
      <c r="A16520" s="0" t="s">
        <v>1082</v>
      </c>
      <c r="B16520" s="0" t="s">
        <v>98</v>
      </c>
      <c r="F16520" s="6" t="n">
        <f aca="false">Sens!F16518-Sens!F16514-Sens!F16519</f>
        <v>6.80515287845105</v>
      </c>
      <c r="G16520" s="6" t="n">
        <f aca="false">Sens!G16518-Sens!G16514-Sens!G16519</f>
        <v>6.72348939049287</v>
      </c>
      <c r="H16520" s="6" t="n">
        <f aca="false">Sens!H16518-Sens!H16514-Sens!H16519</f>
        <v>6.70637012977225</v>
      </c>
      <c r="I16520" s="6" t="n">
        <f aca="false">Sens!I16518-Sens!I16514-Sens!I16519</f>
        <v>6.75156717883416</v>
      </c>
      <c r="J16520" s="6" t="n">
        <f aca="false">Sens!J16518-Sens!J16514-Sens!J16519</f>
        <v>6.85402472711273</v>
      </c>
      <c r="K16520" s="6" t="n">
        <f aca="false">Sens!K16518-Sens!K16514-Sens!K16519</f>
        <v>7.00796750803058</v>
      </c>
    </row>
    <row r="16521" customFormat="false" ht="17.15" hidden="false" customHeight="false" outlineLevel="0" collapsed="false">
      <c r="A16521" s="0" t="s">
        <v>1083</v>
      </c>
      <c r="B16521" s="0" t="s">
        <v>98</v>
      </c>
      <c r="F16521" s="6" t="n">
        <f aca="false">Sens!F16515-tax_f*(Sens!F16515-Thesis!F40)-Thesis!F37</f>
        <v>-117.492972553783</v>
      </c>
      <c r="G16521" s="6" t="n">
        <f aca="false">Sens!G16515-tax_f*(Sens!G16515-Thesis!G40)-Thesis!G37</f>
        <v>-100.507498271105</v>
      </c>
      <c r="H16521" s="6" t="n">
        <f aca="false">Sens!H16515-tax_f*(Sens!H16515-Thesis!H40)-Thesis!H37</f>
        <v>-58.2254156812621</v>
      </c>
      <c r="I16521" s="6" t="n">
        <f aca="false">Sens!I16515-tax_f*(Sens!I16515-Thesis!I40)-Thesis!I37</f>
        <v>4.14141173464586</v>
      </c>
      <c r="J16521" s="6" t="n">
        <f aca="false">Sens!J16515-tax_f*(Sens!J16515-Thesis!J40)-Thesis!J37</f>
        <v>67.7960840957439</v>
      </c>
      <c r="K16521" s="6" t="n">
        <f aca="false">Sens!K16515-tax_f*(Sens!K16515-Thesis!K40)-Thesis!K37</f>
        <v>90.8148873630444</v>
      </c>
    </row>
    <row r="16522" customFormat="false" ht="17.15" hidden="false" customHeight="false" outlineLevel="0" collapsed="false">
      <c r="A16522" s="0" t="s">
        <v>1084</v>
      </c>
      <c r="B16522" s="0" t="s">
        <v>98</v>
      </c>
      <c r="G16522" s="6" t="n">
        <f aca="false">Sens!G16521/(1+wacc)^(Sens!G16494-(Sens!F16494+mid_yr))</f>
        <v>-95.7025738516884</v>
      </c>
      <c r="H16522" s="6" t="n">
        <f aca="false">Sens!H16521/(1+wacc)^(Sens!H16494-(Sens!F16494+mid_yr))</f>
        <v>-50.2675897834568</v>
      </c>
      <c r="I16522" s="6" t="n">
        <f aca="false">Sens!I16521/(1+wacc)^(Sens!I16494-(Sens!F16494+mid_yr))</f>
        <v>3.241710173961</v>
      </c>
      <c r="J16522" s="6" t="n">
        <f aca="false">Sens!J16521/(1+wacc)^(Sens!J16494-(Sens!F16494+mid_yr))</f>
        <v>48.1150225569729</v>
      </c>
      <c r="K16522" s="6" t="n">
        <f aca="false">Sens!K16521/(1+wacc)^(Sens!K16494-(Sens!F16494+mid_yr))</f>
        <v>58.4363985421684</v>
      </c>
      <c r="L16522" s="1" t="s">
        <v>1085</v>
      </c>
    </row>
    <row r="16523" customFormat="false" ht="17.15" hidden="false" customHeight="false" outlineLevel="0" collapsed="false">
      <c r="A16523" s="0" t="s">
        <v>1086</v>
      </c>
      <c r="B16523" s="0" t="s">
        <v>98</v>
      </c>
      <c r="C16523" s="6" t="n">
        <f aca="false">(Sens!K16515-Thesis!K40)*(1-tax_f)*(1+g_tv)*(1-g_tv/(wacc+ronic_prem))/(wacc-g_tv)/(1+wacc)^(Sens!K16494+mid_yr-(Sens!F16494+mid_yr))</f>
        <v>448.116665852667</v>
      </c>
    </row>
    <row r="16524" customFormat="false" ht="17.15" hidden="false" customHeight="false" outlineLevel="0" collapsed="false">
      <c r="A16524" s="1" t="s">
        <v>1087</v>
      </c>
      <c r="B16524" s="0" t="s">
        <v>98</v>
      </c>
      <c r="C16524" s="6" t="n">
        <f aca="false">(SUM(Sens!G16522:K16522)+Sens!$C$16523)*(1+wacc)^(t_roll-(Sens!F16494+mid_yr))</f>
        <v>425.310341738423</v>
      </c>
      <c r="L16524" s="11" t="s">
        <v>1088</v>
      </c>
    </row>
    <row r="16525" customFormat="false" ht="17.15" hidden="false" customHeight="false" outlineLevel="0" collapsed="false">
      <c r="A16525" s="1" t="s">
        <v>1089</v>
      </c>
      <c r="B16525" s="0" t="s">
        <v>98</v>
      </c>
      <c r="C16525" s="6" t="n">
        <f aca="false">(w_ntm28*Thesis!G29+(1-w_ntm28)*Thesis!H29)*m_ai</f>
        <v>551.711134531404</v>
      </c>
    </row>
    <row r="16526" customFormat="false" ht="17.15" hidden="false" customHeight="false" outlineLevel="0" collapsed="false">
      <c r="A16526" s="1" t="s">
        <v>1090</v>
      </c>
      <c r="B16526" s="0" t="s">
        <v>98</v>
      </c>
      <c r="C16526" s="6" t="n">
        <f aca="false">(w_ntm28*Sens!G16517+(1-w_ntm28)*Sens!H16517)*m_cloud</f>
        <v>1068.81917370447</v>
      </c>
    </row>
    <row r="16527" customFormat="false" ht="17.15" hidden="false" customHeight="false" outlineLevel="0" collapsed="false">
      <c r="A16527" s="1" t="s">
        <v>1091</v>
      </c>
      <c r="B16527" s="0" t="s">
        <v>98</v>
      </c>
      <c r="C16527" s="6" t="n">
        <f aca="false">(w_ntm28*Sens!G16510+(1-w_ntm28)*Sens!H16510)*m_sw</f>
        <v>1127.71024611553</v>
      </c>
    </row>
    <row r="16528" customFormat="false" ht="17.15" hidden="false" customHeight="false" outlineLevel="0" collapsed="false">
      <c r="A16528" s="1" t="s">
        <v>1092</v>
      </c>
      <c r="B16528" s="0" t="s">
        <v>98</v>
      </c>
      <c r="C16528" s="6" t="n">
        <f aca="false">(w_ntm28*Sens!G16511+(1-w_ntm28)*Sens!H16511)*m_sw</f>
        <v>379.927954212425</v>
      </c>
    </row>
    <row r="16529" customFormat="false" ht="17.15" hidden="false" customHeight="false" outlineLevel="0" collapsed="false">
      <c r="A16529" s="1" t="s">
        <v>1093</v>
      </c>
      <c r="B16529" s="0" t="s">
        <v>98</v>
      </c>
      <c r="C16529" s="6" t="n">
        <f aca="false">(w_ntm28*Sens!G16512+(1-w_ntm28)*Sens!H16512)*m_sw</f>
        <v>109.537681746057</v>
      </c>
    </row>
    <row r="16530" customFormat="false" ht="17.15" hidden="false" customHeight="false" outlineLevel="0" collapsed="false">
      <c r="A16530" s="1" t="s">
        <v>1094</v>
      </c>
      <c r="B16530" s="0" t="s">
        <v>98</v>
      </c>
      <c r="C16530" s="6" t="n">
        <f aca="false">(w_ntm28*Sens!G16513+(1-w_ntm28)*Sens!H16513)*m_sw</f>
        <v>41.7907416024197</v>
      </c>
    </row>
    <row r="16531" customFormat="false" ht="17.15" hidden="false" customHeight="false" outlineLevel="0" collapsed="false">
      <c r="A16531" s="1" t="s">
        <v>1095</v>
      </c>
      <c r="B16531" s="0" t="s">
        <v>98</v>
      </c>
      <c r="C16531" s="6" t="n">
        <f aca="false">(w_ntm28*Sens!G16514+(1-w_ntm28)*Sens!H16514)*m_ads</f>
        <v>115.467626729004</v>
      </c>
    </row>
    <row r="16532" customFormat="false" ht="17.15" hidden="false" customHeight="false" outlineLevel="0" collapsed="false">
      <c r="A16532" s="1" t="s">
        <v>1096</v>
      </c>
      <c r="B16532" s="0" t="s">
        <v>98</v>
      </c>
      <c r="C16532" s="6" t="n">
        <f aca="false">(w_ntm28*Sens!G16519+(1-w_ntm28)*Sens!H16519)*m_game</f>
        <v>98.0506984247457</v>
      </c>
    </row>
    <row r="16533" customFormat="false" ht="17.15" hidden="false" customHeight="false" outlineLevel="0" collapsed="false">
      <c r="A16533" s="1" t="s">
        <v>1097</v>
      </c>
      <c r="B16533" s="0" t="s">
        <v>98</v>
      </c>
      <c r="C16533" s="6" t="n">
        <f aca="false">(w_ntm28*Sens!G16520+(1-w_ntm28)*Sens!H16520)*m_pc</f>
        <v>97.2088080478016</v>
      </c>
    </row>
    <row r="16534" customFormat="false" ht="17.15" hidden="false" customHeight="false" outlineLevel="0" collapsed="false">
      <c r="A16534" s="1" t="s">
        <v>1098</v>
      </c>
      <c r="B16534" s="0" t="s">
        <v>98</v>
      </c>
      <c r="C16534" s="6" t="n">
        <f aca="false">Sens!$C$16524+Sens!$C$16526+Sens!$C$16527+Sens!$C$16528+Sens!$C$16529+Sens!$C$16530+Sens!$C$16531+Sens!$C$16532+Sens!$C$16533</f>
        <v>3463.82327232088</v>
      </c>
    </row>
    <row r="16535" customFormat="false" ht="17.15" hidden="false" customHeight="false" outlineLevel="0" collapsed="false">
      <c r="A16535" s="1" t="s">
        <v>1099</v>
      </c>
      <c r="B16535" s="0" t="s">
        <v>98</v>
      </c>
      <c r="C16535" s="6" t="n">
        <f aca="false">(Sens!G16496-Sens!G16521)*t_stub</f>
        <v>47.9592964551235</v>
      </c>
      <c r="L16535" s="1" t="s">
        <v>1100</v>
      </c>
    </row>
    <row r="16536" customFormat="false" ht="17.15" hidden="false" customHeight="false" outlineLevel="0" collapsed="false">
      <c r="A16536" s="1" t="s">
        <v>1014</v>
      </c>
      <c r="B16536" s="0" t="s">
        <v>98</v>
      </c>
      <c r="C16536" s="6" t="n">
        <f aca="false">CF!F38+(oai_stake_hi*oai_val*(1-liq_disc))-CF!F27+Sens!$C$16535</f>
        <v>176.698005497665</v>
      </c>
      <c r="L16536" s="1" t="s">
        <v>1101</v>
      </c>
    </row>
    <row r="16537" customFormat="false" ht="17.15" hidden="false" customHeight="false" outlineLevel="0" collapsed="false">
      <c r="A16537" s="1" t="s">
        <v>1102</v>
      </c>
      <c r="B16537" s="0" t="s">
        <v>75</v>
      </c>
      <c r="C16537" s="5" t="n">
        <f aca="false">(Sens!$C$16534+Sens!$C$16536)/(CF!F40+dil_gap)-CF!G30*roll_div_q/q_per_yr</f>
        <v>484.62235669938</v>
      </c>
      <c r="L16537" s="1" t="s">
        <v>1103</v>
      </c>
    </row>
    <row r="16538" customFormat="false" ht="17.15" hidden="false" customHeight="false" outlineLevel="0" collapsed="false">
      <c r="A16538" s="1" t="s">
        <v>1104</v>
      </c>
      <c r="B16538" s="0" t="s">
        <v>75</v>
      </c>
      <c r="C16538" s="5" t="n">
        <f aca="false">w_dcf*Sens!$C$16508+(1-w_dcf)*Sens!$C$16537</f>
        <v>427.16533831023</v>
      </c>
    </row>
    <row r="16539" customFormat="false" ht="17.15" hidden="false" customHeight="false" outlineLevel="0" collapsed="false">
      <c r="A16539" s="3" t="s">
        <v>1682</v>
      </c>
    </row>
    <row r="16540" customFormat="false" ht="15" hidden="false" customHeight="false" outlineLevel="0" collapsed="false">
      <c r="A16540" s="4" t="s">
        <v>43</v>
      </c>
      <c r="B16540" s="4" t="s">
        <v>65</v>
      </c>
      <c r="C16540" s="20" t="s">
        <v>799</v>
      </c>
      <c r="D16540" s="20" t="s">
        <v>800</v>
      </c>
      <c r="E16540" s="20" t="s">
        <v>801</v>
      </c>
      <c r="F16540" s="20" t="s">
        <v>802</v>
      </c>
      <c r="G16540" s="20" t="s">
        <v>803</v>
      </c>
      <c r="H16540" s="20" t="s">
        <v>804</v>
      </c>
      <c r="I16540" s="20" t="s">
        <v>805</v>
      </c>
      <c r="J16540" s="20" t="s">
        <v>806</v>
      </c>
      <c r="K16540" s="20" t="s">
        <v>807</v>
      </c>
      <c r="L16540" s="4" t="s">
        <v>47</v>
      </c>
    </row>
    <row r="16541" customFormat="false" ht="15" hidden="false" customHeight="false" outlineLevel="0" collapsed="false">
      <c r="A16541" s="1" t="s">
        <v>1057</v>
      </c>
      <c r="B16541" s="1" t="s">
        <v>235</v>
      </c>
      <c r="F16541" s="36" t="n">
        <f aca="false">Thesis!F55-base_fy-mid_yr</f>
        <v>0.5</v>
      </c>
      <c r="G16541" s="36" t="n">
        <f aca="false">Thesis!G55-base_fy-mid_yr</f>
        <v>1.5</v>
      </c>
      <c r="H16541" s="36" t="n">
        <f aca="false">Thesis!H55-base_fy-mid_yr</f>
        <v>2.5</v>
      </c>
      <c r="I16541" s="36" t="n">
        <f aca="false">Thesis!I55-base_fy-mid_yr</f>
        <v>3.5</v>
      </c>
      <c r="J16541" s="36" t="n">
        <f aca="false">Thesis!J55-base_fy-mid_yr</f>
        <v>4.5</v>
      </c>
      <c r="K16541" s="36" t="n">
        <f aca="false">Thesis!K55-base_fy-mid_yr</f>
        <v>5.5</v>
      </c>
    </row>
    <row r="16542" customFormat="false" ht="15" hidden="false" customHeight="false" outlineLevel="0" collapsed="false">
      <c r="A16542" s="1" t="s">
        <v>1058</v>
      </c>
      <c r="B16542" s="0" t="s">
        <v>185</v>
      </c>
      <c r="F16542" s="14" t="n">
        <f aca="false">1/(1+wacc)^Sens!F16541</f>
        <v>0.952193373608246</v>
      </c>
      <c r="G16542" s="14" t="n">
        <f aca="false">1/(1+wacc)^Sens!G16541</f>
        <v>0.863327280626589</v>
      </c>
      <c r="H16542" s="14" t="n">
        <f aca="false">1/(1+wacc)^Sens!H16541</f>
        <v>0.782754862754115</v>
      </c>
      <c r="I16542" s="14" t="n">
        <f aca="false">1/(1+wacc)^Sens!I16541</f>
        <v>0.709702089711011</v>
      </c>
      <c r="J16542" s="14" t="n">
        <f aca="false">1/(1+wacc)^Sens!J16541</f>
        <v>0.643467169744551</v>
      </c>
      <c r="K16542" s="14" t="n">
        <f aca="false">1/(1+wacc)^Sens!K16541</f>
        <v>0.583413807767797</v>
      </c>
    </row>
    <row r="16543" customFormat="false" ht="17.15" hidden="false" customHeight="false" outlineLevel="0" collapsed="false">
      <c r="A16543" s="1" t="s">
        <v>1059</v>
      </c>
      <c r="B16543" s="0" t="s">
        <v>98</v>
      </c>
      <c r="F16543" s="6" t="n">
        <f aca="false">CF!F53-CF!F51-CF!F57+Thesis!F93*(1-tax_f)</f>
        <v>-2.12916264917943</v>
      </c>
      <c r="G16543" s="6" t="n">
        <f aca="false">CF!G53-CF!G51-CF!G57+Thesis!G93*(1-tax_f)</f>
        <v>37.4539072201241</v>
      </c>
      <c r="H16543" s="6" t="n">
        <f aca="false">CF!H53-CF!H51-CF!H57+Thesis!H93*(1-tax_f)</f>
        <v>85.8888636072133</v>
      </c>
      <c r="I16543" s="6" t="n">
        <f aca="false">CF!I53-CF!I51-CF!I57+Thesis!I93*(1-tax_f)</f>
        <v>159.098024951333</v>
      </c>
      <c r="J16543" s="6" t="n">
        <f aca="false">CF!J53-CF!J51-CF!J57+Thesis!J93*(1-tax_f)</f>
        <v>233.876759261847</v>
      </c>
      <c r="K16543" s="6" t="n">
        <f aca="false">CF!K53-CF!K51-CF!K57+Thesis!K93*(1-tax_f)</f>
        <v>268.447783789649</v>
      </c>
      <c r="L16543" s="1" t="s">
        <v>1060</v>
      </c>
    </row>
    <row r="16544" customFormat="false" ht="15" hidden="false" customHeight="false" outlineLevel="0" collapsed="false">
      <c r="A16544" s="1" t="s">
        <v>1061</v>
      </c>
      <c r="B16544" s="0" t="s">
        <v>98</v>
      </c>
      <c r="F16544" s="6" t="n">
        <f aca="false">Sens!F16543*Sens!F16542</f>
        <v>-2.02737456588283</v>
      </c>
      <c r="G16544" s="6" t="n">
        <f aca="false">Sens!G16543*Sens!G16542</f>
        <v>32.3349798691903</v>
      </c>
      <c r="H16544" s="6" t="n">
        <f aca="false">Sens!H16543*Sens!H16542</f>
        <v>67.2299256449712</v>
      </c>
      <c r="I16544" s="6" t="n">
        <f aca="false">Sens!I16543*Sens!I16542</f>
        <v>112.912200776856</v>
      </c>
      <c r="J16544" s="6" t="n">
        <f aca="false">Sens!J16543*Sens!J16542</f>
        <v>150.492016351249</v>
      </c>
      <c r="K16544" s="6" t="n">
        <f aca="false">Sens!K16543*Sens!K16542</f>
        <v>156.616143727545</v>
      </c>
    </row>
    <row r="16545" customFormat="false" ht="17.15" hidden="false" customHeight="false" outlineLevel="0" collapsed="false">
      <c r="A16545" s="1" t="s">
        <v>1062</v>
      </c>
      <c r="B16545" s="0" t="s">
        <v>98</v>
      </c>
      <c r="C16545" s="6" t="n">
        <f aca="false">SUM(Sens!F16544:K16544)</f>
        <v>517.557891803928</v>
      </c>
    </row>
    <row r="16546" customFormat="false" ht="17.15" hidden="false" customHeight="false" outlineLevel="0" collapsed="false">
      <c r="A16546" s="1" t="s">
        <v>1063</v>
      </c>
      <c r="B16546" s="0" t="s">
        <v>98</v>
      </c>
      <c r="C16546" s="6" t="n">
        <f aca="false">PL!K78*(1+g_tv)*(1-tax_f)</f>
        <v>284.685941703094</v>
      </c>
    </row>
    <row r="16547" customFormat="false" ht="17.15" hidden="false" customHeight="false" outlineLevel="0" collapsed="false">
      <c r="A16547" s="1" t="s">
        <v>1064</v>
      </c>
      <c r="B16547" s="0" t="s">
        <v>98</v>
      </c>
      <c r="C16547" s="6" t="n">
        <f aca="false">Sens!$C$16546*(1-g_tv/(wacc+ronic_prem))</f>
        <v>201.714878735169</v>
      </c>
    </row>
    <row r="16548" customFormat="false" ht="17.15" hidden="false" customHeight="false" outlineLevel="0" collapsed="false">
      <c r="A16548" s="1" t="s">
        <v>1065</v>
      </c>
      <c r="B16548" s="0" t="s">
        <v>98</v>
      </c>
      <c r="C16548" s="6" t="n">
        <f aca="false">Sens!$C$16547/(wacc-g_tv)</f>
        <v>2765.70209893083</v>
      </c>
    </row>
    <row r="16549" customFormat="false" ht="15" hidden="false" customHeight="false" outlineLevel="0" collapsed="false">
      <c r="A16549" s="1" t="s">
        <v>1066</v>
      </c>
      <c r="B16549" s="0" t="s">
        <v>98</v>
      </c>
      <c r="C16549" s="6" t="n">
        <f aca="false">Sens!$C$16548/(1+wacc)^(Sens!K16541+mid_yr)</f>
        <v>1536.41046839169</v>
      </c>
    </row>
    <row r="16550" customFormat="false" ht="17.15" hidden="false" customHeight="false" outlineLevel="0" collapsed="false">
      <c r="A16550" s="0" t="s">
        <v>986</v>
      </c>
      <c r="B16550" s="0" t="s">
        <v>98</v>
      </c>
      <c r="C16550" s="6" t="n">
        <f aca="false">Sens!$C$16545+Sens!$C$16549</f>
        <v>2053.96836019562</v>
      </c>
    </row>
    <row r="16551" customFormat="false" ht="15" hidden="false" customHeight="false" outlineLevel="0" collapsed="false">
      <c r="A16551" s="1" t="s">
        <v>987</v>
      </c>
      <c r="B16551" s="0" t="s">
        <v>129</v>
      </c>
      <c r="C16551" s="7" t="n">
        <f aca="false">Sens!$C$16549/Sens!$C$16550</f>
        <v>0.748020513931073</v>
      </c>
    </row>
    <row r="16552" customFormat="false" ht="17.15" hidden="false" customHeight="false" outlineLevel="0" collapsed="false">
      <c r="A16552" s="1" t="s">
        <v>1067</v>
      </c>
      <c r="B16552" s="0" t="s">
        <v>98</v>
      </c>
      <c r="C16552" s="6" t="n">
        <f aca="false">Sens!$C$16550+CF!E69-CF!E58+(oai_stake_hi*oai_val*(1-liq_disc))</f>
        <v>2202.11336019562</v>
      </c>
    </row>
    <row r="16553" customFormat="false" ht="17.15" hidden="false" customHeight="false" outlineLevel="0" collapsed="false">
      <c r="A16553" s="0" t="s">
        <v>994</v>
      </c>
      <c r="B16553" s="0" t="s">
        <v>75</v>
      </c>
      <c r="C16553" s="5" t="n">
        <f aca="false">Sens!$C$16552/sh_dil26</f>
        <v>295.466706050667</v>
      </c>
    </row>
    <row r="16554" customFormat="false" ht="15" hidden="false" customHeight="false" outlineLevel="0" collapsed="false">
      <c r="A16554" s="1" t="s">
        <v>1068</v>
      </c>
      <c r="B16554" s="0" t="s">
        <v>75</v>
      </c>
      <c r="C16554" s="8" t="n">
        <f aca="false">dps_27+CF!G61*roll_div_q/q_per_yr</f>
        <v>4.8895</v>
      </c>
    </row>
    <row r="16555" customFormat="false" ht="17.15" hidden="false" customHeight="false" outlineLevel="0" collapsed="false">
      <c r="A16555" s="0" t="s">
        <v>1069</v>
      </c>
      <c r="B16555" s="0" t="s">
        <v>75</v>
      </c>
      <c r="C16555" s="5" t="n">
        <f aca="false">Sens!$C$16553*(1+wacc)^t_roll-Sens!$C$16554</f>
        <v>331.568303673082</v>
      </c>
    </row>
    <row r="16556" customFormat="false" ht="17.15" hidden="false" customHeight="false" outlineLevel="0" collapsed="false">
      <c r="A16556" s="1" t="s">
        <v>1070</v>
      </c>
      <c r="B16556" s="0" t="s">
        <v>129</v>
      </c>
      <c r="F16556" s="7" t="n">
        <f aca="false">CF!F48/(Seg!F56-Thesis!F72)</f>
        <v>0.0708376243512414</v>
      </c>
      <c r="G16556" s="7" t="n">
        <f aca="false">CF!G48/(Seg!G56-Thesis!G72)</f>
        <v>0.0675792567445289</v>
      </c>
      <c r="H16556" s="7" t="n">
        <f aca="false">CF!H48/(Seg!H56-Thesis!H72)</f>
        <v>0.0657637992399081</v>
      </c>
      <c r="I16556" s="7" t="n">
        <f aca="false">CF!I48/(Seg!I56-Thesis!I72)</f>
        <v>0.0652507860006261</v>
      </c>
      <c r="J16556" s="7" t="n">
        <f aca="false">CF!J48/(Seg!J56-Thesis!J72)</f>
        <v>0.0657374094257698</v>
      </c>
      <c r="K16556" s="7" t="n">
        <f aca="false">CF!K48/(Seg!K56-Thesis!K72)</f>
        <v>0.0668595832904836</v>
      </c>
    </row>
    <row r="16557" customFormat="false" ht="17.15" hidden="false" customHeight="false" outlineLevel="0" collapsed="false">
      <c r="A16557" s="0" t="s">
        <v>1071</v>
      </c>
      <c r="B16557" s="0" t="s">
        <v>98</v>
      </c>
      <c r="F16557" s="6" t="n">
        <f aca="false">Seg!F41*(al_m365+Sens!F16556+sbc_r)</f>
        <v>84.2019918892952</v>
      </c>
      <c r="G16557" s="6" t="n">
        <f aca="false">Seg!G41*(al_m365+Sens!G16556+sbc_r)</f>
        <v>96.61090954529</v>
      </c>
      <c r="H16557" s="6" t="n">
        <f aca="false">Seg!H41*(al_m365+Sens!H16556+sbc_r)</f>
        <v>109.18271398457</v>
      </c>
      <c r="I16557" s="6" t="n">
        <f aca="false">Seg!I41*(al_m365+Sens!I16556+sbc_r)</f>
        <v>120.736322591613</v>
      </c>
      <c r="J16557" s="6" t="n">
        <f aca="false">Seg!J41*(al_m365+Sens!J16556+sbc_r)</f>
        <v>131.084561154645</v>
      </c>
      <c r="K16557" s="6" t="n">
        <f aca="false">Seg!K41*(al_m365+Sens!K16556+sbc_r)</f>
        <v>141.044207560217</v>
      </c>
      <c r="L16557" s="11" t="s">
        <v>1072</v>
      </c>
    </row>
    <row r="16558" customFormat="false" ht="17.15" hidden="false" customHeight="false" outlineLevel="0" collapsed="false">
      <c r="A16558" s="0" t="s">
        <v>1073</v>
      </c>
      <c r="B16558" s="0" t="s">
        <v>98</v>
      </c>
      <c r="F16558" s="6" t="n">
        <f aca="false">Seg!F42*(al_lic+Sens!F16556+sbc_r)</f>
        <v>33.5324516680982</v>
      </c>
      <c r="G16558" s="6" t="n">
        <f aca="false">Seg!G42*(al_lic+Sens!G16556+sbc_r)</f>
        <v>34.819657317048</v>
      </c>
      <c r="H16558" s="6" t="n">
        <f aca="false">Seg!H42*(al_lic+Sens!H16556+sbc_r)</f>
        <v>36.0229106304815</v>
      </c>
      <c r="I16558" s="6" t="n">
        <f aca="false">Seg!I42*(al_lic+Sens!I16556+sbc_r)</f>
        <v>37.1234854794919</v>
      </c>
      <c r="J16558" s="6" t="n">
        <f aca="false">Seg!J42*(al_lic+Sens!J16556+sbc_r)</f>
        <v>38.0950592345738</v>
      </c>
      <c r="K16558" s="6" t="n">
        <f aca="false">Seg!K42*(al_lic+Sens!K16556+sbc_r)</f>
        <v>38.9080719459809</v>
      </c>
    </row>
    <row r="16559" customFormat="false" ht="17.15" hidden="false" customHeight="false" outlineLevel="0" collapsed="false">
      <c r="A16559" s="0" t="s">
        <v>1074</v>
      </c>
      <c r="B16559" s="0" t="s">
        <v>98</v>
      </c>
      <c r="F16559" s="6" t="n">
        <f aca="false">Seg!F44*(al_ind+Sens!F16556+sbc_r)</f>
        <v>9.12666918765551</v>
      </c>
      <c r="G16559" s="6" t="n">
        <f aca="false">Seg!G44*(al_ind+Sens!G16556+sbc_r)</f>
        <v>9.89694850970116</v>
      </c>
      <c r="H16559" s="6" t="n">
        <f aca="false">Seg!H44*(al_ind+Sens!H16556+sbc_r)</f>
        <v>10.7131335152527</v>
      </c>
      <c r="I16559" s="6" t="n">
        <f aca="false">Seg!I44*(al_ind+Sens!I16556+sbc_r)</f>
        <v>11.5721730864119</v>
      </c>
      <c r="J16559" s="6" t="n">
        <f aca="false">Seg!J44*(al_ind+Sens!J16556+sbc_r)</f>
        <v>12.4641697526801</v>
      </c>
      <c r="K16559" s="6" t="n">
        <f aca="false">Seg!K44*(al_ind+Sens!K16556+sbc_r)</f>
        <v>13.3737871892836</v>
      </c>
    </row>
    <row r="16560" customFormat="false" ht="17.15" hidden="false" customHeight="false" outlineLevel="0" collapsed="false">
      <c r="A16560" s="0" t="s">
        <v>1075</v>
      </c>
      <c r="B16560" s="0" t="s">
        <v>98</v>
      </c>
      <c r="F16560" s="6" t="n">
        <f aca="false">Seg!F46*(al_fro+Sens!F16556+sbc_r)</f>
        <v>3.5922890341799</v>
      </c>
      <c r="G16560" s="6" t="n">
        <f aca="false">Seg!G46*(al_fro+Sens!G16556+sbc_r)</f>
        <v>3.79984310356763</v>
      </c>
      <c r="H16560" s="6" t="n">
        <f aca="false">Seg!H46*(al_fro+Sens!H16556+sbc_r)</f>
        <v>4.03707539290126</v>
      </c>
      <c r="I16560" s="6" t="n">
        <f aca="false">Seg!I46*(al_fro+Sens!I16556+sbc_r)</f>
        <v>4.30669184104541</v>
      </c>
      <c r="J16560" s="6" t="n">
        <f aca="false">Seg!J46*(al_fro+Sens!J16556+sbc_r)</f>
        <v>4.6097289716959</v>
      </c>
      <c r="K16560" s="6" t="n">
        <f aca="false">Seg!K46*(al_fro+Sens!K16556+sbc_r)</f>
        <v>4.94614045628512</v>
      </c>
    </row>
    <row r="16561" customFormat="false" ht="17.15" hidden="false" customHeight="false" outlineLevel="0" collapsed="false">
      <c r="A16561" s="0" t="s">
        <v>1076</v>
      </c>
      <c r="B16561" s="0" t="s">
        <v>98</v>
      </c>
      <c r="F16561" s="6" t="n">
        <f aca="false">Seg!F49*(al_srch+Sens!F16556+sbc_r)</f>
        <v>11.2715683093452</v>
      </c>
      <c r="G16561" s="6" t="n">
        <f aca="false">Seg!G49*(al_srch+Sens!G16556+sbc_r)</f>
        <v>12.338201972554</v>
      </c>
      <c r="H16561" s="6" t="n">
        <f aca="false">Seg!H49*(al_srch+Sens!H16556+sbc_r)</f>
        <v>13.450727865064</v>
      </c>
      <c r="I16561" s="6" t="n">
        <f aca="false">Seg!I49*(al_srch+Sens!I16556+sbc_r)</f>
        <v>14.598560682534</v>
      </c>
      <c r="J16561" s="6" t="n">
        <f aca="false">Seg!J49*(al_srch+Sens!J16556+sbc_r)</f>
        <v>15.7615229152659</v>
      </c>
      <c r="K16561" s="6" t="n">
        <f aca="false">Seg!K49*(al_srch+Sens!K16556+sbc_r)</f>
        <v>16.9117765106222</v>
      </c>
    </row>
    <row r="16562" customFormat="false" ht="17.15" hidden="false" customHeight="false" outlineLevel="0" collapsed="false">
      <c r="A16562" s="0" t="s">
        <v>1077</v>
      </c>
      <c r="B16562" s="0" t="s">
        <v>98</v>
      </c>
      <c r="F16562" s="6" t="n">
        <f aca="false">Thesis!F78-Thesis!F79+Thesis!F93</f>
        <v>42.2254306726393</v>
      </c>
      <c r="G16562" s="6" t="n">
        <f aca="false">Thesis!G78-Thesis!G79+Thesis!G93</f>
        <v>79.7027537443441</v>
      </c>
      <c r="H16562" s="6" t="n">
        <f aca="false">Thesis!H78-Thesis!H79+Thesis!H93</f>
        <v>120.060533679822</v>
      </c>
      <c r="I16562" s="6" t="n">
        <f aca="false">Thesis!I78-Thesis!I79+Thesis!I93</f>
        <v>156.515256506302</v>
      </c>
      <c r="J16562" s="6" t="n">
        <f aca="false">Thesis!J78-Thesis!J79+Thesis!J93</f>
        <v>182.51821819491</v>
      </c>
      <c r="K16562" s="6" t="n">
        <f aca="false">Thesis!K78-Thesis!K79+Thesis!K93</f>
        <v>199.254533496123</v>
      </c>
    </row>
    <row r="16563" customFormat="false" ht="17.15" hidden="false" customHeight="false" outlineLevel="0" collapsed="false">
      <c r="A16563" s="0" t="s">
        <v>1078</v>
      </c>
      <c r="B16563" s="0" t="s">
        <v>98</v>
      </c>
      <c r="F16563" s="6" t="n">
        <f aca="false">PL!F71+Thesis!F93+Thesis!F89+Sens!F16556*(Seg!F48-Thesis!F72)+sbc_r*Seg!F48</f>
        <v>233.08249657256</v>
      </c>
      <c r="G16563" s="6" t="n">
        <f aca="false">PL!G71+Thesis!G93+Thesis!G89+Sens!G16556*(Seg!G48-Thesis!G72)+sbc_r*Seg!G48</f>
        <v>297.663189032606</v>
      </c>
      <c r="H16563" s="6" t="n">
        <f aca="false">PL!H71+Thesis!H93+Thesis!H89+Sens!H16556*(Seg!H48-Thesis!H72)+sbc_r*Seg!H48</f>
        <v>365.628165851855</v>
      </c>
      <c r="I16563" s="6" t="n">
        <f aca="false">PL!I71+Thesis!I93+Thesis!I89+Sens!I16556*(Seg!I48-Thesis!I72)+sbc_r*Seg!I48</f>
        <v>428.31888397841</v>
      </c>
      <c r="J16563" s="6" t="n">
        <f aca="false">PL!J71+Thesis!J93+Thesis!J89+Sens!J16556*(Seg!J48-Thesis!J72)+sbc_r*Seg!J48</f>
        <v>478.127348640143</v>
      </c>
      <c r="K16563" s="6" t="n">
        <f aca="false">PL!K71+Thesis!K93+Thesis!K89+Sens!K16556*(Seg!K48-Thesis!K72)+sbc_r*Seg!K48</f>
        <v>516.321726855748</v>
      </c>
    </row>
    <row r="16564" customFormat="false" ht="17.15" hidden="false" customHeight="false" outlineLevel="0" collapsed="false">
      <c r="A16564" s="0" t="s">
        <v>1079</v>
      </c>
      <c r="B16564" s="0" t="s">
        <v>98</v>
      </c>
      <c r="F16564" s="6" t="n">
        <f aca="false">Sens!F16563-Sens!F16557-Sens!F16558-Sens!F16559-Sens!F16560-Sens!F16562</f>
        <v>60.4036641206917</v>
      </c>
      <c r="G16564" s="6" t="n">
        <f aca="false">Sens!G16563-Sens!G16557-Sens!G16558-Sens!G16559-Sens!G16560-Sens!G16562</f>
        <v>72.8330768126549</v>
      </c>
      <c r="H16564" s="6" t="n">
        <f aca="false">Sens!H16563-Sens!H16557-Sens!H16558-Sens!H16559-Sens!H16560-Sens!H16562</f>
        <v>85.6117986488275</v>
      </c>
      <c r="I16564" s="6" t="n">
        <f aca="false">Sens!I16563-Sens!I16557-Sens!I16558-Sens!I16559-Sens!I16560-Sens!I16562</f>
        <v>98.0649544735462</v>
      </c>
      <c r="J16564" s="6" t="n">
        <f aca="false">Sens!J16563-Sens!J16557-Sens!J16558-Sens!J16559-Sens!J16560-Sens!J16562</f>
        <v>109.355611331638</v>
      </c>
      <c r="K16564" s="6" t="n">
        <f aca="false">Sens!K16563-Sens!K16557-Sens!K16558-Sens!K16559-Sens!K16560-Sens!K16562</f>
        <v>118.794986207857</v>
      </c>
    </row>
    <row r="16565" customFormat="false" ht="17.15" hidden="false" customHeight="false" outlineLevel="0" collapsed="false">
      <c r="A16565" s="0" t="s">
        <v>1080</v>
      </c>
      <c r="B16565" s="0" t="s">
        <v>98</v>
      </c>
      <c r="F16565" s="6" t="n">
        <f aca="false">PL!F73+Sens!F16556*Seg!F55+sbc_r*Seg!F55</f>
        <v>26.345087006484</v>
      </c>
      <c r="G16565" s="6" t="n">
        <f aca="false">PL!G73+Sens!G16556*Seg!G55+sbc_r*Seg!G55</f>
        <v>26.928666241387</v>
      </c>
      <c r="H16565" s="6" t="n">
        <f aca="false">PL!H73+Sens!H16556*Seg!H55+sbc_r*Seg!H55</f>
        <v>27.7857977299272</v>
      </c>
      <c r="I16565" s="6" t="n">
        <f aca="false">PL!I73+Sens!I16556*Seg!I55+sbc_r*Seg!I55</f>
        <v>28.8854111921819</v>
      </c>
      <c r="J16565" s="6" t="n">
        <f aca="false">PL!J73+Sens!J16556*Seg!J55+sbc_r*Seg!J55</f>
        <v>30.1909525075627</v>
      </c>
      <c r="K16565" s="6" t="n">
        <f aca="false">PL!K73+Sens!K16556*Seg!K55+sbc_r*Seg!K55</f>
        <v>31.6641663414168</v>
      </c>
    </row>
    <row r="16566" customFormat="false" ht="17.15" hidden="false" customHeight="false" outlineLevel="0" collapsed="false">
      <c r="A16566" s="0" t="s">
        <v>1081</v>
      </c>
      <c r="B16566" s="0" t="s">
        <v>98</v>
      </c>
      <c r="F16566" s="6" t="n">
        <f aca="false">(Sens!F16565-Sens!F16561)*Seg!F51/(Seg!F51+Seg!F53)</f>
        <v>8.26315613582677</v>
      </c>
      <c r="G16566" s="6" t="n">
        <f aca="false">(Sens!G16565-Sens!G16561)*Seg!G51/(Seg!G51+Seg!G53)</f>
        <v>7.85574031810689</v>
      </c>
      <c r="H16566" s="6" t="n">
        <f aca="false">(Sens!H16565-Sens!H16561)*Seg!H51/(Seg!H51+Seg!H53)</f>
        <v>7.61397145487838</v>
      </c>
      <c r="I16566" s="6" t="n">
        <f aca="false">(Sens!I16565-Sens!I16561)*Seg!I51/(Seg!I51+Seg!I53)</f>
        <v>7.51970050510933</v>
      </c>
      <c r="J16566" s="6" t="n">
        <f aca="false">(Sens!J16565-Sens!J16561)*Seg!J51/(Seg!J51+Seg!J53)</f>
        <v>7.56040201890202</v>
      </c>
      <c r="K16566" s="6" t="n">
        <f aca="false">(Sens!K16565-Sens!K16561)*Seg!K51/(Seg!K51+Seg!K53)</f>
        <v>7.72961932742727</v>
      </c>
    </row>
    <row r="16567" customFormat="false" ht="17.15" hidden="false" customHeight="false" outlineLevel="0" collapsed="false">
      <c r="A16567" s="0" t="s">
        <v>1082</v>
      </c>
      <c r="B16567" s="0" t="s">
        <v>98</v>
      </c>
      <c r="F16567" s="6" t="n">
        <f aca="false">Sens!F16565-Sens!F16561-Sens!F16566</f>
        <v>6.81036256131213</v>
      </c>
      <c r="G16567" s="6" t="n">
        <f aca="false">Sens!G16565-Sens!G16561-Sens!G16566</f>
        <v>6.73472395072608</v>
      </c>
      <c r="H16567" s="6" t="n">
        <f aca="false">Sens!H16565-Sens!H16561-Sens!H16566</f>
        <v>6.72109840998485</v>
      </c>
      <c r="I16567" s="6" t="n">
        <f aca="false">Sens!I16565-Sens!I16561-Sens!I16566</f>
        <v>6.76715000453853</v>
      </c>
      <c r="J16567" s="6" t="n">
        <f aca="false">Sens!J16565-Sens!J16561-Sens!J16566</f>
        <v>6.86902757339483</v>
      </c>
      <c r="K16567" s="6" t="n">
        <f aca="false">Sens!K16565-Sens!K16561-Sens!K16566</f>
        <v>7.02277050336727</v>
      </c>
    </row>
    <row r="16568" customFormat="false" ht="17.15" hidden="false" customHeight="false" outlineLevel="0" collapsed="false">
      <c r="A16568" s="0" t="s">
        <v>1083</v>
      </c>
      <c r="B16568" s="0" t="s">
        <v>98</v>
      </c>
      <c r="F16568" s="6" t="n">
        <f aca="false">Sens!F16562-tax_f*(Sens!F16562-Thesis!F89)-Thesis!F86</f>
        <v>-119.742553857164</v>
      </c>
      <c r="G16568" s="6" t="n">
        <f aca="false">Sens!G16562-tax_f*(Sens!G16562-Thesis!G89)-Thesis!G86</f>
        <v>-107.986890065622</v>
      </c>
      <c r="H16568" s="6" t="n">
        <f aca="false">Sens!H16562-tax_f*(Sens!H16562-Thesis!H89)-Thesis!H86</f>
        <v>-74.7596549978803</v>
      </c>
      <c r="I16568" s="6" t="n">
        <f aca="false">Sens!I16562-tax_f*(Sens!I16562-Thesis!I89)-Thesis!I86</f>
        <v>-16.3733151827256</v>
      </c>
      <c r="J16568" s="6" t="n">
        <f aca="false">Sens!J16562-tax_f*(Sens!J16562-Thesis!J89)-Thesis!J86</f>
        <v>44.4328025322546</v>
      </c>
      <c r="K16568" s="6" t="n">
        <f aca="false">Sens!K16562-tax_f*(Sens!K16562-Thesis!K89)-Thesis!K86</f>
        <v>65.8225043021697</v>
      </c>
    </row>
    <row r="16569" customFormat="false" ht="17.15" hidden="false" customHeight="false" outlineLevel="0" collapsed="false">
      <c r="A16569" s="0" t="s">
        <v>1084</v>
      </c>
      <c r="B16569" s="0" t="s">
        <v>98</v>
      </c>
      <c r="G16569" s="6" t="n">
        <f aca="false">Sens!G16568/(1+wacc)^(Sens!G16541-(Sens!F16541+mid_yr))</f>
        <v>-102.824401157048</v>
      </c>
      <c r="H16569" s="6" t="n">
        <f aca="false">Sens!H16568/(1+wacc)^(Sens!H16541-(Sens!F16541+mid_yr))</f>
        <v>-64.5420496499019</v>
      </c>
      <c r="I16569" s="6" t="n">
        <f aca="false">Sens!I16568/(1+wacc)^(Sens!I16541-(Sens!F16541+mid_yr))</f>
        <v>-12.8162920786843</v>
      </c>
      <c r="J16569" s="6" t="n">
        <f aca="false">Sens!J16568/(1+wacc)^(Sens!J16541-(Sens!F16541+mid_yr))</f>
        <v>31.5340528088578</v>
      </c>
      <c r="K16569" s="6" t="n">
        <f aca="false">Sens!K16568/(1+wacc)^(Sens!K16541-(Sens!F16541+mid_yr))</f>
        <v>42.3546205488157</v>
      </c>
      <c r="L16569" s="1" t="s">
        <v>1085</v>
      </c>
    </row>
    <row r="16570" customFormat="false" ht="17.15" hidden="false" customHeight="false" outlineLevel="0" collapsed="false">
      <c r="A16570" s="0" t="s">
        <v>1086</v>
      </c>
      <c r="B16570" s="0" t="s">
        <v>98</v>
      </c>
      <c r="C16570" s="6" t="n">
        <f aca="false">(Sens!K16562-Thesis!K89)*(1-tax_f)*(1+g_tv)*(1-g_tv/(wacc+ronic_prem))/(wacc-g_tv)/(1+wacc)^(Sens!K16541+mid_yr-(Sens!F16541+mid_yr))</f>
        <v>294.889481980532</v>
      </c>
    </row>
    <row r="16571" customFormat="false" ht="17.15" hidden="false" customHeight="false" outlineLevel="0" collapsed="false">
      <c r="A16571" s="1" t="s">
        <v>1087</v>
      </c>
      <c r="B16571" s="0" t="s">
        <v>98</v>
      </c>
      <c r="C16571" s="6" t="n">
        <f aca="false">(SUM(Sens!G16569:K16569)+Sens!$C$16570)*(1+wacc)^(t_roll-(Sens!F16541+mid_yr))</f>
        <v>194.716829358755</v>
      </c>
      <c r="L16571" s="11" t="s">
        <v>1088</v>
      </c>
    </row>
    <row r="16572" customFormat="false" ht="17.15" hidden="false" customHeight="false" outlineLevel="0" collapsed="false">
      <c r="A16572" s="1" t="s">
        <v>1089</v>
      </c>
      <c r="B16572" s="0" t="s">
        <v>98</v>
      </c>
      <c r="C16572" s="6" t="n">
        <f aca="false">(w_ntm28*Thesis!G78+(1-w_ntm28)*Thesis!H78)*m_ai</f>
        <v>454.922440830797</v>
      </c>
    </row>
    <row r="16573" customFormat="false" ht="17.15" hidden="false" customHeight="false" outlineLevel="0" collapsed="false">
      <c r="A16573" s="1" t="s">
        <v>1090</v>
      </c>
      <c r="B16573" s="0" t="s">
        <v>98</v>
      </c>
      <c r="C16573" s="6" t="n">
        <f aca="false">(w_ntm28*Sens!G16564+(1-w_ntm28)*Sens!H16564)*m_cloud</f>
        <v>1063.6463501031</v>
      </c>
    </row>
    <row r="16574" customFormat="false" ht="17.15" hidden="false" customHeight="false" outlineLevel="0" collapsed="false">
      <c r="A16574" s="1" t="s">
        <v>1091</v>
      </c>
      <c r="B16574" s="0" t="s">
        <v>98</v>
      </c>
      <c r="C16574" s="6" t="n">
        <f aca="false">(w_ntm28*Sens!G16557+(1-w_ntm28)*Sens!H16557)*m_sw</f>
        <v>1087.29236439713</v>
      </c>
    </row>
    <row r="16575" customFormat="false" ht="17.15" hidden="false" customHeight="false" outlineLevel="0" collapsed="false">
      <c r="A16575" s="1" t="s">
        <v>1092</v>
      </c>
      <c r="B16575" s="0" t="s">
        <v>98</v>
      </c>
      <c r="C16575" s="6" t="n">
        <f aca="false">(w_ntm28*Sens!G16558+(1-w_ntm28)*Sens!H16558)*m_sw</f>
        <v>380.253466209432</v>
      </c>
    </row>
    <row r="16576" customFormat="false" ht="17.15" hidden="false" customHeight="false" outlineLevel="0" collapsed="false">
      <c r="A16576" s="1" t="s">
        <v>1093</v>
      </c>
      <c r="B16576" s="0" t="s">
        <v>98</v>
      </c>
      <c r="C16576" s="6" t="n">
        <f aca="false">(w_ntm28*Sens!G16559+(1-w_ntm28)*Sens!H16559)*m_sw</f>
        <v>109.736759441964</v>
      </c>
    </row>
    <row r="16577" customFormat="false" ht="17.15" hidden="false" customHeight="false" outlineLevel="0" collapsed="false">
      <c r="A16577" s="1" t="s">
        <v>1094</v>
      </c>
      <c r="B16577" s="0" t="s">
        <v>98</v>
      </c>
      <c r="C16577" s="6" t="n">
        <f aca="false">(w_ntm28*Sens!G16560+(1-w_ntm28)*Sens!H16560)*m_sw</f>
        <v>41.8666036816175</v>
      </c>
    </row>
    <row r="16578" customFormat="false" ht="17.15" hidden="false" customHeight="false" outlineLevel="0" collapsed="false">
      <c r="A16578" s="1" t="s">
        <v>1095</v>
      </c>
      <c r="B16578" s="0" t="s">
        <v>98</v>
      </c>
      <c r="C16578" s="6" t="n">
        <f aca="false">(w_ntm28*Sens!G16561+(1-w_ntm28)*Sens!H16561)*m_ads</f>
        <v>115.677576364297</v>
      </c>
    </row>
    <row r="16579" customFormat="false" ht="17.15" hidden="false" customHeight="false" outlineLevel="0" collapsed="false">
      <c r="A16579" s="1" t="s">
        <v>1096</v>
      </c>
      <c r="B16579" s="0" t="s">
        <v>98</v>
      </c>
      <c r="C16579" s="6" t="n">
        <f aca="false">(w_ntm28*Sens!G16566+(1-w_ntm28)*Sens!H16566)*m_game</f>
        <v>98.230828142008</v>
      </c>
    </row>
    <row r="16580" customFormat="false" ht="17.15" hidden="false" customHeight="false" outlineLevel="0" collapsed="false">
      <c r="A16580" s="1" t="s">
        <v>1097</v>
      </c>
      <c r="B16580" s="0" t="s">
        <v>98</v>
      </c>
      <c r="C16580" s="6" t="n">
        <f aca="false">(w_ntm28*Sens!G16567+(1-w_ntm28)*Sens!H16567)*m_pc</f>
        <v>97.3877156607214</v>
      </c>
    </row>
    <row r="16581" customFormat="false" ht="17.15" hidden="false" customHeight="false" outlineLevel="0" collapsed="false">
      <c r="A16581" s="1" t="s">
        <v>1098</v>
      </c>
      <c r="B16581" s="0" t="s">
        <v>98</v>
      </c>
      <c r="C16581" s="6" t="n">
        <f aca="false">Sens!$C$16571+Sens!$C$16573+Sens!$C$16574+Sens!$C$16575+Sens!$C$16576+Sens!$C$16577+Sens!$C$16578+Sens!$C$16579+Sens!$C$16580</f>
        <v>3188.80849335903</v>
      </c>
    </row>
    <row r="16582" customFormat="false" ht="17.15" hidden="false" customHeight="false" outlineLevel="0" collapsed="false">
      <c r="A16582" s="1" t="s">
        <v>1099</v>
      </c>
      <c r="B16582" s="0" t="s">
        <v>98</v>
      </c>
      <c r="C16582" s="6" t="n">
        <f aca="false">(Sens!G16543-Sens!G16568)*t_stub</f>
        <v>47.417684594531</v>
      </c>
      <c r="L16582" s="1" t="s">
        <v>1100</v>
      </c>
    </row>
    <row r="16583" customFormat="false" ht="17.15" hidden="false" customHeight="false" outlineLevel="0" collapsed="false">
      <c r="A16583" s="1" t="s">
        <v>1014</v>
      </c>
      <c r="B16583" s="0" t="s">
        <v>98</v>
      </c>
      <c r="C16583" s="6" t="n">
        <f aca="false">CF!F69+(oai_stake_hi*oai_val*(1-liq_disc))-CF!F58+Sens!$C$16582</f>
        <v>172.331306060314</v>
      </c>
      <c r="L16583" s="1" t="s">
        <v>1101</v>
      </c>
    </row>
    <row r="16584" customFormat="false" ht="17.15" hidden="false" customHeight="false" outlineLevel="0" collapsed="false">
      <c r="A16584" s="1" t="s">
        <v>1102</v>
      </c>
      <c r="B16584" s="0" t="s">
        <v>75</v>
      </c>
      <c r="C16584" s="5" t="n">
        <f aca="false">(Sens!$C$16581+Sens!$C$16583)/(CF!F71+dil_gap)-CF!G61*roll_div_q/q_per_yr</f>
        <v>447.35161518401</v>
      </c>
      <c r="L16584" s="1" t="s">
        <v>1103</v>
      </c>
    </row>
    <row r="16585" customFormat="false" ht="17.15" hidden="false" customHeight="false" outlineLevel="0" collapsed="false">
      <c r="A16585" s="1" t="s">
        <v>1104</v>
      </c>
      <c r="B16585" s="0" t="s">
        <v>75</v>
      </c>
      <c r="C16585" s="5" t="n">
        <f aca="false">w_dcf*Sens!$C$16555+(1-w_dcf)*Sens!$C$16584</f>
        <v>389.459959428546</v>
      </c>
    </row>
    <row r="16586" customFormat="false" ht="17.15" hidden="false" customHeight="false" outlineLevel="0" collapsed="false">
      <c r="A16586" s="3" t="s">
        <v>1683</v>
      </c>
    </row>
    <row r="16587" customFormat="false" ht="15" hidden="false" customHeight="false" outlineLevel="0" collapsed="false">
      <c r="A16587" s="4" t="s">
        <v>43</v>
      </c>
      <c r="B16587" s="4" t="s">
        <v>65</v>
      </c>
      <c r="C16587" s="20" t="s">
        <v>799</v>
      </c>
      <c r="D16587" s="20" t="s">
        <v>800</v>
      </c>
      <c r="E16587" s="20" t="s">
        <v>801</v>
      </c>
      <c r="F16587" s="20" t="s">
        <v>802</v>
      </c>
      <c r="G16587" s="20" t="s">
        <v>803</v>
      </c>
      <c r="H16587" s="20" t="s">
        <v>804</v>
      </c>
      <c r="I16587" s="20" t="s">
        <v>805</v>
      </c>
      <c r="J16587" s="20" t="s">
        <v>806</v>
      </c>
      <c r="K16587" s="20" t="s">
        <v>807</v>
      </c>
      <c r="L16587" s="4" t="s">
        <v>47</v>
      </c>
    </row>
    <row r="16588" customFormat="false" ht="15" hidden="false" customHeight="false" outlineLevel="0" collapsed="false">
      <c r="A16588" s="1" t="s">
        <v>1057</v>
      </c>
      <c r="B16588" s="1" t="s">
        <v>235</v>
      </c>
      <c r="F16588" s="36" t="n">
        <f aca="false">Thesis!F104-base_fy-mid_yr</f>
        <v>0.5</v>
      </c>
      <c r="G16588" s="36" t="n">
        <f aca="false">Thesis!G104-base_fy-mid_yr</f>
        <v>1.5</v>
      </c>
      <c r="H16588" s="36" t="n">
        <f aca="false">Thesis!H104-base_fy-mid_yr</f>
        <v>2.5</v>
      </c>
      <c r="I16588" s="36" t="n">
        <f aca="false">Thesis!I104-base_fy-mid_yr</f>
        <v>3.5</v>
      </c>
      <c r="J16588" s="36" t="n">
        <f aca="false">Thesis!J104-base_fy-mid_yr</f>
        <v>4.5</v>
      </c>
      <c r="K16588" s="36" t="n">
        <f aca="false">Thesis!K104-base_fy-mid_yr</f>
        <v>5.5</v>
      </c>
    </row>
    <row r="16589" customFormat="false" ht="15" hidden="false" customHeight="false" outlineLevel="0" collapsed="false">
      <c r="A16589" s="1" t="s">
        <v>1058</v>
      </c>
      <c r="B16589" s="0" t="s">
        <v>185</v>
      </c>
      <c r="F16589" s="14" t="n">
        <f aca="false">1/(1+wacc)^Sens!F16588</f>
        <v>0.952193373608246</v>
      </c>
      <c r="G16589" s="14" t="n">
        <f aca="false">1/(1+wacc)^Sens!G16588</f>
        <v>0.863327280626589</v>
      </c>
      <c r="H16589" s="14" t="n">
        <f aca="false">1/(1+wacc)^Sens!H16588</f>
        <v>0.782754862754115</v>
      </c>
      <c r="I16589" s="14" t="n">
        <f aca="false">1/(1+wacc)^Sens!I16588</f>
        <v>0.709702089711011</v>
      </c>
      <c r="J16589" s="14" t="n">
        <f aca="false">1/(1+wacc)^Sens!J16588</f>
        <v>0.643467169744551</v>
      </c>
      <c r="K16589" s="14" t="n">
        <f aca="false">1/(1+wacc)^Sens!K16588</f>
        <v>0.583413807767797</v>
      </c>
    </row>
    <row r="16590" customFormat="false" ht="17.15" hidden="false" customHeight="false" outlineLevel="0" collapsed="false">
      <c r="A16590" s="1" t="s">
        <v>1059</v>
      </c>
      <c r="B16590" s="0" t="s">
        <v>98</v>
      </c>
      <c r="F16590" s="6" t="n">
        <f aca="false">CF!F84-CF!F82-CF!F88+Thesis!F142*(1-tax_f)</f>
        <v>-5.66283879850096</v>
      </c>
      <c r="G16590" s="6" t="n">
        <f aca="false">CF!G84-CF!G82-CF!G88+Thesis!G142*(1-tax_f)</f>
        <v>26.4063013109088</v>
      </c>
      <c r="H16590" s="6" t="n">
        <f aca="false">CF!H84-CF!H82-CF!H88+Thesis!H142*(1-tax_f)</f>
        <v>62.5616635009479</v>
      </c>
      <c r="I16590" s="6" t="n">
        <f aca="false">CF!I84-CF!I82-CF!I88+Thesis!I142*(1-tax_f)</f>
        <v>129.900993846266</v>
      </c>
      <c r="J16590" s="6" t="n">
        <f aca="false">CF!J84-CF!J82-CF!J88+Thesis!J142*(1-tax_f)</f>
        <v>200.497803796175</v>
      </c>
      <c r="K16590" s="6" t="n">
        <f aca="false">CF!K84-CF!K82-CF!K88+Thesis!K142*(1-tax_f)</f>
        <v>232.344395761849</v>
      </c>
      <c r="L16590" s="1" t="s">
        <v>1060</v>
      </c>
    </row>
    <row r="16591" customFormat="false" ht="15" hidden="false" customHeight="false" outlineLevel="0" collapsed="false">
      <c r="A16591" s="1" t="s">
        <v>1061</v>
      </c>
      <c r="B16591" s="0" t="s">
        <v>98</v>
      </c>
      <c r="F16591" s="6" t="n">
        <f aca="false">Sens!F16590*Sens!F16589</f>
        <v>-5.3921175797443</v>
      </c>
      <c r="G16591" s="6" t="n">
        <f aca="false">Sens!G16590*Sens!G16589</f>
        <v>22.7972803021532</v>
      </c>
      <c r="H16591" s="6" t="n">
        <f aca="false">Sens!H16590*Sens!H16589</f>
        <v>48.9704463273536</v>
      </c>
      <c r="I16591" s="6" t="n">
        <f aca="false">Sens!I16590*Sens!I16589</f>
        <v>92.1910067882323</v>
      </c>
      <c r="J16591" s="6" t="n">
        <f aca="false">Sens!J16590*Sens!J16589</f>
        <v>129.013754348723</v>
      </c>
      <c r="K16591" s="6" t="n">
        <f aca="false">Sens!K16590*Sens!K16589</f>
        <v>135.552928644928</v>
      </c>
    </row>
    <row r="16592" customFormat="false" ht="17.15" hidden="false" customHeight="false" outlineLevel="0" collapsed="false">
      <c r="A16592" s="1" t="s">
        <v>1062</v>
      </c>
      <c r="B16592" s="0" t="s">
        <v>98</v>
      </c>
      <c r="C16592" s="6" t="n">
        <f aca="false">SUM(Sens!F16591:K16591)</f>
        <v>423.133298831646</v>
      </c>
    </row>
    <row r="16593" customFormat="false" ht="17.15" hidden="false" customHeight="false" outlineLevel="0" collapsed="false">
      <c r="A16593" s="1" t="s">
        <v>1063</v>
      </c>
      <c r="B16593" s="0" t="s">
        <v>98</v>
      </c>
      <c r="C16593" s="6" t="n">
        <f aca="false">PL!K117*(1+g_tv)*(1-tax_f)</f>
        <v>246.58988426946</v>
      </c>
    </row>
    <row r="16594" customFormat="false" ht="17.15" hidden="false" customHeight="false" outlineLevel="0" collapsed="false">
      <c r="A16594" s="1" t="s">
        <v>1064</v>
      </c>
      <c r="B16594" s="0" t="s">
        <v>98</v>
      </c>
      <c r="C16594" s="6" t="n">
        <f aca="false">Sens!$C$16593*(1-g_tv/(wacc+ronic_prem))</f>
        <v>174.721829624483</v>
      </c>
    </row>
    <row r="16595" customFormat="false" ht="17.15" hidden="false" customHeight="false" outlineLevel="0" collapsed="false">
      <c r="A16595" s="1" t="s">
        <v>1065</v>
      </c>
      <c r="B16595" s="0" t="s">
        <v>98</v>
      </c>
      <c r="C16595" s="6" t="n">
        <f aca="false">Sens!$C$16594/(wacc-g_tv)</f>
        <v>2395.60182149923</v>
      </c>
    </row>
    <row r="16596" customFormat="false" ht="15" hidden="false" customHeight="false" outlineLevel="0" collapsed="false">
      <c r="A16596" s="1" t="s">
        <v>1066</v>
      </c>
      <c r="B16596" s="0" t="s">
        <v>98</v>
      </c>
      <c r="C16596" s="6" t="n">
        <f aca="false">Sens!$C$16595/(1+wacc)^(Sens!K16588+mid_yr)</f>
        <v>1330.81134011956</v>
      </c>
    </row>
    <row r="16597" customFormat="false" ht="17.15" hidden="false" customHeight="false" outlineLevel="0" collapsed="false">
      <c r="A16597" s="0" t="s">
        <v>986</v>
      </c>
      <c r="B16597" s="0" t="s">
        <v>98</v>
      </c>
      <c r="C16597" s="6" t="n">
        <f aca="false">Sens!$C$16592+Sens!$C$16596</f>
        <v>1753.94463895121</v>
      </c>
    </row>
    <row r="16598" customFormat="false" ht="15" hidden="false" customHeight="false" outlineLevel="0" collapsed="false">
      <c r="A16598" s="1" t="s">
        <v>987</v>
      </c>
      <c r="B16598" s="0" t="s">
        <v>129</v>
      </c>
      <c r="C16598" s="7" t="n">
        <f aca="false">Sens!$C$16596/Sens!$C$16597</f>
        <v>0.758753332668092</v>
      </c>
    </row>
    <row r="16599" customFormat="false" ht="17.15" hidden="false" customHeight="false" outlineLevel="0" collapsed="false">
      <c r="A16599" s="1" t="s">
        <v>1067</v>
      </c>
      <c r="B16599" s="0" t="s">
        <v>98</v>
      </c>
      <c r="C16599" s="6" t="n">
        <f aca="false">Sens!$C$16597+CF!E100-CF!E89+(oai_stake_hi*oai_val*(1-liq_disc))</f>
        <v>1902.08963895121</v>
      </c>
    </row>
    <row r="16600" customFormat="false" ht="17.15" hidden="false" customHeight="false" outlineLevel="0" collapsed="false">
      <c r="A16600" s="0" t="s">
        <v>994</v>
      </c>
      <c r="B16600" s="0" t="s">
        <v>75</v>
      </c>
      <c r="C16600" s="5" t="n">
        <f aca="false">Sens!$C$16599/sh_dil26</f>
        <v>255.211275855522</v>
      </c>
    </row>
    <row r="16601" customFormat="false" ht="15" hidden="false" customHeight="false" outlineLevel="0" collapsed="false">
      <c r="A16601" s="1" t="s">
        <v>1068</v>
      </c>
      <c r="B16601" s="0" t="s">
        <v>75</v>
      </c>
      <c r="C16601" s="8" t="n">
        <f aca="false">dps_27+CF!G92*roll_div_q/q_per_yr</f>
        <v>4.8895</v>
      </c>
    </row>
    <row r="16602" customFormat="false" ht="17.15" hidden="false" customHeight="false" outlineLevel="0" collapsed="false">
      <c r="A16602" s="0" t="s">
        <v>1069</v>
      </c>
      <c r="B16602" s="0" t="s">
        <v>75</v>
      </c>
      <c r="C16602" s="5" t="n">
        <f aca="false">Sens!$C$16600*(1+wacc)^t_roll-Sens!$C$16601</f>
        <v>285.728101200148</v>
      </c>
    </row>
    <row r="16603" customFormat="false" ht="17.15" hidden="false" customHeight="false" outlineLevel="0" collapsed="false">
      <c r="A16603" s="1" t="s">
        <v>1070</v>
      </c>
      <c r="B16603" s="0" t="s">
        <v>129</v>
      </c>
      <c r="F16603" s="7" t="n">
        <f aca="false">CF!F79/(Seg!F83-Thesis!F121)</f>
        <v>0.0711475516535717</v>
      </c>
      <c r="G16603" s="7" t="n">
        <f aca="false">CF!G79/(Seg!G83-Thesis!G121)</f>
        <v>0.0682588862083999</v>
      </c>
      <c r="H16603" s="7" t="n">
        <f aca="false">CF!H79/(Seg!H83-Thesis!H121)</f>
        <v>0.0666622170094897</v>
      </c>
      <c r="I16603" s="7" t="n">
        <f aca="false">CF!I79/(Seg!I83-Thesis!I121)</f>
        <v>0.0661991449367101</v>
      </c>
      <c r="J16603" s="7" t="n">
        <f aca="false">CF!J79/(Seg!J83-Thesis!J121)</f>
        <v>0.0666400583966394</v>
      </c>
      <c r="K16603" s="7" t="n">
        <f aca="false">CF!K79/(Seg!K83-Thesis!K121)</f>
        <v>0.0677351822588561</v>
      </c>
    </row>
    <row r="16604" customFormat="false" ht="17.15" hidden="false" customHeight="false" outlineLevel="0" collapsed="false">
      <c r="A16604" s="0" t="s">
        <v>1071</v>
      </c>
      <c r="B16604" s="0" t="s">
        <v>98</v>
      </c>
      <c r="F16604" s="6" t="n">
        <f aca="false">Seg!F68*(al_m365+Sens!F16603+sbc_r)</f>
        <v>83.1760446796226</v>
      </c>
      <c r="G16604" s="6" t="n">
        <f aca="false">Seg!G68*(al_m365+Sens!G16603+sbc_r)</f>
        <v>93.5286621744803</v>
      </c>
      <c r="H16604" s="6" t="n">
        <f aca="false">Seg!H68*(al_m365+Sens!H16603+sbc_r)</f>
        <v>104.041881899886</v>
      </c>
      <c r="I16604" s="6" t="n">
        <f aca="false">Seg!I68*(al_m365+Sens!I16603+sbc_r)</f>
        <v>114.039361049722</v>
      </c>
      <c r="J16604" s="6" t="n">
        <f aca="false">Seg!J68*(al_m365+Sens!J16603+sbc_r)</f>
        <v>123.332589690985</v>
      </c>
      <c r="K16604" s="6" t="n">
        <f aca="false">Seg!K68*(al_m365+Sens!K16603+sbc_r)</f>
        <v>132.229319216379</v>
      </c>
      <c r="L16604" s="11" t="s">
        <v>1072</v>
      </c>
    </row>
    <row r="16605" customFormat="false" ht="17.15" hidden="false" customHeight="false" outlineLevel="0" collapsed="false">
      <c r="A16605" s="0" t="s">
        <v>1073</v>
      </c>
      <c r="B16605" s="0" t="s">
        <v>98</v>
      </c>
      <c r="F16605" s="6" t="n">
        <f aca="false">Seg!F69*(al_lic+Sens!F16603+sbc_r)</f>
        <v>33.5445611735131</v>
      </c>
      <c r="G16605" s="6" t="n">
        <f aca="false">Seg!G69*(al_lic+Sens!G16603+sbc_r)</f>
        <v>34.8473362891936</v>
      </c>
      <c r="H16605" s="6" t="n">
        <f aca="false">Seg!H69*(al_lic+Sens!H16603+sbc_r)</f>
        <v>36.0608450618725</v>
      </c>
      <c r="I16605" s="6" t="n">
        <f aca="false">Seg!I69*(al_lic+Sens!I16603+sbc_r)</f>
        <v>37.1647768367666</v>
      </c>
      <c r="J16605" s="6" t="n">
        <f aca="false">Seg!J69*(al_lic+Sens!J16603+sbc_r)</f>
        <v>38.1353659513221</v>
      </c>
      <c r="K16605" s="6" t="n">
        <f aca="false">Seg!K69*(al_lic+Sens!K16603+sbc_r)</f>
        <v>38.9479527536449</v>
      </c>
    </row>
    <row r="16606" customFormat="false" ht="17.15" hidden="false" customHeight="false" outlineLevel="0" collapsed="false">
      <c r="A16606" s="0" t="s">
        <v>1074</v>
      </c>
      <c r="B16606" s="0" t="s">
        <v>98</v>
      </c>
      <c r="F16606" s="6" t="n">
        <f aca="false">Seg!F71*(al_ind+Sens!F16603+sbc_r)</f>
        <v>9.13359830063899</v>
      </c>
      <c r="G16606" s="6" t="n">
        <f aca="false">Seg!G71*(al_ind+Sens!G16603+sbc_r)</f>
        <v>9.91355811855172</v>
      </c>
      <c r="H16606" s="6" t="n">
        <f aca="false">Seg!H71*(al_ind+Sens!H16603+sbc_r)</f>
        <v>10.737007894057</v>
      </c>
      <c r="I16606" s="6" t="n">
        <f aca="false">Seg!I71*(al_ind+Sens!I16603+sbc_r)</f>
        <v>11.5994300763088</v>
      </c>
      <c r="J16606" s="6" t="n">
        <f aca="false">Seg!J71*(al_ind+Sens!J16603+sbc_r)</f>
        <v>12.4920789859702</v>
      </c>
      <c r="K16606" s="6" t="n">
        <f aca="false">Seg!K71*(al_ind+Sens!K16603+sbc_r)</f>
        <v>13.4027551573777</v>
      </c>
    </row>
    <row r="16607" customFormat="false" ht="17.15" hidden="false" customHeight="false" outlineLevel="0" collapsed="false">
      <c r="A16607" s="0" t="s">
        <v>1075</v>
      </c>
      <c r="B16607" s="0" t="s">
        <v>98</v>
      </c>
      <c r="F16607" s="6" t="n">
        <f aca="false">Seg!F73*(al_fro+Sens!F16603+sbc_r)</f>
        <v>3.59501635737694</v>
      </c>
      <c r="G16607" s="6" t="n">
        <f aca="false">Seg!G73*(al_fro+Sens!G16603+sbc_r)</f>
        <v>3.80622021137838</v>
      </c>
      <c r="H16607" s="6" t="n">
        <f aca="false">Seg!H73*(al_fro+Sens!H16603+sbc_r)</f>
        <v>4.04607207599632</v>
      </c>
      <c r="I16607" s="6" t="n">
        <f aca="false">Seg!I73*(al_fro+Sens!I16603+sbc_r)</f>
        <v>4.31683578333903</v>
      </c>
      <c r="J16607" s="6" t="n">
        <f aca="false">Seg!J73*(al_fro+Sens!J16603+sbc_r)</f>
        <v>4.62005087871645</v>
      </c>
      <c r="K16607" s="6" t="n">
        <f aca="false">Seg!K73*(al_fro+Sens!K16603+sbc_r)</f>
        <v>4.95685392412327</v>
      </c>
    </row>
    <row r="16608" customFormat="false" ht="17.15" hidden="false" customHeight="false" outlineLevel="0" collapsed="false">
      <c r="A16608" s="0" t="s">
        <v>1076</v>
      </c>
      <c r="B16608" s="0" t="s">
        <v>98</v>
      </c>
      <c r="F16608" s="6" t="n">
        <f aca="false">Seg!F76*(al_srch+Sens!F16603+sbc_r)</f>
        <v>11.2801258639919</v>
      </c>
      <c r="G16608" s="6" t="n">
        <f aca="false">Seg!G76*(al_srch+Sens!G16603+sbc_r)</f>
        <v>12.3589086285988</v>
      </c>
      <c r="H16608" s="6" t="n">
        <f aca="false">Seg!H76*(al_srch+Sens!H16603+sbc_r)</f>
        <v>13.4807030139583</v>
      </c>
      <c r="I16608" s="6" t="n">
        <f aca="false">Seg!I76*(al_srch+Sens!I16603+sbc_r)</f>
        <v>14.6329459978989</v>
      </c>
      <c r="J16608" s="6" t="n">
        <f aca="false">Seg!J76*(al_srch+Sens!J16603+sbc_r)</f>
        <v>15.7968154400613</v>
      </c>
      <c r="K16608" s="6" t="n">
        <f aca="false">Seg!K76*(al_srch+Sens!K16603+sbc_r)</f>
        <v>16.9484078548661</v>
      </c>
    </row>
    <row r="16609" customFormat="false" ht="17.15" hidden="false" customHeight="false" outlineLevel="0" collapsed="false">
      <c r="A16609" s="0" t="s">
        <v>1077</v>
      </c>
      <c r="B16609" s="0" t="s">
        <v>98</v>
      </c>
      <c r="F16609" s="6" t="n">
        <f aca="false">Thesis!F127-Thesis!F128+Thesis!F142</f>
        <v>38.6797715123049</v>
      </c>
      <c r="G16609" s="6" t="n">
        <f aca="false">Thesis!G127-Thesis!G128+Thesis!G142</f>
        <v>67.9698044367775</v>
      </c>
      <c r="H16609" s="6" t="n">
        <f aca="false">Thesis!H127-Thesis!H128+Thesis!H142</f>
        <v>94.4027386785771</v>
      </c>
      <c r="I16609" s="6" t="n">
        <f aca="false">Thesis!I127-Thesis!I128+Thesis!I142</f>
        <v>124.629799296032</v>
      </c>
      <c r="J16609" s="6" t="n">
        <f aca="false">Thesis!J127-Thesis!J128+Thesis!J142</f>
        <v>146.1886418102</v>
      </c>
      <c r="K16609" s="6" t="n">
        <f aca="false">Thesis!K127-Thesis!K128+Thesis!K142</f>
        <v>160.310017660072</v>
      </c>
    </row>
    <row r="16610" customFormat="false" ht="17.15" hidden="false" customHeight="false" outlineLevel="0" collapsed="false">
      <c r="A16610" s="0" t="s">
        <v>1078</v>
      </c>
      <c r="B16610" s="0" t="s">
        <v>98</v>
      </c>
      <c r="F16610" s="6" t="n">
        <f aca="false">PL!F110+Thesis!F142+Thesis!F138+Sens!F16603*(Seg!F75-Thesis!F121)+sbc_r*Seg!F75</f>
        <v>228.424576651163</v>
      </c>
      <c r="G16610" s="6" t="n">
        <f aca="false">PL!G110+Thesis!G142+Thesis!G138+Sens!G16603*(Seg!G75-Thesis!G121)+sbc_r*Seg!G75</f>
        <v>282.553934266667</v>
      </c>
      <c r="H16610" s="6" t="n">
        <f aca="false">PL!H110+Thesis!H142+Thesis!H138+Sens!H16603*(Seg!H75-Thesis!H121)+sbc_r*Seg!H75</f>
        <v>334.098428585803</v>
      </c>
      <c r="I16610" s="6" t="n">
        <f aca="false">PL!I110+Thesis!I142+Thesis!I138+Sens!I16603*(Seg!I75-Thesis!I121)+sbc_r*Seg!I75</f>
        <v>388.820980572235</v>
      </c>
      <c r="J16610" s="6" t="n">
        <f aca="false">PL!J110+Thesis!J142+Thesis!J138+Sens!J16603*(Seg!J75-Thesis!J121)+sbc_r*Seg!J75</f>
        <v>432.983845251655</v>
      </c>
      <c r="K16610" s="6" t="n">
        <f aca="false">PL!K110+Thesis!K142+Thesis!K138+Sens!K16603*(Seg!K75-Thesis!K121)+sbc_r*Seg!K75</f>
        <v>467.422879139155</v>
      </c>
    </row>
    <row r="16611" customFormat="false" ht="17.15" hidden="false" customHeight="false" outlineLevel="0" collapsed="false">
      <c r="A16611" s="0" t="s">
        <v>1079</v>
      </c>
      <c r="B16611" s="0" t="s">
        <v>98</v>
      </c>
      <c r="F16611" s="6" t="n">
        <f aca="false">Sens!F16610-Sens!F16604-Sens!F16605-Sens!F16606-Sens!F16607-Sens!F16609</f>
        <v>60.2955846277069</v>
      </c>
      <c r="G16611" s="6" t="n">
        <f aca="false">Sens!G16610-Sens!G16604-Sens!G16605-Sens!G16606-Sens!G16607-Sens!G16609</f>
        <v>72.4883530362854</v>
      </c>
      <c r="H16611" s="6" t="n">
        <f aca="false">Sens!H16610-Sens!H16604-Sens!H16605-Sens!H16606-Sens!H16607-Sens!H16609</f>
        <v>84.8098829754144</v>
      </c>
      <c r="I16611" s="6" t="n">
        <f aca="false">Sens!I16610-Sens!I16604-Sens!I16605-Sens!I16606-Sens!I16607-Sens!I16609</f>
        <v>97.0707775300671</v>
      </c>
      <c r="J16611" s="6" t="n">
        <f aca="false">Sens!J16610-Sens!J16604-Sens!J16605-Sens!J16606-Sens!J16607-Sens!J16609</f>
        <v>108.215117934462</v>
      </c>
      <c r="K16611" s="6" t="n">
        <f aca="false">Sens!K16610-Sens!K16604-Sens!K16605-Sens!K16606-Sens!K16607-Sens!K16609</f>
        <v>117.575980427559</v>
      </c>
    </row>
    <row r="16612" customFormat="false" ht="17.15" hidden="false" customHeight="false" outlineLevel="0" collapsed="false">
      <c r="A16612" s="0" t="s">
        <v>1080</v>
      </c>
      <c r="B16612" s="0" t="s">
        <v>98</v>
      </c>
      <c r="F16612" s="6" t="n">
        <f aca="false">PL!F112+Sens!F16603*Seg!F82+sbc_r*Seg!F82</f>
        <v>26.3652761595447</v>
      </c>
      <c r="G16612" s="6" t="n">
        <f aca="false">PL!G112+Sens!G16603*Seg!G82+sbc_r*Seg!G82</f>
        <v>26.9742866145486</v>
      </c>
      <c r="H16612" s="6" t="n">
        <f aca="false">PL!H112+Sens!H16603*Seg!H82+sbc_r*Seg!H82</f>
        <v>27.8483067679033</v>
      </c>
      <c r="I16612" s="6" t="n">
        <f aca="false">PL!I112+Sens!I16603*Seg!I82+sbc_r*Seg!I82</f>
        <v>28.9540944937551</v>
      </c>
      <c r="J16612" s="6" t="n">
        <f aca="false">PL!J112+Sens!J16603*Seg!J82+sbc_r*Seg!J82</f>
        <v>30.2591967501426</v>
      </c>
      <c r="K16612" s="6" t="n">
        <f aca="false">PL!K112+Sens!K16603*Seg!K82+sbc_r*Seg!K82</f>
        <v>31.7334012124467</v>
      </c>
    </row>
    <row r="16613" customFormat="false" ht="17.15" hidden="false" customHeight="false" outlineLevel="0" collapsed="false">
      <c r="A16613" s="0" t="s">
        <v>1081</v>
      </c>
      <c r="B16613" s="0" t="s">
        <v>98</v>
      </c>
      <c r="F16613" s="6" t="n">
        <f aca="false">(Sens!F16612-Sens!F16608)*Seg!F78/(Seg!F78+Seg!F80)</f>
        <v>8.26953246478712</v>
      </c>
      <c r="G16613" s="6" t="n">
        <f aca="false">(Sens!G16612-Sens!G16608)*Seg!G78/(Seg!G78+Seg!G80)</f>
        <v>7.8691542635731</v>
      </c>
      <c r="H16613" s="6" t="n">
        <f aca="false">(Sens!H16612-Sens!H16608)*Seg!H78/(Seg!H78+Seg!H80)</f>
        <v>7.63125160105973</v>
      </c>
      <c r="I16613" s="6" t="n">
        <f aca="false">(Sens!I16612-Sens!I16608)*Seg!I78/(Seg!I78+Seg!I80)</f>
        <v>7.53775281020212</v>
      </c>
      <c r="J16613" s="6" t="n">
        <f aca="false">(Sens!J16612-Sens!J16608)*Seg!J78/(Seg!J78+Seg!J80)</f>
        <v>7.57766730524412</v>
      </c>
      <c r="K16613" s="6" t="n">
        <f aca="false">(Sens!K16612-Sens!K16608)*Seg!K78/(Seg!K78+Seg!K80)</f>
        <v>7.74670217662515</v>
      </c>
    </row>
    <row r="16614" customFormat="false" ht="17.15" hidden="false" customHeight="false" outlineLevel="0" collapsed="false">
      <c r="A16614" s="0" t="s">
        <v>1082</v>
      </c>
      <c r="B16614" s="0" t="s">
        <v>98</v>
      </c>
      <c r="F16614" s="6" t="n">
        <f aca="false">Sens!F16612-Sens!F16608-Sens!F16613</f>
        <v>6.81561783076564</v>
      </c>
      <c r="G16614" s="6" t="n">
        <f aca="false">Sens!G16612-Sens!G16608-Sens!G16613</f>
        <v>6.74622372237672</v>
      </c>
      <c r="H16614" s="6" t="n">
        <f aca="false">Sens!H16612-Sens!H16608-Sens!H16613</f>
        <v>6.73635215288526</v>
      </c>
      <c r="I16614" s="6" t="n">
        <f aca="false">Sens!I16612-Sens!I16608-Sens!I16613</f>
        <v>6.78339568565411</v>
      </c>
      <c r="J16614" s="6" t="n">
        <f aca="false">Sens!J16612-Sens!J16608-Sens!J16613</f>
        <v>6.88471400483723</v>
      </c>
      <c r="K16614" s="6" t="n">
        <f aca="false">Sens!K16612-Sens!K16608-Sens!K16613</f>
        <v>7.03829118095546</v>
      </c>
    </row>
    <row r="16615" customFormat="false" ht="17.15" hidden="false" customHeight="false" outlineLevel="0" collapsed="false">
      <c r="A16615" s="0" t="s">
        <v>1083</v>
      </c>
      <c r="B16615" s="0" t="s">
        <v>98</v>
      </c>
      <c r="F16615" s="6" t="n">
        <f aca="false">Sens!F16609-tax_f*(Sens!F16609-Thesis!F138)-Thesis!F135</f>
        <v>-122.579081185432</v>
      </c>
      <c r="G16615" s="6" t="n">
        <f aca="false">Sens!G16609-tax_f*(Sens!G16609-Thesis!G138)-Thesis!G135</f>
        <v>-117.373249511676</v>
      </c>
      <c r="H16615" s="6" t="n">
        <f aca="false">Sens!H16609-tax_f*(Sens!H16609-Thesis!H138)-Thesis!H135</f>
        <v>-95.285890998876</v>
      </c>
      <c r="I16615" s="6" t="n">
        <f aca="false">Sens!I16609-tax_f*(Sens!I16609-Thesis!I138)-Thesis!I135</f>
        <v>-41.8816809509416</v>
      </c>
      <c r="J16615" s="6" t="n">
        <f aca="false">Sens!J16609-tax_f*(Sens!J16609-Thesis!J138)-Thesis!J135</f>
        <v>15.3691414244864</v>
      </c>
      <c r="K16615" s="6" t="n">
        <f aca="false">Sens!K16609-tax_f*(Sens!K16609-Thesis!K138)-Thesis!K135</f>
        <v>34.6668916333283</v>
      </c>
    </row>
    <row r="16616" customFormat="false" ht="17.15" hidden="false" customHeight="false" outlineLevel="0" collapsed="false">
      <c r="A16616" s="0" t="s">
        <v>1084</v>
      </c>
      <c r="B16616" s="0" t="s">
        <v>98</v>
      </c>
      <c r="G16616" s="6" t="n">
        <f aca="false">Sens!G16615/(1+wacc)^(Sens!G16588-(Sens!F16588+mid_yr))</f>
        <v>-111.762030423885</v>
      </c>
      <c r="H16616" s="6" t="n">
        <f aca="false">Sens!H16615/(1+wacc)^(Sens!H16588-(Sens!F16588+mid_yr))</f>
        <v>-82.2629091581412</v>
      </c>
      <c r="I16616" s="6" t="n">
        <f aca="false">Sens!I16615/(1+wacc)^(Sens!I16588-(Sens!F16588+mid_yr))</f>
        <v>-32.7830894246659</v>
      </c>
      <c r="J16616" s="6" t="n">
        <f aca="false">Sens!J16615/(1+wacc)^(Sens!J16588-(Sens!F16588+mid_yr))</f>
        <v>10.907511786022</v>
      </c>
      <c r="K16616" s="6" t="n">
        <f aca="false">Sens!K16615/(1+wacc)^(Sens!K16588-(Sens!F16588+mid_yr))</f>
        <v>22.3070066431388</v>
      </c>
      <c r="L16616" s="1" t="s">
        <v>1085</v>
      </c>
    </row>
    <row r="16617" customFormat="false" ht="17.15" hidden="false" customHeight="false" outlineLevel="0" collapsed="false">
      <c r="A16617" s="0" t="s">
        <v>1086</v>
      </c>
      <c r="B16617" s="0" t="s">
        <v>98</v>
      </c>
      <c r="C16617" s="6" t="n">
        <f aca="false">(Sens!K16609-Thesis!K138)*(1-tax_f)*(1+g_tv)*(1-g_tv/(wacc+ronic_prem))/(wacc-g_tv)/(1+wacc)^(Sens!K16588+mid_yr-(Sens!F16588+mid_yr))</f>
        <v>103.875812758606</v>
      </c>
    </row>
    <row r="16618" customFormat="false" ht="17.15" hidden="false" customHeight="false" outlineLevel="0" collapsed="false">
      <c r="A16618" s="1" t="s">
        <v>1087</v>
      </c>
      <c r="B16618" s="0" t="s">
        <v>98</v>
      </c>
      <c r="C16618" s="6" t="n">
        <f aca="false">(SUM(Sens!G16616:K16616)+Sens!$C$16617)*(1+wacc)^(t_roll-(Sens!F16588+mid_yr))</f>
        <v>-92.6297486746201</v>
      </c>
      <c r="L16618" s="11" t="s">
        <v>1088</v>
      </c>
    </row>
    <row r="16619" customFormat="false" ht="17.15" hidden="false" customHeight="false" outlineLevel="0" collapsed="false">
      <c r="A16619" s="1" t="s">
        <v>1089</v>
      </c>
      <c r="B16619" s="0" t="s">
        <v>98</v>
      </c>
      <c r="C16619" s="6" t="n">
        <f aca="false">(w_ntm28*Thesis!G127+(1-w_ntm28)*Thesis!H127)*m_ai</f>
        <v>338.776008390068</v>
      </c>
    </row>
    <row r="16620" customFormat="false" ht="17.15" hidden="false" customHeight="false" outlineLevel="0" collapsed="false">
      <c r="A16620" s="1" t="s">
        <v>1090</v>
      </c>
      <c r="B16620" s="0" t="s">
        <v>98</v>
      </c>
      <c r="C16620" s="6" t="n">
        <f aca="false">(w_ntm28*Sens!G16611+(1-w_ntm28)*Sens!H16611)*m_cloud</f>
        <v>1056.83960927252</v>
      </c>
    </row>
    <row r="16621" customFormat="false" ht="17.15" hidden="false" customHeight="false" outlineLevel="0" collapsed="false">
      <c r="A16621" s="1" t="s">
        <v>1091</v>
      </c>
      <c r="B16621" s="0" t="s">
        <v>98</v>
      </c>
      <c r="C16621" s="6" t="n">
        <f aca="false">(w_ntm28*Sens!G16604+(1-w_ntm28)*Sens!H16604)*m_sw</f>
        <v>1046.81653016399</v>
      </c>
    </row>
    <row r="16622" customFormat="false" ht="17.15" hidden="false" customHeight="false" outlineLevel="0" collapsed="false">
      <c r="A16622" s="1" t="s">
        <v>1092</v>
      </c>
      <c r="B16622" s="0" t="s">
        <v>98</v>
      </c>
      <c r="C16622" s="6" t="n">
        <f aca="false">(w_ntm28*Sens!G16605+(1-w_ntm28)*Sens!H16605)*m_sw</f>
        <v>380.588206114803</v>
      </c>
    </row>
    <row r="16623" customFormat="false" ht="17.15" hidden="false" customHeight="false" outlineLevel="0" collapsed="false">
      <c r="A16623" s="1" t="s">
        <v>1093</v>
      </c>
      <c r="B16623" s="0" t="s">
        <v>98</v>
      </c>
      <c r="C16623" s="6" t="n">
        <f aca="false">(w_ntm28*Sens!G16606+(1-w_ntm28)*Sens!H16606)*m_sw</f>
        <v>109.941508211602</v>
      </c>
    </row>
    <row r="16624" customFormat="false" ht="17.15" hidden="false" customHeight="false" outlineLevel="0" collapsed="false">
      <c r="A16624" s="1" t="s">
        <v>1094</v>
      </c>
      <c r="B16624" s="0" t="s">
        <v>98</v>
      </c>
      <c r="C16624" s="6" t="n">
        <f aca="false">(w_ntm28*Sens!G16607+(1-w_ntm28)*Sens!H16607)*m_sw</f>
        <v>41.944622711021</v>
      </c>
    </row>
    <row r="16625" customFormat="false" ht="17.15" hidden="false" customHeight="false" outlineLevel="0" collapsed="false">
      <c r="A16625" s="1" t="s">
        <v>1095</v>
      </c>
      <c r="B16625" s="0" t="s">
        <v>98</v>
      </c>
      <c r="C16625" s="6" t="n">
        <f aca="false">(w_ntm28*Sens!G16608+(1-w_ntm28)*Sens!H16608)*m_ads</f>
        <v>115.893511108929</v>
      </c>
    </row>
    <row r="16626" customFormat="false" ht="17.15" hidden="false" customHeight="false" outlineLevel="0" collapsed="false">
      <c r="A16626" s="1" t="s">
        <v>1096</v>
      </c>
      <c r="B16626" s="0" t="s">
        <v>98</v>
      </c>
      <c r="C16626" s="6" t="n">
        <f aca="false">(w_ntm28*Sens!G16613+(1-w_ntm28)*Sens!H16613)*m_game</f>
        <v>98.416032447421</v>
      </c>
    </row>
    <row r="16627" customFormat="false" ht="17.15" hidden="false" customHeight="false" outlineLevel="0" collapsed="false">
      <c r="A16627" s="1" t="s">
        <v>1097</v>
      </c>
      <c r="B16627" s="0" t="s">
        <v>98</v>
      </c>
      <c r="C16627" s="6" t="n">
        <f aca="false">(w_ntm28*Sens!G16614+(1-w_ntm28)*Sens!H16614)*m_pc</f>
        <v>97.5716783311641</v>
      </c>
    </row>
    <row r="16628" customFormat="false" ht="17.15" hidden="false" customHeight="false" outlineLevel="0" collapsed="false">
      <c r="A16628" s="1" t="s">
        <v>1098</v>
      </c>
      <c r="B16628" s="0" t="s">
        <v>98</v>
      </c>
      <c r="C16628" s="6" t="n">
        <f aca="false">Sens!$C$16618+Sens!$C$16620+Sens!$C$16621+Sens!$C$16622+Sens!$C$16623+Sens!$C$16624+Sens!$C$16625+Sens!$C$16626+Sens!$C$16627</f>
        <v>2855.38194968683</v>
      </c>
    </row>
    <row r="16629" customFormat="false" ht="17.15" hidden="false" customHeight="false" outlineLevel="0" collapsed="false">
      <c r="A16629" s="1" t="s">
        <v>1099</v>
      </c>
      <c r="B16629" s="0" t="s">
        <v>98</v>
      </c>
      <c r="C16629" s="6" t="n">
        <f aca="false">(Sens!G16590-Sens!G16615)*t_stub</f>
        <v>46.8760727339385</v>
      </c>
      <c r="L16629" s="1" t="s">
        <v>1100</v>
      </c>
    </row>
    <row r="16630" customFormat="false" ht="17.15" hidden="false" customHeight="false" outlineLevel="0" collapsed="false">
      <c r="A16630" s="1" t="s">
        <v>1014</v>
      </c>
      <c r="B16630" s="0" t="s">
        <v>98</v>
      </c>
      <c r="C16630" s="6" t="n">
        <f aca="false">CF!F100+(oai_stake_hi*oai_val*(1-liq_disc))-CF!F89+Sens!$C$16629</f>
        <v>167.350233647662</v>
      </c>
      <c r="L16630" s="1" t="s">
        <v>1101</v>
      </c>
    </row>
    <row r="16631" customFormat="false" ht="17.15" hidden="false" customHeight="false" outlineLevel="0" collapsed="false">
      <c r="A16631" s="1" t="s">
        <v>1102</v>
      </c>
      <c r="B16631" s="0" t="s">
        <v>75</v>
      </c>
      <c r="C16631" s="5" t="n">
        <f aca="false">(Sens!$C$16628+Sens!$C$16630)/(CF!F102+dil_gap)-CF!G92*roll_div_q/q_per_yr</f>
        <v>402.206522323171</v>
      </c>
      <c r="L16631" s="1" t="s">
        <v>1103</v>
      </c>
    </row>
    <row r="16632" customFormat="false" ht="17.15" hidden="false" customHeight="false" outlineLevel="0" collapsed="false">
      <c r="A16632" s="1" t="s">
        <v>1104</v>
      </c>
      <c r="B16632" s="0" t="s">
        <v>75</v>
      </c>
      <c r="C16632" s="5" t="n">
        <f aca="false">w_dcf*Sens!$C$16602+(1-w_dcf)*Sens!$C$16631</f>
        <v>343.96731176166</v>
      </c>
    </row>
    <row r="16633" customFormat="false" ht="17.15" hidden="false" customHeight="false" outlineLevel="0" collapsed="false">
      <c r="A16633" s="3" t="s">
        <v>1684</v>
      </c>
    </row>
    <row r="16634" customFormat="false" ht="15" hidden="false" customHeight="false" outlineLevel="0" collapsed="false">
      <c r="A16634" s="4" t="s">
        <v>43</v>
      </c>
      <c r="B16634" s="4" t="s">
        <v>65</v>
      </c>
      <c r="C16634" s="20" t="s">
        <v>799</v>
      </c>
      <c r="D16634" s="20" t="s">
        <v>800</v>
      </c>
      <c r="E16634" s="20" t="s">
        <v>801</v>
      </c>
      <c r="F16634" s="20" t="s">
        <v>802</v>
      </c>
      <c r="G16634" s="20" t="s">
        <v>803</v>
      </c>
      <c r="H16634" s="20" t="s">
        <v>804</v>
      </c>
      <c r="I16634" s="20" t="s">
        <v>805</v>
      </c>
      <c r="J16634" s="20" t="s">
        <v>806</v>
      </c>
      <c r="K16634" s="20" t="s">
        <v>807</v>
      </c>
      <c r="L16634" s="4" t="s">
        <v>47</v>
      </c>
    </row>
    <row r="16635" customFormat="false" ht="15" hidden="false" customHeight="false" outlineLevel="0" collapsed="false">
      <c r="A16635" s="1" t="s">
        <v>1057</v>
      </c>
      <c r="B16635" s="1" t="s">
        <v>235</v>
      </c>
      <c r="F16635" s="36" t="n">
        <f aca="false">Thesis!F6-base_fy-mid_yr</f>
        <v>0.5</v>
      </c>
      <c r="G16635" s="36" t="n">
        <f aca="false">Thesis!G6-base_fy-mid_yr</f>
        <v>1.5</v>
      </c>
      <c r="H16635" s="36" t="n">
        <f aca="false">Thesis!H6-base_fy-mid_yr</f>
        <v>2.5</v>
      </c>
      <c r="I16635" s="36" t="n">
        <f aca="false">Thesis!I6-base_fy-mid_yr</f>
        <v>3.5</v>
      </c>
      <c r="J16635" s="36" t="n">
        <f aca="false">Thesis!J6-base_fy-mid_yr</f>
        <v>4.5</v>
      </c>
      <c r="K16635" s="36" t="n">
        <f aca="false">Thesis!K6-base_fy-mid_yr</f>
        <v>5.5</v>
      </c>
    </row>
    <row r="16636" customFormat="false" ht="15" hidden="false" customHeight="false" outlineLevel="0" collapsed="false">
      <c r="A16636" s="1" t="s">
        <v>1058</v>
      </c>
      <c r="B16636" s="0" t="s">
        <v>185</v>
      </c>
      <c r="F16636" s="14" t="n">
        <f aca="false">1/(1+wacc)^Sens!F16635</f>
        <v>0.952193373608246</v>
      </c>
      <c r="G16636" s="14" t="n">
        <f aca="false">1/(1+wacc)^Sens!G16635</f>
        <v>0.863327280626589</v>
      </c>
      <c r="H16636" s="14" t="n">
        <f aca="false">1/(1+wacc)^Sens!H16635</f>
        <v>0.782754862754115</v>
      </c>
      <c r="I16636" s="14" t="n">
        <f aca="false">1/(1+wacc)^Sens!I16635</f>
        <v>0.709702089711011</v>
      </c>
      <c r="J16636" s="14" t="n">
        <f aca="false">1/(1+wacc)^Sens!J16635</f>
        <v>0.643467169744551</v>
      </c>
      <c r="K16636" s="14" t="n">
        <f aca="false">1/(1+wacc)^Sens!K16635</f>
        <v>0.583413807767797</v>
      </c>
    </row>
    <row r="16637" customFormat="false" ht="17.15" hidden="false" customHeight="false" outlineLevel="0" collapsed="false">
      <c r="A16637" s="1" t="s">
        <v>1059</v>
      </c>
      <c r="B16637" s="0" t="s">
        <v>98</v>
      </c>
      <c r="F16637" s="6" t="n">
        <f aca="false">CF!F22-CF!F20-CF!F26+Thesis!F44*(1-tax_f)</f>
        <v>0.8175674752552</v>
      </c>
      <c r="G16637" s="6" t="n">
        <f aca="false">CF!G22-CF!G20-CF!G26+Thesis!G44*(1-tax_f)</f>
        <v>46.5945454778033</v>
      </c>
      <c r="H16637" s="6" t="n">
        <f aca="false">CF!H22-CF!H20-CF!H26+Thesis!H44*(1-tax_f)</f>
        <v>105.224067029101</v>
      </c>
      <c r="I16637" s="6" t="n">
        <f aca="false">CF!I22-CF!I20-CF!I26+Thesis!I44*(1-tax_f)</f>
        <v>183.301417205555</v>
      </c>
      <c r="J16637" s="6" t="n">
        <f aca="false">CF!J22-CF!J20-CF!J26+Thesis!J44*(1-tax_f)</f>
        <v>261.555335183242</v>
      </c>
      <c r="K16637" s="6" t="n">
        <f aca="false">CF!K22-CF!K20-CF!K26+Thesis!K44*(1-tax_f)</f>
        <v>298.387942209483</v>
      </c>
      <c r="L16637" s="1" t="s">
        <v>1060</v>
      </c>
    </row>
    <row r="16638" customFormat="false" ht="15" hidden="false" customHeight="false" outlineLevel="0" collapsed="false">
      <c r="A16638" s="1" t="s">
        <v>1061</v>
      </c>
      <c r="B16638" s="0" t="s">
        <v>98</v>
      </c>
      <c r="F16638" s="6" t="n">
        <f aca="false">Sens!F16637*Sens!F16636</f>
        <v>0.778482332415625</v>
      </c>
      <c r="G16638" s="6" t="n">
        <f aca="false">Sens!G16637*Sens!G16636</f>
        <v>40.2263422393839</v>
      </c>
      <c r="H16638" s="6" t="n">
        <f aca="false">Sens!H16637*Sens!H16636</f>
        <v>82.364650145794</v>
      </c>
      <c r="I16638" s="6" t="n">
        <f aca="false">Sens!I16637*Sens!I16636</f>
        <v>130.089398837772</v>
      </c>
      <c r="J16638" s="6" t="n">
        <f aca="false">Sens!J16637*Sens!J16636</f>
        <v>168.302271261948</v>
      </c>
      <c r="K16638" s="6" t="n">
        <f aca="false">Sens!K16637*Sens!K16636</f>
        <v>174.083645556432</v>
      </c>
    </row>
    <row r="16639" customFormat="false" ht="17.15" hidden="false" customHeight="false" outlineLevel="0" collapsed="false">
      <c r="A16639" s="1" t="s">
        <v>1062</v>
      </c>
      <c r="B16639" s="0" t="s">
        <v>98</v>
      </c>
      <c r="C16639" s="6" t="n">
        <f aca="false">SUM(Sens!F16638:K16638)</f>
        <v>595.844790373745</v>
      </c>
    </row>
    <row r="16640" customFormat="false" ht="17.15" hidden="false" customHeight="false" outlineLevel="0" collapsed="false">
      <c r="A16640" s="1" t="s">
        <v>1063</v>
      </c>
      <c r="B16640" s="0" t="s">
        <v>98</v>
      </c>
      <c r="C16640" s="6" t="n">
        <f aca="false">PL!K39*(1+g_tv)*(1-tax_f)</f>
        <v>316.433872640522</v>
      </c>
    </row>
    <row r="16641" customFormat="false" ht="17.15" hidden="false" customHeight="false" outlineLevel="0" collapsed="false">
      <c r="A16641" s="1" t="s">
        <v>1064</v>
      </c>
      <c r="B16641" s="0" t="s">
        <v>98</v>
      </c>
      <c r="C16641" s="6" t="n">
        <f aca="false">Sens!$C$16640*(1-g_tv/(wacc+ronic_prem))</f>
        <v>224.209948217085</v>
      </c>
    </row>
    <row r="16642" customFormat="false" ht="17.15" hidden="false" customHeight="false" outlineLevel="0" collapsed="false">
      <c r="A16642" s="1" t="s">
        <v>1065</v>
      </c>
      <c r="B16642" s="0" t="s">
        <v>98</v>
      </c>
      <c r="C16642" s="6" t="n">
        <f aca="false">Sens!$C$16641/(wacc-g_tv)</f>
        <v>3074.13081411456</v>
      </c>
    </row>
    <row r="16643" customFormat="false" ht="15" hidden="false" customHeight="false" outlineLevel="0" collapsed="false">
      <c r="A16643" s="1" t="s">
        <v>1066</v>
      </c>
      <c r="B16643" s="0" t="s">
        <v>98</v>
      </c>
      <c r="C16643" s="6" t="n">
        <f aca="false">Sens!$C$16642/(1+wacc)^(Sens!K16635+mid_yr)</f>
        <v>1707.74964007764</v>
      </c>
    </row>
    <row r="16644" customFormat="false" ht="17.15" hidden="false" customHeight="false" outlineLevel="0" collapsed="false">
      <c r="A16644" s="0" t="s">
        <v>986</v>
      </c>
      <c r="B16644" s="0" t="s">
        <v>98</v>
      </c>
      <c r="C16644" s="6" t="n">
        <f aca="false">Sens!$C$16639+Sens!$C$16643</f>
        <v>2303.59443045138</v>
      </c>
    </row>
    <row r="16645" customFormat="false" ht="15" hidden="false" customHeight="false" outlineLevel="0" collapsed="false">
      <c r="A16645" s="1" t="s">
        <v>987</v>
      </c>
      <c r="B16645" s="0" t="s">
        <v>129</v>
      </c>
      <c r="C16645" s="7" t="n">
        <f aca="false">Sens!$C$16643/Sens!$C$16644</f>
        <v>0.741341278439803</v>
      </c>
    </row>
    <row r="16646" customFormat="false" ht="17.15" hidden="false" customHeight="false" outlineLevel="0" collapsed="false">
      <c r="A16646" s="1" t="s">
        <v>1067</v>
      </c>
      <c r="B16646" s="0" t="s">
        <v>98</v>
      </c>
      <c r="C16646" s="6" t="n">
        <f aca="false">Sens!$C$16644+CF!E38-CF!E27+(oai_stake_hi*oai_val)</f>
        <v>2497.74743045138</v>
      </c>
    </row>
    <row r="16647" customFormat="false" ht="17.15" hidden="false" customHeight="false" outlineLevel="0" collapsed="false">
      <c r="A16647" s="0" t="s">
        <v>994</v>
      </c>
      <c r="B16647" s="0" t="s">
        <v>75</v>
      </c>
      <c r="C16647" s="5" t="n">
        <f aca="false">Sens!$C$16646/sh_dil26</f>
        <v>335.133158520244</v>
      </c>
    </row>
    <row r="16648" customFormat="false" ht="15" hidden="false" customHeight="false" outlineLevel="0" collapsed="false">
      <c r="A16648" s="1" t="s">
        <v>1068</v>
      </c>
      <c r="B16648" s="0" t="s">
        <v>75</v>
      </c>
      <c r="C16648" s="8" t="n">
        <f aca="false">dps_27+CF!G30*roll_div_q/q_per_yr</f>
        <v>4.8895</v>
      </c>
    </row>
    <row r="16649" customFormat="false" ht="17.15" hidden="false" customHeight="false" outlineLevel="0" collapsed="false">
      <c r="A16649" s="0" t="s">
        <v>1069</v>
      </c>
      <c r="B16649" s="0" t="s">
        <v>75</v>
      </c>
      <c r="C16649" s="5" t="n">
        <f aca="false">Sens!$C$16647*(1+wacc)^t_roll-Sens!$C$16648</f>
        <v>376.737817544226</v>
      </c>
    </row>
    <row r="16650" customFormat="false" ht="17.15" hidden="false" customHeight="false" outlineLevel="0" collapsed="false">
      <c r="A16650" s="1" t="s">
        <v>1070</v>
      </c>
      <c r="B16650" s="0" t="s">
        <v>129</v>
      </c>
      <c r="F16650" s="7" t="n">
        <f aca="false">CF!F17/(Seg!F29-Thesis!F23)</f>
        <v>0.0705303854989974</v>
      </c>
      <c r="G16650" s="7" t="n">
        <f aca="false">CF!G17/(Seg!G29-Thesis!G23)</f>
        <v>0.0669153011130541</v>
      </c>
      <c r="H16650" s="7" t="n">
        <f aca="false">CF!H17/(Seg!H29-Thesis!H23)</f>
        <v>0.0648963302688647</v>
      </c>
      <c r="I16650" s="7" t="n">
        <f aca="false">CF!I17/(Seg!I29-Thesis!I23)</f>
        <v>0.0643411219550834</v>
      </c>
      <c r="J16650" s="7" t="n">
        <f aca="false">CF!J17/(Seg!J29-Thesis!J23)</f>
        <v>0.0648740961982593</v>
      </c>
      <c r="K16650" s="7" t="n">
        <f aca="false">CF!K17/(Seg!K29-Thesis!K23)</f>
        <v>0.0660244723636577</v>
      </c>
    </row>
    <row r="16651" customFormat="false" ht="17.15" hidden="false" customHeight="false" outlineLevel="0" collapsed="false">
      <c r="A16651" s="0" t="s">
        <v>1071</v>
      </c>
      <c r="B16651" s="0" t="s">
        <v>98</v>
      </c>
      <c r="F16651" s="6" t="n">
        <f aca="false">Seg!F14*(al_m365+Sens!F16650+sbc_r)</f>
        <v>85.2273329859862</v>
      </c>
      <c r="G16651" s="6" t="n">
        <f aca="false">Seg!G14*(al_m365+Sens!G16650+sbc_r)</f>
        <v>99.6892587904979</v>
      </c>
      <c r="H16651" s="6" t="n">
        <f aca="false">Seg!H14*(al_m365+Sens!H16650+sbc_r)</f>
        <v>114.315107566414</v>
      </c>
      <c r="I16651" s="6" t="n">
        <f aca="false">Seg!I14*(al_m365+Sens!I16650+sbc_r)</f>
        <v>127.42181750834</v>
      </c>
      <c r="J16651" s="6" t="n">
        <f aca="false">Seg!J14*(al_m365+Sens!J16650+sbc_r)</f>
        <v>138.823999012523</v>
      </c>
      <c r="K16651" s="6" t="n">
        <f aca="false">Seg!K14*(al_m365+Sens!K16650+sbc_r)</f>
        <v>149.845393216552</v>
      </c>
      <c r="L16651" s="11" t="s">
        <v>1072</v>
      </c>
    </row>
    <row r="16652" customFormat="false" ht="17.15" hidden="false" customHeight="false" outlineLevel="0" collapsed="false">
      <c r="A16652" s="0" t="s">
        <v>1073</v>
      </c>
      <c r="B16652" s="0" t="s">
        <v>98</v>
      </c>
      <c r="F16652" s="6" t="n">
        <f aca="false">Seg!F15*(al_lic+Sens!F16650+sbc_r)</f>
        <v>33.5204472060294</v>
      </c>
      <c r="G16652" s="6" t="n">
        <f aca="false">Seg!G15*(al_lic+Sens!G16650+sbc_r)</f>
        <v>34.7926166862242</v>
      </c>
      <c r="H16652" s="6" t="n">
        <f aca="false">Seg!H15*(al_lic+Sens!H16650+sbc_r)</f>
        <v>35.9862829687409</v>
      </c>
      <c r="I16652" s="6" t="n">
        <f aca="false">Seg!I15*(al_lic+Sens!I16650+sbc_r)</f>
        <v>37.0838788899664</v>
      </c>
      <c r="J16652" s="6" t="n">
        <f aca="false">Seg!J15*(al_lic+Sens!J16650+sbc_r)</f>
        <v>38.0565090086839</v>
      </c>
      <c r="K16652" s="6" t="n">
        <f aca="false">Seg!K15*(al_lic+Sens!K16650+sbc_r)</f>
        <v>38.8700352425884</v>
      </c>
    </row>
    <row r="16653" customFormat="false" ht="17.15" hidden="false" customHeight="false" outlineLevel="0" collapsed="false">
      <c r="A16653" s="0" t="s">
        <v>1074</v>
      </c>
      <c r="B16653" s="0" t="s">
        <v>98</v>
      </c>
      <c r="F16653" s="6" t="n">
        <f aca="false">Seg!F17*(al_ind+Sens!F16650+sbc_r)</f>
        <v>9.11980018094294</v>
      </c>
      <c r="G16653" s="6" t="n">
        <f aca="false">Seg!G17*(al_ind+Sens!G16650+sbc_r)</f>
        <v>9.88072195697034</v>
      </c>
      <c r="H16653" s="6" t="n">
        <f aca="false">Seg!H17*(al_ind+Sens!H16650+sbc_r)</f>
        <v>10.6900815637922</v>
      </c>
      <c r="I16653" s="6" t="n">
        <f aca="false">Seg!I17*(al_ind+Sens!I16650+sbc_r)</f>
        <v>11.5460282347577</v>
      </c>
      <c r="J16653" s="6" t="n">
        <f aca="false">Seg!J17*(al_ind+Sens!J16650+sbc_r)</f>
        <v>12.4374767512513</v>
      </c>
      <c r="K16653" s="6" t="n">
        <f aca="false">Seg!K17*(al_ind+Sens!K16650+sbc_r)</f>
        <v>13.3461587114563</v>
      </c>
    </row>
    <row r="16654" customFormat="false" ht="17.15" hidden="false" customHeight="false" outlineLevel="0" collapsed="false">
      <c r="A16654" s="0" t="s">
        <v>1075</v>
      </c>
      <c r="B16654" s="0" t="s">
        <v>98</v>
      </c>
      <c r="F16654" s="6" t="n">
        <f aca="false">Seg!F19*(al_fro+Sens!F16650+sbc_r)</f>
        <v>3.58958536902212</v>
      </c>
      <c r="G16654" s="6" t="n">
        <f aca="false">Seg!G19*(al_fro+Sens!G16650+sbc_r)</f>
        <v>3.79361306665995</v>
      </c>
      <c r="H16654" s="6" t="n">
        <f aca="false">Seg!H19*(al_fro+Sens!H16650+sbc_r)</f>
        <v>4.02838862857902</v>
      </c>
      <c r="I16654" s="6" t="n">
        <f aca="false">Seg!I19*(al_fro+Sens!I16650+sbc_r)</f>
        <v>4.29696179134221</v>
      </c>
      <c r="J16654" s="6" t="n">
        <f aca="false">Seg!J19*(al_fro+Sens!J16650+sbc_r)</f>
        <v>4.59985687395741</v>
      </c>
      <c r="K16654" s="6" t="n">
        <f aca="false">Seg!K19*(al_fro+Sens!K16650+sbc_r)</f>
        <v>4.93592238342414</v>
      </c>
    </row>
    <row r="16655" customFormat="false" ht="17.15" hidden="false" customHeight="false" outlineLevel="0" collapsed="false">
      <c r="A16655" s="0" t="s">
        <v>1076</v>
      </c>
      <c r="B16655" s="0" t="s">
        <v>98</v>
      </c>
      <c r="F16655" s="6" t="n">
        <f aca="false">Seg!F22*(al_srch+Sens!F16650+sbc_r)</f>
        <v>11.2630849868114</v>
      </c>
      <c r="G16655" s="6" t="n">
        <f aca="false">Seg!G22*(al_srch+Sens!G16650+sbc_r)</f>
        <v>12.3179728600437</v>
      </c>
      <c r="H16655" s="6" t="n">
        <f aca="false">Seg!H22*(al_srch+Sens!H16650+sbc_r)</f>
        <v>13.4217853035424</v>
      </c>
      <c r="I16655" s="6" t="n">
        <f aca="false">Seg!I22*(al_srch+Sens!I16650+sbc_r)</f>
        <v>14.565578354966</v>
      </c>
      <c r="J16655" s="6" t="n">
        <f aca="false">Seg!J22*(al_srch+Sens!J16650+sbc_r)</f>
        <v>15.7277683722803</v>
      </c>
      <c r="K16655" s="6" t="n">
        <f aca="false">Seg!K22*(al_srch+Sens!K16650+sbc_r)</f>
        <v>16.87683901418</v>
      </c>
    </row>
    <row r="16656" customFormat="false" ht="17.15" hidden="false" customHeight="false" outlineLevel="0" collapsed="false">
      <c r="A16656" s="0" t="s">
        <v>1077</v>
      </c>
      <c r="B16656" s="0" t="s">
        <v>98</v>
      </c>
      <c r="F16656" s="6" t="n">
        <f aca="false">Thesis!F29-Thesis!F30+Thesis!F44</f>
        <v>45.0374073018652</v>
      </c>
      <c r="G16656" s="6" t="n">
        <f aca="false">Thesis!G29-Thesis!G30+Thesis!G44</f>
        <v>89.051993487491</v>
      </c>
      <c r="H16656" s="6" t="n">
        <f aca="false">Thesis!H29-Thesis!H30+Thesis!H44</f>
        <v>140.728332825594</v>
      </c>
      <c r="I16656" s="6" t="n">
        <f aca="false">Thesis!I29-Thesis!I30+Thesis!I44</f>
        <v>182.158665153016</v>
      </c>
      <c r="J16656" s="6" t="n">
        <f aca="false">Thesis!J29-Thesis!J30+Thesis!J44</f>
        <v>211.722320149272</v>
      </c>
      <c r="K16656" s="6" t="n">
        <f aca="false">Thesis!K29-Thesis!K30+Thesis!K44</f>
        <v>230.495012322217</v>
      </c>
    </row>
    <row r="16657" customFormat="false" ht="17.15" hidden="false" customHeight="false" outlineLevel="0" collapsed="false">
      <c r="A16657" s="0" t="s">
        <v>1078</v>
      </c>
      <c r="B16657" s="0" t="s">
        <v>98</v>
      </c>
      <c r="F16657" s="6" t="n">
        <f aca="false">PL!F32+Thesis!F44+Thesis!F40+Sens!F16650*(Seg!F21-Thesis!F23)+sbc_r*Seg!F21</f>
        <v>236.979131882557</v>
      </c>
      <c r="G16657" s="6" t="n">
        <f aca="false">PL!G32+Thesis!G44+Thesis!G40+Sens!G16650*(Seg!G21-Thesis!G23)+sbc_r*Seg!G21</f>
        <v>310.298572894356</v>
      </c>
      <c r="H16657" s="6" t="n">
        <f aca="false">PL!H32+Thesis!H44+Thesis!H40+Sens!H16650*(Seg!H21-Thesis!H23)+sbc_r*Seg!H21</f>
        <v>391.97921499404</v>
      </c>
      <c r="I16657" s="6" t="n">
        <f aca="false">PL!I32+Thesis!I44+Thesis!I40+Sens!I16650*(Seg!I21-Thesis!I23)+sbc_r*Seg!I21</f>
        <v>461.338592490557</v>
      </c>
      <c r="J16657" s="6" t="n">
        <f aca="false">PL!J32+Thesis!J44+Thesis!J40+Sens!J16650*(Seg!J21-Thesis!J23)+sbc_r*Seg!J21</f>
        <v>515.876034980991</v>
      </c>
      <c r="K16657" s="6" t="n">
        <f aca="false">PL!K32+Thesis!K44+Thesis!K40+Sens!K16650*(Seg!K21-Thesis!K23)+sbc_r*Seg!K21</f>
        <v>557.225339287545</v>
      </c>
    </row>
    <row r="16658" customFormat="false" ht="17.15" hidden="false" customHeight="false" outlineLevel="0" collapsed="false">
      <c r="A16658" s="0" t="s">
        <v>1079</v>
      </c>
      <c r="B16658" s="0" t="s">
        <v>98</v>
      </c>
      <c r="F16658" s="6" t="n">
        <f aca="false">Sens!F16657-Sens!F16651-Sens!F16652-Sens!F16653-Sens!F16654-Sens!F16656</f>
        <v>60.4845588387112</v>
      </c>
      <c r="G16658" s="6" t="n">
        <f aca="false">Sens!G16657-Sens!G16651-Sens!G16652-Sens!G16653-Sens!G16654-Sens!G16656</f>
        <v>73.090368906513</v>
      </c>
      <c r="H16658" s="6" t="n">
        <f aca="false">Sens!H16657-Sens!H16651-Sens!H16652-Sens!H16653-Sens!H16654-Sens!H16656</f>
        <v>86.23102144092</v>
      </c>
      <c r="I16658" s="6" t="n">
        <f aca="false">Sens!I16657-Sens!I16651-Sens!I16652-Sens!I16653-Sens!I16654-Sens!I16656</f>
        <v>98.8312409131349</v>
      </c>
      <c r="J16658" s="6" t="n">
        <f aca="false">Sens!J16657-Sens!J16651-Sens!J16652-Sens!J16653-Sens!J16654-Sens!J16656</f>
        <v>110.235873185303</v>
      </c>
      <c r="K16658" s="6" t="n">
        <f aca="false">Sens!K16657-Sens!K16651-Sens!K16652-Sens!K16653-Sens!K16654-Sens!K16656</f>
        <v>119.732817411307</v>
      </c>
    </row>
    <row r="16659" customFormat="false" ht="17.15" hidden="false" customHeight="false" outlineLevel="0" collapsed="false">
      <c r="A16659" s="0" t="s">
        <v>1080</v>
      </c>
      <c r="B16659" s="0" t="s">
        <v>98</v>
      </c>
      <c r="F16659" s="6" t="n">
        <f aca="false">PL!F34+Sens!F16650*Seg!F28+sbc_r*Seg!F28</f>
        <v>26.3250729833002</v>
      </c>
      <c r="G16659" s="6" t="n">
        <f aca="false">PL!G34+Sens!G16650*Seg!G28+sbc_r*Seg!G28</f>
        <v>26.8840979798844</v>
      </c>
      <c r="H16659" s="6" t="n">
        <f aca="false">PL!H34+Sens!H16650*Seg!H28+sbc_r*Seg!H28</f>
        <v>27.7254420104725</v>
      </c>
      <c r="I16659" s="6" t="n">
        <f aca="false">PL!I34+Sens!I16650*Seg!I28+sbc_r*Seg!I28</f>
        <v>28.8195303030026</v>
      </c>
      <c r="J16659" s="6" t="n">
        <f aca="false">PL!J34+Sens!J16650*Seg!J28+sbc_r*Seg!J28</f>
        <v>30.1256822206383</v>
      </c>
      <c r="K16659" s="6" t="n">
        <f aca="false">PL!K34+Sens!K16650*Seg!K28+sbc_r*Seg!K28</f>
        <v>31.5981329181227</v>
      </c>
    </row>
    <row r="16660" customFormat="false" ht="17.15" hidden="false" customHeight="false" outlineLevel="0" collapsed="false">
      <c r="A16660" s="0" t="s">
        <v>1081</v>
      </c>
      <c r="B16660" s="0" t="s">
        <v>98</v>
      </c>
      <c r="F16660" s="6" t="n">
        <f aca="false">(Sens!F16659-Sens!F16655)*Seg!F24/(Seg!F24+Seg!F26)</f>
        <v>8.25683511803782</v>
      </c>
      <c r="G16660" s="6" t="n">
        <f aca="false">(Sens!G16659-Sens!G16655)*Seg!G24/(Seg!G24+Seg!G26)</f>
        <v>7.84263572934781</v>
      </c>
      <c r="H16660" s="6" t="n">
        <f aca="false">(Sens!H16659-Sens!H16655)*Seg!H24/(Seg!H24+Seg!H26)</f>
        <v>7.59728657715786</v>
      </c>
      <c r="I16660" s="6" t="n">
        <f aca="false">(Sens!I16659-Sens!I16655)*Seg!I24/(Seg!I24+Seg!I26)</f>
        <v>7.50238476920254</v>
      </c>
      <c r="J16660" s="6" t="n">
        <f aca="false">(Sens!J16659-Sens!J16655)*Seg!J24/(Seg!J24+Seg!J26)</f>
        <v>7.54388912124533</v>
      </c>
      <c r="K16660" s="6" t="n">
        <f aca="false">(Sens!K16659-Sens!K16655)*Seg!K24/(Seg!K24+Seg!K26)</f>
        <v>7.71332639591206</v>
      </c>
    </row>
    <row r="16661" customFormat="false" ht="17.15" hidden="false" customHeight="false" outlineLevel="0" collapsed="false">
      <c r="A16661" s="0" t="s">
        <v>1082</v>
      </c>
      <c r="B16661" s="0" t="s">
        <v>98</v>
      </c>
      <c r="F16661" s="6" t="n">
        <f aca="false">Sens!F16659-Sens!F16655-Sens!F16660</f>
        <v>6.80515287845105</v>
      </c>
      <c r="G16661" s="6" t="n">
        <f aca="false">Sens!G16659-Sens!G16655-Sens!G16660</f>
        <v>6.72348939049287</v>
      </c>
      <c r="H16661" s="6" t="n">
        <f aca="false">Sens!H16659-Sens!H16655-Sens!H16660</f>
        <v>6.70637012977225</v>
      </c>
      <c r="I16661" s="6" t="n">
        <f aca="false">Sens!I16659-Sens!I16655-Sens!I16660</f>
        <v>6.75156717883416</v>
      </c>
      <c r="J16661" s="6" t="n">
        <f aca="false">Sens!J16659-Sens!J16655-Sens!J16660</f>
        <v>6.85402472711273</v>
      </c>
      <c r="K16661" s="6" t="n">
        <f aca="false">Sens!K16659-Sens!K16655-Sens!K16660</f>
        <v>7.00796750803058</v>
      </c>
    </row>
    <row r="16662" customFormat="false" ht="17.15" hidden="false" customHeight="false" outlineLevel="0" collapsed="false">
      <c r="A16662" s="0" t="s">
        <v>1083</v>
      </c>
      <c r="B16662" s="0" t="s">
        <v>98</v>
      </c>
      <c r="F16662" s="6" t="n">
        <f aca="false">Sens!F16656-tax_f*(Sens!F16656-Thesis!F40)-Thesis!F37</f>
        <v>-117.492972553783</v>
      </c>
      <c r="G16662" s="6" t="n">
        <f aca="false">Sens!G16656-tax_f*(Sens!G16656-Thesis!G40)-Thesis!G37</f>
        <v>-100.507498271105</v>
      </c>
      <c r="H16662" s="6" t="n">
        <f aca="false">Sens!H16656-tax_f*(Sens!H16656-Thesis!H40)-Thesis!H37</f>
        <v>-58.2254156812621</v>
      </c>
      <c r="I16662" s="6" t="n">
        <f aca="false">Sens!I16656-tax_f*(Sens!I16656-Thesis!I40)-Thesis!I37</f>
        <v>4.14141173464586</v>
      </c>
      <c r="J16662" s="6" t="n">
        <f aca="false">Sens!J16656-tax_f*(Sens!J16656-Thesis!J40)-Thesis!J37</f>
        <v>67.7960840957439</v>
      </c>
      <c r="K16662" s="6" t="n">
        <f aca="false">Sens!K16656-tax_f*(Sens!K16656-Thesis!K40)-Thesis!K37</f>
        <v>90.8148873630444</v>
      </c>
    </row>
    <row r="16663" customFormat="false" ht="17.15" hidden="false" customHeight="false" outlineLevel="0" collapsed="false">
      <c r="A16663" s="0" t="s">
        <v>1084</v>
      </c>
      <c r="B16663" s="0" t="s">
        <v>98</v>
      </c>
      <c r="G16663" s="6" t="n">
        <f aca="false">Sens!G16662/(1+wacc)^(Sens!G16635-(Sens!F16635+mid_yr))</f>
        <v>-95.7025738516884</v>
      </c>
      <c r="H16663" s="6" t="n">
        <f aca="false">Sens!H16662/(1+wacc)^(Sens!H16635-(Sens!F16635+mid_yr))</f>
        <v>-50.2675897834568</v>
      </c>
      <c r="I16663" s="6" t="n">
        <f aca="false">Sens!I16662/(1+wacc)^(Sens!I16635-(Sens!F16635+mid_yr))</f>
        <v>3.241710173961</v>
      </c>
      <c r="J16663" s="6" t="n">
        <f aca="false">Sens!J16662/(1+wacc)^(Sens!J16635-(Sens!F16635+mid_yr))</f>
        <v>48.1150225569729</v>
      </c>
      <c r="K16663" s="6" t="n">
        <f aca="false">Sens!K16662/(1+wacc)^(Sens!K16635-(Sens!F16635+mid_yr))</f>
        <v>58.4363985421684</v>
      </c>
      <c r="L16663" s="1" t="s">
        <v>1085</v>
      </c>
    </row>
    <row r="16664" customFormat="false" ht="17.15" hidden="false" customHeight="false" outlineLevel="0" collapsed="false">
      <c r="A16664" s="0" t="s">
        <v>1086</v>
      </c>
      <c r="B16664" s="0" t="s">
        <v>98</v>
      </c>
      <c r="C16664" s="6" t="n">
        <f aca="false">(Sens!K16656-Thesis!K40)*(1-tax_f)*(1+g_tv)*(1-g_tv/(wacc+ronic_prem))/(wacc-g_tv)/(1+wacc)^(Sens!K16635+mid_yr-(Sens!F16635+mid_yr))</f>
        <v>448.116665852667</v>
      </c>
    </row>
    <row r="16665" customFormat="false" ht="17.15" hidden="false" customHeight="false" outlineLevel="0" collapsed="false">
      <c r="A16665" s="1" t="s">
        <v>1087</v>
      </c>
      <c r="B16665" s="0" t="s">
        <v>98</v>
      </c>
      <c r="C16665" s="6" t="n">
        <f aca="false">(SUM(Sens!G16663:K16663)+Sens!$C$16664)*(1+wacc)^(t_roll-(Sens!F16635+mid_yr))</f>
        <v>425.310341738423</v>
      </c>
      <c r="L16665" s="11" t="s">
        <v>1088</v>
      </c>
    </row>
    <row r="16666" customFormat="false" ht="17.15" hidden="false" customHeight="false" outlineLevel="0" collapsed="false">
      <c r="A16666" s="1" t="s">
        <v>1089</v>
      </c>
      <c r="B16666" s="0" t="s">
        <v>98</v>
      </c>
      <c r="C16666" s="6" t="n">
        <f aca="false">(w_ntm28*Thesis!G29+(1-w_ntm28)*Thesis!H29)*m_ai</f>
        <v>551.711134531404</v>
      </c>
    </row>
    <row r="16667" customFormat="false" ht="17.15" hidden="false" customHeight="false" outlineLevel="0" collapsed="false">
      <c r="A16667" s="1" t="s">
        <v>1090</v>
      </c>
      <c r="B16667" s="0" t="s">
        <v>98</v>
      </c>
      <c r="C16667" s="6" t="n">
        <f aca="false">(w_ntm28*Sens!G16658+(1-w_ntm28)*Sens!H16658)*m_cloud</f>
        <v>1068.81917370447</v>
      </c>
    </row>
    <row r="16668" customFormat="false" ht="17.15" hidden="false" customHeight="false" outlineLevel="0" collapsed="false">
      <c r="A16668" s="1" t="s">
        <v>1091</v>
      </c>
      <c r="B16668" s="0" t="s">
        <v>98</v>
      </c>
      <c r="C16668" s="6" t="n">
        <f aca="false">(w_ntm28*Sens!G16651+(1-w_ntm28)*Sens!H16651)*m_sw</f>
        <v>1127.71024611553</v>
      </c>
    </row>
    <row r="16669" customFormat="false" ht="17.15" hidden="false" customHeight="false" outlineLevel="0" collapsed="false">
      <c r="A16669" s="1" t="s">
        <v>1092</v>
      </c>
      <c r="B16669" s="0" t="s">
        <v>98</v>
      </c>
      <c r="C16669" s="6" t="n">
        <f aca="false">(w_ntm28*Sens!G16652+(1-w_ntm28)*Sens!H16652)*m_sw</f>
        <v>379.927954212425</v>
      </c>
    </row>
    <row r="16670" customFormat="false" ht="17.15" hidden="false" customHeight="false" outlineLevel="0" collapsed="false">
      <c r="A16670" s="1" t="s">
        <v>1093</v>
      </c>
      <c r="B16670" s="0" t="s">
        <v>98</v>
      </c>
      <c r="C16670" s="6" t="n">
        <f aca="false">(w_ntm28*Sens!G16653+(1-w_ntm28)*Sens!H16653)*m_sw</f>
        <v>109.537681746057</v>
      </c>
    </row>
    <row r="16671" customFormat="false" ht="17.15" hidden="false" customHeight="false" outlineLevel="0" collapsed="false">
      <c r="A16671" s="1" t="s">
        <v>1094</v>
      </c>
      <c r="B16671" s="0" t="s">
        <v>98</v>
      </c>
      <c r="C16671" s="6" t="n">
        <f aca="false">(w_ntm28*Sens!G16654+(1-w_ntm28)*Sens!H16654)*m_sw</f>
        <v>41.7907416024197</v>
      </c>
    </row>
    <row r="16672" customFormat="false" ht="17.15" hidden="false" customHeight="false" outlineLevel="0" collapsed="false">
      <c r="A16672" s="1" t="s">
        <v>1095</v>
      </c>
      <c r="B16672" s="0" t="s">
        <v>98</v>
      </c>
      <c r="C16672" s="6" t="n">
        <f aca="false">(w_ntm28*Sens!G16655+(1-w_ntm28)*Sens!H16655)*m_ads</f>
        <v>115.467626729004</v>
      </c>
    </row>
    <row r="16673" customFormat="false" ht="17.15" hidden="false" customHeight="false" outlineLevel="0" collapsed="false">
      <c r="A16673" s="1" t="s">
        <v>1096</v>
      </c>
      <c r="B16673" s="0" t="s">
        <v>98</v>
      </c>
      <c r="C16673" s="6" t="n">
        <f aca="false">(w_ntm28*Sens!G16660+(1-w_ntm28)*Sens!H16660)*m_game</f>
        <v>98.0506984247457</v>
      </c>
    </row>
    <row r="16674" customFormat="false" ht="17.15" hidden="false" customHeight="false" outlineLevel="0" collapsed="false">
      <c r="A16674" s="1" t="s">
        <v>1097</v>
      </c>
      <c r="B16674" s="0" t="s">
        <v>98</v>
      </c>
      <c r="C16674" s="6" t="n">
        <f aca="false">(w_ntm28*Sens!G16661+(1-w_ntm28)*Sens!H16661)*m_pc</f>
        <v>97.2088080478016</v>
      </c>
    </row>
    <row r="16675" customFormat="false" ht="17.15" hidden="false" customHeight="false" outlineLevel="0" collapsed="false">
      <c r="A16675" s="1" t="s">
        <v>1098</v>
      </c>
      <c r="B16675" s="0" t="s">
        <v>98</v>
      </c>
      <c r="C16675" s="6" t="n">
        <f aca="false">Sens!$C$16665+Sens!$C$16667+Sens!$C$16668+Sens!$C$16669+Sens!$C$16670+Sens!$C$16671+Sens!$C$16672+Sens!$C$16673+Sens!$C$16674</f>
        <v>3463.82327232088</v>
      </c>
    </row>
    <row r="16676" customFormat="false" ht="17.15" hidden="false" customHeight="false" outlineLevel="0" collapsed="false">
      <c r="A16676" s="1" t="s">
        <v>1099</v>
      </c>
      <c r="B16676" s="0" t="s">
        <v>98</v>
      </c>
      <c r="C16676" s="6" t="n">
        <f aca="false">(Sens!G16637-Sens!G16662)*t_stub</f>
        <v>47.9592964551235</v>
      </c>
      <c r="L16676" s="1" t="s">
        <v>1100</v>
      </c>
    </row>
    <row r="16677" customFormat="false" ht="17.15" hidden="false" customHeight="false" outlineLevel="0" collapsed="false">
      <c r="A16677" s="1" t="s">
        <v>1014</v>
      </c>
      <c r="B16677" s="0" t="s">
        <v>98</v>
      </c>
      <c r="C16677" s="6" t="n">
        <f aca="false">CF!F38+(oai_stake_hi*oai_val)-CF!F27+Sens!$C$16676</f>
        <v>222.706005497665</v>
      </c>
      <c r="L16677" s="1" t="s">
        <v>1101</v>
      </c>
    </row>
    <row r="16678" customFormat="false" ht="17.15" hidden="false" customHeight="false" outlineLevel="0" collapsed="false">
      <c r="A16678" s="1" t="s">
        <v>1102</v>
      </c>
      <c r="B16678" s="0" t="s">
        <v>75</v>
      </c>
      <c r="C16678" s="5" t="n">
        <f aca="false">(Sens!$C$16675+Sens!$C$16677)/(CF!F40+dil_gap)-CF!G30*roll_div_q/q_per_yr</f>
        <v>490.760030125207</v>
      </c>
      <c r="L16678" s="1" t="s">
        <v>1103</v>
      </c>
    </row>
    <row r="16679" customFormat="false" ht="17.15" hidden="false" customHeight="false" outlineLevel="0" collapsed="false">
      <c r="A16679" s="1" t="s">
        <v>1104</v>
      </c>
      <c r="B16679" s="0" t="s">
        <v>75</v>
      </c>
      <c r="C16679" s="5" t="n">
        <f aca="false">w_dcf*Sens!$C$16649+(1-w_dcf)*Sens!$C$16678</f>
        <v>433.748923834716</v>
      </c>
    </row>
    <row r="16680" customFormat="false" ht="17.15" hidden="false" customHeight="false" outlineLevel="0" collapsed="false">
      <c r="A16680" s="3" t="s">
        <v>1685</v>
      </c>
    </row>
    <row r="16681" customFormat="false" ht="15" hidden="false" customHeight="false" outlineLevel="0" collapsed="false">
      <c r="A16681" s="4" t="s">
        <v>43</v>
      </c>
      <c r="B16681" s="4" t="s">
        <v>65</v>
      </c>
      <c r="C16681" s="20" t="s">
        <v>799</v>
      </c>
      <c r="D16681" s="20" t="s">
        <v>800</v>
      </c>
      <c r="E16681" s="20" t="s">
        <v>801</v>
      </c>
      <c r="F16681" s="20" t="s">
        <v>802</v>
      </c>
      <c r="G16681" s="20" t="s">
        <v>803</v>
      </c>
      <c r="H16681" s="20" t="s">
        <v>804</v>
      </c>
      <c r="I16681" s="20" t="s">
        <v>805</v>
      </c>
      <c r="J16681" s="20" t="s">
        <v>806</v>
      </c>
      <c r="K16681" s="20" t="s">
        <v>807</v>
      </c>
      <c r="L16681" s="4" t="s">
        <v>47</v>
      </c>
    </row>
    <row r="16682" customFormat="false" ht="15" hidden="false" customHeight="false" outlineLevel="0" collapsed="false">
      <c r="A16682" s="1" t="s">
        <v>1057</v>
      </c>
      <c r="B16682" s="1" t="s">
        <v>235</v>
      </c>
      <c r="F16682" s="36" t="n">
        <f aca="false">Thesis!F55-base_fy-mid_yr</f>
        <v>0.5</v>
      </c>
      <c r="G16682" s="36" t="n">
        <f aca="false">Thesis!G55-base_fy-mid_yr</f>
        <v>1.5</v>
      </c>
      <c r="H16682" s="36" t="n">
        <f aca="false">Thesis!H55-base_fy-mid_yr</f>
        <v>2.5</v>
      </c>
      <c r="I16682" s="36" t="n">
        <f aca="false">Thesis!I55-base_fy-mid_yr</f>
        <v>3.5</v>
      </c>
      <c r="J16682" s="36" t="n">
        <f aca="false">Thesis!J55-base_fy-mid_yr</f>
        <v>4.5</v>
      </c>
      <c r="K16682" s="36" t="n">
        <f aca="false">Thesis!K55-base_fy-mid_yr</f>
        <v>5.5</v>
      </c>
    </row>
    <row r="16683" customFormat="false" ht="15" hidden="false" customHeight="false" outlineLevel="0" collapsed="false">
      <c r="A16683" s="1" t="s">
        <v>1058</v>
      </c>
      <c r="B16683" s="0" t="s">
        <v>185</v>
      </c>
      <c r="F16683" s="14" t="n">
        <f aca="false">1/(1+wacc)^Sens!F16682</f>
        <v>0.952193373608246</v>
      </c>
      <c r="G16683" s="14" t="n">
        <f aca="false">1/(1+wacc)^Sens!G16682</f>
        <v>0.863327280626589</v>
      </c>
      <c r="H16683" s="14" t="n">
        <f aca="false">1/(1+wacc)^Sens!H16682</f>
        <v>0.782754862754115</v>
      </c>
      <c r="I16683" s="14" t="n">
        <f aca="false">1/(1+wacc)^Sens!I16682</f>
        <v>0.709702089711011</v>
      </c>
      <c r="J16683" s="14" t="n">
        <f aca="false">1/(1+wacc)^Sens!J16682</f>
        <v>0.643467169744551</v>
      </c>
      <c r="K16683" s="14" t="n">
        <f aca="false">1/(1+wacc)^Sens!K16682</f>
        <v>0.583413807767797</v>
      </c>
    </row>
    <row r="16684" customFormat="false" ht="17.15" hidden="false" customHeight="false" outlineLevel="0" collapsed="false">
      <c r="A16684" s="1" t="s">
        <v>1059</v>
      </c>
      <c r="B16684" s="0" t="s">
        <v>98</v>
      </c>
      <c r="F16684" s="6" t="n">
        <f aca="false">CF!F53-CF!F51-CF!F57+Thesis!F93*(1-tax_f)</f>
        <v>-2.12916264917943</v>
      </c>
      <c r="G16684" s="6" t="n">
        <f aca="false">CF!G53-CF!G51-CF!G57+Thesis!G93*(1-tax_f)</f>
        <v>37.4539072201241</v>
      </c>
      <c r="H16684" s="6" t="n">
        <f aca="false">CF!H53-CF!H51-CF!H57+Thesis!H93*(1-tax_f)</f>
        <v>85.8888636072133</v>
      </c>
      <c r="I16684" s="6" t="n">
        <f aca="false">CF!I53-CF!I51-CF!I57+Thesis!I93*(1-tax_f)</f>
        <v>159.098024951333</v>
      </c>
      <c r="J16684" s="6" t="n">
        <f aca="false">CF!J53-CF!J51-CF!J57+Thesis!J93*(1-tax_f)</f>
        <v>233.876759261847</v>
      </c>
      <c r="K16684" s="6" t="n">
        <f aca="false">CF!K53-CF!K51-CF!K57+Thesis!K93*(1-tax_f)</f>
        <v>268.447783789649</v>
      </c>
      <c r="L16684" s="1" t="s">
        <v>1060</v>
      </c>
    </row>
    <row r="16685" customFormat="false" ht="15" hidden="false" customHeight="false" outlineLevel="0" collapsed="false">
      <c r="A16685" s="1" t="s">
        <v>1061</v>
      </c>
      <c r="B16685" s="0" t="s">
        <v>98</v>
      </c>
      <c r="F16685" s="6" t="n">
        <f aca="false">Sens!F16684*Sens!F16683</f>
        <v>-2.02737456588283</v>
      </c>
      <c r="G16685" s="6" t="n">
        <f aca="false">Sens!G16684*Sens!G16683</f>
        <v>32.3349798691903</v>
      </c>
      <c r="H16685" s="6" t="n">
        <f aca="false">Sens!H16684*Sens!H16683</f>
        <v>67.2299256449712</v>
      </c>
      <c r="I16685" s="6" t="n">
        <f aca="false">Sens!I16684*Sens!I16683</f>
        <v>112.912200776856</v>
      </c>
      <c r="J16685" s="6" t="n">
        <f aca="false">Sens!J16684*Sens!J16683</f>
        <v>150.492016351249</v>
      </c>
      <c r="K16685" s="6" t="n">
        <f aca="false">Sens!K16684*Sens!K16683</f>
        <v>156.616143727545</v>
      </c>
    </row>
    <row r="16686" customFormat="false" ht="17.15" hidden="false" customHeight="false" outlineLevel="0" collapsed="false">
      <c r="A16686" s="1" t="s">
        <v>1062</v>
      </c>
      <c r="B16686" s="0" t="s">
        <v>98</v>
      </c>
      <c r="C16686" s="6" t="n">
        <f aca="false">SUM(Sens!F16685:K16685)</f>
        <v>517.557891803928</v>
      </c>
    </row>
    <row r="16687" customFormat="false" ht="17.15" hidden="false" customHeight="false" outlineLevel="0" collapsed="false">
      <c r="A16687" s="1" t="s">
        <v>1063</v>
      </c>
      <c r="B16687" s="0" t="s">
        <v>98</v>
      </c>
      <c r="C16687" s="6" t="n">
        <f aca="false">PL!K78*(1+g_tv)*(1-tax_f)</f>
        <v>284.685941703094</v>
      </c>
    </row>
    <row r="16688" customFormat="false" ht="17.15" hidden="false" customHeight="false" outlineLevel="0" collapsed="false">
      <c r="A16688" s="1" t="s">
        <v>1064</v>
      </c>
      <c r="B16688" s="0" t="s">
        <v>98</v>
      </c>
      <c r="C16688" s="6" t="n">
        <f aca="false">Sens!$C$16687*(1-g_tv/(wacc+ronic_prem))</f>
        <v>201.714878735169</v>
      </c>
    </row>
    <row r="16689" customFormat="false" ht="17.15" hidden="false" customHeight="false" outlineLevel="0" collapsed="false">
      <c r="A16689" s="1" t="s">
        <v>1065</v>
      </c>
      <c r="B16689" s="0" t="s">
        <v>98</v>
      </c>
      <c r="C16689" s="6" t="n">
        <f aca="false">Sens!$C$16688/(wacc-g_tv)</f>
        <v>2765.70209893083</v>
      </c>
    </row>
    <row r="16690" customFormat="false" ht="15" hidden="false" customHeight="false" outlineLevel="0" collapsed="false">
      <c r="A16690" s="1" t="s">
        <v>1066</v>
      </c>
      <c r="B16690" s="0" t="s">
        <v>98</v>
      </c>
      <c r="C16690" s="6" t="n">
        <f aca="false">Sens!$C$16689/(1+wacc)^(Sens!K16682+mid_yr)</f>
        <v>1536.41046839169</v>
      </c>
    </row>
    <row r="16691" customFormat="false" ht="17.15" hidden="false" customHeight="false" outlineLevel="0" collapsed="false">
      <c r="A16691" s="0" t="s">
        <v>986</v>
      </c>
      <c r="B16691" s="0" t="s">
        <v>98</v>
      </c>
      <c r="C16691" s="6" t="n">
        <f aca="false">Sens!$C$16686+Sens!$C$16690</f>
        <v>2053.96836019562</v>
      </c>
    </row>
    <row r="16692" customFormat="false" ht="15" hidden="false" customHeight="false" outlineLevel="0" collapsed="false">
      <c r="A16692" s="1" t="s">
        <v>987</v>
      </c>
      <c r="B16692" s="0" t="s">
        <v>129</v>
      </c>
      <c r="C16692" s="7" t="n">
        <f aca="false">Sens!$C$16690/Sens!$C$16691</f>
        <v>0.748020513931073</v>
      </c>
    </row>
    <row r="16693" customFormat="false" ht="17.15" hidden="false" customHeight="false" outlineLevel="0" collapsed="false">
      <c r="A16693" s="1" t="s">
        <v>1067</v>
      </c>
      <c r="B16693" s="0" t="s">
        <v>98</v>
      </c>
      <c r="C16693" s="6" t="n">
        <f aca="false">Sens!$C$16691+CF!E69-CF!E58+(oai_stake_hi*oai_val)</f>
        <v>2248.12136019562</v>
      </c>
    </row>
    <row r="16694" customFormat="false" ht="17.15" hidden="false" customHeight="false" outlineLevel="0" collapsed="false">
      <c r="A16694" s="0" t="s">
        <v>994</v>
      </c>
      <c r="B16694" s="0" t="s">
        <v>75</v>
      </c>
      <c r="C16694" s="5" t="n">
        <f aca="false">Sens!$C$16693/sh_dil26</f>
        <v>301.639790714561</v>
      </c>
    </row>
    <row r="16695" customFormat="false" ht="15" hidden="false" customHeight="false" outlineLevel="0" collapsed="false">
      <c r="A16695" s="1" t="s">
        <v>1068</v>
      </c>
      <c r="B16695" s="0" t="s">
        <v>75</v>
      </c>
      <c r="C16695" s="8" t="n">
        <f aca="false">dps_27+CF!G61*roll_div_q/q_per_yr</f>
        <v>4.8895</v>
      </c>
    </row>
    <row r="16696" customFormat="false" ht="17.15" hidden="false" customHeight="false" outlineLevel="0" collapsed="false">
      <c r="A16696" s="0" t="s">
        <v>1069</v>
      </c>
      <c r="B16696" s="0" t="s">
        <v>75</v>
      </c>
      <c r="C16696" s="5" t="n">
        <f aca="false">Sens!$C$16694*(1+wacc)^t_roll-Sens!$C$16695</f>
        <v>338.597801296227</v>
      </c>
    </row>
    <row r="16697" customFormat="false" ht="17.15" hidden="false" customHeight="false" outlineLevel="0" collapsed="false">
      <c r="A16697" s="1" t="s">
        <v>1070</v>
      </c>
      <c r="B16697" s="0" t="s">
        <v>129</v>
      </c>
      <c r="F16697" s="7" t="n">
        <f aca="false">CF!F48/(Seg!F56-Thesis!F72)</f>
        <v>0.0708376243512414</v>
      </c>
      <c r="G16697" s="7" t="n">
        <f aca="false">CF!G48/(Seg!G56-Thesis!G72)</f>
        <v>0.0675792567445289</v>
      </c>
      <c r="H16697" s="7" t="n">
        <f aca="false">CF!H48/(Seg!H56-Thesis!H72)</f>
        <v>0.0657637992399081</v>
      </c>
      <c r="I16697" s="7" t="n">
        <f aca="false">CF!I48/(Seg!I56-Thesis!I72)</f>
        <v>0.0652507860006261</v>
      </c>
      <c r="J16697" s="7" t="n">
        <f aca="false">CF!J48/(Seg!J56-Thesis!J72)</f>
        <v>0.0657374094257698</v>
      </c>
      <c r="K16697" s="7" t="n">
        <f aca="false">CF!K48/(Seg!K56-Thesis!K72)</f>
        <v>0.0668595832904836</v>
      </c>
    </row>
    <row r="16698" customFormat="false" ht="17.15" hidden="false" customHeight="false" outlineLevel="0" collapsed="false">
      <c r="A16698" s="0" t="s">
        <v>1071</v>
      </c>
      <c r="B16698" s="0" t="s">
        <v>98</v>
      </c>
      <c r="F16698" s="6" t="n">
        <f aca="false">Seg!F41*(al_m365+Sens!F16697+sbc_r)</f>
        <v>84.2019918892952</v>
      </c>
      <c r="G16698" s="6" t="n">
        <f aca="false">Seg!G41*(al_m365+Sens!G16697+sbc_r)</f>
        <v>96.61090954529</v>
      </c>
      <c r="H16698" s="6" t="n">
        <f aca="false">Seg!H41*(al_m365+Sens!H16697+sbc_r)</f>
        <v>109.18271398457</v>
      </c>
      <c r="I16698" s="6" t="n">
        <f aca="false">Seg!I41*(al_m365+Sens!I16697+sbc_r)</f>
        <v>120.736322591613</v>
      </c>
      <c r="J16698" s="6" t="n">
        <f aca="false">Seg!J41*(al_m365+Sens!J16697+sbc_r)</f>
        <v>131.084561154645</v>
      </c>
      <c r="K16698" s="6" t="n">
        <f aca="false">Seg!K41*(al_m365+Sens!K16697+sbc_r)</f>
        <v>141.044207560217</v>
      </c>
      <c r="L16698" s="11" t="s">
        <v>1072</v>
      </c>
    </row>
    <row r="16699" customFormat="false" ht="17.15" hidden="false" customHeight="false" outlineLevel="0" collapsed="false">
      <c r="A16699" s="0" t="s">
        <v>1073</v>
      </c>
      <c r="B16699" s="0" t="s">
        <v>98</v>
      </c>
      <c r="F16699" s="6" t="n">
        <f aca="false">Seg!F42*(al_lic+Sens!F16697+sbc_r)</f>
        <v>33.5324516680982</v>
      </c>
      <c r="G16699" s="6" t="n">
        <f aca="false">Seg!G42*(al_lic+Sens!G16697+sbc_r)</f>
        <v>34.819657317048</v>
      </c>
      <c r="H16699" s="6" t="n">
        <f aca="false">Seg!H42*(al_lic+Sens!H16697+sbc_r)</f>
        <v>36.0229106304815</v>
      </c>
      <c r="I16699" s="6" t="n">
        <f aca="false">Seg!I42*(al_lic+Sens!I16697+sbc_r)</f>
        <v>37.1234854794919</v>
      </c>
      <c r="J16699" s="6" t="n">
        <f aca="false">Seg!J42*(al_lic+Sens!J16697+sbc_r)</f>
        <v>38.0950592345738</v>
      </c>
      <c r="K16699" s="6" t="n">
        <f aca="false">Seg!K42*(al_lic+Sens!K16697+sbc_r)</f>
        <v>38.9080719459809</v>
      </c>
    </row>
    <row r="16700" customFormat="false" ht="17.15" hidden="false" customHeight="false" outlineLevel="0" collapsed="false">
      <c r="A16700" s="0" t="s">
        <v>1074</v>
      </c>
      <c r="B16700" s="0" t="s">
        <v>98</v>
      </c>
      <c r="F16700" s="6" t="n">
        <f aca="false">Seg!F44*(al_ind+Sens!F16697+sbc_r)</f>
        <v>9.12666918765551</v>
      </c>
      <c r="G16700" s="6" t="n">
        <f aca="false">Seg!G44*(al_ind+Sens!G16697+sbc_r)</f>
        <v>9.89694850970116</v>
      </c>
      <c r="H16700" s="6" t="n">
        <f aca="false">Seg!H44*(al_ind+Sens!H16697+sbc_r)</f>
        <v>10.7131335152527</v>
      </c>
      <c r="I16700" s="6" t="n">
        <f aca="false">Seg!I44*(al_ind+Sens!I16697+sbc_r)</f>
        <v>11.5721730864119</v>
      </c>
      <c r="J16700" s="6" t="n">
        <f aca="false">Seg!J44*(al_ind+Sens!J16697+sbc_r)</f>
        <v>12.4641697526801</v>
      </c>
      <c r="K16700" s="6" t="n">
        <f aca="false">Seg!K44*(al_ind+Sens!K16697+sbc_r)</f>
        <v>13.3737871892836</v>
      </c>
    </row>
    <row r="16701" customFormat="false" ht="17.15" hidden="false" customHeight="false" outlineLevel="0" collapsed="false">
      <c r="A16701" s="0" t="s">
        <v>1075</v>
      </c>
      <c r="B16701" s="0" t="s">
        <v>98</v>
      </c>
      <c r="F16701" s="6" t="n">
        <f aca="false">Seg!F46*(al_fro+Sens!F16697+sbc_r)</f>
        <v>3.5922890341799</v>
      </c>
      <c r="G16701" s="6" t="n">
        <f aca="false">Seg!G46*(al_fro+Sens!G16697+sbc_r)</f>
        <v>3.79984310356763</v>
      </c>
      <c r="H16701" s="6" t="n">
        <f aca="false">Seg!H46*(al_fro+Sens!H16697+sbc_r)</f>
        <v>4.03707539290126</v>
      </c>
      <c r="I16701" s="6" t="n">
        <f aca="false">Seg!I46*(al_fro+Sens!I16697+sbc_r)</f>
        <v>4.30669184104541</v>
      </c>
      <c r="J16701" s="6" t="n">
        <f aca="false">Seg!J46*(al_fro+Sens!J16697+sbc_r)</f>
        <v>4.6097289716959</v>
      </c>
      <c r="K16701" s="6" t="n">
        <f aca="false">Seg!K46*(al_fro+Sens!K16697+sbc_r)</f>
        <v>4.94614045628512</v>
      </c>
    </row>
    <row r="16702" customFormat="false" ht="17.15" hidden="false" customHeight="false" outlineLevel="0" collapsed="false">
      <c r="A16702" s="0" t="s">
        <v>1076</v>
      </c>
      <c r="B16702" s="0" t="s">
        <v>98</v>
      </c>
      <c r="F16702" s="6" t="n">
        <f aca="false">Seg!F49*(al_srch+Sens!F16697+sbc_r)</f>
        <v>11.2715683093452</v>
      </c>
      <c r="G16702" s="6" t="n">
        <f aca="false">Seg!G49*(al_srch+Sens!G16697+sbc_r)</f>
        <v>12.338201972554</v>
      </c>
      <c r="H16702" s="6" t="n">
        <f aca="false">Seg!H49*(al_srch+Sens!H16697+sbc_r)</f>
        <v>13.450727865064</v>
      </c>
      <c r="I16702" s="6" t="n">
        <f aca="false">Seg!I49*(al_srch+Sens!I16697+sbc_r)</f>
        <v>14.598560682534</v>
      </c>
      <c r="J16702" s="6" t="n">
        <f aca="false">Seg!J49*(al_srch+Sens!J16697+sbc_r)</f>
        <v>15.7615229152659</v>
      </c>
      <c r="K16702" s="6" t="n">
        <f aca="false">Seg!K49*(al_srch+Sens!K16697+sbc_r)</f>
        <v>16.9117765106222</v>
      </c>
    </row>
    <row r="16703" customFormat="false" ht="17.15" hidden="false" customHeight="false" outlineLevel="0" collapsed="false">
      <c r="A16703" s="0" t="s">
        <v>1077</v>
      </c>
      <c r="B16703" s="0" t="s">
        <v>98</v>
      </c>
      <c r="F16703" s="6" t="n">
        <f aca="false">Thesis!F78-Thesis!F79+Thesis!F93</f>
        <v>42.2254306726393</v>
      </c>
      <c r="G16703" s="6" t="n">
        <f aca="false">Thesis!G78-Thesis!G79+Thesis!G93</f>
        <v>79.7027537443441</v>
      </c>
      <c r="H16703" s="6" t="n">
        <f aca="false">Thesis!H78-Thesis!H79+Thesis!H93</f>
        <v>120.060533679822</v>
      </c>
      <c r="I16703" s="6" t="n">
        <f aca="false">Thesis!I78-Thesis!I79+Thesis!I93</f>
        <v>156.515256506302</v>
      </c>
      <c r="J16703" s="6" t="n">
        <f aca="false">Thesis!J78-Thesis!J79+Thesis!J93</f>
        <v>182.51821819491</v>
      </c>
      <c r="K16703" s="6" t="n">
        <f aca="false">Thesis!K78-Thesis!K79+Thesis!K93</f>
        <v>199.254533496123</v>
      </c>
    </row>
    <row r="16704" customFormat="false" ht="17.15" hidden="false" customHeight="false" outlineLevel="0" collapsed="false">
      <c r="A16704" s="0" t="s">
        <v>1078</v>
      </c>
      <c r="B16704" s="0" t="s">
        <v>98</v>
      </c>
      <c r="F16704" s="6" t="n">
        <f aca="false">PL!F71+Thesis!F93+Thesis!F89+Sens!F16697*(Seg!F48-Thesis!F72)+sbc_r*Seg!F48</f>
        <v>233.08249657256</v>
      </c>
      <c r="G16704" s="6" t="n">
        <f aca="false">PL!G71+Thesis!G93+Thesis!G89+Sens!G16697*(Seg!G48-Thesis!G72)+sbc_r*Seg!G48</f>
        <v>297.663189032606</v>
      </c>
      <c r="H16704" s="6" t="n">
        <f aca="false">PL!H71+Thesis!H93+Thesis!H89+Sens!H16697*(Seg!H48-Thesis!H72)+sbc_r*Seg!H48</f>
        <v>365.628165851855</v>
      </c>
      <c r="I16704" s="6" t="n">
        <f aca="false">PL!I71+Thesis!I93+Thesis!I89+Sens!I16697*(Seg!I48-Thesis!I72)+sbc_r*Seg!I48</f>
        <v>428.31888397841</v>
      </c>
      <c r="J16704" s="6" t="n">
        <f aca="false">PL!J71+Thesis!J93+Thesis!J89+Sens!J16697*(Seg!J48-Thesis!J72)+sbc_r*Seg!J48</f>
        <v>478.127348640143</v>
      </c>
      <c r="K16704" s="6" t="n">
        <f aca="false">PL!K71+Thesis!K93+Thesis!K89+Sens!K16697*(Seg!K48-Thesis!K72)+sbc_r*Seg!K48</f>
        <v>516.321726855748</v>
      </c>
    </row>
    <row r="16705" customFormat="false" ht="17.15" hidden="false" customHeight="false" outlineLevel="0" collapsed="false">
      <c r="A16705" s="0" t="s">
        <v>1079</v>
      </c>
      <c r="B16705" s="0" t="s">
        <v>98</v>
      </c>
      <c r="F16705" s="6" t="n">
        <f aca="false">Sens!F16704-Sens!F16698-Sens!F16699-Sens!F16700-Sens!F16701-Sens!F16703</f>
        <v>60.4036641206917</v>
      </c>
      <c r="G16705" s="6" t="n">
        <f aca="false">Sens!G16704-Sens!G16698-Sens!G16699-Sens!G16700-Sens!G16701-Sens!G16703</f>
        <v>72.8330768126549</v>
      </c>
      <c r="H16705" s="6" t="n">
        <f aca="false">Sens!H16704-Sens!H16698-Sens!H16699-Sens!H16700-Sens!H16701-Sens!H16703</f>
        <v>85.6117986488275</v>
      </c>
      <c r="I16705" s="6" t="n">
        <f aca="false">Sens!I16704-Sens!I16698-Sens!I16699-Sens!I16700-Sens!I16701-Sens!I16703</f>
        <v>98.0649544735462</v>
      </c>
      <c r="J16705" s="6" t="n">
        <f aca="false">Sens!J16704-Sens!J16698-Sens!J16699-Sens!J16700-Sens!J16701-Sens!J16703</f>
        <v>109.355611331638</v>
      </c>
      <c r="K16705" s="6" t="n">
        <f aca="false">Sens!K16704-Sens!K16698-Sens!K16699-Sens!K16700-Sens!K16701-Sens!K16703</f>
        <v>118.794986207857</v>
      </c>
    </row>
    <row r="16706" customFormat="false" ht="17.15" hidden="false" customHeight="false" outlineLevel="0" collapsed="false">
      <c r="A16706" s="0" t="s">
        <v>1080</v>
      </c>
      <c r="B16706" s="0" t="s">
        <v>98</v>
      </c>
      <c r="F16706" s="6" t="n">
        <f aca="false">PL!F73+Sens!F16697*Seg!F55+sbc_r*Seg!F55</f>
        <v>26.345087006484</v>
      </c>
      <c r="G16706" s="6" t="n">
        <f aca="false">PL!G73+Sens!G16697*Seg!G55+sbc_r*Seg!G55</f>
        <v>26.928666241387</v>
      </c>
      <c r="H16706" s="6" t="n">
        <f aca="false">PL!H73+Sens!H16697*Seg!H55+sbc_r*Seg!H55</f>
        <v>27.7857977299272</v>
      </c>
      <c r="I16706" s="6" t="n">
        <f aca="false">PL!I73+Sens!I16697*Seg!I55+sbc_r*Seg!I55</f>
        <v>28.8854111921819</v>
      </c>
      <c r="J16706" s="6" t="n">
        <f aca="false">PL!J73+Sens!J16697*Seg!J55+sbc_r*Seg!J55</f>
        <v>30.1909525075627</v>
      </c>
      <c r="K16706" s="6" t="n">
        <f aca="false">PL!K73+Sens!K16697*Seg!K55+sbc_r*Seg!K55</f>
        <v>31.6641663414168</v>
      </c>
    </row>
    <row r="16707" customFormat="false" ht="17.15" hidden="false" customHeight="false" outlineLevel="0" collapsed="false">
      <c r="A16707" s="0" t="s">
        <v>1081</v>
      </c>
      <c r="B16707" s="0" t="s">
        <v>98</v>
      </c>
      <c r="F16707" s="6" t="n">
        <f aca="false">(Sens!F16706-Sens!F16702)*Seg!F51/(Seg!F51+Seg!F53)</f>
        <v>8.26315613582677</v>
      </c>
      <c r="G16707" s="6" t="n">
        <f aca="false">(Sens!G16706-Sens!G16702)*Seg!G51/(Seg!G51+Seg!G53)</f>
        <v>7.85574031810689</v>
      </c>
      <c r="H16707" s="6" t="n">
        <f aca="false">(Sens!H16706-Sens!H16702)*Seg!H51/(Seg!H51+Seg!H53)</f>
        <v>7.61397145487838</v>
      </c>
      <c r="I16707" s="6" t="n">
        <f aca="false">(Sens!I16706-Sens!I16702)*Seg!I51/(Seg!I51+Seg!I53)</f>
        <v>7.51970050510933</v>
      </c>
      <c r="J16707" s="6" t="n">
        <f aca="false">(Sens!J16706-Sens!J16702)*Seg!J51/(Seg!J51+Seg!J53)</f>
        <v>7.56040201890202</v>
      </c>
      <c r="K16707" s="6" t="n">
        <f aca="false">(Sens!K16706-Sens!K16702)*Seg!K51/(Seg!K51+Seg!K53)</f>
        <v>7.72961932742727</v>
      </c>
    </row>
    <row r="16708" customFormat="false" ht="17.15" hidden="false" customHeight="false" outlineLevel="0" collapsed="false">
      <c r="A16708" s="0" t="s">
        <v>1082</v>
      </c>
      <c r="B16708" s="0" t="s">
        <v>98</v>
      </c>
      <c r="F16708" s="6" t="n">
        <f aca="false">Sens!F16706-Sens!F16702-Sens!F16707</f>
        <v>6.81036256131213</v>
      </c>
      <c r="G16708" s="6" t="n">
        <f aca="false">Sens!G16706-Sens!G16702-Sens!G16707</f>
        <v>6.73472395072608</v>
      </c>
      <c r="H16708" s="6" t="n">
        <f aca="false">Sens!H16706-Sens!H16702-Sens!H16707</f>
        <v>6.72109840998485</v>
      </c>
      <c r="I16708" s="6" t="n">
        <f aca="false">Sens!I16706-Sens!I16702-Sens!I16707</f>
        <v>6.76715000453853</v>
      </c>
      <c r="J16708" s="6" t="n">
        <f aca="false">Sens!J16706-Sens!J16702-Sens!J16707</f>
        <v>6.86902757339483</v>
      </c>
      <c r="K16708" s="6" t="n">
        <f aca="false">Sens!K16706-Sens!K16702-Sens!K16707</f>
        <v>7.02277050336727</v>
      </c>
    </row>
    <row r="16709" customFormat="false" ht="17.15" hidden="false" customHeight="false" outlineLevel="0" collapsed="false">
      <c r="A16709" s="0" t="s">
        <v>1083</v>
      </c>
      <c r="B16709" s="0" t="s">
        <v>98</v>
      </c>
      <c r="F16709" s="6" t="n">
        <f aca="false">Sens!F16703-tax_f*(Sens!F16703-Thesis!F89)-Thesis!F86</f>
        <v>-119.742553857164</v>
      </c>
      <c r="G16709" s="6" t="n">
        <f aca="false">Sens!G16703-tax_f*(Sens!G16703-Thesis!G89)-Thesis!G86</f>
        <v>-107.986890065622</v>
      </c>
      <c r="H16709" s="6" t="n">
        <f aca="false">Sens!H16703-tax_f*(Sens!H16703-Thesis!H89)-Thesis!H86</f>
        <v>-74.7596549978803</v>
      </c>
      <c r="I16709" s="6" t="n">
        <f aca="false">Sens!I16703-tax_f*(Sens!I16703-Thesis!I89)-Thesis!I86</f>
        <v>-16.3733151827256</v>
      </c>
      <c r="J16709" s="6" t="n">
        <f aca="false">Sens!J16703-tax_f*(Sens!J16703-Thesis!J89)-Thesis!J86</f>
        <v>44.4328025322546</v>
      </c>
      <c r="K16709" s="6" t="n">
        <f aca="false">Sens!K16703-tax_f*(Sens!K16703-Thesis!K89)-Thesis!K86</f>
        <v>65.8225043021697</v>
      </c>
    </row>
    <row r="16710" customFormat="false" ht="17.15" hidden="false" customHeight="false" outlineLevel="0" collapsed="false">
      <c r="A16710" s="0" t="s">
        <v>1084</v>
      </c>
      <c r="B16710" s="0" t="s">
        <v>98</v>
      </c>
      <c r="G16710" s="6" t="n">
        <f aca="false">Sens!G16709/(1+wacc)^(Sens!G16682-(Sens!F16682+mid_yr))</f>
        <v>-102.824401157048</v>
      </c>
      <c r="H16710" s="6" t="n">
        <f aca="false">Sens!H16709/(1+wacc)^(Sens!H16682-(Sens!F16682+mid_yr))</f>
        <v>-64.5420496499019</v>
      </c>
      <c r="I16710" s="6" t="n">
        <f aca="false">Sens!I16709/(1+wacc)^(Sens!I16682-(Sens!F16682+mid_yr))</f>
        <v>-12.8162920786843</v>
      </c>
      <c r="J16710" s="6" t="n">
        <f aca="false">Sens!J16709/(1+wacc)^(Sens!J16682-(Sens!F16682+mid_yr))</f>
        <v>31.5340528088578</v>
      </c>
      <c r="K16710" s="6" t="n">
        <f aca="false">Sens!K16709/(1+wacc)^(Sens!K16682-(Sens!F16682+mid_yr))</f>
        <v>42.3546205488157</v>
      </c>
      <c r="L16710" s="1" t="s">
        <v>1085</v>
      </c>
    </row>
    <row r="16711" customFormat="false" ht="17.15" hidden="false" customHeight="false" outlineLevel="0" collapsed="false">
      <c r="A16711" s="0" t="s">
        <v>1086</v>
      </c>
      <c r="B16711" s="0" t="s">
        <v>98</v>
      </c>
      <c r="C16711" s="6" t="n">
        <f aca="false">(Sens!K16703-Thesis!K89)*(1-tax_f)*(1+g_tv)*(1-g_tv/(wacc+ronic_prem))/(wacc-g_tv)/(1+wacc)^(Sens!K16682+mid_yr-(Sens!F16682+mid_yr))</f>
        <v>294.889481980532</v>
      </c>
    </row>
    <row r="16712" customFormat="false" ht="17.15" hidden="false" customHeight="false" outlineLevel="0" collapsed="false">
      <c r="A16712" s="1" t="s">
        <v>1087</v>
      </c>
      <c r="B16712" s="0" t="s">
        <v>98</v>
      </c>
      <c r="C16712" s="6" t="n">
        <f aca="false">(SUM(Sens!G16710:K16710)+Sens!$C$16711)*(1+wacc)^(t_roll-(Sens!F16682+mid_yr))</f>
        <v>194.716829358755</v>
      </c>
      <c r="L16712" s="11" t="s">
        <v>1088</v>
      </c>
    </row>
    <row r="16713" customFormat="false" ht="17.15" hidden="false" customHeight="false" outlineLevel="0" collapsed="false">
      <c r="A16713" s="1" t="s">
        <v>1089</v>
      </c>
      <c r="B16713" s="0" t="s">
        <v>98</v>
      </c>
      <c r="C16713" s="6" t="n">
        <f aca="false">(w_ntm28*Thesis!G78+(1-w_ntm28)*Thesis!H78)*m_ai</f>
        <v>454.922440830797</v>
      </c>
    </row>
    <row r="16714" customFormat="false" ht="17.15" hidden="false" customHeight="false" outlineLevel="0" collapsed="false">
      <c r="A16714" s="1" t="s">
        <v>1090</v>
      </c>
      <c r="B16714" s="0" t="s">
        <v>98</v>
      </c>
      <c r="C16714" s="6" t="n">
        <f aca="false">(w_ntm28*Sens!G16705+(1-w_ntm28)*Sens!H16705)*m_cloud</f>
        <v>1063.6463501031</v>
      </c>
    </row>
    <row r="16715" customFormat="false" ht="17.15" hidden="false" customHeight="false" outlineLevel="0" collapsed="false">
      <c r="A16715" s="1" t="s">
        <v>1091</v>
      </c>
      <c r="B16715" s="0" t="s">
        <v>98</v>
      </c>
      <c r="C16715" s="6" t="n">
        <f aca="false">(w_ntm28*Sens!G16698+(1-w_ntm28)*Sens!H16698)*m_sw</f>
        <v>1087.29236439713</v>
      </c>
    </row>
    <row r="16716" customFormat="false" ht="17.15" hidden="false" customHeight="false" outlineLevel="0" collapsed="false">
      <c r="A16716" s="1" t="s">
        <v>1092</v>
      </c>
      <c r="B16716" s="0" t="s">
        <v>98</v>
      </c>
      <c r="C16716" s="6" t="n">
        <f aca="false">(w_ntm28*Sens!G16699+(1-w_ntm28)*Sens!H16699)*m_sw</f>
        <v>380.253466209432</v>
      </c>
    </row>
    <row r="16717" customFormat="false" ht="17.15" hidden="false" customHeight="false" outlineLevel="0" collapsed="false">
      <c r="A16717" s="1" t="s">
        <v>1093</v>
      </c>
      <c r="B16717" s="0" t="s">
        <v>98</v>
      </c>
      <c r="C16717" s="6" t="n">
        <f aca="false">(w_ntm28*Sens!G16700+(1-w_ntm28)*Sens!H16700)*m_sw</f>
        <v>109.736759441964</v>
      </c>
    </row>
    <row r="16718" customFormat="false" ht="17.15" hidden="false" customHeight="false" outlineLevel="0" collapsed="false">
      <c r="A16718" s="1" t="s">
        <v>1094</v>
      </c>
      <c r="B16718" s="0" t="s">
        <v>98</v>
      </c>
      <c r="C16718" s="6" t="n">
        <f aca="false">(w_ntm28*Sens!G16701+(1-w_ntm28)*Sens!H16701)*m_sw</f>
        <v>41.8666036816175</v>
      </c>
    </row>
    <row r="16719" customFormat="false" ht="17.15" hidden="false" customHeight="false" outlineLevel="0" collapsed="false">
      <c r="A16719" s="1" t="s">
        <v>1095</v>
      </c>
      <c r="B16719" s="0" t="s">
        <v>98</v>
      </c>
      <c r="C16719" s="6" t="n">
        <f aca="false">(w_ntm28*Sens!G16702+(1-w_ntm28)*Sens!H16702)*m_ads</f>
        <v>115.677576364297</v>
      </c>
    </row>
    <row r="16720" customFormat="false" ht="17.15" hidden="false" customHeight="false" outlineLevel="0" collapsed="false">
      <c r="A16720" s="1" t="s">
        <v>1096</v>
      </c>
      <c r="B16720" s="0" t="s">
        <v>98</v>
      </c>
      <c r="C16720" s="6" t="n">
        <f aca="false">(w_ntm28*Sens!G16707+(1-w_ntm28)*Sens!H16707)*m_game</f>
        <v>98.230828142008</v>
      </c>
    </row>
    <row r="16721" customFormat="false" ht="17.15" hidden="false" customHeight="false" outlineLevel="0" collapsed="false">
      <c r="A16721" s="1" t="s">
        <v>1097</v>
      </c>
      <c r="B16721" s="0" t="s">
        <v>98</v>
      </c>
      <c r="C16721" s="6" t="n">
        <f aca="false">(w_ntm28*Sens!G16708+(1-w_ntm28)*Sens!H16708)*m_pc</f>
        <v>97.3877156607214</v>
      </c>
    </row>
    <row r="16722" customFormat="false" ht="17.15" hidden="false" customHeight="false" outlineLevel="0" collapsed="false">
      <c r="A16722" s="1" t="s">
        <v>1098</v>
      </c>
      <c r="B16722" s="0" t="s">
        <v>98</v>
      </c>
      <c r="C16722" s="6" t="n">
        <f aca="false">Sens!$C$16712+Sens!$C$16714+Sens!$C$16715+Sens!$C$16716+Sens!$C$16717+Sens!$C$16718+Sens!$C$16719+Sens!$C$16720+Sens!$C$16721</f>
        <v>3188.80849335903</v>
      </c>
    </row>
    <row r="16723" customFormat="false" ht="17.15" hidden="false" customHeight="false" outlineLevel="0" collapsed="false">
      <c r="A16723" s="1" t="s">
        <v>1099</v>
      </c>
      <c r="B16723" s="0" t="s">
        <v>98</v>
      </c>
      <c r="C16723" s="6" t="n">
        <f aca="false">(Sens!G16684-Sens!G16709)*t_stub</f>
        <v>47.417684594531</v>
      </c>
      <c r="L16723" s="1" t="s">
        <v>1100</v>
      </c>
    </row>
    <row r="16724" customFormat="false" ht="17.15" hidden="false" customHeight="false" outlineLevel="0" collapsed="false">
      <c r="A16724" s="1" t="s">
        <v>1014</v>
      </c>
      <c r="B16724" s="0" t="s">
        <v>98</v>
      </c>
      <c r="C16724" s="6" t="n">
        <f aca="false">CF!F69+(oai_stake_hi*oai_val)-CF!F58+Sens!$C$16723</f>
        <v>218.339306060314</v>
      </c>
      <c r="L16724" s="1" t="s">
        <v>1101</v>
      </c>
    </row>
    <row r="16725" customFormat="false" ht="17.15" hidden="false" customHeight="false" outlineLevel="0" collapsed="false">
      <c r="A16725" s="1" t="s">
        <v>1102</v>
      </c>
      <c r="B16725" s="0" t="s">
        <v>75</v>
      </c>
      <c r="C16725" s="5" t="n">
        <f aca="false">(Sens!$C$16722+Sens!$C$16724)/(CF!F71+dil_gap)-CF!G61*roll_div_q/q_per_yr</f>
        <v>453.489288609837</v>
      </c>
      <c r="L16725" s="1" t="s">
        <v>1103</v>
      </c>
    </row>
    <row r="16726" customFormat="false" ht="17.15" hidden="false" customHeight="false" outlineLevel="0" collapsed="false">
      <c r="A16726" s="1" t="s">
        <v>1104</v>
      </c>
      <c r="B16726" s="0" t="s">
        <v>75</v>
      </c>
      <c r="C16726" s="5" t="n">
        <f aca="false">w_dcf*Sens!$C$16696+(1-w_dcf)*Sens!$C$16725</f>
        <v>396.043544953032</v>
      </c>
    </row>
    <row r="16727" customFormat="false" ht="17.15" hidden="false" customHeight="false" outlineLevel="0" collapsed="false">
      <c r="A16727" s="3" t="s">
        <v>1686</v>
      </c>
    </row>
    <row r="16728" customFormat="false" ht="15" hidden="false" customHeight="false" outlineLevel="0" collapsed="false">
      <c r="A16728" s="4" t="s">
        <v>43</v>
      </c>
      <c r="B16728" s="4" t="s">
        <v>65</v>
      </c>
      <c r="C16728" s="20" t="s">
        <v>799</v>
      </c>
      <c r="D16728" s="20" t="s">
        <v>800</v>
      </c>
      <c r="E16728" s="20" t="s">
        <v>801</v>
      </c>
      <c r="F16728" s="20" t="s">
        <v>802</v>
      </c>
      <c r="G16728" s="20" t="s">
        <v>803</v>
      </c>
      <c r="H16728" s="20" t="s">
        <v>804</v>
      </c>
      <c r="I16728" s="20" t="s">
        <v>805</v>
      </c>
      <c r="J16728" s="20" t="s">
        <v>806</v>
      </c>
      <c r="K16728" s="20" t="s">
        <v>807</v>
      </c>
      <c r="L16728" s="4" t="s">
        <v>47</v>
      </c>
    </row>
    <row r="16729" customFormat="false" ht="15" hidden="false" customHeight="false" outlineLevel="0" collapsed="false">
      <c r="A16729" s="1" t="s">
        <v>1057</v>
      </c>
      <c r="B16729" s="1" t="s">
        <v>235</v>
      </c>
      <c r="F16729" s="36" t="n">
        <f aca="false">Thesis!F104-base_fy-mid_yr</f>
        <v>0.5</v>
      </c>
      <c r="G16729" s="36" t="n">
        <f aca="false">Thesis!G104-base_fy-mid_yr</f>
        <v>1.5</v>
      </c>
      <c r="H16729" s="36" t="n">
        <f aca="false">Thesis!H104-base_fy-mid_yr</f>
        <v>2.5</v>
      </c>
      <c r="I16729" s="36" t="n">
        <f aca="false">Thesis!I104-base_fy-mid_yr</f>
        <v>3.5</v>
      </c>
      <c r="J16729" s="36" t="n">
        <f aca="false">Thesis!J104-base_fy-mid_yr</f>
        <v>4.5</v>
      </c>
      <c r="K16729" s="36" t="n">
        <f aca="false">Thesis!K104-base_fy-mid_yr</f>
        <v>5.5</v>
      </c>
    </row>
    <row r="16730" customFormat="false" ht="15" hidden="false" customHeight="false" outlineLevel="0" collapsed="false">
      <c r="A16730" s="1" t="s">
        <v>1058</v>
      </c>
      <c r="B16730" s="0" t="s">
        <v>185</v>
      </c>
      <c r="F16730" s="14" t="n">
        <f aca="false">1/(1+wacc)^Sens!F16729</f>
        <v>0.952193373608246</v>
      </c>
      <c r="G16730" s="14" t="n">
        <f aca="false">1/(1+wacc)^Sens!G16729</f>
        <v>0.863327280626589</v>
      </c>
      <c r="H16730" s="14" t="n">
        <f aca="false">1/(1+wacc)^Sens!H16729</f>
        <v>0.782754862754115</v>
      </c>
      <c r="I16730" s="14" t="n">
        <f aca="false">1/(1+wacc)^Sens!I16729</f>
        <v>0.709702089711011</v>
      </c>
      <c r="J16730" s="14" t="n">
        <f aca="false">1/(1+wacc)^Sens!J16729</f>
        <v>0.643467169744551</v>
      </c>
      <c r="K16730" s="14" t="n">
        <f aca="false">1/(1+wacc)^Sens!K16729</f>
        <v>0.583413807767797</v>
      </c>
    </row>
    <row r="16731" customFormat="false" ht="17.15" hidden="false" customHeight="false" outlineLevel="0" collapsed="false">
      <c r="A16731" s="1" t="s">
        <v>1059</v>
      </c>
      <c r="B16731" s="0" t="s">
        <v>98</v>
      </c>
      <c r="F16731" s="6" t="n">
        <f aca="false">CF!F84-CF!F82-CF!F88+Thesis!F142*(1-tax_f)</f>
        <v>-5.66283879850096</v>
      </c>
      <c r="G16731" s="6" t="n">
        <f aca="false">CF!G84-CF!G82-CF!G88+Thesis!G142*(1-tax_f)</f>
        <v>26.4063013109088</v>
      </c>
      <c r="H16731" s="6" t="n">
        <f aca="false">CF!H84-CF!H82-CF!H88+Thesis!H142*(1-tax_f)</f>
        <v>62.5616635009479</v>
      </c>
      <c r="I16731" s="6" t="n">
        <f aca="false">CF!I84-CF!I82-CF!I88+Thesis!I142*(1-tax_f)</f>
        <v>129.900993846266</v>
      </c>
      <c r="J16731" s="6" t="n">
        <f aca="false">CF!J84-CF!J82-CF!J88+Thesis!J142*(1-tax_f)</f>
        <v>200.497803796175</v>
      </c>
      <c r="K16731" s="6" t="n">
        <f aca="false">CF!K84-CF!K82-CF!K88+Thesis!K142*(1-tax_f)</f>
        <v>232.344395761849</v>
      </c>
      <c r="L16731" s="1" t="s">
        <v>1060</v>
      </c>
    </row>
    <row r="16732" customFormat="false" ht="15" hidden="false" customHeight="false" outlineLevel="0" collapsed="false">
      <c r="A16732" s="1" t="s">
        <v>1061</v>
      </c>
      <c r="B16732" s="0" t="s">
        <v>98</v>
      </c>
      <c r="F16732" s="6" t="n">
        <f aca="false">Sens!F16731*Sens!F16730</f>
        <v>-5.3921175797443</v>
      </c>
      <c r="G16732" s="6" t="n">
        <f aca="false">Sens!G16731*Sens!G16730</f>
        <v>22.7972803021532</v>
      </c>
      <c r="H16732" s="6" t="n">
        <f aca="false">Sens!H16731*Sens!H16730</f>
        <v>48.9704463273536</v>
      </c>
      <c r="I16732" s="6" t="n">
        <f aca="false">Sens!I16731*Sens!I16730</f>
        <v>92.1910067882323</v>
      </c>
      <c r="J16732" s="6" t="n">
        <f aca="false">Sens!J16731*Sens!J16730</f>
        <v>129.013754348723</v>
      </c>
      <c r="K16732" s="6" t="n">
        <f aca="false">Sens!K16731*Sens!K16730</f>
        <v>135.552928644928</v>
      </c>
    </row>
    <row r="16733" customFormat="false" ht="17.15" hidden="false" customHeight="false" outlineLevel="0" collapsed="false">
      <c r="A16733" s="1" t="s">
        <v>1062</v>
      </c>
      <c r="B16733" s="0" t="s">
        <v>98</v>
      </c>
      <c r="C16733" s="6" t="n">
        <f aca="false">SUM(Sens!F16732:K16732)</f>
        <v>423.133298831646</v>
      </c>
    </row>
    <row r="16734" customFormat="false" ht="17.15" hidden="false" customHeight="false" outlineLevel="0" collapsed="false">
      <c r="A16734" s="1" t="s">
        <v>1063</v>
      </c>
      <c r="B16734" s="0" t="s">
        <v>98</v>
      </c>
      <c r="C16734" s="6" t="n">
        <f aca="false">PL!K117*(1+g_tv)*(1-tax_f)</f>
        <v>246.58988426946</v>
      </c>
    </row>
    <row r="16735" customFormat="false" ht="17.15" hidden="false" customHeight="false" outlineLevel="0" collapsed="false">
      <c r="A16735" s="1" t="s">
        <v>1064</v>
      </c>
      <c r="B16735" s="0" t="s">
        <v>98</v>
      </c>
      <c r="C16735" s="6" t="n">
        <f aca="false">Sens!$C$16734*(1-g_tv/(wacc+ronic_prem))</f>
        <v>174.721829624483</v>
      </c>
    </row>
    <row r="16736" customFormat="false" ht="17.15" hidden="false" customHeight="false" outlineLevel="0" collapsed="false">
      <c r="A16736" s="1" t="s">
        <v>1065</v>
      </c>
      <c r="B16736" s="0" t="s">
        <v>98</v>
      </c>
      <c r="C16736" s="6" t="n">
        <f aca="false">Sens!$C$16735/(wacc-g_tv)</f>
        <v>2395.60182149923</v>
      </c>
    </row>
    <row r="16737" customFormat="false" ht="15" hidden="false" customHeight="false" outlineLevel="0" collapsed="false">
      <c r="A16737" s="1" t="s">
        <v>1066</v>
      </c>
      <c r="B16737" s="0" t="s">
        <v>98</v>
      </c>
      <c r="C16737" s="6" t="n">
        <f aca="false">Sens!$C$16736/(1+wacc)^(Sens!K16729+mid_yr)</f>
        <v>1330.81134011956</v>
      </c>
    </row>
    <row r="16738" customFormat="false" ht="17.15" hidden="false" customHeight="false" outlineLevel="0" collapsed="false">
      <c r="A16738" s="0" t="s">
        <v>986</v>
      </c>
      <c r="B16738" s="0" t="s">
        <v>98</v>
      </c>
      <c r="C16738" s="6" t="n">
        <f aca="false">Sens!$C$16733+Sens!$C$16737</f>
        <v>1753.94463895121</v>
      </c>
    </row>
    <row r="16739" customFormat="false" ht="15" hidden="false" customHeight="false" outlineLevel="0" collapsed="false">
      <c r="A16739" s="1" t="s">
        <v>987</v>
      </c>
      <c r="B16739" s="0" t="s">
        <v>129</v>
      </c>
      <c r="C16739" s="7" t="n">
        <f aca="false">Sens!$C$16737/Sens!$C$16738</f>
        <v>0.758753332668092</v>
      </c>
    </row>
    <row r="16740" customFormat="false" ht="17.15" hidden="false" customHeight="false" outlineLevel="0" collapsed="false">
      <c r="A16740" s="1" t="s">
        <v>1067</v>
      </c>
      <c r="B16740" s="0" t="s">
        <v>98</v>
      </c>
      <c r="C16740" s="6" t="n">
        <f aca="false">Sens!$C$16738+CF!E100-CF!E89+(oai_stake_hi*oai_val)</f>
        <v>1948.09763895121</v>
      </c>
    </row>
    <row r="16741" customFormat="false" ht="17.15" hidden="false" customHeight="false" outlineLevel="0" collapsed="false">
      <c r="A16741" s="0" t="s">
        <v>994</v>
      </c>
      <c r="B16741" s="0" t="s">
        <v>75</v>
      </c>
      <c r="C16741" s="5" t="n">
        <f aca="false">Sens!$C$16740/sh_dil26</f>
        <v>261.384360519416</v>
      </c>
    </row>
    <row r="16742" customFormat="false" ht="15" hidden="false" customHeight="false" outlineLevel="0" collapsed="false">
      <c r="A16742" s="1" t="s">
        <v>1068</v>
      </c>
      <c r="B16742" s="0" t="s">
        <v>75</v>
      </c>
      <c r="C16742" s="8" t="n">
        <f aca="false">dps_27+CF!G92*roll_div_q/q_per_yr</f>
        <v>4.8895</v>
      </c>
    </row>
    <row r="16743" customFormat="false" ht="17.15" hidden="false" customHeight="false" outlineLevel="0" collapsed="false">
      <c r="A16743" s="0" t="s">
        <v>1069</v>
      </c>
      <c r="B16743" s="0" t="s">
        <v>75</v>
      </c>
      <c r="C16743" s="5" t="n">
        <f aca="false">Sens!$C$16741*(1+wacc)^t_roll-Sens!$C$16742</f>
        <v>292.757598823293</v>
      </c>
    </row>
    <row r="16744" customFormat="false" ht="17.15" hidden="false" customHeight="false" outlineLevel="0" collapsed="false">
      <c r="A16744" s="1" t="s">
        <v>1070</v>
      </c>
      <c r="B16744" s="0" t="s">
        <v>129</v>
      </c>
      <c r="F16744" s="7" t="n">
        <f aca="false">CF!F79/(Seg!F83-Thesis!F121)</f>
        <v>0.0711475516535717</v>
      </c>
      <c r="G16744" s="7" t="n">
        <f aca="false">CF!G79/(Seg!G83-Thesis!G121)</f>
        <v>0.0682588862083999</v>
      </c>
      <c r="H16744" s="7" t="n">
        <f aca="false">CF!H79/(Seg!H83-Thesis!H121)</f>
        <v>0.0666622170094897</v>
      </c>
      <c r="I16744" s="7" t="n">
        <f aca="false">CF!I79/(Seg!I83-Thesis!I121)</f>
        <v>0.0661991449367101</v>
      </c>
      <c r="J16744" s="7" t="n">
        <f aca="false">CF!J79/(Seg!J83-Thesis!J121)</f>
        <v>0.0666400583966394</v>
      </c>
      <c r="K16744" s="7" t="n">
        <f aca="false">CF!K79/(Seg!K83-Thesis!K121)</f>
        <v>0.0677351822588561</v>
      </c>
    </row>
    <row r="16745" customFormat="false" ht="17.15" hidden="false" customHeight="false" outlineLevel="0" collapsed="false">
      <c r="A16745" s="0" t="s">
        <v>1071</v>
      </c>
      <c r="B16745" s="0" t="s">
        <v>98</v>
      </c>
      <c r="F16745" s="6" t="n">
        <f aca="false">Seg!F68*(al_m365+Sens!F16744+sbc_r)</f>
        <v>83.1760446796226</v>
      </c>
      <c r="G16745" s="6" t="n">
        <f aca="false">Seg!G68*(al_m365+Sens!G16744+sbc_r)</f>
        <v>93.5286621744803</v>
      </c>
      <c r="H16745" s="6" t="n">
        <f aca="false">Seg!H68*(al_m365+Sens!H16744+sbc_r)</f>
        <v>104.041881899886</v>
      </c>
      <c r="I16745" s="6" t="n">
        <f aca="false">Seg!I68*(al_m365+Sens!I16744+sbc_r)</f>
        <v>114.039361049722</v>
      </c>
      <c r="J16745" s="6" t="n">
        <f aca="false">Seg!J68*(al_m365+Sens!J16744+sbc_r)</f>
        <v>123.332589690985</v>
      </c>
      <c r="K16745" s="6" t="n">
        <f aca="false">Seg!K68*(al_m365+Sens!K16744+sbc_r)</f>
        <v>132.229319216379</v>
      </c>
      <c r="L16745" s="11" t="s">
        <v>1072</v>
      </c>
    </row>
    <row r="16746" customFormat="false" ht="17.15" hidden="false" customHeight="false" outlineLevel="0" collapsed="false">
      <c r="A16746" s="0" t="s">
        <v>1073</v>
      </c>
      <c r="B16746" s="0" t="s">
        <v>98</v>
      </c>
      <c r="F16746" s="6" t="n">
        <f aca="false">Seg!F69*(al_lic+Sens!F16744+sbc_r)</f>
        <v>33.5445611735131</v>
      </c>
      <c r="G16746" s="6" t="n">
        <f aca="false">Seg!G69*(al_lic+Sens!G16744+sbc_r)</f>
        <v>34.8473362891936</v>
      </c>
      <c r="H16746" s="6" t="n">
        <f aca="false">Seg!H69*(al_lic+Sens!H16744+sbc_r)</f>
        <v>36.0608450618725</v>
      </c>
      <c r="I16746" s="6" t="n">
        <f aca="false">Seg!I69*(al_lic+Sens!I16744+sbc_r)</f>
        <v>37.1647768367666</v>
      </c>
      <c r="J16746" s="6" t="n">
        <f aca="false">Seg!J69*(al_lic+Sens!J16744+sbc_r)</f>
        <v>38.1353659513221</v>
      </c>
      <c r="K16746" s="6" t="n">
        <f aca="false">Seg!K69*(al_lic+Sens!K16744+sbc_r)</f>
        <v>38.9479527536449</v>
      </c>
    </row>
    <row r="16747" customFormat="false" ht="17.15" hidden="false" customHeight="false" outlineLevel="0" collapsed="false">
      <c r="A16747" s="0" t="s">
        <v>1074</v>
      </c>
      <c r="B16747" s="0" t="s">
        <v>98</v>
      </c>
      <c r="F16747" s="6" t="n">
        <f aca="false">Seg!F71*(al_ind+Sens!F16744+sbc_r)</f>
        <v>9.13359830063899</v>
      </c>
      <c r="G16747" s="6" t="n">
        <f aca="false">Seg!G71*(al_ind+Sens!G16744+sbc_r)</f>
        <v>9.91355811855172</v>
      </c>
      <c r="H16747" s="6" t="n">
        <f aca="false">Seg!H71*(al_ind+Sens!H16744+sbc_r)</f>
        <v>10.737007894057</v>
      </c>
      <c r="I16747" s="6" t="n">
        <f aca="false">Seg!I71*(al_ind+Sens!I16744+sbc_r)</f>
        <v>11.5994300763088</v>
      </c>
      <c r="J16747" s="6" t="n">
        <f aca="false">Seg!J71*(al_ind+Sens!J16744+sbc_r)</f>
        <v>12.4920789859702</v>
      </c>
      <c r="K16747" s="6" t="n">
        <f aca="false">Seg!K71*(al_ind+Sens!K16744+sbc_r)</f>
        <v>13.4027551573777</v>
      </c>
    </row>
    <row r="16748" customFormat="false" ht="17.15" hidden="false" customHeight="false" outlineLevel="0" collapsed="false">
      <c r="A16748" s="0" t="s">
        <v>1075</v>
      </c>
      <c r="B16748" s="0" t="s">
        <v>98</v>
      </c>
      <c r="F16748" s="6" t="n">
        <f aca="false">Seg!F73*(al_fro+Sens!F16744+sbc_r)</f>
        <v>3.59501635737694</v>
      </c>
      <c r="G16748" s="6" t="n">
        <f aca="false">Seg!G73*(al_fro+Sens!G16744+sbc_r)</f>
        <v>3.80622021137838</v>
      </c>
      <c r="H16748" s="6" t="n">
        <f aca="false">Seg!H73*(al_fro+Sens!H16744+sbc_r)</f>
        <v>4.04607207599632</v>
      </c>
      <c r="I16748" s="6" t="n">
        <f aca="false">Seg!I73*(al_fro+Sens!I16744+sbc_r)</f>
        <v>4.31683578333903</v>
      </c>
      <c r="J16748" s="6" t="n">
        <f aca="false">Seg!J73*(al_fro+Sens!J16744+sbc_r)</f>
        <v>4.62005087871645</v>
      </c>
      <c r="K16748" s="6" t="n">
        <f aca="false">Seg!K73*(al_fro+Sens!K16744+sbc_r)</f>
        <v>4.95685392412327</v>
      </c>
    </row>
    <row r="16749" customFormat="false" ht="17.15" hidden="false" customHeight="false" outlineLevel="0" collapsed="false">
      <c r="A16749" s="0" t="s">
        <v>1076</v>
      </c>
      <c r="B16749" s="0" t="s">
        <v>98</v>
      </c>
      <c r="F16749" s="6" t="n">
        <f aca="false">Seg!F76*(al_srch+Sens!F16744+sbc_r)</f>
        <v>11.2801258639919</v>
      </c>
      <c r="G16749" s="6" t="n">
        <f aca="false">Seg!G76*(al_srch+Sens!G16744+sbc_r)</f>
        <v>12.3589086285988</v>
      </c>
      <c r="H16749" s="6" t="n">
        <f aca="false">Seg!H76*(al_srch+Sens!H16744+sbc_r)</f>
        <v>13.4807030139583</v>
      </c>
      <c r="I16749" s="6" t="n">
        <f aca="false">Seg!I76*(al_srch+Sens!I16744+sbc_r)</f>
        <v>14.6329459978989</v>
      </c>
      <c r="J16749" s="6" t="n">
        <f aca="false">Seg!J76*(al_srch+Sens!J16744+sbc_r)</f>
        <v>15.7968154400613</v>
      </c>
      <c r="K16749" s="6" t="n">
        <f aca="false">Seg!K76*(al_srch+Sens!K16744+sbc_r)</f>
        <v>16.9484078548661</v>
      </c>
    </row>
    <row r="16750" customFormat="false" ht="17.15" hidden="false" customHeight="false" outlineLevel="0" collapsed="false">
      <c r="A16750" s="0" t="s">
        <v>1077</v>
      </c>
      <c r="B16750" s="0" t="s">
        <v>98</v>
      </c>
      <c r="F16750" s="6" t="n">
        <f aca="false">Thesis!F127-Thesis!F128+Thesis!F142</f>
        <v>38.6797715123049</v>
      </c>
      <c r="G16750" s="6" t="n">
        <f aca="false">Thesis!G127-Thesis!G128+Thesis!G142</f>
        <v>67.9698044367775</v>
      </c>
      <c r="H16750" s="6" t="n">
        <f aca="false">Thesis!H127-Thesis!H128+Thesis!H142</f>
        <v>94.4027386785771</v>
      </c>
      <c r="I16750" s="6" t="n">
        <f aca="false">Thesis!I127-Thesis!I128+Thesis!I142</f>
        <v>124.629799296032</v>
      </c>
      <c r="J16750" s="6" t="n">
        <f aca="false">Thesis!J127-Thesis!J128+Thesis!J142</f>
        <v>146.1886418102</v>
      </c>
      <c r="K16750" s="6" t="n">
        <f aca="false">Thesis!K127-Thesis!K128+Thesis!K142</f>
        <v>160.310017660072</v>
      </c>
    </row>
    <row r="16751" customFormat="false" ht="17.15" hidden="false" customHeight="false" outlineLevel="0" collapsed="false">
      <c r="A16751" s="0" t="s">
        <v>1078</v>
      </c>
      <c r="B16751" s="0" t="s">
        <v>98</v>
      </c>
      <c r="F16751" s="6" t="n">
        <f aca="false">PL!F110+Thesis!F142+Thesis!F138+Sens!F16744*(Seg!F75-Thesis!F121)+sbc_r*Seg!F75</f>
        <v>228.424576651163</v>
      </c>
      <c r="G16751" s="6" t="n">
        <f aca="false">PL!G110+Thesis!G142+Thesis!G138+Sens!G16744*(Seg!G75-Thesis!G121)+sbc_r*Seg!G75</f>
        <v>282.553934266667</v>
      </c>
      <c r="H16751" s="6" t="n">
        <f aca="false">PL!H110+Thesis!H142+Thesis!H138+Sens!H16744*(Seg!H75-Thesis!H121)+sbc_r*Seg!H75</f>
        <v>334.098428585803</v>
      </c>
      <c r="I16751" s="6" t="n">
        <f aca="false">PL!I110+Thesis!I142+Thesis!I138+Sens!I16744*(Seg!I75-Thesis!I121)+sbc_r*Seg!I75</f>
        <v>388.820980572235</v>
      </c>
      <c r="J16751" s="6" t="n">
        <f aca="false">PL!J110+Thesis!J142+Thesis!J138+Sens!J16744*(Seg!J75-Thesis!J121)+sbc_r*Seg!J75</f>
        <v>432.983845251655</v>
      </c>
      <c r="K16751" s="6" t="n">
        <f aca="false">PL!K110+Thesis!K142+Thesis!K138+Sens!K16744*(Seg!K75-Thesis!K121)+sbc_r*Seg!K75</f>
        <v>467.422879139155</v>
      </c>
    </row>
    <row r="16752" customFormat="false" ht="17.15" hidden="false" customHeight="false" outlineLevel="0" collapsed="false">
      <c r="A16752" s="0" t="s">
        <v>1079</v>
      </c>
      <c r="B16752" s="0" t="s">
        <v>98</v>
      </c>
      <c r="F16752" s="6" t="n">
        <f aca="false">Sens!F16751-Sens!F16745-Sens!F16746-Sens!F16747-Sens!F16748-Sens!F16750</f>
        <v>60.2955846277069</v>
      </c>
      <c r="G16752" s="6" t="n">
        <f aca="false">Sens!G16751-Sens!G16745-Sens!G16746-Sens!G16747-Sens!G16748-Sens!G16750</f>
        <v>72.4883530362854</v>
      </c>
      <c r="H16752" s="6" t="n">
        <f aca="false">Sens!H16751-Sens!H16745-Sens!H16746-Sens!H16747-Sens!H16748-Sens!H16750</f>
        <v>84.8098829754144</v>
      </c>
      <c r="I16752" s="6" t="n">
        <f aca="false">Sens!I16751-Sens!I16745-Sens!I16746-Sens!I16747-Sens!I16748-Sens!I16750</f>
        <v>97.0707775300671</v>
      </c>
      <c r="J16752" s="6" t="n">
        <f aca="false">Sens!J16751-Sens!J16745-Sens!J16746-Sens!J16747-Sens!J16748-Sens!J16750</f>
        <v>108.215117934462</v>
      </c>
      <c r="K16752" s="6" t="n">
        <f aca="false">Sens!K16751-Sens!K16745-Sens!K16746-Sens!K16747-Sens!K16748-Sens!K16750</f>
        <v>117.575980427559</v>
      </c>
    </row>
    <row r="16753" customFormat="false" ht="17.15" hidden="false" customHeight="false" outlineLevel="0" collapsed="false">
      <c r="A16753" s="0" t="s">
        <v>1080</v>
      </c>
      <c r="B16753" s="0" t="s">
        <v>98</v>
      </c>
      <c r="F16753" s="6" t="n">
        <f aca="false">PL!F112+Sens!F16744*Seg!F82+sbc_r*Seg!F82</f>
        <v>26.3652761595447</v>
      </c>
      <c r="G16753" s="6" t="n">
        <f aca="false">PL!G112+Sens!G16744*Seg!G82+sbc_r*Seg!G82</f>
        <v>26.9742866145486</v>
      </c>
      <c r="H16753" s="6" t="n">
        <f aca="false">PL!H112+Sens!H16744*Seg!H82+sbc_r*Seg!H82</f>
        <v>27.8483067679033</v>
      </c>
      <c r="I16753" s="6" t="n">
        <f aca="false">PL!I112+Sens!I16744*Seg!I82+sbc_r*Seg!I82</f>
        <v>28.9540944937551</v>
      </c>
      <c r="J16753" s="6" t="n">
        <f aca="false">PL!J112+Sens!J16744*Seg!J82+sbc_r*Seg!J82</f>
        <v>30.2591967501426</v>
      </c>
      <c r="K16753" s="6" t="n">
        <f aca="false">PL!K112+Sens!K16744*Seg!K82+sbc_r*Seg!K82</f>
        <v>31.7334012124467</v>
      </c>
    </row>
    <row r="16754" customFormat="false" ht="17.15" hidden="false" customHeight="false" outlineLevel="0" collapsed="false">
      <c r="A16754" s="0" t="s">
        <v>1081</v>
      </c>
      <c r="B16754" s="0" t="s">
        <v>98</v>
      </c>
      <c r="F16754" s="6" t="n">
        <f aca="false">(Sens!F16753-Sens!F16749)*Seg!F78/(Seg!F78+Seg!F80)</f>
        <v>8.26953246478712</v>
      </c>
      <c r="G16754" s="6" t="n">
        <f aca="false">(Sens!G16753-Sens!G16749)*Seg!G78/(Seg!G78+Seg!G80)</f>
        <v>7.8691542635731</v>
      </c>
      <c r="H16754" s="6" t="n">
        <f aca="false">(Sens!H16753-Sens!H16749)*Seg!H78/(Seg!H78+Seg!H80)</f>
        <v>7.63125160105973</v>
      </c>
      <c r="I16754" s="6" t="n">
        <f aca="false">(Sens!I16753-Sens!I16749)*Seg!I78/(Seg!I78+Seg!I80)</f>
        <v>7.53775281020212</v>
      </c>
      <c r="J16754" s="6" t="n">
        <f aca="false">(Sens!J16753-Sens!J16749)*Seg!J78/(Seg!J78+Seg!J80)</f>
        <v>7.57766730524412</v>
      </c>
      <c r="K16754" s="6" t="n">
        <f aca="false">(Sens!K16753-Sens!K16749)*Seg!K78/(Seg!K78+Seg!K80)</f>
        <v>7.74670217662515</v>
      </c>
    </row>
    <row r="16755" customFormat="false" ht="17.15" hidden="false" customHeight="false" outlineLevel="0" collapsed="false">
      <c r="A16755" s="0" t="s">
        <v>1082</v>
      </c>
      <c r="B16755" s="0" t="s">
        <v>98</v>
      </c>
      <c r="F16755" s="6" t="n">
        <f aca="false">Sens!F16753-Sens!F16749-Sens!F16754</f>
        <v>6.81561783076564</v>
      </c>
      <c r="G16755" s="6" t="n">
        <f aca="false">Sens!G16753-Sens!G16749-Sens!G16754</f>
        <v>6.74622372237672</v>
      </c>
      <c r="H16755" s="6" t="n">
        <f aca="false">Sens!H16753-Sens!H16749-Sens!H16754</f>
        <v>6.73635215288526</v>
      </c>
      <c r="I16755" s="6" t="n">
        <f aca="false">Sens!I16753-Sens!I16749-Sens!I16754</f>
        <v>6.78339568565411</v>
      </c>
      <c r="J16755" s="6" t="n">
        <f aca="false">Sens!J16753-Sens!J16749-Sens!J16754</f>
        <v>6.88471400483723</v>
      </c>
      <c r="K16755" s="6" t="n">
        <f aca="false">Sens!K16753-Sens!K16749-Sens!K16754</f>
        <v>7.03829118095546</v>
      </c>
    </row>
    <row r="16756" customFormat="false" ht="17.15" hidden="false" customHeight="false" outlineLevel="0" collapsed="false">
      <c r="A16756" s="0" t="s">
        <v>1083</v>
      </c>
      <c r="B16756" s="0" t="s">
        <v>98</v>
      </c>
      <c r="F16756" s="6" t="n">
        <f aca="false">Sens!F16750-tax_f*(Sens!F16750-Thesis!F138)-Thesis!F135</f>
        <v>-122.579081185432</v>
      </c>
      <c r="G16756" s="6" t="n">
        <f aca="false">Sens!G16750-tax_f*(Sens!G16750-Thesis!G138)-Thesis!G135</f>
        <v>-117.373249511676</v>
      </c>
      <c r="H16756" s="6" t="n">
        <f aca="false">Sens!H16750-tax_f*(Sens!H16750-Thesis!H138)-Thesis!H135</f>
        <v>-95.285890998876</v>
      </c>
      <c r="I16756" s="6" t="n">
        <f aca="false">Sens!I16750-tax_f*(Sens!I16750-Thesis!I138)-Thesis!I135</f>
        <v>-41.8816809509416</v>
      </c>
      <c r="J16756" s="6" t="n">
        <f aca="false">Sens!J16750-tax_f*(Sens!J16750-Thesis!J138)-Thesis!J135</f>
        <v>15.3691414244864</v>
      </c>
      <c r="K16756" s="6" t="n">
        <f aca="false">Sens!K16750-tax_f*(Sens!K16750-Thesis!K138)-Thesis!K135</f>
        <v>34.6668916333283</v>
      </c>
    </row>
    <row r="16757" customFormat="false" ht="17.15" hidden="false" customHeight="false" outlineLevel="0" collapsed="false">
      <c r="A16757" s="0" t="s">
        <v>1084</v>
      </c>
      <c r="B16757" s="0" t="s">
        <v>98</v>
      </c>
      <c r="G16757" s="6" t="n">
        <f aca="false">Sens!G16756/(1+wacc)^(Sens!G16729-(Sens!F16729+mid_yr))</f>
        <v>-111.762030423885</v>
      </c>
      <c r="H16757" s="6" t="n">
        <f aca="false">Sens!H16756/(1+wacc)^(Sens!H16729-(Sens!F16729+mid_yr))</f>
        <v>-82.2629091581412</v>
      </c>
      <c r="I16757" s="6" t="n">
        <f aca="false">Sens!I16756/(1+wacc)^(Sens!I16729-(Sens!F16729+mid_yr))</f>
        <v>-32.7830894246659</v>
      </c>
      <c r="J16757" s="6" t="n">
        <f aca="false">Sens!J16756/(1+wacc)^(Sens!J16729-(Sens!F16729+mid_yr))</f>
        <v>10.907511786022</v>
      </c>
      <c r="K16757" s="6" t="n">
        <f aca="false">Sens!K16756/(1+wacc)^(Sens!K16729-(Sens!F16729+mid_yr))</f>
        <v>22.3070066431388</v>
      </c>
      <c r="L16757" s="1" t="s">
        <v>1085</v>
      </c>
    </row>
    <row r="16758" customFormat="false" ht="17.15" hidden="false" customHeight="false" outlineLevel="0" collapsed="false">
      <c r="A16758" s="0" t="s">
        <v>1086</v>
      </c>
      <c r="B16758" s="0" t="s">
        <v>98</v>
      </c>
      <c r="C16758" s="6" t="n">
        <f aca="false">(Sens!K16750-Thesis!K138)*(1-tax_f)*(1+g_tv)*(1-g_tv/(wacc+ronic_prem))/(wacc-g_tv)/(1+wacc)^(Sens!K16729+mid_yr-(Sens!F16729+mid_yr))</f>
        <v>103.875812758606</v>
      </c>
    </row>
    <row r="16759" customFormat="false" ht="17.15" hidden="false" customHeight="false" outlineLevel="0" collapsed="false">
      <c r="A16759" s="1" t="s">
        <v>1087</v>
      </c>
      <c r="B16759" s="0" t="s">
        <v>98</v>
      </c>
      <c r="C16759" s="6" t="n">
        <f aca="false">(SUM(Sens!G16757:K16757)+Sens!$C$16758)*(1+wacc)^(t_roll-(Sens!F16729+mid_yr))</f>
        <v>-92.6297486746201</v>
      </c>
      <c r="L16759" s="11" t="s">
        <v>1088</v>
      </c>
    </row>
    <row r="16760" customFormat="false" ht="17.15" hidden="false" customHeight="false" outlineLevel="0" collapsed="false">
      <c r="A16760" s="1" t="s">
        <v>1089</v>
      </c>
      <c r="B16760" s="0" t="s">
        <v>98</v>
      </c>
      <c r="C16760" s="6" t="n">
        <f aca="false">(w_ntm28*Thesis!G127+(1-w_ntm28)*Thesis!H127)*m_ai</f>
        <v>338.776008390068</v>
      </c>
    </row>
    <row r="16761" customFormat="false" ht="17.15" hidden="false" customHeight="false" outlineLevel="0" collapsed="false">
      <c r="A16761" s="1" t="s">
        <v>1090</v>
      </c>
      <c r="B16761" s="0" t="s">
        <v>98</v>
      </c>
      <c r="C16761" s="6" t="n">
        <f aca="false">(w_ntm28*Sens!G16752+(1-w_ntm28)*Sens!H16752)*m_cloud</f>
        <v>1056.83960927252</v>
      </c>
    </row>
    <row r="16762" customFormat="false" ht="17.15" hidden="false" customHeight="false" outlineLevel="0" collapsed="false">
      <c r="A16762" s="1" t="s">
        <v>1091</v>
      </c>
      <c r="B16762" s="0" t="s">
        <v>98</v>
      </c>
      <c r="C16762" s="6" t="n">
        <f aca="false">(w_ntm28*Sens!G16745+(1-w_ntm28)*Sens!H16745)*m_sw</f>
        <v>1046.81653016399</v>
      </c>
    </row>
    <row r="16763" customFormat="false" ht="17.15" hidden="false" customHeight="false" outlineLevel="0" collapsed="false">
      <c r="A16763" s="1" t="s">
        <v>1092</v>
      </c>
      <c r="B16763" s="0" t="s">
        <v>98</v>
      </c>
      <c r="C16763" s="6" t="n">
        <f aca="false">(w_ntm28*Sens!G16746+(1-w_ntm28)*Sens!H16746)*m_sw</f>
        <v>380.588206114803</v>
      </c>
    </row>
    <row r="16764" customFormat="false" ht="17.15" hidden="false" customHeight="false" outlineLevel="0" collapsed="false">
      <c r="A16764" s="1" t="s">
        <v>1093</v>
      </c>
      <c r="B16764" s="0" t="s">
        <v>98</v>
      </c>
      <c r="C16764" s="6" t="n">
        <f aca="false">(w_ntm28*Sens!G16747+(1-w_ntm28)*Sens!H16747)*m_sw</f>
        <v>109.941508211602</v>
      </c>
    </row>
    <row r="16765" customFormat="false" ht="17.15" hidden="false" customHeight="false" outlineLevel="0" collapsed="false">
      <c r="A16765" s="1" t="s">
        <v>1094</v>
      </c>
      <c r="B16765" s="0" t="s">
        <v>98</v>
      </c>
      <c r="C16765" s="6" t="n">
        <f aca="false">(w_ntm28*Sens!G16748+(1-w_ntm28)*Sens!H16748)*m_sw</f>
        <v>41.944622711021</v>
      </c>
    </row>
    <row r="16766" customFormat="false" ht="17.15" hidden="false" customHeight="false" outlineLevel="0" collapsed="false">
      <c r="A16766" s="1" t="s">
        <v>1095</v>
      </c>
      <c r="B16766" s="0" t="s">
        <v>98</v>
      </c>
      <c r="C16766" s="6" t="n">
        <f aca="false">(w_ntm28*Sens!G16749+(1-w_ntm28)*Sens!H16749)*m_ads</f>
        <v>115.893511108929</v>
      </c>
    </row>
    <row r="16767" customFormat="false" ht="17.15" hidden="false" customHeight="false" outlineLevel="0" collapsed="false">
      <c r="A16767" s="1" t="s">
        <v>1096</v>
      </c>
      <c r="B16767" s="0" t="s">
        <v>98</v>
      </c>
      <c r="C16767" s="6" t="n">
        <f aca="false">(w_ntm28*Sens!G16754+(1-w_ntm28)*Sens!H16754)*m_game</f>
        <v>98.416032447421</v>
      </c>
    </row>
    <row r="16768" customFormat="false" ht="17.15" hidden="false" customHeight="false" outlineLevel="0" collapsed="false">
      <c r="A16768" s="1" t="s">
        <v>1097</v>
      </c>
      <c r="B16768" s="0" t="s">
        <v>98</v>
      </c>
      <c r="C16768" s="6" t="n">
        <f aca="false">(w_ntm28*Sens!G16755+(1-w_ntm28)*Sens!H16755)*m_pc</f>
        <v>97.5716783311641</v>
      </c>
    </row>
    <row r="16769" customFormat="false" ht="17.15" hidden="false" customHeight="false" outlineLevel="0" collapsed="false">
      <c r="A16769" s="1" t="s">
        <v>1098</v>
      </c>
      <c r="B16769" s="0" t="s">
        <v>98</v>
      </c>
      <c r="C16769" s="6" t="n">
        <f aca="false">Sens!$C$16759+Sens!$C$16761+Sens!$C$16762+Sens!$C$16763+Sens!$C$16764+Sens!$C$16765+Sens!$C$16766+Sens!$C$16767+Sens!$C$16768</f>
        <v>2855.38194968683</v>
      </c>
    </row>
    <row r="16770" customFormat="false" ht="17.15" hidden="false" customHeight="false" outlineLevel="0" collapsed="false">
      <c r="A16770" s="1" t="s">
        <v>1099</v>
      </c>
      <c r="B16770" s="0" t="s">
        <v>98</v>
      </c>
      <c r="C16770" s="6" t="n">
        <f aca="false">(Sens!G16731-Sens!G16756)*t_stub</f>
        <v>46.8760727339385</v>
      </c>
      <c r="L16770" s="1" t="s">
        <v>1100</v>
      </c>
    </row>
    <row r="16771" customFormat="false" ht="17.15" hidden="false" customHeight="false" outlineLevel="0" collapsed="false">
      <c r="A16771" s="1" t="s">
        <v>1014</v>
      </c>
      <c r="B16771" s="0" t="s">
        <v>98</v>
      </c>
      <c r="C16771" s="6" t="n">
        <f aca="false">CF!F100+(oai_stake_hi*oai_val)-CF!F89+Sens!$C$16770</f>
        <v>213.358233647662</v>
      </c>
      <c r="L16771" s="1" t="s">
        <v>1101</v>
      </c>
    </row>
    <row r="16772" customFormat="false" ht="17.15" hidden="false" customHeight="false" outlineLevel="0" collapsed="false">
      <c r="A16772" s="1" t="s">
        <v>1102</v>
      </c>
      <c r="B16772" s="0" t="s">
        <v>75</v>
      </c>
      <c r="C16772" s="5" t="n">
        <f aca="false">(Sens!$C$16769+Sens!$C$16771)/(CF!F102+dil_gap)-CF!G92*roll_div_q/q_per_yr</f>
        <v>408.344195748999</v>
      </c>
      <c r="L16772" s="1" t="s">
        <v>1103</v>
      </c>
    </row>
    <row r="16773" customFormat="false" ht="17.15" hidden="false" customHeight="false" outlineLevel="0" collapsed="false">
      <c r="A16773" s="1" t="s">
        <v>1104</v>
      </c>
      <c r="B16773" s="0" t="s">
        <v>75</v>
      </c>
      <c r="C16773" s="5" t="n">
        <f aca="false">w_dcf*Sens!$C$16743+(1-w_dcf)*Sens!$C$16772</f>
        <v>350.550897286146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90"/>
    <col collapsed="false" customWidth="true" hidden="false" outlineLevel="0" max="3" min="3" style="0" width="22"/>
    <col collapsed="false" customWidth="true" hidden="false" outlineLevel="0" max="4" min="4" style="0" width="80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4" t="s">
        <v>1687</v>
      </c>
      <c r="B1" s="4" t="s">
        <v>1688</v>
      </c>
      <c r="C1" s="4" t="s">
        <v>243</v>
      </c>
      <c r="D1" s="4" t="s">
        <v>1689</v>
      </c>
      <c r="E1" s="4" t="s">
        <v>69</v>
      </c>
    </row>
    <row r="2" customFormat="false" ht="17.15" hidden="false" customHeight="false" outlineLevel="0" collapsed="false">
      <c r="A2" s="0" t="n">
        <v>1</v>
      </c>
      <c r="B2" s="0" t="s">
        <v>1690</v>
      </c>
      <c r="C2" s="0" t="s">
        <v>1691</v>
      </c>
      <c r="D2" s="0" t="s">
        <v>1692</v>
      </c>
      <c r="E2" s="0" t="s">
        <v>76</v>
      </c>
    </row>
    <row r="3" customFormat="false" ht="17.15" hidden="false" customHeight="false" outlineLevel="0" collapsed="false">
      <c r="A3" s="0" t="n">
        <v>2</v>
      </c>
      <c r="B3" s="0" t="s">
        <v>1693</v>
      </c>
      <c r="C3" s="0" t="s">
        <v>1694</v>
      </c>
      <c r="D3" s="0" t="s">
        <v>1695</v>
      </c>
      <c r="E3" s="0" t="s">
        <v>1696</v>
      </c>
    </row>
    <row r="4" customFormat="false" ht="17.15" hidden="false" customHeight="false" outlineLevel="0" collapsed="false">
      <c r="A4" s="0" t="n">
        <v>3</v>
      </c>
      <c r="B4" s="0" t="s">
        <v>1697</v>
      </c>
      <c r="C4" s="0" t="s">
        <v>1698</v>
      </c>
      <c r="D4" s="0" t="s">
        <v>1699</v>
      </c>
      <c r="E4" s="0" t="s">
        <v>1700</v>
      </c>
    </row>
    <row r="5" customFormat="false" ht="17.15" hidden="false" customHeight="false" outlineLevel="0" collapsed="false">
      <c r="A5" s="0" t="n">
        <v>4</v>
      </c>
      <c r="B5" s="0" t="s">
        <v>1701</v>
      </c>
      <c r="C5" s="0" t="s">
        <v>319</v>
      </c>
      <c r="D5" s="0" t="s">
        <v>1702</v>
      </c>
      <c r="E5" s="1" t="s">
        <v>1703</v>
      </c>
    </row>
    <row r="6" customFormat="false" ht="17.15" hidden="false" customHeight="false" outlineLevel="0" collapsed="false">
      <c r="A6" s="0" t="n">
        <v>5</v>
      </c>
      <c r="B6" s="0" t="s">
        <v>1704</v>
      </c>
      <c r="C6" s="0" t="s">
        <v>1705</v>
      </c>
      <c r="D6" s="0" t="s">
        <v>1706</v>
      </c>
      <c r="E6" s="0" t="s">
        <v>90</v>
      </c>
    </row>
    <row r="7" customFormat="false" ht="17.15" hidden="false" customHeight="false" outlineLevel="0" collapsed="false">
      <c r="A7" s="0" t="n">
        <v>6</v>
      </c>
      <c r="B7" s="0" t="s">
        <v>1707</v>
      </c>
      <c r="C7" s="0" t="s">
        <v>319</v>
      </c>
      <c r="D7" s="0" t="s">
        <v>1708</v>
      </c>
      <c r="E7" s="0" t="s">
        <v>1709</v>
      </c>
    </row>
    <row r="8" customFormat="false" ht="17.15" hidden="false" customHeight="false" outlineLevel="0" collapsed="false">
      <c r="A8" s="0" t="n">
        <v>7</v>
      </c>
      <c r="B8" s="1" t="s">
        <v>1710</v>
      </c>
      <c r="C8" s="0" t="s">
        <v>319</v>
      </c>
      <c r="D8" s="0" t="s">
        <v>650</v>
      </c>
      <c r="E8" s="0" t="s">
        <v>170</v>
      </c>
    </row>
    <row r="9" customFormat="false" ht="17.15" hidden="false" customHeight="false" outlineLevel="0" collapsed="false">
      <c r="A9" s="0" t="n">
        <v>8</v>
      </c>
      <c r="B9" s="0" t="s">
        <v>1711</v>
      </c>
      <c r="C9" s="0" t="s">
        <v>1712</v>
      </c>
      <c r="D9" s="0" t="s">
        <v>1713</v>
      </c>
      <c r="E9" s="0" t="s">
        <v>76</v>
      </c>
    </row>
    <row r="10" customFormat="false" ht="17.15" hidden="false" customHeight="false" outlineLevel="0" collapsed="false">
      <c r="A10" s="0" t="n">
        <v>9</v>
      </c>
      <c r="B10" s="0" t="s">
        <v>1714</v>
      </c>
      <c r="C10" s="0" t="s">
        <v>1712</v>
      </c>
      <c r="D10" s="0" t="s">
        <v>1715</v>
      </c>
      <c r="E10" s="0" t="s">
        <v>170</v>
      </c>
    </row>
    <row r="11" customFormat="false" ht="17.15" hidden="false" customHeight="false" outlineLevel="0" collapsed="false">
      <c r="A11" s="0" t="n">
        <v>10</v>
      </c>
      <c r="B11" s="1" t="s">
        <v>1716</v>
      </c>
      <c r="C11" s="0" t="s">
        <v>312</v>
      </c>
      <c r="D11" s="0" t="s">
        <v>1717</v>
      </c>
      <c r="E11" s="0" t="s">
        <v>90</v>
      </c>
    </row>
    <row r="12" customFormat="false" ht="17.15" hidden="false" customHeight="false" outlineLevel="0" collapsed="false">
      <c r="A12" s="0" t="n">
        <v>11</v>
      </c>
      <c r="B12" s="1" t="s">
        <v>1718</v>
      </c>
      <c r="C12" s="0" t="s">
        <v>312</v>
      </c>
      <c r="D12" s="0" t="s">
        <v>1719</v>
      </c>
      <c r="E12" s="0" t="s">
        <v>90</v>
      </c>
    </row>
    <row r="13" customFormat="false" ht="17.15" hidden="false" customHeight="false" outlineLevel="0" collapsed="false">
      <c r="A13" s="0" t="n">
        <v>12</v>
      </c>
      <c r="B13" s="0" t="s">
        <v>1720</v>
      </c>
      <c r="C13" s="0" t="s">
        <v>1721</v>
      </c>
      <c r="D13" s="0" t="s">
        <v>1722</v>
      </c>
      <c r="E13" s="0" t="s">
        <v>87</v>
      </c>
    </row>
    <row r="14" customFormat="false" ht="17.15" hidden="false" customHeight="false" outlineLevel="0" collapsed="false">
      <c r="A14" s="0" t="n">
        <v>13</v>
      </c>
      <c r="B14" s="0" t="s">
        <v>1723</v>
      </c>
      <c r="C14" s="0" t="s">
        <v>1705</v>
      </c>
      <c r="D14" s="0" t="s">
        <v>1724</v>
      </c>
      <c r="E14" s="0" t="s">
        <v>90</v>
      </c>
    </row>
    <row r="15" customFormat="false" ht="17.15" hidden="false" customHeight="false" outlineLevel="0" collapsed="false">
      <c r="A15" s="0" t="n">
        <v>14</v>
      </c>
      <c r="B15" s="1" t="s">
        <v>1725</v>
      </c>
      <c r="C15" s="0" t="s">
        <v>1726</v>
      </c>
      <c r="D15" s="0" t="s">
        <v>1727</v>
      </c>
      <c r="E15" s="0" t="s">
        <v>87</v>
      </c>
    </row>
    <row r="16" customFormat="false" ht="17.15" hidden="false" customHeight="false" outlineLevel="0" collapsed="false">
      <c r="A16" s="0" t="n">
        <v>15</v>
      </c>
      <c r="B16" s="0" t="s">
        <v>1728</v>
      </c>
      <c r="C16" s="0" t="s">
        <v>1726</v>
      </c>
      <c r="D16" s="0" t="s">
        <v>1729</v>
      </c>
      <c r="E16" s="0" t="s">
        <v>87</v>
      </c>
    </row>
    <row r="18" customFormat="false" ht="17.15" hidden="false" customHeight="false" outlineLevel="0" collapsed="false">
      <c r="A18" s="1" t="s">
        <v>1730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2026-10-27T07:35:31Z</dcterms:created>
  <dc:creator>openpyxl</dc:creator>
  <dc:description/>
  <dc:language>en-US</dc:language>
  <cp:lastModifiedBy/>
  <dcterms:modified xsi:type="dcterms:W3CDTF">2026-10-27T07:35:33Z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